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Patent Documents" r:id="rId3" sheetId="1"/>
  </sheets>
  <definedNames>
    <definedName name="_xlnm._FilterDatabase" localSheetId="0" hidden="true">'Patent Documents'!$A$1:$W$5001</definedName>
  </definedNames>
</workbook>
</file>

<file path=xl/sharedStrings.xml><?xml version="1.0" encoding="utf-8"?>
<sst xmlns="http://schemas.openxmlformats.org/spreadsheetml/2006/main" count="55022" uniqueCount="29795">
  <si>
    <t>Database</t>
  </si>
  <si>
    <t>Number</t>
  </si>
  <si>
    <t>Categories</t>
  </si>
  <si>
    <t>Tags</t>
  </si>
  <si>
    <t>Title</t>
  </si>
  <si>
    <t>Google Link</t>
  </si>
  <si>
    <t>Patent Center</t>
  </si>
  <si>
    <t>Espacenet</t>
  </si>
  <si>
    <t>USPTO Link</t>
  </si>
  <si>
    <t>USPTO PDF Link</t>
  </si>
  <si>
    <t>PMD Link</t>
  </si>
  <si>
    <t>Global Dossier</t>
  </si>
  <si>
    <t>Appl Num</t>
  </si>
  <si>
    <t>Core Assignee Name</t>
  </si>
  <si>
    <t>Core Assignee Stem</t>
  </si>
  <si>
    <t>Inventors</t>
  </si>
  <si>
    <t>Filing Date</t>
  </si>
  <si>
    <t>Issue/Publication Date</t>
  </si>
  <si>
    <t>First Extracted Date</t>
  </si>
  <si>
    <t>Last Tagged Date</t>
  </si>
  <si>
    <t>CPC Classification</t>
  </si>
  <si>
    <t>Abstract</t>
  </si>
  <si>
    <t>Pre-grant Publication</t>
  </si>
  <si>
    <t>US20220223298</t>
  </si>
  <si>
    <t>Management</t>
  </si>
  <si>
    <t>Detect&amp;Monitor</t>
  </si>
  <si>
    <t>SYSTEMS AND METHODS FOR CONTAGIOUS ILLNESS SURVEILLANCE AND OUTBREAK     DETECTION</t>
  </si>
  <si>
    <t>17/708314</t>
  </si>
  <si>
    <t>KINSA HEALTH, LLC</t>
  </si>
  <si>
    <t>KINSA HEALTH</t>
  </si>
  <si>
    <t>Singh; Inder Raj; (San Francisco, CA)</t>
  </si>
  <si>
    <t/>
  </si>
  <si>
    <t>Systems and methods for population health surveillance utilizing a     network of smart thermometers is provided. Based on the geolocated user     data provided by the smart thermometers, contagious illness can be     forecasted for various population nodes. Population nodes can be provided     at various levels of granularity. Geographic or population specific early     warning signals can be generated based on detected outbreaks of     contagious illness.</t>
  </si>
  <si>
    <t>US20220223297</t>
  </si>
  <si>
    <t>Diagnosis</t>
  </si>
  <si>
    <t>DEVICE, METHOD AND PROGRAM PROVIDING REFERENCE INFORMATION FOR DISEASE     DIAGNOSIS, BASED ON BODY TEMPERATURE</t>
  </si>
  <si>
    <t>17/147673</t>
  </si>
  <si>
    <t>MOBILE DOCTOR CO., LTD.</t>
  </si>
  <si>
    <t>MOBILE DOCTOR</t>
  </si>
  <si>
    <t>OH; Namsoo; (Seongnam-si, KR); KIM; Myeongchan; (Anyang-si, KR); AHN; Sanghyun; (Cheonan-si, KR); SHIN; Jae Won; (Seoul, KR)</t>
  </si>
  <si>
    <t>G16H 80/00 20180101;  G16H 50/80 20180101;  G16H 70/60 20180101;  G16H 50/70 20180101</t>
  </si>
  <si>
    <t>The present disclosure relates to a device for providing reference     information for disease diagnosis based on body temperature, and creates     a group by searching for other subscribers related to context information     and body temperature information of a specific subscriber, and calculates     disease prevalence for the subscribers in the group, so that it is     possible to calculate the prevalence of various diseases in the group     related to a specific subscriber in numerical values.</t>
  </si>
  <si>
    <t>US20220215968</t>
  </si>
  <si>
    <t>Contact tracing</t>
  </si>
  <si>
    <t>CONTACT TRACING SYSTEMS AND METHODS FOR TRACKING OF SHIPBOARD PATHOGEN     TRANSMISSION</t>
  </si>
  <si>
    <t>17/451291</t>
  </si>
  <si>
    <t>ROYAL CARIBBEAN CRUISES LTD.</t>
  </si>
  <si>
    <t>ROYAL CARIBBEAN CRUISES</t>
  </si>
  <si>
    <t>Weir; Nicholas; (Davie, FL); Rubi; Ernesto M.; (Miramar, FL); Altin; Daniel John; (St Simons Island, GA)</t>
  </si>
  <si>
    <t>Contract tracing systems and methods for infectious disease tracking are     disclosed. An infectious disease tracking system includes a plurality of     user devices, each user device configured to detect, using a wireless     communication module, a signal emitted by another one of the plurality of     user devices. The user device can determine that a strength of the signal     exceeds a predetermined event initiation signal strength threshold     corresponding to a physical proximity between users of the devices and     can store a contact tracing event record in response to determining that     the strength of the signal exceeds the predetermined event initiation     signal strength threshold. The user device can transmit the contact     tracing event records to a data center where they can be stored and used     to identify close contacts when an index case of an infectious disease is     identified.</t>
  </si>
  <si>
    <t>US20220214352</t>
  </si>
  <si>
    <t>Testing</t>
  </si>
  <si>
    <t>RAPID ASSAY FOR DETECTION OF SARS-CoV-2 ANTIBODIES</t>
  </si>
  <si>
    <t>17/478527</t>
  </si>
  <si>
    <t>University Of Utah Research Foundation</t>
  </si>
  <si>
    <t>UNIVERSITY UTAH RESEARCH FOUNDATION</t>
  </si>
  <si>
    <t>HAECKER; Hans; (Salt Lake City, UT); REDECKE; Vanessa; (Salt Lake City, UT)</t>
  </si>
  <si>
    <t>G01N 33/49 20130101;  C07K 2319/02 20130101;  C07K 2319/30 20130101;  G01N 33/68 20130101;  C07K 16/10 20130101;  C07K 14/165 20130101;  C07K 2319/73 20130101;  C07K 14/47 20130101;  C07K 16/3061 20130101</t>
  </si>
  <si>
    <t>Described herein are diagnostic and control fusion protein reagents and     methods for use thereof in simple rapid and inexpensive hemagglutinin     assays for the detection of subject antibodies directed to the SARS-CoV-2     virus.</t>
  </si>
  <si>
    <t>US20220213176</t>
  </si>
  <si>
    <t>Tx</t>
  </si>
  <si>
    <t>Pharma&amp;Biopharma</t>
  </si>
  <si>
    <t>ANTIBODIES AGAINST SARS-COV-2 SPIKE PROTEIN</t>
  </si>
  <si>
    <t>17/702710</t>
  </si>
  <si>
    <t>ShanghaiTech University; ShOx Science Limited</t>
  </si>
  <si>
    <t>SHANGHAITECH UNIVERSITY; SHOX SCIENCE</t>
  </si>
  <si>
    <t>Ma; Peixiang; (Shanghai, CN); Yang; Guang; (Shanghai, CN); Lerner; Richard A.; (Shangha, CN); Qiang; Min; (Shanghai, CN); Wang; Hou; (Shanghai, CN)</t>
  </si>
  <si>
    <t>The present disclosure provides human antibodies and fragments thereof     having binding specificity to the SARS-CoV-2 spike protein's receptor     binding domain (RBD). The antibodies and fragments have strong affinity     and potent neutralization ability against the SARS-CoV-2 virus and     various mutant forms. Also provided are trimeric antibodies which have     further enhanced neutralization capabilities. The antibodies and     fragments thus may be used for preventing or treating SARS-CoV-2 viral     infection or detecting the presence of the virus in a sample.</t>
  </si>
  <si>
    <t>US20220207215</t>
  </si>
  <si>
    <t>Prevention</t>
  </si>
  <si>
    <t>CONTAMINANT SPREAD ANALYSIS</t>
  </si>
  <si>
    <t>17/139238</t>
  </si>
  <si>
    <t>TRANE INTERNATIONAL INC.</t>
  </si>
  <si>
    <t>TRANE</t>
  </si>
  <si>
    <t>Liu; Yi; (Concord, NC); Wang; Gang; (Holmen, WI); Liebel; Stephanie Veronica; (Tyler, TX); Polyzois; Christos Alkiviadis; (Bloomington, MN); Peters; Michael; (Mooresville, NC); Yoder; Katheryn; (La Crosse, WI)</t>
  </si>
  <si>
    <t>A contaminant-risk analysis device generates a CAD model of a defined     space based on received parameters, simulates a contaminant spread model     relative to the CAD model, generates a contaminant risk assessment for     the defined space based on the contaminant spread model being applied to     the CAD model, and generates a revised CAD model of the defined space     based on the generated contaminant risk assessment.</t>
  </si>
  <si>
    <t>US20220204591</t>
  </si>
  <si>
    <t>Antibodies</t>
  </si>
  <si>
    <t>ANTI-SARS-COV-2 ANTIBODIES AND USES THEREOF</t>
  </si>
  <si>
    <t>17/569487</t>
  </si>
  <si>
    <t>TSB THERAPEUTICS (BEIJING) CO., LTD.</t>
  </si>
  <si>
    <t>TSB THERAPEUTICS</t>
  </si>
  <si>
    <t>ZHANG; Zheng; (Shenzhen, CN); ZHANG; Linqi; (Beijing, CN); LIU; Lei; (Shenzhen, CN); ZHANG; Qi; (Beijing, CN); JU; Bin; (Shenzhen, CN); SHI; Xuanling; (Beijing, CN); ZHU; Qing; (Beijing, CN)</t>
  </si>
  <si>
    <t>C07K 2317/52 20130101;  C07K 2317/94 20130101;  C07K 16/10 20130101;  C07K 2317/76 20130101;  C07K 2317/31 20130101;  A61K 2039/505 20130101;  A61K 2039/545 20130101</t>
  </si>
  <si>
    <t>Provided herein are modified anti-SARS-COV-2 antibodies or antigen     binding fragments thereof having extended half life and optimized immune     activities. Disclosed herein is also directed to pharmaceutical     compositions comprising the same and a method for treating or preventing     a disease in human patients that is caused by or related to the infection     of SARS-COV-2.</t>
  </si>
  <si>
    <t>US20220203142</t>
  </si>
  <si>
    <t>Face mask with Microporous Filter Membrane Layer</t>
  </si>
  <si>
    <t>17/561527</t>
  </si>
  <si>
    <t>CONNOLLY CHARLES</t>
  </si>
  <si>
    <t>Connolly; Charles; (Alameda, CA)</t>
  </si>
  <si>
    <t>A face mask with microporous filter membrane layer is presented. The face     mask with microporous filter membrane layer contains a mask body at least     one strap and a sealing element. The mask body contains a first end a     second end an outer layer at least one intermediate layer and an inner     layer. The first end and the second end are terminally positioned     longitudinally opposite to each other along the mask body. The at least     one strap is distributed about the first end and the second end. The     sealing element is perimetrically connected along the outer layer inner     layer and the at least one intermediate layer. The at least one     intermediate layer is connected between the outer layer and the inner     layer through the sealing element</t>
  </si>
  <si>
    <t>US20220202700</t>
  </si>
  <si>
    <t>COMPOSITIONS FOR THE TREATMENT OF VIRAL PULMONARY INFECTIONS</t>
  </si>
  <si>
    <t>17/695489</t>
  </si>
  <si>
    <t>STROHECKER PAUL</t>
  </si>
  <si>
    <t>Strohecker; Paul; (Greenbelt, MD)</t>
  </si>
  <si>
    <t>The disclosure relates to a method for treating a viral pulmonary     infection (e.g., COVID-19 infection), the method comprising the step of     delivering a composition comprising at least one bronchodilator or a     pharmaceutically acceptable salt thereof and at least one pulmonary     surfactant or a pharmaceutically acceptable salt thereof to the airway of     a subject in need of treatment for the pulmonary viral infection.</t>
  </si>
  <si>
    <t>US20220202699</t>
  </si>
  <si>
    <t>17/695464</t>
  </si>
  <si>
    <t>US20220196268</t>
  </si>
  <si>
    <t>Sanitation</t>
  </si>
  <si>
    <t>AIR SENSING AND PURIFICATION SYSTEMS</t>
  </si>
  <si>
    <t>17/461907</t>
  </si>
  <si>
    <t>MACHINESENSE, LLC</t>
  </si>
  <si>
    <t>MACHINESENSE</t>
  </si>
  <si>
    <t>GOEL; Ayush; (Karnal, IN); PAL; Biplab; (Ellicot City, MD); MANNA; Utpal; (Kolkata, IN); BESSEMER; Conrad; (Millersville, MD)</t>
  </si>
  <si>
    <t>F24F 2110/70 20180101;  F24F 8/22 20210101;  F24F 11/526 20180101;  F24F 8/80 20210101;  F24F 2110/10 20180101;  F24F 8/30 20210101;  F24F 11/74 20180101;  F24F 2120/12 20180101;  F24F 2110/20 20180101</t>
  </si>
  <si>
    <t>Air sensing and purification systems include interconnected components     that can both sense and cleanse an airborne viral load quickly and     efficiently, minimizing the probability of human infection in the     presence of a virus such as COVID-19. The systems can include a     biosensing or viral load sensing system configured to measure an airborne     viral load and probability of infection from the viral load; and an air     purification device configured to effectively neutralize the virus in the     adjacent space. The system also can include an alarm hub. The alarm hub     can be a local server/hub that is wirelessly connected to the viral load     sensing system and the air purification device; and can house strong     visual and/or audible alarms to make the user aware of any breach of the     social distancing protocol, and/or a high airborne viral load.</t>
  </si>
  <si>
    <t>US20220194329</t>
  </si>
  <si>
    <t>Cart Sanitation Station</t>
  </si>
  <si>
    <t>17/203937</t>
  </si>
  <si>
    <t>Krull, Shawnna; Bowman, Brandy</t>
  </si>
  <si>
    <t>KRULL SHAWNNA</t>
  </si>
  <si>
    <t>Krull; Shawnna; (Yuma, AZ); Bowman; Brandy; (Yuma, AZ)</t>
  </si>
  <si>
    <t>B60S 3/04 20130101;  B08B 3/02 20130101;  A61L 2/18 20130101;  A61L 2/10 20130101</t>
  </si>
  <si>
    <t>The present invention relates generally to the field of sanitation     equipment. More specifically, the present invention relates to a shopping     cart sanitation system that sanitizes shopping carts, baskets and bins     that pass therethrough. The system is comprised of a tunnel-like     enclosure that is comprised of a sanitization chamber and a drying     chamber, wherein the sanitization chamber sanitizes carts via a spray     nozzle system that sprays disinfectant as well as a plurality of UV     disinfecting lights. The drying chamber dries the carts, baskets and bins     via a plurality of fans before the carts exit the station and are ready     for use. In one embodiment, the system may further comprise an     antimicrobial station.</t>
  </si>
  <si>
    <t>US20220193465</t>
  </si>
  <si>
    <t>DISPOSABLE FACE MASK WITH INTEGRATED TIE-ON FACE MASK STRAPS</t>
  </si>
  <si>
    <t>17/550765</t>
  </si>
  <si>
    <t>RICHARDS JEFFREY S</t>
  </si>
  <si>
    <t>RICHARDS JEFFREY</t>
  </si>
  <si>
    <t>Richards; Jeffrey S.; (League City, TX)</t>
  </si>
  <si>
    <t>A disposable face mask includes an upper portion of the face mask and a     lower portion of the face mask, the upper portion and lower portion of     the face masks each adjoin monolithically formed therewith face mask     straps defined by perforations in a web of material used to form the face     mask and straps, wherein the perforations allow the straps to be     partially separated and utilized for securing said face mask to a     wearer's face. The disposable face mask may be made by perforating     patterns into a web of materials to define the face mask straps and face     mask body that are formed monolithically from the web of materials. The     face masks may be wound on a roll for dispensing by tearing off from the     roll and then separating the straps at the perforations. Alternatively,     the face mask borders may be cut-through to allow dispensing of the face     masks individually from bulk packaging, where the face mask is removed     from the package and the straps are separated at the perforations to     allow the face mask to be secured to the wearer's face by tying the     straps behind the wearer's head.</t>
  </si>
  <si>
    <t>US20220193357</t>
  </si>
  <si>
    <t>SANITARY EXTUBATION COVER AND METHOD FOR ITS USE</t>
  </si>
  <si>
    <t>17/140040</t>
  </si>
  <si>
    <t>RTM MEDICAL LLC</t>
  </si>
  <si>
    <t>RTM MEDICAL</t>
  </si>
  <si>
    <t>Samuel; Rick; (Huntingdon Valley, PA); Burlingame; Todd; (Jenkintown, PA); Nichols; David; (Dallas Forth Worth, TX); Crow; Doug; (Brownsboro, TX); Douglas; William; (Jacksonville, TX)</t>
  </si>
  <si>
    <t>A61M 2205/02 20130101;  A61M 16/0402 20140204;  A61M 16/0622 20140204</t>
  </si>
  <si>
    <t>A sanitary extubation cover used to cover an endotracheal tube and a     patient's face in order to accommodate sanitary extubation. The sanitary     extubation cover includes a mask and a cover which covers the     endotracheal tube. If the patient coughs, the cough would be directed     into the mask and the endotracheal tube (which is covered by the cover)     but contaminants from the cough would be suppressed from spreading into     the open air. The mask can have an air cushion at the bottom of the mask     in order to securely press against the patient's face. The mask can also     have a solid silicone base at the bottom of the mask in order to securely     press against the patient's face.</t>
  </si>
  <si>
    <t>US20220193226</t>
  </si>
  <si>
    <t>Vaccine</t>
  </si>
  <si>
    <t>Coronavirus</t>
  </si>
  <si>
    <t>CORONAVIRUS VACCINE</t>
  </si>
  <si>
    <t>17/546414</t>
  </si>
  <si>
    <t>CUREVAC AG</t>
  </si>
  <si>
    <t>CUREVAC</t>
  </si>
  <si>
    <t>RAUCH; Susanne; (Tubingen, DE); GRO E; Hans Wolfgang; (Tubingen, DE); PETSCH; Benjamin; (Tubingen, DE)</t>
  </si>
  <si>
    <t>A61K 2039/53 20130101;  A61K 47/26 20130101;  A61K 9/0019 20130101;  A61K 39/215 20130101;  A61K 2039/6093 20130101;  A61K 2039/6018 20130101</t>
  </si>
  <si>
    <t>The present invention is directed to a nucleic acid suitable for use in     treatment or prophylaxis of an infection with a coronavirus, preferably     with a Coronavirus SARS-CoV-2, or a disorder related to such an     infection, preferably COVID-19.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</si>
  <si>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US20220193223</t>
  </si>
  <si>
    <t>Platform</t>
  </si>
  <si>
    <t>NUCLEIC ACID VACCINES</t>
  </si>
  <si>
    <t>17/683171</t>
  </si>
  <si>
    <t>MODERNA THERAPEUTICS, INC.</t>
  </si>
  <si>
    <t>MODERNA THERAPEUTICS</t>
  </si>
  <si>
    <t>Ciaramella; Giuseppe; (Sudbury, MA); Bouchon; Axel; (Kleinmacknow, DE); Huang; Eric Yi-Chun; (Boston, MA)</t>
  </si>
  <si>
    <t>A61K 48/00 20130101;  A61K 9/0019 20130101;  A61K 39/145 20130101;  C12N 2760/16234 20130101;  C12N 7/00 20130101;  A61K 9/1271 20130101;  A61K 9/5146 20130101;  C12N 2760/16134 20130101;  A61K 9/5123 20130101;  A61K 39/155 20130101;  A61K 2039/55555 20130101;  A61K 39/39 20130101;  A61K 39/12 20130101;  C12N 2760/16122 20130101;  A61K 31/7105 20130101;  A61K 2039/545 20130101;  A61K 2039/53 20130101</t>
  </si>
  <si>
    <t>The invention relates to compositions and methods for the preparation,     manufacture and therapeutic use ribonucleic acid vaccines (NAVs)     comprising polynucleotide molecules encoding one or more antigens.</t>
  </si>
  <si>
    <t>US20220193039</t>
  </si>
  <si>
    <t>APPLICATION OF 2,4,5-TRISUBSTITUTED 1,2,4-TRIAZOLONES IN ANTIVIRAL THERAPY</t>
  </si>
  <si>
    <t>17/615287</t>
  </si>
  <si>
    <t>ACADEMY OF MILITARY MEDICAL SCIENCES</t>
  </si>
  <si>
    <t>ACADEMY MILITARY MEDICAL SCIENCES</t>
  </si>
  <si>
    <t>ZHONG; Wu; (Beijing, CN); ZHOU; Xinbo; (Beijing, CN); CAO; Ruiyuan; (Beijing, CN); XIAO; Dian; (Beijing, CN); WANG; Manli; (Beijing, CN); FAN; Shiyong; (Beijing, CN); HU; Zhihong; (Beijing, CN); LI; Song; (Beijing, CN)</t>
  </si>
  <si>
    <t>Related is application of 2,4,5-trisubstituted 1,2,4-triazolones in     antiviral therapy, particularly related to use of a compound of formula I     in the preparation a medicament, wherein the medicament is used to     prevent and/or treat a disease associated with a virus. It is shown in     vitro experiment that, the compound effectively inhibits viral     infections, and shows low toxicity in some tests,  ##STR00001##</t>
  </si>
  <si>
    <t>US20220184053</t>
  </si>
  <si>
    <t>SPHINGOSINE KINASE 2 INHIBITOR FOR TREATING CORONAVIRUS INFECTION IN     MODERATELY SEVERE PATIENTS WITH PNEUMONIA</t>
  </si>
  <si>
    <t>17/552038</t>
  </si>
  <si>
    <t>REDHILL BIOPHARMA LTD.</t>
  </si>
  <si>
    <t>REDHILL BIOPHARMA</t>
  </si>
  <si>
    <t>Ben-Asher; Dror; (Tel-Aviv, IL); Fathi; Reza; (Oradell, NJ)</t>
  </si>
  <si>
    <t>The disclosure is directed to ABC294640, as free base or as salts     thereof, in preparing medicines for treating coronavirus infection or     preventing diseases caused by coronavirus infection, and a medicine for     preventing coronavirus infection or preventing diseases caused by     coronavirus infection.</t>
  </si>
  <si>
    <t>US20220176230</t>
  </si>
  <si>
    <t>SYSTEMS AND METHODS FOR PROVIDING ULTRAVIOLET STERILIZATION, DISINFECTION     AND DECONTAMINATION OF GAMING MACHINES AND ASSOCIATED EQUIPMENT</t>
  </si>
  <si>
    <t>17/652278</t>
  </si>
  <si>
    <t>GAMING ARTS LLC</t>
  </si>
  <si>
    <t>GAMING ARTS</t>
  </si>
  <si>
    <t>Colvin; David; (Las Vegas, NV); Colvin; Eric D.; (Las Vegas, NV); Kruczynski; Keith Matthew; (Henderson, NV); Sarhadian; Sassoun; (Las Vegas, NV)</t>
  </si>
  <si>
    <t>Systems and methods for providing ultraviolet (UV) sterilization,     disinfection and decontamination of electronic gaming machines (EGMs),     gaming chips, dice, playing cards, currency, TITO tickets, etc. The     ultraviolet sterilization, disinfection and decontamination may include a     singular or plurality of UV lamps of any type or style or UV LEDs or     RGB-UV LEDs or any type or style of UV LEDs of at least such wavelengths     to be effective in at least partially reducing or eliminating viruses or     the like. The UV sources are mounted on, in or proximate to a variety of     gaming devices or equipment such as EGMs, mechanical gaming machines,     chip trays, chippers, dice holders, automatic card shufflers, bill     validators, currency counting devices, currency dispensing devices,     printers, magnetic card readers, playing card and currency sterilization,     disinfection or decontamination storage mechanisms, ATMs, redemption     machines, promotional kiosks, etc., or similar devices used in other     industries.</t>
  </si>
  <si>
    <t>US20220175066</t>
  </si>
  <si>
    <t>SANITIZING FACE MASK</t>
  </si>
  <si>
    <t>17/352778</t>
  </si>
  <si>
    <t>LEWIS RANDALL J</t>
  </si>
  <si>
    <t>LEWIS RANDALL</t>
  </si>
  <si>
    <t>Lewis; Randall J.; (Bethesda, MD)</t>
  </si>
  <si>
    <t>A42B 3/225 20130101;  A41D 31/125 20190201;  A41D 13/1192 20130101;  A41D 13/1176 20130101;  A41D 2500/30 20130101;  A42B 3/22 20130101;  A41D 13/1115 20130101;  A41D 13/1123 20130101;  A41D 13/1107 20130101;  A41D 13/1161 20130101;  A41D 13/11 20130101</t>
  </si>
  <si>
    <t>A sanitizing face mask inhibits the transmission of pathogens in air     respired through the nose and mouth of a wearer. The mask includes     hydrophobic inner and outer layers and an intermediate layer enclosed     between them. The intermediate layer is saturated with a sanitizing     liquid such as an ethanol solution. Respired air encounters the     sanitizing liquid as it passes through the intermediate layer, killing     pathogens borne on droplets or aerosols. The sanitizing mask protects the     wearer, from pathogens in the inspired air, and others, from possible     pathogens in the expired air of the wearer.</t>
  </si>
  <si>
    <t>US20220175064</t>
  </si>
  <si>
    <t>SEALING CUSHION FOR A PROTECTIVE FACE MASK</t>
  </si>
  <si>
    <t>17/113338</t>
  </si>
  <si>
    <t>ABACUS INVEST LLC</t>
  </si>
  <si>
    <t>ABACUS INVEST</t>
  </si>
  <si>
    <t>Pan; Yang; (Mason, OH); Wang; Mei; (Mason, OH)</t>
  </si>
  <si>
    <t>Most protective masks are not designed to follow individual facial     contours and have a limited ability to adjust to various facial sizes and     shapes. A sealing cushion for use with surgical face masks and the like     has a pliant body with a tacky surface and a wire embedded within, which     together create a frame-like structure having a central aperture. The     wire encased within the body of the cushion allows the apparatus to be     shaped and fitted to the contours of the face to create a substantially     airtight seal between the face and the mask. The sealing cushion can     prevent or reduce entry of airborne contaminants around the sides and     edges of the mask.</t>
  </si>
  <si>
    <t>US20220170885</t>
  </si>
  <si>
    <t>Bioagent Identification</t>
  </si>
  <si>
    <t>Method and System for Simultaneous Determination of Multiple Measurable     Biomarkers During the Development of a Communicable Disease</t>
  </si>
  <si>
    <t>17/673247</t>
  </si>
  <si>
    <t>PRINCETON BIOCHEMICALS, INC.</t>
  </si>
  <si>
    <t>PRINCETON BIOCHEMICALS</t>
  </si>
  <si>
    <t>GUZMAN; NORBERTO A.; (Princeton, NJ)</t>
  </si>
  <si>
    <t>B01L 2400/0421 20130101;  G01N 27/44756 20130101;  B01L 2300/0681 20130101;  B01L 3/5082 20130101;  B01L 2200/185 20130101;  B01L 2300/042 20130101;  G01N 33/543 20130101;  G01N 1/405 20130101;  G01N 33/561 20130101;  G01N 33/54366 20130101;  G01N 27/44708 20130101;  G01N 27/44743 20130101</t>
  </si>
  <si>
    <t>A diagnostic and prognostic method and system for sequentially analyzing     in a biological fluid or tissue extract the presence of an antigenic     infectious agent, infectious organism or its toxic product; an antibody     response to the antigenic infectious agent, infectious organism or its     toxic product; one or more biomarkers formed during infection in response     to a communicable disease; and one or more biomarkers to assess the     severity of the disease and to monitor the effectiveness of drug therapy     or vaccination.</t>
  </si>
  <si>
    <t>US20220169539</t>
  </si>
  <si>
    <t>Systems, Devices, and Methods for Sanitizing Stored Contents</t>
  </si>
  <si>
    <t>17/107595</t>
  </si>
  <si>
    <t>CASETAGRAM LIMITED</t>
  </si>
  <si>
    <t>CASETAGRAM</t>
  </si>
  <si>
    <t>Ng; Pui Sun Wesley; (Kowloon, HK)</t>
  </si>
  <si>
    <t>A61L 2/24 20130101;  C02F 1/008 20130101;  C02F 2303/04 20130101;  A61L 2202/122 20130101;  A61L 2/10 20130101;  A61L 2202/11 20130101;  A61L 2202/182 20130101;  C02F 1/325 20130101;  C02F 2209/03 20130101;  C02F 2201/326 20130101;  A61L 2202/121 20130101;  A61L 2202/14 20130101;  C02F 2201/3227 20130101</t>
  </si>
  <si>
    <t>Embodiments relate to systems, devices, and methods for sanitizing stored     contents. System includes main and secondary assemblies. Main assembly     includes main opening and main storage section. Secondary assembly     includes securing portion, radiation assembly, and control assembly.     Securing portion transitions between secured and unsecured states.     Secured state is when main and secondary assemblies are secured together.     Radiation assembly is configured to emit radiation, and is formed     symmetrically relative to a central axis. Control assembly includes first     and second safety assemblies and control processor. First safety assembly     is configured to determine whether the storage system is in the secured     or unsecured state. Second safety assembly is configured to determine     whether the secondary assembly is in a safe or unsafe orientation state.     Control processor is configured to control the radiation assembly to emit     radiation when the storage system is in the secured state and the     secondary assembly is in the safe orientation state.</t>
  </si>
  <si>
    <t>US20220164858</t>
  </si>
  <si>
    <t>General</t>
  </si>
  <si>
    <t>Order Routing and Redirecting for Fulfillment Processing</t>
  </si>
  <si>
    <t>17/102974</t>
  </si>
  <si>
    <t>NCR CORPORATION</t>
  </si>
  <si>
    <t>NCR</t>
  </si>
  <si>
    <t>Singh; Sanjeev Kumar; (Johns Creek, GA)</t>
  </si>
  <si>
    <t>G06Q 10/0836 20130101;  G06Q 30/0605 20130101;  G06N 5/04 20130101;  G06Q 10/06312 20130101;  G06Q 10/087 20130101;  G06Q 30/0639 20130101;  G06Q 30/0205 20130101;  G06Q 50/12 20130101;  G06Q 30/0635 20130101;  G06Q 10/0639 20130101;  G06Q 10/06315 20130101;  G06N 20/00 20190101</t>
  </si>
  <si>
    <t>Order details for an order is evaluated based on real-time data     associated with establishments that can satisfy the order, location data,     traffic conditions, estimated order preparation times, and available     delivery personnel (when the order is associated with a delivery). An     optimal establishment that can fulfill the order is selected and the     order with the order details is placed with the optimal establishment. In     an embodiment, the real-time data continues to be evaluated after the     order is placed, and when conditions warrant the order is redirected to a     new optimal establishment for fulfillment.</t>
  </si>
  <si>
    <t>US20220163528</t>
  </si>
  <si>
    <t>IMMUNOASSAY FOR SARS-CoV-2  ANTIBODIES</t>
  </si>
  <si>
    <t>17/428967</t>
  </si>
  <si>
    <t>PICTOR LTD</t>
  </si>
  <si>
    <t>PICTOR</t>
  </si>
  <si>
    <t>Vashist; Sandeep Kumar; (Aachen, DE); Gilles; Lionel Gilles Guiffo Djoko; (Auckland, NZ); Govind; Bhavesh; (Auckland, NZ)</t>
  </si>
  <si>
    <t>G01N 2496/15 20130101;  G01N 33/54386 20130101;  G01N 33/56983 20130101;  G01N 2333/165 20130101</t>
  </si>
  <si>
    <t>Severe acute respiratory syndrome coronavirus 2 (SARS-CoV-2) is the     strain of coronavirus that causes coronavirus disease 2019 (COVID-19),     the respiratory illness responsible for the COVID-19 pandemic. Antibodies     produced from an immune response against SARS-CoV-2 infection are used to     analyze prior exposure to the virus. The present invention provides     methods for detecting antibodies in response to SARS-CoV-2 infection in a     single multiplex immunoassay.</t>
  </si>
  <si>
    <t>US20220162194</t>
  </si>
  <si>
    <t>INHIBITORS OF CYSTEINE PROTEASES AND METHODS OF USE THEREOF</t>
  </si>
  <si>
    <t>17/665204</t>
  </si>
  <si>
    <t>PARDES BIOSCIENCES, INC.</t>
  </si>
  <si>
    <t>PARDES BIOSCIENCES</t>
  </si>
  <si>
    <t>Arnold; Lee D.; (Rancho Santa Fe, CA); Jennings; Andy; (San Diego, CA); Keung; Walter; (Encinitas, CA)</t>
  </si>
  <si>
    <t>C07D 401/14 20130101;  C07D 417/14 20130101;  C07D 403/12 20130101;  C07D 401/12 20130101;  C07D 207/26 20130101;  C07D 471/04 20130101;  C07D 403/14 20130101</t>
  </si>
  <si>
    <t>The disclosure provides compounds, such as compounds of Formula II, with     warheads and their use in treating medical diseases or disorders, such as     viral infections. Pharmaceutical compositions and methods of making     various compounds with warheads are provided. The compounds are     contemplated to inhibit proteases, such as the 3C, CL- or 3CL-like     protease.  ##STR00001##</t>
  </si>
  <si>
    <t>US20220161065</t>
  </si>
  <si>
    <t>Personal Protective Facemask System</t>
  </si>
  <si>
    <t>17/516040</t>
  </si>
  <si>
    <t>TINDALL TIM</t>
  </si>
  <si>
    <t>Tindall; Tim; (Holden, ME)</t>
  </si>
  <si>
    <t>A62B 18/02 20130101;  A62B 18/084 20130101;  A62B 7/10 20130101</t>
  </si>
  <si>
    <t>The present invention relates to a multifunctional transparent facemask     system having a transparent facemask that seals over the nose, jawbone,     and neck of a wearer to provide clean air for inhalation. The system     filters out harmful contaminates from exhaled air before the exhaled air     is released into the environment. The facemask system includes a     removable visor to be disposed in front of the eyes of the wearer to     prohibit drying of the eyes and preventing pathogens from entering     therein. The system includes an air pump for providing fresh air to the     facemask, an air filter for filtering out harmful contaminates from     exhaled air, an inlet pipe for fresh air flow into the facemask, an     outlet pipe for flowing exhaled air out from the facemask, and a small     air tube for providing fresh air to the visor. The facemask includes a     microphone and a speaker for providing effective communication, and LEDs     for illumination.</t>
  </si>
  <si>
    <t>US20220153826</t>
  </si>
  <si>
    <t>METHODS AND COMPOSITIONS FOR TREATING VIRUS-ASSOCIATED INFLAMMATION</t>
  </si>
  <si>
    <t>17/525338</t>
  </si>
  <si>
    <t>MIAMI, UNIVERSITY OF</t>
  </si>
  <si>
    <t>MIAMI UNIVERSITY</t>
  </si>
  <si>
    <t>KEANE; Robert W.; (Miami, FL); DIETRICH; W. Dalton; (Miami, FL); VACCARI; Juan Pablo De Rivero; (Miami, FL); BRAMLETT; Helen M.; (Miami, FL)</t>
  </si>
  <si>
    <t>A61K 2039/55 20130101;  C07K 2317/76 20130101;  C07K 16/18 20130101;  C07K 16/24 20130101;  C07K 2317/565 20130101;  A61K 39/3955 20130101;  C07K 2317/24 20130101;  A61K 39/39541 20130101;  A61K 31/727 20130101;  A61K 2039/55522 20130101;  C07K 2317/34 20130101;  C07K 2317/21 20130101;  A61P 29/00 20180101;  A61P 37/06 20180101;  A61P 25/28 20180101;  A61P 25/00 20180101;  A61P 11/00 20180101;  A61K 2039/505 20130101;  A61P 25/14 20180101</t>
  </si>
  <si>
    <t>The compositions and methods described herein include methods and agents     that inhibit inflammasome signaling in a mammal such as antibodies     directed against inflammasome components used alone or in combination     with extracellular vesicle uptake inhibitor(s) or other agents. Also     described herein are compositions and methods of use thereof for treating     viral-associated lung inflammation, for example lung inflammation     associated with viral infections such as SARS-CoV-2.</t>
  </si>
  <si>
    <t>US20220153815</t>
  </si>
  <si>
    <t>COMPOUNDS SPECIFIC TO CORONAVIRUS S PROTEIN AND USES THEREOF</t>
  </si>
  <si>
    <t>17/539635</t>
  </si>
  <si>
    <t>ADAGIO THERAPEUTICS, INC.</t>
  </si>
  <si>
    <t>ADAGIO THERAPEUTICS</t>
  </si>
  <si>
    <t>Walker; Laura; (Lebanon, NH); Deveau; Laura; (Lebanon, NH); Belk; Jonathan; (Lebanon, NH); Wec; Anna; (Lebanon, NH); Rappazzo; C. Garrett; (Lebanon, NH)</t>
  </si>
  <si>
    <t>The present disclosure is directed to antibodies, and antigen binding     fragments thereof, having binding specificity for the S protein of     coronaviruses (CoV-S), such as the S protein of the SARS coronavirus     (SARS-CoV-S) and/or the S protein of the SARS coronavirus 2     (SARS-CoV-2-S), including neutralizing antibodies and antibodies that     bind to and/or compete for binding to the same linear or conformational     epitope(s) on CoV-S. Further disclosed are conjugates of anti-CoV-S     antibodies, and binding fragments thereof, conjugated to one or more     functional or detectable moieties. Methods of making said anti-CoV-S     antibodies and antigen binding fragments thereof are also contemplated.     Other embodiments of the disclosure include the use of anti-CoV-S     antibodies, and binding fragments thereof, for the diagnosis, assessment,     and treatment of diseases and disorders associated with coronaviruses, or     the S protein thereof, and conditions where neutralization or inhibition     of coronaviruses, or the S protein thereof, would be therapeutically     and/or prophylactically beneficial.</t>
  </si>
  <si>
    <t>US20220151368</t>
  </si>
  <si>
    <t>Mask Holder</t>
  </si>
  <si>
    <t>17/528962</t>
  </si>
  <si>
    <t>Tilley, Joseph Virgil</t>
  </si>
  <si>
    <t>TILLEY JOSEPH</t>
  </si>
  <si>
    <t>Tilley; Joseph Virgil; (Brownwood, TX)</t>
  </si>
  <si>
    <t>A mask holder may provide a place to store one or more facial masks or     personal protective equipment (PPE) when not in use so that the facial     masks or PPE are not further contaminated or lost prior to the next use.     The mask holder may be utilized in a variety of different environments     including, but not limited to, in an automobile, in an office/at work,     and/or at home. Different types of mask holders may be provided that may     house either a particular type of mask or more than one type of mask. A     mask holder may be mounted in a variety of different manners including,     but not limited to, visor clip, magnets, hook and loop portions, and/or     double-sided tape or adhesive. The mask may be received on a holder plate     and secured to the holder plate using clips or hooks.</t>
  </si>
  <si>
    <t>US20220150446</t>
  </si>
  <si>
    <t>Economic</t>
  </si>
  <si>
    <t>SYSTEMS AND METHODS FOR INSTANT SERVERLESS VIDEO CHAT WITH PRE-LOADED     CONTENT</t>
  </si>
  <si>
    <t>17/095687</t>
  </si>
  <si>
    <t>VENDITIO INC.</t>
  </si>
  <si>
    <t>VENDITIO</t>
  </si>
  <si>
    <t>Fernandez; Sergio A.; (San Diego, CA); Fernandez; Sergio M.; (Stamford, CT)</t>
  </si>
  <si>
    <t>H04N 7/15 20130101;  H04N 7/147 20130101;  H04N 21/4788 20130101</t>
  </si>
  <si>
    <t>The present disclosure describes an instant serverless video chat created     for speedy sales enablement and face to face interactions. The systems     described herein may be implemented as a button, link, or QR code, which,     when triggered, automatically opens a video chat session with a company     representative. The system includes features such as preloading content     for quick and simple content sharing, fillable forms within the video     chat window, note-taking, internal chat, and the ability for managers to     listen in, assist and, join the video chat.</t>
  </si>
  <si>
    <t>US20220149656</t>
  </si>
  <si>
    <t>DEVICE FOR CHARGING ELECTRONIC DEVICES AND SANITIZING SURFACES</t>
  </si>
  <si>
    <t>17/525359</t>
  </si>
  <si>
    <t>MOLONLAVE GROUP LLC</t>
  </si>
  <si>
    <t>MOLONLAVE</t>
  </si>
  <si>
    <t>Georgiades; Marios; (Saddle River, NJ)</t>
  </si>
  <si>
    <t>An electronic device includes a housing, a battery in the housing, a     power transmitter in the housing configured for wireless charging of a     second electronic device; and at least one light source emitting     ultraviolet-C (UV-C) light. The UV-C light comprises a wavelength in a     range of 270 nm to about 280 nm.</t>
  </si>
  <si>
    <t>US20220148172</t>
  </si>
  <si>
    <t>SYSTEM AND METHOD FOR DETECTING MEDICAL CONDITIONS</t>
  </si>
  <si>
    <t>17/519353</t>
  </si>
  <si>
    <t>HENRY FORD HEALTH SYSTEM</t>
  </si>
  <si>
    <t>Klochko; Chad Louis; (Royal Oak, MI); Soliman; Steven Bishoy-Hanna; (Ann Arbor, MI)</t>
  </si>
  <si>
    <t>G06V 2201/033 20220101;  G06F 3/14 20130101;  G16H 50/30 20180101;  G06T 2207/30008 20130101;  G06T 7/0012 20130101;  G06V 10/25 20220101;  G16H 30/40 20180101</t>
  </si>
  <si>
    <t>A method of detecting the presence or absence of a particular medical     condition for a patient. The method comprises acquiring at least one     image of an area of interest of the patient's body and identifying a     first region of interest within the at least one acquired image     corresponding to a first anatomical structure of interest and a second     region of interest within the at least one acquired image corresponding     to a second anatomical structure of interest. The method further     comprises evaluating the first and second regions of interest, detecting     the presence or absence of the medical condition based on the evaluation     of the first and second regions of interest, and generating an electrical     signal indicative of the detected presence or absence of the medical     condition.</t>
  </si>
  <si>
    <t>US20220147996</t>
  </si>
  <si>
    <t>OFFLINE PAYMENT SYSTEM AND METHOD</t>
  </si>
  <si>
    <t>17/511272</t>
  </si>
  <si>
    <t>MARGO NETWORKS PVT. LTD.</t>
  </si>
  <si>
    <t>MARGO NETWORKS</t>
  </si>
  <si>
    <t>Paranjpe; Rohit; (Mumbai, IN); Bararia; Ripunjay; (Mumbai, IN)</t>
  </si>
  <si>
    <t>G06Q 20/401 20130101;  G06Q 20/389 20130101;  G06Q 20/123 20130101</t>
  </si>
  <si>
    <t>An offline payment system and method allowing a user to conduct a payment     transaction during different periods of connectivity of the various     portions of the offline payment system. The offline payment system may     include an SDK integrated into a payment application, an edge server,     cloud infrastructure and a payment system.</t>
  </si>
  <si>
    <t>US20220147972</t>
  </si>
  <si>
    <t>Economic; Prevention</t>
  </si>
  <si>
    <t>SMART MASKS FOR DATA EXCHANGE</t>
  </si>
  <si>
    <t>17/480542</t>
  </si>
  <si>
    <t>DERSHEM MICHAEL</t>
  </si>
  <si>
    <t>Dershem; Michael; (Voorhees, NJ)</t>
  </si>
  <si>
    <t>G06Q 20/3278 20130101;  A62B 18/08 20130101;  G09F 23/00 20130101;  A62B 18/084 20130101;  A62B 23/025 20130101</t>
  </si>
  <si>
    <t>Masks having embedded electronic devices to allows for contactless     payment for goods and services in an appropriate socially distanced     manner.</t>
  </si>
  <si>
    <t>US20220147750</t>
  </si>
  <si>
    <t>REAL TIME REGION OF INTEREST (ROI) DETECTION IN THERMAL FACE IMAGES BASED     ON HEURISTIC APPROACH</t>
  </si>
  <si>
    <t>17/518921</t>
  </si>
  <si>
    <t>TATA CONSULTANCY SERVICES, LTD.</t>
  </si>
  <si>
    <t>TATA CONSULTANCY</t>
  </si>
  <si>
    <t>AGARWAL; Swapna; (Kolkata, IN); SHINDE; Sujit; (Thane, IN); JAISWAL; Dibyanshu; (Kolkata, IN); GHOSE; Avik; (Kolkata, IN); KIMBAHUNE; Sanjay; (Thane, IN)</t>
  </si>
  <si>
    <t>G06V 10/462 20220101;  G06V 10/751 20220101;  G06V 10/25 20220101;  G06V 40/168 20220101</t>
  </si>
  <si>
    <t>Embodiments herein provide a method and system for real time ROI     detection in thermal face images based on a heuristic approach. The ROI     of the thermal images, once detected, is then further used to detect     temperature of a subject corresponding to the ROI. Unlike state of the     art techniques, the heuristic approach is computationally less intensive     and provides fast and accurate ROI detection even in case of occluded     faces in a crowd with a single thermal image having a plurality of     subject being scanned. The heuristics applied does not focus on face     detection but directly on point of interest detection. Once the point of     interest (ROI) is detected, it may be used for plurality of applications     such as subject tracking and the like, not limited to subject or object     temperature sensing since the method disclosed herein is easily     implementable on low power devices.</t>
  </si>
  <si>
    <t>US20220147736</t>
  </si>
  <si>
    <t>PRIVACY-PRESERVING HUMAN ACTION RECOGNITION, STORAGE, AND RETRIEVAL VIA     JOINT EDGE AND CLOUD COMPUTING</t>
  </si>
  <si>
    <t>17/522901</t>
  </si>
  <si>
    <t>ALTUMVIEW SYSTEMS INC.</t>
  </si>
  <si>
    <t>ALTUMVIEW SYSTEMS</t>
  </si>
  <si>
    <t>Chan; Chi Chung; (Burnaby, CA); Zhang; Dong; (Port Coquitlam, CA); Gao; Yu; (North Vancouver, CA); Au; Andrew Tsun-Hong; (Coquitlam, CA); DeVries; Zachary; (Langley, CA); Liang; Jie; (Coquitlam, CA)</t>
  </si>
  <si>
    <t>Various embodiments of predicting human actions are disclosed. In one     aspect, a human action prediction system first receives a sequence of     video images including at least a first person. Next, for each image in     the sequence of video image, the human action prediction system detects     the first person in the video image; and subsequently extracts a skeleton     figure of the detected first person from the detected image of the first     person, wherein the skeleton figure is composed of a set of human     keypoints of the detected first person. Next, human action prediction     system combines a sequence of extracted skeleton figures of the detected     first person from the sequence of video images to form a first skeleton     sequence of the detected first person which depicts a continuous motion     of the detected first person. The human action prediction system     subsequently transmits the first skeleton sequence of the detected first     person to a server, wherein transmitting the first skeleton sequence of     the detected first person in place of the detected images of the first     person to the server preserves the privacy of the detected first person</t>
  </si>
  <si>
    <t>US20220147703</t>
  </si>
  <si>
    <t>Data Mining</t>
  </si>
  <si>
    <t>Data Integration</t>
  </si>
  <si>
    <t>VOICE ACTIVATED CLINICAL REPORTING SYSTEMS AND METHODS THEREOF</t>
  </si>
  <si>
    <t>17/521375</t>
  </si>
  <si>
    <t>CLICKVIEW CORPORATION</t>
  </si>
  <si>
    <t>CLICKVIEW</t>
  </si>
  <si>
    <t>Martinez; David A.; (San Francisco, CA); Martinez; David K.; (San Francisco, CA)</t>
  </si>
  <si>
    <t>A method for automatically generating clinical structured reports based     on templates using voice recognition, the method implemented by a     computing device and includes applying a natural language processing     algorithm to a captured voice input from a client to identify one or more     keywords or phrases. At least one of a plurality of clinical structured     report templates are identified based on the identified one or more     keywords or phrases correlated to medical examination data points     associated with each of the templates. A clinical structured report is     automatically prepared based on the identified clinical structured report     templates without a non-voice input and without an explicit separate     voice command directed to manage a report generation operation. The     clinical structured report includes modifications to the clinical     structured report template based on the identified one or more keywords     or phrases. The clinical structured report is provided to the client.</t>
  </si>
  <si>
    <t>US20220147457</t>
  </si>
  <si>
    <t>RECONFIGURABLE CACHE HIERARCHY FRAMEWORK FOR THE STORAGE OF FPGA     BITSTREAMS</t>
  </si>
  <si>
    <t>17/095109</t>
  </si>
  <si>
    <t>Nokia</t>
  </si>
  <si>
    <t>NOKIA</t>
  </si>
  <si>
    <t>ENRICI; Andrea; (Bourg la Reine, FR); LALLET; Julien; (Lannion, FR)</t>
  </si>
  <si>
    <t>A network-based apparatus includes at least one processor and at least     one memory including computer program code. The at least one memory and     the computer program code are configured to, with the at least one     processor, cause the network apparatus to configure a cache manager     according to a cache management policy identified in a request from a     network orchestrator, the cache manager managing a cache of a multi-level     cache hierarchy, the cache storing bitstreams for configuring a     programmable device.</t>
  </si>
  <si>
    <t>US20220146508</t>
  </si>
  <si>
    <t>RAPID DIAGNOSTIC TEST</t>
  </si>
  <si>
    <t>17/518693</t>
  </si>
  <si>
    <t>DETECT, INC.</t>
  </si>
  <si>
    <t>DETECT</t>
  </si>
  <si>
    <t>Roswech; Todd; (Ivoryton, CT); Rothberg; Jonathan M.; (Miami Beach, FL); Bean; Isaac; (Colorado Springs, CO); Caravias; Monica Florence; (San Francisco, CA); Dyer; Matthew; (Spring, TX)</t>
  </si>
  <si>
    <t>B01L 2400/06 20130101;  B01L 2300/0832 20130101;  B01L 2300/0672 20130101;  B01L 3/5023 20130101;  B01L 2200/0689 20130101;  G01N 33/54388 20210801</t>
  </si>
  <si>
    <t>Provided herein, in some embodiments, are rapid diagnostic tests to     detect one or more target nucleic acid sequences (e.g., a nucleic acid     sequence of one or more pathogens). In some embodiments, the pathogens     are viral, bacterial, fungal, parasitic, or protozoan pathogens, such as     SARS-CoV-2 or an influenza virus. Further embodiments provide methods of     detecting genetic abnormalities. Diagnostic tests comprising a     sample-collecting component, one or more reagents (e.g., lysis reagents,     nucleic acid amplification reagents), and a detection component (e.g., a     component comprising a lateral flow assay strip and/or a colorimetric     assay) are provided.</t>
  </si>
  <si>
    <t>US20220146494</t>
  </si>
  <si>
    <t>REATTACHABLE SpO2 SENSOR WITH AMBIENT LIGHT ATTENUATION</t>
  </si>
  <si>
    <t>17/094322</t>
  </si>
  <si>
    <t>GE PRECISION HEALTHCARE LLC</t>
  </si>
  <si>
    <t>GE PRECISION HEALTHCARE</t>
  </si>
  <si>
    <t>Virtanen; Juha P.; (Helsinki, FI); Hellmann; Emma E.; (Espoo, FI); Pulliainen; Terho; (Helsinki, FI)</t>
  </si>
  <si>
    <t>A61B 5/6833 20130101;  A61B 5/6826 20130101;  G01N 33/4925 20130101;  A61B 5/14552 20130101</t>
  </si>
  <si>
    <t>A sensing device for acquiring data via a finger. The device includes a     wrap having a central portion with a tip wing, a first side wing, and a     second side wing each extending therefrom. The wrap has an exterior side     and an opposite finger side that faces towards the finger. An electronics     system is coupled to the wrap and has a sensor configured to acquire the     data from the finger. An adhesive is configured to adhere the sensing     device to the finger. First and second attachment portions are positioned     on finger side of the first side wing and on the exterior side of the     second side wing, respectively, where the first and second attachment     portions removably attach to each other to non-adhesively secure the wrap     around the finger.</t>
  </si>
  <si>
    <t>US20220146451</t>
  </si>
  <si>
    <t>TWO-DIMENSIONAL-MATERIAL-BASED FIELD-EFFECT TRANSISTOR FOR DETECTION OF     PATHOGENS AND METHODS FOR MANUFACTURING</t>
  </si>
  <si>
    <t>17/522421</t>
  </si>
  <si>
    <t>AUBURN UNIVERSITY</t>
  </si>
  <si>
    <t>MAHJOURI-SAMANI; MASOUD; (AUBURN, AL); HAMILTON; MICHAEL C.; (AUBURN, AL); KURODA; MARCELO; (AUBURN, AL); HASIM; SAHAR; (MACON, GA); FATHI-HAFSHEJANI; PARVIN; (AUBURN, AL)</t>
  </si>
  <si>
    <t>In at least one illustrative embodiment, a field-effect transistor     biosensor for detection of a pathogen includes a substrate and a channel     formed from a two-dimensional monolayer or few-layer metal chalcogenide     that is functionalized with a biorecognition element. The biorecognition     element may be an antibody, such as an antibody for the SARS-CoV-2 spike     protein. A method for manufacturing the biosensor includes depositing an     amorphous two-dimensional material on the substrate with pulsed laser     ablation, crystallizing the amorphous two-dimensional material to     generate a two-dimensional monolayer coupled to the substrate, and     activating a surface of the two-dimensional material with the     biorecognition element after crystallizing the amorphous two-dimensional     material. The composition of the two-dimensional material may be tuned.     The substrate may be photolithographically patterned. Other embodiments     are described and claimed.</t>
  </si>
  <si>
    <t>US20220146415</t>
  </si>
  <si>
    <t>OLFACTORY SENSOR DEVICES AND RELATED METHODS</t>
  </si>
  <si>
    <t>17/523739</t>
  </si>
  <si>
    <t>OLFATO WEARABLES LIMITED</t>
  </si>
  <si>
    <t>OLFATO WEARABLES</t>
  </si>
  <si>
    <t>Putkaradze; Vakhtang; (Calgary, CA); Vretenar; Natasa; (Calgary, CA); Hocher; Josef; (Calgary, CA); Mertens; Keith; (Oakland, CA)</t>
  </si>
  <si>
    <t>Disclosed herein are devices and related methods for identifying odorants     using a combination of light sources which enable discrimination between     different odorants and/or determination of odorant concentration. The     response of a chemical sensor to one or more odorants is observed under a     combination and/or sequence of light sources, and the resulting data is     subsequently analyzed using machine learning methods to identify one or     more odorants and/or to determine the concentration of one or more     odorants.</t>
  </si>
  <si>
    <t>US20220145501</t>
  </si>
  <si>
    <t>Underwear, and System and Method of Producing Underwear</t>
  </si>
  <si>
    <t>17/523040</t>
  </si>
  <si>
    <t>DELTA GALIL INDUSTRIES LTD.</t>
  </si>
  <si>
    <t>DELTA GALIL INDUSTRIES</t>
  </si>
  <si>
    <t>Haratz; Suzanna; (Karmiel, IL); Ben Moshe; Ester; (Kiryat Yam, IL); Attias; Tali; (Kiryat Tivon, IL); Almog; Eli; (Zurit, IL)</t>
  </si>
  <si>
    <t>A41B 9/14 20130101;  D04B 1/243 20130101;  A41B 9/04 20130101;  D10B 2501/02 20130101</t>
  </si>
  <si>
    <t>Underwear or undergarment, particularly for a female wearer. A seamless     knitted-yarn tubular blank is produced and is rotated; a front-side     partial-cut is introduced, and a rear-side partial-cut is introduced;     thereby forming two leg openings and one waist opening. Optionally, an     elastic-free lace band is seamlessly glued or bonded or attached to the     region that borders the waist opening. The underwear can be manufactured     from a single, seamless, tubular knitted-yarn blank, without leaving or     removing or discarding any fabric residues.</t>
  </si>
  <si>
    <t>US20220145405</t>
  </si>
  <si>
    <t>Detect&amp;Monitor; Testing</t>
  </si>
  <si>
    <t>USE OF POOLED SAMPLES TO OPTIMISE THE EFFICIENCY AND UTILITY OF A RAPID,     LAB-FREE POINT-OF-CARE TEST</t>
  </si>
  <si>
    <t>17/094190</t>
  </si>
  <si>
    <t>DNANUDGE LIMITED</t>
  </si>
  <si>
    <t>DNANUDGE</t>
  </si>
  <si>
    <t>TOUMAZOU; Christofer; (London, GB)</t>
  </si>
  <si>
    <t>The present invention relates to the use of pooled samples to optimise     the efficiency and utility of a rapid, lab-free point-of-care test. It is     applicable in particular, though not necessarily, to tests for     SARS-CoV-2.</t>
  </si>
  <si>
    <t>US20220145351</t>
  </si>
  <si>
    <t>Detect&amp;Monitor; Diagnosis</t>
  </si>
  <si>
    <t>METHOD FOR DETECTING INFECTIVITY OF HUMAN CORONAVIRUS</t>
  </si>
  <si>
    <t>17/520070</t>
  </si>
  <si>
    <t>Delta Electronics, Inc.</t>
  </si>
  <si>
    <t>Delta Electronics</t>
  </si>
  <si>
    <t>Zhang; Yong; (Singapore, SG); Boey; Jia Hui Esther; (Singapore, SG); Zhang; Weishi; (Singapore, SG); Long; Quanke; (Singapore, SG); Li; Jiaojiao; (Singapore, SG); Zhao; Xiaozhi; (Singapore, SG); Tsai; Kun-Nan; (Singapore, SG)</t>
  </si>
  <si>
    <t>A method for detecting infectivity of a human coronavirus is provided.     The method includes steps of: (a) dividing a testing sample into a first     sample and a second sample; (b) treating the first sample with an     intercalating dye or chemical; (c) exposing the first sample to a light     for photo-activation; (d) amplifying targeted nucleic acids in the first     sample and the second sample; and (e) determining infectivity of the     human coronavirus based on amplification results of the first sample and     the second sample.</t>
  </si>
  <si>
    <t>US20220145333</t>
  </si>
  <si>
    <t>Vaccine; Tx</t>
  </si>
  <si>
    <t>Pharma&amp;Biopharma; Platform</t>
  </si>
  <si>
    <t>IMPROVED PROCESS FOR INTEGRATION OF DNA CONSTRUCTS USING RNA-GUIDED     ENDONUCLEASES</t>
  </si>
  <si>
    <t>17/438039</t>
  </si>
  <si>
    <t>SORRENTO THERAPEUTICS, INC.</t>
  </si>
  <si>
    <t>SORRENTO THERAPEUTICS</t>
  </si>
  <si>
    <t>Ding; Beibei; (San Diego, CA); Guo; Wenzhong; (San Diego, CA); Zhang; Yanliang; (San Diego, CA)</t>
  </si>
  <si>
    <t>There is disclosed an improved, safer and commercially efficient process     for developing genetically engineered cells. More specifically, there is     disclosed a process comprises introducing a donor DNA construct, a guide     RNA, and an RNA-guided nuclease with the host cells to be transfected;     and introducing the three components into the host cell. There is further     disclosed a donor DNA construct designed for inserting a CAR (chimeric     antigen receptor) into a defined genomic site of a host cell. Further,     the present disclosure provides a host cell transfected with a CAR that     lacks viral vectors that can present a safety concern. The disclosure     provides for more efficient and more cost-effective process for     engineering T cells to express CAR constructs.</t>
  </si>
  <si>
    <t>US20220145309</t>
  </si>
  <si>
    <t>Coronavirus; Influenza; Other</t>
  </si>
  <si>
    <t>Yeast-Based Oral Vaccination</t>
  </si>
  <si>
    <t>17/612179</t>
  </si>
  <si>
    <t>ESPEROVAX INC</t>
  </si>
  <si>
    <t>ESPEROVAX</t>
  </si>
  <si>
    <t>O'Hagan; David James; (Whitmore Lake, MI); Nikam; Savita Sunil; (Canton, MI); Newton; Roger S.; (Maple City, MI)</t>
  </si>
  <si>
    <t>A61K 39/145 20130101;  A61K 2039/523 20130101;  C12N 2760/16134 20130101;  C12N 2740/16023 20130101;  C12N 15/81 20130101;  C12N 2760/16123 20130101;  A61K 39/21 20130101;  C12N 2740/16234 20130101;  A61K 2039/542 20130101</t>
  </si>
  <si>
    <t>Various recombinant yeast suitable for use in oral vaccination, vaccine     compositions, food compositions, methods of vaccinating an animal, and     related methods, kits, and nucleic acid molecules are described.</t>
  </si>
  <si>
    <t>US20220145301</t>
  </si>
  <si>
    <t>Vaccine; Tx; Management</t>
  </si>
  <si>
    <t>Coronavirus; Pharma&amp;Biopharma; Prevention</t>
  </si>
  <si>
    <t>siRNA/Nanoparticle Formulations for Treatment of Middle-East Respiratory     Syndrome Coronaviral Infection</t>
  </si>
  <si>
    <t>17/373361</t>
  </si>
  <si>
    <t>SIRNAOMICS, INC.</t>
  </si>
  <si>
    <t>SIRNAOMICS</t>
  </si>
  <si>
    <t>LU; Patrick Y.; (Gaithersburg, MD); SIMONENKO; Vera; (Gaithersburg, MD); CAI; Yibin; (Gaithersburg, MD); XU; John; (Gaithersburg, MD); EVANS; David; (Gaithersburg, MD)</t>
  </si>
  <si>
    <t>The present invention relates to compositions and methods for siRNA     therapeutics for prevention and treatment of Middle East Respiratory     Syndrome Corona Virus (MERS-CoA) infections. The compositions include a     pharmaceutical composition comprising siRNA cocktails that target viral     genes and pharmaceutically acceptable polymeric nanoparticle carriers and     liposomal nanoparticle carriers.</t>
  </si>
  <si>
    <t>US20220145290</t>
  </si>
  <si>
    <t>Substrate Sequences for the RNAi-Mediated Regulation of Genomic and     Sub-genomic Viral RNAs</t>
  </si>
  <si>
    <t>17/401139</t>
  </si>
  <si>
    <t>SPERATUM BIOPHARMA INC</t>
  </si>
  <si>
    <t>SPERATUM BIOPHARMA</t>
  </si>
  <si>
    <t>Marin-Muller; Christian Roberto; (San Jose, CR); Martinez; Osvaldo Vega; (Heredia, CR); Valverde-Hernandez; Juan Carlos; (Alajuela, CR)</t>
  </si>
  <si>
    <t>G06F 17/16 20130101;  C12N 15/11 20130101;  C12Q 1/6809 20130101;  G06F 17/40 20130101</t>
  </si>
  <si>
    <t>Provided is a method for identifying an RNAi sequence, comprising the     steps of screening for one or more 7-mers from a gRNA; selecting a first     number of the one or more 7-mers; characterizing one or more hit sites     for each of the one or more 7-mers; calculating a hit per genomic region     for each of the 7-mers; selecting a second number of the 7-mers; creating     a frequency matrix for one or more 15-mers associated to each of the     7-mers; generating one or more generated 15-mers for each of the 7-mers;     characterizing hits in the gRNA for each of the one or more generated     15-mers; calculating a summary index based on a cumulative hit frequency     and a length; and selecting the RNAi sequences based on one or more     generated features and one or more structural features.</t>
  </si>
  <si>
    <t>US20220145287</t>
  </si>
  <si>
    <t>METHODS AND COMPOSITIONS FOR NEXT GENERATION SEQUENCING (NGS) LIBRARY     PREPARATION</t>
  </si>
  <si>
    <t>17/605694</t>
  </si>
  <si>
    <t>CO-DIAGNOSTICS, INC.</t>
  </si>
  <si>
    <t>CO-DIAGNOSTICS</t>
  </si>
  <si>
    <t>MONTGOMERY; Jesse L.; (South Centerville, UT)</t>
  </si>
  <si>
    <t>C12N 15/1065 20130101;  C12Q 1/6806 20130101;  C12Q 1/6876 20130101;  C12Q 1/6855 20130101</t>
  </si>
  <si>
    <t>Disclosed herein are primer/adapter sequences, wherein each of the     primer/adapter sequences comprise a region that hybridizes with a target     nucleic acid sequence, as well as an adapter sequence that does not     hybridize with the target nucleic acid sequence. Also disclosed are     methods of using these primer/adapter sequences to amplify and sequence     target nucleic acid sequences in a sample.</t>
  </si>
  <si>
    <t>US20220145236</t>
  </si>
  <si>
    <t>SPECIMEN COLLECTION FOR MICROBIAL BURDEN CLASSIFICATION AND SPECIMEN     TRANSPORTATION TO LAB FOR REPORTING DIRECT-FROM-SPECIMEN ID AND AST</t>
  </si>
  <si>
    <t>17/524568</t>
  </si>
  <si>
    <t>GENEFLUIDICS, INC.</t>
  </si>
  <si>
    <t>GENEFLUIDICS</t>
  </si>
  <si>
    <t>Gau; Vincent; (Irwindale, CA); Tomasek; Michael; (Huntington Beach, CA); Chen; Jade; (Diamond Bar, CA); Kung; Amelia; (Irwindale, CA)</t>
  </si>
  <si>
    <t>The disclosure relates to methods and systems for biological assays and     assay transport systems.</t>
  </si>
  <si>
    <t>US20220145059</t>
  </si>
  <si>
    <t>Devices; Pharma&amp;Biopharma</t>
  </si>
  <si>
    <t>THERMOPLASTIC POLYMER COMPOSITION FOR MICRO 3D PRINTING AND USES THEREOF</t>
  </si>
  <si>
    <t>17/520303</t>
  </si>
  <si>
    <t>WU, Qinghua; ZHAO, Yimu; RADISIC, Milica</t>
  </si>
  <si>
    <t>QINGHUA</t>
  </si>
  <si>
    <t>WU; Qinghua; (Toronto, CA); ZHAO; Yimu; (Mississauga, CA); RADISIC; Milica; (Toronto, CA)</t>
  </si>
  <si>
    <t>A composition for extrusion and deposition by a three-dimensional (3D)     printer is provided. The composition comprises a thermoplastic elastomer     (TPE), particulate matter having particles in the range of about 5 nm to     about 10 .mu.m in diameter, and a solvent. Uses of the composition for 3D     printing microstructures, including multiwall plate devices, are also     provided.</t>
  </si>
  <si>
    <t>US20220144939</t>
  </si>
  <si>
    <t>ANTIBODY THERAPIES AND METHODS FOR TREATING CORONAVIRUS INFECTION</t>
  </si>
  <si>
    <t>17/501050</t>
  </si>
  <si>
    <t>THE TRUSTEES OF BOSTON UNIVERSITY, A MASSACHUSETTS CORPORATION,</t>
  </si>
  <si>
    <t>TRUSTEES BOSTON UNIVERSITY</t>
  </si>
  <si>
    <t>RUIZ-OPAZO; Nelson; (WESTWOOD, MA); HERRERA; Victoria; (WESTWOOD, MA)</t>
  </si>
  <si>
    <t>Described herein are methods of treating COVID19 from a coronavirus     infection, methods of treating a subject having a coronavirus infection,     methods of improving a survival rate of a subject having a coronavirus     infection, methods of determining prognosis of a subject having a     coronavirus infection, methods of preventing or treating     organ-dysfunction or multi-organ dysfunction or failure associated with a     coronavirus infection, methods of combinational therapy for a subject     having a coronavirus infection, methods of reducing microthrombi     formation or low flow organ-ischemia associated with a coronavirus     infection by administering a DEspR inhibitor.</t>
  </si>
  <si>
    <t>US20220144891</t>
  </si>
  <si>
    <t>SYNTHETIC PEPTIDE BRAP AND APPLICATION IN PREPARATION OF ANTI-INFLAMMATORY     DRUG FOR COVID-19 THEREOF</t>
  </si>
  <si>
    <t>17/310121</t>
  </si>
  <si>
    <t>TAIAN CITY QIHANG BIOTECHNOLOGY CO.</t>
  </si>
  <si>
    <t>TAIAN CITY QIHANG BIOTECHNOLOGY</t>
  </si>
  <si>
    <t>ZHANG; Wanqin; (Feicheng, Taian, Shandong, CN); LI; Yintian; (Feicheng, Taian, Shandong, CN); JI; Xuewen; (Feicheng, Taian, Shandong, CN); ZHAO; Limei; (Feicheng, Taian, Shandong, CN)</t>
  </si>
  <si>
    <t>A synthetic peptide brap can be used in preparing an anti-inflammatory     drug for COVID-19. The amino acid sequence of the synthetic peptide brap     is as shown in SEQ ID No. 1. The synthetic peptide brap has significant     target-docking and inhibiting effects on G-protein-coupled bradykinin B1     and B2 receptors; the intranasal administration of brap has local effects     on allergic nasal inflammation, and has systemic pharmacodynamic effect     on pulmonary leakage, lung injury and LPS-induced cytokine storm. The     intravenous injection of brap has an obvious inhibiting effect on the     excessive inflammation, oxidative stress response and serious lung injury     emerging in LPS-induced mice; and has an obvious inhibiting effect on the     excessive release of proinflammatory factors IL-6 and TNF-.alpha.,     overexpression of IL-6 mRNA, and massive generation of reactive oxygen     species (ROS) in the LPS-induced inflammatory factor storm.</t>
  </si>
  <si>
    <t>US20220144876</t>
  </si>
  <si>
    <t>Deuterium-Stabilised Ribonucleic Acid (RNA) Molecules Displaying Increased     Resistance to Thermal and Enzymatic Hydrolysis, Aqueous Compositions     Comprising Stabilised RNA Molecules and Methods for Making Same</t>
  </si>
  <si>
    <t>17/522946</t>
  </si>
  <si>
    <t>DEUTRAMED SOLUTIONS LTD</t>
  </si>
  <si>
    <t>DEUTRAMED SOLUTIONS</t>
  </si>
  <si>
    <t>Gris; Pavel; (Collingwood, CA); Farmilo; Alfred James; (Belleville, CA)</t>
  </si>
  <si>
    <t>The invention relates to the field of RNA stabilisation, and more     particularly to the use of deuterium oxide (D.sub.2O) during storage     and/or synthesis of RNA molecules. Described herein are     deuterium-stabilised ribonucleic acid (RNA) molecules that display an     increased resistance to thermal and enzymatic hydrolysis. Also described     are aqueous compositions comprising stabilized RNA molecules and methods     for making same. The invention is particularly useful for in the     manufacture of RNA-based therapeutics, such as mRNA vaccines, to render     them less sensitive to temperature fluctuations.</t>
  </si>
  <si>
    <t>US20220144866</t>
  </si>
  <si>
    <t>Crystalline Form of Remdesivir</t>
  </si>
  <si>
    <t>17/601493</t>
  </si>
  <si>
    <t>APOTEX INC.</t>
  </si>
  <si>
    <t>APOTEX</t>
  </si>
  <si>
    <t>Souza; Fabio E. S.; (Mississauga, CA); Stirk; Alexander J.; (Cambridge, CA); Rey; Allan W.; (Brantford, CA)</t>
  </si>
  <si>
    <t>The present invention provides a novel crystalline form of remdesivir,     remdesivir Form APO-I, including remdesivir and dimethyl sulfoxide,     compositions and processes for the preparation thereof, the use of this     crystalline form in the treatment of a viral infection, and methods of     treating viral infections using the same, and in particular, a viral     infection caused by</t>
  </si>
  <si>
    <t>US20220144675</t>
  </si>
  <si>
    <t>COMBINED VOC MITIGATING AND ANTIMICROBIAL SYSTEMS</t>
  </si>
  <si>
    <t>17/579558</t>
  </si>
  <si>
    <t>Roeder, Jeffrey F.; James, Trevor E.; Petruska, Melissa A.; Van Burkirk, Peter C.; Henderson, III, Robert T.</t>
  </si>
  <si>
    <t>ROEDER JEFFREY</t>
  </si>
  <si>
    <t>Roeder; Jeffrey F.; (Brookfield, CT); James; Trevor E.; (Plantsville, CT); Petruska; Melissa A.; (Newtown, CT); Van Burkirk; Peter C.; (Newtown, CT); Henderson, III; Robert T.; (New Milford, CT)</t>
  </si>
  <si>
    <t>C02F 1/725 20130101;  C02F 2101/322 20130101;  C02F 2305/10 20130101;  C02F 2209/003 20130101;  C02F 2305/02 20130101</t>
  </si>
  <si>
    <t>Fluid purification systems employing a monolithic composite photocatalyst     to remove volatile organic compounds (VOCs) and/or pathogenic organisms     are disclosed. Pairing of systems tuned to abate each of these materials     are discussed in different configurations such as series and parallel, as     well as combining systems to target both materials simultaneously. System     configurations that allow a portion of the fluid stream to be purified     are also disclosed as are configurations that allow regeneration of the     photocatalyst. These features may be augmented by sensors that allow     closed loop control of bypass and regeneration cycles in the systems.</t>
  </si>
  <si>
    <t>US20220144427</t>
  </si>
  <si>
    <t>METHODS AND APPARATUS FOR AUTOMATIC DRONE RESUPPLY OF A PRODUCT TO AN     INDIVIDUAL BASED ON GPS LOCATION, WITHOUT HUMAN INTERVENTION</t>
  </si>
  <si>
    <t>17/473507</t>
  </si>
  <si>
    <t>DRONEUP, LLC</t>
  </si>
  <si>
    <t>DRONEUP</t>
  </si>
  <si>
    <t>VERNON; John; (Virginia Beach, VA); NABOICHENKO; Oleksii; (Chesapeake, VA)</t>
  </si>
  <si>
    <t>B64C 2201/145 20130101;  B64C 2201/128 20130101;  B64C 39/024 20130101;  B64C 2201/126 20130101</t>
  </si>
  <si>
    <t>A processor-implemented method includes receiving, at a processor, from a     transceiver and without human intervention, location data associated with     a target. The processor receives, from the transceiver, product data for     a resupply request referencing the target, the product data including at     least one of a product type or a product quantity. The processor     generates, without human intervention, unmanned autonomous vehicle (UAV)     mission data based on the location data and the product data, the UAV     mission data including a representation of at least one UAV and flight     path data for the at least one UAV. The UAV mission data is caused to     transmit to at least one UAV controller to cause the at least one UAV     controller to initiate navigation of the at least one UAV according to     the UAV mission data.</t>
  </si>
  <si>
    <t>US20220144038</t>
  </si>
  <si>
    <t>SYSTEMS AND METHODS USEFUL FOR AIR TREATMENT IN A VEHICLE</t>
  </si>
  <si>
    <t>17/492167</t>
  </si>
  <si>
    <t>LUMIN-AIR, LLC</t>
  </si>
  <si>
    <t>LUMIN-AIR</t>
  </si>
  <si>
    <t>Fillenwarth; Daniel P.; (Madeira Beach, FL)</t>
  </si>
  <si>
    <t>Described are vehicles having viral inactivation and/or air filtration     systems, kits and methods for retrofitting vehicles for viral     inactivation and/or filtration of air within a passenger compartment of     the vehicles, and methods for viral inactivation and/or filtration of air     within passenger compartments of vehicles. The vehicles can be mass     transit vehicles such as busses and the viral inactivation and/or     filtration systems can include viral inactivation elements such as UV     lamps and/or electrostatic filtration apparatuses mounted within a     housing or frame mounted or mountable to a wall of the vehicles.</t>
  </si>
  <si>
    <t>US20220143598</t>
  </si>
  <si>
    <t>Kit, Apparatus and Method for a Portable Nucleic Acid Assay</t>
  </si>
  <si>
    <t>17/520705</t>
  </si>
  <si>
    <t>HASU DIAGNOSTICS</t>
  </si>
  <si>
    <t>Patel; Alpesh; (Marlow, GB)</t>
  </si>
  <si>
    <t>The self-contained kit comprises methods for receiving and preparing the     biological samples for the nucleic acid amplification and sensing the     presence of the target assay. The kit consists of a self-heating pack to     provide the heat for nucleic acid sample preparation and amplification     processes. The change of the amplification is indicated through     colorimetric or turbidity sensing and detected through a mobile phone     camera and associated mobile application for photographic scanning of     physical or chemical differences of the samples to produce the test     results.</t>
  </si>
  <si>
    <t>US20220143538</t>
  </si>
  <si>
    <t>Management; Tx</t>
  </si>
  <si>
    <t>Devices; Prevention</t>
  </si>
  <si>
    <t>FILTRATION SYSTEM AND METHOD OF USE THEREOF</t>
  </si>
  <si>
    <t>17/503146</t>
  </si>
  <si>
    <t>ENGINEERED MAT INC</t>
  </si>
  <si>
    <t>ENGINEERED MAT</t>
  </si>
  <si>
    <t>Donaldson; Keith W.; (Buffalo Grove, IL); Kroekel; Frank P.; (Bad Hersfeld, DE)</t>
  </si>
  <si>
    <t>B01D 2239/065 20130101;  B01D 2275/10 20130101;  A01N 59/20 20130101;  B01D 46/10 20130101;  B01D 2257/91 20130101;  A62B 23/00 20130101;  B01D 39/1607 20130101;  B01D 2239/0478 20130101</t>
  </si>
  <si>
    <t>Method and systems for filtration of harmful particles are disclosed     herein. In one embodiment, a method for making a filtration system for     use with a facial covering includes producing a liquid polymerized copper     substate, creating a barrier layer by coating a filter media with the     liquid copper substrate to coat the filter media with polymerized copper,     and binding the barrier layer between two textile layers, wherein each of     the two textile layers provides a tortuous path for particles to pass. A     filtration system includes a barrier layer including a filter media     coated with particulate copper and a polymer.</t>
  </si>
  <si>
    <t>US20220143460</t>
  </si>
  <si>
    <t>METHOD AND SYSTEM FOR DYNAMICALLY TRANSFORMING USER HEALTH AND     EXERCISE-RELATED DATA INTO VISUAL, AUDIO, TEXTUAL, AND PHYSICAL DATA     REPRESENTATIONS</t>
  </si>
  <si>
    <t>17/354415</t>
  </si>
  <si>
    <t>WILLOWVIEW CONSULTING, LLC</t>
  </si>
  <si>
    <t>WILLOWVIEW CONSULTING</t>
  </si>
  <si>
    <t>Lewis; Layne Ellen; (Eagle, ID); Morris; Nick; (Redondo Beach, CA); Shaver; James; (Boise, ID); Walker; Robert Holloman; (Deltaville, VA)</t>
  </si>
  <si>
    <t>A63B 2024/0065 20130101;  A63B 24/0062 20130101;  A63B 2024/0068 20130101;  A63B 71/0622 20130101;  A63B 24/0006 20130101;  A63B 2024/0009 20130101;  A63B 24/0075 20130101;  A63B 2024/0081 20130101;  G06N 7/00 20130101</t>
  </si>
  <si>
    <t>Various technological methods are utilized to collect user health and     exercise-related data from one or more users of an application and the     collected user data and user activity data is utilized to generate     visual, audio, textual, and/or physical data representations, which may     be provided to the one or more users either dynamically in real-time     during an activity, such as a physical exercise activity, or may be     provided to the one or more users after the completion of one or more     activities.</t>
  </si>
  <si>
    <t>US20220143434</t>
  </si>
  <si>
    <t>Multilayer Face-Covering</t>
  </si>
  <si>
    <t>17/525430</t>
  </si>
  <si>
    <t>Milwaukee Electric Tool Corp.</t>
  </si>
  <si>
    <t>MILWAUKEE ELECTRIC TOOL CORPORATION</t>
  </si>
  <si>
    <t>Roesser; Collin D.; (Milwaukee, WI); Troedson; Emelie E.; (New Berlin, WI)</t>
  </si>
  <si>
    <t>A multilayered face-covering is provided with at least two layers and     joined with a centrally located merge stitch or nose seam. The outer is a     thicker knitted cloth material with a higher thread-weight and/or     thread-count than the inner layer to create an increased stiffness on the     outer layer that resists compressive buckling. The inner layer is     lightweight and provides a comfortable cushion against the user's skin.     Face-covering can also include a intermediate layer sandwiched between     inner and outer layers. The intermediate layer provides additional     filtering of inhaled and/or exhaled particles and enhances the outer     layer's rigidity.</t>
  </si>
  <si>
    <t>US20220143429</t>
  </si>
  <si>
    <t>Face Shield Assembly with Positive Pressure Airflow</t>
  </si>
  <si>
    <t>17/484797</t>
  </si>
  <si>
    <t>Chea, Pengsuorn Thomas</t>
  </si>
  <si>
    <t>CHEA PENGSUORN</t>
  </si>
  <si>
    <t>Chea; Pengsuorn Thomas; (Fontana, CA)</t>
  </si>
  <si>
    <t>A face shield assembly with positive pressure airflow comprises a head     band, a transparent face shield, a foam spacer, and at least one airflow     supply unit providing a positive pressure airflow. The head band attaches     the face shield outward and the foam spacer inward. The airflow supply     unit has hose(s) to connect the holes distributed in the foam spacer,     consequently bring forth airflow on the front of the user's face to     prevent the droplets and particles from being inhaled into the user's     nose and mouth.</t>
  </si>
  <si>
    <t>US20220143353</t>
  </si>
  <si>
    <t>Prevention; Sanitation</t>
  </si>
  <si>
    <t>MECHANICAL VENTILATOR WITH OXYGEN CONCENTRATOR</t>
  </si>
  <si>
    <t>17/583847</t>
  </si>
  <si>
    <t>ARES MEDICAL, INC.</t>
  </si>
  <si>
    <t>ARES MEDICAL</t>
  </si>
  <si>
    <t>Oddo; Nicholas Leonard; (Hilton Head Island, SC); Woody; Shane; (Mooresville, NC); Josey; Chad; (Mooresville, NC); Moore; Dylan; (Mooresville, NC)</t>
  </si>
  <si>
    <t>A61M 16/201 20140204;  A61M 2016/003 20130101;  A61M 16/0069 20140204;  A61M 2016/1025 20130101;  A61M 16/0003 20140204;  A61M 2025/0002 20130101;  A61M 2016/0027 20130101;  A61M 16/101 20140204;  A61M 5/48 20130101;  Y10S 425/106 20130101;  F04D 9/047 20130101;  A61M 16/12 20130101;  F01L 1/00 20130101;  A61M 16/022 20170801</t>
  </si>
  <si>
    <t>A ventilator, including an enclosure; a tubing configured to receive an     input gas; a flow outlet airline in fluid communication with the tubing,     wherein the flow outlet airline includes an airline outlet, and the flow     outlet airline is configured to supply an output gas to a user via the     airline outlet; a breath detection airline including an airline inlet,     wherein the airline inlet is separated from the airline outlet of the     flow outlet airline, and the breath detection airline is configured to     receive breathing gas from the user during exhalation by the user via the     airline inlet; a pressure sensor in direct fluid communication with the     breath detection airline, wherein the pressure sensor is configured to     measure breathing pressure from the user, and the pressure sensor is     configured to generate sensor data indicative of breathing by the user.</t>
  </si>
  <si>
    <t>US20220143345</t>
  </si>
  <si>
    <t>FACIAL MASK APPARATUS WITH REMOVABLE FILTER</t>
  </si>
  <si>
    <t>17/586291</t>
  </si>
  <si>
    <t>Davis, Lucy Carol</t>
  </si>
  <si>
    <t>DAVIS LUCY</t>
  </si>
  <si>
    <t>Davis; Lucy Carol; (Chapel Hill, NC)</t>
  </si>
  <si>
    <t>A61M 16/0616 20140204;  A61M 2016/0661 20130101;  A62B 18/02 20130101;  A61B 5/4818 20130101;  A61M 16/06 20130101;  A61M 16/0644 20140204;  A61M 2202/0225 20130101;  A61M 16/0683 20130101;  A61M 2207/00 20130101</t>
  </si>
  <si>
    <t>A face mask for extended wear by a user including a customized, contoured     facial mask portion constructed and configured to cover and matingly     contact a corresponding contoured surface area of a human face,     preferably formed by 3D printing methods and materials. The face mask     includes strap attachments and at least one strap for securing the     customized, contoured facial mask portion to the face. The face mask     includes at least one replaceable air filter for filtering out viral or     bacterial pathogens.</t>
  </si>
  <si>
    <t>US20220143344</t>
  </si>
  <si>
    <t>RESPIRATOR DEVICES WITH SOURCE CONTROL MECHANISMS AND ASSOCIATED SYSTEMS     AND METHODS</t>
  </si>
  <si>
    <t>17/445423</t>
  </si>
  <si>
    <t>O2-O2, INC.</t>
  </si>
  <si>
    <t>O2-O2</t>
  </si>
  <si>
    <t>Mauger; Jeremy Mark; (Auckland, NZ)</t>
  </si>
  <si>
    <t>The present technology relates to respirator devices including source     control features. In some embodiments, a source control mask device can     include a shield that substantially covers the mouth and nose of a user     and a mechanism that can actively extract air as it is exhaled by the     user. The extracted exhaled air can then be sanitized before the mask     device discharges it into the atmosphere. The mask device may selectively     form a seal to the user's face dependent on air flow conditions.</t>
  </si>
  <si>
    <t>US20220143292</t>
  </si>
  <si>
    <t>Antibodies; Devices</t>
  </si>
  <si>
    <t>TREATING COVID-19 UTILIZING EXTRACORPOREAL RADIOFREQUENCY</t>
  </si>
  <si>
    <t>17/520171</t>
  </si>
  <si>
    <t>MARV ENTERPRISES LLC</t>
  </si>
  <si>
    <t>MARV</t>
  </si>
  <si>
    <t>Felder; Mitchell S.; (Hermitage, PA)</t>
  </si>
  <si>
    <t>A61M 2202/0413 20130101;  A61M 2202/206 20130101;  A61M 1/3687 20130101;  A61M 1/369 20130101;  A61K 39/42 20130101;  A61M 2202/0464 20130101;  A61K 41/0038 20130101;  A61M 1/3681 20130101</t>
  </si>
  <si>
    <t>An embodiment provides a method for treating a body fluid of a patient     with Covid-19, including: removing the body fluid from a patient, wherein     the body fluid comprises a Covid-19 targeted pathogenic antigen (TPA);     applying a treatment to the body fluid, wherein the treatment comprises     an antibody that joins with the Covid-19 targeted pathogenic antigen in     the body fluid to form an antibody-TPA complex, wherein the antibody     comprises a radiofrequency absorption enhancer forming an antibody-radio     frequency enhancing moiety-virion complex (ARFVC); removing the ARFVC     from the body fluid using a radiofrequency source; and returning the body     fluid to the patient. Other aspects are described and claimed.</t>
  </si>
  <si>
    <t>US20220143287</t>
  </si>
  <si>
    <t>Tx; Management</t>
  </si>
  <si>
    <t>Devices; General</t>
  </si>
  <si>
    <t>System and Method for Facilitating Extracorporeal Inactivation of     Pathogens of Blood Products</t>
  </si>
  <si>
    <t>17/470371</t>
  </si>
  <si>
    <t>ZARATE ALFREDO R</t>
  </si>
  <si>
    <t>ZARATE ALFREDO</t>
  </si>
  <si>
    <t>Zarate; Alfredo R.; (Bethesda, MD)</t>
  </si>
  <si>
    <t>A61M 1/3472 20130101;  A61M 2205/3592 20130101;  A61M 1/369 20130101;  A61M 2205/3368 20130101;  A61M 1/3496 20130101;  A61M 2205/3606 20130101</t>
  </si>
  <si>
    <t>A system and a method facilitate the extracorporeal inactivation of     pathogens of blood products. The system includes an input peristaltic     pump, at least one apheresis device, at least one plasma-treating system,     and an output peristaltic pump. The input peristaltic pump, the apheresis     device, the plasma-treating system, and the output peristaltic pump are     in fluid communication with each other. The plasma-treating system     includes at least one primary ultraviolet light (UVL) device, at least     one heating device, and at least one cooling device. The input     peristaltic pump facilitates the flow of blood from a patient through the     system. The apheresis device facilitates separating of plasma from one or     more blood cells. The plasma-treating system heats the plasma,     inactivates pathogens within the plasma, and then cools the plasma. The     output peristaltic pump facilitates the flow of blood from the system and     back to the patient.</t>
  </si>
  <si>
    <t>US20220143260</t>
  </si>
  <si>
    <t>ULTRA-VIOLET LED DEVICE FOR DISINFECTING ROOM AIR</t>
  </si>
  <si>
    <t>17/523178</t>
  </si>
  <si>
    <t>DYNAMIS ENERGY, LLC</t>
  </si>
  <si>
    <t>DYNAMIS ENERGY</t>
  </si>
  <si>
    <t>Newbold, III; Richard C.; (Philadelphia, PA); Abbott; Robert W.; (Boise, ID)</t>
  </si>
  <si>
    <t>A61L 9/20 20130101;  A61L 2209/12 20130101</t>
  </si>
  <si>
    <t>An air disinfecting system for use in an enclosed space is disclosed. The     system includes an air chamber having an inlet end and an outlet end, a     check valve at the inlet end, an LED array comprising at least one UVC     LED light within the air chamber, a fan to move air through the air     chamber, and a controller to control operation of the at least one UVC     LED light and the one fan.</t>
  </si>
  <si>
    <t>US20220143258</t>
  </si>
  <si>
    <t>MODULAR CONTAMINATE CAPTURE AND STERILIZATION APPARATUS AND METHOD</t>
  </si>
  <si>
    <t>17/096518</t>
  </si>
  <si>
    <t>Khanh Ngoc Tran</t>
  </si>
  <si>
    <t>KHANH NGOC TRAN</t>
  </si>
  <si>
    <t>Tran; Khanh Ngoc; (Austin, TX)</t>
  </si>
  <si>
    <t>An apparatus and method are provided for capturing and sterilizing     contaminants, such as viruses and the like. Air containing the     contaminants is drawn into the apparatus that comprises a housing having     a customized number and arrangement of dissimilar treatment chambers to     remove a particular contaminate targeted for removal. The treatment     chambers are selected from a group of pre manufactured, self-contained     chambers that are singularly or in combination inserted into the housing     and within an air flow path created by a fan. The group of treatment     chambers include a UV chamber, a temperature chamber and an ozone     converter chamber. The customized arrangement of treatment chambers are     each placed in the air flow path and programmed to provide customized     sterilization of any type of contaminate while persons are present in the     space being treated.</t>
  </si>
  <si>
    <t>US20220143255</t>
  </si>
  <si>
    <t>CHEMOSENSORY DISORDER TRIGGER AND MANAGEMENT SYSTEM</t>
  </si>
  <si>
    <t>17/481638</t>
  </si>
  <si>
    <t>AVRIO GENETICS LLC, FORMERLY PROCREATIVE LLC</t>
  </si>
  <si>
    <t>AVRIO GENETICS</t>
  </si>
  <si>
    <t>Buckler; George; (Phoenix, AZ); Pulitzer; Jovan Hutton; (Frisco, TX); Strader; James; (Austin, TX); Hensinger; Brandon; (Allentown, PA)</t>
  </si>
  <si>
    <t>A61B 5/4005 20130101;  A61L 9/04 20130101;  A45D 40/0087 20130101;  G16H 10/00 20180101;  A61L 9/125 20130101;  A45D 34/02 20130101;  A61L 9/14 20130101;  A61B 5/4011 20130101</t>
  </si>
  <si>
    <t>An apparatus for performing chemosensory disorder testing includes an     application for installation on a mobile computing device. The     application includes a set of instructions to receive a scanning signal     from a scanner communicating with the mobile computing device, the     scanning signal including a unique identifier. The application next     identifies a predetermined scent responsive to the scanning signal. The     application generates multiple choice display for display on a display     screen associated with the mobile computing device, the multiple-choice     display includes an indication associated with the identified     predetermined scent and at least one indication associated with another     scent. The application receives a test response input from the display     screen responsive to an input from a test subject attempting to detect     the predetermined scent.</t>
  </si>
  <si>
    <t>US20220143245</t>
  </si>
  <si>
    <t>SANITIZING CABINET</t>
  </si>
  <si>
    <t>17/244553</t>
  </si>
  <si>
    <t>TRUE MANUFACTURING COMPANY, INC.</t>
  </si>
  <si>
    <t>TRUE MANUFACTURING</t>
  </si>
  <si>
    <t>Knatt; Kevin; (St. Louis, MO); Friend; John; (O'Fallon, MO); Hartman; Edward; (O'Fallon, MO); Trulaske; Steven; (O'Fallon, MO)</t>
  </si>
  <si>
    <t>A sanitizing cabinet system includes ozone distribution passaging in open     fluid communication with a sanitizing compartment inside a cabinet. An     ozone generator and a sanitizing air mover are located in the ozone     distribution passaging. The sanitizing air mover moves air from the     sanitizing compartment across the generator to form ozonated air and     moves the ozonated air from the ozone distribution passaging into the     sanitizing compartment. A control system controls the ozone generator and     air mover based on feedback from an ozone sensor indicating ozone     exposure over time. An ozone conversion device is mounted on a dividing     wall of the cabinet outside the sanitizing compartment. The dividing wall     has inlet and outlet holes, and the ozone conversion device has upstream     and downstream chambers in communication with the inlet and outlet holes.     Selectively openable dampers separate upstream and downstream chambers     from an ozone conversion chamber in which ozone conversion catalyst is     received.</t>
  </si>
  <si>
    <t>US20220143240</t>
  </si>
  <si>
    <t>Systems and Methods Related to Ultraviolet Sanitization</t>
  </si>
  <si>
    <t>17/523586</t>
  </si>
  <si>
    <t>PDC FACILITIES, INC.</t>
  </si>
  <si>
    <t>PDC FACILITIES</t>
  </si>
  <si>
    <t>Murphy; Matthew; (Mukwonago, WI); Maslowski; James P.; (Wauwatosa, WI)</t>
  </si>
  <si>
    <t>F21V 5/04 20130101;  A61L 2/10 20130101;  F21V 29/70 20150115;  F21V 29/503 20150115;  F21Y 2115/10 20160801</t>
  </si>
  <si>
    <t>A sanitization system includes a plurality of light distribution hubs     spaced along a longitudinal frame. Each hub includes a plurality of light     emitting modules (e.g., LED chip-on-board) configured to deliver a     predetermined type of light (e.g, UVC) to a target surface for a variable     or predetermined amount of time at a variable or predetermined intensity     to at least partially disinfect and/or sanitize the target surface. The     target surface may be an interior surface of a medical imaging device,     such as an inwardly facing bore surface and/or patient support surface of     an MRI or CT scanner.</t>
  </si>
  <si>
    <t>US20220143172</t>
  </si>
  <si>
    <t>IMMUNE COMPOSITION COMPRISING ANTIGEN AND GLYCOENGINEERED ANTIBODY THEREOF</t>
  </si>
  <si>
    <t>17/453826</t>
  </si>
  <si>
    <t>CHO PHARMA INC.</t>
  </si>
  <si>
    <t>CHO PHARMA</t>
  </si>
  <si>
    <t>WU; Chung-Yi; (New Taipei City, TW); CHEN; Chien-Yu; (Taipei City, TW); LI; Ju-Mei; (Taipei City, TW); CHU; Kuo-Ching; (Taipei City, TW)</t>
  </si>
  <si>
    <t>The present disclosure relates to a composition for inducing immune     response comprising a glycoengineered antibody or antigen-binding     fragment thereof that is specific for an antigen portion having a     receptor binding domain (RBD) of a surface protein of a virus. The     present disclosure also relates to an immune combination and a method for     treating an infection by a virus.</t>
  </si>
  <si>
    <t>US20220143123</t>
  </si>
  <si>
    <t>Pharma&amp;Biopharma; Prevention</t>
  </si>
  <si>
    <t>Prevention of Pathological Coagulation in COVID-19 and other Inflammatory     Conditions</t>
  </si>
  <si>
    <t>17/473741</t>
  </si>
  <si>
    <t>THERAPEUTIC SOLUTIONS INTERNATIONAL, INC.</t>
  </si>
  <si>
    <t>THERAPEUTIC SOLUTIONS</t>
  </si>
  <si>
    <t>Ichim; Thomas E.; (Oceanside, CA); Veltmeyer; James; (Oceanside, CA); Dixon; Timothy G.; (Oceanside, CA)</t>
  </si>
  <si>
    <t>A61K 36/45 20130101;  A61K 31/26 20130101;  A61K 31/09 20130101;  A61K 36/82 20130101;  A61K 31/353 20130101;  A61K 31/122 20130101;  A61P 37/06 20180101;  A61K 36/71 20130101;  A61K 36/31 20130101</t>
  </si>
  <si>
    <t>The invention is directed to the utilization of pterostilbene, and/or     nigella sativa extract, and/or sulforaphane, and/or Epigallocatechin     gallate (EGCG) alone or in combination, for the prevention of     pathological coagulation. In on embodiment a composition containing all     four ingredients is administered to a patient at risk of hypercoagulation     in order to prevent aberrant expression of pro-coagulation molecules     and/or induce expression of molecules known to suppress coagulation. In     one embodiment the invention teaches administration of pterostilbene,     thymoquinone, sulforaphane, and EGCG as a means of decreasing expression     of tissue factor.</t>
  </si>
  <si>
    <t>US20220143121</t>
  </si>
  <si>
    <t>THERAPEUTIC TREATMENT FOR THE CORONAVIRUS DISEASE COVID-19</t>
  </si>
  <si>
    <t>17/602234</t>
  </si>
  <si>
    <t>Mollick, Peter Joseph</t>
  </si>
  <si>
    <t>MOLLICK PETER</t>
  </si>
  <si>
    <t>Mollick; Peter Joseph; (Phoenix, AZ)</t>
  </si>
  <si>
    <t>A therapeutic treatment for the treatment of COVID-19 disease, the     treatment to be initiated soon after and preferably within approximately     twenty four hours after the patient develops the first signs of symptoms     comprising but not limited to individually or in combination thereof     fever, headache, sore joints, cough, fatigue, chills. The treatment     consists of the oral administration of the herb thyme, also know as     common thyme (Thymus vulgaris). The treatment is thought to inhibit the     replication and activity of the virus allowing the patient to regain     normal health and assist in developing immunity to the virus. The     treatment is not known to completely eliminate the virus from the patient     therefore resulting in the patient possibly developing the same or     different symptoms of the disease a second, or more times requiring     additional treatments of the disclosed thyme therapeutic treatment.</t>
  </si>
  <si>
    <t>US20220143093</t>
  </si>
  <si>
    <t>GENETICALLY ENGINEERED CORONAVIRUS-SPECIFIC EFFECTOR CELLS FOR IN SITU     SYNTHESIS OF ANTIVIRAL PROTEINS</t>
  </si>
  <si>
    <t>17/586749</t>
  </si>
  <si>
    <t>SRI INTERNATIONAL, A CORP. OF CA.</t>
  </si>
  <si>
    <t>SRI INTERNATIONAL</t>
  </si>
  <si>
    <t>BHATNAGAR; Parijat; (Belmont, CA); SSEMADAALI; Marvin A.; (Menlo Park, CA)</t>
  </si>
  <si>
    <t>An example genetically engineered effector cell comprises an exogenous     polynucleotide sequence that includes a receptor element, an actuator     element, and an effector element. The receptor element encodes a chimeric     antigen receptor (CAR) comprising an extracellular antigen binding domain     operably linked to a transmembrane domain, and an intracellular signaling     domain, wherein the extracellular antigen binding domain recognizes an     antigen on a surface of a Severe Acute Respiratory Syndrome Coronavirus 2     (SARS-CoV-2)-infected cell. The actuator element encodes a transcription     factor binding site that upregulates synthesis of an antiviral protein.     The effector element encodes the antiviral protein operably linked to a     signal peptide, wherein, in response to the antigen binding domain of the     CAR binding to the antigen of SARS-CoV-2-infected cell, the engineered     effector cell is configured to activate and, to synthesize and secrete     the antiviral protein.</t>
  </si>
  <si>
    <t>US20220143081</t>
  </si>
  <si>
    <t>Coronavirus; Platform</t>
  </si>
  <si>
    <t>SYSTEM AND METHOD OF TREATING INFLAMMATORY LUNG DISEASES</t>
  </si>
  <si>
    <t>17/523105</t>
  </si>
  <si>
    <t>Ah Ching, JR., Otto M.</t>
  </si>
  <si>
    <t>CHING</t>
  </si>
  <si>
    <t>Ah Ching, JR.; Otto M.; (Greer, SC)</t>
  </si>
  <si>
    <t>TCDO can be composed of stabilized chlorite ions that target white blood     cells to balance the immune system. TCDO may be applied nasally or via     inhaler directly to the nasal passages or the lungs to treat lung     diseases. TCDO can be provided in 20-mL vials as a sterile, clear,     colorless, odorless, isotonic aqueous solution for intravenous, nasal, or     lung administration.</t>
  </si>
  <si>
    <t>US20220143080</t>
  </si>
  <si>
    <t>METHODS OF INCREASING BLOOD OXYGEN SATURATION</t>
  </si>
  <si>
    <t>17/525841</t>
  </si>
  <si>
    <t>THERMOLIFE INTERNATIONAL, LLC</t>
  </si>
  <si>
    <t>THERMOLIFE</t>
  </si>
  <si>
    <t>Kramer; Ronald; (Signal Hill, CA); Nikolaidis; Alexandros; (Nea Kallikratia, GR)</t>
  </si>
  <si>
    <t>A61K 33/00 20130101;  A61P 31/04 20180101;  A61P 31/14 20180101;  A61P 11/00 20180101;  A61K 33/06 20130101;  A61K 31/194 20130101;  A61K 33/30 20130101;  A61P 11/06 20180101</t>
  </si>
  <si>
    <t>The disclosure is directed to compositions and methods of increasing     oxygen saturation (SpO2) in subjects in need thereof as well as     alleviating, treating or curing symptoms and conditions associated with     lower SpO2 levels (below 95%). The compositions are preferably solid and     comprise a nitrate anion source, an elemental metal (uncharged), and     optionally an acid. The compositions are preferably administered orally.</t>
  </si>
  <si>
    <t>US20220143057</t>
  </si>
  <si>
    <t>Water Dissolvable Macrocyclic Lactone Cyclodextrin Complexes</t>
  </si>
  <si>
    <t>17/094297</t>
  </si>
  <si>
    <t>MOUNTAIN VALLEY MD INC</t>
  </si>
  <si>
    <t>MOUNTAIN VALLEY</t>
  </si>
  <si>
    <t>Farber; Michael; (Livingston, NJ)</t>
  </si>
  <si>
    <t>Injectable Ivermectin solution is safely administrable to humans and     animals used the disclosed technology. A macrocyclic lactone cyclodextrin     complex which is completely dissolvable or dissolved in water in a ratio     of at least 10-20 milligrams of the macrocyclic lactone complex per 5     milliliters of water. The macrocyclic lactone cyclodextrin complex is     non-toxic, without using organic solvents, and in embodiments, formed by     adding a surfactant to the macrocyclic lactone complex to water. The     macrocyclic lactone cyclodextrin complex is Ivermectin or an Ivermectin     derivative in some embodiments. The cyclodextrin complex is     2-hydroxypropyl-beta-cyclodextrin in some embodiments of the disclosed     technology. The surfactant can be polysorbate 80 and is in a ratio of     0.01% to 25%, by weight, to said water. The water soluble complexes can     be added to the water. The water-soluble complexes can have at least one     of an anti-parasitic, anti-viral and anti-cancer complex.</t>
  </si>
  <si>
    <t>US20220143052</t>
  </si>
  <si>
    <t>PHOSPHOLIPID COMPOUNDS AND USES THEREOF</t>
  </si>
  <si>
    <t>17/502559</t>
  </si>
  <si>
    <t>Gilead Sciences</t>
  </si>
  <si>
    <t>GILEAD SCIENCES</t>
  </si>
  <si>
    <t>Lazerwith; Scott E.; (Burlingame, CA); Medley; Jonathan William; (San Bruno, CA); Morganelli; Philip A.; (Oakland, CA); Stratton; Thomas P.; (San Francisco, CA); Wang; Peiyuan; (San Mateo, CA)</t>
  </si>
  <si>
    <t>Compounds and methods of using said compounds, alone or in combination     with additional agents, and pharmaceutical compositions of said compounds     for the treatment of viral infections are disclosed.</t>
  </si>
  <si>
    <t>US20220143040</t>
  </si>
  <si>
    <t>General; Pharma&amp;Biopharma; Prevention</t>
  </si>
  <si>
    <t>ANTIVIRAL TREATMENT</t>
  </si>
  <si>
    <t>17/562973</t>
  </si>
  <si>
    <t>CEBINA GMBH</t>
  </si>
  <si>
    <t>CEBINA</t>
  </si>
  <si>
    <t>NAGY; Eszter; (Vienna, AT); NAGY; Gabor; (Sopron, HU); SZIJARTO; Valeria; (Vienna, AT); KONRAT; Robert; (Vienna, AT)</t>
  </si>
  <si>
    <t>A61P 31/14 20180101;  A61K 31/55 20130101</t>
  </si>
  <si>
    <t>A method of treating a subject in need of anti-coronavirus treatment by     providing a prophylactic or therapeutic treatment which includes an     antiviral effective amount of an Azelastine compound, where the antiviral     effective amount is 0.1-500 .mu.g per dose. An Azelastine compound can     also be used as an antiviral substance in a medicinal product for     treating a biological surface to prevent coronavirus infection and/or     coronavirus spread, or as a viral disinfectant.</t>
  </si>
  <si>
    <t>US20220142992</t>
  </si>
  <si>
    <t>Detect&amp;Monitor; Devices; Pharma&amp;Biopharma</t>
  </si>
  <si>
    <t>FORMULATIONS, METHODS, KITS, AND DOSAGE FORMS</t>
  </si>
  <si>
    <t>17/523323</t>
  </si>
  <si>
    <t>MEDREGEN, LLC</t>
  </si>
  <si>
    <t>MEDREGEN</t>
  </si>
  <si>
    <t>Sun; Zhaoli; (Baltimore, MD); Sun; John; (Baltimore, MD); Griffin; Jared; (Greenville, NC); Eatmon; Christy; (Greenville, NC); Labell; Rachel; (Greenville, NC); Liu; Zhimin; (Greenville, NC); Brewer; Richard; (Greenville, NC); Agyemang; Issac; (Greenville, NC); Williams; Mitchell; (Greenville, NC)</t>
  </si>
  <si>
    <t>A61K 47/10 20130101;  A61P 29/00 20180101;  A61K 31/495 20130101;  A61P 11/00 20180101;  A61K 9/0019 20130101;  A61K 47/22 20130101;  A61K 31/436 20130101;  A61K 47/02 20130101</t>
  </si>
  <si>
    <t>Embodiments of the disclosure relate generally to formulations, methods,     kits, and dosage forms for improved stability comprising at least two     active ingredients, AMD3100, or similar stem cell mobilizer, and     Tacrolimus, or FK506 derivative or analog, and one or more excipients.     The formulations may be administered as a single dose subcutaneous     injection. The formulations may be useful in treating various diseases,     disorders or injuries.</t>
  </si>
  <si>
    <t>US20220142976</t>
  </si>
  <si>
    <t>Vaccine; Management</t>
  </si>
  <si>
    <t>Coronavirus; General</t>
  </si>
  <si>
    <t>Nitrile-Containing Antiviral Compounds</t>
  </si>
  <si>
    <t>17/554091</t>
  </si>
  <si>
    <t>PFIZER, INC.</t>
  </si>
  <si>
    <t>PFIZER</t>
  </si>
  <si>
    <t>Owen; Dafydd Rhys; (Concord, MA); Pettersson; Martin Youngjin; (Littleton, MA); Reese; Matthew Richard; (Mystic, CT); Sammons; Matthew Forrest; (Quincy, MA); Tuttle; Jamison Bryce; (Marblehead, MA); Verhoest; Patrick Robert; (Newton, MA); Wei; Liuqing; (Ledyard, CT); Yang; Qingyi; (Lexington, MA); Yang; Xiaojing; (Waterford, CT)</t>
  </si>
  <si>
    <t>The invention relates to compounds of Formula I''  ##STR00001## wherein R, R.sup.1, R.sup.2, R.sup.3, p, q and q' are as defined herein,     pharmaceutical compositions comprising the compounds, methods of treating     coronavirus infection such as COVID-19 in a patient by administering     therapeutically effective amounts of the compounds, and methods of     inhibiting or preventing replication of coronaviruses such as SARS-CoV-2     with the compounds.</t>
  </si>
  <si>
    <t>US20220142947</t>
  </si>
  <si>
    <t>Immunity</t>
  </si>
  <si>
    <t>TRANSDERMAL DELIVERY FORMULATIONS</t>
  </si>
  <si>
    <t>17/565556</t>
  </si>
  <si>
    <t>ALBERT EINSTEIN COLLEGE OF MEDICINE, INC.</t>
  </si>
  <si>
    <t>ALBERT EINSTEIN COLLEGE MEDICINE</t>
  </si>
  <si>
    <t>Friedman; Joel M.; (West Orange, NJ)</t>
  </si>
  <si>
    <t>A61K 9/06 20130101;  A61K 47/10 20130101;  A61K 9/0014 20130101;  A61K 47/12 20130101;  A61K 31/4375 20130101;  A61K 31/12 20130101;  A61K 31/352 20130101;  A61P 37/06 20180101;  A61K 31/593 20130101;  A61K 31/05 20130101</t>
  </si>
  <si>
    <t>A transdermal formulation for the delivery of a nitric oxide booster or     nitric oxide precursor to a subject is provided. The formulation can be     applied to the treatment of various diseases or conditions by enhancing     systemic level of nitric oxide.</t>
  </si>
  <si>
    <t>US20220142913</t>
  </si>
  <si>
    <t>17/585170</t>
  </si>
  <si>
    <t>A61K 9/0014 20130101;  A61K 47/10 20130101;  A61K 31/121 20130101;  A61K 47/12 20130101;  A61K 31/366 20130101;  A61P 7/00 20180101</t>
  </si>
  <si>
    <t>US20220142882</t>
  </si>
  <si>
    <t>PREPARATIONS FOR THE PREVENTION OF ILLNESSES ACQUIRED VIA THE ORAL CAVITY     AND PHARYNX</t>
  </si>
  <si>
    <t>17/437521</t>
  </si>
  <si>
    <t>INTRAMONT TECHNOLOGIES, INC.</t>
  </si>
  <si>
    <t>INTRAMONT</t>
  </si>
  <si>
    <t>MONTES; Joseph G.; (New Orleans, LA); INTRATER; James; (Hackensack, NJ)</t>
  </si>
  <si>
    <t>The invention includes a toothpaste or other orally applied product to be     used at least once daily to help prevent or inhibit the acquisition of a     number of infections by oral or pharyngeal tissues, particularly     including the "common" cold. These compositions possess a combination of     ingredients that is not found in other toothpastes or other orally     applied products, and these ingredients work together to synergistically     interfere with the acquisition of a number of pathogens. The toothpastes     will have the usual dentifrice ingredients known to prevent tooth decay,     as well as those that reduce halitosis (i.e., bad breath), and prevent     gingivitis. In addition, the toothpastes will include one or more of: 1)     GALALCOOL.RTM. as an individual compound, and not as an extract     component; 2) zinc protoporphyrin IX; and 3) one or more other colorless     or low-color tannin(s) each as an individual compound, and not as an     extract component.</t>
  </si>
  <si>
    <t>US20220142673</t>
  </si>
  <si>
    <t>Devices</t>
  </si>
  <si>
    <t>TROCAR WITH MULTI-AXIS DYNAMIC SEAL</t>
  </si>
  <si>
    <t>17/092761</t>
  </si>
  <si>
    <t>CLEARCAM INC.</t>
  </si>
  <si>
    <t>CLEARCAM</t>
  </si>
  <si>
    <t>Gilkey; James Landon; (Dripping Springs, TX); Idelson; Christopher Robert; (Austin, TX)</t>
  </si>
  <si>
    <t>A61B 2017/3441 20130101;  A61B 17/3474 20130101;  A61B 17/3423 20130101;  A61B 2017/00862 20130101</t>
  </si>
  <si>
    <t>Disclosed herein are sealing devices configured for improving sealing     functionality with an engaged extension member of an apparatus. More     specifically, disclosed herein are trocar sealing devices configured for     improving insufflation gas containment in relation to trocars (and/or     other related type of devices) that are used for enabling a surgical     instrument such, for example, a laparoscope, to gain access to an     abdominal cavity (or other body cavity). By providing for such improved     insufflation gas containment, sealing devices as disclosed herein are     particularly advantageous, desirable and useful in view of long-standing     reasons for limiting insufflation gas leakage and in view of newly     recognized reasons stemming from outbreak of COVID-19 disease for     limiting insufflation gas leakage.</t>
  </si>
  <si>
    <t>US20220142670</t>
  </si>
  <si>
    <t>SEALING DEVICES AND SURGICAL IMPLEMENTS COMPRISING SAME</t>
  </si>
  <si>
    <t>17/092710</t>
  </si>
  <si>
    <t>US20220142669</t>
  </si>
  <si>
    <t>17/092652</t>
  </si>
  <si>
    <t>US20220142619</t>
  </si>
  <si>
    <t>METHOD AND SYSTEM FOR MANAGING CORONAVIRUS SCREENING OPERATIONS</t>
  </si>
  <si>
    <t>17/454728</t>
  </si>
  <si>
    <t>LUCE COMMUNICATIONS LLC</t>
  </si>
  <si>
    <t>LUCE COMMUNICATIONS</t>
  </si>
  <si>
    <t>Ablett; Daniel Robert; (Upland, CA); Luce; Joel Nathanael; (Southlake, TX)</t>
  </si>
  <si>
    <t>G01N 2001/005 20130101;  G01N 1/28 20130101;  A61B 10/0051 20130101;  G16H 10/40 20180101;  G01N 2001/007 20130101;  G16H 10/60 20180101;  A61B 90/90 20160201</t>
  </si>
  <si>
    <t>A method may include determining whether to perform a coronavirus     diagnostic test on a member of a predetermined population. The method may     further include sending, in response to determining that the coronavirus     diagnostic test should be performed on the member, a coronavirus testing     kit to the member. The coronavirus testing kit may include a return     shipping container, a substrate, and a specimen transport container     configured to store a biological specimen. The method may further     includes determining whether the biological specimen is received at a     laboratory facility from the member. The method may further include     transmitting, to at least one user device associated with the member, a     notification regarding a coronavirus infection diagnosis based on the     biological specimen.</t>
  </si>
  <si>
    <t>US20220142534</t>
  </si>
  <si>
    <t>POINT-OF-CARE DIAGNOSTIC DEVICE AND A METHOD FOR SECURE USER IDENTITY     CONFIRMATION WHILE MAINTAING ANONIMITY</t>
  </si>
  <si>
    <t>17/524237</t>
  </si>
  <si>
    <t>Aronovich, Ilya</t>
  </si>
  <si>
    <t>ARONOVICH ILYA</t>
  </si>
  <si>
    <t>Seliktar; David; (Great Neck, NY); Sasson; Shay; (Tel Aviv, IL); Aronovich; Ilya; (Great Neck, NY)</t>
  </si>
  <si>
    <t>A device and method for performing a diagnostic test, including     determining presence or absence of antibodies to a virus. The device     displays the results on a display, and includes a retractable needle and     an enclosure that houses the retractable needle, a vessel for collecting     or storing a bodily liquid sample collected from the subject, an     enclosure containing a diluent fluid that is mixed with the collected     sample, and at least one area for mixing and performing analysis. A pressure sensor checks for pressure being applied by the test subject's     finger during the test, and stops the test or disables display if it does     not sense pressure of the test subject's finger during testing. A     processor performs identification testing by scanning a digital     fingerprint of the test subject by a digital scanner prior to evaluation,     stores the data and evaluates the test results to determine whether the     results exceed or reach a threshold value. The testing and evaluation are     performed only after a successful identification of the test subject. The     device keeps the test information and identification information about     the test subject anonymous, and does not communicate the identity of the     test subject and the test results to an external device.</t>
  </si>
  <si>
    <t>US20220142531</t>
  </si>
  <si>
    <t>DEVICE AND METHOD FOR MEASURING BLOOD CONSTITUENTS</t>
  </si>
  <si>
    <t>17/581415</t>
  </si>
  <si>
    <t>SHANI BIOTECHNOLOGIES LLC</t>
  </si>
  <si>
    <t>SHANI BIOTECHNOLOGIES</t>
  </si>
  <si>
    <t>Gokhale; Sanjay; (Arlington, TX)</t>
  </si>
  <si>
    <t>The present disclosure is directed to a method and device to determine a     value of a blood constituent of a mammal. The device includes a plurality     of light emitting diodes, one or more sensors and a processor.</t>
  </si>
  <si>
    <t>US20220142527</t>
  </si>
  <si>
    <t>SpO2 SENSOR HAVING PARTITIONED ELECTRONICS</t>
  </si>
  <si>
    <t>17/094328</t>
  </si>
  <si>
    <t>Virtanen; Juha P.; (Helsinki, FI); Saari; Jukka K.; (Helsinki, FI)</t>
  </si>
  <si>
    <t>A sensing device for acquiring data from a finger. The device includes a     carrier board having a stacked portion with a finger side and a canopy     side. A tip wing extends from the stacked portion and wraps around the     finger. Electrical components are coupled to the carrier board, including     a first circuit board on the canopy side of the stacked portion, and one     or more optical components electrically on the tip wing. The optical     components are configured to transmit light towards the finger and to     detect the light from the finger. The carrier board electrically couples     the electrical components to acquire the data from the finger. A power     system is positioned between the canopy side and the finger side of the     carrier board, where the power system provides power to the electrical     components via the carrier board. A cover secures the carrier board to     the finger.</t>
  </si>
  <si>
    <t>US20220142491</t>
  </si>
  <si>
    <t>COMPUTER-ASSISTED METHOD AND SYSTEM FOR REMOTE MONITORING OF PATIENTS</t>
  </si>
  <si>
    <t>17/139629</t>
  </si>
  <si>
    <t>EXAL BONE SP. Z O.O.</t>
  </si>
  <si>
    <t>EXAL BONE</t>
  </si>
  <si>
    <t>Siwak; Mateusz; (Lodz, PL); Piotrowski; Lukasz; (Lodz, PL)</t>
  </si>
  <si>
    <t>A61B 5/02055 20130101;  A61B 5/14542 20130101;  A61B 5/0004 20130101;  A61B 5/746 20130101;  A61B 5/7275 20130101</t>
  </si>
  <si>
    <t>A computer-assisted method is for remote monitoring of patients. The     patient's health condition is monitored by analyzing results of     measurement of health parameters entered in a computer system manually or     through automated measuring sensors. Once the specific conditions are     satisfied, a medical hazard alert is generated. Before monitoring is     started, the data on a patient's health condition is downloaded and the     patient is allocated to a specific risk group. A notification on the     necessity to perform measurement of health parameters is generated with     the frequency dependent on the risk group assigned to the patient. The     measured health parameters are analyzed taking into account the risk     group to which the patient was allocated.</t>
  </si>
  <si>
    <t>US20220142281</t>
  </si>
  <si>
    <t>Mask Clips for Hat</t>
  </si>
  <si>
    <t>17/523658</t>
  </si>
  <si>
    <t>KUENZLER ZANE</t>
  </si>
  <si>
    <t>Kuenzler; Zane; (Littleton, CO)</t>
  </si>
  <si>
    <t>A mask securing clips for attaching a face mask typically to the rim of a     hat, such as a baseball cap, is typically fabricated a single unitary     piece that includes a clip portion and a hook portion. The clip portion     is generally U-shaped and configured to clip over an edge of a hat's rim     typically on the left and right sides of the hat to be securely held     thereon. The hook portion is typically formed on the outside surface of     the U-shaped clip portion. The hook is configured to receive a loop strap     of a face mask.</t>
  </si>
  <si>
    <t>US20220142274</t>
  </si>
  <si>
    <t>ELECTROCHEMICAL ANTIMICROBIAL FACE MASK</t>
  </si>
  <si>
    <t>17/522119</t>
  </si>
  <si>
    <t>HSIEN, Chi Chen</t>
  </si>
  <si>
    <t>HSIEN CHI</t>
  </si>
  <si>
    <t>HSIEN; Chi Chen; (Sacramento, CA)</t>
  </si>
  <si>
    <t>A41D 2500/30 20130101;  A41D 13/1192 20130101;  A41D 31/305 20190201;  A62B 23/025 20130101</t>
  </si>
  <si>
    <t>Apparatuses of electrochemical antimicrobial face masks and methods for     manufacturing the same are provided. In one embodiment, an     electrochemical antimicrobial face mask may include an electrochemical     antimicrobial section configured to inactivate microbes that are in     contact with the electrochemical antimicrobial section, and a filtration     section configured to provide additional protection that prevents a user     from breathing in the microbes, and where the electrochemical     antimicrobial section is attached to the filtration section. The     electrochemical antimicrobial section may include a galvanic corrosion     cell membrane configured to generate antimicrobial agents via a galvanic     electrochemical reaction, a hydrophilic antimicrobial membrane configured     to inactivate microbes using the antimicrobial agents, and a regeneration     pad configured to supply materials to the galvanic corrosion cell     membrane for generating the antimicrobial agents.</t>
  </si>
  <si>
    <t>US20220142273</t>
  </si>
  <si>
    <t>CLOTH MASK</t>
  </si>
  <si>
    <t>17/092717</t>
  </si>
  <si>
    <t>LIN HSIANG CHUN; DAI LI ER COMPANY</t>
  </si>
  <si>
    <t>LIN HSIANG CHUN; DAI ER</t>
  </si>
  <si>
    <t>LIN; HSIANG-CHUN; (TAICHUNG CITY, TW)</t>
  </si>
  <si>
    <t>B32B 2250/20 20130101;  B32B 5/024 20130101;  B32B 7/02 20130101;  B32B 2307/7145 20130101;  B32B 2250/03 20130101;  B32B 2307/7265 20130101;  B32B 2264/1025 20200801;  B32B 15/14 20130101;  B32B 15/20 20130101;  B32B 2535/00 20130101;  A41D 13/1192 20130101;  B32B 2307/73 20130101</t>
  </si>
  <si>
    <t>A cloth mask includes a body, where the body has a piece of copper ion     cloth and a piece of zinc oxide antibacterial cloth, the copper ion cloth     is woven by a mixture of a first yarn, a second yarn and a copper yarn,     the first yarn has a hydrophobicity and a moisture permeability and can     form a water-resistant surface, and has a water-repellent effect and is     exposed at an inner layer of the copper ion cloth, and the second yarn     has a moisture-removing property and can form an antibacterial and     moisture-removing surface to be exposed together with the copper yarn on     a surface of the copper ion cloth.</t>
  </si>
  <si>
    <t>US20220142272</t>
  </si>
  <si>
    <t>NASAL MASK METHOD AND DEVICES</t>
  </si>
  <si>
    <t>17/094905</t>
  </si>
  <si>
    <t>BARONE FRANK</t>
  </si>
  <si>
    <t>BARONE; FRANK; (Chula Vista, CA)</t>
  </si>
  <si>
    <t>The embodiments disclose a method including fabricating a nasal mask     configured for preventing nasal inhaling of airborne Covid-19 virus, a     self-adhesive nasal strip mask for inactivating air borne viruses being     inhaled by a user, making the nasal mask using a breathable fabric     configured for creating a breathable fabric filter for filtering out air     borne viruses, providing at least two ear straps coupled to the nasal     mask configured for a user looping the at least two ear straps over the     user's ears, integrating a dorsum conforming nose piece coupled to the     nasal mask configured for creating a gap free fit, and fabricating     structural stitching in the nasal mask configured for maintaining a     breathable space fronting the nostrils.</t>
  </si>
  <si>
    <t>US20220142271</t>
  </si>
  <si>
    <t>SAFETY SUCTION MASK AND METHOD OF USE</t>
  </si>
  <si>
    <t>17/519845</t>
  </si>
  <si>
    <t>QUALITY ASPIRATORS INC</t>
  </si>
  <si>
    <t>QUALITY ASPIRATORS</t>
  </si>
  <si>
    <t>Downs; Brent A.; (Fort Worth, TX); Wiley; Corless W.; (Duncanville, TX); Gomez, JR.; Virgilio A.; (Cedar Hill, TX); Fisher; John B.; (Grand Prairie, TX)</t>
  </si>
  <si>
    <t>A61C 17/12 20190501;  A41D 13/1161 20130101</t>
  </si>
  <si>
    <t>A mask comprising a shield forming a perimeter, one or more portal     penetrations through the shield, one or more suction inlets coupled to     the shield, one or more ear loops coupled to the shield and a manifold     coupled to the suction inlets and configured to distribute suction force.</t>
  </si>
  <si>
    <t>US20220142269</t>
  </si>
  <si>
    <t>Protective Apparatuses for Minimizing Risk of Transmission of Infection     and Associated Systems and Methods</t>
  </si>
  <si>
    <t>17/091012</t>
  </si>
  <si>
    <t>JAMES L. ORRINGTON, II D.D.S., P.C.</t>
  </si>
  <si>
    <t>JAMES ORRINGTON</t>
  </si>
  <si>
    <t>Orrington, II; James L.; (Flossmoor, IL); Prince; Michael; (Chicago, IL); Kim; Hyunchul; (Chicago, IL); Barber; McKayla; (Madison, WI)</t>
  </si>
  <si>
    <t>A41D 2600/00 20130101;  A41D 13/1107 20130101</t>
  </si>
  <si>
    <t>Disclosed herein are protective apparatuses for minimizing the risk of     transmission of SARS-CoV-2 and other infectious diseases between     individuals in close proximity to one another. Said apparatuses may     comprise a receiving component comprising a first aperture comprising a     series of flanges; as well as a substantially transparent shield     component. Protective apparatuses of the present disclosure may be used     to protect dentists and other healthcare workers from transmission of     infectious agents through aerosols and through transmission of droplets     and other bodily fluids that may contain infectious agents and likewise     may be used to protect patients in the same manner. Also disclosed herein     are systems comprising such protective apparatuses installed to a     substantially cylindrical suctioning device such as a vacuum hose or     operatively attached to an articulating mechanical arm. Also disclosed     herein are methods of using such protective apparatuses and systems to     mitigate the risk of transmission of infectious diseases between, without     limitation, patients and healthcare workers treating such patients.</t>
  </si>
  <si>
    <t>US20220142268</t>
  </si>
  <si>
    <t>Article of Apparel with Breathable Face Covering</t>
  </si>
  <si>
    <t>17/581242</t>
  </si>
  <si>
    <t>Under Armour</t>
  </si>
  <si>
    <t>UNDER ARMOUR</t>
  </si>
  <si>
    <t>Plank; Kevin; (Baltimore, MD); Blakely; Kyle; (Baltimore, MD); Holmes; Ella Mae; (Baltimore, MD); Dunbar; Jami; (Baltimore, MD); Jarvis; Kasey; (Baltimore, MD)</t>
  </si>
  <si>
    <t>A41D 13/1161 20130101;  A41D 13/113 20130101;  A41D 13/1192 20130101;  A41D 2500/10 20130101;  A62B 23/025 20130101</t>
  </si>
  <si>
    <t>An article of apparel is configured to cover at least part of a human     head. The article of apparel includes a multi-layer face shield and a     fabric panel coupled to the face shield. The multi-layer face shield     includes an outer layer, a middle layer and an inner layer and is     configured to cover a mouth and a nose of the human head when the article     of apparel is donned by a wearer. The fabric panel is coupled to the face     shield and forms a posterior loop such that the fabric panel and face     shield are configured to extend completely around the human head when the     article of apparel is donned by the wearer.</t>
  </si>
  <si>
    <t>US20220142167</t>
  </si>
  <si>
    <t>SYSTEMS, METHODS, AND APPARATUSES FOR DISINFECTION AND DECONTAMINATION</t>
  </si>
  <si>
    <t>17/567117</t>
  </si>
  <si>
    <t>CHORUS, INC.</t>
  </si>
  <si>
    <t>CHORUS</t>
  </si>
  <si>
    <t>Rader; Richard S.; (Wayland, MD); Heater; Kenneth J.; (Delaware, OH); Desabato; Raymond; (Southborough, MA); Lorch; Daniel P.; (London, OH); Lewis; Adriane L.; (Columbus, OH); Wells; Timothy N.; (Manchester, CT)</t>
  </si>
  <si>
    <t>G16H 50/20 20180101;  A01N 59/00 20130101;  A61P 31/04 20180101;  A61P 31/12 20180101;  A61L 9/015 20130101;  G16H 70/60 20180101;  G16H 50/80 20180101;  A61L 9/14 20130101;  A61L 2209/16 20130101</t>
  </si>
  <si>
    <t>In one aspect, a system for generating and monitoring an antimicrobial is     provided, the system including: a microprocessor and/or a     microcontroller; an external communications device; a computational     system; an antimicrobial sensor and/or an environmental sensor; and an     antimicrobial generator, wherein the external communications device, the     computational system, the antimicrobial generator, and the antimicrobial     sensor and/or the environmental sensor are operatively connected to the     microprocessor and/or the microcontroller. The system may further include     a separate sensor sub-system comprising: a sensor sub-system     microprocessor and/or a sensor sub-system microcontroller; a sensor     sub-system external communications device; a sensor sub-system     antimicrobial sensor and/or a sensor sub-system environmental sensor; and     a sensor sub-system computational system. The system may further include     a separate generation sub-system comprising: a generation sub-system     microprocessor and/or a generation sub-system microcontroller; a     generation sub-system external communications device; and a generation     sub-system antimicrobial generator.</t>
  </si>
  <si>
    <t>US20220142147</t>
  </si>
  <si>
    <t>Compositions and Methods for Preservation and Fixation</t>
  </si>
  <si>
    <t>17/519088</t>
  </si>
  <si>
    <t>GREEN SOLUTION TECHNOLOGY CO., LTD.</t>
  </si>
  <si>
    <t>GREEN SOLUTION</t>
  </si>
  <si>
    <t>Kennedy; Larry Dean; (Salisbury, NC); Fields; Danny R.; (Stanford, KY)</t>
  </si>
  <si>
    <t>The present inventive concept provides non-toxic compositions including     ethanol, a polymer, and a polar aprotic solvent and methods of using the     same in the field of preservation of plant, human and non-human animal     tissue and anatomic pathology disciplines (e.g., surgical pathology,     histopathology, cytopathology, forensic pathology). In particular, the     compositions provide a safer alternative to aldehyde-based compositions.</t>
  </si>
  <si>
    <t>US20220141298</t>
  </si>
  <si>
    <t>METHODS AND APPARATUS FOR ONLINE TEST TAKING</t>
  </si>
  <si>
    <t>17/516991</t>
  </si>
  <si>
    <t>NORTHEAST MARITIME INSTITUTE, INC.</t>
  </si>
  <si>
    <t>NORTHEAST MARITIME INSTITUTE</t>
  </si>
  <si>
    <t>Dawicki; Eric Roger; (Fairhaven, MA); Shetty; Akkhilaysh Kushal; (New Bedford, MA); Dawicki; Angela Michele; (Fairhaven, MA)</t>
  </si>
  <si>
    <t>The techniques described herein relate to methods and systems for     administering an online examination to a user. A pre-examination scan is     performed based on first image data of an environment of the user that is     received from a camera. Responsive to an indication from the     pre-examination scan that the environment is appropriate for test taking,     the online examination is initiated. The online examination is initiated     by generating a user interface for display on an examination screen.     Based on second image data of the user while using the user interface,     one or more poses of the user may be estimated. It may be determined that     the user pose is indicative of improper examination behavior based on the     one or more poses of the user that are estimated. A warning can be     generated and/or the online examination can be terminated based on an     indication of improper examination behavior.</t>
  </si>
  <si>
    <t>US20220141239</t>
  </si>
  <si>
    <t>PHYSICAL AND NETWORK SECURITY SYSTEM AND METHODS</t>
  </si>
  <si>
    <t>17/577003</t>
  </si>
  <si>
    <t>Zaman, Asna Suhail; Chaudhry, Muhammad Usman Afzal</t>
  </si>
  <si>
    <t>ZAMAN ASNA</t>
  </si>
  <si>
    <t>Zaman; Asna Suhail; (Sterling, VA); Chaudhry; Muhammad Usman Afzal; (Sterling, VA)</t>
  </si>
  <si>
    <t>An interface system for securing devices on a network gaining access to     an external wide area network, such as Internet. The interface system     includes a gateway, a vulnerability scanner, switch, cameras, network     access controller, and machine learning module. The interface system     detects any unusual activity from a device on the network and can take     autonomous decisions based on calculated scores to allow or block the     unusual activity.</t>
  </si>
  <si>
    <t>US20220139568</t>
  </si>
  <si>
    <t>Telemedicine</t>
  </si>
  <si>
    <t>VIRTUAL TELEMEDICINE MECHANISM</t>
  </si>
  <si>
    <t>17/523708</t>
  </si>
  <si>
    <t>IX INNOVATION LLC</t>
  </si>
  <si>
    <t>IX INNOVATION</t>
  </si>
  <si>
    <t>Roh; Jeffrey; (Seattle, WA)</t>
  </si>
  <si>
    <t>Systems and methods related to virtual telemedicine systems, virtual     examinations, medical marketplaces, and/or assistance for     patient/physicians are provided. The systems can be configured to     identify relevant medical service providers based on user-specific     information, whether the user has experienced a medical event that may     require emergency, urgent, or non-urgent medical services, and/or provide     examinations, such as virtual examinations, in person examinations, or     hybrid examinations (e.g., both a virtual examination with a first     physician and a physical examination with another physician).</t>
  </si>
  <si>
    <t>US20220139567</t>
  </si>
  <si>
    <t>METHODS FOR MODELING INFECTIOUS DISEASE TEST PERFORMANCE AS A FUNCTION OF     SPECIFIC, INDIVIDUAL DISEASE TIMELINES</t>
  </si>
  <si>
    <t>17/516686</t>
  </si>
  <si>
    <t>Boeing</t>
  </si>
  <si>
    <t>BOEING</t>
  </si>
  <si>
    <t>Jones; Lindsay Leigh Waite; (Madison, AL); Lawton; Robert M.; (Huntsville, AL); Jones; Stephen Paul; (Snoqualmie, WA); Austin; Thomas Robert; (Rancho Palos Verdes, CA); Armstrong; Jason Wesley; (Fig Tree Pocket, AU)</t>
  </si>
  <si>
    <t>G16H 50/50 20180101;  G06N 7/005 20130101;  G16H 50/80 20180101;  G16H 50/20 20180101</t>
  </si>
  <si>
    <t>Aspects of the disclosure provide solutions for modeling an efficacy of     disease screening and testing strategies for an infectious disease.     Examples include: identifying events for a disease timeline for the     infectious disease, creating a model of test sensitivity as a function of     the events, adaptively mapping the events to characteristics of the     infectious disease unique to a simulated infected person, based at least     on adaptively mapping, creating a unique disease timeline for the     simulated infected person, and creating a numerical function specific to     the unique disease timeline to model sensitivity as a function of the     unique disease timeline.</t>
  </si>
  <si>
    <t>US20220139556</t>
  </si>
  <si>
    <t>Management; Data Mining</t>
  </si>
  <si>
    <t>Data Integration; Detect&amp;Monitor</t>
  </si>
  <si>
    <t>SYSTEM AND METHOD FOR DETERMINING PATIENT HEALTH INDICATORS THROUGH     MACHINE LEARNING MODEL</t>
  </si>
  <si>
    <t>17/507215</t>
  </si>
  <si>
    <t>CLOUDPHYSICIAN HEALTHCARE PVT LTD</t>
  </si>
  <si>
    <t>CLOUDPHYSICIAN HEALTHCARE PVT</t>
  </si>
  <si>
    <t>Unnikrishnan; Dileep C; (Kerala, IN); Raman; Dileep; (Bengaluru, IN); Sekar; Jitesh; (Bengaluru, IN)</t>
  </si>
  <si>
    <t>This disclosure relates to method and system determining a plurality of     patient health indicators through a Machine Learning (ML) model. The     method includes receiving numerical data from a monitoring device. The     numerical data is based on patient input data. The patient input data     includes predefined variables, discretely sampled data, and continuously     sampled data. The method further includes identifying a set of patterns     from the numerical data through the ML model. The ML model is based on at     least one of a Long Short Term Memory (LSTM), Extreme Gradient Boost     (XGBoost), and Transformers. The method further includes comparing the     set of patterns with historical medical data of the patient. The method     further includes determining the plurality of patient health indicators     through the ML model based on the comparing.</t>
  </si>
  <si>
    <t>US20220139546</t>
  </si>
  <si>
    <t>MACHINE LEARNING MODEL TO DETECT AND PREVENT PSYCHOLOGICAL EVENTS</t>
  </si>
  <si>
    <t>17/573307</t>
  </si>
  <si>
    <t>Winkk, Inc.</t>
  </si>
  <si>
    <t>WINKK</t>
  </si>
  <si>
    <t>Manjunath; Sudha; (Fremont, CA); Manjunath; Sanju; (San Jose, CA); Keith, JR.; Robert O.; (San Jose, CA)</t>
  </si>
  <si>
    <t>G06N 20/00 20190101;  G16H 40/63 20180101</t>
  </si>
  <si>
    <t>A security platform architecture is described herein. A user identity     platform architecture which uses a multitude of biometric analytics to     create an identity token unique to an individual human. This token is     derived on biometric factors like human behaviors, motion analytics,     human physical characteristics like facial patterns, voice recognition     prints, usage of device patterns, user location actions and other human     behaviors which can derive a token or be used as a dynamic password     identifying the unique individual with high calculated confidence.     Because of the dynamic nature and the many different factors, this method     is extremely difficult to spoof or hack by malicious actors or malware     software.</t>
  </si>
  <si>
    <t>US20220139523</t>
  </si>
  <si>
    <t>SYSTEM AND METHOD FOR MODIFYING A NUTRITION REQUIREMENT</t>
  </si>
  <si>
    <t>17/087700</t>
  </si>
  <si>
    <t>KPN Innovations LLC</t>
  </si>
  <si>
    <t>KPN INNOVATIONS</t>
  </si>
  <si>
    <t>Neumann; Kenneth; (LAKEWOOD, CO)</t>
  </si>
  <si>
    <t>A system for modifying a nutrition requirement includes a computing     device configured to obtain a user attribute, identify a nutrition     requirement as a function of the user attribute, wherein identifying     further comprises, receiving a nutrition training set, wherein the     nutrition training set relates an aliment to a user attribute, and     identifying the nutrition requirement as a function of a nutrition     machine-learning process, receive a monitoring element from a monitoring     device, modify the nutrition requirement, wherein modifying further     comprises, receiving a modification training set, wherein the     modification training set relates a monitoring element to a nutrition     outcome, and modifying the nutrition requirement as a function of a     modification machine-learning process, identify an aliment that fulfills     the modified user nutrition requirement, and present an aliment on a     display device.</t>
  </si>
  <si>
    <t>US20220139511</t>
  </si>
  <si>
    <t>SECURE VERIFICATION OF MEDICAL STATUS USING A CONTACTLESS CARD</t>
  </si>
  <si>
    <t>17/086029</t>
  </si>
  <si>
    <t>Capital One</t>
  </si>
  <si>
    <t>CAPITAL ONE</t>
  </si>
  <si>
    <t>OSBORN; Kevin; (Newton, MA); RULE; Jeffrey; (Chevy Chase, MD)</t>
  </si>
  <si>
    <t>Systems, methods, articles of manufacture, and computer-readable media     for verification of medical status using a contactless card. An     application may receive a request specifying a subject and a medical     condition. The application may receive a cryptogram from a contactless     card. The application may receive a decryption result from a server and     determine that the server decrypted the cryptogram. The application may     receive, from the contactless card, a medical attestation, a digital     signature of the medical attestation, and a public key of the digital     signature. The application may decrypt the digital signature based on the     public key of the digital signature and verify the medical attestation     based on the decrypted digital signature. The application may determine,     based on the verification of the medical attestation, that the subject is     immune to the medical condition. The application may output a result that     the subject is immune to the medical condition.</t>
  </si>
  <si>
    <t>US20220139507</t>
  </si>
  <si>
    <t>Detect&amp;Monitor; Prevention</t>
  </si>
  <si>
    <t>USING MEDICAL TEST RESULTS TO TRIGGER ROUTINE FOR MEDICAL SUPPLY     REPLENISHMENT</t>
  </si>
  <si>
    <t>17/432117</t>
  </si>
  <si>
    <t>HP</t>
  </si>
  <si>
    <t>Hewlett-Packard</t>
  </si>
  <si>
    <t>Vankipuram; Mithra; (Palo Alto, CA); Faggin; Eric; (Palo Alto, CA); Thayer; Alexander; (Palo Alto, CA); Serra; Josep-Maria; (San Diego, CA)</t>
  </si>
  <si>
    <t>G16H 40/67 20180101;  G16H 10/40 20180101;  G16H 40/20 20180101;  G16H 50/80 20180101</t>
  </si>
  <si>
    <t>Examples are described herein for using medical test results to trigger     routine for medical supply replenishment. In various examples, based on a     result of a medical test administered to a subject at a first medical     facility, it may be determined that the subject has an exogenous medical     condition. In response to determining that the subject has the exogenous     medical condition, a message may be transmitted over a computer network     from a computing device associated with the first medical facility to a     remote computing device associated with a second medical facility. The     message may trigger the remote computing device to initiate a routine to     replenish medical supplies associated with the exogenous medical     condition at the second medical facility.</t>
  </si>
  <si>
    <t>US20220139378</t>
  </si>
  <si>
    <t>TOUCH-FREE, VOICE-ASSISTANT, AND/OR TRACKING SYSTEMS AND METHODS FOR     AUTOMATING INVENTORY GENERATION AND TRACKING OF CHILDCARE PRODUCTS</t>
  </si>
  <si>
    <t>17/514027</t>
  </si>
  <si>
    <t>Procter &amp; Gamble</t>
  </si>
  <si>
    <t>PROCTER &amp; GAMBLE</t>
  </si>
  <si>
    <t>HOEKZEMA; Brad S.; (Cincinnati, OH)</t>
  </si>
  <si>
    <t>A61F 2013/8479 20130101;  G10L 2015/088 20130101;  A61F 2013/424 20130101;  A61F 13/84 20130101;  G10L 15/08 20130101;  A61F 13/42 20130101</t>
  </si>
  <si>
    <t>Touch-free, voice-assistant, and/or tracking systems and methods are     described for automating inventory generation and tracking of childcare     products. In various aspects, the touch-free, voice-assistant, and/or     tracking systems and methods comprise receiving, by one or more     processors, one or more name values corresponding to one or more children     of a childcare program associated with at least one physical childcare     location. A childcare product inventory, comprising a childcare product     of at least one product type, is generated based on a count of the one or     more name values. Child event data is received comprising information     related to use of the childcare product. The child event data is based on     audible input of a user as received via a voice command interface of a     voice-assistant application (app) as implemented on a voice assistance     device. The childcare product inventory may be updated based on the child     event data.</t>
  </si>
  <si>
    <t>US20220139136</t>
  </si>
  <si>
    <t>SELF REPORTING METHOD AND APPARATUS FOR PERSONAL PATHOGEN STATUS     VERIFICATION AT POINT OF ENTRY INTO AN AREA OF CONGREGATION</t>
  </si>
  <si>
    <t>17/578744</t>
  </si>
  <si>
    <t>OPENCLEAR, INC.</t>
  </si>
  <si>
    <t>OPENCLEAR</t>
  </si>
  <si>
    <t>Klein; Mark; (Henderson, NV); BROWN; Wendell; (Henderson, NV)</t>
  </si>
  <si>
    <t>A self-reporting system and system for personal pathogen status verifying     allows an entity to control access to an area of congregation (AOC) at     one or more points of entry (POE) is a configurable manner. In one     embodiment, the system may be used for the SARS-CoV-2 virus, but may be     similarly used for other pathogens.</t>
  </si>
  <si>
    <t>US20220139088</t>
  </si>
  <si>
    <t>NETWORK SERVER AND METHOD FOR CONTROLLING USER TERMINAL ASSOCIATED WITH     DOORBELL INCLUDING CAMERA</t>
  </si>
  <si>
    <t>17/570390</t>
  </si>
  <si>
    <t>HANWHA VISION CO., LTD.</t>
  </si>
  <si>
    <t>HANWHA VISION</t>
  </si>
  <si>
    <t>RA; Woowon; (Seongnam-si, KR)</t>
  </si>
  <si>
    <t>G06V 2201/07 20220101;  H04N 7/186 20130101;  G07C 9/23 20200101;  G06V 40/166 20220101;  G06V 20/52 20220101;  G06V 20/46 20220101</t>
  </si>
  <si>
    <t>A method for controlling a user terminal associated with a doorbell     including a camera according to an embodiment of the present invention     includes: storing, in a database, feature data units collected using the     doorbell; generating one among a plurality of types of commands according     to whether an object detected from an image of a visitor captured by the     doorbell matches one of the feature data units; and displaying first and     second graphic interfaces, which are different from each other, on the     user terminal in responses to first and second commands, respectively,     among the commands.</t>
  </si>
  <si>
    <t>US20220138935</t>
  </si>
  <si>
    <t>UNSUPERVISED REPRESENTATION LEARNING AND ACTIVE LEARNING TO IMPROVE DATA     EFFICIENCY</t>
  </si>
  <si>
    <t>17/390408</t>
  </si>
  <si>
    <t>SAMSUNG DISPLAY CO., LTD.,</t>
  </si>
  <si>
    <t>SAMSUNG DISPLAY</t>
  </si>
  <si>
    <t>HAO; Heng; (San Jose, CA); DIDARI; Sima; (San Jose, CA); WOO; Jae Oh; (Fremont, CA); MOON; Hankyu; (San Ramon, CA); BANGERT; Patrick David; (Sunnyvale, CA)</t>
  </si>
  <si>
    <t>G06F 16/283 20190101;  G06T 7/0012 20130101;  G06T 2207/30061 20130101;  G06T 2207/20084 20130101;  G06N 3/08 20130101;  G06K 9/6263 20130101;  G06K 9/6256 20130101;  G06T 2207/30041 20130101;  G06T 2207/20081 20130101;  G06T 2207/20076 20130101;  G06F 16/55 20190101;  G06K 9/6269 20130101</t>
  </si>
  <si>
    <t>A problem of imbalanced big data is solved by decoupling a classifier     into a neural network for generation of representation vectors and into a     classification model for operating on the representation vectors. The     neural network and the classification model act as a mapper classifier.     The neural network is trained with an unsupervised algorithm and the     classification model is trained with a supervised active learning loop.     An acquisition function is used in the supervised active learning loop to     speed arrival at an accurate classification performance, improving data     efficiency. The accuracy of the hybrid classifier is similar to or     exceeds the accuracy of comparative classifiers in all aspects. In some     embodiments, big data includes an imbalance of more than 10:1 in image     classes. The hybrid classifier reduces labor and improves efficiency     needed to arrive at an accurate classification performance, and improves     recognition of previously-unrecognized images.</t>
  </si>
  <si>
    <t>US20220138857</t>
  </si>
  <si>
    <t>SYSTEM AND METHOD FOR NEAR-INSTANTANEOUS PORTFOLIO PROTECTION</t>
  </si>
  <si>
    <t>17/515030</t>
  </si>
  <si>
    <t>ADAPTIVE INVEST SOLUTIONS LLC</t>
  </si>
  <si>
    <t>ADAPTIVE INVEST SOLUTIONS</t>
  </si>
  <si>
    <t>Sun; Dazhen; (Lexington, MA); Wice; Nathaniel; (New York, NY); Wells; Jonathan; (Brooklyn, NY)</t>
  </si>
  <si>
    <t>A system and method for near-instantaneous portfolio protection is     provided. The portfolio protection tool is configured to be     activated/deactivated nearly instantaneously with minimal customer inputs     and efficiently provides customizable risk-management solutions for     individual investors and advisors alike. The system includes a Market     Data Server that receives market data from electronic intra-day financial     market data sources, processes and selectively compiles salient market     data points. A Risk Pricer Server computes, based on user-defined     protection period and protection level settings, a risk level and a price     for the protection on the user's portfolio. A Book Manager identifies     specific trades required to provide the portfolio protection as a     function of an aggregate risk to multiple customers. A Trader is     configured to execute the specific trades. The system can throttle     asynchronous input data to construct synchronized data sets resolving     technical challenges of unsynchronized electronic financial market data.</t>
  </si>
  <si>
    <t>US20220138806</t>
  </si>
  <si>
    <t>Integration of Retail Services with Search Engine</t>
  </si>
  <si>
    <t>17/083450</t>
  </si>
  <si>
    <t>Sharma; Om Prakash; (Singoli, IN); Chennu; Sandeep Reddy; (Bachupally, IN); Goud Marka; Rajesh; (Gajularamaram, IN); Kollipara; Praveena; (Guntur, IN); Nelapudi; Joanna Ruth; (Ramnagar, IN); Satt; Soumya; (Suncity, IN); Sharma; Aditya; (Suncity, IN)</t>
  </si>
  <si>
    <t>G06Q 30/0277 20130101;  G06F 16/9535 20190101;  G06Q 30/0643 20130101;  G06Q 30/0256 20130101;  G06Q 30/0239 20130101</t>
  </si>
  <si>
    <t>Dynamic and Customized web pages provided by a search engine to link to a     retailer's online site are redirected to an integration platform when     activated within a browser from search results of a user search. The     integration platform segments the web pages into a plurality of sub links     that when detected from the activation, which resulted in the browser     redirection to the integration platform, cause specific retailer services     to be accessed by the integration platform and customized information and     services provided to the user within the browser.</t>
  </si>
  <si>
    <t>US20220138655</t>
  </si>
  <si>
    <t>SUPPLY CHAIN RESTLTENCY PLAN GENERATION BASED ON RISK AND CARBON FOOTPRINT     UTILIZING MACHINE LEARNING</t>
  </si>
  <si>
    <t>17/083583</t>
  </si>
  <si>
    <t>IBM</t>
  </si>
  <si>
    <t>INTERNATIONAL BUSINESS</t>
  </si>
  <si>
    <t>Kinai; Andrew; (Nairobi, KE); Otieno; Fred Ochieng; (Nairobi, KE); Marvaniya; Smitkumar Narotambhai; (Bangalore, IN); Kulkarni; Kedar Kulkarni; (Bangalore, IN); Godbole; Shantanu R.; (Bangalore, IN); Twarakavi; Navin; (Karnataka, IN); Weldemariam; Komminist; (Ottawa, CA)</t>
  </si>
  <si>
    <t>A supply chain optimization method, system, and computer program product     include predicting a risk of a supply chain operation across a supply     chain network caused by a term impact analysis of a global hazard,     estimating a carbon footprint for the supply chain operation across the     supply chain network, generating an alternative resilience plan as an     alternative to an existing supply chain plan based on the predicted risk     and the estimated carbon footprint.</t>
  </si>
  <si>
    <t>US20220138465</t>
  </si>
  <si>
    <t>METHOD AND APPARATUS FOR IMAGE RECOGNITION IN MOBILE COMMUNICATION DEVICE     TO IDENTIFY AND WEIGH ITEMS</t>
  </si>
  <si>
    <t>17/085582</t>
  </si>
  <si>
    <t>TILITER PTY LTD.</t>
  </si>
  <si>
    <t>TILITER PTY</t>
  </si>
  <si>
    <t>Herz; Marcel; (Sydney, AU); SAMPSON; Christopher Bradley Rodney; (Sydney, AU)</t>
  </si>
  <si>
    <t>G06V 10/40 20220101;  G06V 20/62 20220101;  G06T 2207/30204 20130101;  G06V 20/10 20220101;  G10L 13/02 20130101;  G06Q 30/0283 20130101;  G06V 30/10 20220101;  G06F 9/541 20130101;  G06V 20/68 20220101;  G06T 7/70 20170101;  G06Q 20/322 20130101;  G06N 3/04 20130101;  G06K 9/6217 20130101;  G06K 9/6267 20130101</t>
  </si>
  <si>
    <t>In some embodiments, a method can include executing a first model to     extract a first region of interest (ROI) image and a second ROI image     from an image that shows an item and an indication of information     associated to the item. The first ROI image can include a portion of the     image showing the item and the second ROI image can include a portion of     the image showing the indication of information. The method can further     include executing a second model to identify the item from the first ROI     image and generate a representation of the item. The method can further     include executing a third model to read the indication of information     associated to the item from the second ROI image and generate a     representation of information.</t>
  </si>
  <si>
    <t>US20220138373</t>
  </si>
  <si>
    <t>EPIDEMIC FORECASTING MODEL FOR POLICIES OF PREVENTION, CONTROL AND     ISOLATION</t>
  </si>
  <si>
    <t>17/213375</t>
  </si>
  <si>
    <t>BEIHANG UNIVERSITY</t>
  </si>
  <si>
    <t>SHI; Honghao; (BEIJING, CN); WANG; Jingyuan; (BEIJING, CN)</t>
  </si>
  <si>
    <t>G06F 30/20 20200101</t>
  </si>
  <si>
    <t>An epidemic forecasting model for policies of prevention, control and     isolation is disclosed, including: establishing a SUEIR model; dividing,     by the SUEIR model, population according to an ability of infection and a     way of infection; classifying patients further into three states:     unconfirmed, confirmed but not in isolation, and confirmed and in     isolation; calculating a number of people in each state in the future by     using the SUEIR model; and accumulating the number of people in the     confirmed state to realize the forecasting of the number of confirmed     cases. The disclosure not only accurately forecasts the number of     confirmed cases, but also explains various policies of prevention and     control.</t>
  </si>
  <si>
    <t>US20220138347</t>
  </si>
  <si>
    <t>RISK EVALUATION OF TRANSMISSION OF PATHOGENS IN A SPACE</t>
  </si>
  <si>
    <t>17/083349</t>
  </si>
  <si>
    <t>MCDONAGH; JAMES; (Frodsham, GB); PENA MONFERRER; CARLOS; (Warrington, GB); FRACCARO; PAOLO; (Warrington, GB); GARDINER; LAURA-JAYNE; (Wirral, GB); HOANG; Lan Ngoc; (Lymm, GB); Yoxall; Peter; (Warrington, GB)</t>
  </si>
  <si>
    <t>G16H 50/50 20180101;  A61B 2576/00 20130101;  G06Q 50/265 20130101;  G06Q 50/163 20130101;  G06Q 10/10 20130101;  A61B 5/7275 20130101;  A61B 2560/0252 20130101;  G16H 50/20 20180101;  G06N 3/08 20130101;  G06F 21/6254 20130101;  G16H 50/80 20180101;  G16H 40/20 20180101;  G16H 50/30 20180101</t>
  </si>
  <si>
    <t>Evaluating certain risks that are involved with respect to the     transmission of pathogens in a given physical space. Some aspects of the     present invention include applying privacy-preserving artificial     intelligence (AI) algorithms and physics-based simulations on image data     to characterize the potential source of pathogens. A multi-outcome     artificial intelligence (AI) model that identifies object interactions     and human actions, combined with physics-based simulations is used to     accurately evaluate pathogen load distributions and infection risks.</t>
  </si>
  <si>
    <t>US20220138300</t>
  </si>
  <si>
    <t>DETECTING APNEIC EPISODES VIA BREATHING ANALYSIS BY CORRELATION TO     ENVIRONMENTAL CONDITIONS AND BIOFEEDBACK</t>
  </si>
  <si>
    <t>17/573348</t>
  </si>
  <si>
    <t>US20220138241</t>
  </si>
  <si>
    <t>Health Risks</t>
  </si>
  <si>
    <t>User-Focused, Ontological, Automatic Text Summarization</t>
  </si>
  <si>
    <t>17/514179</t>
  </si>
  <si>
    <t>Battelle</t>
  </si>
  <si>
    <t>BATTELLE</t>
  </si>
  <si>
    <t>Chen; Po-Hsu; (Dublin, OH); Vasko; Jordan L.; (Columbus, OH); Gauthier; Mitch R.; (Columbus, OH); Leibrand; Amy; (Columbus, OH)</t>
  </si>
  <si>
    <t>The present disclosure is directed to systems and methods of providing     systems and methods of autonomously generating summary documents based,     at least in part, on a plurality of queries provided by a system user.     The systems and methods disclosed herein include processor circuitry to     identify a plurality of information sources for a specific topic guided     by an ontology with specific concepts and relations. The systems and     methods disclosed herein also include processor circuitry to generate     user-focused extractive text summarization from each of at least some of     the plurality of identified information sources using a plurality of     queries supplied by the user/researcher.</t>
  </si>
  <si>
    <t>US20220137730</t>
  </si>
  <si>
    <t>MULTI-PURPOSE AUXILIARY DEVICE</t>
  </si>
  <si>
    <t>17/515588</t>
  </si>
  <si>
    <t>WU JUNG</t>
  </si>
  <si>
    <t>WU; JUNG; (Taipei City, TW)</t>
  </si>
  <si>
    <t>G06F 3/044 20130101;  G06F 3/03545 20130101</t>
  </si>
  <si>
    <t>A multi-purpose auxiliary device includes: a first body having a holding     portion and docking portion, a second body combined with the first body,     and a round head kit sleeved on the first body. The docking portion has a     semi-spherical enlarged portion having configurations for key operations.     When the round head kit is sleeved on the center pillar of the enlarged     portion, the first body serves as a capacitive stylus for operating an     LCD monitor. When the round head kit is not sleeved on the center pillar,     the first body serves as a resistive stylus for operating the LCD     monitor, or serves as an electronic credit card signature by using an     edge of the holding portion, thus providing versatility and frequency of     use for the auxiliary device, and preventing effects of dirt or germs on     hands.</t>
  </si>
  <si>
    <t>US20220137066</t>
  </si>
  <si>
    <t>PHOTOCLEAVABLE MASS-TAGS FOR MULTIPLEXED MASS SPECTROMETRIC IMAGING OF     TISSUES USING BIOMOLECULAR PROBES</t>
  </si>
  <si>
    <t>17/399434</t>
  </si>
  <si>
    <t>AMBERGEN, INC.</t>
  </si>
  <si>
    <t>AMBERGEN</t>
  </si>
  <si>
    <t>Lim; Mark J.; (Reading, MA); Yagnik; Gargey; (Hopkinton, MA); Rothschild; Kenneth J.; (Newton, MA)</t>
  </si>
  <si>
    <t>The field of this invention relates to immunohistochemistry (IHC) and in     situ hybridization (ISH) for the targeted detection and mapping of     biomolecules (e.g., proteins and miRNAs) in tissues or cells for example,     for research use and for clinical use such by pathologists (e.g.,     biomarker analyses of a resected tumor or tumor biopsy). In particular,     the use of mass spectrometric imaging (MSI) as a mode to detect and map     the biomolecules in tissues or cells for example. More specifically, the     field of this invention relates to photocleavable mass-tag reagents which     are attached to probes such as antibodies and nucleic acids and used to     achieve multiplex immunohistochemistry and in situ hybridization, with     MSI as the mode of detection/readout. Probe types other than antibodies     and nucleic acids are also covered in the field of invention, including     but not limited to carbohydrate-binding proteins (e.g., lectins),     receptors and ligands. Finally, the field of the invention also     encompasses multi-omic MSI procedures, where MSI of photocleavable     mass-tag probes is combined with other modes of MSI, such as direct     label-free MSI of endogenous biomolecules from the biospecimen (e.g.,     tissue), whereby said biomolecules can be intact or digested (e.g.,     chemically digested or by enzyme).</t>
  </si>
  <si>
    <t>US20220137065</t>
  </si>
  <si>
    <t>17/399417</t>
  </si>
  <si>
    <t>G01N 2458/15 20130101;  G01N 33/6851 20130101;  C12Q 1/6841 20130101</t>
  </si>
  <si>
    <t>US20220137064</t>
  </si>
  <si>
    <t>NOVEL PHOTOCLEAVABLE MASS-TAGS FOR MULTIPLEXED MASS SPECTROMETRIC IMAGING     OF TISSUES USING BIOMOLECULAR PROBES</t>
  </si>
  <si>
    <t>17/399390</t>
  </si>
  <si>
    <t>G01N 33/6851 20130101;  G01N 2458/15 20130101</t>
  </si>
  <si>
    <t>US20220137033</t>
  </si>
  <si>
    <t>RAPID TEST BREATHALYZER AND METHODS OF USE THEREOF</t>
  </si>
  <si>
    <t>17/644896</t>
  </si>
  <si>
    <t>JLABS, CO.</t>
  </si>
  <si>
    <t>JLABS</t>
  </si>
  <si>
    <t>HUSAIN; JAMIL; (ARLINGTON, VA); DAWSON; JEFFREY; (ARLINGTON, VA); WHITE; DAVID; (ARLINGTON, VA)</t>
  </si>
  <si>
    <t>Described herein are rapid breath testing devices, systems and methods.     The device may include a mouthpiece operable to receive air flow from a     breath; and a cassette comprising a biosensor and a cassette conduit, the     cassette removably connected to the mouthpiece such that at least a     sample of the air flow passes through the cassette conduit and over the     biosensor. The biosensor may include a plurality of graphene-based     sensors and may be operable to detect at least one volatile organic     compound in the air flow sample.</t>
  </si>
  <si>
    <t>US20220136996</t>
  </si>
  <si>
    <t>SENSOR HAVING GRAPHENE TRANSISTORS</t>
  </si>
  <si>
    <t>17/248477</t>
  </si>
  <si>
    <t>GRAPHENEA, S.A.</t>
  </si>
  <si>
    <t>GRAPHENEA</t>
  </si>
  <si>
    <t>Elias; Torres; (Donostia - San Sebastian, ES); Oihana; Txoperena; (Donostia - San Sebastian, ES); Amaia; Zurutuza; (Donostia - San Sebastian, ES)</t>
  </si>
  <si>
    <t>G01N 27/4145 20130101;  H01L 29/41733 20130101;  H01L 23/535 20130101;  G01N 27/308 20130101;  H01L 29/1606 20130101;  H01L 29/78696 20130101</t>
  </si>
  <si>
    <t>A sensor (20, 200, 1200, 30) for performing measurements is disclosed. It     comprises: a substrate (29, 129, 39); a plurality of graphene     field-effect transistors (GFET) (21, 121, 31) deposited on a central area     of the substrate (29, 129, 39); at least one source electrode (22, 122,     32) connected to the GFETs (21, 121, 31) through at least one first metal     track (23, 123, 33), wherein the at least one source electrode (22, 122,     32) is disposed at the periphery of the substrate (29, 39, 129); at least     one drain electrode (24A-24C, 124A-124D, 34) connected to the GFETs (21,     121, 31) through at least one second metal track (25A-25C, 125A-125D,     35), wherein the at least one drain electrode (24A-24C, 124A-124D, 34) is     disposed at the periphery of the substrate (29, 39, 129); and at least     one gate electrode (26, 26B, 126A-126D, 36), disposed at least in part at     the center of the substrate (29, 39, 129), wherein, in use of the sensor     (20, 200, 30), when a sample is deposited in contact with the gate     electrode (26, 26B, 126A-126D, 36) and the GFETs (21, 121, 31), the     sample allows gating between the gate electrode (26, 26B, 126A-126D, 36)     and the GFETs (21, 121, 31).</t>
  </si>
  <si>
    <t>US20220136941</t>
  </si>
  <si>
    <t>METHOD AND APPARATUS FOR THE RAPID DETECTION OF AIR-BORNE VIRUSES</t>
  </si>
  <si>
    <t>17/516207</t>
  </si>
  <si>
    <t>IONTRAP LLC</t>
  </si>
  <si>
    <t>IONTRAP</t>
  </si>
  <si>
    <t>Jenkins; Anthony; (North Reading, MA)</t>
  </si>
  <si>
    <t>Systems for processing a sample are disclosed. The systems include an     inlet for receiving the sample comprising target molecules, a filter in     fluid communication with the inlet, and an outlet in fluid communication     with the filter. The filter is configured to break down the target     molecules in the sample and produce breakdown products. The outlet is     configured to deliver the breakdown products to a detector.</t>
  </si>
  <si>
    <t>US20220136857</t>
  </si>
  <si>
    <t>Contact tracing; Tracking</t>
  </si>
  <si>
    <t>SAFETY-AWARE ROUTE RECOMMENDATION SYSTEM AND METHOD</t>
  </si>
  <si>
    <t>17/517307</t>
  </si>
  <si>
    <t>Rutgers University</t>
  </si>
  <si>
    <t>RUTGERS</t>
  </si>
  <si>
    <t>POMPILI; DARIO; (Hillsborough, NJ); ZONOUZ; SAMAN; (Jersey City, NJ); SADHU; VIDYASAGAR; (Fremont, CA)</t>
  </si>
  <si>
    <t>Various embodiments comprise systems, methods, architectures, mechanisms,     and apparatus providing location safety management implemented by     cooperating mobile devices that operate in a privacy-secured manner to     identify respective proximate infectious areas, build corresponding local     datasets of the infectious areas, and share the datasets or relevant     portions thereof with each other, such as in response to hierarchical     location-based requests for such data. The datasets may be used to adapt     the operation of navigation applications and the like so as to avoid     routes, seats or locations associated with infectious areas and/or     persons.</t>
  </si>
  <si>
    <t>US20220136116</t>
  </si>
  <si>
    <t>HYPOCHLOROUS ACID REFILL GENERATOR METHOD AND DEVICES</t>
  </si>
  <si>
    <t>17/120166</t>
  </si>
  <si>
    <t>GANAHL JOE</t>
  </si>
  <si>
    <t>GANAHL; JOE; (Honolulu, HI)</t>
  </si>
  <si>
    <t>C25B 9/65 20210101;  C02F 1/32 20130101;  B01F 23/53 20220101;  C25B 15/08 20130101;  B01F 2101/48 20220101;  C02F 2201/3222 20130101;  C25B 1/50 20210101;  B01F 33/50111 20220101;  C25B 1/26 20130101;  B01F 35/22142 20220101;  C25B 9/17 20210101;  C25B 15/029 20210101;  A61L 2/18 20130101;  B01F 33/5014 20220101;  C02F 2209/40 20130101</t>
  </si>
  <si>
    <t>The embodiments disclose an apparatus including at least one hypochlorous     acid generator for producing purified hypochlorous acid from purified     water and pure salt, a mixing tank container hypochlorous acid generator     for processing the purified water and pure salt, a cap with vent     configured to release gases created during an electrolysis operation, a     water intake port to fill the mixing tank container with fill water     automatically using an automatic system intake valve, a water drain port     to drain liquid from the mixing tank container, an AC port to route     external power circuits connections, at least one crossing double     electrode module configured to provide ultraviolet light to purify water     and perform electrolysis, an LCD control panel coupled to control buttons     to display processing status and operation control settings, and a     hypochlorous acid generator app on a user digital device to transmit     hypochlorous acid generator control settings.</t>
  </si>
  <si>
    <t>US20220136075</t>
  </si>
  <si>
    <t>METHOD FOR MULTIPLEX NUCLEIC ACID DETECTION BASED ON CLUSTERED REGULARLY     INTERSPACED SHORT PALINDROMIC REPEAT</t>
  </si>
  <si>
    <t>17/648180</t>
  </si>
  <si>
    <t>SHANDONG SHUNFENG BIOTECHNOLOGY CO., LTD.</t>
  </si>
  <si>
    <t>SHANDONG SHUNFENG BIOTECHNOLOGY</t>
  </si>
  <si>
    <t>LIANG; Yafeng; (Jinan, CN); SUN; Jie; (Jinan, CN); LIU; Ruiheng; (Jinan, CN)</t>
  </si>
  <si>
    <t>A method for multiplex nucleic acid detection based on clustered     regularly interspaced short palindromic repeat (CRISPR), a system, and a     kit for detecting a target nucleic acid based on CRISPR are provided. The     detection method includes: adding any one, any two, any three, or four     from the group consisting of a first nucleic acid detection composition,     a second nucleic acid detection composition, a third nucleic acid     detection composition, and a fourth nucleic acid detection composition to     a reaction system with a target nucleic acid to achieve the multiplex     detection of the target nucleic acid.</t>
  </si>
  <si>
    <t>US20220136074</t>
  </si>
  <si>
    <t>ISOTHERMAL AMPLIFICATION AND AMBIENT VISUALIZATION IN A SINGLE TUBE FOR     THE DETECTION OF SARS-COV-2 USING LOOP-MEDIATED AMPLIFICATION AND CRISPR     TECHNOLOGY</t>
  </si>
  <si>
    <t>17/519670</t>
  </si>
  <si>
    <t>GOVERNORS OF THE UNIVERSITY OF ALBERTA</t>
  </si>
  <si>
    <t>GOVERNORS UNIVERSITY ALBERTA</t>
  </si>
  <si>
    <t>PANG; Bo; (Edmonton, CA); ZHANG; Hongquan; (Ottawa, CA); TYRRELL; David Lorne; (Edmonton, CA); LE; Xiaochun Chris; (Edmonton, CA)</t>
  </si>
  <si>
    <t>C12Q 1/6844 20130101;  C12N 9/22 20130101;  C12Q 1/701 20130101</t>
  </si>
  <si>
    <t>Isothermal amplification and ambient visualization in a single tube for     the detection of SARS-CoV-2 using loop-mediated amplification and CRISPR     technology.</t>
  </si>
  <si>
    <t>US20220136036</t>
  </si>
  <si>
    <t>METHODS AND SYSTEMS OF PCR-BASED RECOMBINANT ADENO-ASSOCIATED VIRUS     MANUFACTURE</t>
  </si>
  <si>
    <t>17/578004</t>
  </si>
  <si>
    <t>APDN (B.V.I.), INC.</t>
  </si>
  <si>
    <t>APDN</t>
  </si>
  <si>
    <t>HOGAN; Michael E.; (Stony Brook, NY); HUGHES; Stephen; (Port Jefferson Station, NY); SUN; Yuhua; (Stony Brook, NY)</t>
  </si>
  <si>
    <t>C12N 2750/14143 20130101;  C12Q 1/6883 20130101;  C12N 2750/14122 20130101;  C12Q 1/6848 20130101;  C12N 7/00 20130101;  C12N 15/86 20130101;  C12N 2750/14152 20130101;  C12Q 1/686 20130101</t>
  </si>
  <si>
    <t>The invention relates to methods of treating diseases comprising     administering to a subject a composition comprising the recombinant     adeno-associated virus (rAAV). The rAAV is produced by a method     comprising: obtaining a template DNA sequence containing a     [ITR-cargo-ITR] DNA sequence motif; designing a PCR primer pair such that     the 3' terminus of both the forward and reverse PCR primers overlap only     about the last 2-8 bases of the A/A' ITR sequences and the 5' terminus of     both the forward and reverse PCR primers extend into about 20-35 bases of     the flanking sequences; performing PCR with cycling parameters comprising     a combined annealing/extension step at a temperature greater than     70.degree. C., thereby producing a plurality of amplicon polynucleotides     containing the desired [ITR-cargo-ITR] DNA sequence motif; transfecting     the amplicon polynucleotides containing the desired [ITR-cargo-ITR] DNA     sequence motif into a packaging cell line; and purifying the lysed cells     to collect a quantity of rAAV.</t>
  </si>
  <si>
    <t>US20220135952</t>
  </si>
  <si>
    <t>Culture Medium</t>
  </si>
  <si>
    <t>17/410126</t>
  </si>
  <si>
    <t>KONINKLIJKE NEDERLANDSE AKADEMIE VAN WETENSCHAPPEN</t>
  </si>
  <si>
    <t>Sachs; Lars Norman; (Utrecht, NL); Drost; Jarno; (Utrecht, NL)</t>
  </si>
  <si>
    <t>The invention relates to improved culture methods for expanding     epithelial stem cells and obtaining organoids, to culture media involved     in said methods, and to uses of said organoids.</t>
  </si>
  <si>
    <t>US20220135939</t>
  </si>
  <si>
    <t>METHODS FOR DETECTING DISEASES AND DISORDERS CHARACTERIZED BY ABERRANT RED     BLOOD CELL AGGREGATION</t>
  </si>
  <si>
    <t>17/383404</t>
  </si>
  <si>
    <t>AMERIMMUNE LLC</t>
  </si>
  <si>
    <t>AMERIMMUNE</t>
  </si>
  <si>
    <t>ALPAN; Oral; (Fairfax, VA); PLASSMEYER; Matthew; (Fairfax, VA)</t>
  </si>
  <si>
    <t>This invention addresses accurately and rapidly diagnosing diseases,     disorders, or conditions characterized by aberrant red blood cell     aggregation, including infections caused by RNA viruses, particularly     those caused by positive-sense, single-stranded RNA viruses, known to     cause human disease. Examples of such viruses include various     betacoronaviruses, including SARS-CoV, MERS-CoV, and SARS-CoV-2, that     later of which causes COVID-19, a potentially fatal illness.</t>
  </si>
  <si>
    <t>US20220135923</t>
  </si>
  <si>
    <t>DYNAMIC POLYMER SURFACES FOR SCREENING, ENRICHMENT, AND HARVESTING OF     CELLS AND OTHER SOFT COLLOIDAL PARTICLES</t>
  </si>
  <si>
    <t>17/514795</t>
  </si>
  <si>
    <t>University Of Georgia Research Foundation, Inc.</t>
  </si>
  <si>
    <t>UNIVERSITY GEORGIA RESEARCH FOUNDATION</t>
  </si>
  <si>
    <t>Kim; Yongwook; (Athens, GA); Laradji; Amine; (St. Louis, MO); Minko; Sergiy; (Athens, GA); Yadavalli; Nataraja Sekhar; (Athens, GA)</t>
  </si>
  <si>
    <t>Dynamic polymer surfaces are provided that include alternating     micropatterns of adhesive domains and environmental stimuli-responsive     repulsive domains, where application of a select environmental stimulus     activates polymer structures of the repulsive domains to change     conformation with respect to the adhesive domains. The dynamic polymer     surfaces are useful for sorting, screening, and enriching target     particles (such as cells) in a sample and for culturing and harvesting     cells. Products, such as cell culture systems, including the dynamic     polymer surfaces are also provided.</t>
  </si>
  <si>
    <t>US20220135702</t>
  </si>
  <si>
    <t>NEUROPILIN ANTIBODY NASAL SPRAY TO REDUCE COVID-19 TRANSMISSION</t>
  </si>
  <si>
    <t>17/514898</t>
  </si>
  <si>
    <t>A61K 47/44 20130101;  C07K 16/40 20130101;  A61K 47/02 20130101;  C07K 16/10 20130101;  A61K 9/0043 20130101;  C07K 16/2863 20130101</t>
  </si>
  <si>
    <t>An embodiment provides a method for preventing the transmission of     Covid-19, including: preparing a composition comprising an ACE2     monoclonal antibody, a Neuropilin-1 antibody, an antibody to the spike     protein of Sars-CoV-2, a vegetable oil, and a saline solution; and     spraying the composition in a nasal cavity of a patient. Other aspects     are described and claimed.</t>
  </si>
  <si>
    <t>US20220135654</t>
  </si>
  <si>
    <t>Single Domain Antibodies to SARS-CoV-2 Nucleocapsid Protein</t>
  </si>
  <si>
    <t>17/512837</t>
  </si>
  <si>
    <t>US GOV SEC ARMY</t>
  </si>
  <si>
    <t>Goldman; Ellen R.; (Germantown, MD); Anderson; George P.; (Bowie, MD); Liu; Jinny L.; (Ellicot City, DC); Esparza; Thomas J.; (Frederick, MD)</t>
  </si>
  <si>
    <t>C07K 2317/92 20130101;  C07K 16/468 20130101;  C07K 2317/565 20130101;  G01N 33/563 20130101;  C07K 2317/569 20130101;  G01N 33/56983 20130101;  C07K 16/10 20130101;  A61K 2039/507 20130101;  G01N 2333/165 20130101;  C07K 2317/31 20130101;  C07K 2317/21 20130101</t>
  </si>
  <si>
    <t>A number of single domain antibodies (sdAb, also known as nanobodies or     VHH) were developed that bind nucleocapsid protein of the SARS-CoV-2     virus. They are useful for detecting the virus and could also find     application in therapeutics.</t>
  </si>
  <si>
    <t>US20220135653</t>
  </si>
  <si>
    <t>Intranasal Antiviral Therapy for Mucosal Protection Against Virus     Infections</t>
  </si>
  <si>
    <t>17/502086</t>
  </si>
  <si>
    <t>BRAVADO PHARMACEUTICALS, LLC</t>
  </si>
  <si>
    <t>BRAVADO PHARMACEUTICALS</t>
  </si>
  <si>
    <t>McMillan; Brian; (Wesley Chapel, FL); Koontz; Ted; (Lutz, FL); Berberich; Molly; (Lutz, FL); Mandell; Ashley Nicole; (Wesley Chapel, FL); Kriston; Garrett James; (Clearwater, FL); Feliciano; Liznair Gonzalez; (Wesley Chapel, FL); Price; Emma; (Valrico, FL)</t>
  </si>
  <si>
    <t>C07K 16/10 20130101;  A61K 47/38 20130101;  A61K 47/02 20130101</t>
  </si>
  <si>
    <t>A topical intranasal antiviral composition for protecting against virus     infections. The composition comprises an antigen binder and a     pharmaceutical suspender material to allow effective delivery into the     nasal cavity. Examples of materials that could be used in the     pharmaceutical suspender are microcrystalline cellulose or sodium     carboxymethylcellulose (Na CMC). One particular target for the antigen     binder could be SARS-CoV-2. For example, the antigen binder could target     the S1 subunit of SARS-CoV-2. The composition could be made by a process     in which the pharmaceutical vehicle is prepared, and then the antigen     binder is added to the pharmaceutical vehicle to make a bioactive     mixture, and then adding solid sodium chloride to the bioactive mixture.     Also disclosed are methods of protection against virus infection using     the intranasal antiviral composition. For example, in the case of     SARS-CoV-2, the antigen binder would block the virus particles from     attaching to ACE2 receptors on host cells of the nasal mucosa or     nasopharynx. This blocking action would protect against virus infection.</t>
  </si>
  <si>
    <t>US20220135626</t>
  </si>
  <si>
    <t>MULTIVALENT PARTICLES COMPOSITIONS AND METHODS OF USE</t>
  </si>
  <si>
    <t>17/514572</t>
  </si>
  <si>
    <t>ACHELOIS BIOPHARMA, INC.</t>
  </si>
  <si>
    <t>ACHELOIS BIOPHARMA</t>
  </si>
  <si>
    <t>Chen; Chang-Zheng; (Palo Alto, CA); Dong; Guoqiang; (Union City, CA); Luo; Yiling; (South San Francisco, CA); Zhou; Hua; (San Mateo, CA); Sun; Tian-Qiang; (San Francisco, CA); Chen; Michael; (Palo Alto, CA)</t>
  </si>
  <si>
    <t>C12Y 304/17023 20130101;  C12N 9/485 20130101;  C07K 2319/03 20130101;  C07K 14/165 20130101</t>
  </si>
  <si>
    <t>Provided herein are multivalent particles and compositions of multivalent     particles for blocking viral infection.</t>
  </si>
  <si>
    <t>US20220135625</t>
  </si>
  <si>
    <t>SARS-COV-2 VIRUSES AND METHODS OF USE THEREOF</t>
  </si>
  <si>
    <t>17/556413</t>
  </si>
  <si>
    <t>UNIV NORTH CAROLINA CHAPEL HILL</t>
  </si>
  <si>
    <t>Baric; Ralph; (Haw River, NC); Dinnon, III; Harold Kenneth; (Chapel Hill, NC); Leist; Sarah Rebecca; (Carrboro, NC); Hou; Yixuan; (Chapel Hill, NC)</t>
  </si>
  <si>
    <t>C07K 14/005 20130101;  A61K 2039/53 20130101;  C12N 2770/18023 20130101;  C12N 7/00 20130101;  A61P 31/14 20180101;  C12N 2770/18071 20130101;  A61K 2039/5258 20130101;  C12N 2770/18034 20130101;  A61K 39/215 20130101;  G01N 33/56983 20130101;  C12N 2770/18022 20130101</t>
  </si>
  <si>
    <t>This invention relates to SARS-CoV-2 viruses adapted with nanoluciferase     reporter molecules and mouse-adapted SARS-CoV-2 viruses, compositions     including the same and methods of use thereof.</t>
  </si>
  <si>
    <t>US20220135624</t>
  </si>
  <si>
    <t>VIRUS-INSPIRED COMPOSITIONS AND METHODS OF REDIRECTING PREEXISTING IMMUNE     RESPONSES USING THE SAME FOR TREATMENT OF CANCER</t>
  </si>
  <si>
    <t>17/505466</t>
  </si>
  <si>
    <t>VERIMMUNE LLC</t>
  </si>
  <si>
    <t>VERIMMUNE</t>
  </si>
  <si>
    <t>WANG; Joshua Weiyuan; (Alexandria, VA); MATSUI; Ken; (Frederick, MD); STORM; Philip Alan; (Redwood City, CA); PETERS; Kristin Marie; (Reisterstown, MD)</t>
  </si>
  <si>
    <t>Disclosed are virus-inspired compositions and preparation methods     thereof, where the compositions comprise mutant papillomavirus L1     proteins that spontaneously form capsid backbones and that are conjugated     to a peptide comprising an epitope to form immune redirector capsids     (IRCs). The epitopes on the peptides are designed to be recognized by a     subject's immune system based on the subject's preexisting immune memory     developed from the subject's past exposure to the epitope through     infection or vaccination. The mutant papillomavirus L1 proteins possess     three mutations including an amino-terminal truncation, a     carboxy-terminal truncation, and a truncation at helix four. These     mutations in the L1 protein yield capsomeres that are form non-canonical     T=1 geometry capsid backbones. Disclosed are uses and methods of using     the compositions in treating and/or preventing cancers in subjects in     need thereof.</t>
  </si>
  <si>
    <t>US20220135520</t>
  </si>
  <si>
    <t>CRYSTALLINE     5-(DIMETHYLAMINO)-N-(4-(MORPHOLINOMETHYL)PHENYL)NAPHTHALENE-1-SULFONAMIDE     DI-HYDROCHLORIDE DI-HYDRATE</t>
  </si>
  <si>
    <t>17/506822</t>
  </si>
  <si>
    <t>GEN1E LIFESCIENCES INC.</t>
  </si>
  <si>
    <t>GEN1E LIFESCIENCES</t>
  </si>
  <si>
    <t>GALAN; ADAM; (ALAMEDA, CA); LAL; RITU; (PALO ALTO, CA); LUO; WENDY; (PALO ALTO, CA)</t>
  </si>
  <si>
    <t>C07B 2200/13 20130101;  C07C 311/29 20130101</t>
  </si>
  <si>
    <t>Crystalline     5-(dimethylamino)-N-(4-(morpholinomethyl)phenyl)naphthalene-1-sulfonamide     dihydrochloride dihydrate, methods of preparing the crystalline salt,     pharmaceutical compositions containing the crystalline salt, and methods     of treatment using the crystalline salt are disclosed.</t>
  </si>
  <si>
    <t>US20220135104</t>
  </si>
  <si>
    <t>SYSTEMS AND METHODS FOR DISPOSABLE SANITARY COVERS FOR SHOPPING CART     HANDLES</t>
  </si>
  <si>
    <t>17/575355</t>
  </si>
  <si>
    <t>9. SOLUTIONS TECHNOLOGY CO., LTD.CHRISTENSEN, BO</t>
  </si>
  <si>
    <t>SOLUTIONS</t>
  </si>
  <si>
    <t>Harris; Jonathan; (Phoenix, AZ)</t>
  </si>
  <si>
    <t>A sanitary cover arrangement for a shopping cart handle includes a     tubular base mount configured to be coupled around the shopping cart     handle, and a plurality of sanitary film layers configured to be coupled     to the shopping cart handle via the tubular base mount. A topmost layer     of the plurality of sanitary film layers is removable for exposing     another layer therebeneath for providing a sanitary surface for gripping     the shopping cart handle. The tubular base mount comprises a first half     and a second half moveable with respect to the first half to secure the     tubular base mount to the shopping cart handle. A tubular outer sleeve     may be provided for mounting the plurality of sanitary film layers.</t>
  </si>
  <si>
    <t>US20220134971</t>
  </si>
  <si>
    <t>Support Plates and Systems for Supporting a Liquid Dispenser Assembly, and     Liquid Dispenser Apparatuses</t>
  </si>
  <si>
    <t>17/094130</t>
  </si>
  <si>
    <t>The Sheek &amp; Co,</t>
  </si>
  <si>
    <t>SHEEK</t>
  </si>
  <si>
    <t>El Cheikh; Ronald; (Greenvale, AU); EL Cheikh; Pierre; (Kurnell, AU)</t>
  </si>
  <si>
    <t>B60R 2011/0008 20130101;  B60R 2011/0017 20130101;  B60R 11/00 20130101;  B60R 2011/0084 20130101;  B60R 15/00 20130101;  B60R 2011/0059 20130101</t>
  </si>
  <si>
    <t>Herein provided is a support plate that is configured for supporting a     liquid dispenser assembly, wherein a first side of the support plate     includes a lever lock system configured to attach to an air vent of a     vehicle; the lever lock system including: a rod protruding from the first     side of the support plate; a hook at an end of the rod remote from the     support plate; a spring that is compressible along the rod towards the     support plate; and a bracket member, wherein the bracket member may be     moved along the rod towards and away from the support plate, between an     open position wherein the spring is compressed and the bracket member is     distant from the hook, and a closed position wherein the bracket member     is pushed towards the hook by the spring, further provided herein is a     support system that is configured for supporting a liquid dispenser     assembly and includes a lock system configured to attach to a headrest of     a vehicle.</t>
  </si>
  <si>
    <t>US20220134370</t>
  </si>
  <si>
    <t>ELECTROSTATIC SPRAYER NOZZLE</t>
  </si>
  <si>
    <t>17/519259</t>
  </si>
  <si>
    <t>DIGITAL ALLY, INC.</t>
  </si>
  <si>
    <t>DIGITAL ALLY</t>
  </si>
  <si>
    <t>Farnham, IV; James W.; (Olathe, KS); Phillips; Steven L.; (Olathe, KS)</t>
  </si>
  <si>
    <t>A system and method for providing an electrostatic sprayer nozzle     assembly for dispensing a fluid in a stream of charged particles. The     nozzle assembly includes an interior chamber, a nozzle opening on the     rear side for receiving a nozzle therethrough, an electrode within the     interior chamber for providing a charge to the fluid particles, and a     visor connected to an outer surface configured to redirect lost fluid     that collects on the outer surface of the assembly back into the fluid     stream.</t>
  </si>
  <si>
    <t>US20220134329</t>
  </si>
  <si>
    <t>INTERNAL POSITIVE CONTROL FOR DIAGNOSTIC ASSAYS</t>
  </si>
  <si>
    <t>17/516909</t>
  </si>
  <si>
    <t>ANALOG DEVICES, INC.</t>
  </si>
  <si>
    <t>Analog Devices</t>
  </si>
  <si>
    <t>WU; Joyce; (Somerville, MA); DANYLIW; Edward Joseph; (San Francisco, CA); BOLOGNIA; David; (Charlestown, MA); BAI; Jiawen; (Brighton, MA)</t>
  </si>
  <si>
    <t>B01L 2200/10 20130101;  B01L 2300/047 20130101;  B01L 2300/0832 20130101;  B01L 2300/042 20130101;  B01L 2300/0663 20130101;  B01L 2300/044 20130101;  B01L 3/5029 20130101;  B01L 2300/043 20130101;  B01L 2200/16 20130101;  B01L 2300/0672 20130101;  B01L 2200/0689 20130101</t>
  </si>
  <si>
    <t>A method of verifying proper functionalization of a sensor and a negative     test result obtained by exposing a sensing element functionalized to     detect a target analyte to a test sample is described. The method may     include, subsequent to or simultaneously with the exposing the sensing     element to the test sample, exposing the sensing element to a test     confirmation sample, the test confirmation sample comprising at least one     of the target analyte in an amount greater than a detection limit of the     sensing element and a recombinant protein of the target analyte in an     amount greater than a detection limit of the sensing element and     performing a measurement using the sensing element to obtain a subsequent     test result.</t>
  </si>
  <si>
    <t>US20220134141</t>
  </si>
  <si>
    <t>SEALABLE FACE MASK</t>
  </si>
  <si>
    <t>17/090299</t>
  </si>
  <si>
    <t>HUMANTEC INC.</t>
  </si>
  <si>
    <t>HUMANTEC</t>
  </si>
  <si>
    <t>Copeland; Steven A.; (Barrie, CA); Teixeira; Nicholas; (Angus, CA)</t>
  </si>
  <si>
    <t>A face mask and method of use are disclosed. A base of the face mask is     placed around a lower region of the person's nose. A horizontal wall of     the base is positioned under the person's nose and first and second     bosses extending upwardly from the wall are positioned in the user's     nostrils. Holes in the bosses allow the user to breathe through their     nose. A filter assembly extends downwardly from the base and fits over     the person's mouth and under their chin. An elastic frame on the filter     assembly is press-sealed to the user's skin on either side of their mouth     and under their chin. The horizontal wall prevents airflow between the     environment and a space in front of the user's mouth. Exhaled and inhaled     air is forced to pass through the filter assembly's filter, trapping     infectious respiratory moisture droplets in the filter.</t>
  </si>
  <si>
    <t>US20220134140</t>
  </si>
  <si>
    <t>PPE WITH ROTATING ASSEMBLY PROVIDING MULTIPLE FACE COVERS</t>
  </si>
  <si>
    <t>17/577200</t>
  </si>
  <si>
    <t>GOLDEN GALAXY CORPORATION</t>
  </si>
  <si>
    <t>GOLDEN GALAXY</t>
  </si>
  <si>
    <t>Gong; Kevin; (Annendale, VA); Tang; Yisha; (Shenzhen, CN); Wenyi; Ouyang; (Shenzhen, CN); Chiuyin; Dai; (Shenzhen, CN); Bryan; Allen; (Redwood City, CA)</t>
  </si>
  <si>
    <t>A41D 13/1184 20130101;  A62B 18/10 20130101;  A62B 18/02 20130101;  A41D 2300/324 20130101;  A41D 13/1153 20130101;  A62B 18/04 20130101;  A41D 13/02 20130101;  A41D 27/28 20130101;  A62B 18/08 20130101;  A41D 31/30 20190201;  A62B 17/006 20130101;  A41D 2300/322 20130101;  A62B 23/02 20130101;  A41D 13/002 20130101;  A41D 2500/30 20130101;  A62B 7/02 20130101;  A41D 2300/332 20130101;  A41D 2300/32 20130101</t>
  </si>
  <si>
    <t>A personal protective device (PPE) comprising a face cover assembly and a     bodysuit configured to be worn by a human user. The device protects users     against airborne aerosol particles containing viruses or other infectious     agents while enabling improved flexibility relative to prior art designs.     The device includes a helmet-like" rotating face cover assembly that fits     over the user's head and attaches to a collar on the biohazard bodysuit.     This rotating face cover assembly has a plurality of different mask     sides, each with differing geometries or other properties. The device     enables a user to rotate (either manually or by electric motor) the masks     and select a given mask side that best meets that user's needs. The     different mask sides can accommodate different facial geometries, eyewear     types, and use cases, such as operation in more hostile environments.</t>
  </si>
  <si>
    <t>US20220134043</t>
  </si>
  <si>
    <t>VENTILATION SYSTEM WITH THREE-PORT VOLUME REGULATOR</t>
  </si>
  <si>
    <t>17/089345</t>
  </si>
  <si>
    <t>BOUGATEF ADEL</t>
  </si>
  <si>
    <t>BOUGATEF; ADEL; (San Antonio, TX)</t>
  </si>
  <si>
    <t>The disclosed invention provides a breathing circuit that includes a     volume regulator that includes only three ports which include an inlet     port connected to the exhalation port, a first outlet port connected to     atmosphere, and a second outlet port connected to the moisturizer     assembly. The breathing circuit is used for a ventilation system that     delivers breaths to a patient. The inlet port of the volume regulator     includes a flapper valve that moves only inward at an open position to     receive the exhaled gas from the patient. The first outlet port includes     a flapper valve that moves outward at an open position to exhaust gas in     the volume regulator into the atmosphere. The second outlet port includes     a flapper valve that moves only outward at an open position to exhaust     gas in the volume regulator into the moisturizer assembly.</t>
  </si>
  <si>
    <t>US20220134034</t>
  </si>
  <si>
    <t>CONTROLLING VENTILATION OF A PATIENT BASED ON FILTERED ELECTROCARDIOGRAM     MEASUREMENTS</t>
  </si>
  <si>
    <t>17/306425</t>
  </si>
  <si>
    <t>BIOSENSE WEBSTER (ISRAEL) LTD.</t>
  </si>
  <si>
    <t>BIOSENSE WEBSTER</t>
  </si>
  <si>
    <t>Govari; Assaf; (Haifa, IL); Altmann; Andres Claudio; (Binyamina, IL); Algawi; Yehuda; (Binyamina, IL); Aharon; Eran; (Haifa, IL)</t>
  </si>
  <si>
    <t>A61M 2202/0208 20130101;  A61M 16/16 20130101;  A61M 16/0063 20140204;  A61M 16/024 20170801;  A61M 2230/04 20130101</t>
  </si>
  <si>
    <t>A system, method and software product for detecting and controlling     respiratory status of a patient based on estimated respiratory status     that includes ventilating a patient using a first electrode, configured     to be coupled to a chest of the patient at a first position, and to     produce a first electrocardiogram (ECG) signal; a second electrode,     configured to be coupled to the chest at a second position different from     the first position, and to produce a second ECG signal; and a processor,     which is configured to: (i) produce a first filtered signal by applying a     first filter to the first ECG signal, and a second filtered signal by     applying a second filter to the second ECG signal, (ii) estimate, by     comparing between the first and second filtered signals, an electrical     impedance between the first and second electrodes, which is indicative of     a respiratory status of the patient, and (iii) control the ventilation     system to apply a ventilation scheme responsively to the estimated     electrical impedance.</t>
  </si>
  <si>
    <t>US20220134030</t>
  </si>
  <si>
    <t>PATHOGEN SENSING ADAPTORS FOR USE IN BREATHING CIRCUITS</t>
  </si>
  <si>
    <t>17/511083</t>
  </si>
  <si>
    <t>Medtronic</t>
  </si>
  <si>
    <t>Jenaro; Julio; (Galway, IE); McGuinness; Michael; (Galway, IE)</t>
  </si>
  <si>
    <t>A61M 16/0003 20140204;  A61M 2205/3306 20130101;  A61M 2230/40 20130101;  A61M 16/208 20130101;  A61M 2205/584 20130101</t>
  </si>
  <si>
    <t>A pathogen detection system includes a pathogen sensing adaptor that     detect pathogens present in the breathing circuit associated with a     ventilated patient. A pathogen sensing adaptor may include a conduit,     removable cartridges with testing strips, an optical sensor, and     communication circuitry. Upon detecting a colorimetric change on the     testing strip, the optical sensor generates a signal indicative of the     presence and/or level of pathogens.</t>
  </si>
  <si>
    <t>US20220133940</t>
  </si>
  <si>
    <t>FLUID CONDUIT DISINFECTOR</t>
  </si>
  <si>
    <t>17/090778</t>
  </si>
  <si>
    <t>BOLB INC.</t>
  </si>
  <si>
    <t>BOLB</t>
  </si>
  <si>
    <t>ZHANG; JIANPING; (SAN JOSE, CA); ZHOU; LING; (SAN JOSE, CA); Gao; Ying; (SAN JOSE, CA); Deng; Huazhong; (SAN JOSE, CA); Gordon; Peter; (SAN JOSE, CA); Le; Cuong; (SAN JOSE, CA)</t>
  </si>
  <si>
    <t>A61L 2209/14 20130101;  A61L 2209/12 20130101;  A61L 9/20 20130101;  B05B 1/18 20130101;  B05B 15/50 20180201</t>
  </si>
  <si>
    <t>A fluid conduit disinfector includes a conduit with a fluid disinfection     channel defined by inner side surface of the conduit, wherein the inner     side surface of the conduit is reflective with a germicidal ultraviolet     (GUV) light reflectance R of 50%-99%; a GUV light source for emitting GUV     light into the fluid disinfection channel; a fan for forcing a fluid to     be disinfected to flow through the fluid disinfection channel, and a     filter for filtering particles from the fluid. The fluid disinfection     channel may include a first section, a second section and a third     section, wherein the first section has a cylindrical shape with a first     diameter, the third section has a cylindrical shape with a third diameter     larger than the first diameter, the second section has a truncated     conical shape and is positioned between the first section and the third     section.</t>
  </si>
  <si>
    <t>US20220133929</t>
  </si>
  <si>
    <t>TURF AND LARGE SURFACE DECONTAMINATION SYSTEM</t>
  </si>
  <si>
    <t>17/512886</t>
  </si>
  <si>
    <t>CLEAN TECHNOLOGY INTERNATIONAL CORPORATION</t>
  </si>
  <si>
    <t>CLEAN</t>
  </si>
  <si>
    <t>Drake; Daniel V.; (Wichita, KS); Gray; Buddy D.; (Dellrose, TN)</t>
  </si>
  <si>
    <t>A61L 2202/15 20130101;  A61L 2202/16 20130101;  A61L 2/183 20130101;  A61L 2202/11 20130101;  A61L 2/22 20130101</t>
  </si>
  <si>
    <t>A turf decontamination system includes a mobile device coupled to a host     vehicle, an application system coupled to the mobile device, and a number     of nozzles. The decontamination system includes a liquid and an ozone     generator operative to create gaseous ozone. Each nozzle is configured to     receive and combine the gaseous ozone and the liquid to create an     ozone-liquid mixture. The ozone-liquid mixture is provided from an outlet     according to a desired spray pattern to decontaminate the turf or surface     beneath the system.</t>
  </si>
  <si>
    <t>US20220133928</t>
  </si>
  <si>
    <t>Antibodies; Pharma&amp;Biopharma</t>
  </si>
  <si>
    <t>DUAL POLAR AIR AND SURFACE PURIFICATION SYSTEM AND METHOD WITH PASSENGER     INTERFACE APPLICATION</t>
  </si>
  <si>
    <t>17/515306</t>
  </si>
  <si>
    <t>IONIC AIR, LLC</t>
  </si>
  <si>
    <t>IONIC AIR</t>
  </si>
  <si>
    <t>Stuck; Eric Edward; (Sharpsburg, GA)</t>
  </si>
  <si>
    <t>A dual polar ionization system that introduces ions into passenger     transports for the purpose of air and surface purification. The system     includes a dual polar ionization generator. The dual polar ionization     generator including a control system, a communication system, a positive     ion antenna, a negative ion antenna, and a power source. The     communication system transmits dual polar ionization output parameters.     The system also includes a dual polar ionization user interface for     displaying functionality of the dual polar ionization generator including     displaying a calculated ion output of the dual polar ionization     generator.</t>
  </si>
  <si>
    <t>US20220133927</t>
  </si>
  <si>
    <t>SYSTEM AND METHOD FOR DECONTAMINATION OF MATERIALS</t>
  </si>
  <si>
    <t>17/086900</t>
  </si>
  <si>
    <t>Raytheon Technologies</t>
  </si>
  <si>
    <t>RAYTHEON</t>
  </si>
  <si>
    <t>Puzella; Angelo M.; (Marlboro, MA); Mossoba; Joseph T.; (Wellesley, MA); Elsworth; Sharon A.; (Mason, NH); Sangiolo; John; (Auburndale, MA)</t>
  </si>
  <si>
    <t>A61L 2202/15 20130101;  H03F 2200/451 20130101;  H01Q 13/02 20130101;  H03F 3/245 20130101;  A61L 2/12 20130101;  H01P 1/38 20130101</t>
  </si>
  <si>
    <t>A system includes a container configured to hold one or more items     contaminated with a contaminant. The system also includes a power     amplifier configured to output radio frequency (RF) energy at a frequency     substantially equal to a resonant frequency of the contaminant. The     system further includes a horn connected to the power amplifier and     configured to propagate the RF energy along a length of the container and     through the one or more items to deactivate, damage, or destroy the     contaminant by molecular resonance. In addition, the system includes an     RF absorbing liner disposed on interior surfaces of the container and     configured to absorb and reduce reflection of at least some of the RF     energy.</t>
  </si>
  <si>
    <t>US20220133893</t>
  </si>
  <si>
    <t>Therapeutic Nanomaterials</t>
  </si>
  <si>
    <t>17/514390</t>
  </si>
  <si>
    <t>University Of Connecticut</t>
  </si>
  <si>
    <t>CONNECTICUT UNIVERSITY</t>
  </si>
  <si>
    <t>Chen; Yupeng; (Farmington, CT); Lee; Jinhyung; (Farmington, CT)</t>
  </si>
  <si>
    <t>A61K 31/722 20130101;  A61K 38/19 20130101;  A61K 38/363 20130101;  A61K 47/545 20170801;  A61K 31/727 20130101;  A61P 31/12 20180101;  A61K 31/51 20130101;  A61K 47/6929 20170801;  A61K 31/728 20130101;  A61K 31/194 20130101;  A61K 47/65 20170801;  A61K 31/519 20130101;  A61K 38/385 20130101;  A61K 38/40 20130101;  A61K 31/721 20130101</t>
  </si>
  <si>
    <t>Disclosed herein is a delivery vehicle based on DNA-inspired Janus based     nanotubes (JBNTs) for anti-viral treatment. The nanoparticles (NPs) are     based the JBNTs conjugated with targeting moieties such as small     molecules, aptamers, and peptides.</t>
  </si>
  <si>
    <t>US20220133885</t>
  </si>
  <si>
    <t>Antibodies; Immunity</t>
  </si>
  <si>
    <t>COMPOSITIONS AND METHODS EMPLOYING ADENOSINE DEAMINASE-1 (ADA-1) AS AN     ADJUVANT</t>
  </si>
  <si>
    <t>17/517535</t>
  </si>
  <si>
    <t>DREXEL UNIVERSITY</t>
  </si>
  <si>
    <t>El-Haddad; Elias; (Downingtown, PA); Tardif; Virginie Julie; (Saint-Jean-du-Cardonnay, FR); Kutzler; Michele Aileen; (Souderton, PA)</t>
  </si>
  <si>
    <t>C12N 9/78 20130101;  A61K 2039/55516 20130101;  C07K 2319/30 20130101;  A61K 39/215 20130101;  A61K 39/21 20130101;  C12Y 305/04004 20130101;  A61K 39/39 20130101</t>
  </si>
  <si>
    <t>Compositions and methods incorporating Adenosine deaminase-1 (ADA-1) as     an adjuvant. Polynucleotides encoding novel coding sequences,     polypeptides, vectors containing same, and methods of use are provided.</t>
  </si>
  <si>
    <t>US20220133880</t>
  </si>
  <si>
    <t>NOVEL SARS-COV-2 ANTIGENS AND USES THEREOF</t>
  </si>
  <si>
    <t>17/512902</t>
  </si>
  <si>
    <t>Massachusetts Institute of Technology</t>
  </si>
  <si>
    <t>MIT</t>
  </si>
  <si>
    <t>LOVE; J. Christopher; (Somerville, MA); RODRIGUEZ APONTE; Sergio Andre; (Cambridge, MA); DALVIE; Neil Chandra; (Cambridge, MA)</t>
  </si>
  <si>
    <t>C12N 7/00 20130101;  A61K 39/215 20130101;  C07K 14/165 20130101;  A61P 31/14 20180101</t>
  </si>
  <si>
    <t>The present disclosure relates to, inter alia, variants of the receptor     binding domain of a coronavirus (e.g., SARS-CoV-2) having increased     immunogenicity and reduced aggregation, and the use of the RBD variants     in methods for preventing infection of the coronavirus.</t>
  </si>
  <si>
    <t>US20220133879</t>
  </si>
  <si>
    <t>Immunity; Pharma&amp;Biopharma</t>
  </si>
  <si>
    <t>PORCINE EPIDEMIC DIARRHEA (PED) VIRUS VACCINE COMPOSITION AND PREPARATION     METHOD THEREOF</t>
  </si>
  <si>
    <t>17/435145</t>
  </si>
  <si>
    <t>BIOAPPLICATIONS INC</t>
  </si>
  <si>
    <t>BIOAPPLICATIONS</t>
  </si>
  <si>
    <t>Sohn; Eun-Ju; (Gyeongsangbuk-do, KR); Lee; Yong Jik; (Gyeongsangbuk-do, KR)</t>
  </si>
  <si>
    <t>The present invention relates to: a porcine epidemic diarrhea (PED) virus     protein comprising an amino acid sequence represented by SEQ ID NO:5; a     vaccine composition comprising same; and the like.</t>
  </si>
  <si>
    <t>US20220133876</t>
  </si>
  <si>
    <t>Influenza</t>
  </si>
  <si>
    <t>NOVEL RECOMBINANT INFLUENZA VIRUS HAVING IMMUNE AND THERAPEUTIC RESPONSES     TO HETEROLOGOUS INFLUENZA A VIRUS, AND GENETIC VECTOR AND THERAPEUTIC     VACCINE COMPRISING SAME</t>
  </si>
  <si>
    <t>17/431070</t>
  </si>
  <si>
    <t>I D BIO</t>
  </si>
  <si>
    <t>I BIO</t>
  </si>
  <si>
    <t>SI; Young-Jae; (Cheongju-si, KR); KWON; Hyuk-ll; (Cheongju-si, KR); CHOI; Yeo-Jeong; (Cheongju-si,, KR)</t>
  </si>
  <si>
    <t>The present disclosure relates to a novel recombinant influenza virus, in     which an interferon-beta gene, which is a foreign gene associated with an     antiviral action, is introduced to an NS1 gene which is an influenza     virus gene that is expressed first in the host to suppress the host     immune system when infected with the influenza virus, and, in contrast to     existing research, the interferon-beta is separated from the NS1 protein     to carry out an intrinsic function of interferon-beta of inducing an     antiviral action.</t>
  </si>
  <si>
    <t>US20220133875</t>
  </si>
  <si>
    <t>METHODS FOR PREVENTING DISEASE OR DISORDER CAUSED BY RSV INFECTION</t>
  </si>
  <si>
    <t>17/433732</t>
  </si>
  <si>
    <t>Novavax</t>
  </si>
  <si>
    <t>GLENN; Gregory; (Poolesville, MD)</t>
  </si>
  <si>
    <t>The present invention is generally related to modified or mutated     respiratory syncytial virus (RSV) fusion (F) proteins and methods for     making and using them, including immunogenic compositions such as     vaccines for the treatment and/or prevention of RSV infection.     Specifically, the disclosure provides a method of maternal immunization     comprising administering a composition comprising an RSV F protein and an     adjuvant to a pregnant woman carrying a gestational infant, wherein the     method induces an immune response against at least one symptom associated     with RSV lower respiratory tract infection (LRTI) in the infant following     birth.</t>
  </si>
  <si>
    <t>US20220133858</t>
  </si>
  <si>
    <t>PHARMACOLOGICAL COMPOSITIONS FOR THE TREATMENT AND PREVENTION OF     CORONAVIRUS DISEASE</t>
  </si>
  <si>
    <t>17/513395</t>
  </si>
  <si>
    <t>JAGER RAMA D</t>
  </si>
  <si>
    <t>JAGER RAMA</t>
  </si>
  <si>
    <t>Jager; Rama D.; (Oak Forest, IL)</t>
  </si>
  <si>
    <t>Compositions and methods for treatment and prevention of coronavirus     disease (COVID-19) and related diseases are provided. In one or more     embodiments, the composition comprises two or more active ingredients     selected from the group consisting of: ascorbic acid, cholecalciferol,     zinc (as zinc citrate dihydrate or other forms of elemental zinc), copper     (as copper gluconate or other forms of elemental copper),     epigallocatechin gallate (or other flavonoids found within green tea),     quercetin (as quercetin dihydrate or other forms of quercetin),     hesperidin, caffeic acid, bovine lactoferrin and derivatives of the     active ingredients.</t>
  </si>
  <si>
    <t>US20220133837</t>
  </si>
  <si>
    <t>PEPTIDE INHIBITORS OF NF KAPPA B AND USE THEREOF IN TREATMENT OF COVID-19     AND INFLAMMATORY DISEASES</t>
  </si>
  <si>
    <t>17/459842</t>
  </si>
  <si>
    <t>BHATNAGAR RAJENDRA SAHAI</t>
  </si>
  <si>
    <t>BHATNAGAR; Rajendra Sahai; (Burlingame, CA)</t>
  </si>
  <si>
    <t>Peptides and methods of use thereof, are disclosed for use in treating     disorders caused by the novel coronavirus SARS-CoV-2 or resulting from     COVID-19 disease, such as systemic inflammation or pneumonia. The     peptides modulate the activity of the transcription factor NF .kappa.B.</t>
  </si>
  <si>
    <t>US20220133833</t>
  </si>
  <si>
    <t>Tx; Vaccine</t>
  </si>
  <si>
    <t>Other; Pharma&amp;Biopharma</t>
  </si>
  <si>
    <t>USE OF GRAPE AND/OR SOY SUPPLEMENTS AGAINST COVID-19 AND 92 OTHER VIRUSES     AND BACTERIA INCLUDING OTHER UNKNOWN VIRUSES AND BACTERIA</t>
  </si>
  <si>
    <t>17/370994</t>
  </si>
  <si>
    <t>HOANG KIEU</t>
  </si>
  <si>
    <t>Hoang; Kieu; (Westlake Village, CA)</t>
  </si>
  <si>
    <t>The invention relates to RAAS Nutritionals food functional dietary     supplements derived from soybean (Glycine max), grape (vitis vinifera)     and rice (Oryza sativa) for prophylaxis and therapeutic treatment of     virus SARS-CoV-2, Acinetobacter baumanii, Bordetella pertussis,     parapertusis, bronchiseptica, Chlamydia trachomatis, Coronavirus-299E,     Coronavirus NL63, Coronavirus OC43, Coronavirus HKU1, Cytomegalovirus     CMV, Cytomegalovirus Human Herpesvirus-5, Enterobacter aerogenes,     Enterobacter cloacae, Enterovirus D, Fusobacterium nucleatum,     Fusobacterium necrophorum, Herpes simplex virus 1 (HSV-1), Herpes simplex     virus 2 (HSV-2), Human metapneumovirus, Klebisella pneumoniae, Klebisella     oxytoca, Moraxella catarrhalis, Meisseria gonorrhoeae, Proteus mirabilis,     Proteus vulgaris, Respiratory syncytial virus, Serratia marcescens,     Staphylococcus aureus, Streptococcus pneumoniae, Treponema pallidum,     CTX-M1 (15), CTX-M2 (2), CTX-M9 (9), CTX-M8/25 groups, ermB, ermC, mefA,     mecA, Per-lNEB-1/GES-1 Groups, SHV, KPC Groups, VanA, VanB, Adenovirus     Respiratory HAdV-B, Candida Albicans, Candida glabrata, Candida     parapsilosis, Candida tropicalis, Chlamydophila pneumoniae, EBV(Epstein     Barr Virus/Human Herpes Virus 4), Enterovirus A, Enterovirus B,     Enterovirus C, Escherichia coli, Haemophilus influenzae, Human     herpesvirus 3 (varicella zoster virus), Influenza A, Inluenza A/H1,     Influenza A/H3, Influenza A/H1-2009, Influenza B, Legionella pneumophila,     Mycoplasma pneumoniae, Parainfluenza virus 1, Parainfluenza 2 virus,     Parainfluenza 3 virus, Parainfluenza 4 virus, Pseudomonas aeruginosa,     Rhinovirus A, Rhinovirus B, Rhinovirus C, Staphylococcus coagulase     negative epidermis, Staphylococcus coagulase negative haemolyticus,     Staphylococcus coagulase negative lugdunensis, Staphylococcus agalactiae     (Group B Strep), Staphylococcus pyogenes (Group A strep), ACT, MIR, FOX,     ACC, dfr A1, dfr A5, sul 1 probe, sul 2 probe, IMP, NDM, VIM Groups,     OXA-48, OXA-51, qnrA1, qnrA2, qnrB2, tet B and tet M viruses, bacteria     and unknown new viruses and bacterias that we classify as Not Otherwise     Specified (NOS).</t>
  </si>
  <si>
    <t>US20220133829</t>
  </si>
  <si>
    <t>ANTIVIRAL COMPOSITIONS AND METHODS OF USING SAME</t>
  </si>
  <si>
    <t>17/127589</t>
  </si>
  <si>
    <t>THE AGA KHAN UNIVERSITY</t>
  </si>
  <si>
    <t>Khan; Farhan Raza; (Karachi, PK); Ali; Syed Tariq; (Karachi, PK); Kazmi; Syed Murtaza Raza; (Karachi, PK)</t>
  </si>
  <si>
    <t>The present disclosure generally relates to pharmaceutical mouth rinse     compositions comprising Neem oil that are useful for treating viral     infections, including coronavirus infections.</t>
  </si>
  <si>
    <t>US20220133786</t>
  </si>
  <si>
    <t>THERAPEUTIC MATERIAL WITH LOW pH AND LOW TOXICITY ACTIVE AGAINST AT LEAST     ONE PATHOGEN FOR ADDRESSING PATIENTS WITH RESPIRATORY ILLNESSES</t>
  </si>
  <si>
    <t>17/547794</t>
  </si>
  <si>
    <t>TYGRUS, LLC</t>
  </si>
  <si>
    <t>TYGRUS</t>
  </si>
  <si>
    <t>Bundschuh; Paul; (Austin, TX); Carlson; Lawrence; (North Branch, MI); Dolan; Shawn; (Sterling Heights, MI); Yaksic; Andrew M.; (Brighton, MI)</t>
  </si>
  <si>
    <t>A61K 33/00 20130101;  A61K 33/04 20130101;  A61K 31/198 20130101;  A61P 31/10 20180101;  A61P 31/04 20180101;  A61P 31/14 20180101;  A61P 31/16 20180101;  A61K 31/194 20130101;  A61K 33/20 20130101;  A61K 33/40 20130101;  A61K 31/19 20130101;  A61K 9/0078 20130101;  A61K 33/42 20130101</t>
  </si>
  <si>
    <t>Method and composition for treating or preventing a respiratory illness.     The method includes administering at least one dose of a pharmaceutically     acceptable fluid having a pH less than 3.0 into contact with at least one     region of the respiratory tract present in a patient in need thereof.     Respiratory illness that can be treated include COVID-19.</t>
  </si>
  <si>
    <t>US20220133785</t>
  </si>
  <si>
    <t>17/547712</t>
  </si>
  <si>
    <t>US20220133784</t>
  </si>
  <si>
    <t>Coronavirus; Pharma&amp;Biopharma</t>
  </si>
  <si>
    <t>MEDICINE FOR COVID-19 AND TREATMENT</t>
  </si>
  <si>
    <t>17/576773</t>
  </si>
  <si>
    <t>THERAPEUTICA BOREALIS OY C/O AVANCE ATTORNEYS LTD.</t>
  </si>
  <si>
    <t>THERAPEUTICA BOREALIS C/O AVANCE ATTORNEYS</t>
  </si>
  <si>
    <t>VAANANEN; Kalervo; (Turku, FI); KANGAS; Lauri; (Lieto, FI); RIHKO; Matti; (Turku, FI)</t>
  </si>
  <si>
    <t>The invention concerns a medicine and a prophylactic medicine for     COVID-19 disease. The inventive medicine targets the endosomic,     non-endosomic and/or intracellular viral pathways and inhibits them. The     best mode of the invention is considered to be the medicine that blocks     all three viral pathways. In the best mode the individual dose of a     constituent component of the medicine is arranged to a dosage size     sufficient to inhibit its designated SARS-CoV-2 viral pathway. This     allows the dose of a particular pharmacological agent to be smaller than     in a drug with just one kind of pharmacological agent. The best mode of     the invention shuts the two cell membrane viral pathways and the one     intracellular viral pathway with the minimum efficient dose, thereby     preventing drug overdose, and enabling prophylactic or preventive use.</t>
  </si>
  <si>
    <t>US20220133783</t>
  </si>
  <si>
    <t>ANTIVIRAL COMPOSITION AND USE OF THE SAME</t>
  </si>
  <si>
    <t>17/576098</t>
  </si>
  <si>
    <t>SALVACION USA INC.</t>
  </si>
  <si>
    <t>SALVACION USA</t>
  </si>
  <si>
    <t>GAFFAR; Abdul; (Lakewood Ranch, FL); CHO; Yeong Wan; (Palisades Park, NJ); YUN; Sei Young; (Daejeon, KR)</t>
  </si>
  <si>
    <t>A61K 9/1075 20130101;  A61K 47/16 20130101;  A61P 31/12 20180101;  A61K 33/34 20130101</t>
  </si>
  <si>
    <t>Provided are an antiviral composition containing a cationic antiviral     agent (cationic agent) and a copper salt to prevent, control or treat     viral infections in a mammal, particularly in the nasopharyngeal and     throat areas of humans and animals, and a method of preventing,     controlling or treating viral infections in a mammal using the same.</t>
  </si>
  <si>
    <t>US20220133669</t>
  </si>
  <si>
    <t>PHARMACEUTICAL COMPOSITIONS COMPRISING 15-HETRE AND METHODS OF USE THEREOF</t>
  </si>
  <si>
    <t>17/514381</t>
  </si>
  <si>
    <t>DS BIOPHARMA LIMITED</t>
  </si>
  <si>
    <t>DS BIOPHARMA</t>
  </si>
  <si>
    <t>Climax; John; (Dublin, IE); Coughlan; David; (Dublin, IE); Downes; Bill; (Dublin, IE); Nghiem; Tien; (Dublin, IE); Weissbach; Markus; (Dublin, IE); Hamza; Moayed; (Dublin, IE)</t>
  </si>
  <si>
    <t>A61K 45/06 20130101;  A61P 31/14 20180101;  A61K 9/0053 20130101;  A61P 3/10 20180101;  A61K 31/202 20130101</t>
  </si>
  <si>
    <t>Provided herein are pharmaceutical compositions comprising 15-HETrE and     methods of using the same to treat a variety of conditions and disorders.</t>
  </si>
  <si>
    <t>US20220133625</t>
  </si>
  <si>
    <t>Detect&amp;Monitor; Pharma&amp;Biopharma</t>
  </si>
  <si>
    <t>METHOD FOR ELIMINATING SPECIFIC PATHOGENIC MICROORGANISMS IN THE BODY</t>
  </si>
  <si>
    <t>17/182664</t>
  </si>
  <si>
    <t>HOCHREUTER JOACHIM</t>
  </si>
  <si>
    <t>Hochreuter; Joachim; (Brunnenthal, AT)</t>
  </si>
  <si>
    <t>A61K 31/355 20130101;  A61K 31/28 20130101;  A61K 31/315 20130101;  A61K 31/375 20130101;  A61K 41/0028 20130101;  A61K 9/0053 20130101;  A61K 9/0009 20130101;  A61K 33/00 20130101;  A61K 31/198 20130101;  A61K 31/232 20130101;  A61K 31/122 20130101;  A61K 31/593 20130101</t>
  </si>
  <si>
    <t>The method for eliminating microorganisms, allows to selectively     neutralize pathogens. The method includes a first step which includes     measuring the frequencies of pathogens within a human body which are at     high population present, resulting in further illnesses or symptoms. The     different sized pathogens are then applied a resonant frequency band to     pre-damage/crack/weaken the hulls of the microorganisms evenly. The     method further includes a second step rupturing the damaged hulls of the     pathogens or oxidation of the ARN/ADN in case of a virus with a safe dose     of an external oxidation product together with internal produced     eNOS-expression (ROS/RNS). The external product may include chlorine     dioxide in a watery solution of 0.75 ppm, vitamins, minerals and amino     acids to start eNOS-expression. The method further includes a third step     to deliberately terminating the activated oxidation processes. A fourth     step strengthens the immune system by filling depleted levels of     vitamins, minerals and amino acids.</t>
  </si>
  <si>
    <t>US20220133560</t>
  </si>
  <si>
    <t>Pronator</t>
  </si>
  <si>
    <t>17/443180</t>
  </si>
  <si>
    <t>BREAUX JOHN R</t>
  </si>
  <si>
    <t>BREAUX JOHN</t>
  </si>
  <si>
    <t>Breaux; John R.; (Slidell, LA)</t>
  </si>
  <si>
    <t>A61G 7/001 20130101;  A61G 7/0502 20130101</t>
  </si>
  <si>
    <t>This invention was developed in response to the need to move a patient     from the supine (face up) position to the prone (face down) position and     then back to the supine position after therapy is completed. There is the     additional option to stop halfway in the lateral decubitus position for     therapies which require the patient to be place on their side.</t>
  </si>
  <si>
    <t>US20220133432</t>
  </si>
  <si>
    <t>Tracking</t>
  </si>
  <si>
    <t>VACCINATION VERIFICATION BRACELET</t>
  </si>
  <si>
    <t>17/500492</t>
  </si>
  <si>
    <t>Guirguis, Marian Elizabeth</t>
  </si>
  <si>
    <t>GUIRGUIS MARIAN</t>
  </si>
  <si>
    <t>Guirguis; Marian Elizabeth; (Indianapolis, IN)</t>
  </si>
  <si>
    <t>G16H 10/65 20180101;  G09F 3/0297 20130101;  A61B 90/96 20160201;  G09F 3/005 20130101</t>
  </si>
  <si>
    <t>Vaccine status verification devices and systems for third parties to     determine and verify the vaccination status of a user. In one embodiment,     information relating to the vaccination status, vaccination date(s), and     optionally other information related to a user is stored on and     displayable from a bracelet worn by the user.</t>
  </si>
  <si>
    <t>US20220133283</t>
  </si>
  <si>
    <t>SWAB</t>
  </si>
  <si>
    <t>17/127604</t>
  </si>
  <si>
    <t>Sayani; Saleem; (Wynnewood, PA); Muqeet; Muhammad Abdul; (Karachi, PK); Hasan; Zahra; (Karachi, PK); Ahmed; Hafiz Imtiaz; (Karachi, PK)</t>
  </si>
  <si>
    <t>A61B 2010/009 20130101;  A61B 10/0051 20130101</t>
  </si>
  <si>
    <t>A swab is described that includes a handle, a connecting rod including a     ring groove, and a head having a shape of at least one of flagella or     pilus. The head includes one or more channels configured to collect     sample (e.g., specimen) from an anatomical part of a patient. The one or     more channels can store the sample while additional sample is being     collected. The head has an end that is convex. The handle includes a     circular disc to hold the swab. The connecting rod is configured to be     broken at the ring groove when pressure is applied to bend the swab. The     handle, the connecting rod, and the head form/are a single integrated     structure and are inseparable without breaking the single integrated     structure. The anatomical part can be a nose or a throat. Related     apparatuses, systems, techniques, methods and articles are also within     the scope of this disclosure.</t>
  </si>
  <si>
    <t>US20220133279</t>
  </si>
  <si>
    <t>METHOD AND LOCAL AND REGIONAL CLOUD INFRASTRUCTURE SYSTEM FOR PRESSURE     ELASTOGRAPHY MEASUREMENT DEVICES</t>
  </si>
  <si>
    <t>17/516942</t>
  </si>
  <si>
    <t>SURE, INC.</t>
  </si>
  <si>
    <t>SURE</t>
  </si>
  <si>
    <t>Bricker; Geoff; (Holly Ridge, NC); Ables; David; (Chappaqua, NY); Peterson; Joseph; (Palos Verdes Estates, CA)</t>
  </si>
  <si>
    <t>An exemplary method and system for a local cloud infrastructure are     disclosed for a pressure elastography-based measurement system, e.g., to     provide pre-screening/early screening for breast cancer detection and/or     mass detection. The exemplary system comprises a local appliance and     gateway that provides cloud infrastructure capabilities in a portable     manner to be deployable in a doctor's office or clinic. The exemplary     system can operate independently, as well as in conjunction with a     regional or global cloud infrastructure, to provide electronic medical     record capabilities, appointment management capabilities, as well as     teleradiology interface capabilities, e.g., to improve examination     workflow and reduce overall operation cost.</t>
  </si>
  <si>
    <t>US20220133187</t>
  </si>
  <si>
    <t>DEVICE AND METHOD FOR MEASURING BLOOD COMPONENTS</t>
  </si>
  <si>
    <t>17/542765</t>
  </si>
  <si>
    <t>The present disclosure is directed to a method and device to determine a     hemoglobin value of a mammal. The device includes a plurality of light     emitting diodes, one or more sensors and a processor.</t>
  </si>
  <si>
    <t>US20220133157</t>
  </si>
  <si>
    <t>SENSOR FUSION FOR MEASUREMENT OF PHYSIOLOGICAL PARAMETERS</t>
  </si>
  <si>
    <t>17/575673</t>
  </si>
  <si>
    <t>NEC Corporation</t>
  </si>
  <si>
    <t>NEC</t>
  </si>
  <si>
    <t>LEV; Tsvi; (Tel-Aviv, IL); HOCH; Yaacov; (Ramat-Gan, IL)</t>
  </si>
  <si>
    <t>A61B 5/02055 20130101;  A61B 5/18 20130101;  A61B 5/0022 20130101;  A61B 5/015 20130101;  A61B 5/7267 20130101;  A61B 5/6803 20130101;  A61B 5/4836 20130101;  A61B 2562/0271 20130101</t>
  </si>
  <si>
    <t>There is provided a system for measuring a physiological parameter of a     person indicative of physiological pathology, comprising: a plurality of     remote non-contact sensors, each of a different type of sensing modality,     at least one hardware processor executing a code for: simultaneously     receiving over a time interval, from each of the plurality of remote     non-contact sensors monitoring a person, a respective dataset,     extracting, from each respective dataset, a respective sub-physiological     parameter of a plurality of sub-physiological parameters, analyzing a     combination of the plurality of sub-physiological parameters, and     computing a physiological parameter indicative of physiological pathology     according to the analysis, wherein an accuracy of the physiological     parameter computed from the combination is higher than an accuracy of the     physiological parameter independently computed using any one of the     plurality of sub-physiological parameters.</t>
  </si>
  <si>
    <t>US20220133153</t>
  </si>
  <si>
    <t>SMART THERMOMETER AND METHOD FOR MEASURING BODY TEMPERATURE USING THE SAME</t>
  </si>
  <si>
    <t>17/084695</t>
  </si>
  <si>
    <t>LITTLEONE INC.</t>
  </si>
  <si>
    <t>LITTLEONE</t>
  </si>
  <si>
    <t>Lee; Byung Kyu; (Seoul, KR)</t>
  </si>
  <si>
    <t>A61B 5/0008 20130101;  A61B 5/746 20130101;  A61B 5/742 20130101;  A61B 5/01 20130101;  A61B 2562/0271 20130101</t>
  </si>
  <si>
    <t>A smart thermometer and a method for measuring body temperature using the     same are provided. The method for measuring body temperature using a     smart thermometer comprises: performing advertising in idle mode;     switching the smart thermometer to active mode and connecting to user     equipment; measuring body temperature by using a temperature sensor;     determining whether the measured body temperature stays below a first     threshold for a preset period of time; if the measured body temperature     stays below the first threshold for a preset period of time, switching to     idle mode and performing advertising; and if the measured body     temperature reaches or exceeds the first threshold within the preset     period of time, displaying the measured body temperature on a display     window and transmitting the measured body temperature to the user     equipment.</t>
  </si>
  <si>
    <t>US20220133114</t>
  </si>
  <si>
    <t>Autonomous Cleaning Robot</t>
  </si>
  <si>
    <t>17/516888</t>
  </si>
  <si>
    <t>Liu, Shiwei; Wang, Lishao; Cheng, Xiaoge; Zhang, Ran; Wang, Zibo</t>
  </si>
  <si>
    <t>LIU SHIWEI</t>
  </si>
  <si>
    <t>Liu; Shiwei; (Lehi, UT); Wang; Lishao; (Halifax, CA); Cheng; Xiaoge; (Beijing, CN); Zhang; Ran; (Beijing, CN); Wang; Zibo; (Zhuhai, CN)</t>
  </si>
  <si>
    <t>The present invention, in some embodiments thereof, relates to an     autonomous cleaning robot adapted to clean and/or disinfect an object or     environment comprising of a navigation means to navigate an environment     of operation to perform a cleaning and/or disinfection task, a target     acquisition means making the cleaning robot is capable of detecting     obstacles in its environment or objects or an environment for cleaning     and/or disinfection, and a disinfection means to clean and/or disinfect     detected object or an environment, the disinfection means being     electrostatically operated, whereby a disinfectant in the disinfection     means is charged by an electrostatic charge to increase adherence to an     object or an environment to reduce the amount of disinfectant used.     According to some embodiments, the navigation is autonomous, non-human     operated. According to another embodiments, the robot may be coupled to a     swarm intelligence via a high speed data link provided therefor.</t>
  </si>
  <si>
    <t>US20220132952</t>
  </si>
  <si>
    <t>FACE SHIELD ASSEMBLY AND METHOD</t>
  </si>
  <si>
    <t>17/574600</t>
  </si>
  <si>
    <t>POWELL STEVEN</t>
  </si>
  <si>
    <t>Powell; Steven; (New York, NY)</t>
  </si>
  <si>
    <t>A42B 1/22 20130101;  A42B 7/00 20130101;  A41D 13/1161 20130101</t>
  </si>
  <si>
    <t>A face shield and head covering combination is provided. The head     covering comprises a body and an attachment element. The body defines a     head opening configured to receive a user's head therethrough. The     attachment element is coupled to the body and configured to couple to a     face shield positionable on the user's face. The attachment element is     configured to transition between a first position on the body and a     second position on the body, wherein the second position is spaced from     the first position.</t>
  </si>
  <si>
    <t>US20220132859</t>
  </si>
  <si>
    <t>METHODS AND APPARATUS FOR FORMING ANTIMICROBIAL FILM</t>
  </si>
  <si>
    <t>17/507141</t>
  </si>
  <si>
    <t>Applied Materials</t>
  </si>
  <si>
    <t>APPLIED MATERIALS</t>
  </si>
  <si>
    <t>SOWWAN; Mukhles; (Cupertino, CA); BANNA; Samer; (San Jose, CA)</t>
  </si>
  <si>
    <t>C08L 23/06 20130101;  A01N 59/20 20130101;  C08L 23/12 20130101;  C09D 5/14 20130101;  C09D 1/00 20130101</t>
  </si>
  <si>
    <t>Methods and apparatus form antimicrobial films for sanitization of high     touch surfaces. In some embodiments, an antimicrobial film includes a     polymer layer with a first top surface and a bottom surface, at least one     microstructure on the first top surface of the polymer layer with the     microstructure having a second top surface, at least one nanostructure on     the second top surface of the at least one microstructure with at least     one nanostructure having an exposed surface, and an antimicrobial coating     formed on the first top surface of the polymer layer, the second top     surface of the at least one microstructure, and the exposed surface of     the at least nanostructure. An adhesive layer is formed on the bottom     surface to the polymer layer to allow the antimicrobial film to be     applied to the high touch surfaces.</t>
  </si>
  <si>
    <t>US20220132857</t>
  </si>
  <si>
    <t>Disinfecting Composition and Related Methods</t>
  </si>
  <si>
    <t>17/518896</t>
  </si>
  <si>
    <t>MIRZAEI ARASH</t>
  </si>
  <si>
    <t>Mirzaei; Arash; (Toronto, CA)</t>
  </si>
  <si>
    <t>A61K 8/9789 20170801;  A01N 25/04 20130101;  A61K 8/22 20130101;  A01N 65/08 20130101;  A01N 65/40 20130101;  A61Q 17/005 20130101;  A61K 8/9794 20170801;  A01N 59/00 20130101;  A01N 25/22 20130101;  A01P 1/00 20210801</t>
  </si>
  <si>
    <t>Described herein is a disinfectant composition comprising a hydrogen     peroxide source and a saponin source. An optional stabilizer, such as a     metal chelator, and/or a solvent, such as water, may also be included in     the compositions described herein. Also described are hand sanitizers and     methods for sanitizing surfaces using the composition described herein.</t>
  </si>
  <si>
    <t>US20220132840</t>
  </si>
  <si>
    <t>Electronic Device Sanitizer</t>
  </si>
  <si>
    <t>17/507957</t>
  </si>
  <si>
    <t>HENDRICKS TINA L</t>
  </si>
  <si>
    <t>HENDRICKS TINA</t>
  </si>
  <si>
    <t>Hendricks; Tina L.; (Falmouth, ME)</t>
  </si>
  <si>
    <t>A01N 31/02 20130101;  A01P 1/00 20210801;  A61L 2/18 20130101;  A01N 25/08 20130101</t>
  </si>
  <si>
    <t>A sanitizing wipe that kills bacteria and viruses on electronic devices     without damaging the device.</t>
  </si>
  <si>
    <t>US20220132838</t>
  </si>
  <si>
    <t>AIR FILTER WITH PATHOGEN MONITORING AND INACTIVATION</t>
  </si>
  <si>
    <t>17/507344</t>
  </si>
  <si>
    <t>INDUSTRIAL POLYMERS AND CHEMICALS, INC.</t>
  </si>
  <si>
    <t>INDUSTRIAL POLYMERS AND CHEMICALS</t>
  </si>
  <si>
    <t>Kennedy, lll; Thomas J.; (Wilbraham, MA); Dacey, JR.; Ralph G.; (Shrewsbury, MA)</t>
  </si>
  <si>
    <t>An improved technology for inactivation of viruses, for example the     SARS-CoV-2 virus that is causing the Covid-19 pandemic, is described. The     technology can include a device that includes a substrate coated in a     polymer that is infused with a pathogen inactivating material. In various     embodiments, at a given time, a portion of the pathogen inactivating     material is exposed to the environment, and the device is configured to     periodically or intermittently expose additional pathogen inactivating     material to the environment. For example, the polymer can be ablative or     sacrificial.</t>
  </si>
  <si>
    <t>US20220132604</t>
  </si>
  <si>
    <t>SYSTEM AND METHOD FOR IMPLEMENTING A BLUETOOTH DEVICE MANAGER MODULE</t>
  </si>
  <si>
    <t>17/449522</t>
  </si>
  <si>
    <t>JP Morgan Chase Bank, N.A.</t>
  </si>
  <si>
    <t>JP MORGAN CHASE BANK</t>
  </si>
  <si>
    <t>HUGHES; Stephen Anthony; (Sidcup, GB); THANKAPPAN; Suresh; (Shrewsbury, MA)</t>
  </si>
  <si>
    <t>H04W 48/16 20130101;  H04L 67/08 20130101;  H04W 48/18 20130101;  H04W 76/14 20180201</t>
  </si>
  <si>
    <t>A system and method for BT device management are disclosed. An end user     application and a desktop BT device management application running on a     VDI (virtual desktop infrastructure) session of a remote desktop are     provided. A processor transmits a first command from the VDI session to     an operating system running on a BT thin client device and scans all     available BT thin client devices that are in pairing mode. The BT thin     client devices that are in pairing mode are displayed on a window of the     remote desktop. A user input is received to select a desired BT thin     client device from the available BT thin client devices. The processor     transmits a second command from the operating system running on the BT     thin client device to a BT dongle attached to the BT thin client device     to pair the selected BT thin client device to the remote desktop.</t>
  </si>
  <si>
    <t>US20220132290</t>
  </si>
  <si>
    <t>Alert</t>
  </si>
  <si>
    <t>SYSTEMS AND METHODS FOR GENERATING EMERGENCY RESPONSE</t>
  </si>
  <si>
    <t>17/512952</t>
  </si>
  <si>
    <t>TG 17 LLC</t>
  </si>
  <si>
    <t>TG</t>
  </si>
  <si>
    <t>Kempel; Doron; (New York, NY); Lobovsky; Rich; (New York, NY); Malpartida; Jose; (New York, NY); Moshe; Elad; (Tel Aviv, IL)</t>
  </si>
  <si>
    <t>H04W 4/90 20180201;  H04L 67/306 20130101;  H04W 4/029 20180201</t>
  </si>
  <si>
    <t>Disclosed are systems and methods for dynamically providing emergency and     preventative information topics. A preventative information policy is     received for a set of users and comprises selected preventative     information topics and user parameters associated with the set of users.     A user profile is generated from the preventative information policy. One     or more dynamically determined emergency guideline topics are calculated     for a given user by analyzing a current user location against a database     of emergency event entries, each entry including a classification and a     location of an ongoing emergency event. A set of proximity-adjusted     emergency events is determined for the current user location and one or     more calculated relevance levels are applied, based at least in part on     the preventative information policy. A selectable user interface element     is generated for each dynamically determined emergency guideline topic     and selected preventative information topic, wherein the selectable user     interface elements indicate the calculated relevance levels.</t>
  </si>
  <si>
    <t>US20220132052</t>
  </si>
  <si>
    <t>IMAGING METHOD AND DEVICE</t>
  </si>
  <si>
    <t>17/509621</t>
  </si>
  <si>
    <t>EPILOG IMAGING SYSTEMS</t>
  </si>
  <si>
    <t>MOJAVER; Michael; (Aptos, CA); Mojaver; Lance; (Aptos, CA)</t>
  </si>
  <si>
    <t>A system for monitoring a human operator of critical equipment comprises     an imaging module; a biometric measurement module; a risk detection     module; and a risk response module. The imaging module includes a     multi-spectral light source configured to emit light in a first spectral     wavelength range for illuminating at least a portion of the human     operator; a camera configured to detect light received from the human     operator in a second spectral wavelength range; an imaging data generator     configured to generate image data based on the emitted light and detected     light. The biometric measurement module is configured to receive the     image data; and based on the image data, perform at least one biometric     measurement on the human operator. The risk detection module is     configured to establish a safety risk associated with the human operator;     and the risk response module is configured to based on the safety risk     generate a risk response.</t>
  </si>
  <si>
    <t>US20220130556</t>
  </si>
  <si>
    <t>HEALTH MANAGEMENT APPARATUS AND HEALTH MANAGEMENT SYSTEM</t>
  </si>
  <si>
    <t>17/511873</t>
  </si>
  <si>
    <t>CANON MEDICAL SYSTEMS CORPORATION</t>
  </si>
  <si>
    <t>CANON MEDICAL SYSTEMS</t>
  </si>
  <si>
    <t>FUJITA; Fuminori; (Nasushiobara, JP); KAWABATA; Yuichi; (Nasushiobara, JP); MORI; Kei; (Brookline, MA); SHIBATA; Junko; (Nasushiobara, JP)</t>
  </si>
  <si>
    <t>A health management apparatus according to an embodiment is provided with     processing circuitry. The processing circuitry is configured to acquire     vital data and activity history information of a subject. The processing     circuitry is configured to estimate a disease candidate of the subject     based on the acquired vital data and the acquired activity history     information. The processing circuitry is configured to cause a display, a     speaker, or a terminal to output a notification regarding the estimated     disease candidate or an interview item for determining a disease of the     subject from the disease candidate. The activity history information     includes at least information on a temperature of a space around the     subject, information on a movement history of the subject, and a history     of position information of the subject.</t>
  </si>
  <si>
    <t>US20220130555</t>
  </si>
  <si>
    <t>SENSOR DATA ANALYZING MACHINES</t>
  </si>
  <si>
    <t>17/568083</t>
  </si>
  <si>
    <t>ARONSON JEFFRY DAVID</t>
  </si>
  <si>
    <t>Aronson; Jeffry David; (Austin, TX)</t>
  </si>
  <si>
    <t>Scalable, configurable, universal, complete spectrum sensor data     analyzing machines are provided that make selected determinations from a     complete spectrum of cyber determinations regarding or utilizing sensor     observations or sensor observation subjects. Analyzing machines utilize     necessary resources and predetermined criteria in their making of     selected cyber determinations. Analyzing machines utilize measure points     in their accurate locating of selected analytically rich aspects,     characteristics, or features of or from sensor observation-derived     representations, analyzing machines assign appropriate informational     representations to selected analytically rich aspects, characteristics,     features, or measure points, which are stored in concise datasets where     they can be utilized in real-time or thereafter by analyzing machines in     their making of selected cyber determinations regarding or utilizing     sensor observations or sensor observation subjects. Analyzing machines     are configurable for being utilized, in whole or part, as touchless user     interfaces, 100% accurate, constantly performed cyberspace identity     tests, or universal health metrics monitors.</t>
  </si>
  <si>
    <t>US20220130532</t>
  </si>
  <si>
    <t>Methods for Managing Digital Work Flow</t>
  </si>
  <si>
    <t>17/510729</t>
  </si>
  <si>
    <t>LEMCHEN MARC</t>
  </si>
  <si>
    <t>Lemchen; Marc; (New York, NY)</t>
  </si>
  <si>
    <t>A method for managing a dental work flow using digital automation. After     a remote consultation, the patient is sent a portable scanning wand or     device by a dental professional. The patient performs a self intra-oral     scan as directed and then transmits the video over a network such as the     internet. Before the dental professional can review the transmitted data,     a data management module analyzes the transmitted video using a suite of     artificial intelligence (AI) tools and automatically prepares an original     report or summary which details any likely issues present within the     patient's teeth. An additional supplemental report may also be generated     by the suite of AI tools which lists any required treatments, any     possible elective treatments, and any further treatment options that may     be provided responsively to the patient. The dental professional can then     form a diagnosis for the patient and then send the diagnosis directly to     the patient.</t>
  </si>
  <si>
    <t>US20220130531</t>
  </si>
  <si>
    <t>MULTI-SPECIALTY INTEGRATED CARE SCHEDULING SYSTEM</t>
  </si>
  <si>
    <t>17/539899</t>
  </si>
  <si>
    <t>KADRI MEDICAL LTD.</t>
  </si>
  <si>
    <t>KADRI MEDICAL</t>
  </si>
  <si>
    <t>Kadri; Albert; (Windsor, CA); Kadri; Mohammed; (Windsor, CA)</t>
  </si>
  <si>
    <t>G16H 80/00 20180101;  B60K 2370/148 20190501;  B60W 60/00253 20200201;  B60K 35/00 20130101;  G16H 50/30 20180101;  A61B 5/6893 20130101;  G16H 40/20 20180101;  G16H 40/67 20180101</t>
  </si>
  <si>
    <t>A method of automated medical scheduling of an autonomous vehicle to pick     up a patient including the steps of receiving data on a processor via a     checklist, said data being a plurality of predetermined physical     conditions of a patient, each of the plurality of predetermined physical     conditions having a predetermined assigned weight based on level of     severity, generating a summation of the total weight for each     predetermined physical condition, generating a predetermined specialty     acuity score by comparing the corresponding range of the total weight and     generating a report to output of the specialty acuity score, the     specialty acuity score used to determine priority of scheduling patients     in a system. A specialty acuity score may be generated for each system     affected, the systems each assigned a value of 1. A comorbidity score may     be generated by the summation of each system.</t>
  </si>
  <si>
    <t>US20220130529</t>
  </si>
  <si>
    <t>Data Mining; Management</t>
  </si>
  <si>
    <t>Data Integration; General</t>
  </si>
  <si>
    <t>MEDICAL FACILITY REMOTE PATIENT ASSIGNMENT SYSTEMS AND METHODS</t>
  </si>
  <si>
    <t>17/510986</t>
  </si>
  <si>
    <t>QATAR FOUNDATION FOR EDUCATION, SCIENCE AND COMMUNITY DEVELOPMENT</t>
  </si>
  <si>
    <t>QATAR FOUNDATION FOR EDUCATION</t>
  </si>
  <si>
    <t>Al-Abbasi; Abubakr O.; (Doha, QA); Samara; Lutfi; (Doha, QA); Hamila; Ridha; (Doha, QA); Al-Dhahir; Naofal; (Doha, QA); Salem; Saeed; (Doha, QA)</t>
  </si>
  <si>
    <t>The provided systems and methods are designed to account for the requests     of multiple patients demanding a form of medical intervention from a     medical facility (MF) in their vicinity. Unlike the majority of existing     approaches, the provided systems and methods differentiate between     patient requests by prioritizing the requests with higher urgency over     others that can tolerate more delay. Moreover, the provided systems and     methods enjoy lower design complexity since the instantaneous queue     length (number of patients) in each medical facility is not necessarily     needed in at least some aspects. Instead, in such aspects, only average     queue length is involved in taking the dispatch actions for patient     requests to medical facilities. The intervention can vary from a routine     consultation/meeting with a healthcare service provider to urgent     hospital admission.</t>
  </si>
  <si>
    <t>US20220130518</t>
  </si>
  <si>
    <t>SYSTEMS AND METHODS FOR MENTAL HEALTH ASSESSMENT</t>
  </si>
  <si>
    <t>17/516477</t>
  </si>
  <si>
    <t>TIBI HEALTH, INC.</t>
  </si>
  <si>
    <t>TIBI HEALTH</t>
  </si>
  <si>
    <t>OZEN IRMAK; Simal; (San Francisco, CA); IRMAK; Utku; (San Francisco, CA)</t>
  </si>
  <si>
    <t>The present disclosure provides methods and systems for monitoring mental     health of a subject. The methods and systems may comprise: (a) collecting     data attributable to the subject at different time points; (b) providing     the data to a computer system programmed with a machine learning     algorithm, where the machine learning algorithm may process the data and     may determine a status of mental health of the subject; and (c) providing     the status of mental health of said subject to a recipient. The data may     be derived from answers to inquiries provided on a plurality of requests     individualized to the subject.</t>
  </si>
  <si>
    <t>US20220130501</t>
  </si>
  <si>
    <t>CLINICAL DRUG TRIAL DATA ENRICHING USING ACTIVITY AND BEHAVIORAL ANALYTICS     CAPTURED WITH PERSONAL DEVICES AND APPS</t>
  </si>
  <si>
    <t>17/573259</t>
  </si>
  <si>
    <t>Keith, Jr.; Robert O.; (San Jose, CA); Manjunath; Sanju; (San Jose, CA)</t>
  </si>
  <si>
    <t>G16H 40/63 20180101;  G16H 10/20 20180101;  G16H 50/20 20180101</t>
  </si>
  <si>
    <t>US20220130035</t>
  </si>
  <si>
    <t>TEMPERATURE MONITORING WITH A THERMAL CAMERA</t>
  </si>
  <si>
    <t>17/080506</t>
  </si>
  <si>
    <t>Addison; Paul S.; (Edinburgh, GB); Smit; Philip C.; (Hamilton, GB); Addison; Anthony P.; (Edinburgh, GB)</t>
  </si>
  <si>
    <t>An example system includes a thermal camera, a memory, and processing     circuitry coupled to the thermal camera and the memory. The processing     circuitry is configured to acquire a core temperature of a patient and     acquire a first thermal image associated with the patient. The processing     circuitry is configured to determine, based on the first thermal image, a     first sensed temperature of a location associated with the patient. The     processing circuitry is configured to determine a core temperature delta     between the core temperature and the first sensed temperature. The     processing circuitry is configured to acquire a second thermal image     associated with the patient. The processing circuitry is configured to     determine, based on the second thermal image, a second sensed     temperature. The processing circuitry is configured to determine, based     on the second sensed temperature and the core temperature delta, a     measure of the core temperature.</t>
  </si>
  <si>
    <t>US20220129999</t>
  </si>
  <si>
    <t>SYSTEMS AND METHODS FOR DYNAMIC TRAVEL PLANNING</t>
  </si>
  <si>
    <t>17/515844</t>
  </si>
  <si>
    <t>Johnson Controls</t>
  </si>
  <si>
    <t>JOHNSON CONTROLS</t>
  </si>
  <si>
    <t>Locke; Robert B.; (Sonoma, CA); Campero; Richard J.; (Morgan Hill, CA); Perkins; John D.; (Lake Worth, FL); Reichenberger; Karl F.; (Mequon, WI)</t>
  </si>
  <si>
    <t>G06Q 30/0645 20130101;  G16H 10/60 20180101;  G06Q 50/265 20130101;  G06Q 10/047 20130101;  G06Q 50/14 20130101;  G06Q 10/10 20130101;  G06Q 10/02 20130101;  G06Q 10/0635 20130101;  G06Q 2220/00 20130101;  G16H 50/30 20180101;  H04L 9/3242 20130101;  H04L 9/0618 20130101;  H04L 9/3247 20130101;  G06Q 30/0205 20130101;  G06Q 10/06393 20130101;  G06F 16/2365 20190101;  G16H 50/80 20180101;  H04L 2209/38 20130101;  G06V 20/52 20220101;  G06Q 30/0185 20130101;  G01C 21/3461 20130101</t>
  </si>
  <si>
    <t>A system including one or more memory devices having instructions stored     thereon, that, when executed by one or more processors, cause the one or     more processors to receive travel data associated with a travel plan of a     user indicating one or more travel destinations. The instructions cause     the one or more processors to receive destination risk data indicating a     destination risk of the one or more travel destinations associated with     transmission of an infectious disease, receive personal risk data     indicating a risk of the user associated with the infectious disease, and     generate an infection travel risk score for the user based on the     destination risk data and the personal risk data.</t>
  </si>
  <si>
    <t>US20220129954</t>
  </si>
  <si>
    <t>Crowd-Sourced Activity Processing</t>
  </si>
  <si>
    <t>17/080936</t>
  </si>
  <si>
    <t>Lara; Arnold Bacalla; (Mandaue City, PH); Bacus; Melvin Gellecania; (Cebu Ciy, PH); Banilad; Alain Rex Mata; (Tangke, PH); Capin; Mayla Venessa Juab; (Oroquieta City, PH); Nadela; Hard Harry Soterol; (Carcar City, PH); Tumulak, JR.; Gilbert Grafia; (Lapu-Lapu City, PH)</t>
  </si>
  <si>
    <t>G06Q 20/384 20200501;  G06Q 20/12 20130101;  G06Q 10/0838 20130101;  H04W 4/021 20130101;  G06F 16/9536 20190101;  G06Q 30/0637 20130101;  G06Q 30/0205 20130101;  H04W 4/023 20130101;  G06Q 30/0279 20130101;  G06Q 50/01 20130101</t>
  </si>
  <si>
    <t>Users form custom-defined communities for performing a defined activity     amongst themselves. An actor defines the activity and restrictions     associated with the activity. Members of the community place requests for     the actor to perform member-specific actions during the activity on     behalf of the members. The actor performs the activity with the     member-specific actions and arranges procurement of results associated     with each of the members. The actor and the members may also settle up     with one another at least upon procurement. The activity is crowd sourced     within the custom-defined community, thereby reducing the need for the     members to each individually perform the activity.</t>
  </si>
  <si>
    <t>US20220129895</t>
  </si>
  <si>
    <t>SECURE TRANSACTION PROCESS UTILIZING INTEGRATION LAYER</t>
  </si>
  <si>
    <t>17/512567</t>
  </si>
  <si>
    <t>PIGGY LLC</t>
  </si>
  <si>
    <t>PIGGY</t>
  </si>
  <si>
    <t>Mahalec; Nicholas; (Santa Monica, CA); Anderson; John D.; (Winter Springs, FL); Corrieri; Nicholas; (Sartell, MN); Ginsberg; John; (Southend-on-Sea, GB)</t>
  </si>
  <si>
    <t>G06Q 20/24 20130101;  G06Q 20/401 20130101</t>
  </si>
  <si>
    <t>An integration layer for securely completing transactions. The     integration layer may receive, from an issuing server, transaction data     for a pending purchase by a user, the transaction data including purchase     data and payment card data. The transaction data may have been     transmitted through an acquiring server, a payment card network (PCN),     and an issuing server. Based on the transaction data, the integration     layer may enroll the payment card in CLOs and provide BNPL options while     the transaction is processing.</t>
  </si>
  <si>
    <t>US20220129872</t>
  </si>
  <si>
    <t>System, Method, and Computer Program Product for a Contactless ATM     Experience</t>
  </si>
  <si>
    <t>17/080212</t>
  </si>
  <si>
    <t>Visa</t>
  </si>
  <si>
    <t>VISA</t>
  </si>
  <si>
    <t>Guggarigoudar; Praveen Kumar Suresh; (Cedar Park, TX); Mohan; Vahini; (Austin, TX)</t>
  </si>
  <si>
    <t>G06Q 20/3255 20130101;  G06Q 20/1085 20130101;  G06Q 20/4012 20130101</t>
  </si>
  <si>
    <t>Systems, methods, and computer program products for a contactless     automated teller machine (ATM) experience receive, from a telephone     number, a first short message service (SMS) message including a unique     identifier associated with an ATM terminal; in response to receiving the     first SMS message, communicate, to the ATM terminal, a first password     associated with the telephone number and the unique identifier; receive,     from the telephone number, a second SMS message including the first     password; verify the first password; in response to verifying the first     password, transmit, to the telephone number, a third SMS message     including an option to withdraw cash from the ATM terminal; receive, from     the telephone number, a fourth SMS message including a selection of the     option to withdraw the cash from the ATM terminal; and communicate, to     the ATM terminal, a cash dispense command that causes the ATM terminal to     dispense the cash.</t>
  </si>
  <si>
    <t>US20220128567</t>
  </si>
  <si>
    <t>EX VIVO PROTEASE ACTIVITY DETECTION FOR DISEASE DETECTION/DIAGNOSTIC,     STAGING, MONITORING AND TREATMENT</t>
  </si>
  <si>
    <t>17/573123</t>
  </si>
  <si>
    <t>GLYMPSE BIO, INC.</t>
  </si>
  <si>
    <t>GLYMPSE BIO</t>
  </si>
  <si>
    <t>Touti; Faycal; (Belmont, MA); Adamovich; Wendy Winckler; (Melrose, MA); Cazanave; Sophie; (Cambridge, MA); Cheema; Mehar; (Medford, MA); Langer; Robert S.; (Newton, MA)</t>
  </si>
  <si>
    <t>The present application provides compositions and methods for determining     a disease or condition in a subject. The method comprises contacting a     body fluid with a molecule comprising a reporter thereof and the reported     is cleaved by an agent in the body fluid. Diseases and conditions that     can be determined by the method are also described.</t>
  </si>
  <si>
    <t>US20220128560</t>
  </si>
  <si>
    <t>HIGH THROUGHOUT IMMUNOASSAYS AND METHODS FOR THE DETECTION OF SARS-COV-2     ANTIGENS</t>
  </si>
  <si>
    <t>17/513538</t>
  </si>
  <si>
    <t>ORTHO-CLINICAL DIAGNOSTICS, INC.</t>
  </si>
  <si>
    <t>ORTHO-CLINICAL DIAGNOSTICS</t>
  </si>
  <si>
    <t>Hosimer; Philip; (Raritan, NJ); Noeson; Charles A.; (Raritan, NJ); Colvin; Michael T.; (Raritan, NJ); Brunner; Amelia; (Raritan, NJ); Clark; Sierra; (Raritan, NJ); Contestable; Paul; (Raritan, NJ)</t>
  </si>
  <si>
    <t>Disclosed herein are methods, reagents and devices for the rapid     detection of SARS-CoV-2 nucleocapsid antigens in clinical samples using     high throughput methods.</t>
  </si>
  <si>
    <t>US20220128559</t>
  </si>
  <si>
    <t>Surveillance of SARS-CoV-2 Through Mask Testing</t>
  </si>
  <si>
    <t>17/507604</t>
  </si>
  <si>
    <t>VMRD INC</t>
  </si>
  <si>
    <t>VMRD</t>
  </si>
  <si>
    <t>Adams; Dennis Scott; (Pullman, WA); Adams; Ethan Jackson; (Colfax, WA); Hines; Siddra Arielle; (Pullman, WA); Johnson; Andrew Kenneth; (Moscow, ID); Knowles, JR.; Donald Patrick; (Pullman, WA); Srikanth; Sampathkumar; (Pullman, WA); Rzepka; Joanna; (Pullman, WA)</t>
  </si>
  <si>
    <t>Representative implementations of devices and techniques provide an     exemplary system and method for detection and surveillance of an     infectious agent, and particularly an agent that is spread through     respiratory aerosols. In an embodiment, the system and method include     retrieving a face covering that contains oral and/or nasal, and/or skin     secretions and/or skin flora on or within a material of the face     covering, removing one or more samples of the material of the face     covering that contains the secretions from the face covering, and     depositing the one or more samples into a predetermined formulation.</t>
  </si>
  <si>
    <t>US20220128555</t>
  </si>
  <si>
    <t>APPARATUSES FOR PERFORMING RAPID DIAGNOSTIC TESTS</t>
  </si>
  <si>
    <t>17/511185</t>
  </si>
  <si>
    <t>Roswech; Todd; (Ivoryton, CT)</t>
  </si>
  <si>
    <t>B01L 2400/0683 20130101;  G01N 33/54388 20210801;  B01L 3/5023 20130101;  B01L 2300/0672 20130101;  G01N 33/56983 20130101;  B01L 3/523 20130101;  G01N 2333/165 20130101</t>
  </si>
  <si>
    <t>Diagnostic devices for performing diagnostic tests are provided, as well     as methods that utilize the diagnostic devices, methods for manufacturing     the diagnostic devices, and test kits for performing the diagnostic     tests. The diagnostic devices include a vial, a rupturable container     disposed in an internal cavity of the vial and containing a fluid, and a     test and readout device in fluid communication with the internal cavity     of the vial. The rupturable container is configured to rupture during a     test procedure of the diagnostic test to enable the fluid to flow into     the internal cavity of the vial. The rupturable container may include a     rupturable ampoule or a frangible seal. The rupturable container may be     ruptured by deformation of the vial or by piercing caused by a sharp     object in the vial or a sample swab inserted in the vial.</t>
  </si>
  <si>
    <t>US20220128548</t>
  </si>
  <si>
    <t>METHOD FOR ACQUIRING INFORMATION ON RESPIRATORY INFECTION</t>
  </si>
  <si>
    <t>17/507867</t>
  </si>
  <si>
    <t>SYSMEX CORPORATION</t>
  </si>
  <si>
    <t>SYSMEX</t>
  </si>
  <si>
    <t>NAKAGAWA; Atsushi; (Kobe-shi, JP); HASEGAWA; Takehiro; (Kobe-shi, JP); SUZUKI; Kohjin; (Kobe-shi, JP)</t>
  </si>
  <si>
    <t>G01N 33/54326 20130101;  G01N 2800/50 20130101;  A61K 45/06 20130101;  G01N 2800/60 20130101;  G01N 2800/12 20130101;  G01N 2800/347 20130101;  G01N 33/581 20130101</t>
  </si>
  <si>
    <t>Disclosed is a method for acquiring information on respiratory infection,     the method including measuring at least one biomarker in a specimen     collected from a subject suffering from respiratory infection, or from a     subject suspected of having the respiratory infection, in which the     biomarker includes at least one selected from the group consisting of     CXCL9, CCL3, and IL-18, and a measured value of the biomarker can serve     as an index of a risk of causing acute kidney injury or pulmonary     fibrosis following respiratory infection.</t>
  </si>
  <si>
    <t>US20220128546</t>
  </si>
  <si>
    <t>17/573110</t>
  </si>
  <si>
    <t>US20220128535</t>
  </si>
  <si>
    <t>AUTOMATIC PARTICLE OR SCENT TRACING TO CHECK SOCIAL DISTANCING IN PUBLIC     PLACES</t>
  </si>
  <si>
    <t>17/076944</t>
  </si>
  <si>
    <t>G01N 33/0075 20130101;  A41D 1/002 20130101;  G01N 33/0063 20130101;  A62B 18/025 20130101;  G08B 21/182 20130101;  A41D 13/11 20130101;  A62B 18/08 20130101;  A62B 23/02 20130101;  A41D 31/00 20130101</t>
  </si>
  <si>
    <t>A kit includes at least one facemask configured to cover a respective     user's mouth and nose. The facemask contains at least one layer     impregnated with a first chemical. When the facemask covers the     respective user's mouth and nose, airborne particles of the first     chemical are released from the at least one layer through the user's     breathing. A sensor is configured to measure airborne concentration of     the first chemical. A processing circuitry is configured to receive     outputs of the sensor, to calculate a change in airborne concentration of     the first chemical, and to issue a notification when the airborne     concentration of the first chemical increases at above a predetermined     rate.</t>
  </si>
  <si>
    <t>US20220128409</t>
  </si>
  <si>
    <t>RAMAN SPECTROSCOPY</t>
  </si>
  <si>
    <t>17/081047</t>
  </si>
  <si>
    <t>Moro, JR.; Richard; (Melrose, MA); Johnson; Erik D.; (Boston, MA); Harris; Bernard; (Boynton Beach, FL); Laroche; Jeffrey R.; (Lowell, MA)</t>
  </si>
  <si>
    <t>G01J 3/4412 20130101;  G01N 21/658 20130101</t>
  </si>
  <si>
    <t>Disclosed herein are Raman spectrographic systems and methods of     assembling Raman spectrographic systems. The Raman spectrographic system     includes a light source to emit ultraviolet incident light into a     waveguide, and an interaction region traversed by the waveguide and that     holds a sample to be identified. A spectrometer detects Raman scatter     from an output light in the waveguide emerging from the interaction     region following interaction between the incident light and the sample     and output a spectral response. The spectrometer includes an array of     detectors. Each detector of the array of detectors is a silicon carbide     (SiC) detector to obtain information that includes an intensity     corresponding with a wavelength of the Raman scatter. A controller     identifies the sample based on the spectral response from the array of     detectors.</t>
  </si>
  <si>
    <t>US20220127779</t>
  </si>
  <si>
    <t>ANTIVIRAL ELEMENT AND PERSONNEL PROTECTION EQUIPMENT CONTAINING SAME</t>
  </si>
  <si>
    <t>17/081418</t>
  </si>
  <si>
    <t>GLOBAL GRAPHENE GROUP, INC.</t>
  </si>
  <si>
    <t>GLOBAL GRAPHENE</t>
  </si>
  <si>
    <t>Zhamu; Aruna; (Springboro, OH); Jang; Bor Z.; (Centerville, OH)</t>
  </si>
  <si>
    <t>Provided is graphene-based personnel protection equipment (PPE) product,     comprising: (a) a fabric, clothing, face shield, face mask, or glove body     configured to support graphene sheets; and (b) graphene sheets deposited     on a surface of the body or at least partially embedded in the body,     wherein the graphene sheets comprise a plurality of discrete single-layer     or few-layer graphene sheets selected from pristine graphene, graphene     oxide, reduced graphene oxide, graphene fluoride, graphene chloride,     graphene bromide, graphene iodide, hydrogenated graphene, nitrogenated     graphene, doped graphene, chemically functionalized graphene, or a     combination thereof. Preferably, surfaces of graphene sheets carry an     anti-microbial compound, preferably in the form of a nanoparticle,     nano-wire, or nano-coating.</t>
  </si>
  <si>
    <t>US20220127685</t>
  </si>
  <si>
    <t>NUCLEIC ACID DETECTION SYSTEM AND NUCLEIC ACID DETECTION METHOD</t>
  </si>
  <si>
    <t>17/506804</t>
  </si>
  <si>
    <t>TAN; Chang; (Beijing, CN); HUANG; Hao; (Beijing, CN); XU; Qiqi; (Beijing, CN)</t>
  </si>
  <si>
    <t>A nucleic acid detection system according to an embodiment is a nucleic     acid detection system to detect a target nucleic acid in a sample and     includes a thermal inactivation chamber, an amplification chamber, and a     detection chamber, all of which constitute a liquid flow path. In this     system, liquid flows through the thermal inactivation chamber, the     amplification chamber, and the detection chamber sequentially. The     thermal inactivation chamber includes a reagent to thermally inactivate     and decompose the sample. The amplification chamber includes a reagent to     amplify the target nucleic acid. The detection chamber includes a test     strip to conduct a Cas enzyme reaction with the target nucleic acid and a     lateral flow detection.</t>
  </si>
  <si>
    <t>US20220127670</t>
  </si>
  <si>
    <t>Oligonucleotide-Templated Photoreduction Fluorogenic Probe Pairs and Their     Use in Quantitative Detection of Target RNA Sequences</t>
  </si>
  <si>
    <t>17/209381</t>
  </si>
  <si>
    <t>JAN BIOTECH, INC.</t>
  </si>
  <si>
    <t>JAN BIOTECH</t>
  </si>
  <si>
    <t>Zhou; Can; (Ithaca, NY); Huie; Janet Lockwood; (Ithaca, NY); Nichols; Jennifer Anastasia; (Ithaca, NY)</t>
  </si>
  <si>
    <t>C12Q 1/6816 20130101;  C12Q 1/6876 20130101;  C12Q 1/703 20130101</t>
  </si>
  <si>
    <t>This application describes a fluorogenic nucleic acid kit or composition     for quantitative detection of a target ribonucleic acid (RNA) sequence in     a test sample comprising at least one pair of oligonucleotide probes     comprising a photocatalyst probe and a profluorophore probe, wherein one     of the photocatalyst probe and the profluorophore probe is complementary     to and capable of specifically binding an upstream portion of the target     RNA sequence, and the other probe is complementary to and capable of     specifically binding to a downstream portion of the target RNA sequence,     the photocatalyst probe comprises a first oligonucleotide covalently     bound to a photocatalyst, the profluorophore probe comprises a second     oligonucleotide covalently bound to a profluorophore, and the     photocatalyst is activatable by exposure to light and a reducing agent to     form a reduced, activated photocatalyst that, when both probes of the     pair are hybridized to the target RNA sequence, is capable of     photoreducing the profluorophore to form a detectable fluorophore. The     application also describes methods for quantitative detection of target     RNA.</t>
  </si>
  <si>
    <t>US20220127668</t>
  </si>
  <si>
    <t>MICROFLUIDIC PLATFORM AND A METHOD FOR ELECTROSTATICALLY-ENHANCED,     EXCITATION-MODULATED REVERSE TRANSCRIPTASE QUANTITATIVE POLYMERASE CHAIN     REACTION ANALYSIS</t>
  </si>
  <si>
    <t>17/511407</t>
  </si>
  <si>
    <t>VERITAS DIAGNOSTIC LLC</t>
  </si>
  <si>
    <t>VERITAS DIAGNOSTIC</t>
  </si>
  <si>
    <t>GILBERT; Martyn Neil; (Cambridge, GB); HORNICK; Peter; (New York City, NY)</t>
  </si>
  <si>
    <t>B01L 2300/021 20130101;  B01L 2300/18 20130101;  C12Q 1/686 20130101;  B01L 2300/042 20130101;  B01L 2400/0439 20130101;  B01L 2300/0645 20130101;  B01L 2400/0415 20130101;  B01L 3/5457 20130101;  B01L 2400/082 20130101;  B01L 2300/0654 20130101;  C12Q 1/6851 20130101;  B01L 3/502715 20130101;  B01L 3/50273 20130101</t>
  </si>
  <si>
    <t>A reverse transcriptase quantitative polymerase chain reaction based     analyzing system includes a sampling tube. The sampling tube includes a     tube portion, a cap coupled to the tube portion via a ratchet locking     mechanism. The system comprises a microfluidic processing unit coupled to     the sampling tube. An intake system receives pre-registered, sealed     microfluidic labs into the system, and disinfects them before processing     begins. The microfluidic processing unit comprises a piezo electric type     ribonucleic acid extraction and concentration unit coupled to the     sampling tube, an eluent storage unit, an eluate dosing chamber, an     analysis settling chamber with a bubble removal area, an assay     rehydration unit, an assay analysis unit and a no-target control analysis     unit.</t>
  </si>
  <si>
    <t>US20220127658</t>
  </si>
  <si>
    <t>SYSTEMS AND METHODS FOR ULTRA-SPECIFIC AND ULTRA-SENSITIVE NUCLEIC ACID     DETECTION</t>
  </si>
  <si>
    <t>17/512246</t>
  </si>
  <si>
    <t>Wayne State University</t>
  </si>
  <si>
    <t>WAYNE STATE</t>
  </si>
  <si>
    <t>Fernandez-Valdivia; Rodrigo; (Bloomfield Hills, MI)</t>
  </si>
  <si>
    <t>Methods according to aspects of the disclosure, compositions and kits     therefore, include at least one, two, or three sets of amplification     primers and hydrolysis probes with at least two separate corresponding     readouts per set. According to aspects of the present disclosure, the at     least two hydrolysis probes and associated pair of primers of each set     are directed to opposite strands of an amplification product of the set.     According to aspects of the present disclosure, one of the two hydrolysis     probes in each set is directed to a first strand of the amplification     product and therefore has a sequence complementary to the first strand of     the amplification product and the second of the two hydrolysis probes in     the set is directed to the second strand of the amplification product and     therefore has a sequence complementary to the second strand of the     amplification product.</t>
  </si>
  <si>
    <t>US20220127615</t>
  </si>
  <si>
    <t>CORONAVIRUS IRNA COMPOSITIONS AND METHODS OF USE THEREOF</t>
  </si>
  <si>
    <t>17/523030</t>
  </si>
  <si>
    <t>VIR BIOTECHNOLOGY, INC.</t>
  </si>
  <si>
    <t>VIR BIOTECHNOLOGY</t>
  </si>
  <si>
    <t>Akinc; Akin; (Needham, MA); McIninch; James D.; (Burlington, MA); Anglero-Rodriguez; Yesseinia; (Cambridge, MA); Schlegel; Mark K.; (Boston, MA); Hebner; Christy M.; (San Francisco, CA); Lempp; Florian A.; (San Francisco, CA)</t>
  </si>
  <si>
    <t>C12N 2310/315 20130101;  C12N 2310/321 20130101;  C12N 2310/3515 20130101;  C12N 15/1131 20130101;  C12N 2310/14 20130101;  C12N 2310/322 20130101</t>
  </si>
  <si>
    <t>The present invention relates to RNAi agents, e.g., dsRNA agents,     targeting the coronavirus genome. The invention also relates to methods     of using such RNAi agents to inhibit expression of a coronavirus genome     and to methods of treating or preventing a coronavirus-associated disease     in a subject.</t>
  </si>
  <si>
    <t>US20220127614</t>
  </si>
  <si>
    <t>COMPOSITIONS AND METHODS FOR TREATING COVID-19</t>
  </si>
  <si>
    <t>17/512963</t>
  </si>
  <si>
    <t>VAST SEA BIOTECHNOLOGY, INC.</t>
  </si>
  <si>
    <t>VAST SEA BIOTECHNOLOGY</t>
  </si>
  <si>
    <t>Lai; Norman Zhennan; (N. Potomac, MD); Tan; Yuebin; (Gaithersburg, MD); Wang; Ying; (Washington, DC)</t>
  </si>
  <si>
    <t>A23L 33/18 20160801;  A61K 31/375 20130101;  C12N 2310/321 20130101;  A61P 31/14 20180101;  C12N 2310/322 20130101;  C12N 15/86 20130101;  A61K 31/4415 20130101;  A23V 2002/00 20130101;  C12N 15/1131 20130101;  C12N 2310/14 20130101;  A61K 31/593 20130101;  A61K 36/534 20130101;  A61K 33/30 20130101;  A61K 31/714 20130101;  A61K 38/4813 20130101;  A61K 31/7088 20130101;  A61K 48/00 20130101;  A61K 38/556 20130101;  C12N 2320/32 20130101;  C12Y 304/17023 20130101;  C12N 2310/3517 20130101;  C12N 2750/14143 20130101;  A61K 31/198 20130101</t>
  </si>
  <si>
    <t>This disclosure is directed to inhibitory oligonucleotides, inhibitory     peptides, compositions and methods for preventing or treating Coronavirus     disease 2019 (COVID-19). In one aspect, the disclosure is directed to     compositions that comprise inhibitory oligonucleotides against one or     more SARS-CoV-2 virus genes. In another aspect, the disclosure is     directed to compositions that comprise inhibitory peptides that inhibit     SARS-COV-2 entry into cells. Another aspect of the disclosure is directed     to gene therapy methods for treating COVID-19, and vectors for carrying     out the same. Finally, the disclosure provides nutritional supplements to     support human immunity and prevent or inhibit viral infections.</t>
  </si>
  <si>
    <t>US20220127579</t>
  </si>
  <si>
    <t>Use of Toll-Like Receptor 4 Agonists to Treat Inflammation and Tissue     Injury</t>
  </si>
  <si>
    <t>17/508855</t>
  </si>
  <si>
    <t>WISCONSIN ALUMNI RESEARCH FOUNDATION</t>
  </si>
  <si>
    <t>WISCONSIN ALUMNI</t>
  </si>
  <si>
    <t>HEMATTI; Peiman; (Madison, WI); KINK; John; (Madison, WI); CAPITINI; Christian; (Madison, WI); FORSBERG; Matthew; (Stoughton, WI); HESS; Nicholas; (Cottage Grove, WI); ROSENKRANS; Zachary; (Madison, WI); HERNANDEZ; Reinier; (Madison, WI)</t>
  </si>
  <si>
    <t>The disclosure relates to populations of educated macrophages and     monocytes generated ex vivo or in vivo, and methods of making and using     the same using lipid A aminoalkylglucosaminide phosphate molecules, such     as CRX molecules or extracellular vesicles (EVs) from mesenchymal stromal     cells (MSC) stimulated with CRX molecules. Also described are EVs and     methods for making and using the same from MSCs exposed to CRX.</t>
  </si>
  <si>
    <t>US20220127337</t>
  </si>
  <si>
    <t>Anti-Viroporin Antibodies and Methods of Treating COVID-19</t>
  </si>
  <si>
    <t>17/512027</t>
  </si>
  <si>
    <t>University Of Florida</t>
  </si>
  <si>
    <t>UNIVERSITY FLORIDA</t>
  </si>
  <si>
    <t>MCINTOSH; Michael; (GAINESVILLE, FL); BHADURI-MCINTOSH; SUMITA; (GAINESVILLE, FL)</t>
  </si>
  <si>
    <t>Described are methods for generating human antibodies capable of blocking     one or more functions of coronavirus viroporins. The methods can be used     to generate therapeutic antibodies to treat or prevent coronavirus     infection, including SARS-CoV-2 infection.</t>
  </si>
  <si>
    <t>US20220127309</t>
  </si>
  <si>
    <t>CHIMERIC MOLECULES AND USES THEREOF</t>
  </si>
  <si>
    <t>17/573616</t>
  </si>
  <si>
    <t>THE UNIVERSITY OF QUEENSLAND</t>
  </si>
  <si>
    <t>THE UNIVERSITY QUEENSLAND</t>
  </si>
  <si>
    <t>CHAPPELL; Keith Joseph; (St Lucia, AU); WATTERSON; Daniel; (St Lucia, AU); YOUNG; Paul Robert; (St Lucia, AU)</t>
  </si>
  <si>
    <t>C12N 2760/10022 20130101;  C07K 2319/35 20130101;  C07K 14/16 20130101;  C12N 2760/18022 20130101;  C07K 2317/55 20130101;  C12N 2770/20034 20130101;  C12N 2740/16122 20130101;  C12N 2760/10034 20130101;  C12N 2760/18034 20130101;  C12N 2740/16134 20130101;  C12N 2770/20022 20130101;  C12N 2760/14022 20130101;  C12N 15/1034 20130101;  C12N 2760/16134 20130101;  C07K 19/00 20130101;  C12N 2760/16122 20130101;  C12N 2760/14034 20130101</t>
  </si>
  <si>
    <t>Disclosed are chimeric polypeptides based on viral membrane fusion     proteins. More particularly, the present invention discloses chimeric     polypeptides that comprise a virion surface exposed portion of a viral     fusion protein and a heterologous structure-stabilizing moiety, and to     complexes of those chimeric polypeptides. The present invention also     discloses the use of these complexes in compositions and methods for     eliciting an immune response to a fusion protein of an enveloped virus,     or complex of the fusion protein, and/or for treating or preventing an     enveloped virus infection. The present invention further discloses the     use of the heterologous structure-stabilizing moiety for oligomerizing     heterologous molecules of interest.</t>
  </si>
  <si>
    <t>US20220127250</t>
  </si>
  <si>
    <t>LANCL LIGANDS</t>
  </si>
  <si>
    <t>17/506453</t>
  </si>
  <si>
    <t>NIMMUNE BIOPHARMA, INC.</t>
  </si>
  <si>
    <t>NIMMUNE BIOPHARMA</t>
  </si>
  <si>
    <t>Bassaganya-Riera; Josep; (Blacksburg, VA); Leber; Andrew; (Blacksburg, VA); Hontecillas; Raquel; (Blacksburg, VA)</t>
  </si>
  <si>
    <t>A61P 17/06 20180101;  A61P 3/04 20180101;  A61P 19/02 20180101;  A61P 1/00 20180101;  A61P 37/06 20180101;  A61P 1/16 20180101;  A61P 3/10 20180101;  C07D 401/14 20130101</t>
  </si>
  <si>
    <t>Provided are compounds that target the lanthionine synthetase C-like     (LANCL) family of proteins, including LANCL2 and LANCL3. The compounds     can be used to treat conditions such as inflammatory diseases, metabolic     diseases, autoimmune diseases, cancers, and infectious diseases.     Exemplary conditions include inflammatory conditions of the liver, such     as nonalcoholic fatty liver disease, nonalcoholic steatohepatitis, and     cirrhosis; inflammatory conditions of the bile duct, such as primary     biliary cholangitis, primary sclerosing cholangitis; inflammatory bowel     disease, such as Crohn's disease and ulcerative colitis; lupus, such as     systemic lupus erythematosus, lupus nephritis, and cutaneous lupus;     arthritis, such as rheumatoid arthritis; hyperglycemia, such as type 1     diabetes, type 2 diabetes, and prediabetes and associated conditions such     as atherosclerosis and diabetic kidney disease; psoriasis; and multiple     sclerosis.</t>
  </si>
  <si>
    <t>US20220127045</t>
  </si>
  <si>
    <t>CAN SAFE</t>
  </si>
  <si>
    <t>17/077492</t>
  </si>
  <si>
    <t>VanBuren, Marissa Elizabeth</t>
  </si>
  <si>
    <t>VANBUREN MARISSA</t>
  </si>
  <si>
    <t>VanBuren; Marissa Elizabeth; (Pittsford, NY)</t>
  </si>
  <si>
    <t>A sanitary cover/adhesive seal placed onto a drinking can for users to     simply peel off of the can before consuming the beverage. The sanitary     cover/adhesive seal's primary purpose is to protect consumers from     consuming any bacteria, dirt, residue, virus (Covid-19) enzymes that     could make them sick. The sanitary cover/adhesive seal would cover part     of or the entire top of the can and surround parts of the wall of the can     as well.</t>
  </si>
  <si>
    <t>US20220126311</t>
  </si>
  <si>
    <t>ELECTROSTATIC SPRAY SYSTEM</t>
  </si>
  <si>
    <t>17/078083</t>
  </si>
  <si>
    <t>ELECTRODEFENSE CORP.</t>
  </si>
  <si>
    <t>ELECTRODEFENSE</t>
  </si>
  <si>
    <t>Doher; Gabriel; (Ocala, FL); Doher; Chad; (Ocala, FL); Murfin; Gregg; (Kempsey, GB); Brown; James; (Shanghai, CN); Chamoun; Yamile; (Ocala, FL)</t>
  </si>
  <si>
    <t>B05B 5/1691 20130101;  F21V 33/0064 20130101;  B05B 5/035 20130101;  G01S 19/13 20130101;  F21Y 2115/10 20160801</t>
  </si>
  <si>
    <t>A spray system for spraying a fluid, the spray system including a tank     for holding the fluid; and a sprayer including a fluid conductor, a fluid     mover, at least one first nozzle and a second nozzle, the fluid conductor     including an inner diameter, a first end configured to be connected to     the tank, a second end configured to be selectively connected to one of     the at least one first nozzle and a second nozzle, wherein the second     nozzle including a through opening at least about the same size as the     inner diameter, wherein the fluid mover is configured to draw the fluid     from the tank through one of the at least one first nozzle to create a     spray of the fluid and the second nozzle to return at least a portion of     the fluid to a storage tank.</t>
  </si>
  <si>
    <t>US20220126288</t>
  </si>
  <si>
    <t>SALIVA COLLECTION AND TRANSPORT DEVICES, SYSTEMS AND METHODS</t>
  </si>
  <si>
    <t>17/507565</t>
  </si>
  <si>
    <t>MERIT MEDICAL SYSTEMS, INC.</t>
  </si>
  <si>
    <t>MERIT MEDICAL SYSTEMS</t>
  </si>
  <si>
    <t>Lampropoulos; Fred; (Salt Lake City, UT); Jenkins; Richard P.; (Bluffdale, UT); McArthur; Gregory R.; (Bluffdale, UT); Haslam; Michael Dean; (Sandy, UT); Sykes; Kenneth; (Bluffdale, UT); Willardson; Nicole; (Lehi, UT); Mottola; Jim; (West Jordan, UT)</t>
  </si>
  <si>
    <t>B01L 2300/042 20130101;  B01L 2300/0832 20130101;  B01L 3/50825 20130101;  B01L 2200/18 20130101;  B01L 2200/0689 20130101</t>
  </si>
  <si>
    <t>Devices and methods used collect and transport a biological specimen are     disclosed. The devices include a vial defining a specimen chamber to     retain a specimen, a collection member to collect a specimen, and a cap     containing a liquid medium to treat the specimen for transport. The cap     includes a puncture member to puncture a seal to release the liquid     medium from the cap.</t>
  </si>
  <si>
    <t>US20220126126</t>
  </si>
  <si>
    <t>Jet Air Curtain For Personal Respiratory Protection</t>
  </si>
  <si>
    <t>17/509741</t>
  </si>
  <si>
    <t>UNIV MICHIGAN REGENTS</t>
  </si>
  <si>
    <t>CLACK; Herek L.; (Ann Arbor, MI)</t>
  </si>
  <si>
    <t>A61L 9/22 20130101;  A62B 18/084 20130101;  A62B 18/003 20130101;  A62B 18/006 20130101</t>
  </si>
  <si>
    <t>A device receiving an unsterile supply of air, subjects the airflow to     one or more sterilizing agents or sterilizing conditions, and then     exhausts the treated airflow through a nozzle or array of nozzles,     forming a jet of air or array of air jets directed at or along the     surface of the head of a living being such that the sterilized airflow     envelopes the head. The result is a) the living being breathes air that     is free of one or more infectious agents and b) the jet of air forms an     air curtain such that the living being is protected from inhaling     infectious agents that may surround them.</t>
  </si>
  <si>
    <t>US20220126125</t>
  </si>
  <si>
    <t>FACIAL AIR SHIELD TO PREVENT DISEASE SPREAD</t>
  </si>
  <si>
    <t>17/507192</t>
  </si>
  <si>
    <t>SYNERGYMED DEVICES INC.</t>
  </si>
  <si>
    <t>SYNERGYMED DEVICES</t>
  </si>
  <si>
    <t>COPTY; Anan; (Jerusalem, IL)</t>
  </si>
  <si>
    <t>A62B 18/003 20130101;  A41D 13/1184 20130101</t>
  </si>
  <si>
    <t>The present disclosure provides devices and systems for prevention from     air born viruses, bacteria or contaminants, in particular, the device     acts as an air shield that is placed on the human forehead and generates     a differential high pressure in front of the human face that blocks the     viruses from reaching the face. The device is composed of air fans with     controlled speeds, air filters, an air cone, an air slot, and controlled     circuitry to operate the device.</t>
  </si>
  <si>
    <t>US20220126043</t>
  </si>
  <si>
    <t>BIOFILM REMOVAL DEVICE FOR ENDOTRACHEAL TUBES</t>
  </si>
  <si>
    <t>17/508955</t>
  </si>
  <si>
    <t>Bohrer, Morgan; Hahn, Stephen; L'Ecuyer, Michael; Verne, Alexandra</t>
  </si>
  <si>
    <t>BOHRER MORGAN</t>
  </si>
  <si>
    <t>Bohrer; Morgan; (Ridgefield, CT); Hahn; Stephen; (Johns Creek, GA); L'Ecuyer; Michael; (New Orleans, LA); Verne; Alexandra; (Northbrook, IL)</t>
  </si>
  <si>
    <t>A device for biofilm removal from an endotracheal tube is disclosed. Such     a device may include a hollow catheter having a tip, wherein said device     is inserted down an endotracheal tube of an orally intubated patient.     Said tip may include a cylindrical central portion and a fin configured     to dislodge biofilm from the inner lumen of the endotracheal tube as the     device is rotated, either manually or mechanically, inside the     endotracheal tube. The fin may be configured as a helix and positioned to     spiral around said cylindrical central portion of the tip thereby forming     a channel, defined by the pitch of said helix, about the circumference of     the cylindrical central portion. Biofilm dislodged from the inner surface     of the endotracheal tube by the rotational motion of the fin may be     retained within the channel until the tip is removed from the     endotracheal tube. The device may further comprise a motor for     mechanically rotating the catheter and tip. Finally, the device may be     configured to interface with a mechanical ventilator such that airflow to     an intubated patient is not impeded while said device is used to remove     biofilm from the inner surface of the patient's endotracheal tube.</t>
  </si>
  <si>
    <t>US20220125986</t>
  </si>
  <si>
    <t>AIR PURIFIER HAVING ULTRAVIOLET DISINFECTION MEANS</t>
  </si>
  <si>
    <t>17/522137</t>
  </si>
  <si>
    <t>OLYMPIA LIGHTING, INC.</t>
  </si>
  <si>
    <t>OLYMPIA LIGHTING</t>
  </si>
  <si>
    <t>Shalvi; Ram; (Closter, NJ)</t>
  </si>
  <si>
    <t>B01D 46/0028 20130101;  B01D 46/0027 20130101;  B01D 46/0049 20130101;  A61L 2209/14 20130101;  A61L 2209/111 20130101;  B01D 46/46 20130101;  B01D 2273/30 20130101;  B01D 2279/65 20130101;  B01D 46/444 20130101;  A61L 9/20 20130101;  A61L 2209/12 20130101</t>
  </si>
  <si>
    <t>The present invention provides an air purifier that purifies, disinfect     and decontaminate convention air flow by using UV rays. Because the UV     rays emitted by the UV light sources are contained within the air     purifier, use of the air purifier is safe in that a nearby person can     avoid exposure to hazardous UV radiation. Adjustment of operating     conditions, such as the UV intensity and wavelength and air speed, is     programmable via a remote controller, a smart switch, a smart device, a     wireless communication device, a smart home control appliance, a sensing     device, and/or a built-in module, which renders the air purifier a smart     appliance that may automatically and optimally suits to a user's need     based on the user's habit and other physical parameters. Installation and     removal of the air purifier, as well as cleaning and replacement of any     part thereof, are simple and convenient, as a result of the clever     design.</t>
  </si>
  <si>
    <t>US20220125981</t>
  </si>
  <si>
    <t>BIOLOGICAL INDICATOR FOR RAPID VERIFICATION OF DISINFECTION OR     STERILIZATION</t>
  </si>
  <si>
    <t>16/950719</t>
  </si>
  <si>
    <t>ADEN HYGIENE, ENT.</t>
  </si>
  <si>
    <t>ADEN HYGIENE</t>
  </si>
  <si>
    <t>CHOI; Woo-Sung; (Gyeonggi-do, KR)</t>
  </si>
  <si>
    <t>The present invention provides a biological indicator for verification of     disinfection or sterilization, and in particular, provides a biological     indicator capable of verifying disinfection or sterilization using     luminescent microorganisms, and a kit for verification of disinfection or     sterilization using the biological indicator. According to the present     invention, it is possible to provide a biological indicator for     verification of disinfection or sterilization that may confirm in real     time how much disinfection or sterilization has been performed after     disinfecting or sterilizing harmful microorganisms by irradiation with UV     rays.</t>
  </si>
  <si>
    <t>US20220125979</t>
  </si>
  <si>
    <t>STERILIZATION OF FACE MASKS AND FACE MASK COMPONENTS</t>
  </si>
  <si>
    <t>17/446155</t>
  </si>
  <si>
    <t>Neighbour, Aaron; Williams, Jessica</t>
  </si>
  <si>
    <t>NEIGHBOUR AARON</t>
  </si>
  <si>
    <t>Neighbour; Aaron; (Danville, CA); Williams; Jessica; (El Dorado Hills, CA)</t>
  </si>
  <si>
    <t>A61L 2/082 20130101;  A61L 2/081 20130101;  A61L 2/26 20130101;  A61L 2/087 20130101;  A61L 2202/26 20130101;  A61L 2202/181 20130101;  A61L 2202/24 20130101</t>
  </si>
  <si>
    <t>A method of disinfecting personal protective masks and mask filters,     includes the step of applying sterilizing ionizing radiation to the     personal protective mask while it is disposed in an electromagnetically     shielded container.</t>
  </si>
  <si>
    <t>US20220125976</t>
  </si>
  <si>
    <t>DOOR HANDLE DISINFECTION SYSTEM</t>
  </si>
  <si>
    <t>17/078500</t>
  </si>
  <si>
    <t>Hughes; Tadd Bernard; (Andover, MA)</t>
  </si>
  <si>
    <t>A61L 2/10 20130101;  E05B 1/0069 20130101;  A61L 2202/14 20130101;  E05Y 2800/40 20130101;  E05Y 2900/132 20130101;  A61L 2/24 20130101;  A61L 2202/11 20130101</t>
  </si>
  <si>
    <t>Sterilization assemblies and self-sterilizing systems using the same     include a support housing, a plurality of light-emitting diodes coupled     to the support housing to selectively emit UV radiation to sterilize     contaminants on a door handle, and a controller coupled to a power source     and being configured to operate the plurality of light-emitting diodes by     selectively providing power to the plurality of light-emitting diodes     based on motion detection within a proximity of the door handle.</t>
  </si>
  <si>
    <t>US20220125975</t>
  </si>
  <si>
    <t>Detect&amp;Monitor; Sanitation</t>
  </si>
  <si>
    <t>SYSTEM FOR AND METHOD OF ELIMINATING VIRUS WITHIN VEHICLE</t>
  </si>
  <si>
    <t>17/078025</t>
  </si>
  <si>
    <t>Hyundai Motor Group</t>
  </si>
  <si>
    <t>HYUNDAI MOTOR</t>
  </si>
  <si>
    <t>MacKenzie; Douglas C.; (Livonia, MI)</t>
  </si>
  <si>
    <t>A system for and a method of eliminating a virus within a vehicle. The     system includes a sterilizer positioned within a vehicle and configured     to eliminate a virus within the vehicle while operating, a detection     sensor that detects whether or not an occupant is present within the     vehicle, and a sterilization controller that controls operation of the     sterilizer with a preset operation profile on the basis of a result of     the detection sensor detecting whether or not the occupant is present     within the vehicle.</t>
  </si>
  <si>
    <t>US20220125967</t>
  </si>
  <si>
    <t>INDOOR AIR STERILIZATION AND PURIFICATION APPARATUS USING UV-C LED</t>
  </si>
  <si>
    <t>16/950714</t>
  </si>
  <si>
    <t>CHOI; Woo-Sung; (Gyeonggi-do, KR); CHO; Meoungwhan; (Gyeonggi-do, KR); LEE; Seogwoo; (Gyeonggi-do, KR)</t>
  </si>
  <si>
    <t>The present invention relates to an indoor air sterilization and     purification apparatus, which may perform both a space sterilization     function for sterilizing and purifying microbial particles existing in     the air of an indoor space and a surface sterilization function for     sterilizing and disinfecting an object surface in an indoor space, thus     to improve sterilization performance for the indoor space, and may     proximately irradiate the object with sterilization light or spray a     disinfectant without any special obstacle in movement, even if shapes and     arrangement states of the objects existing in the indoor space are     complicated, thus to improve the sterilization function.</t>
  </si>
  <si>
    <t>US20220125914</t>
  </si>
  <si>
    <t>CORONAVIRUS VACCINE FORMULATIONS</t>
  </si>
  <si>
    <t>17/572182</t>
  </si>
  <si>
    <t>SMITH; Gale; (Germantown, MD); MASSARE; Michael J.; (Mt. Airy, MD); TIAN; Jing-Hui; (Germantown, MD)</t>
  </si>
  <si>
    <t>A61K 2039/55577 20130101;  A61P 31/14 20180101;  A61K 2039/545 20130101;  A61K 39/215 20130101;  C12N 2770/20034 20130101</t>
  </si>
  <si>
    <t>Disclosed herein are coronavirus Spike (S) proteins and nanoparticles     comprising the same, which are suitable for use in vaccines. The     nanoparticles present antigens from pathogens surrounded to and     associated with a detergent core resulting in enhanced stability and good     immunogenicity. Dosages, formulations, and methods for preparing the     vaccines and nanoparticles are also disclosed.</t>
  </si>
  <si>
    <t>US20220125913</t>
  </si>
  <si>
    <t>SYNTHETIC PEPTIDES, AMINO-ACID SEQUENCES, AND COMPOSITIONS USEFUL FOR     SARS-CoV-2 DETECTION AND COVID-19 PREVENTION</t>
  </si>
  <si>
    <t>17/511090</t>
  </si>
  <si>
    <t>Lozano Moreno, Jose Manuel; Salazar Pulido, Luz Mary</t>
  </si>
  <si>
    <t>LOZANO MORENO</t>
  </si>
  <si>
    <t>Lozano Moreno; Jose Manuel; (Bogota, CO); Salazar Pulido; Luz Mary; (Bogota, CO)</t>
  </si>
  <si>
    <t>C12Q 1/6888 20130101;  A61P 31/14 20180101;  A61K 39/215 20130101;  C07K 14/165 20130101;  C07K 2317/34 20130101</t>
  </si>
  <si>
    <t>The present invention provides designing and synthesizing monomer,     polymer, or multimer and formulations of amino-acid chains and peptides     from SARS-CoV-2 which are subjected to specific peptide-backbone     modifications after being screened by a rational selection which has     proven to be highly antigenic and immunogenic useful for human antibody     detection and stimulation in higher vertebrates as vaccine components.     The so obtained peptides have a common functional motif of formula I:         2  .times. NH  .times.  -  .times.  AA 1  .times.  -  .times.  AA     2  .times.  -  .times.  AA 3  .times.  -  .times.   ( AA )   n - 1     .times.  -  .times.   ( AA )  n  .times.  -  .times. COX     Formula     .times.    .times. I    ##EQU00001## where X represents either a --CO--NH.sub.2 or a -COOH function, AA is any     amino-acid, AA.sub.1 is the N-terminus amino-acid residue of a peptide     fragment and AA.sub.n represents the C-terminus residue of peptide chain     from 4 to 30 residues included but are not limited to any peptide     sequence are either the 20 genetically coded L-amino-acids or their     D-enantiomers even those named non-natural amino-acids as well as     peptide-bond isostere forms on specific sequence sites.</t>
  </si>
  <si>
    <t>US20220125884</t>
  </si>
  <si>
    <t>INTERLEUKIN-2-Fc FUSION PROTEINS AND METHODS OF USE</t>
  </si>
  <si>
    <t>17/506483</t>
  </si>
  <si>
    <t>Baca; Manuel; (Lexington, MA); Gilmore; Sarah A.; (San Mateo, CA); Hung; Magdeleine S.; (Mountain View, CA); Javanbakht; Hassan; (San Francisco, CA); Kanwar; Manu; (San Marcos, CA); Khan; Shahzada; (San Francisco, CA); Mukherjee; Prasenjit K.; (South San Francisco, CA); Nagel; Mark R.; (San Mateo, CA); Papalia; Giuseppe; (San Mateo, CA); Tam; Danny W.; (Daly City, CA); Thomas; Majlinda K.; (Menlo Park, CA)</t>
  </si>
  <si>
    <t>Provided are serum half-life extended-IL-2 variant (IL-2v) heterodimers     having reduced binding to the IL2R.alpha. (CD25) subunit. In particular,     Fc-IL-2v heterodimers are provided and methods for making and using, e.g.     for enhancing an immune response, e.g. in the prevention and treatment of     viral infections and cancer.</t>
  </si>
  <si>
    <t>US20220125878</t>
  </si>
  <si>
    <t>Compositions and Methods for Preventing the Interaction Between SARS-COV-2     and L-Sign</t>
  </si>
  <si>
    <t>17/506370</t>
  </si>
  <si>
    <t>OKLAHOMA MEDICAL RESEARCH FOUNDATION</t>
  </si>
  <si>
    <t>Xia; Lijun; (Edmond, OK); Kondo; Yuji; (Oklahoma City, OK)</t>
  </si>
  <si>
    <t>A61K 38/178 20130101;  C07K 16/2851 20130101;  A61K 31/715 20130101</t>
  </si>
  <si>
    <t>The present invention includes methods for treating and/or preventing a     viral or virally-induced tissue dysfunction or failure in a patient     comprising administering an inhibitor of SARS-CoV-2 binding to L-SIGN in     an amount effective to treat the viral or virally-induced tissue     dysfunction or failure of cells do not express ACE2.</t>
  </si>
  <si>
    <t>US20220125843</t>
  </si>
  <si>
    <t>MODIFIED CELLS AND METHODS OF THERAPY</t>
  </si>
  <si>
    <t>17/478615</t>
  </si>
  <si>
    <t>United States of America</t>
  </si>
  <si>
    <t>UNITED STATES AMERICA</t>
  </si>
  <si>
    <t>Moriarity; Branden; (Shoreview, MN); Webber; Beau; (Coon Rapids, MN); Choudhry; Modassir; (New York, NY); McIvor; R. Scott; (St. Louis Park, MN); Largaespada; David; (Mounds View, MN); Rosenberg; Steven A.; (Potomac, MD); Palmer; Douglas C.; (North Bethesda, MD); Restifo; Nicholas P.; (Chevy Chase, MD)</t>
  </si>
  <si>
    <t>Genetically modified compositions, such as non-viral vectors and T cells,     for treating cancer are disclosed. Also disclosed are the methods of     making and using the genetically modified compositions in treating     cancer.</t>
  </si>
  <si>
    <t>US20220125833</t>
  </si>
  <si>
    <t>VITAMIN D COMPOSITIONS AND METHODS OF USE IN THE TREATMENT OF COVID-19 AND     OTHER LIPID ENVELOPED VIRAL INFECTIONS</t>
  </si>
  <si>
    <t>17/451843</t>
  </si>
  <si>
    <t>PICKENS KENNETH</t>
  </si>
  <si>
    <t>Pickens; Kenneth; (Omaha, NE)</t>
  </si>
  <si>
    <t>A61K 31/355 20130101;  A61K 31/4045 20130101;  A61K 31/59 20130101;  A61P 31/14 20180101;  A61K 33/30 20130101;  A61K 31/661 20130101</t>
  </si>
  <si>
    <t>Vitamin D formulations and method of administering the same for COVID-19     patients.</t>
  </si>
  <si>
    <t>US20220125819</t>
  </si>
  <si>
    <t>METHODS OF PREVENTING AND TREATING COVID-19 INFECTION</t>
  </si>
  <si>
    <t>17/568452</t>
  </si>
  <si>
    <t>HAZAN SABINE</t>
  </si>
  <si>
    <t>Hazan; Sabine; (Ventura, CA)</t>
  </si>
  <si>
    <t>A product for preventing COVID-19 infection in an individual, the product     comprising a combination of hydroxychloroquine, vitamin C, vitamin D, and     zinc. The combination comprises 1,000 mg to 10,000 mg of vitamin C, 3,000     IU to 40,000 IU of vitamin D, and 25 mg to 75 mg of zinc. The combination     is administered daily for two or more days for prophylaxis, or the     combination is administered weekly over a period of two or more weeks for     prophylaxis.</t>
  </si>
  <si>
    <t>US20220125818</t>
  </si>
  <si>
    <t>COMPOSITIONS AND METHODS FOR TREATMENT OF A CORONAVIRUS DISEASE (COVID-19)     INFECTION</t>
  </si>
  <si>
    <t>17/089344</t>
  </si>
  <si>
    <t>SHENOUDA EMILE</t>
  </si>
  <si>
    <t>Shenouda; Emile; (South Gate, CA)</t>
  </si>
  <si>
    <t>A61K 31/7052 20130101;  A61K 31/616 20130101;  A61K 45/06 20130101;  A61K 31/65 20130101;  A61K 31/675 20130101;  A61K 31/4743 20130101;  A61K 31/4706 20130101;  A61K 31/5377 20130101;  A61K 31/727 20130101</t>
  </si>
  <si>
    <t>Compositions and methods for treating COVID-19 infections are provided     herein. The methods include administering a therapeutically effective     amount of a combination of at least three components. The first component     is selected from a group consisting of azithromycin, doxycycline, and     remdesivir, the second component is selected from a group consisting of     hydroxychloroquine and a corticosteroid, and the third component is     selected from a group consisting of acetylsalicylic acid, rivaroxaban,     clopidogrel, and enoxaparin sodium.</t>
  </si>
  <si>
    <t>US20220125809</t>
  </si>
  <si>
    <t>TRYPTAMINE COMPOSITIONS FOR ENHANCING NEURITE OUTGROWTH</t>
  </si>
  <si>
    <t>17/570054</t>
  </si>
  <si>
    <t>STAMETS, Paul Edward</t>
  </si>
  <si>
    <t>STAMETS PAUL</t>
  </si>
  <si>
    <t>STAMETS; Paul Edward; (Shelton, WA)</t>
  </si>
  <si>
    <t>A61K 31/661 20130101;  A61K 31/05 20130101;  A61K 31/455 20130101;  A61K 36/07 20130101;  A61P 25/24 20180101;  A61K 36/73 20130101;  A61K 36/066 20130101;  A61K 31/352 20130101</t>
  </si>
  <si>
    <t>Described herein are neurotrophic and nootropic compositions and methods     for treating subjects with such compositions. In one aspect the     composition comprises one or more tryptamines or in pure form or extracts     from psilocybin containing mushrooms, or combinations thereof optionally     combined with one or more phenethylamines or amphetamines in pure form or     extracts from a plant or mushroom, or combinations thereof, optionally     one or more erinacines or hericenones in pure form, extracts from     Hericium mushroom species (e.g., H. erinaceus, H. coralloides, H.     ramosum) or combinations thereof, optionally one or more cannabinoids in     pure form or extracts from Cannabis sativa, Cannabis sativa, Cannabis     indica, or Cannabis ruderalis, optionally, one or more adversive     compounds, and optionally one or more pharmaceutically acceptable     excipients.</t>
  </si>
  <si>
    <t>US20220125773</t>
  </si>
  <si>
    <t>AQUEOUS FORMULATIONS OF WATER INSOLUBLE COX-2 INHIBITORS</t>
  </si>
  <si>
    <t>17/512268</t>
  </si>
  <si>
    <t>TREMEAU PHARMACEUTICALS, INC.</t>
  </si>
  <si>
    <t>TREMEAU PHARMACEUTICALS</t>
  </si>
  <si>
    <t>SIPPY; Bradford C.; (Acton, MA); SKWIERCZYNSKI; Raymond D.; (Andover, MA)</t>
  </si>
  <si>
    <t>Described herein are compositions and methods for treatment with aqueous     formulations of water insoluble COX-2 inhibitors and a solubilizing     agent.</t>
  </si>
  <si>
    <t>US20220125768</t>
  </si>
  <si>
    <t>TARGETING RNA VIRUSES USING INHIBITORS OF METTL3</t>
  </si>
  <si>
    <t>17/511044</t>
  </si>
  <si>
    <t>New York University</t>
  </si>
  <si>
    <t>NEW YORK UNIVERSITY</t>
  </si>
  <si>
    <t>Mohr; Ian; (New York, NY); Burgess; Hannah; (Ridgewood, NY); Wilson; Angus; (New York, NY)</t>
  </si>
  <si>
    <t>C12N 15/113 20130101;  A61K 31/437 20130101;  C12N 2310/14 20130101;  C12N 2320/31 20130101</t>
  </si>
  <si>
    <t>Provided are methods for prophylaxis or therapy for an RNA virus     infection. The methods involve modulating the Type I interferon pathway     in RNA virus infected cells of an individual. The Type I interferon     pathway is modulated by administering one or more agents to virus     infected cells that inhibit the expression and/or function of METTL3 or     inhibit expression and/or function of YTHDF1, YTHDF2 or YTHDF3.</t>
  </si>
  <si>
    <t>US20220125657</t>
  </si>
  <si>
    <t>DISEASE TRANSMISSION PREVENTING MASSAGE TABLE COVER</t>
  </si>
  <si>
    <t>17/079675</t>
  </si>
  <si>
    <t>FARRINGTON STEPHANIE</t>
  </si>
  <si>
    <t>Farrington; Stephanie; (Stittsville, CA)</t>
  </si>
  <si>
    <t>A61G 13/102 20130101;  A61G 13/121 20130101;  A61G 13/009 20130101</t>
  </si>
  <si>
    <t>A cover for covering a face cradle on a massage table includes a cover     body for attachment to the face cradle and a matter catching means     attached to the cover body. The matter catching means includes a bag-like     body for sealing a face opening in the face cradle and preventing     particles such as droplets and droplet nuclei expelled from a mouth     and/or nose of the user from flowing therethrough. The cover is thus used     for preventing disease transmission through pathogenic matter expelled     from the mouth and/or nose of the user.</t>
  </si>
  <si>
    <t>US20220125373</t>
  </si>
  <si>
    <t>METHOD OF EVALUATING A MUSCLE RELATED CONDITION</t>
  </si>
  <si>
    <t>17/428524</t>
  </si>
  <si>
    <t>AMIRA MEDICAL TECHNOLOGIES INC.</t>
  </si>
  <si>
    <t>AMIRA MEDICAL</t>
  </si>
  <si>
    <t>Leinhard; Olof Dahlqvist; (Linkoping, SE); Linge; Jennifer; (Linkoping, SE); Widholm; Per; (Linkoping, SE)</t>
  </si>
  <si>
    <t>A61B 5/055 20130101;  G16H 50/30 20180101;  A61B 5/4519 20130101;  G16H 10/60 20180101;  G16H 50/20 20180101</t>
  </si>
  <si>
    <t>The present invention relates to a method (100) and system for evaluating     a muscle related condition for a subject individual. The method comprises     the steps of acquiring (101) a muscle quantity value (20) for the subject     individual; acquiring (102) a data parameter value (10) for the subject     individual, wherein the data parameter value relates to a quantified     parameter of the subject individuals body composition; selecting (103) a     number of individuals from a database (30) comprising at least one data     parameter value (31) for a plurality of individuals and muscle quantity     values (32) for said plurality of individuals, wherein the selection is     based on the at least one data parameter value being compared to the     subject individuals at least one data parameter value, thereby creating a     virtual control group (VCG) (40); calculating (104) a prediction value     (50) of the muscle quantity values (42) for the individuals in the VCG     (40); and comparing (105) the muscle quantity value (20) for the subject     individual to the determined prediction value (50) of the VCG (40).</t>
  </si>
  <si>
    <t>US20220125333</t>
  </si>
  <si>
    <t>MULTI-FUNCTION FACE MASKS</t>
  </si>
  <si>
    <t>17/511487</t>
  </si>
  <si>
    <t>INNOVARI, INC.</t>
  </si>
  <si>
    <t>INNOVARI</t>
  </si>
  <si>
    <t>Alburty; David S.; (Drexel, MO); Page; Andew E.; (Smithton, MO); Birkenholz; John D.; (Kansas City, MO); Ruegsegger; Kathleen; (Leawood, KS); Packingham; Ann K.; (Cleveland, MO); Packingham; Zachary A.; (Drexel, MO); Adolphson; Alec D.; (Raymore, MO); Murowchick; Pamela S.; (Lenexa, KS); Olsen; Hugh; (Davis, CA); Long; Bryan C.; (Odessa, MO); Graham; Steven D.; (Drexel, MO)</t>
  </si>
  <si>
    <t>A61B 5/097 20130101;  A61B 5/6803 20130101</t>
  </si>
  <si>
    <t>Devices and methods are described for using normal human breath to     separately capture particles from inhaled and exhaled breath for     analysis. This device can be constructed as a wearable device worn as a     mask with separately removable filters on the inside and the outside of     an efficient collection material.</t>
  </si>
  <si>
    <t>US20220125330</t>
  </si>
  <si>
    <t>TRI-AXIAL SEISMOCARDIOGRAPHY DEVICES AND METHODS</t>
  </si>
  <si>
    <t>17/081287</t>
  </si>
  <si>
    <t>LLA TECH INC</t>
  </si>
  <si>
    <t>LLA TECH</t>
  </si>
  <si>
    <t>MAC QUARRIE; David S; (LANGLEY, CA); NEARY; John Patrick; (Regina, CA); SAUCHYN; Robert David; (Regina, CA)</t>
  </si>
  <si>
    <t>A61B 2562/0219 20130101;  A61B 5/259 20210101;  A61B 5/349 20210101;  A61B 5/341 20210101;  A61B 5/0022 20130101;  A61B 2560/045 20130101</t>
  </si>
  <si>
    <t>A computer-implemented method may comprise providing a wireless tri-axial     seismocardiography (SCG) device configured to measure and time-stamp     movements of a user's chest caused by the user's heart beats; positioning     the SCG device on the user's chest in a predetermined orientation and     initiating a test; using the positioned SCG device, detecting, sampling,     digitizing and time-stamping movement vectors of the user's chest over a     predetermined period of time in each of x, y and z directions; storing     the time-stamped digitized movement vectors in a memory of the SCG device     and sending the time-stamped digitized movement vectors to at least one     of the app on the mobile device and the remote server over a computer     network; receiving, by the app on the mobile device, a plurality of     fiduciary markers from the remote server, the plurality of fiduciary     markers being detected from or derived using the time-stamped digitized     movement vectors in each of x, y and z directions; and generating a     report on the mobile device using at least some of the plurality of     fiduciary markers, the report including an indication of the health of     the user's heart.</t>
  </si>
  <si>
    <t>US20220125287</t>
  </si>
  <si>
    <t>VARIABLE PRESSURE CLEANING DEVICE AND METHOD</t>
  </si>
  <si>
    <t>17/509304</t>
  </si>
  <si>
    <t>IP SCIENTIFIC, INC.</t>
  </si>
  <si>
    <t>SCIENTIFIC</t>
  </si>
  <si>
    <t>Miller; Scott; (Arlington, VA); Carter; Frank; (Wormleysburg, PA); Gauger; Carl; (Kansas City, MO)</t>
  </si>
  <si>
    <t>Endoscopic instruments, such as endoscopes, and devices and methods for     cleaning endoscopic instruments are provided. A cleaning device for use     with an endoscopic instrument comprises an elongate member configured for     advancement through an internal lumen within the endoscopic instrument     and a cleaning member removably coupled to a portion of the elongate     member. The cleaning element comprises a variable pressure region shaped     and configured to increase the hydrodynamic fluid friction force and     fluid pressure force of a cleaner or detergent against the wall of the     internal lumen of the endoscope to more effectively clean all internal     surfaces of an endoscopic instrument, including crevasses, scratches or     other irregularities, without further damaging these surfaces.</t>
  </si>
  <si>
    <t>US20220125221</t>
  </si>
  <si>
    <t>SYSTEM AND METHOD FOR CREATING AND SHIPPING A CUSTOMIZED PHOTO MAGNET     PRODUCT</t>
  </si>
  <si>
    <t>17/082499</t>
  </si>
  <si>
    <t>EZER TARA</t>
  </si>
  <si>
    <t>Ezer; Tara; (Hollywood, FL)</t>
  </si>
  <si>
    <t>A system and method are provided for creating a customized photo magnet     product and shipping the product to single or multiple recipients. In one     aspect, the system includes a web-based application with an enhanced user     experience for seamlessly creating the customized photo magnet product.     The user interface provides the user with the ability to upload a     selected photo image from any of multiple sources and overlay the photo     image with a customized visual frame including a user-selected background     pattern, text and text properties, event-related icons, and other     enhancements. In another aspect, the user may select the ship the custom     photo magnet product to one or multiple recipients in selected     quantities.</t>
  </si>
  <si>
    <t>US20220124284</t>
  </si>
  <si>
    <t>WEB- BASED VIDEOCONFERENCE VIRTUAL ENVIRONMENT WITH NAVIGABLE AVATARS, AND     APPLICATIONS THEREOF</t>
  </si>
  <si>
    <t>17/198323</t>
  </si>
  <si>
    <t>KATMAI TECH HOLDINGS LLC</t>
  </si>
  <si>
    <t>KATMAI TECH</t>
  </si>
  <si>
    <t>Krol; Gerard Cornelis; (Leiden, NL); Braund; Erik Stuart; (Saugerties, NY)</t>
  </si>
  <si>
    <t>G06T 13/40 20130101;  H04N 7/157 20130101;  H04L 12/1813 20130101</t>
  </si>
  <si>
    <t>Disclosed herein is a web-based videoconference system that allows for     video avatars to navigate within the virtual environment. The system has     a presented mode that allows for a presentation stream to be texture     mapped to a presenter screen situated within the virtual environment. The     relative left-right sound is adjusted to provide sense of an avatar's     position in a virtual space. The sound is further adjusted based on the     area where the avatar is located and where the virtual camera is located.     Video stream quality is adjusted based on relative position in a virtual     space. Three-dimensional modeling is available inside the virtual video     conferencing environment.</t>
  </si>
  <si>
    <t>US20220124283</t>
  </si>
  <si>
    <t>Three-Dimensional Modeling Inside a Virtual Video Conferencing Environment     with a Navigable Avatar, and Applications Thereof</t>
  </si>
  <si>
    <t>17/075454</t>
  </si>
  <si>
    <t>KROL; GERARD CORNELIS; (Leiden, NL); Braund; Erik Stuart; (Saugerties, NY)</t>
  </si>
  <si>
    <t>US20220124250</t>
  </si>
  <si>
    <t>SYSTEM FOR TRACKING A USER DURING A VIDEOTELEPHONY SESSION AND METHOD OF     USE THEREOF</t>
  </si>
  <si>
    <t>17/468055</t>
  </si>
  <si>
    <t>LIGHTWAVE INTERNATIONAL, INC.</t>
  </si>
  <si>
    <t>LIGHTWAVE</t>
  </si>
  <si>
    <t>Wisnia; Jack; (Dollard-Des Ormeaux, CA); Du; Feng; (Kirkland, CA)</t>
  </si>
  <si>
    <t>H04N 5/23203 20130101;  H04N 5/2351 20130101;  H04N 5/23299 20180801;  H04N 5/23296 20130101;  H04N 5/23218 20180801</t>
  </si>
  <si>
    <t>A method for tracking a user during a videotelephony session initiated by     a videotelephony application program; it includes generating an image     stream with a camera external from the smartphone or tablet; at least     periodically performing image object analysis from the image stream     generated by the external camera to track a position of the user within     an image of the image stream; and generating a pan command and/or a tilt     command to cause a pan and tilt in order to center the user in the field     of view of the external camera.</t>
  </si>
  <si>
    <t>US20220122743</t>
  </si>
  <si>
    <t>RAPID HIGH-CAPACITY POPULATION SCREENING</t>
  </si>
  <si>
    <t>17/323058</t>
  </si>
  <si>
    <t>MX3 DIAGNOSTICS, INC.</t>
  </si>
  <si>
    <t>MX3 DIAGNOSTICS</t>
  </si>
  <si>
    <t>Erlichster; Michael; (Caulfield North, AU); Chana; Gursharan; (Fitroy North, AU); Skafidas; Efstratios; (Thornbury, AU)</t>
  </si>
  <si>
    <t>A method and system improving nucleic-acid testing-capacity for novel     pathogens by applying family-level nucleic acid testing. The test system     involves the use of an analyzer platform and single-use test cartridges     which can identify the presence of one or multiple pathogens on the     family-level. The test system is pro-actively stockpiled to ensure     widespread availability for population screening in the event of a     pandemic.</t>
  </si>
  <si>
    <t>US20220122741</t>
  </si>
  <si>
    <t>Privacy-Enhanced Contact Tracing using Mobile Applications and Portable     Devices</t>
  </si>
  <si>
    <t>17/076218</t>
  </si>
  <si>
    <t>SERVICENOW, INC.</t>
  </si>
  <si>
    <t>SERVICENOW</t>
  </si>
  <si>
    <t>Mody; Yamit; (San Diego, CA); Alam; Sheehan; (San Diego, CA); Golab; Adam; (Santa Clara, CA); Goldin; Yevgeniy; (San Francisco, CA); Meenakshisundaram; Senthil Rajavallipuram; (Santa Clara, CA); Ranganath; Anita; (Santa Clara, CA); Yanalunas; Adam Danial; (San Diego, CA); Das; Probir; (Santa Clara, CA)</t>
  </si>
  <si>
    <t>G06Q 50/265 20130101;  G16H 50/80 20180101;  G16H 70/60 20180101;  H04W 4/80 20180201;  H04W 4/20 20130101;  H04W 12/088 20210101;  G16H 10/60 20180101;  H04W 4/023 20130101</t>
  </si>
  <si>
    <t>A embodiment may involve receiving a contact tracing request for a first     user identifier that corresponds to a first portable device identifier of     a first portable device. The second example embodiment may also involve     requesting and receiving, from a first computing device associated with     the first user identifier, device adjacency data, wherein the device     adjacency data contains a plurality of contact entries, wherein one of     the contact entries identifies a second portable device identifier of a     second portable device that was wirelessly detected by the first portable     device and a timestamp of when the wireless detection of the second     portable device occurred. The second example embodiment may involve     determining, from the mappings, a second user identifier that corresponds     to the second portable device identifier. The second example embodiment     may further involve transmitting, to a second computing device associated     with the second user identifier, a contact tracing notification.</t>
  </si>
  <si>
    <t>US20220122740</t>
  </si>
  <si>
    <t>EARLY DETECTION OF INFECTIOUS RESPIRATORY DISEASES</t>
  </si>
  <si>
    <t>17/071763</t>
  </si>
  <si>
    <t>Nematihosseinabadi; Ebrahim; (Mountain View, CA); Rahman; Md M.; (San Jose, CA); Nathan; Viswam; (Santa Clara, CA); Vatanparvar; Korosh; (Santa Clara, CA); Ahmed; Tousif; (San Jose, CA); Kuang; Jilong; (San Jose, CA); Gao; Jun; (Menlo Park, CA)</t>
  </si>
  <si>
    <t>H04L 67/22 20130101;  G06Q 50/265 20130101;  G16H 50/20 20180101;  G16H 40/67 20180101;  G16H 50/30 20180101;  G16H 10/60 20180101;  G16H 50/70 20180101;  G16H 50/80 20180101;  H04W 4/029 20180201;  G16H 10/20 20180101;  A61B 5/14551 20130101;  A61B 5/0823 20130101</t>
  </si>
  <si>
    <t>Early detection of infectious respiratory diseases includes monitoring,     during a predetermined time interval, electronic communications generated     by network-connected portable devices, each portable device used by one     of a plurality of users. The electronic communications are processed by     extracting from each electronic communication biomarkers obtained by     processing signals captured by the portable devices, the signals     generated in response to sensor-detected respiratory activity of the     portable device users. Clusters of users are generated based on the     biomarkers and are conditioned based on pre-condition data extracted from     the electronic communications, the pre-condition data corresponding to     users determined to have pre-existing health conditions. Based on context     data extracted from the electronic communications, user co-locations and     pre-symptomatic biomarker variation co-occurrences are determined for     users who exhibit pre-symptomatic biomarker variations associated with an     infectious respiratory disease. An outbreak of the infectious respiratory     disease is predicted along with the likelihood of infection for     individuals based on the user co-locations and pre-symptomatic biomarker     variation co-occurrences.</t>
  </si>
  <si>
    <t>US20220122738</t>
  </si>
  <si>
    <t>METHOD AND SYSTEM FOR CONTACT TRACING USING POSITIONING IN A VENUE</t>
  </si>
  <si>
    <t>17/503099</t>
  </si>
  <si>
    <t>TDK CORPORATION</t>
  </si>
  <si>
    <t>TDK</t>
  </si>
  <si>
    <t>Ghosh; Sumit; (Calgary, CA); Ramesh; Vijay; (Calgary, CA); Arunarthy; Nagesh; (Calgary, CA); Georgy; Jacques; (Calgary, CA); Berkovich; Gennadii; (Calgary, CA); Goodall; Christopher; (Calgary, CA); Nakayama; Takashi; (Calgary, CA)</t>
  </si>
  <si>
    <t>Systems and methods are provided for establishing contact tracing for a     group of users within a venue. Position information in the venue may be     estimated for each user over a period of time based at least in part on     data from a portable device associated with each user. At least one     contact parameter may be established so that contact between at least two     users of the group of users during the period of time may be determined     based at least in part on the at least one contact parameter and the     estimated position information.</t>
  </si>
  <si>
    <t>US20220122726</t>
  </si>
  <si>
    <t>A SYSTEM AND METHOD FOR MEDICAL DIAGNOSIS SUPPORT</t>
  </si>
  <si>
    <t>17/428295</t>
  </si>
  <si>
    <t>TYTO CARE LTD.</t>
  </si>
  <si>
    <t>TYTO CARE</t>
  </si>
  <si>
    <t>BYCHKOV; Eyal; (Hod Hasharon, IL)</t>
  </si>
  <si>
    <t>G16H 40/67 20180101;  G16H 50/80 20180101;  A61B 5/0022 20130101;  G16H 80/00 20180101;  A61B 5/1112 20130101;  G16H 50/20 20180101;  Y02A 90/10 20180101;  A61B 2560/0242 20130101</t>
  </si>
  <si>
    <t>A medical diagnosis support system, the medical diagnosis support system     comprising a processing resource configured to: obtain medical data     acquired from a body of a patient at a given time using a medical data     acquisition device; identify and retrieve residual information associated     with at least one of: (i) a first location of the patient at the given     time, or (ii) at one or more second locations of the patient at one or     more corresponding second times earlier than the given time; and display     the medical data and the residual information to a medical practitioner,     thereby enabling the medical practitioner to provide a diagnosis of a     medical condition of the patient.</t>
  </si>
  <si>
    <t>US20220122700</t>
  </si>
  <si>
    <t>Predictive Electronic Healthcare Record Systems and Methods for the     Developing World</t>
  </si>
  <si>
    <t>17/075567</t>
  </si>
  <si>
    <t>LIVEBEYOND</t>
  </si>
  <si>
    <t>Vanderpool; David; (Nashville, TN)</t>
  </si>
  <si>
    <t>G16H 80/00 20180101;  G16H 50/20 20180101;  G16H 40/67 20180101;  G16H 10/60 20180101;  G06N 20/00 20190101;  G16H 50/80 20180101;  G16H 40/20 20180101;  G16H 50/70 20180101</t>
  </si>
  <si>
    <t>A unified and integrated medical data management tool system comprised of     multiple application modules, capable of operating on multiple common     operating systems and platforms and using readily available digital     devices, for the management of Electronic Medical Records (EMR) so as     improve multiple key healthcare metrics across an entire national     healthcare system, being able to: improve the nationwide level of medical     education; evaluate the efficiency and appropriateness of physician     diagnosis and treatment decisions and a knowledgebase to provide     suggested alternatives; facilitate electronic entry of data generated by     medical devices; track epidemiological cases and data and forward such     data to national and global health agencies; utilize a knowledgebase to     facilitate the search for, and coordination with, medical specialists,     and sources of medicines medical supplies; coordinate medical care in the     event of natural disaster; and facilitate the collection and presentation     of health data in applying for grant funding from agencies and     foundations.</t>
  </si>
  <si>
    <t>US20220122699</t>
  </si>
  <si>
    <t>General; Pharma&amp;Biopharma</t>
  </si>
  <si>
    <t>WORKFLOWS FOR PREPARING AND ANALYZING CLINICAL SAMPLES</t>
  </si>
  <si>
    <t>17/500489</t>
  </si>
  <si>
    <t>WATERS TECHNOLOGIES CORPORATION</t>
  </si>
  <si>
    <t>WATERS</t>
  </si>
  <si>
    <t>McDonald; Thomas S.; (Holden, MA); Wyndham; Kevin; (Upton, MA); Vissers; Johannes; (Breda, NL); Bouvier; Edouard S. P.; (Stow, MA)</t>
  </si>
  <si>
    <t>The present disclosure relates to methods and workflows for processing     and analyzing clinical samples (e.g., nasal swabs, throat swabs, plasma     samples, urine, etc.) In general, the methods and workflows involve the     detection of an infectious state and are improved over contemporary     methods due to increased throughput with improved resolution of positive     results.</t>
  </si>
  <si>
    <t>US20220122694</t>
  </si>
  <si>
    <t>SYSTEMS AND METHODS FOR SMART TESTING OF GENETIC MATERIALS</t>
  </si>
  <si>
    <t>17/566850</t>
  </si>
  <si>
    <t>SPECIALTY DIAGNOSTIC (SDI) GLOBAL</t>
  </si>
  <si>
    <t>SPECIALTY DIAGNOSTIC GLOBAL</t>
  </si>
  <si>
    <t>Mohiuddin; Ozman; (Redmond, WA); Thomas; Sumi; (Rancho Santa Margarita, CA)</t>
  </si>
  <si>
    <t>A system for second lab testing of genetic materials is presented. The     system includes a computing device configured to receive a specimen from     a human subject and perform a smart test on the specimen. The smart test     includes a first lab test configured to generate a first lab test     identifying a first disease agent and a second lab test configured to     generate a second lab test identifying a second disease agent, wherein     identifying the second disease agent includes generating a second lab     machine-learning model, training the second lab machine-learning model as     a function of a second lab test training set, and outputting, as a     function of the second lab machine-learning model, the second lab test     result using specimen data as an input. The computing device is further     configured to generate a smart test result as a function of the smart     test.</t>
  </si>
  <si>
    <t>US20220122570</t>
  </si>
  <si>
    <t>INTERACTIVE PERFORMANCE SYSTEM AND METHOD</t>
  </si>
  <si>
    <t>17/451243</t>
  </si>
  <si>
    <t>MALACHI CAROLYN KEVON</t>
  </si>
  <si>
    <t>Malachi; Carolyn Ke'von; (Baltimore, MD)</t>
  </si>
  <si>
    <t>G10H 1/0025 20130101;  G10H 1/0058 20130101;  G10H 2240/181 20130101;  G10H 2240/305 20130101;  G10H 2240/175 20130101;  G10H 2240/311 20130101;  G10H 2210/091 20130101;  G10H 1/0083 20130101</t>
  </si>
  <si>
    <t>A method of processing textual and graphical feedback of a virtual     audience of a performance for compensating and providing sonic cues to     the performers through monetizing and audially representing,     respectively, the textual and graphical feedback.</t>
  </si>
  <si>
    <t>US20220122479</t>
  </si>
  <si>
    <t>LEARNING &amp; MOTIVATION BOOSTER APPLICATION</t>
  </si>
  <si>
    <t>17/072074</t>
  </si>
  <si>
    <t>APPIAH FRANK</t>
  </si>
  <si>
    <t>Appiah; Frank; (Greenwood Village, CO)</t>
  </si>
  <si>
    <t>A learning and motivation booster application for posing questions and     taking inputs from user's in response to the questions; designed to     provide rewards to user's in the form of movies and video games that can     only be assessed when a user specified threshold/rules/objectives is     achieved and, depending on the correctness of the user's responses. The     first part of the apparatus comprise of computing and application devices     that receive inputs and converts them to machine readable codes     considered as users' response. It then compares those responses to     existing correct responses. The second part comprise of devices that     stores questions and answers which can be activated by the first set of     devices to display to the user. The third part of the apparatus consist     of an entertainment database and all other potential entertaining devices     and software with contents to reward users based on the correctness of     their inputs/responses.</t>
  </si>
  <si>
    <t>US20220122458</t>
  </si>
  <si>
    <t>METHOD AND SMART PARKING SYSTEM USING INTELLIGENT PLUG-AND-PLAY POINT TO     MULTIPOINT INTERNET of THINGS (IoT) PLATFORM</t>
  </si>
  <si>
    <t>17/646712</t>
  </si>
  <si>
    <t>EOH JOINT STOCK COMPANY</t>
  </si>
  <si>
    <t>EOH JOINT STOCK</t>
  </si>
  <si>
    <t>DAO; BANG TRAN; (Binh Dinh, VN); LE; LONG HONG; (BINH DINH, VN); HUYNH; HAU VAN; (Tien Giang, VN); NGUYEN; CANH HUU; (Ho Chi Minh, VN); LAM; SON GIANG; (Ho Chi Minh, VN)</t>
  </si>
  <si>
    <t>A smart parking system and method are disclosed which includes a     plug-and-play and point to multipoint (PnP&amp;P2MP) based internet of things     (IoT) parking sensors, gateway managers, and user devices that can share     information via a network. The information is used to preserve parking     spaces, calculate minimum parking search time, and establish a dynamic     queuing system to achieve high throughput, avoid traffic congestion and     time losses.</t>
  </si>
  <si>
    <t>US20220122389</t>
  </si>
  <si>
    <t>CONTACTLESS DELIVERY LOCKER SYSTEM</t>
  </si>
  <si>
    <t>17/561914</t>
  </si>
  <si>
    <t>BRGHTLY INC.</t>
  </si>
  <si>
    <t>BRGHTLY</t>
  </si>
  <si>
    <t>O'Rourke; David; (Malibu, CA); O'Rourke; Adam; (Malibu, CA); Draleau; Dennis; (Lehi, UT); Schuster; Michele Kay; (Malibu, CA)</t>
  </si>
  <si>
    <t>A contactless delivery locker may have a locker housing with a locker     door fitted to the locker housing. A disinfecting system may be arranged     to disinfect the locker content and a remotely actuable lock may be     arranged to secure the locker door in a closed position and actuable to     release the locker door. A controller associated with the lock may be     configured to actuate the lock and a wireless interface may be connected     to the controller and configured to receive a command to actuate the lock     to release the locker door. The controller may operate to control     actuation of the lock to release the locker door upon detection of a     command to actuate the lock and release the locker door. The controller     may be configured to report lock status information to a user to confirm     if a locker has been opened after completion of a disinfecting cycle.</t>
  </si>
  <si>
    <t>US20220122167</t>
  </si>
  <si>
    <t>SYSTEM, SERVER AND METHOD FOR PROTECTING THE HEALTH AND WEALTH OF NATIONS</t>
  </si>
  <si>
    <t>17/505421</t>
  </si>
  <si>
    <t>Stacy, Frances Newton</t>
  </si>
  <si>
    <t>STACY FRANCES</t>
  </si>
  <si>
    <t>Stacy; Frances Newton; (Sparks, NV)</t>
  </si>
  <si>
    <t>The systems and methods described herein are directed toward the recovery     of an unsustainable debt growth. In some embodiments, the system includes     a computer implemented method of creating an amount of interest free     currency in an amount approximately twice that of 50% to 75% of a current     debt. In some embodiments, the system includes paying off the 50% to 75%     of the current debt with the interest free currency. In some embodiments,     the system includes replacing the paid off portion of the current debt     with the remaining interest free currency. In some embodiments, the     system is configured to determine a sustainable angle for debt growth. In     some embodiments, the system is configured to determine a sustainable     angle for debt recovery.</t>
  </si>
  <si>
    <t>US20220121851</t>
  </si>
  <si>
    <t>ROUTING BASED ON TOUCH POINTS</t>
  </si>
  <si>
    <t>17/074461</t>
  </si>
  <si>
    <t>Here Global</t>
  </si>
  <si>
    <t>HERE GLOBAL</t>
  </si>
  <si>
    <t>White; Donta; (Racine, WI)</t>
  </si>
  <si>
    <t>G06F 16/29 20190101;  G06V 20/20 20220101</t>
  </si>
  <si>
    <t>System and methods are provided for gathering touch point data related to     human touches or contacts for objects or materials that are likely to     carry an infection, analyzing the data, generating touch score data for     objects and areas, and presenting the generated data to users for use in     navigating from location to location.</t>
  </si>
  <si>
    <t>US20220120746</t>
  </si>
  <si>
    <t>Methods of Determining Susceptibility to COVID-19 Infection</t>
  </si>
  <si>
    <t>17/501250</t>
  </si>
  <si>
    <t>G01N 33/5008 20130101;  G01N 2800/06 20130101;  G01N 2800/52 20130101;  A61P 1/14 20180101;  A61K 35/745 20130101;  G01N 33/56911 20130101;  C12R 2001/145 20210501</t>
  </si>
  <si>
    <t>A method of determining susceptibility to COVID-19 infection comprising     the steps of providing a stool sample, and determining an amount of     Bifidobacterium, Clostridium, Faecalibacterium, Faecalibacterium     prausnitzii, Ruminococcus, and Subdoligranulum in the stool sample. A     method of determining susceptibility to COVID-19 infection comprising the     steps of providing a stool sample, and determining an amount of     Bifidobacterium and Faecalibacterium, in the stool sample. A method of     reducing the severity of COVID-19 infection comprising the steps of     providing the individual, and administering at least one of the     following: Bifidobacterium and or Faecalibacterium. A method of reducing     the risk of infection of COVID-19 comprising the steps of providing the     individual, and administering Bifidobacterium and or Faecalibacterium. A     method of increasing an amount of Bifidobacterium and Faecalibacterium in     an individual, the method comprising the steps of providing the     individual; and administering one or more of the following: Vitamin C,     doxycycline, Zinc, and Ivermectin.</t>
  </si>
  <si>
    <t>US20220120743</t>
  </si>
  <si>
    <t>FLOW CONTROL LINES FOR LATERAL FLOW ASSAYS</t>
  </si>
  <si>
    <t>17/502999</t>
  </si>
  <si>
    <t>Cornell; Amy; (Killingworth, CT); Roswech; Todd; (Ivoryton, CT); Leamon; John H.; (Stonington, CT)</t>
  </si>
  <si>
    <t>Described herein in an embodiment is a lateral flow assay strip for     detecting the presence of one or more target nucleic acid sequences     (e.g., one or more nucleic acid sequences of a pathogen, such as a     coronavirus or an influenza virus). The lateral flow assay strip may     comprise a first test line configured to detect a first target nucleic     acid sequence and a flow control line configured to detect a liquid. In     some cases, the first test line comprises a biological capture reagent     (e.g., an immobilized antibody). In some cases, the flow control line     comprises a non-biological fluid indicator (i.e., a non-antibody     reagent). The non-biological fluid indicator may, for example, comprise a     pH-sensitive material, a moisture-sensitive material, and/or a     chemically-sensitive material. The flow control line may provide a visual     indication of whether a fluidic sample was successfully transported from     a first end of the lateral flow assay strip to the first test line.</t>
  </si>
  <si>
    <t>US20220120741</t>
  </si>
  <si>
    <t>SARS-CoV2 Antigen Lateral Flow Assay Detection Device and Methods of Using     the Same</t>
  </si>
  <si>
    <t>17/490419</t>
  </si>
  <si>
    <t>Becton, Dickinson And Company</t>
  </si>
  <si>
    <t>BECTON DICKINSON</t>
  </si>
  <si>
    <t>Ren; Huimiao; (San Diego, CA); Orlowski; Ashley; (San Diego, CA); Anderson; Richard R.; (Encinitas, CA)</t>
  </si>
  <si>
    <t>G01N 33/54388 20210801;  G01N 33/56983 20130101;  G01N 2333/165 20130101;  G01N 2469/10 20130101</t>
  </si>
  <si>
    <t>Lateral flow assay (LFA) devices for detecting whether SARS-CoV-2     nucleocapsid protein is present in a sample are provided. Aspects of the     LFA devices include: a sample receiving region; a conjugate region     downstream from the sample receiving region that includes test     particulate labels made up of label particles conjugated to first and     second specific binding members that specifically bind to the SARS-CoV-2     nucleocapsid protein; and a detection region downstream from the     conjugate region which includes an immobilized capture specific binding     member that specifically binds to the SARS-CoV-2 nucleocapsid protein.     Also provided are methods of using the LFA devices, as well as readers,     systems and kits for use in the same.</t>
  </si>
  <si>
    <t>US20220120737</t>
  </si>
  <si>
    <t>METHOD FOR DETECTING SARS-COV-2-SPECIFIC SERUM HUMAN IMMUNOGLOBULINS</t>
  </si>
  <si>
    <t>17/076034</t>
  </si>
  <si>
    <t>RAYBIOTECH LIFE</t>
  </si>
  <si>
    <t>Huang; Ruo-Pan; (Johns Creek, GA)</t>
  </si>
  <si>
    <t>A high-throughput high sensitivity and high selectivity ELISA-based     method is provided that can detect human IgA, IgM, and IgG directed     against SARS-CoV-2 with minimum false positive results. Simultaneous use     of SARS-CoV-2-specific antigens derived from SARS-CoV-2 spike and     nucleocapsid proteins provides greater sensitivity and selectivity     compared to current methods for the detection of SARS-CoV-2-induced human     immunoglobulin A, M, and G serum antibodies.</t>
  </si>
  <si>
    <t>US20220120735</t>
  </si>
  <si>
    <t>Testing Methods for Determination of T2R Phenotype and Applications     Thereof</t>
  </si>
  <si>
    <t>17/500755</t>
  </si>
  <si>
    <t>PHENOMUNE, LLC</t>
  </si>
  <si>
    <t>PHENOMUNE</t>
  </si>
  <si>
    <t>Barham; Henry P.; (Baton Rouge, LA)</t>
  </si>
  <si>
    <t>G01N 33/6842 20130101;  G01N 33/5041 20130101;  G01N 2333/705 20130101</t>
  </si>
  <si>
    <t>This invention provides test methods and test kits for determination of     T2R phenotype.</t>
  </si>
  <si>
    <t>US20220120732</t>
  </si>
  <si>
    <t>TREATMENT OF DISEASES WITH MULTIMERIC PEPTIDES</t>
  </si>
  <si>
    <t>17/428714</t>
  </si>
  <si>
    <t>RAMOT AT TEL AVIV UNIVERSITV LTD.</t>
  </si>
  <si>
    <t>RAMOT</t>
  </si>
  <si>
    <t>RAITER; Annat; (Tel-Aviv, IL)</t>
  </si>
  <si>
    <t>Methods of treating diseases selected from the group consisting of an     autoimmune disease, a neurodegenerative disease, triple negative breast     cancer, head and neck cancer and an infectious disease are disclosed. The     method comprises administering agents that bind to CD45.</t>
  </si>
  <si>
    <t>US20220120692</t>
  </si>
  <si>
    <t>Method And System For Detection, Quantification And/Or Identification Of     An Analyte In A Specimen Based On Electrical And/Or Optical Response To     An Electric Field</t>
  </si>
  <si>
    <t>17/514078</t>
  </si>
  <si>
    <t>UNITED ARAB EMIRATES UNIVERSITY</t>
  </si>
  <si>
    <t>Al Ahmad; Mahmoud F. Y.; (Al Ain, AE)</t>
  </si>
  <si>
    <t>G01N 33/56983 20130101;  G01N 21/66 20130101;  G01N 2800/26 20130101</t>
  </si>
  <si>
    <t>A method and a system of detecting, identifying and quantifying an     analyte, for example coronavirus, in a specimen comprising, comprising:     apportioning the suspended specimen into one or more test samples;     optionally adding a reagent to the test samples; and applying an electric     field with a first magnitude and with a second magnitude over the test     samples for a selected period of time. The second magnitude should be     higher than the first magnitude. The method and system further comprises:     measuring electrical properties of said one or more test samples in     response to said applied electric field for said first magnitude and for     said second magnitude over said period of time; identifying     characteristics of said electrical properties responses; and determining     the presence, the identification and/or the quantity of coronavirus based     on the characteristics of said electrical properties responses to said     first magnitude and to said second magnitude of the applied electric     field.</t>
  </si>
  <si>
    <t>US20220120676</t>
  </si>
  <si>
    <t>MULTISPECTRAL SAMPLE ANALYSIS USING ABSORPTION SIGNATURES</t>
  </si>
  <si>
    <t>17/564318</t>
  </si>
  <si>
    <t>PRECISION HEALING, INC</t>
  </si>
  <si>
    <t>PRECISION HEALING</t>
  </si>
  <si>
    <t>Strasfeld; David B.; (Somerville, MA)</t>
  </si>
  <si>
    <t>Disclosed techniques include multispectral sample analysis using     absorption signatures. At least two excitation light wavelengths are     provided to a material sample. The sample exhibits absorption     characteristics along the Red-Green-Blue (RGB) light wavelength spectrum.     Output values of an RGB sensor are measured. The measuring detects the     absorption characteristics of the sample. The absorption characteristics     are in response to the at least two excitation light wavelengths. A third     excitation light wavelength is provided and an additional output value of     the RGB sensor is measured. The providing at least two excitation light     wavelengths and a third excitation light wavelength enable water     identification and biochrome identification. An indication of composition     of the material sample is generated. The indication is based on     interpreting the output values that were measured. An additional RGB     sensor enables stereoscopic sensor imaging.</t>
  </si>
  <si>
    <t>US20220120674</t>
  </si>
  <si>
    <t>METHOD AND SYSTEM FOR DETECTING A BIOLOGICAL SUBSTANCE BY HYPERSPECTRAL     IMAGING</t>
  </si>
  <si>
    <t>17/506762</t>
  </si>
  <si>
    <t>GREEN VISION SYSTEMS LTD.</t>
  </si>
  <si>
    <t>GREEN VISION SYSTEMS</t>
  </si>
  <si>
    <t>MOSHE; Danny S.; (Ramat-HaSharon, IL)</t>
  </si>
  <si>
    <t>G06V 10/58 20220101;  G06V 20/693 20220101;  G06V 2201/03 20220101;  G06V 10/60 20220101;  G01N 33/497 20130101;  G01N 1/44 20130101;  A61B 5/097 20130101;  G01N 21/31 20130101</t>
  </si>
  <si>
    <t>A method of detecting a biological substance in a sample, comprises:     illuminate the sample by light; imaging the illuminated sample by Fourier     transform hyperspectral imaging; and analyzing the obtained hyperspectral     image to detect the biological substance in a sample.</t>
  </si>
  <si>
    <t>US20220120656</t>
  </si>
  <si>
    <t>COMPACT OPTICAL VIRUS DETECTION ANALYZER OF NANO- AND MICRO- SIZE BIO     PARTICLES USING LIGHT SCATTERING AND FLUORESCENCE</t>
  </si>
  <si>
    <t>17/503086</t>
  </si>
  <si>
    <t>Robert Alfano</t>
  </si>
  <si>
    <t>ALFANO ROBERT</t>
  </si>
  <si>
    <t>Alfano; Robert R.; (Bronx, NY); Shi; Lingyan; (San Diego, NY); Wu; Binlin; (Forest Hills, NY)</t>
  </si>
  <si>
    <t>A Compact Optical Virus Detection Analyzer (COVDA) uses light scattering     and fluorescence to detect nanometer (nm) and micrometer (um) sized     particles, such as biological particles and can be used to detect viruses     such as coronavirus including SAR-CoV-2 responsible for COVID-19, pollen     and bacteria. It can be used for prescreening, rapid detection of     suspicious people. COVDA involves experimental and theoretical methods     for particle and virus detection using Tryptophan as a key biomarker.     Light sources in compact units include lamps such as Xenon (Xe) lamp with     narrow band filters, LEDs (such as AlN) or laser diode, Q switched and     mode lock Lasers for nanosecond and picosecond pulses (such as Nd     Yag/Glass, Ti sapphire with Harmonic generator) in blue from 400 nm to     500 nm to generate second harmonic generation (SHG) in KDP/BBO crystals     to produce 200 nm to 250 nm emission, or green laser pointers at about     530 nm to get emitters with harmonic crystals at about 270 nm or LEDS     from 230 nm to 300 nm for pumping the samples at 230 nm to 289 nm to pump     tryptophan and light scatter of nanometer particles of virus. The ultra     high power ns and ps lasers in mJ to J can level can be used to locate     Bio virus bacteria clouds in free space to image and destroy and kill     virus.</t>
  </si>
  <si>
    <t>US20220120618</t>
  </si>
  <si>
    <t>SYSTEMS AND METHODS FOR TOUCHLESS TEMPERATURE SCREENING SYSTEM</t>
  </si>
  <si>
    <t>17/505405</t>
  </si>
  <si>
    <t>Walmart</t>
  </si>
  <si>
    <t>WALMART APOLLO</t>
  </si>
  <si>
    <t>Ellison; Benjamin R.; (San Francisco, CA); Neipling; Eric Chad; (Rogers, AR); Bostian; Addison K.; (Centerton, AR); Pabba; Manideep; (Bentonville, AR); Giovacchini; Ryan J.; (Rogers, AR); Fleshman; Alisha D.; (Centerton, AR); Coco; Kipp S.; (Bentonville, AR)</t>
  </si>
  <si>
    <t>In some embodiments, apparatuses and methods are provided herein useful     to screening a body temperature of a human. In some embodiments, there is     provided a touchless temperature screening system that screens a body     temperature of a human including a housing comprising an output     interface; one or more first sensors; a temperature sensor; and a control     circuit configured to: cause the output interface to provide one or more     messages; receive the one or more user inputs indicative of responses to     at least one of the one or more messages; receive temperature data     corresponding to the body temperature; determine whether the human meets     a health criteria; and transmit a control signal indicative of the human     meeting the health criteria in response to the human meeting the health     criteria.</t>
  </si>
  <si>
    <t>US20220120459</t>
  </si>
  <si>
    <t>TABLETOP BIO-SAFTY AIR CURTAIN</t>
  </si>
  <si>
    <t>17/075984</t>
  </si>
  <si>
    <t>BEMIS PAUL</t>
  </si>
  <si>
    <t>BEMIS; PAUL; (BRISTOL, NH)</t>
  </si>
  <si>
    <t>F24F 8/10 20210101;  F24F 1/0022 20130101;  F24F 2009/007 20130101;  F24F 9/00 20130101</t>
  </si>
  <si>
    <t>A tabletop laminar flow HEPA filtered air curtain, for use as a     bio-safety separation barrier for the personal protection of individuals     from a respired aerosol, is provided. The air curtain has a rectangular     cabinet. The cabinet is partitioned into a fan housing, in fluid     communication, with a HEPA filter box. The fan housing has an air intake.     A fan assembly is mounted in the fan housing. The fan assembly has a     ducted housing, in fluid communication with the ambient air intake, and a     blower. A horizontal HEPA filter is mounted in the filter box so that a     blower discharge passes through the HEPA filter, and upwardly and     uniformly through an elongated laminar flow nozzle in a top wall of the     filter box.</t>
  </si>
  <si>
    <t>US20220120107</t>
  </si>
  <si>
    <t>SYSTEMS AND METHODS FOR DRIVE-UP CONDOMINIUMS AND COMMERCIAL UNITS</t>
  </si>
  <si>
    <t>17/505341</t>
  </si>
  <si>
    <t>CONSIGLIO MARK</t>
  </si>
  <si>
    <t>Consiglio; Mark; (Richmond, CA)</t>
  </si>
  <si>
    <t>E04H 1/04 20130101;  E04H 6/10 20130101</t>
  </si>
  <si>
    <t>Systems and method for drive-up condominiums and commercial units are     provided. In one embodiment, a multi-level building structure allows for     parking vehicles adjacent to upper level occupancy units, wherein the     upper level occupancy units may be condominium units or commercial units.     The multi-level building structure may include occupancy units along the     perimeter or interior of the level, which may allow vehicles to be driven     from ground level to any desired level of the multi-level structure and     park adjacent to the occupancy unit.</t>
  </si>
  <si>
    <t>US20220119897</t>
  </si>
  <si>
    <t>METHODS TO QUANTIFY VIRUS FROM WASTEWATER</t>
  </si>
  <si>
    <t>17/348636</t>
  </si>
  <si>
    <t>THE RESEARCH FOUNDATION OF STATE UNIVERSITY OF NEW YORK</t>
  </si>
  <si>
    <t>THE RESEARCH FOUNDATION STATE UNIVERSITY NEW YORK</t>
  </si>
  <si>
    <t>GREEN; Hyatt C.; (Syracuse, NY); MIDDLETON; Frank A.; (Fayetteville, NY)</t>
  </si>
  <si>
    <t>C12Q 1/702 20130101;  C12Q 1/70 20130101;  C12Q 1/701 20130101;  C12Q 1/705 20130101</t>
  </si>
  <si>
    <t>The present disclosure relates to a method of detecting and quantifying a     virus-of-interest from human viral shed in a community, including:     concentrating viral material from a wastewater sample to form a viral     nucleic acid material; measuring an amount of a virus-of-interest nucleic     acid in the viral nucleic acid material to obtain a first amount;     measuring an amount of a marker or bacteriophage nucleic acid in the     viral nucleic acid material to obtain a second amount; and forming a     ratio of the first amount to the second amount to estimate a level of     virus-of-interest from human viral shed within a community. In     embodiments, methods for quantifying, monitoring, and/or identifying     virus-of-interest such as SARS-CoV-2 are also disclosed.</t>
  </si>
  <si>
    <t>US20220119896</t>
  </si>
  <si>
    <t>DETECTION OF PATHOGENS IN WASTEWATER</t>
  </si>
  <si>
    <t>17/507472</t>
  </si>
  <si>
    <t>BIO-RAD LABORATORIES, INC.</t>
  </si>
  <si>
    <t>BIO-RAD LABORATORIES</t>
  </si>
  <si>
    <t>HERRERA; Monica; (Dublin, CA); SHINOFF; Josh; (Emeryville, CA)</t>
  </si>
  <si>
    <t>C12Q 1/689 20130101;  C12Q 1/6895 20130101;  C12Q 1/703 20130101;  C12Q 1/70 20130101;  C12Q 1/707 20130101</t>
  </si>
  <si>
    <t>Methods of concentrating RNA from wastewater and quantifying the RNA by     digital amplification are provided.</t>
  </si>
  <si>
    <t>US20220119824</t>
  </si>
  <si>
    <t>IMMUNOSTIMULATORY BACTERIA-BASED VACCINES, THERAPEUTICS, AND RNA DELIVERY     PLATFORMS</t>
  </si>
  <si>
    <t>17/569290</t>
  </si>
  <si>
    <t>ACTYM THERAPEUTICS, INC.</t>
  </si>
  <si>
    <t>ACTYM THERAPEUTICS</t>
  </si>
  <si>
    <t>GLICKMAN; Laura Hix; (Oakland, CA); PETERSON; Bret Nicholas; (Oakland, CA); KEHOE; Haixing; (Berkeley, CA); IANNELLO; Alexandre Charles Michel; (Oakland, CA); THANOS; Christopher D.; (Tiburon, CA)</t>
  </si>
  <si>
    <t>C12N 15/74 20130101;  C07K 2317/31 20130101;  A61K 2039/544 20130101;  C07K 14/55 20130101;  C12N 2310/122 20130101;  A61K 2039/53 20130101;  C12N 15/1137 20130101;  C12N 2840/203 20130101;  A61K 2039/543 20130101;  C07K 14/565 20130101;  A61K 2039/55572 20130101;  A61K 2039/523 20130101;  C07K 16/2809 20130101;  C12N 2320/32 20130101;  C07K 14/7155 20130101;  A61P 35/00 20180101;  C07K 16/28 20130101;  C07K 14/4705 20130101;  A61K 9/0043 20130101;  A61K 39/39 20130101;  A61K 39/0011 20130101;  C07K 2319/00 20130101;  C07K 14/5443 20130101;  C12N 2310/14 20130101;  A61K 9/007 20130101;  C12N 2310/531 20130101;  C12N 1/20 20130101</t>
  </si>
  <si>
    <t>Provided are immunostimulatory bacteria with genomes that are modified     to, for example, reduce toxicity and improve the anti-tumor activity,     such as by increasing accumulation in the tumor microenvironment,     particularly in tumor-resident myeloid cells, improving resistance to     complement inactivation, reducing immune cell death, promoting adaptive     immunity, and enhancing T-cell function. Also provided are     immunostimulatory bacteria for use as vaccines, and for delivery of mRNA.     The immunostimulatory bacterium comprise genome modifications resulting     in an increase in colonization of phagocytic cells, which delivers     encoded therapeutic products to phagocytic cells, and permits, among     other routes, systemic administration of the immunostimulatory bacteria.     The increase in colonization of phagocytic cells also provides for use of     immunostimulatory bacteria for direct tissue administration for use as     vaccines.</t>
  </si>
  <si>
    <t>US20220119812</t>
  </si>
  <si>
    <t>MICRO RNA INTERACTIONS AS THERAPEUTIC TARGETS FOR COVID-19 AND OTHER VIRAL     INFECTIONS</t>
  </si>
  <si>
    <t>17/451521</t>
  </si>
  <si>
    <t>DUQUESNE UNIVERSITY OF THE HOLY SPIRIT</t>
  </si>
  <si>
    <t>DUQUESNE UNIVERSITY HOLY SPIRIT</t>
  </si>
  <si>
    <t>Mihailescu; Mihaela Rita; (Pittsburgh, PA); Evanseck; Jeffrey D.; (Pittsburgh, PA); Imperatore; Joshua A.; (Canonsburg, PA); Guarinoni; Kendy Anne Marie; (Pittsburgh, PA); Cunningham; Caylee Lyne; (East Liverpool, OH); Frye; Caleb James; (Manor, PA); Kensinger; Adam Henry; (Pittsburgh, PA)</t>
  </si>
  <si>
    <t>C12N 15/113 20130101;  C12N 2310/141 20130101;  C12N 2310/3231 20130101;  A61P 31/14 20180101</t>
  </si>
  <si>
    <t>Provided is an agent that binds to a SARS-CoV-2 s2m motif, a SARS-CoV-2     3'-UTR Terminus, or a SARS-CoV-2 DIS-s2m extended sequence. Provided is a     method of treating an infection in a subject, comprising: administering a     therapeutically effective amount of the agent to the subject. In some     embodiments, the infection is SARS-CoV-2 infection.</t>
  </si>
  <si>
    <t>US20220119776</t>
  </si>
  <si>
    <t>HYBRID ALPHAVIRUS-SARS-COV-2 PARTICLE AND METHODOLOGY OF MAKING AND USING     SAME</t>
  </si>
  <si>
    <t>17/505496</t>
  </si>
  <si>
    <t>GEORGE MASON UNIVERSITY</t>
  </si>
  <si>
    <t>HETRICK; Brian; (Manassas, VA); WU; Yuntao; (Manassas, VA)</t>
  </si>
  <si>
    <t>C12N 2770/20071 20130101;  C12Q 1/6897 20130101;  C12N 7/00 20130101;  C12N 9/0069 20130101;  C12N 2770/20023 20130101;  C12N 15/86 20130101;  C12N 2770/36121 20130101;  A61K 39/215 20130101;  C12N 2770/36143 20130101</t>
  </si>
  <si>
    <t>Timely development of vaccines and antiviral drugs is critical to control     the COVID-19 pandemic. Current methods for quantifying vaccine-induced     neutralizing antibodies involve the use of pseudoviruses, such as the     SARS-CoV-2 spike protein (S) pseudotyped lentivirus. However, these     pseudoviruses contain structural proteins foreign to SARS-CoV-2, and     require days to infect and express reporter genes. Here, the present     application discloses composition and methodology for making and using a     new hybrid alphavirus-SARS-CoV-2 (Ha-CoV-2) particle for rapid and     accurate quantification of neutralization antibodies and viral variants.</t>
  </si>
  <si>
    <t>US20220119552</t>
  </si>
  <si>
    <t>COMPLEMENTARY RNA LINKED BISPECIFIC T-CELL ENGAGING ANTIBODIES</t>
  </si>
  <si>
    <t>17/503132</t>
  </si>
  <si>
    <t>City Of Hope</t>
  </si>
  <si>
    <t>CITY OF HOPE</t>
  </si>
  <si>
    <t>Shively; John E.; (Duarte, CA); Li; Lin; (Duarte, CA); Kujawski; Maciej; (Duarte, CA); Swiderski; Piotr; (Duarte, CA)</t>
  </si>
  <si>
    <t>C07K 2317/52 20130101;  C07K 16/4283 20130101;  C07K 16/283 20130101;  C07K 2317/31 20130101;  C07K 16/46 20130101;  C07K 16/2878 20130101;  C07K 2317/24 20130101</t>
  </si>
  <si>
    <t>The compositions and methods provide herein include, inter alia,     antibodies attached to single-stranded oligoribonucleotides. Two     antibodies are capable of forming complexes in vivo through hybridization     of the respective complementary oligoribonucleotides they are bound to.     For example, a first antibody bound to a first oligoribonucleotide     through a first chemical linker may be administered to a subject, bind to     a cell surface antigen in vivo and subsequently form an antibody complex     in vivo with a second antibody bound to a second oligoribonucleotide     through a second chemical linker, through complementary base-pairing     between the first and the second oligoribonucleotide. The compositions     and methods provided herein are, inter alia, useful for diagnostic and     therapeutic purposes, for example, the treatment of cancer or autoimmune     disease.</t>
  </si>
  <si>
    <t>US20220119501</t>
  </si>
  <si>
    <t>COMPOSITIONS FOR PREVENTING OR TREATING VIRAL AND OTHER MICROBIAL     INFECTIONS</t>
  </si>
  <si>
    <t>17/501955</t>
  </si>
  <si>
    <t>INVISISHIELD TECHNOLOGIES LTD.</t>
  </si>
  <si>
    <t>INVISISHIELD</t>
  </si>
  <si>
    <t>LIU; Cheng; (Orinda, CA); ZHANG; Hongbing; (Moraga, CA); YANG; Zhiyuan; (Albany, CA); XIANG; Jingyi; (Walnut Creek, CA); CUI; Ziyou; (Moraga, CA); LIU; Jianying; (Albany, CA)</t>
  </si>
  <si>
    <t>The present application relates to compositions for preventing or     treating viral and other microbial infections. In some embodiments, the     present application provides chimeric proteins comprising a     target-binding moiety that specifically binds to a pathogen that infects     through a mucosa, and a positively charged mucoadhesive peptide fragment.     Also provided are antibodies and constructs thereof that specifically     binds to an S1 subunit of a spike protein of SARS-CoV-2. Compositions     comprising the chimeric proteins, antibodies, or constructs described     herein are useful for preventing or treating a microbial infection in an     individual, such as a coronavirus infection.</t>
  </si>
  <si>
    <t>US20220119493</t>
  </si>
  <si>
    <t>IL-7R-ALPHA BINDING COMPOUNDS</t>
  </si>
  <si>
    <t>17/568814</t>
  </si>
  <si>
    <t>MEDIKINE, INC.</t>
  </si>
  <si>
    <t>MEDIKINE</t>
  </si>
  <si>
    <t>DOWER; WILLIAM J.; (MENLO PARK, CA); NEEDELS; MICHAEL C.; (MENLO PARK, CA); BARRETT; RONALD W.; (MENLO PARK, CA); BAKKER; ALICE V.; (MENLO PARK, CA); CWIRLA; STEVEN E.; (MENLO PARK, CA)</t>
  </si>
  <si>
    <t>IL-7R.alpha. ligands and compounds comprising IL-7R.alpha. ligands are     disclosed. The IL-7R.alpha. binding compounds include fusion proteins     comprising the IL-7R.alpha. ligands and can act as IL-7R agonists.</t>
  </si>
  <si>
    <t>US20220119492</t>
  </si>
  <si>
    <t>IL-2R-BETA-GAMMA BINDING COMPOUNDS AND USES THEREOF</t>
  </si>
  <si>
    <t>17/519278</t>
  </si>
  <si>
    <t>IL-2R.beta..gamma.c binding compounds, and pharmaceutical compositions     comprising the IL-2R.beta..gamma.c binding compounds are disclosed.     IL-2R.beta..gamma.c binding compounds can act as IL-2R agonists and are     useful in treating cancer, an autoimmune disease, and an inflammatory     disease.</t>
  </si>
  <si>
    <t>US20220119465</t>
  </si>
  <si>
    <t>DUAL IL-2R AND IL-7R BINDING COMPOUNDS</t>
  </si>
  <si>
    <t>17/568411</t>
  </si>
  <si>
    <t>A61K 38/00 20130101;  C07K 7/08 20130101;  C07K 14/47 20130101</t>
  </si>
  <si>
    <t>Dual receptor binding compounds comprising IL-2R.beta., IL-7R.alpha., and     R.gamma.c ligands, and pharmaceutical compositions comprising the dual     receptor binding compounds are disclosed. The dual receptor binding     compounds can act as IL-2R and IL-7R agonists and are useful in treating     cancer, viral diseases, autoimmune diseases, and inflammatory diseases.</t>
  </si>
  <si>
    <t>US20220119464</t>
  </si>
  <si>
    <t>PROTEIN INHIBITORS WITH REDUCED IMMUNOGENICITY AND RESISTANCE TO     DEGRADATION, AND METHODS FOR THEIR PREPARATION AND USE</t>
  </si>
  <si>
    <t>17/391805</t>
  </si>
  <si>
    <t>AMIDE TECH</t>
  </si>
  <si>
    <t>TOTARO; Kyle; (Pawtucket, RI); Ness; Travis; (Boston, MA); Summers; Brady; (Somerville, MA); Pentelute; Bradley; (Cambridge, MA)</t>
  </si>
  <si>
    <t>A61K 38/00 20130101;  C07K 14/47 20130101;  A61P 31/14 20180101</t>
  </si>
  <si>
    <t>Methods are provided to identify therapeutically useful peptides and     polypeptides that bind to HR1 and may be used to treat coronavirus     infections. Polypeptides and pharmaceutical compositions useful for such     purposes are described.</t>
  </si>
  <si>
    <t>US20220119381</t>
  </si>
  <si>
    <t>COMPOSITION FOR INHIBITING GROWTH OF SARS-COV-2 AND METHOD OF PREPARING     THE SAME</t>
  </si>
  <si>
    <t>17/106799</t>
  </si>
  <si>
    <t>MEDICARE PHARMACEUTICALS INC.</t>
  </si>
  <si>
    <t>MEDICARE PHARMACEUTICALS</t>
  </si>
  <si>
    <t>NA; Do Hyun; (Seoul, KR); KANG; Kyung Pyo; (Seoul, KR); JUN; Jin Hwan; (Seoul, KR); GO; Geon; (Seoul, KR); NA; Hyeon Jun; (Seoul, KR); KANG; Sang Jin; (Seoul, KR); NA; Young Hyun; (Seoul, KR); YOON; Se Jin; (Seoul, KR); NA; Su Ji; (Seoul, KR)</t>
  </si>
  <si>
    <t>A61K 35/66 20130101;  C07D 455/02 20130101</t>
  </si>
  <si>
    <t>Disclosed is a composition for inhibiting the growth of virus. More     particularly, the composition for inhibiting the growth of virus includes     MDPX-V2021 represented by Formula 1, wherein MDPX-V2021 serves to inhibit     a post-translational modification (PTM) stage in cells after SARS-CoV-2     penetrates into the body.</t>
  </si>
  <si>
    <t>US20220118748</t>
  </si>
  <si>
    <t>System and Method for Producing a Heat-sealable Composite     Chemical-Microbial-and-Liquid-Impervious, Moisture-Eliminating Membrane     Fabric with a Metallic Antimicrobial Surface</t>
  </si>
  <si>
    <t>17/566447</t>
  </si>
  <si>
    <t>MARTZ JOEL</t>
  </si>
  <si>
    <t>Martz; Joel; (Delray Beach, FL)</t>
  </si>
  <si>
    <t>A system and method for producing a heat-sealable composite     chemical-microbial-and-liquid-impervious, moisture-eliminating membrane     with a metallic antimicrobial surface including a compatibilized     thermoplastic laminate structure, an integral inductive-welding element,     and possibly a metallic antimicrobial surface treatment. If so, the     method is provided with at least one scrim, a film exudate, a quantity of     primary adhesive, at least one susceptor, and a quantity of flocking     material, wherein the scrim, film exudate, and flocking material are     composed of a compatibilized thermoplastic compound. The method is     further provided with an optional metallic slurry, defining a     thermoplastic-particulate emulsion configured to coat and embed into a     subjected membrane section and fibrous materials when exposed to heat.     The method is further expanded to apply to extant installations of     similar membrane sections, enabling to post-manufacture surface treatment     of a surface with the metallic slurry to confer manifold antimicrobial     benefits to said surface.</t>
  </si>
  <si>
    <t>US20220118443</t>
  </si>
  <si>
    <t>DEVICE INCLUDING A HYDROPHILIC, NON-IONIC COATING FOR SIZE EXCLUSION     CHROMATOGRAPHY</t>
  </si>
  <si>
    <t>17/502483</t>
  </si>
  <si>
    <t>DeLano; Mathew H.; (Needham, MA); Lauber; Matthew; (North Smithfield, RI); Schmudlach; Andrew Wyatt; (Ashland, MA); Walsh; Daniel P.; (Danvers, MA); Tunc Sarisozen; Yeliz; (Westford, MA); Belanger; Jonathan; (Whitinsville, MA); Brousmiche; Darryl W.; (Grafton, MA); Bates-Harrison; Andrew; (West Roxbury, MA); Lawrence; Nicole L.; (Stafford Springs, CT)</t>
  </si>
  <si>
    <t>The present disclosure is directed to a coating process for     chromatographic surfaces. Embodiments of the present disclosure feature a     two-step, vapor-liquid phase organosilane deposition method for creating     a hydrophilic, non-ionic surface in a chromatographic system.</t>
  </si>
  <si>
    <t>US20220118294</t>
  </si>
  <si>
    <t>SEE-THROUGH FACE MASK AND FILTRATION SYSTEM FOR THE SAME</t>
  </si>
  <si>
    <t>17/503166</t>
  </si>
  <si>
    <t>DARTMOUTH COLLEGE</t>
  </si>
  <si>
    <t>Chen; Zi; (Norwich, VT); Fan; Jing; (New York, NY); Liao; Matthew; (Boston, MA)</t>
  </si>
  <si>
    <t>A61F 9/029 20130101;  A62B 18/02 20130101;  A62B 18/086 20130101;  B01D 45/06 20130101;  B01D 45/08 20130101;  B01D 50/20 20220101;  A62B 23/02 20130101;  A41D 13/11 20130101;  A62B 18/084 20130101;  A62B 18/08 20130101</t>
  </si>
  <si>
    <t>This invention provides a see-through full face mask and hood that     integrates effective filtration for both inhaled and exhaled air. The     mask includes a transparent visor mounted on a headband and surrounded by     a frame. The headband or the frame (sides, bottom, etc.) can include a     filtration assembly that allows passive inflow and outflow of air in a     manner that is highly breathable. The frame generally seals against the     users face in a comfortable manner. The visor can be surrounded by a     subframe that can be moved upwardly out of engagement with a base     frame--which remains attached to the wearer to expose the user's mouth     for eating. The filtration assembly defines a plurality of tortuous or     circuitous-path filtration tubes that employ bends, baffles, charged     surfaces and/or other internal barriers to redirect airflow and thereby     trap microdroplets containing pathogens until such pathogens can be     rendered inactive.</t>
  </si>
  <si>
    <t>US20220118292</t>
  </si>
  <si>
    <t>MASK WITH SEWN-IN FILTER, LANYARD AND ADJUSTABLE EAR STRAP</t>
  </si>
  <si>
    <t>17/484880</t>
  </si>
  <si>
    <t>REMASQUE LLC</t>
  </si>
  <si>
    <t>REMASQUE</t>
  </si>
  <si>
    <t>SAREEN; KHUSHBOO KAMARA; (Rolling Hills, CA); SAREEN; RAJ; (Rolling Hills, CA); SAREEN; RAM; (Rolling Hills, CA)</t>
  </si>
  <si>
    <t>A mask comprises a face cover portion having a front panel and a rear     panel, with a nanofiltration panel sewn in between the front panel and     the rear panel, a left adjustable ear strap, a right adjustable ear     strap, and a lanyard allowing the mask to hang from a user's neck while     the left and right adjustable ear straps are disengaged from ears of the     user.</t>
  </si>
  <si>
    <t>US20220118289</t>
  </si>
  <si>
    <t>MEDICAL DEVICE FOR THE INTERDICTION OF AIRBORNE BACTERIA AND VIRUSES</t>
  </si>
  <si>
    <t>17/121485</t>
  </si>
  <si>
    <t>WILLAN WILLIAM CRAIG</t>
  </si>
  <si>
    <t>Willan; William Craig; (Custer, SD)</t>
  </si>
  <si>
    <t>Devices, systems, and methods for generating an air curtain and/or air     wall around a user's face to prevent airborne viruses and bacteria from     coming within close proximity of the user's facial features. The devices     include a wearable head-mount with an air manifold and a pack including     an air pump and a filter. The filter can be replaceable. Filtered air is     forced through tubing to the air manifold. The air manifold provides a     filtered air curtain around the user's face. The methods include     utilizing the device to generate an air curtain around a user's face.</t>
  </si>
  <si>
    <t>US20220118212</t>
  </si>
  <si>
    <t>Fluid Mixing Apparatus Such as a Ventilator</t>
  </si>
  <si>
    <t>17/561708</t>
  </si>
  <si>
    <t>LEGACY IP LLC</t>
  </si>
  <si>
    <t>LEGACY</t>
  </si>
  <si>
    <t>Dalton; Jeffrey Travis; (Boise, ID); Clifford; Jordan Francis; (Boise, ID); Dean; Travis Andrew; (Meridian, ID)</t>
  </si>
  <si>
    <t>An apparatus such as a fluid mixer, suitable for use with a respirator,     including a venturi nozzle for flow of a pressure-controlled fluid; an     ambient fluid aperture in fluid communication with the venturi nozzle; a     fluid port; a pressure force multiplier in fluid communication with the     fluid port; and a valve moveable relative to the venturi nozzle between a     start flow position and a stop flow position; where the pressure force     multiplier is configured such that fluid forced into the fluid port     actuates the valve relative to the venturi nozzle; and where the pressure     force multiplier is configured such that fluid withdrawn from the fluid     port actuates the valve relative to the venturi nozzle. A method of using     an apparatus suitable for a ventilator is also disclosed.</t>
  </si>
  <si>
    <t>US20220118148</t>
  </si>
  <si>
    <t>LIGHT FIXTURE WITH UV DISINFECTION</t>
  </si>
  <si>
    <t>17/504972</t>
  </si>
  <si>
    <t>APOGEE LIGHTING HOLDINGS, LLC</t>
  </si>
  <si>
    <t>APOGEE LIGHTING</t>
  </si>
  <si>
    <t>Shatalov; Maxim S.; (Mount Sinai, NY); Handerhan; Michael; (New York, NY)</t>
  </si>
  <si>
    <t>A light fixture includes a housing forming a cavity to permit airflow     therethrough. A filter is disposed within the airflow of the cavity. An     ultraviolet light emitting diode is disposed within the cavity and is     directed to concurrently treat the airflow and the filter to destroy     biomaterial therein.</t>
  </si>
  <si>
    <t>US20220118147</t>
  </si>
  <si>
    <t>INDOOR QUARANTINE SYSTEM USING INDIVIDUAL MASK</t>
  </si>
  <si>
    <t>17/091086</t>
  </si>
  <si>
    <t>PARK, Jae Hyung</t>
  </si>
  <si>
    <t>PARK JAE</t>
  </si>
  <si>
    <t>PARK; Jae Hyung; (Seoul, KR)</t>
  </si>
  <si>
    <t>Proposed is an indoor quarantine system using an individual mask. The     indoor quarantine system may include: an indoor headcount checking device     including a headcount checking unit configured to check the number of     persons who stay in an indoor space and a headcount providing unit     configured to provide headcount information checked by the headcount     checking unit to mobile terminals of indoor users; and a disinfection     mask worn on an indoor user and activating a disinfection function in     accordance with a disinfection command based on the indoor headcount     information received from the mobile terminal of the indoor user to     disinfect harmful substances around the indoor user.</t>
  </si>
  <si>
    <t>US20220118135</t>
  </si>
  <si>
    <t>AIR AND SURFACE DISINFECTION SYSTEMS AND METHODS</t>
  </si>
  <si>
    <t>17/450635</t>
  </si>
  <si>
    <t>Honeywell</t>
  </si>
  <si>
    <t>Sure; Anita; (Charlotte, NC); Vankayala; Gowtham Kumar; (Charlotte, NC); Nagarajaiah; Harish; (Charlotte, NC); T P; Pramod Kumar; (Charlotte, NC); Krishnaswamy; Tilak Ravi; (Charlotte, NC); Krishnappa; Venugopal; (Charlotte, NC); Sabeson; Krishna Prasad; (Charlotte, NC); Ranade; Amod; (Charlotte, NC)</t>
  </si>
  <si>
    <t>A61L 2202/14 20130101;  A61L 2/10 20130101;  A61L 2209/111 20130101;  A61L 2202/25 20130101;  A61L 9/20 20130101;  A61L 2202/10 20130101;  A61L 2209/12 20130101</t>
  </si>
  <si>
    <t>Devices, methods, and systems for disinfecting air and surfaces are     described herein. The systems may include a source of light, a reflector,     a motor, and a controller. The source of light may provide ultraviolet     germicidal irradiation light and the light may be selectively provided.     The reflector may extend along and/or around the source of light. The     motor may be coupled to the reflector and cause the reflector to adjust     relative to the source of light so as to direct light at different target     locations. The controller may determine occupancy in a room in which the     system is located. When the room is not occupied, the controller may     cause the reflector to be adjusted to an unoccupied position. When the     room is occupied, the controller may cause the reflector to be adjusted     to an occupied position.</t>
  </si>
  <si>
    <t>US20220118134</t>
  </si>
  <si>
    <t>SYSTEM AND METHOD FOR SANITIZING AN OBJECT</t>
  </si>
  <si>
    <t>17/450512</t>
  </si>
  <si>
    <t>SURE; Anita; (Charlotte, NC); VANKAYALA; Gowtham Kumar; (Charlotte, NC); NAGARAJAIAH; Harish; (Charlotte, NC); T P; Pramod Kumar; (Charlotte, NC); KRISHNASWAMY; Tilak Ravi; (Charlotte, NC); KRISHNAPPA; Venugopal; (Charlotte, NC); SABESON; Krishna Prasad; (Charlotte, NC)</t>
  </si>
  <si>
    <t>A61L 2202/14 20130101;  A61L 2202/11 20130101;  A61L 2/10 20130101;  A61L 2202/122 20130101</t>
  </si>
  <si>
    <t>Systems and method for sanitizing a system using ultraviolet light. A     system for sanitizing an object may comprise a housing defining a tunnel     and a conveyor movable in a first direction to move an object through the     tunnel from the entrance opening to the exit opening. A plurality of     ultraviolet (UV) light sources may be positioned about the tunnel. A     plurality of reflectors each may extend partially around a corresponding     UV light source. Each reflector may be configured to collect UV light     emission from the corresponding UV light source and provide a directional     projection of UV light into the tunnel. At least one reflector may     provide a directional projection of UV light that is angularly offset     toward the exit opening of the tunnel and at least one reflector may     provide a directional projection of UV light that is angularly offset     toward the entrance opening of the tunnel.</t>
  </si>
  <si>
    <t>US20220118127</t>
  </si>
  <si>
    <t>THERMAL DISINFECTING TOOL</t>
  </si>
  <si>
    <t>17/501100</t>
  </si>
  <si>
    <t>Brown; Myles E.; (Everett, WA); Hart; Colin; (Everett, WA); Laib; Trevor M.; (Woodinville, WA)</t>
  </si>
  <si>
    <t>A61L 2/28 20130101;  A61L 2/06 20130101;  B64D 13/08 20130101;  A61L 2202/25 20130101;  B64D 2013/0603 20130101</t>
  </si>
  <si>
    <t>A thermal disinfecting tool for disinfecting surfaces bounding or located     within a fixed volume of air is disclosed and includes a housing and a     heater. The housing defines one or more inlets and one or more outlets.     Air is drawn from the fixed volume of air through the one or more inlets     and exits the housing through the one or more outlets. The heater is     disposed within the housing downstream of the one or more inlets and     upstream of the one or more outlets. The thermal disinfecting tool also     includes one or more processors in electronic communication with the     heater and a memory coupled to the one or more processors, where the     memory stores a time to inactivation plot for a specific pathogen that     indicates a deactivation time for the specific pathogen over a range of     temperatures.</t>
  </si>
  <si>
    <t>US20220118125</t>
  </si>
  <si>
    <t>Sanitizing Face Masks</t>
  </si>
  <si>
    <t>17/156993</t>
  </si>
  <si>
    <t>Dawkins, Kayan; Dawkins, Marsha</t>
  </si>
  <si>
    <t>DAWKINS KAYAN</t>
  </si>
  <si>
    <t>Dawkins; Kayan; (New Rochelle, NY); Dawkins; Marsha; (New Rochelle, NY)</t>
  </si>
  <si>
    <t>A61L 2202/16 20130101;  A61L 2/0047 20130101;  A41D 13/1192 20130101;  A61L 2202/11 20130101;  A61L 2202/26 20130101</t>
  </si>
  <si>
    <t>A sanitizing face mask and sanitizing device for use with a face mask.     The sanitizing face mask incorporates a sanitizing component and a face     mask. The sanitizing component comprises an ultraviolet (UV) generating     element configured to emit a sanitizing light. The sanitizing light     generates UV light capable of sanitizing air inhaled or exhaled through     the face mask. The sanitizing component may be positioned within a pocket     in the face mask or attached to the face mask externally. A sanitizing     component protective component may encapsulate the sanitizing component     to protect a user from radiation from the UV light. The pocket may also     comprise a protective liner to protect the user from the radiation.</t>
  </si>
  <si>
    <t>US20220118073</t>
  </si>
  <si>
    <t>ZOONOTIC DISEASE RNA VACCINES</t>
  </si>
  <si>
    <t>17/155592</t>
  </si>
  <si>
    <t>Ciaramella; Giuseppe; (Sudbury, MA); Himansu; Sunny; (Winchester, MA); Presnyak; Vladimir; (Manchester, NH); Benenato; Kerry; (Sudbury, MA); Kumarasinghe; Ellalahewage Sathyajith; (Harvard, MA)</t>
  </si>
  <si>
    <t>The disclosure relates to Lassa virus, Nipah virus, and betacoronavirus     ribonucleic acid vaccines as well as methods of using the vaccines and     compositions comprising the vaccines.</t>
  </si>
  <si>
    <t>US20220118044</t>
  </si>
  <si>
    <t>Botanicals</t>
  </si>
  <si>
    <t>Injectable garlic formulation and a method of using the injectable garlic     formulation</t>
  </si>
  <si>
    <t>17/072732</t>
  </si>
  <si>
    <t>Gan, David Xiage</t>
  </si>
  <si>
    <t>GAN DAVID</t>
  </si>
  <si>
    <t>Gan; David Xiage; (Rockville, MD)</t>
  </si>
  <si>
    <t>An injectable garlic formulation that is readily used for administration     in mammals to treat diseases. The garlic formulation contains     pharmaceutically effective amount of water extract of raw garlic (WERG)     or organic phase of raw garlic extract (OPRGE) constituted in     pharmaceutically acceptable solvents. A method of treating a disease in a     mammal by administering a pharmaceutically effective amount of the     injectable garlic formulation thereof to the mammal. The garlic     formulation is administered by direct injection or infusion prepared in     pharmaceutically acceptable infusion buffer solution. The diseases to be     treated include infectious diseases, inflammatory diseases, diabetes,     cardiovascular diseases, and malignant tumors.</t>
  </si>
  <si>
    <t>US20220118023</t>
  </si>
  <si>
    <t>USE OF TERM AMNIOTIC FLUID CELLS FOR THE TREATMENT OF ACUTE AND CHRONIC     RESPIRATORY DISEASES</t>
  </si>
  <si>
    <t>17/646539</t>
  </si>
  <si>
    <t>AMNIOTICS AB</t>
  </si>
  <si>
    <t>AMNIOTICS</t>
  </si>
  <si>
    <t>Talts; Jan; (Staffanstorp, SE); Woods; Nils-Bjarne; (Furulund, SE); Engkilde; Kare; (Vaerlose, DK); Larsson; Marcus; (Bjarred, SE)</t>
  </si>
  <si>
    <t>Methods for purifying, culturing and selecting mesenchymal stem cell     (MSC) subpopulations with neonatal quality and adult tissue specificity     are for in production of advanced therapeutic medicinal products. In     certain examples, term amniotic fluid derived cells having     characteristics of lung cells can be isolated. In some the term amniotic     fluid derived cells having characteristics of lung cells can be used in     the treatment of acute and chronic respiratory diseases.</t>
  </si>
  <si>
    <t>US20220118007</t>
  </si>
  <si>
    <t>TREATMENT OF ISCHEMIC CONDITIONS, HYPOXIC CONDITIONS, CONDITIONS RELATED     TO A HYPOXIA-INDUCTION FACTOR, OR CONDITIONS RELATED TO REACTIVE OXYGEN     SPECIES WITH OXYGEN-CONTAINING LIQUIDS</t>
  </si>
  <si>
    <t>17/491863</t>
  </si>
  <si>
    <t>BOSTON JUDITH</t>
  </si>
  <si>
    <t>Boston; Judith; (Manhattan Beach, CA)</t>
  </si>
  <si>
    <t>A61K 9/0048 20130101;  A61K 33/40 20130101;  A61P 27/02 20180101;  A61K 9/08 20130101</t>
  </si>
  <si>
    <t>This disclosure relates to the use of an oxygen-containing liquid for     treating conditions related to ischemia, hypoxia, an alteration in     electrochemistry, VEGF, HIF, or a reactive oxygen species, and other     conditions.</t>
  </si>
  <si>
    <t>US20220117980</t>
  </si>
  <si>
    <t>NASAL SPRAY COMPOSITION TO PREVENT COVID-19 AND SARS AND METHOD OF FORMING     THE SAME</t>
  </si>
  <si>
    <t>17/374819</t>
  </si>
  <si>
    <t>CoFix-RX, LLC</t>
  </si>
  <si>
    <t>COFIX-RX</t>
  </si>
  <si>
    <t>Hedni; Ravi; (Rochester Hills, MI); Raehtz; Karen; (Troy, MI); Kaiser; Dennis G.; (Waterford, MI); Krause; Andrew; (Oxford, MI)</t>
  </si>
  <si>
    <t>A61K 31/592 20130101;  A61K 47/36 20130101;  A61K 31/593 20130101;  A61K 47/26 20130101;  A61K 47/02 20130101;  A61K 9/0073 20130101</t>
  </si>
  <si>
    <t>A nasal spray solution of the present invention includes a Povidone     iodine solution; a Vitamin D liquid, Polysorbate 80 nf, Xylitol NF, water     sterile, Sodium hydroxide 10% solution, and Polysaccharide 1% solution,     wherein 1% solution further includes a gellan gum and a carrageenan, used     as carriers to deliver liquids to cells of human and act as entrapment     within a polymeric coating to block virus uptake into the cells,     inactivate the virus, and protect a lining of an upper respiratory     pathways against COVID-19 and SARS.</t>
  </si>
  <si>
    <t>US20220117957</t>
  </si>
  <si>
    <t>TREATMENT METHOD FOR CORONAVIRUS INFECTION</t>
  </si>
  <si>
    <t>17/076379</t>
  </si>
  <si>
    <t>Tejada-Duran, Juan</t>
  </si>
  <si>
    <t>TEJADA-DURAN JUAN</t>
  </si>
  <si>
    <t>Tejada-Duran; Juan; (South Lawrence, MA)</t>
  </si>
  <si>
    <t>A61K 31/496 20130101</t>
  </si>
  <si>
    <t>A method for treatment of a patient having a coronavirus infection is     provided. The method involves treating a patient with a quantify of     rifampin. Rifampin has been shown to inhibit the RNA polymerase which     coronaviruses rely on for replication/reproduction. Accordingly,     treatment with Rifampin has an anti-viral effect, allowing the body's     immune system to catch up with and overcome the virus.</t>
  </si>
  <si>
    <t>US20220117943</t>
  </si>
  <si>
    <t>FORMULATIONS FOR PERSONALIZED METHODS OF TREATMENT</t>
  </si>
  <si>
    <t>17/337077</t>
  </si>
  <si>
    <t>FAETH THERAPEUTICS, INC.</t>
  </si>
  <si>
    <t>FAETH THERAPEUTICS</t>
  </si>
  <si>
    <t>Maddocks; Oliver D.K.; (Glasgow, GB)</t>
  </si>
  <si>
    <t>A61K 31/198 20130101;  A23L 33/175 20160801;  A61K 31/4172 20130101;  A61K 45/06 20130101</t>
  </si>
  <si>
    <t>Disclosed herein are formulations and methods of administering     formulations to starve cells of nutrients, such as amino acids. The     formulations of the present invention can be substantially be devoid of     one or more non-essential amino acids.</t>
  </si>
  <si>
    <t>US20220117936</t>
  </si>
  <si>
    <t>BIOSENSING PLATFORM FOR DETECTING VIRAL INFECTIONS AND METHODS FOR     SCREENING A MODULATOR OF VIRAL INFECTIONS AND PROTECTING THEREFROM</t>
  </si>
  <si>
    <t>17/505693</t>
  </si>
  <si>
    <t>PD BIOMEDICAL CO LTD</t>
  </si>
  <si>
    <t>PD BIOMEDICAL</t>
  </si>
  <si>
    <t>Chang; Chia-Ching; (Hsinchu, TW); Shieh; Dar-Bin; (Hsinchu, TW); Chang; Chia-Yu; (Hsinchu, TW); Kiew; Lik Voon; (Hsinchu, TW); Heh; Choon-Han; (Hsinchu, TW); Leo; Bey-Fen; (Hsinchu, TW); Chung; Lip-Yong; (Hsinchu, TW)</t>
  </si>
  <si>
    <t>G01N 27/026 20130101;  A61K 31/404 20130101;  G01N 27/3272 20130101;  A61K 31/401 20130101</t>
  </si>
  <si>
    <t>Provided is a method for screening a modulator of a viral infection by     detecting an interaction of angiotensin converting enzyme 2 (ACE2) and a     spike protein with a biosensing platform. Also provided is a compound of     formula (I) as a modulator of a viral infection, where R, X, A, R.sub.3     to R.sub.5, and m are as defined herein, and a method for protecting a     subject from a viral infection by administering with the compound.  ##STR00001##</t>
  </si>
  <si>
    <t>US20220117909</t>
  </si>
  <si>
    <t>COMPOSITIONS AND METHODS FOR IN VIVO LUNG AND BLOOD SNO REPLETION</t>
  </si>
  <si>
    <t>17/562087</t>
  </si>
  <si>
    <t>UNIVERSITY HOSPITALS OF CLEVELAND</t>
  </si>
  <si>
    <t>UNIVERSITY HOSPITALS CLEVELAND</t>
  </si>
  <si>
    <t>Stamler; Jonathan S.; (Shaker Heights, OH)</t>
  </si>
  <si>
    <t>A method of treating coronavirus infection, post-acute sequelae of     coronavirus infection, and viral mediated respiratory distress in a     subject in need thereof includes administering to the subject a     therapeutically effective amount of agent that promotes, increases,     and/or induces hemoglobin nitrosylation within red blood cells (RBCs) and     GSNO levels in the lung or airways of the subject.</t>
  </si>
  <si>
    <t>US20220117891</t>
  </si>
  <si>
    <t>COMPOSITIONS AND METHODS FOR DELIVERY OF RNA</t>
  </si>
  <si>
    <t>17/523450</t>
  </si>
  <si>
    <t>HDT BIO CORP.</t>
  </si>
  <si>
    <t>HDT BIO</t>
  </si>
  <si>
    <t>KHANDHAR; Amit; (Seattle, WA); REED; Steven; (Seattle, WA); DUTHIE; Malcolm; (Seattle, WA); ERASMUS; Jesse; (Seattle, WA); CARTER; Darrick; (Seattle, WA); BERUBE; Bryan J.; (Seattle, WA)</t>
  </si>
  <si>
    <t>The disclosure provides nanoemulsion compositions and methods of making     and using thereof to deliver a bioactive agent such as a nucleic acid to     a subject. The nanoemulsion composition comprises a hydrophobic core     based on inorganic nanoparticles in a lipid nanoparticle that allows     imaging as well as delivering nucleic acids. Methods of using these     particles for treatment and vaccination are also provided.</t>
  </si>
  <si>
    <t>US20220117678</t>
  </si>
  <si>
    <t>ROBOTIC-ASSISTED NAVIGATION AND CONTROL FOR AIRWAY MANAGEMENT PROCEDURES,     ASSEMBLIES AND SYSTEMS</t>
  </si>
  <si>
    <t>17/646636</t>
  </si>
  <si>
    <t>SPIRO ROBOTICS, INC.</t>
  </si>
  <si>
    <t>SPIRO ROBOTICS</t>
  </si>
  <si>
    <t>NEKHENDZY; Vladimir; (Palo Alto, CA); SOKOLOV; Dimitri; (Palo Alto, CA)</t>
  </si>
  <si>
    <t>A61B 1/00009 20130101;  A61B 34/20 20160201;  A61M 16/0472 20130101;  A61B 1/00096 20130101;  A61B 2034/2065 20160201;  A61B 1/00006 20130101;  A61B 1/05 20130101;  A61B 1/267 20130101;  A61B 1/00135 20130101;  A61B 2034/301 20160201;  A61M 16/0402 20140204;  A61B 34/30 20160201</t>
  </si>
  <si>
    <t>Airway management methods, devices, assemblies and systems. Methods,     devices, assemblies and systems may include robotic movement and control     of an intubation tube introducer or guide, and may include utilizing     image data from one or more image sensors. The methods, devices,     assemblies and systems may optionally be used in endotracheal intubation     procedures.</t>
  </si>
  <si>
    <t>US20220117587</t>
  </si>
  <si>
    <t>METHOD OF SAMPLE COLLECTION</t>
  </si>
  <si>
    <t>17/388440</t>
  </si>
  <si>
    <t>LUCENCE LIFE SCIENCES PTE. LTD.</t>
  </si>
  <si>
    <t>LUCENCE LIFE SCIENCES</t>
  </si>
  <si>
    <t>Tan; Min-Han; (Singapore, SG); Goh; Christopher; (Singapore, SG)</t>
  </si>
  <si>
    <t>A61B 10/0051 20130101</t>
  </si>
  <si>
    <t>Disclosed is a method of collecting naso-oropharyngeal (NOP) sample from     a subject, comprising collecting a bio-mixture comprising expectorated     biofluids from two regions: a. the posterior oropharyngeal region of the     throat of the subject by way of hawking, secretions of which are     expectorated and spat out through the mouth; and b. the nasal and     nasopharyngeal regions of the subject by way of nasal hawking, secretions     of which are expectorated and spat out through the mouth. Also disclosed     is a kit for collecting NOP sample from a subject according to the method     of any one of the preceding claims, comprising: a sterile container for     collecting the NOP sample; and a stabilizing fluid.</t>
  </si>
  <si>
    <t>US20220117541</t>
  </si>
  <si>
    <t>MULTIFUNCTIONAL SMELL TEST</t>
  </si>
  <si>
    <t>17/111114</t>
  </si>
  <si>
    <t>TEMPLE UNIVERSITY</t>
  </si>
  <si>
    <t>DALTON; Pamela H.; (Philadelphia, PA); REED; Danielle; (Glenside, PA); PARMA; Valentina; (Philadelphia, PA); O'LEARY; Maureen; (Narberth, PA); HANNUM; Mackenzie; (Philadelphia, PA)</t>
  </si>
  <si>
    <t>Provided are systems, methods, and kits for multifunctional smell     assessment. The kits may comprise a first surface adhered by a first     releasable adhesive comprising an odorous volatile compound; and the     system for registering if the odorous volatile compound is detected by a     user. The system or method may comprise queries for obtaining a first     input on whether the user detects and identifies the odorous volatile     compound, and an intensity by which the odor is perceived.</t>
  </si>
  <si>
    <t>US20220117503</t>
  </si>
  <si>
    <t>INTEGRATED CHEMICAL/ULTRASONIC TRANSDUCER SENSOR</t>
  </si>
  <si>
    <t>17/506263</t>
  </si>
  <si>
    <t>University Of California</t>
  </si>
  <si>
    <t>UNIVERSITY OF CALIFORNIA</t>
  </si>
  <si>
    <t>Wang; Joseph; (La Jolla, CA); Xu; Sheng; (La Jolla, CA); Sempionatto-Moreto; Juliane Renata; (La Jolla, CA); Yin; Lu; (La Jolla, CA); Lin; Muyang; (La Jolla, CA)</t>
  </si>
  <si>
    <t>Disclosed are devices, systems, and methods for multi-modal, wearable     sensors, including an electrochemical-ultrasonic transducer-based sensor,     that can simultaneously detect and monitor one or more bio-analyte     markers and one or more physiological markers. In some aspects, a     wearable, acoustic-electrochemical sensor device includes a flexible     substrate, one or more electrochemical sensors disposed on the flexible     substrate, a physiological sensor comprising an array of acoustic     transducers disposed on the flexible substrate, wherein the sensor device     is operable to simultaneously detect and monitor one or more analyte     markers and physiological markers including hemodynamic parameters.</t>
  </si>
  <si>
    <t>US20220117496</t>
  </si>
  <si>
    <t>SYSTEMS AND METHODS FOR TOUCHLESS TEMPERATURE SCREENING</t>
  </si>
  <si>
    <t>17/505388</t>
  </si>
  <si>
    <t>US20220117491</t>
  </si>
  <si>
    <t>MULTISPECTRAL SAMPLE ANALYSIS USING FLUORESCENCE SIGNATURES</t>
  </si>
  <si>
    <t>17/564298</t>
  </si>
  <si>
    <t>Strasfeld; David B; (Somerville, MA)</t>
  </si>
  <si>
    <t>Disclosed techniques include multispectral sample analysis using     fluorescence signatures. At least one fluorescence excitation light     wavelength is provided to a material sample. The material sample exhibits     fluorescence characteristics along the Red-Green-Blue (RGB) light     wavelength spectrum. The at least one fluorescence excitation light     wavelength includes a wavelength less than a wavelength of the RGB light     wavelength spectrum. Output values of an RGB sensor are measured. The     measuring detects the fluorescence characteristics of the material     sample. The fluorescence characteristics are in response to the at least     one fluorescence excitation light wavelength. The output of the RGB     sensor is compensated based on an analysis of a wavelength response of     the RGB sensor. An indication of composition of the material sample is     generated. The indication is based on interpreting the output values that     were measured. The indication can include skin assessment or wound     assessment, taken over time.</t>
  </si>
  <si>
    <t>US20220117332</t>
  </si>
  <si>
    <t>RESPIRATORY PERSONAL PROTECTIVE MASK</t>
  </si>
  <si>
    <t>16/949185</t>
  </si>
  <si>
    <t>Cerabona, Joseph Andrew; Rachelski, Thomas</t>
  </si>
  <si>
    <t>CERABONA JOSEPH</t>
  </si>
  <si>
    <t>Cerabona; Joseph Andrew; (Hasbrouck Heights, NJ); Rachelski; Thomas; (Lodi, NJ)</t>
  </si>
  <si>
    <t>A respiratory personal protective mask includes a filter element that is     adjustably carried on a drawstring attached to each of a left side and a     right side of the filter element. Tabs at each of the left side and the     right side of the filter element secure around the drawstring. The tabs     may have a releasable fastener, such as Velcro.RTM., to secure the tabs     about the drawstring. The drawstring may be an elastic cord or a     resilient cord. A toggle is fitted over free ends of the drawstring. The     toggle is adjustable along the length of the drawstring to selective     position the filter element in a protective position and a standby     position.</t>
  </si>
  <si>
    <t>US20220117331</t>
  </si>
  <si>
    <t>AUGMENTED FACE MASK</t>
  </si>
  <si>
    <t>17/071485</t>
  </si>
  <si>
    <t>Protective garments and face masks are provided that include a body     portion having a plurality of exterior pleats configured to elongate in a     first direction. The body portion further has an outer surface and an     inner surface. The body portion further has an inner portion with a     plurality of interior pleats connected between an upper edge of the body     portion and a sealing surface. The inner portion is configured to     elongate in a second direction at an acute angle from the first     direction. In certain implementations, the sealing surface simultaneously     contacts a nose and cheeks of a wearer in response to the elongation in     the second direction.</t>
  </si>
  <si>
    <t>US20220117329</t>
  </si>
  <si>
    <t>Breathable Face Mask</t>
  </si>
  <si>
    <t>17/566878</t>
  </si>
  <si>
    <t>Plank; Kevin; (Baltimore, MD); Blakely; Kyle; (Baltimore, MD); Holmes; Ella May; (Baltimore, MD); Dunbar; Jami; (Baltimore, MD); Jarvis; Kasey; (Baltimore, MD)</t>
  </si>
  <si>
    <t>A41D 2500/10 20130101;  A41D 13/1161 20130101;  A62B 23/025 20130101;  A41D 13/1192 20130101;  A41D 13/113 20130101</t>
  </si>
  <si>
    <t>A face mask configured to be worn on a human head includes a face shield     and an ear loop. The ear loop is connected to a lateral side of the face     shield. The ear loop defines an elongated narrow center portion     positioned between an enlarged first end and an enlarged second end     opposite the first end. The enlarged first end is connected to an upper     portion of the lateral side of the face shield. The enlarged second end     is connected to a lower portion of the lateral side of the face shield.     The enlarged first end overlaps the enlarged second end along the lateral     side of the face shield.</t>
  </si>
  <si>
    <t>US20220117233</t>
  </si>
  <si>
    <t>ANTIVIRAL METAL TREATMENTS FOR FIBER SUBSTRATES, FILTER MEDIA HAVING     ANTIVIRAL METAL TREATMENTS, AND PROCESSES FOR TREATING FIBER SUBSTRATES</t>
  </si>
  <si>
    <t>17/646557</t>
  </si>
  <si>
    <t>Bedard; Robert L.; (McHenry, IL); Bogdan; Paula L.; (Mount Prospect, IL); Lupton; F. Stephen; (Evanston, IL); Moarrefzadeh; Mana; (Wheeling, IL); Broderick; Erin M.; (Arlington Heights, IL); van der Vliet; Dennis F.; (Skokie, IL); Abrevaya; Hayim; (Kenilworth, IL); Hodges; James M.; (Evanston, IL)</t>
  </si>
  <si>
    <t>Processes for treating a fiber substrate are disclosed. A fiber substrate     comprising borosilicate with acidic functional groups. A metal salt     solution is introduced to the fiber substrate. The metal salt solution     includes cations having an ionic charge of +2 or greater. The pH of the     metal salt solution may be adjusted, and the cations are deposited on the     glass fibers. The treated fiber substrate may be utilized to form a     filter media.</t>
  </si>
  <si>
    <t>US20220116463</t>
  </si>
  <si>
    <t>REMOTE AUDIENCE PARTICIPATION AT LIVE EVENTS</t>
  </si>
  <si>
    <t>17/499824</t>
  </si>
  <si>
    <t>Price, David; Wechselberger, Anthony</t>
  </si>
  <si>
    <t>PRICE DAVID</t>
  </si>
  <si>
    <t>Price; David; (Fremont, CA); Wechselberger; Anthony; (Escondido, CA)</t>
  </si>
  <si>
    <t>A method of enabling remote audience participation at a live venue event     includes receiving, at an aggregator, media inputs from one or more user     device of one or more users in a subscription roster for participation in     a live event; generating an aggregated media stream by processing the     media inputs; and forwarding the aggregated media stream to a venue of     the live event.</t>
  </si>
  <si>
    <t>US20220115146</t>
  </si>
  <si>
    <t>PREDICTIVE DATA ANALYSIS TECHNIQUES FOR OPTIMAL TRAVERSAL OF INFECTION     NETWORKS</t>
  </si>
  <si>
    <t>17/110965</t>
  </si>
  <si>
    <t>Optum</t>
  </si>
  <si>
    <t>OPTUM</t>
  </si>
  <si>
    <t>DEL PINO RUIZ; Vicente Ruben; (Dublin, IE); KLEINE; Hendrik; (Dublin, IE); SHAHUMYAN; Harutyun; (Dublin, IE)</t>
  </si>
  <si>
    <t>G16H 50/30 20180101;  G16H 50/70 20180101;  G06Q 50/163 20130101;  H04L 67/18 20130101;  G06Q 10/047 20130101;  G16H 50/80 20180101</t>
  </si>
  <si>
    <t>Solutions for more efficient and effective traversal of infection     networks are disclosed. In one example, a method includes identifying a     plurality of candidate traversal paths for the traversal agent object;     for each candidate traversal path of the plurality of candidate traversal     paths, determining a cross-node infectious encounter profile that defines     one or more predicted infectious encounters for the traversal agent data     object, determining a predicted total viral particle inhalation (VPI)     measure for each predicted infectious encounter of the one or more     predicted infectious encounters, and determining a path risk score based     at least in part on each predicted total VPI measure for a predicted     infectious encounter of the one or more predicted infectious encounters;     determining the optimal traversal path based at least in part on each     path risk score for a candidate traversal path of the plurality of     candidate traversal paths; and performing one or more prediction-based     actions based at least in part on the optimal traversal path.</t>
  </si>
  <si>
    <t>US20220115142</t>
  </si>
  <si>
    <t>SYSTEM AND METHOD FOR TRACKING A USERS HEALTH STATUS</t>
  </si>
  <si>
    <t>17/500885</t>
  </si>
  <si>
    <t>HEALTCHARE INTERACTIVE</t>
  </si>
  <si>
    <t>GREENWOOD; Kenneth M.; (Davenport, FL); BORUFF; Scott Michael; (Knoxville, TN); VOLLRATH; Jurgen; (Sherwood, OR)</t>
  </si>
  <si>
    <t>In a system for monitoring a user's health and intervening in the event     of a health issue being identified, patient information is captured     through a combination of user self-assessment and health-sensor data,     thereby allowing early diagnosis and improving the health of patients and     limiting the spread of infectious diseases.</t>
  </si>
  <si>
    <t>US20220115137</t>
  </si>
  <si>
    <t>WEARABLE DEVICE FOR REDUCING EXPOSURE TO PATHOGENS OF POSSIBLE CONTAGION</t>
  </si>
  <si>
    <t>16/949088</t>
  </si>
  <si>
    <t>GOLDSTEIN, STEVEN J.</t>
  </si>
  <si>
    <t>GOLDSTEIN STEVEN</t>
  </si>
  <si>
    <t>Goldstein; Steven W.; (Delray Beach, FL)</t>
  </si>
  <si>
    <t>G16H 50/20 20180101;  G16H 50/30 20180101;  G06N 20/00 20190101;  A61B 5/7455 20130101;  A61B 5/6801 20130101;  G16H 50/80 20180101;  A61B 5/7475 20130101;  A61B 5/117 20130101;  A61B 5/742 20130101</t>
  </si>
  <si>
    <t>A wearable device for reducing exposure to pathogens of possible     contagion includes a detection component configured to detect a proximate     subject in relation to a user wherein the user is in possession of the     wearable device, a data input component configured to capture data     relating to the proximate subject, wherein the data relating to the     currently proximate subject further comprises an inoculation status of     the currently proximate subject, a processor configured to calculate a     degree of transmission threat between the user and the proximate subject,     wherein calculating the degree of transmission threat further comprises     identifying a pathogen of possible contagion, locating a reproduction     rate for the pathogen of possible contagion, calculating the degree of     transmission threat as a function of the data input component and the     reproduction rate, and a user-signaling component configured to generate     an output as a function of the degree of transmission threat.</t>
  </si>
  <si>
    <t>US20220115108</t>
  </si>
  <si>
    <t>Antiviral Digital Device</t>
  </si>
  <si>
    <t>17/512579</t>
  </si>
  <si>
    <t>SALPHA THERAPEUTICS INC.</t>
  </si>
  <si>
    <t>SALPHA THERAPEUTICS</t>
  </si>
  <si>
    <t>Choi; Seung Eun; (Seoul, KR); Lee; Yong Sun; (Princeton, NJ); Hahm; Ja Rang; (Seoul, KR)</t>
  </si>
  <si>
    <t>Systems and methods for maintaining, optimizing, or strengthening an     immune system of a subject are provided.</t>
  </si>
  <si>
    <t>US20220115100</t>
  </si>
  <si>
    <t>SYSTEMS AND METHODS FOR RETRIEVING CLINICAL INFORMATION BASED ON CLINICAL     PATIENT DATA</t>
  </si>
  <si>
    <t>17/500621</t>
  </si>
  <si>
    <t>NFERENCE, INC.</t>
  </si>
  <si>
    <t>NFERENCE</t>
  </si>
  <si>
    <t>BARVE; Rakesh; (Bangalore, IN); ANAND; Akash; (Bhagalpur, IN); GOWDA; Shishir; (Toronto, CA); BADE; Sairam; (Ameenabad Anathagiri Suryapet, IN); SINHA; Purushottam; (Gaya, IN)</t>
  </si>
  <si>
    <t>G16H 10/60 20180101;  G06F 16/90335 20190101</t>
  </si>
  <si>
    <t>Disclosed systems, methods, and computer readable media can retrieve     clinical information based on clinical patient data. For example, a     method for retrieving clinical information based on clinical patient data     includes receiving a specification of a patient cohort, receiving a     query, retrieving a list of search results based on the query and the     specification of the patient cohort, computing one or more inferences for     each item in the list of search results, providing an aggregate     statistical analysis associated with the one or more inferences, and     providing, by the one or more hardware processors, a response to the     query that includes the aggregate statistical analysis. Each element in     the list of search results comprises at least a portion of a clinical     data record associated with a patient in the patient cohort.</t>
  </si>
  <si>
    <t>US20220114901</t>
  </si>
  <si>
    <t>Systems and Methods for Detecting Collusion in Student Testing Using     Graded Scores or Answers for Individual Questions</t>
  </si>
  <si>
    <t>17/450984</t>
  </si>
  <si>
    <t>Biggin, Mark Douglas; Li, Jingyi; Yan, Guan'ao</t>
  </si>
  <si>
    <t>BIGGIN MARK</t>
  </si>
  <si>
    <t>Biggin; Mark Douglas; (Berkeley, CA); Li; Jingyi; (Los Angeles, CA); Yan; Guan'ao; (Los Angeles, CA)</t>
  </si>
  <si>
    <t>Systems and methods for determining collusion in student academic exams     are described. One embodiment includes receiving an input electronic file     with academic test data that includes student identifiers, question     scores associated with each student identifier, and the total score for     each student, calculating an identity score for each pair of students,     determining a maximum identity score for each student, generating a     normalized collusion score for each student by subtracting from the     maximum identity score an average identity score to generate an identity     metric, and dividing the identity metric by a local average identity     metric to generate a normalized collusion score, where the local average     identity metric is an estimated average of a set of identity metrics for     a subset of students adjacent to one another on the total test score     ranked list, writing student identifiers and normalized collusion scores     associated with student identifiers to an output electronic file.</t>
  </si>
  <si>
    <t>US20220114878</t>
  </si>
  <si>
    <t>HYGIENE DETECTION DEVICES AND METHODS</t>
  </si>
  <si>
    <t>17/070420</t>
  </si>
  <si>
    <t>12180502 CANADA INC.</t>
  </si>
  <si>
    <t>12180502 CANADA</t>
  </si>
  <si>
    <t>KUNDALIA; Jitan Dineshkumar; (Crawley, GB); CASPERSZ; Jordan Peter; (Toronto, CA); DHESI; Gurmuk Singh; (Luton, GB); VARUGHESE; Jobin Mathew; (Brampton, CA)</t>
  </si>
  <si>
    <t>A61B 5/681 20130101;  A61B 5/742 20130101;  A61B 2562/0219 20130101;  G08B 21/245 20130101;  A61B 5/1126 20130101</t>
  </si>
  <si>
    <t>A wearable device and a method of indicating a hygiene status on a     wearable device. The method may include obtaining a first gesture signal     using an inertial sensor in the wearable device and matching the first     gesture signal to one of a plurality of gesture signal patterns stored in     the wearable device and associated with a multi-stage gesture. It may     further include obtaining another gesture signal and matching it to     another of the plurality of gesture signal patterns. It may then include     determining, based on detecting at least two of the gestures in the     multi-stage gesture that the multi-stage gesture has been completed and,     as a result, setting the hygiene status to a clean state. The device may     output a sensory signal using an output device indicating the clean     state.</t>
  </si>
  <si>
    <t>US20220114562</t>
  </si>
  <si>
    <t>METHODS AND SYSTEMS FOR CONVERSION OF TRANSACTIONS TO CARBON UNITS</t>
  </si>
  <si>
    <t>17/496383</t>
  </si>
  <si>
    <t>GREENLINES TECHNOLOGY INC.</t>
  </si>
  <si>
    <t>GREENLINES</t>
  </si>
  <si>
    <t>OLIVER GOMILA; David; (Vancouver, CA)</t>
  </si>
  <si>
    <t>System and methods for producing verifiable environmental attributes for     a transaction on an online platform, by calculating item project     emissions for a selected item and item baseline emissions for a     substitute item, calculating project and baseline final delivery     transport emissions to the user's specified destination, and extracting     net emissions reductions based on the baseline and project emissions. The     net emissions reductions are communicated to a system for aggregation     with net emissions reductions from other transactions, and aggregated net     emissions reductions are delivered to an independent system for     validation and verification. Ownership of net emissions reductions may be     assigned to the platform provider. Emissions may include GHG emissions     generated during the product life cycle, including raw materials     sourcing, production and manufacturing, supply-chain transport from     factory to warehouse/distribution centre or retail store, warehouse and     retail handling, customer delivery, product use and disposal and     recycling process (end of life).</t>
  </si>
  <si>
    <t>US20220114297</t>
  </si>
  <si>
    <t>TECHNIQUES FOR IMPROVING OCCUPANCY SIMULATIONS AND OPTIMIZING SPACE     UTILIZATION</t>
  </si>
  <si>
    <t>17/499114</t>
  </si>
  <si>
    <t>THE JOAN AND IRWIN JACOBS TECHNION-CORNELL INNOVATION INSTITUTE</t>
  </si>
  <si>
    <t>SCHAUMANN; Davide; (New York, NY); PASQUET; Pierre; (New York, NY)</t>
  </si>
  <si>
    <t>G06F 30/13 20200101</t>
  </si>
  <si>
    <t>A system and method for improved occupancy simulations. A method includes     executing a scheduler algorithm based on input data in order to output a     plurality of synthetic schedules, wherein the input data includes space     data, persona data, and work pattern data, wherein the scheduler     algorithm includes a plurality of sub-algorithms executed according to an     order of priority, wherein at least an output of one of the plurality of     sub-algorithms is input to another of the plurality of sub-algorithms;     and inputting the plurality of synthetic schedules to a simulation     engine, wherein the simulation engine runs a plurality of simulations     using the plurality of synthetic schedules.</t>
  </si>
  <si>
    <t>US20220113832</t>
  </si>
  <si>
    <t>Touchless Display Interface System</t>
  </si>
  <si>
    <t>17/315978</t>
  </si>
  <si>
    <t>HUANG, ZHENXI</t>
  </si>
  <si>
    <t>HUANG ZHENXI</t>
  </si>
  <si>
    <t>Huang; Zhenwu; (Las Vegas, NV)</t>
  </si>
  <si>
    <t>G06F 3/0412 20130101;  G06F 3/0421 20130101;  G06F 2203/04109 20130101;  G06F 2203/04108 20130101</t>
  </si>
  <si>
    <t>A touchless display interface system having a fixed outer shell having a     length, width and depth which houses one or more circuit boards including     one or more infrared touch modules and one or more touch drive modules.     The invention further includes one or more communication modules, one or     more indicator light trigger drive modules, one or more infrared filter     strips, and a light guide. The fixed outer shell houses the components     and is configured to attach to a computer display and provide a touchless     operating environment inside area created by the length, width and depth     of the generally rectangular shaped fixed outer shell. A method of     operation is also disclosed.</t>
  </si>
  <si>
    <t>US20220113368</t>
  </si>
  <si>
    <t>ESTIMATING USER RISK BASED ON WIRELESS LOCATION DETERMINATION</t>
  </si>
  <si>
    <t>17/645095</t>
  </si>
  <si>
    <t>JUNIPER NETWORKS, INC.</t>
  </si>
  <si>
    <t>JUNIPER NETWORKS</t>
  </si>
  <si>
    <t>Castagnoli; Neal Dante; (Morgan Hill, CA); Zohoorian; Mohammad; (San Francisco, CA)</t>
  </si>
  <si>
    <t>Disclosed are embodiments for estimating risk associated with a user of a     wireless device. In some embodiments, the risk relates to a risk of     infection by a contagious disease. For example, in some embodiments, the     contagious disease is Coronavirus 2019. In some embodiments, locations of     multiple wireless devices are estimated based on signal strengths of     signals associated with the devices. Neighboring devices are identified     based on highest probability regions of the devices that are determined     based on associated signals. A measure of proximity to other devices is     then determined based on probabilities that each device is located in     neighboring regions. The risk is then based on the measure of proximity.     In some embodiments, a risk of a first user associated with a first     wireless device is based, in part, on a risk of a second user within a     proximity of the first user.</t>
  </si>
  <si>
    <t>US20220113307</t>
  </si>
  <si>
    <t>RAPID DIAGNOSTIC TESTS UTILIZING TRAP REGIONS</t>
  </si>
  <si>
    <t>17/497210</t>
  </si>
  <si>
    <t>Cornell; Amy; (Killingworth, CT); Leamon; John H.; (Stonington, CT); Rothberg; Jonathan M.; (Miami Beach, FL); Kemble; Henry; (Paris, FR); Ball; James A.; (Ledyard, CT)</t>
  </si>
  <si>
    <t>G01N 33/5308 20130101;  G01N 33/54388 20210801</t>
  </si>
  <si>
    <t>Aspects of the disclosure relate to compositions and methods for     amplifying and/or detecting one or more target nucleic acid sequences     (e.g., a nucleic acid sequence of one or more pathogens), and use of a     trap region or reagent to reduce the level of one or more target nucleic     acid analytes in an amplified sample prior to or in conjunction with     detection. In some embodiments, the pathogens are viral, bacterial,     fungal, parasitic, or protozoan pathogens, such as SARS-CoV-2 or an     influenza virus. In some embodiments, the methods comprise isothermal     amplification of a target nucleic acid and subsequent reduction in the     level of one or more target nucleic acid analytes and detection of the     amplification products.</t>
  </si>
  <si>
    <t>US20220113306</t>
  </si>
  <si>
    <t>SYSTEM, APPARATUS, AND METHOD FOR VIRAL MONITORING IN EFFLUENT</t>
  </si>
  <si>
    <t>17/539763</t>
  </si>
  <si>
    <t>MOWER MORTON M</t>
  </si>
  <si>
    <t>MOWER MORTON</t>
  </si>
  <si>
    <t>MOWER; Morton M.; (Denver, CO)</t>
  </si>
  <si>
    <t>G01N 33/54373 20130101;  B82Y 15/00 20130101;  G01N 27/4145 20130101;  G01N 27/4146 20130101</t>
  </si>
  <si>
    <t>A system for viral monitoring in effluent includes at least one     graphene-based field-effect transistor and circuitry, wherein the     circuitry is configured to repeatedly monitor and determine presence of     SARS-CoV-2 (COVID virus) in the effluent. The circuitry is configured to     apply a gate voltage and measure a conductance across each of the at     least one graphene-based field-effect transistor, compare the measured     conductance across each of the at least one graphene-based field-effect     transistor to a threshold conductance, and determine whether levels of     the COVID virus exceed a predetermined threshold in the effluent. If     levels of the COVID virus exceed the predetermined threshold in the     effluent, the circuitry is configured to remove at least a portion of the     bound COVID virus from the proteins of the at least one graphene-based     field-effect transistor.</t>
  </si>
  <si>
    <t>US20220113305</t>
  </si>
  <si>
    <t>17/070308</t>
  </si>
  <si>
    <t>The present disclosure relates to a system for viral monitoring in     effluent, comprising a biosensor including a graphene-based field-effect     transistor having capture proteins conjugated thereto, the capture     proteins being configured to bind a virus, and a fluidic channel arranged     above the graphene-based field-effect transistor so that fluid of the     effluent flows over the graphene-based field-effect transistor, and     processing circuitry configured to apply a gate voltage to the     graphene-based field-effect transistor, measure a conductance across the     graphene-based field-effect transistor, the conductance reflecting an     amount of the virus bound to the capture proteins, compare the measured     conductance to a threshold conductance, and transmit, to a computing     device and when the comparison indicates the measured conductance     satisfies the threshold conductance, information indicating a presence of     the virus in the effluent. In certain embodiments, the capture proteins     may be SARS-CoV-2 spike antibodies.</t>
  </si>
  <si>
    <t>US20220113294</t>
  </si>
  <si>
    <t>Pathogen Detection Apparatus and Method</t>
  </si>
  <si>
    <t>17/498441</t>
  </si>
  <si>
    <t>GERLITZ YONATAN</t>
  </si>
  <si>
    <t>Gerlitz; Yonatan; (Herzliya, IL)</t>
  </si>
  <si>
    <t>Pathogen detection includes providing a sensor having first conductive     lines alternated with second conductive lines, the first and second lines     being formed over a substrate providing electrical isolation between the     first and second lines and being at least partially exposed. Via voltage     circuitry, a voltage difference is applied between the first and second     lines. A user's breath is applied to the sensor and contacts exposed     parts of the first lines simultaneous to exposed parts of the second     lines. Pathogens from the user's breath bridge the electrical isolation     between an individual first line and an opposing, individual second line     and cause a short circuit. Via a comparator or controller, a current is     detected flowing in the first and second lines due to the short circuit     through the pathogens. A warning module indicates that the comparator or     controller detected that the current is above a warning threshold.</t>
  </si>
  <si>
    <t>US20220113291</t>
  </si>
  <si>
    <t>METHOD AND SYSTEM FOR PATHOGEN DETECTION AND REMEDIATION</t>
  </si>
  <si>
    <t>17/500904</t>
  </si>
  <si>
    <t>A61L 2209/12 20130101;  G16H 50/30 20180101;  A61L 9/20 20130101;  G16H 70/60 20180101;  A61L 2209/14 20130101;  G01N 33/4833 20130101;  H04W 4/80 20180201;  A61L 2209/111 20130101;  G16H 50/80 20180101</t>
  </si>
  <si>
    <t>In a pathogen identification and remediation system and method, pathogens     are identified by capturing samples in an air stream, identifying the     pathogens and neutralizing them, with the option of assessing risk levels     and issuing alarms when certain risk levels are exceeded.</t>
  </si>
  <si>
    <t>US20220113257</t>
  </si>
  <si>
    <t>SURFACE-ENHANCED RAMAN SCATTERING BIOSENSOR</t>
  </si>
  <si>
    <t>17/500700</t>
  </si>
  <si>
    <t>WALDERN JONATHAN DAVID</t>
  </si>
  <si>
    <t>Waldern; Jonathan David; (Diablo, CA)</t>
  </si>
  <si>
    <t>A general purpose sensor architecture integrating a surface enhanced     Raman spectroscopy (SERS) substrate, a diffractive laser beam delivery     substrate and a diffractive infrared detection substrate is provided that     can be used to implement a low-cost, compact lab-on-a-chip biosensor that     can meet the needs of large-scale infectious disease testing. The sensor     architecture can also be used in any other application in which molecules     present in the liquid, gaseous or solid phases need to be characterized     reliably, cost-effectively and with minimal intervention by highly     skilled personnel.</t>
  </si>
  <si>
    <t>US20220113245</t>
  </si>
  <si>
    <t>APPARATUS FOR QUICKLY DISPLAYING CORONAVIRUS TEST RESULT</t>
  </si>
  <si>
    <t>17/069808</t>
  </si>
  <si>
    <t>ARION BIO INC</t>
  </si>
  <si>
    <t>ARION BIO</t>
  </si>
  <si>
    <t>Wang; Yongbo; (Dublin, CA); Liu; Honglin; (Dublin, CA)</t>
  </si>
  <si>
    <t>G01N 2201/0221 20130101;  G01N 2021/0112 20130101;  G01N 21/01 20130101;  G01N 21/6428 20130101;  G01N 2201/0626 20130101</t>
  </si>
  <si>
    <t>The present invention teaches an apparatus for consistent and accurate     on-site readings of fluorescence signals of coronavirus test result, with     which a user directly reads a fluorescent light qualitatively instead of     using electronic sensors. The fluorescent light is excited from a     fluorescent source in a site of interest in a target assay. The device     comprises a light source for generating an excitation light for exciting     the fluorescent source of the target assay to generate a fluorescent     light, a component for accurately transmitting the excitation light and     the fluorescent light with less noise or reflection, a component for     consistent detecting of the fluorescent source by bare eyes with minimal     health risks, and a user control system that requires minimal training.</t>
  </si>
  <si>
    <t>US20220113052</t>
  </si>
  <si>
    <t>REGULATING AIRFLOW WITHIN A CONFINED SPACE</t>
  </si>
  <si>
    <t>17/497928</t>
  </si>
  <si>
    <t>ALI MUHAMMAD A</t>
  </si>
  <si>
    <t>ALI MUHAMMAD</t>
  </si>
  <si>
    <t>Ali; Muhammad A.; (San Ramon, CA)</t>
  </si>
  <si>
    <t>F24F 8/22 20210101;  F24F 11/77 20180101;  F24F 7/06 20130101;  F24F 11/0001 20130101;  B64D 13/08 20130101;  F24F 2120/10 20180101</t>
  </si>
  <si>
    <t>A system including a plurality of air vents, wherein the plurality of air     vents are installed at a section of a room; a plurality of air ducts, in     which at least one of the plurality of air ducts is configured to pump     air into the room in conjunction with an HVAC system; a plurality of     suction pumps, wherein the plurality of suction pumps are configured to     suck air; a plurality of exhaust pipes connected to the plurality of     suction pumps; a master suction pump, wherein the master suction pump is     configured to receive the air sucked in by the plurality of suction     pumps; an air filter device, wherein the air filter device is configured     to disinfect the air received by the plurality of suction pumps.</t>
  </si>
  <si>
    <t>US20220113050</t>
  </si>
  <si>
    <t>BUILDING SYSTEM WITH AN IN-ZONE PLUME CONTROL SYSTEM</t>
  </si>
  <si>
    <t>17/496101</t>
  </si>
  <si>
    <t>Douglas; Jonathan D.; (Mequon, WI); Drees; Kirk H.; (Cedarburg, WI); Nesler; Clay G.; (Washington, DC)</t>
  </si>
  <si>
    <t>G05B 15/02 20130101;  F24F 11/0001 20130101;  F24F 11/63 20180101</t>
  </si>
  <si>
    <t>A building system of a building includes an in-zone plume control system     located within a zone of the building, the in-zone plume control system     including one or more return air inlets comprising openings to receive     one or more air plumes generated by one or more users. The in-zone plume     control system includes one or more exhaust outlets configured to exhaust     the one or more air plumes, a filter, and a fan configured to draw the     one or more air plumes in through the one or more return air inlets,     through the filter, and out through the one or more exhaust outlets back     into the zone, wherein the filter is configured to filter the one or more     air plumes to remove particles from the one or more air plumes before     returning the one or more air plumes to the zone.</t>
  </si>
  <si>
    <t>US20220112629</t>
  </si>
  <si>
    <t>ANTIBACTERIAL AND ANTIVIRAL FABRICS</t>
  </si>
  <si>
    <t>17/498975</t>
  </si>
  <si>
    <t>SUN; Gang; (Davis, CA); Tang; Peixin; (Davis, CA)</t>
  </si>
  <si>
    <t>D01F 1/103 20130101;  D01F 1/106 20130101;  D10B 2201/02 20130101;  D10B 2401/13 20130101</t>
  </si>
  <si>
    <t>Disclosure provides antimicrobial fiber, comprising: a cationic or     polycationic moiety grafted onto a cellulosic fiber and an anionic     photosensitizer. Exposing the antimicrobial cotton fiber to light     generates reactive oxygen species (ROS) and induces a biocidal function.</t>
  </si>
  <si>
    <t>US20220112273</t>
  </si>
  <si>
    <t>DNA Antibody Constructs And Method Of Using Same</t>
  </si>
  <si>
    <t>17/554642</t>
  </si>
  <si>
    <t>The Trustees of the University of Pennsylvania; INOVIO PHARMACEUTICALS, INC.</t>
  </si>
  <si>
    <t>TRUSTEES UNIVERSITY PENNSYLVANIA; INOVIO PHARMACEUTICALS</t>
  </si>
  <si>
    <t>Weiner; David; (Merion, PA); Muthumani; Karuppiah; (Cherry Hill, NJ); Flingai; Seleeke; (Minneapolis, MN); Sardesai; Niranjan; (Blue Bell, PA)</t>
  </si>
  <si>
    <t>Disclosed herein is a composition including a recombinant nucleic acid     sequence that encodes an antibody. Also disclosed herein is a method of     generating a synthetic antibody in a subject by administering the     composition to the subject. The disclosure also provides a method of     preventing and/or treating disease in a subject using said composition     and method of generation.</t>
  </si>
  <si>
    <t>US20220112271</t>
  </si>
  <si>
    <t>DNA ANTIBODY CONSTRUCTS FOR USE AGAINST MIDDLE EAST RESPIRATORY SYNDROME     CORONAVIRUS</t>
  </si>
  <si>
    <t>17/560727</t>
  </si>
  <si>
    <t>The Wistar Institute of Anatomy and Biology; INOVIO PHARMACEUTICALS, INC.</t>
  </si>
  <si>
    <t>WISTAR INSTITUTE ANATOMY AND BIOLOGY; INOVIO PHARMACEUTICALS</t>
  </si>
  <si>
    <t>WEINER; David; (Merion, PA); SMITH; Trevor RF; (San Diego, CA); MUTHUMANI; Kar; (Cherry Hill, NJ)</t>
  </si>
  <si>
    <t>C12N 15/63 20130101;  C07K 16/10 20130101</t>
  </si>
  <si>
    <t>Disclosed herein is a composition including a recombinant nucleic acid     sequence that encodes an antibody to a Middle East Respiratory Syncytial     Coronavirus (MERS-CoV) viral antigen. Also disclosed herein is a method     of generating a synthetic antibody in a subject by administering the     composition to the subject. The disclosure also provides a method of     preventing and/or treating an MERS-CoV virus infection in a subject using     said composition and method of generation.</t>
  </si>
  <si>
    <t>US20220111325</t>
  </si>
  <si>
    <t>STRETCHER OF ELASTIC MATERIAL, AIR FILTER UNIT CAPABLE OF CONTROLLING AIR     PERMEABILITY INCLUDING SAME, AND MASK INCLUDING THE AIR FILTER UNIT</t>
  </si>
  <si>
    <t>17/267871</t>
  </si>
  <si>
    <t>SEOUL NATIONAL UNIVERSITY R&amp;DB FOUNDATION</t>
  </si>
  <si>
    <t>KO; Seung Hwan; (Seoul, KR); SHIN; Jae Ho; (Incheon, KR); JEONG; Seong Min; (Seoul, KR); KIM; Jinmo; (Seoul, KR); CHOI; Joonwha; (Seoul, KR)</t>
  </si>
  <si>
    <t>A61L 2/10 20130101;  B01D 46/543 20130101;  B01D 46/4227 20130101;  B01D 2279/40 20130101;  A62B 23/025 20130101;  A61L 2202/11 20130101;  B01D 46/0028 20130101;  A41D 13/11 20130101</t>
  </si>
  <si>
    <t>A mask according to an embodiment of the present disclosure may adjust     permeability thereof by including and using an air filter unit which is     capable of expanding or contracting, in at least one direction, a filter     for filtering particles contained in air passing through the mask by     pores.</t>
  </si>
  <si>
    <t>US20220111323</t>
  </si>
  <si>
    <t>BERNOULLI AIR PROCESSING SYSTEM</t>
  </si>
  <si>
    <t>17/501663</t>
  </si>
  <si>
    <t>PURDUE RESEARCH FOUNDATION</t>
  </si>
  <si>
    <t>Castillo; Luciano; (Carmel, IN); Doosttalab; Ali; (West Lafayette, IN); Westergaard; Carsten; (Houston, TX); Castano; Victor; (Queretaro, MX); Blatchley; Ernest Rowland; (West Lafayette, IN); Appiah; Rita; (West Lafayette, IN); Esquivel-Puentes; Helber Antonio; (West Lafayette, IN); Moser; Abigayle; (Ames, IA)</t>
  </si>
  <si>
    <t>An air processing system is disclosed. The system includes a mobile     robot, and the robot includes an intake module, the module includes a     manifold, a first airfoil disposed on the manifold and configured to     allow air of an area designed to have its air cleaned to enter the     manifold, a second airfoil disposed one the manifold opposite the first     airfoil configured to allow air from the area to enter the manifold, and     a collector provided in between the first airfoil and the second airfoil     and disposed on the manifold configured to receive air from the manifold     and thus filter the air, and the system further includes a controller     configured to provide one of remote control and autonomous control of the     mobile robot.</t>
  </si>
  <si>
    <t>US20220111322</t>
  </si>
  <si>
    <t>Passenger Compartment Air Vent Filter</t>
  </si>
  <si>
    <t>17/492800</t>
  </si>
  <si>
    <t>BENJAMIN RAMSIS</t>
  </si>
  <si>
    <t>Benjamin; Ramsis; (Coeur d'Alene, ID)</t>
  </si>
  <si>
    <t>The present invention relates generally to a passenger compartment air     vent filtering device. More specifically, the invention includes a cover     that can be placed over top of an existing air vent in a passenger     seating compartment to filter the air flowing therefrom, and comprises     both a HEPA filter and a UV light disinfection filter. In a preferred     embodiment, the novel air vent filtering device further comprises a     moveable element, a plurality of LED lights and a scent diffuser.</t>
  </si>
  <si>
    <t>US20220111170</t>
  </si>
  <si>
    <t>17/341418</t>
  </si>
  <si>
    <t>Samuel, Rick; Burlingame, Todd</t>
  </si>
  <si>
    <t>SAMUEL RICK</t>
  </si>
  <si>
    <t>Samuel; Rick; (Huntingdon Valley, PA); Burlingame; Todd; (Jenkintown, PA)</t>
  </si>
  <si>
    <t>A61M 16/0463 20130101;  A61M 16/0622 20140204;  A61M 16/0488 20130101</t>
  </si>
  <si>
    <t>A sanitary extubation cover used to cover an endotracheal tube and a     patient's face in order to accommodate sanitary extubation. The sanitary     extubation cover includes a mask and a cover which covers the     endotracheal tube. If the patient coughs, the cough would be directed     into the mask and the endotracheal tube (which is covered by the cover)     but contaminants from the cough would be suppressed from spreading into     the open air. The mask can have an air cushion at the bottom of the mask     in order to securely press against the patient's face. Th ask can also     have a solid silicone base at the bottom of the mask in order to securely     press against the patient's face.</t>
  </si>
  <si>
    <t>US20220111165</t>
  </si>
  <si>
    <t>MULTI-VENTILATOR FOR TREATING MULTIPLE PATIENTS TO MEET SURGE CAPACITY IN     EMERGENCIES</t>
  </si>
  <si>
    <t>17/067990</t>
  </si>
  <si>
    <t>MYR DAVID</t>
  </si>
  <si>
    <t>Myr; David; (Jerusalem, IL)</t>
  </si>
  <si>
    <t>A61M 2205/3306 20130101;  A61M 2016/0033 20130101;  G16H 40/67 20180101;  G16H 50/70 20180101;  A61M 2205/583 20130101;  A61M 2205/52 20130101;  A61M 16/0051 20130101;  G16H 40/20 20180101;  G16H 20/40 20180101;  G16H 10/60 20180101;  G16H 40/40 20180101;  G16H 15/00 20180101;  A61M 2205/3584 20130101;  A61M 16/024 20170801;  A61M 2205/84 20130101</t>
  </si>
  <si>
    <t>The invention discloses a single multi-ventilator for treating multiple     patients using one ventilator device. Potentially, the single disclosed     multi-ventilator can be used to ventilate an entire department of     patients using personalized ventilation parameters and settings. In case of emergency, such as Covid-19, health care system may be     overwhelmed by a number of patients requiring ventilator medical care to     keep them alive. In such a situation, a presented ventilator solves a     problem of choosing which patients will receive a ventilator treatment     and which will not. The invented ventilator provides individualized artificial ventilation     care for multiple connected patients to it according to parameters     determined and set by a physician. It is important to mention that control means and main processing means     will be centralized in our invention, which is another advantage of the     invented ventilator. Separate inspiration and expiration lines make the ventilator safe to use     and easy to clean and to disinfect. The medical personnel can remotely monitor all connected patients, and     also set and modify different personal parameters for each patient, from     a single remote on-screen patient monitor display station. In such a way,     the personnel will be protected from unnecessary exposure to viruses and     bacteria.</t>
  </si>
  <si>
    <t>US20220111104</t>
  </si>
  <si>
    <t>INTELLIGENT FULL-TIME STERILIZATION LIGHTING DEVICE</t>
  </si>
  <si>
    <t>17/070607</t>
  </si>
  <si>
    <t>HSU, YI-LUN PHYLLIS</t>
  </si>
  <si>
    <t>HSU</t>
  </si>
  <si>
    <t>LIN; SHIH FONG; (Taoyuan, TW); HSU; WU YI; (Taoyuan, TW)</t>
  </si>
  <si>
    <t>A61L 2209/12 20130101;  A61L 2209/111 20130101;  A61L 9/20 20130101</t>
  </si>
  <si>
    <t>An intelligent full-time sterilization lighting device is disclosed. It     contains an external casing, a plurality of ultraviolet sterilization     light source, an airflow driving module and control module. Based on the     designs of the air channel portion, the air inlet portion and the air     outlet portion external casing, it is allowed to hide the ultraviolet     sterilization light source in the air channel portion. It can sterilize     the airflow introduced by the airflow driving module without harming the     surrounding people. Indoor lighting can be provided under the external     casing. In addition, the shape of the external casing can be designed     according to the size of the calcium silicate board of the existing light     steel frame. It is easy to install on light steel frame.</t>
  </si>
  <si>
    <t>US20220111094</t>
  </si>
  <si>
    <t>PATHOGEN DECONTAMINATION OF PERSONAL PROTECTIVE EQUIPMENT (PPE), FACE     FILTERING RESPIRATORY DEVICES (FFR) AND SINGLE USE MEDICAL DEVICES (SUD)</t>
  </si>
  <si>
    <t>17/500908</t>
  </si>
  <si>
    <t>Castor, Trevor P.</t>
  </si>
  <si>
    <t>CASTOR TREVOR</t>
  </si>
  <si>
    <t>Castor; Trevor Percival; (Arlington, MA)</t>
  </si>
  <si>
    <t>The present invention is directed to methods and apparatus for pathogen     decontamination of personal protective equipment (PPE), face filtering     respiratory devices (FFR) and single use medical devices (SUD) by     supercritical fluids, near critical fluids, and critical fluids with or     without polar cosolvents. The invention includes a closed processing     chamber for containing and processing the PPE, FFR, and SUD by a     supercritical fluid, near critical fluid, and critical fluid with or     without polar solvents at a specified temperature and pressure for a     specified time sufficient to disrupt or inactivate pathogens and viruses     on the PPE, FFR, and SUD without damaging the protective equipment so     that they may be revitalized for continued use.</t>
  </si>
  <si>
    <t>US20220111083</t>
  </si>
  <si>
    <t>PORTABLE SYSTEMS AND METHODS FOR DISINFECTING OBJECTS USING LIGHT SOURCES</t>
  </si>
  <si>
    <t>17/066464</t>
  </si>
  <si>
    <t>JOHNSON STERLING E</t>
  </si>
  <si>
    <t>JOHNSON STERLING</t>
  </si>
  <si>
    <t>Johnson; Sterling E.; (Los Angeles, CA)</t>
  </si>
  <si>
    <t>A61L 2202/16 20130101;  A61L 2202/122 20130101;  A61L 2/10 20130101;  B65D 21/086 20130101</t>
  </si>
  <si>
    <t>The present invention discloses novel ultraviolet collapsible frameworks     (UCF's) that, when housed in correspondingly expandable and collapsible     containers, enable the design of UV disinfecting devices that are easy to     use, safe, relatively lightweight, portable and easy to store, and that     can effectively disinfect a wide range of objects. In some embodiments,     replaceable UVC emitter pods are powered by pod stations disposed on the     framework structure.</t>
  </si>
  <si>
    <t>US20220111039</t>
  </si>
  <si>
    <t>IMMUNOGENIC CONSTRUCTS, COMPOSITIONS, AND METHODS FOR INDUCING IMMUNE     RESPONSE</t>
  </si>
  <si>
    <t>17/552331</t>
  </si>
  <si>
    <t>OREGON HEALTH &amp; SCIENCE UNIVERSITY</t>
  </si>
  <si>
    <t>OREGON HEALTHSCIENCE UNIVERSITY</t>
  </si>
  <si>
    <t>Yantasee; Wassana; (Lake Oswego, OR); Reda; Sherif; (Portland, OR); Reda; Moataz; (Portland, OR); Ngamcherdtrakul; Worapol; (Portland, OR); Wang; Ruijie; (Portland, OR)</t>
  </si>
  <si>
    <t>Disclosed are immunogenic constructs including: a nanoparticle; a     cationic polymer electrostatically bound to an exterior surface of the     nanoparticle and a stabilizer bound to the cationic polymer or the     exterior surface of the nanoparticle; and an antigen or antigen producing     agent. Optionally, the constructs may include adjuvant and/or one or more     functional oligonucleotide(s) (e.g., siRNA or pDNA). Also disclosed are     methods of using the provided immunogenic constructs for co-delivering an     adjuvant, antigen, and optionally siRNA to a cell, inducing immune     response in a subject, and treating or preventing an infectious disease     in a subject.</t>
  </si>
  <si>
    <t>US20220111038</t>
  </si>
  <si>
    <t>COMPOSITIONS AND VACCINES FOR TREATING AND/OR PREVENTING VIRAL INFECTIONS,     AND METHODS OF USING THE SAME</t>
  </si>
  <si>
    <t>17/480073</t>
  </si>
  <si>
    <t>ENGENEIC MOLECULAR DELIVERY PTY LTD</t>
  </si>
  <si>
    <t>BRAHMBHATT; Himanshu; (Sydney, AU); MacDiarmid; Jennifer; (Sydney, AU)</t>
  </si>
  <si>
    <t>The present disclosure is directed to compositions and methods useful for     treating, as well as vaccinating against, viral infections, including     coronavirus infections.</t>
  </si>
  <si>
    <t>US20220111037</t>
  </si>
  <si>
    <t>SARS-COV-2 VACCINES</t>
  </si>
  <si>
    <t>17/401584</t>
  </si>
  <si>
    <t>R.G.C.C. Holdings AG</t>
  </si>
  <si>
    <t>PAPASOTIRIOU; Ioannis; (Oberageri, CH)</t>
  </si>
  <si>
    <t>A pharmaceutical product for use as a vaccine against a viral disease in     a human or animal subject, comprising three compositions comprising     activated, autologous dendritic cells, loaded with three different     SARS-CoV2 peptides, to be administered in three separate doses     sequentially to the human or animal subject.</t>
  </si>
  <si>
    <t>US20220111032</t>
  </si>
  <si>
    <t>Other</t>
  </si>
  <si>
    <t>IMMUNOGENIC COMPOSITION FOR PORCINE EPIDEMIC DIARRHEA VIRUS</t>
  </si>
  <si>
    <t>17/065535</t>
  </si>
  <si>
    <t>CHUNG YUAN CHRISTIAN UNIVERSITY</t>
  </si>
  <si>
    <t>WU; Tzong-Yuan; (New Taipei City, TW); CHANG; Ming-Hao; (Taoyuan City, TW); CHANG; Hui-Wen; (Taipei City, TW); CHAO; Yu-Chan; (Taipei, TW); HSU; Wei-Ting; (Miaoli County, TW)</t>
  </si>
  <si>
    <t>A61K 39/39 20130101;  A61K 39/12 20130101;  A61K 2039/552 20130101;  A61K 2039/542 20130101</t>
  </si>
  <si>
    <t>The present invention is directed to novel immunogenic compositions that     protect swine from disease caused by porcine epidemic diarrhea virus     (PEDV). The compositions of the invention provide virus-like particles     (VLPs) whose effectiveness is enhanced by the selection of preferred     adjuvants.</t>
  </si>
  <si>
    <t>US20220111004</t>
  </si>
  <si>
    <t>Combinatorial Apparatus for Disease Management</t>
  </si>
  <si>
    <t>17/345531</t>
  </si>
  <si>
    <t>MANYAK DAVID M</t>
  </si>
  <si>
    <t>MANYAK DAVID</t>
  </si>
  <si>
    <t>Manyak; David M; (Burgess, VA)</t>
  </si>
  <si>
    <t>This disclosure provides for the application of a multi-disciplinary     analysis of information sources to draw novel conclusions that result in     new methods to diagnose, prevent or treat COVID-19. COVID-19 appears to     be an extremely complex disease, encompassing three critical aspects at     least: a viral infection, an immune system disorder, and a     cardiovascular/pulmonary/renal disease with significant coagulation     system dysregulation. This disclosure principally focuses on the design     and methods of use of a combinatorial apparatus that addresses critical     needs to treat patients with COVID-19, especially those at high risk of,     or experiencing, adverse effects of COVID-19 infection, including but not     limited to kidney function support, supplemental oxygen administration,     correction of cardiovascular dysfunction, and removal or modification of     deleterious molecules or agents from or in a patient's blood, including     virus particles or molecular components thereof. Applications of the     combinatorial device for disease management other than for use with     respect to COVID-19 are also described.</t>
  </si>
  <si>
    <t>US20220110987</t>
  </si>
  <si>
    <t>MULTIPLE VIRAL ANTIGEN COVID VACCINE AND THERAPEUTIC</t>
  </si>
  <si>
    <t>17/497295</t>
  </si>
  <si>
    <t>HAMIDA HEBA</t>
  </si>
  <si>
    <t>Hamida; Heba; (Kingston, MA)</t>
  </si>
  <si>
    <t>A composition for treating or preventing COVID-19 infection is described.     The composition includes attenuated Measles virus particles; attenuated     Mumps virus particles; attenuated Rubella II virus particles; scorpion     antivenom; and a pharmaceutically acceptable carrier. The composition can     be used in a method of treating COVID-19 infection in a subject, and can     also be used in a method of vaccinating a subject to decrease the risk or     severity of infection by COVID-19.</t>
  </si>
  <si>
    <t>US20220110977</t>
  </si>
  <si>
    <t>COMPOSITIONS AND METHODS FOR TREATING AND PREVENTING VIRAL INFECTIONS</t>
  </si>
  <si>
    <t>17/556650</t>
  </si>
  <si>
    <t>Saadat Niaki Moghaddam, Reza; Arvind Desai, Jayesh</t>
  </si>
  <si>
    <t>SAADAT NIAKI MOGHADDAM</t>
  </si>
  <si>
    <t>Saadat Niaki Moghaddam; Reza; (Pacific Grove, CA); Arvind Desai; Jayesh; (Carmel, CA)</t>
  </si>
  <si>
    <t>A61K 36/14 20130101;  A61K 35/26 20130101;  A61K 35/28 20130101;  A61K 31/07 20130101;  A61K 38/47 20130101;  A61P 37/04 20180101;  A61K 36/74 20130101;  A61K 36/537 20130101;  A61K 38/1709 20130101;  A61K 36/074 20130101;  A61K 36/04 20130101;  A61K 35/644 20130101;  A61K 33/06 20130101;  C12Y 302/01017 20130101;  A61K 36/53 20130101;  A61K 36/07 20130101;  A61K 31/716 20130101;  A61K 36/738 20130101;  A61K 31/375 20130101;  A61K 36/185 20130101;  A61K 36/19 20130101;  A61K 31/706 20130101;  A61K 31/01 20130101;  A61K 36/9066 20130101;  A61K 36/81 20130101;  A61K 31/593 20130101;  A61K 36/63 20130101;  A61K 33/30 20130101;  A61K 31/714 20130101;  A61K 31/715 20130101;  A61K 36/484 20130101;  A61K 38/385 20130101;  A61K 38/40 20130101;  A61K 35/76 20130101;  A61K 36/489 20130101;  A61K 31/7076 20130101;  A61K 35/20 20130101;  A61K 36/28 20130101;  A61K 33/04 20130101;  A61K 31/4045 20130101;  A61K 31/355 20130101;  A61K 36/481 20130101;  A61K 45/06 20130101;  A61K 36/254 20130101</t>
  </si>
  <si>
    <t>A pretreatment herbal composition comprises Andrographis paniculata,     Eleuthero roots, and resistant potato starch. A treatment herbal     composition comprises cannabidiol, bee pollen, and coconut oil, and in     some embodiments, additionally comprises hemp seed oil. A fortifying     herbal composition comprises many ingredients. A method comprises the     steps of providing a dose of apitoxin at least once a day for at least     one day, providing a dose of a glucosamine product at least once a day     for at least one day, and providing a dose of a treatment herbal     composition at least once a day for at least one day. In some     embodiments, the method additionally comprises the step of providing a     dose of a pretreatment herbal composition at least once a day for at     least one day. In further embodiments, the method additionally comprises     the step of providing a dose of a fortifying herbal composition.</t>
  </si>
  <si>
    <t>US20220110972</t>
  </si>
  <si>
    <t>APPARATUS AND METHOD FOR INACTIVATIVING VIRUSES AND PATHOGENS IN     CONVALESCENT PLASMA UNITS FROM RECOVERED COVID-19 PATIENTS</t>
  </si>
  <si>
    <t>17/499792</t>
  </si>
  <si>
    <t>A61M 2205/3368 20130101;  A61M 1/38 20130101;  A61K 35/16 20130101</t>
  </si>
  <si>
    <t>The novel coronavirus COVID-19 has caused a worldwide pandemic of     enormous proportions resulting in significant levels of morbidity and     mortality, tremendous pressures on the healthcare system, personal     freedoms and society, and an unprecedented impact on the economies of the     United States and the world. There are still significant unknowns about     this very contagious and deadly virus, and these unknowns are coupled     with no natural immunity. A promising therapeutic strategy is the     utilization/transfusion of convalescent plasma from recovered COVID-19     patients. There are, however, risks involved in such transfusions from     residual virus and other adventitious viruses and bacteria. These risks     can be minimized by the pathogen clearance of convalescent plasma units     in a hospital setting. There is an immediate need for the rapid pathogen     inactivation/clearance of convalescent plasma units from recovered     COVID-19 patients. The present invention is a physical pathogen reduction and inactivation     apparatus and method for controlling or eliminating     transfusion-transmittable infections in convalescent plasma from     recovered COVID-19 donors. The invention inactivates both nonenveloped     and enveloped viruses as well as pathogenic bacteria and parasites in     units of human plasma, while retaining the potency of natural     biologically-active proteinaceous products in the pathogen-reduced     plasma. The invention uses critical, near-critical or supercritical     fluids for viral and pathogen reduction of units of donor blood plasma in     blood bags. The apparatus is in the form of a transportable mobile unit,     where it can be used in hospitals, blood banks, and medical facilities.</t>
  </si>
  <si>
    <t>US20220110968</t>
  </si>
  <si>
    <t>COMPOSITIONS AND METHODS TO DISINFECT, TREAT AND PREVENT MICROBIAL     INFECTIONS</t>
  </si>
  <si>
    <t>17/404941</t>
  </si>
  <si>
    <t>WIAB WATER INNOVATION AB</t>
  </si>
  <si>
    <t>WIAB WATER INNOVATION</t>
  </si>
  <si>
    <t>Almas; Geir Hermod; (Snaroya, NO)</t>
  </si>
  <si>
    <t>A61K 33/20 20130101;  A61P 31/14 20180101</t>
  </si>
  <si>
    <t>The present invention provides stable antimicrobial and disinfectant     compositions comprising use of a solid precursor of an oxidized state of     chlorine. The invention also provides on-demand storage and mixing     vessels and methods for preparing and delivering on demand formulations.     In addition, the invention provides antiviral, antibiotic and general     antimicrobial uses, in vivo, on surfaces and via spray applications.</t>
  </si>
  <si>
    <t>US20220110910</t>
  </si>
  <si>
    <t>CANNABINOID-CONTAINING COMPLEX MIXTURES FOR THE TREATMENT OF CYTOKINE     RELEASE SYNDROME WHILE PRESERVING KEY ANTI-VIRAL IMMUNE REACTIONS</t>
  </si>
  <si>
    <t>17/406035</t>
  </si>
  <si>
    <t>GBS GLOBAL BIOPHARMA, INC.</t>
  </si>
  <si>
    <t>GBS GLOBAL BIOPHARMA</t>
  </si>
  <si>
    <t>Small-Howard; Andrea Lee; (Norwalk, CA)</t>
  </si>
  <si>
    <t>Provided herein are cannabinoid-containing complex mixtures suitable for     use as active pharmaceutical ingredients. The complex mixtures comprise     one or more of a pDC modulating cannabinoid or terpene, a monocyte     modulating cannabinoid or terpene, a T-cell modulating cannabinoid or     terpene, and optionally, a lymphopenia-reducing lymphopenia cannabinoid.     Also provided are methods of making the complex mixtures; pharmaceutical     compositions comprising the complex mixture, and methods of using the     pharmaceutical compositions for the treatment of a patient who has, or is     at risk of developing, CRS, CSS, MAS, hyperinflammation, chronic     inflammation, or a proinflammatory immune response. Also provided are     methods of making the complex mixtures; pharmaceutical compositions     comprising the complex mixture, and methods of using the pharmaceutical     compositions for the treatment of ulcers, systemic lupus erythematosus     (SLE), rheumatoid arthritis (RA), psoriasis, multiple sclerosis (MS),     Alzheimer's disease (AD), Parkinson's disease (PD), and the human     immunodeficiency virus-associated neurocognitive disorder (HAND).</t>
  </si>
  <si>
    <t>US20220110881</t>
  </si>
  <si>
    <t>17/523442</t>
  </si>
  <si>
    <t>A61K 9/5123 20130101;  A61K 31/713 20130101;  A61K 9/5115 20130101</t>
  </si>
  <si>
    <t>US20220110812</t>
  </si>
  <si>
    <t>PRESSURE-MITIGATION APPARATUSES FOR IMPROVED TREATMENT OF IMMOBILIZED     PATIENTS AND ASSOCIATED SYSTEMS AND METHODS</t>
  </si>
  <si>
    <t>17/067216</t>
  </si>
  <si>
    <t>TURNCARE, INC.</t>
  </si>
  <si>
    <t>TURNCARE</t>
  </si>
  <si>
    <t>Squitieri; Rafael Paolo; (Wilton, CT)</t>
  </si>
  <si>
    <t>A61M 16/04 20130101;  A61G 2210/00 20130101;  A61M 1/1698 20130101;  A61M 1/3659 20140204;  A61G 2200/325 20130101;  A61G 13/1265 20130101;  A61G 2200/327 20130101;  A61G 2203/12 20130101</t>
  </si>
  <si>
    <t>Introduced here are pressure-mitigation apparatuses able to mitigate the     pressure applied to a human body by the surface of an object. A     controller device can be fluidically coupled to a pressure-mitigation     device that includes a series of selectively inflatable chambers. When a     pressure-mitigation device is placed between a human body and a surface,     the controller device can continuously, intelligently, and autonomously     circulate air through the chambers of the pressure-mitigation device. As     further discussed below, the controller device may cause the chambers to     be selectively inflated, deflated, or any combination thereof. Such an     approach is useful in a variety of contexts. For example,     pressure-mitigation apparatuses may be used to improve treatment of     patients suffering from respiratory illnesses and patients who are     partially or completely immobilized for extended durations (e.g., as part     of a medical procedure).</t>
  </si>
  <si>
    <t>US20220110807</t>
  </si>
  <si>
    <t>PRESSURE-MITIGATION APPARATUSES FOR IMPROVED TREATMENT OF RESPIRATORY     ILLNESSES AND ASSOCIATED SYSTEMS AND METHODS</t>
  </si>
  <si>
    <t>17/067189</t>
  </si>
  <si>
    <t>A61G 7/05776 20130101;  A61G 2203/44 20130101;  A61G 2200/327 20130101;  A61G 2200/325 20130101;  A61G 2203/12 20130101</t>
  </si>
  <si>
    <t>US20220110785</t>
  </si>
  <si>
    <t>THERAPEUTIC DEVICE Applying COMPRESSION AND HEAT TREATMENT</t>
  </si>
  <si>
    <t>17/499745</t>
  </si>
  <si>
    <t>SHARMA REETU</t>
  </si>
  <si>
    <t>Sharma; Reetu; (Granite Bay, CA)</t>
  </si>
  <si>
    <t>A device applies therapeutic treatment to a subject. The therapeutic     treatment includes any two modalities applied simultaneously, the     modalities selected from compression, heat, vibration, and massage. The     device includes a main body; hinges coupled to the main body on each side     of the main body; and respective plates connected to the hinges, wherein     the respective plates contact opposing surfaces of a body.</t>
  </si>
  <si>
    <t>US20220110711</t>
  </si>
  <si>
    <t>NEGATIVE PRESSURE CHAMBER FOR PATIENT INTUBATION</t>
  </si>
  <si>
    <t>17/560040</t>
  </si>
  <si>
    <t>H4 ENGINEERING, INC.</t>
  </si>
  <si>
    <t>H4 ENGINEERING</t>
  </si>
  <si>
    <t>VIZULIS; Karlis; (Ada, MI); SMITH; James Edward; (West Olive, MI)</t>
  </si>
  <si>
    <t>A61G 10/02 20130101;  A61G 2203/70 20130101;  A61G 10/005 20130101;  A61G 10/04 20130101;  A61B 2090/401 20160201;  A61B 90/40 20160201</t>
  </si>
  <si>
    <t>A chamber for placement over a patient while allowing medical personnel     to perform a medical procedure on the patient releasing virus, bacteria,     or other contaminants, including a frame forming, supporting, and     operatively integrated within a transparent body including a supported     arch, an unsupported arch, and a top shield extending between the     supported arch and the unsupported arch, wherein the body includes at     least one access hole, and wherein the chamber surrounds the patient's     head and the unsupported arch deforms around the patient's body in order     to capture and exhaust any virus, bacteria, or other contaminants     released by the patient during the medical procedure through negative     pressure. A method of using the chamber of to perform a medical procedure     on a patient. Methods of preventing exposure to waste anesthetic gas     released from a patient after surgery, and preventing exposure to     ultrafine particles and volatile organic compounds during 3D printer use.</t>
  </si>
  <si>
    <t>US20220110612</t>
  </si>
  <si>
    <t>SPUTUM COLLECTION AND WASHING APPARATUS AND A METHOD OF  USING IT</t>
  </si>
  <si>
    <t>17/156828</t>
  </si>
  <si>
    <t>JOHNSON, NORMAN</t>
  </si>
  <si>
    <t>JOHNSON NORMAN</t>
  </si>
  <si>
    <t>Johnson; Norman Eric; (Big Bear City, CA); Boldt; Karl; (Blasdell, NY); Toro; Joseph; (East Patchogue, NY); LeGoff; Jason; (Miller Place, NY)</t>
  </si>
  <si>
    <t>G01N 1/286 20130101;  G01N 2001/2873 20130101;  B01L 2300/0609 20130101;  B01L 3/508 20130101;  A61B 10/0051 20130101;  G01N 1/34 20130101</t>
  </si>
  <si>
    <t>A medical apparatus (FDA Classifications: "Sputum Specimen [In-Home]     Self-Collection Device" and "In Vitro Medical Diagnostic Device") and     method for self-collection, transport, decontamination and storage     preservation of expectorated sputum specimens, to optimize specimen     quality and reliability of clinical laboratory stain interpretation,     culture and molecular diagnostic tests, thereby improving laboratory     support for pathogen-specific treatment (antibiotic stewardship).</t>
  </si>
  <si>
    <t>US20220110589</t>
  </si>
  <si>
    <t>Disposable device for remote biomedical monitoring</t>
  </si>
  <si>
    <t>17/065545</t>
  </si>
  <si>
    <t>Rica Vicente, Adrian; Mikuski Silva, Francisco Paul</t>
  </si>
  <si>
    <t>RICA VICENTE</t>
  </si>
  <si>
    <t>Rica Vicente; Adrian; (Madrid, ES); Mikuski Silva; Francisco Paul; (Madrid, ES)</t>
  </si>
  <si>
    <t>A61B 5/14552 20130101;  A61B 7/04 20130101;  A61B 5/746 20130101;  A61B 2560/0214 20130101;  A61B 5/002 20130101;  A61B 5/11 20130101;  A61B 5/01 20130101;  A61B 5/6833 20130101;  A61B 2562/0271 20130101</t>
  </si>
  <si>
    <t>A disposable remote biomedical monitoring device made up of a body in the     form of a patch, which adheres directly to the skin of people by means of     a Biocompatible glue said patch comprises, housed in a body of plastic     material a biocompatible and disposable plastic consisting of a base and     a closing cap and containing a temperature sensor, a reflex pulse     oximetry sensor and a digital microphone linked to a printed circuit with     non-volatile memory connected, in turn, to an electrical power supply     battery and a Bluetooth.RTM. communication module that connects,     wirelessly, with a specific App implemented on a smartphone, PC or     similar device of the medical health personnel or the user himself to     view and manage the registered parameters.</t>
  </si>
  <si>
    <t>US20220110547</t>
  </si>
  <si>
    <t>PROVIDING GUIDANCE DURING REST AND RECOVERY</t>
  </si>
  <si>
    <t>17/500023</t>
  </si>
  <si>
    <t>OURA HEALTH OY</t>
  </si>
  <si>
    <t>OURA HEALTH</t>
  </si>
  <si>
    <t>Kinnunen; Hannu Olavi; (Oulu, FI); Laakkonen; Harri Olavi; (Oulu, FI); Tarvainen; Kaisa; (Oulu, FI); Koskimaki; Heli Tuulia; (Oulu, FI); Still; Johanna Leena Kyllikki; (Oulu, FI); Kukka; Matias; (Oulu, FI)</t>
  </si>
  <si>
    <t>Methods, systems, and devices for providing guidance during rest and     recovery are described. A method may include receiving physiological data     associated with a user from a wearable device. The method may include     providing, to a user device associated with the user, a first set of     physical activity targets and a first set of activity messages based on     the received physiological data, where the first set of physical activity     targets and the first set of activity messages associated with a first     operational mode associated with the user. The method may include     identifying a trigger to transition from the first operational mode to a     second operational mode associated with the user. The method may include     providing, to the user device based on identifying the trigger, a second     set of physical activity targets and a second set of activity messages     based at least in part on the received physiological data, where the     second set of physical activity targets and the second set of activity     messages associated with the second operational mode.</t>
  </si>
  <si>
    <t>US20220110397</t>
  </si>
  <si>
    <t>Headwear Articles That Are Selectively Convertible To A Mask Configuration</t>
  </si>
  <si>
    <t>17/500225</t>
  </si>
  <si>
    <t>Moran, Phillip Alexander</t>
  </si>
  <si>
    <t>MORAN PHILLIP</t>
  </si>
  <si>
    <t>Moran; Phillip Alexander; (Miami, FL)</t>
  </si>
  <si>
    <t>A41D 13/1192 20130101;  A42B 1/206 20130101</t>
  </si>
  <si>
    <t>A headwear article that converts between a headwear configuration and a     mask configuration. The headwear article has a crown for covering at     least a portion of a head of a wearer, a visor attached to a front     portion of the crown, and at least one mask support element coupled to     the crown. From the headwear configuration, at least a portion of the     rear portion of the crown is collapsible into the front portion of the     crown to position the headwear in the mask configuration. In the mask     configuration, the at least one mask support element is configured to     secure the headwear over a portion of a face of the wearer.</t>
  </si>
  <si>
    <t>US20220110385</t>
  </si>
  <si>
    <t>PERSONAL PROTECTIVE EQUIPMENT AND METHODS</t>
  </si>
  <si>
    <t>17/066426</t>
  </si>
  <si>
    <t>MDIDEAFACTORY, INC.</t>
  </si>
  <si>
    <t>MDIDEAFACTORY</t>
  </si>
  <si>
    <t>O'Leary; Michael J.; (Del Mar, CA); Braun; Daniel Joseph; (San Diego, CA); Kim; Choll Wan; (San Diego, CA); Wayland; Randy; (San Diego, CA); Gazdzinski; Robert F.; (San Diego, CA)</t>
  </si>
  <si>
    <t>A41D 31/102 20190201;  A41D 13/1176 20130101;  A41D 13/1115 20130101</t>
  </si>
  <si>
    <t>Improved personal protective equipment facial wear including, in one     embodiment, an at least partly adhesive mask, and one or more adhesive     eye shields. In one implementation, the mask avoids significant contact     with the delicate periorbital skin of the wearer, yet provides a     substantially airtight seal so as to preclude moisture vapor transfer and     "fogging" of eyeware or instruments. In another implementation, adherence     of the eye shield is at least partially overlapping with the mask and     creates an at least partial seal around a perimeter of the eye shield.     Further, an at least partial seal is formed around a perimeter of the     mask. The mask and eye shield additionally prevent nasal air flow     obstruction, and address the problem of skin irritation and attachment     during normal facial expression and movement of the wearer.</t>
  </si>
  <si>
    <t>US20220110384</t>
  </si>
  <si>
    <t>PROTECTIVE TEMPERATURE-SENSING FACE SHIELD WITH TEMPERATURE DISPLAY</t>
  </si>
  <si>
    <t>17/163830</t>
  </si>
  <si>
    <t>OLIVAREZ ANTIONETTE</t>
  </si>
  <si>
    <t>Olivarez; Antionette; (Porter Ranch, CA)</t>
  </si>
  <si>
    <t>G01K 13/223 20210101;  A41D 2300/33 20130101;  A41D 13/1161 20130101;  G01K 1/02 20130101</t>
  </si>
  <si>
    <t>A temperature-sensing face covering, such as a face shield, with a     temperature sensor and display unit therein to provide for hands free     temperature readings that go wherever the individual goes and continue to     measure the individual's temperature throughout the day. The     temperature-sensing face covering is simple and does not require the     sites of work or other places to have any additional equipment, and     provides continual readings that could very easily change throughout the     day and be missed because at the beginning of the day the individual did     not have a fever.</t>
  </si>
  <si>
    <t>US20220110382</t>
  </si>
  <si>
    <t>FACE MASK</t>
  </si>
  <si>
    <t>17/067673</t>
  </si>
  <si>
    <t>DAVID CHARLES</t>
  </si>
  <si>
    <t>David; Charles; (Strongsville, OH)</t>
  </si>
  <si>
    <t>Illustrated views of an exemplary face mask device for use to prevent the     spread of viruses is presented. The face mask device is useful for     providing a comfortable, tight fit. The face mask device provides     coverage of a face of a user over a nose, a mouth and wrapping around a     chin of the user. The face mask device is washable and reusable. The face     mask device is cost efficient and provides easy replacement of one or     more straps that keep the face mask device in a predetermined position on     the face of the user.</t>
  </si>
  <si>
    <t>US20220110378</t>
  </si>
  <si>
    <t>PERFORMANCE FABRIC PPE FACE MASK</t>
  </si>
  <si>
    <t>17/359632</t>
  </si>
  <si>
    <t>TANG LINDA</t>
  </si>
  <si>
    <t>Tang; Linda; (San Jose, CA)</t>
  </si>
  <si>
    <t>A durable, reusable, anti-fog, blister-free, sealed face mask that does     not slip off the user's face during speech or high-performance activity.     The face mask is constructed with anti-viral and antimicrobial wicking,     breathable, stretch materials and has an optional filtration membrane.     The materials can comprise sustainable recycled materials.</t>
  </si>
  <si>
    <t>US20220110328</t>
  </si>
  <si>
    <t>ANTI-VIRAL FORMULATION OF ACTIVE NANO INGREDIENTS FOR COATING ON PERSONAL     PROTECTIVE EQUIPMENT AND FOR AEROSOL BASED DISINFECTANT COMPOSITION</t>
  </si>
  <si>
    <t>17/211068</t>
  </si>
  <si>
    <t>INDIAN OIL CORPORATION LIMITED</t>
  </si>
  <si>
    <t>INDIAN OIL</t>
  </si>
  <si>
    <t>GAJENDIRAN; Mani; (Faridabad, IN); JAIN; Ruchi; (Faridabad, IN); SINHA; Arjyabaran; (Faridabad, IN); BHOWMIK; Koushik; (Faridabad, IN); PARKASH; Om; (Faridabad, IN); VYAS; Mukesh Kumar; (Faridabad, IN); OTA; Jyotiranjan; (Faridabad, IN); HAIT; Samik Kumar; (Faridabad, IN); KAGDIYAL; Vivekanand; (Faridabad, IN); SAXENA; Deepak; (Faridabad, IN); RAMAKUMAR; Sankara Sri Venkata; (Faridabad, IN)</t>
  </si>
  <si>
    <t>A01N 25/06 20130101;  B82Y 5/00 20130101;  A01N 59/20 20130101;  B82Y 40/00 20130101;  B82Y 30/00 20130101;  A01N 59/14 20130101</t>
  </si>
  <si>
    <t>The present invention relates to an anti-viral nanoformulation suitable     for diverse surface application in form of hydrogel based nanoemulsion,     or an aerosol spray. The present invention discloses incorporation of     nanomaterials such as functionalized carbon quantum dots (F-CQDs), copper     nanoparticles (CuNPs) or silver nanoparticles (AgNPs) into the hydrogel     (HG) scaffold to act as chemical barrier and anti-viral agent against     SARS-CoV-2 or Escherichia coli: phage MS2. The nanoformulation is coated     on personal protective equipment's (PPE) and different surfaces such as     glass, steel and plastic to control viral infection including corona     virus infection.</t>
  </si>
  <si>
    <t>US20220109949</t>
  </si>
  <si>
    <t>USING WI-FI INFRASTRUCTURE TO PREDICT LOCATIONS AND CONTACTS</t>
  </si>
  <si>
    <t>17/495340</t>
  </si>
  <si>
    <t>GEORGE MASON RESEARCH FOUNDATION, INC. F/K/A GEORGE MASON INTELLECTUAL PROPERTIES, INC.</t>
  </si>
  <si>
    <t>GEORGE MASON RESEARCH FOUNDATION</t>
  </si>
  <si>
    <t>Alemi; Farrokh; (Fairfax, VA); Wojtusiak; Janusz; (Fairfax, VA)</t>
  </si>
  <si>
    <t>Exemplary methods predict the locations of individuals in buildings over     time based on Wi-Fi access point connectivity and other reference     information. Predicted locations are used to predict risk of contact, for     example of infected persons with others in public spaces.</t>
  </si>
  <si>
    <t>US20220108803</t>
  </si>
  <si>
    <t>METHOD FOR COVID-19 DETECTION TO SPREAD PREVENTION AND MEDICAL ASSISTANCE     USING MACHINE LEARNING</t>
  </si>
  <si>
    <t>17/551376</t>
  </si>
  <si>
    <t>Indra, Gaurav; Mansour, Romany F.; Sarkar, B.K.; Althobaiti, Maha M.; Dubey, Sadhana; Tyagi, Amit Kumar; Tirth, Vineet; Shukla, Neeraj Kumar; Kotyad, Munawira; MENON, LATA</t>
  </si>
  <si>
    <t>INDRA GAURAV</t>
  </si>
  <si>
    <t>Indra; Gaurav; (Delhi, IN); Mansour; Romany F.; (El-Kharga, EG); Sarkar; B.K.; (NAVI MUMBAI, IN); Althobaiti; Maha M.; (Taif, SA); Dubey; Sadhana; (Shenzhen, CN); Tyagi; Amit Kumar; (Chennai, IN); Tirth; Vineet; (Abha, SA); Shukla; Neeraj Kumar; (Abha, SA); Kotyad; Munawira; (NAVI MUMBAI, IN); MENON; LATA; (NAVI MUMBAI, IN)</t>
  </si>
  <si>
    <t>A61B 5/7475 20130101;  G06T 7/0014 20130101;  A61B 6/5205 20130101;  A61B 6/5258 20130101;  G06T 7/11 20170101;  A61B 5/7465 20130101;  G16H 30/20 20180101;  G06T 7/187 20170101;  A61B 5/746 20130101;  G16H 50/20 20180101;  G06T 2207/20084 20130101;  G06T 5/002 20130101;  A61B 5/015 20130101;  G06V 40/161 20220101;  G06T 2207/10081 20130101</t>
  </si>
  <si>
    <t>The present disclosure generally relates to a method for COVID-19     detection for spread prevention and medical assistance using machine     learning comprises pre-processing a CT image set for removing noise using     HU values; performing a region-based segmentation using a     three-dimensional convolutional neural network model; classifying each     segmented region by employing a classification model; and comparing     classified segmented region with a dataset for detecting COVID-19 using a     machine learning approach thereby generating an alert about the COVID-19     positive person.</t>
  </si>
  <si>
    <t>US20220108799</t>
  </si>
  <si>
    <t>SYSTEM AND METHOD FOR TRANSMITTING A SEVERITY VECTOR</t>
  </si>
  <si>
    <t>17/062779</t>
  </si>
  <si>
    <t>Neumann; Kenneth; (Lakewood, CO)</t>
  </si>
  <si>
    <t>G06N 20/00 20190101;  G16H 50/20 20180101</t>
  </si>
  <si>
    <t>A system for presenting a severity vector includes a computing device     configured to obtain a user status from a remote device, identify a user     affliction as a function of a user status, generate an effect enumeration     as a function of the affliction, wherein generating includes receiving an     affliction training set correlating at least a first element of an     affliction state and at least a first affliction result and generating an     effect enumeration as a function of the affliction training set using an     affliction machine-learning process, wherein the affliction     machine-learning process is trained using the affliction training set,     calculate a severity vector, and transmit the severity score on the     remote device.</t>
  </si>
  <si>
    <t>US20220108798</t>
  </si>
  <si>
    <t>SYSTEM, METHOD, AND COMPUTER PROGRAM FOR SAFELY MANAGING INTERACTIONS     AMONG INDIVIDUALS</t>
  </si>
  <si>
    <t>17/341167</t>
  </si>
  <si>
    <t>ZILKA KEVIN J</t>
  </si>
  <si>
    <t>ZILKA KEVIN</t>
  </si>
  <si>
    <t>Zilka; Kevin J.; (Los Gatos, CA)</t>
  </si>
  <si>
    <t>A system, method, and computer program are provided for: receiving first     information regarding a virus infection status of a first person;     receiving second information regarding a virus infection status of a     second person; based on the first information and the second information,     conditionally scheduling a meeting between the first person and the     second person.</t>
  </si>
  <si>
    <t>US20220108773</t>
  </si>
  <si>
    <t>SYSTEMS AND METHODS FOR GENOME ANALYSIS AND VISUALIZATION</t>
  </si>
  <si>
    <t>17/065233</t>
  </si>
  <si>
    <t>Baidu</t>
  </si>
  <si>
    <t>BAIDU</t>
  </si>
  <si>
    <t>LIU; Boxiang; (Sunnyvale, CA); LIU; Kaibo; (Mountain View, CA); ZHANG; He; (Santa Clara, CA); ZHANG; Liang; (Fremont, CA); BIAN; Yuchen; (Santa Clara, CA); HUANG; Liang; (Mountain View, CA)</t>
  </si>
  <si>
    <t>COVID-19 has become a global pandemic after its inception in late 2019.     SARS-CoV-2 genomes are sequenced and shared on public repositories at a     fast pace. To keep up with these updates, datasets need to be refreshed     and re-cleaned frequently. It may be difficult to analyze SARS-CoV-2     genomes for scientists with limited bioinformatics or programming     knowledge. In the present disclosure, system and method embodiments for     genome analysis and visualization are developed to address these     challenges. A webserver may be used to enable simple and rapid analysis     of genomes. Given a new sequence, the system may automatically predict     gene boundaries and identify genetic variants, which are presented in an     interactive genome visualizer and are downloadable for analysis. A     command-line interface may be available for high throughput processing.</t>
  </si>
  <si>
    <t>US20220108772</t>
  </si>
  <si>
    <t>FUNCTIONAL PROTEIN CLASSIFICATION FOR PANDEMIC RESEARCH</t>
  </si>
  <si>
    <t>17/490018</t>
  </si>
  <si>
    <t>GSI TECHNOLOGY, INC.</t>
  </si>
  <si>
    <t>GSI</t>
  </si>
  <si>
    <t>EREZ; Elona; (Tel Aviv, IL)</t>
  </si>
  <si>
    <t>G06N 3/04 20130101;  G16B 30/00 20190201;  G06K 9/6231 20130101;  G06N 3/08 20130101;  G06K 9/6276 20130101;  G16B 40/20 20190201;  G16B 50/30 20190201</t>
  </si>
  <si>
    <t>A protein searcher includes a pre-trained CNN, a feature extractor, a     database and a KNN searcher. The pre-trained CNN, trained on a previously     classified amino acid database, receives an unidentified amino acid     sequence. The feature extractor extracts a feature vector of the     unidentified amino acid sequence as a query feature vector. The database     stores feature vectors of trained amino acid sequences and of at least     one untrained amino acid sequence and stores associated classes of the     trained amino acid sequences and associated tags of the at least one     untrained amino acid sequence. The KNN searcher finds K feature vectors     of the database which are close to the query feature vector and outputs     the associated class or tag of each of the K feature vectors.</t>
  </si>
  <si>
    <t>US20220108443</t>
  </si>
  <si>
    <t>RAPID AND AUTOMATIC VIRUS IMAGING AND ANALYSIS SYSTEM AS WELL AS METHODS     THEREOF</t>
  </si>
  <si>
    <t>17/452999</t>
  </si>
  <si>
    <t>BORRIES PTE. LTD.</t>
  </si>
  <si>
    <t>BORRIES</t>
  </si>
  <si>
    <t>Chen; Zhongwei; (Los Altos Hills, CA); Chen; Xiaoming; (Sunnyvale, CA); Tang; Daniel; (Fremont, CA); Fan; Liang-Fu; (Fremont, CA)</t>
  </si>
  <si>
    <t>H01J 2237/2803 20130101;  H01J 37/28 20130101;  H01J 2237/2813 20130101;  G06T 2207/20081 20130101;  G06T 7/50 20170101;  H01J 2237/2802 20130101;  H01J 2237/2801 20130101;  G06T 7/0012 20130101;  G06T 2207/30024 20130101</t>
  </si>
  <si>
    <t>A rapid and automatic virus imaging and analysis system includes (i)     electron optical sub-systems (EOSs), each of which has a large field of     view (FOV) and is capable of instant magnification switching for rapidly     scanning a virus sample; (ii) sample management sub-systems (SMSs), each     of which automatically loads virus samples into one of the EOSs for virus     sample scanning and then unloads the virus samples from the EOS after the     virus sample scanning is completed; (iii) virus detection and     classification sub-systems (VDCSs), each of which automatically detects     and classifies a virus based on images from the EOS virus sample     scanning; and (iv) a cloud-based collaboration sub-system for analyzing     the virus sample scanning images, storing images from the EOS virus     sample scanning, and storing and analyzing machine data associated with     the EOSs, the SMSs, and the VDCSs.</t>
  </si>
  <si>
    <t>US20220108405</t>
  </si>
  <si>
    <t>SYSTEMS AND METHODS FOR MEASURING AND INCENTIVIZING PARTICIPATION AND     ACTION ON CIVIC ISSUES VIA AN ONLINE SOCIAL MEDIA PLATFORM</t>
  </si>
  <si>
    <t>17/495777</t>
  </si>
  <si>
    <t>RIZVI SYED</t>
  </si>
  <si>
    <t>RIZVI; Syed; (Toronto, CA)</t>
  </si>
  <si>
    <t>A system and method for measuring and incentivizing participation on     civic issues is provided, comprising a computer system comprising at     least a data processor and a memory. One or more computing devices used     by a plurality of users subscribed to the platform. A subsystem     configured to cause display of one or more civic issues, published by one     or more users, on the one or more commuting devices. A scoring subsystem     configured to couple one or more actions to each civic issue, tally     actions performed by one or more of the users, award one or more points     to the one or more users based on one or more of the action performed, a     quantitative and/or qualitative response to the action performed, a     quantitative and/or qualitative response to the civic issue. A generated     count represented for an individual user from the plurality of users     based on an amalgamation of the points awarded.</t>
  </si>
  <si>
    <t>US20220108402</t>
  </si>
  <si>
    <t>SYSTEMS AND METHODS FOR PREDICTING OPERATIONAL EVENTS</t>
  </si>
  <si>
    <t>17/495744</t>
  </si>
  <si>
    <t>BANK OF MONTREAL CORPORATE FINANCE</t>
  </si>
  <si>
    <t>BANK MONTREAL</t>
  </si>
  <si>
    <t>JALAL; Adam; (Toronto, CA)</t>
  </si>
  <si>
    <t>G06Q 40/08 20130101;  G06Q 40/06 20130101;  G06N 5/04 20130101</t>
  </si>
  <si>
    <t>Presented herein are methods and systems for using artificial     intelligence to calculate operational loss. A method comprises training,     by a processor, an artificial intelligence model using a first dataset     for a first entity to generate at least one first weight factor of the     artificial intelligence model trained for the first entity and store the     at least one weight factor on a first database; training, by a processor,     the artificial intelligence model using a second dataset for a second     entity to generate at least one second weight factor of the artificial     intelligence model trained for the second entity and store the at least     one weight factor on a second database; executing, by the processor, the     artificial intelligence model using the first dataset, a shared dataset,     and the at least one first weight factor for the first entity to transmit     a first output to the first entity; and execute the artificial     intelligence model using the second dataset, the shared dataset, and the     at least one second weight factor for the second entity to transmit a     second output to the second entity.</t>
  </si>
  <si>
    <t>US20220108303</t>
  </si>
  <si>
    <t>TOUCHLESS PAYMENTS AT POINT-OF-SALE TERMINALS</t>
  </si>
  <si>
    <t>17/061740</t>
  </si>
  <si>
    <t>TD Bank Group</t>
  </si>
  <si>
    <t>TD BANK</t>
  </si>
  <si>
    <t>DUNJIC; Milos; (Oakville, CA); Tax; David Samuel; (Toronto, CA); LALKA; Vipul Kishore; (Oakville, CA); GLEESON; Bryan Michael; (Bowmanville, CA); ECKER; Jeffrey Aaron; (Toronto, CA); CASTELL; Derek Richard; (Hamilton, CA); NGUYEN; Anthony Haituyen; (Toronto, CA)</t>
  </si>
  <si>
    <t>In some implementations, a method of providing contactless payments at a     point of sale terminal includes: causing a point-of-sale terminal     processing a transaction to display a machine-readable code, the     machine-readable code encoding a web address; receiving a request from a     device that scanned the machine-readable code, the request received at     the web address; in response to receiving the request, causing the device     that scanned the machine-readable code to output an interface that     includes a prompt for input required to complete the transaction;     receiving a response to the prompt; and sending an indication of the     response to the prompt to the point-of-sale terminal to allow for     completion of the transaction based on the response at the point-of-sale     terminal through use of a physical token at the point-of-sale terminal.</t>
  </si>
  <si>
    <t>US20220108241</t>
  </si>
  <si>
    <t>17/495737</t>
  </si>
  <si>
    <t>G06N 20/00 20190101;  G06N 5/02 20130101;  G06Q 10/0635 20130101;  G06Q 30/0201 20130101</t>
  </si>
  <si>
    <t>A system and method for predicting operational loss events in     transactions using artificial intelligence modeling. The system and     method include receiving, by one or more processors, a request for a risk     score associated with an organization; applying, by the one or more     processors, a scoring dataset to a risk predictive model that is trained     with a training dataset causing the risk predictive model to generate one     or more risk scores based on the scoring data, the one or more risk     scores indicative of a probability for an operational loss event to occur     responsive to a transaction by the organization; and sending, by the one     or more processors, a message that includes the one or more risk scores     to a client device.</t>
  </si>
  <si>
    <t>US20220108240</t>
  </si>
  <si>
    <t>17/495729</t>
  </si>
  <si>
    <t>LIPOSKY; Michelle; (Toronto, CA)</t>
  </si>
  <si>
    <t>G06N 5/022 20130101;  G06N 5/04 20130101;  G06Q 10/0635 20130101</t>
  </si>
  <si>
    <t>US20220108239</t>
  </si>
  <si>
    <t>17/495721</t>
  </si>
  <si>
    <t>US20220108238</t>
  </si>
  <si>
    <t>17/495716</t>
  </si>
  <si>
    <t>G06Q 30/0201 20130101;  G06N 20/00 20190101;  G06N 5/02 20130101;  G06Q 10/0635 20130101</t>
  </si>
  <si>
    <t>US20220107942</t>
  </si>
  <si>
    <t>SYSTEMS AND METHODS FOR CENTRALIZED MACHINE LEARNING-BASED IMPACT     ATTRIBUTION</t>
  </si>
  <si>
    <t>17/479599</t>
  </si>
  <si>
    <t>B8TA, INC.</t>
  </si>
  <si>
    <t>B8TA</t>
  </si>
  <si>
    <t>Norby; Vibhu; (Mountain View, CA); Noon; Joseph; (San Ramon, CA)</t>
  </si>
  <si>
    <t>Obtaining historical data for transactions, the historical data including     a number of transactions within the first geographic area and respective     shipping locations of the transactions within the first geographic area.     Selecting a first respective shipping location of a first transaction     within the first geographic area. Selecting a second geographic area     based on the first respective shipping location, the first respective     shipping location being within the second geographic area. Determining an     impact of a physical store based on a set of characteristic values and a     subset of the historical data corresponding to the second geographic     area. Generating one or more map visualizations based on the impact     determination. Presenting the one or more map visualizations. Triggering,     in response to generating the map visualization, one or more actions.     Generating, subsequent to the one or more actions being triggered and/or     performed, an updated impact determination. Presenting the one or more     updated map visualizations.</t>
  </si>
  <si>
    <t>US20220107880</t>
  </si>
  <si>
    <t>SYSTEM AND METHOD FOR PRESENTING A MONITORING DEVICE IDENTIFICATION</t>
  </si>
  <si>
    <t>17/062710</t>
  </si>
  <si>
    <t>A system for presenting a monitoring device identification includes a     computing device configured to obtain a user profile from a graphical     user interface, identify a user condition as a function of the user     profile, determine a monitoring device of a plurality of monitoring     devices as a function of the user condition, wherein determining further     comprises, obtaining a monitor training set, wherein the monitor training     set relates a condition element to a detection method and determining the     monitoring device as a function of a monitoring machine-learning process     and the user condition, wherein the monitoring machine learning process     is configured as a function of the monitoring training set; and present     the monitoring device at the graphical user interface.</t>
  </si>
  <si>
    <t>US20220107815</t>
  </si>
  <si>
    <t>SYSTEM AND METHOD FOR PROGRAMMING A MONITORING DEVICE</t>
  </si>
  <si>
    <t>17/062769</t>
  </si>
  <si>
    <t>A system for programming a monitoring device includes a computing device     configured to obtain a user datum of a plurality of user datums from a     monitoring device, calculate a signal profile as a function of the user     datum, identify a scan frequency correlated to the signal profile,     wherein identifying further comprises receiving a frequency training set     relating at least a first element of a vigor element to at least a first     frequency requirement and using a frequency machine learning process,     wherein the frequency machine learning process is configured using the     signal training set, generate a device scheme as a function of the scan     frequency, and program the monitoring device as a function of the device     scheme.</t>
  </si>
  <si>
    <t>US20220107622</t>
  </si>
  <si>
    <t>ROBOTIC PROCESS AUTOMATION FOR REMOTE ASSISTANCE</t>
  </si>
  <si>
    <t>17/061999</t>
  </si>
  <si>
    <t>SAP</t>
  </si>
  <si>
    <t>MONAKOVA; Ganna; (Karlsruhe, DE)</t>
  </si>
  <si>
    <t>G05B 19/4155 20130101;  G05B 2219/31151 20130101;  G05B 2219/50391 20130101;  G05B 2219/31156 20130101</t>
  </si>
  <si>
    <t>Disclosed herein are system, method, and computer program product     embodiments for remotely executing a robotic process automation (RPA) bot     as a function. An embodiment operates by generating an RPA bot function     in a first network environment and transmitting the RPA bot function to     an application located in a second network environment. The embodiment     further operates by receiving results data from the application based on     an execution of the RPA bot function in the second network environment.     Subsequently, the embodiment operates by generating results user     interface (UI) data based on the results data and transmitting the     results UI data to a user input/output (I/O) device located in the first     network environment.</t>
  </si>
  <si>
    <t>US20220107317</t>
  </si>
  <si>
    <t>COMPOSITIONS AND METHODS FOR DIAGNOSING AND TREATING CORONAVIRUS DISEASE     2019</t>
  </si>
  <si>
    <t>17/491568</t>
  </si>
  <si>
    <t>PIN JYE BIO TECH CO., LTD.</t>
  </si>
  <si>
    <t>PIN JYE BIO TECH</t>
  </si>
  <si>
    <t>Chang; Chia-Ching; (Hsinchu, TW); Chang; Chia-Yu; (Hsinchu, TW); Shih; Shin-Ru; (Hsinchu, TW); Huang; Sheng-Yu; (Hsinchu, TW)</t>
  </si>
  <si>
    <t>Provided are methods and compositions for the diagnosis and treatment of     COVID-19, a disease caused by SARS-CoV-2 infection. More specifically,     peptides that bind to SARS-CoV-2 are provided for use as diagnostic and     therapeutic compositions in diagnosis, treatment and prevention of     individuals contracting, or in danger of contracting COVID-19.</t>
  </si>
  <si>
    <t>US20220107258</t>
  </si>
  <si>
    <t>Method and apparatus to search for, find, collect and confirm the presence     of ptentially dangerous airborne particles such as COVID-19 VIRUS</t>
  </si>
  <si>
    <t>16/974113</t>
  </si>
  <si>
    <t>Wyatt, Philip Joseph</t>
  </si>
  <si>
    <t>WYATT PHILIP</t>
  </si>
  <si>
    <t>Wyatt; Philip Joseph; (Santa Barbara, CA)</t>
  </si>
  <si>
    <t>A light scattering method and apparatus are disclosed whereby the     presence of the COVID-19 virus in a designated volume of ambient air may     be confirmed within a few hours from the analysis of its contents. By     such means, the near real-time presence of viral constituents within     airborne regions of meetings, gatherings, presentations, and even the     ICUs of hospitals themselves, may be confirmed and often quantified. The     present invention provides such means to find, separate, and identify     specifically such fractions: an important early warning of their presence     and the current dangers they pose. The same methods described may be     applied also for the detection of airborne bacteria.</t>
  </si>
  <si>
    <t>US20220106735</t>
  </si>
  <si>
    <t>TEXTILES CUSTOM PRINTED WITH ANTIMICROBIAL NANOPARTICLES</t>
  </si>
  <si>
    <t>17/060511</t>
  </si>
  <si>
    <t>XEROX CORPORATION</t>
  </si>
  <si>
    <t>XEROX</t>
  </si>
  <si>
    <t>Robles Flores; Eliud; (Rochester, NY); Qi; Yu; (Penfield, NY); Vandewinckel; Judith Millner; (Livonia, NY)</t>
  </si>
  <si>
    <t>G03G 2215/00527 20130101;  G03G 9/0819 20130101;  D06P 1/5271 20130101;  G03G 15/6591 20130101;  G03G 9/08755 20130101;  D06P 5/001 20130101</t>
  </si>
  <si>
    <t>According to various embodiments, a method of forming an image on a     fabric and the resulting fabric is disclosed. The method includes     providing a printable media including a carrier layer having a first     surface comprising a first area and a second surface opposite the first     surface. The method includes providing a fabric layer having a third     surface and a fourth surface opposite the third surface, the third     surface includes a second area. The fabric layer is secured to the     carrier layer by the adhesive bonding a first portion of the fourth     surface to the first surface. The method includes applying a toner to a     first portion of the third surface of the fabric layer. The toner     includes antimicrobial nanoparticles on an outer surface of the toner.     The method includes fusing the toner to the first portion of the third     surface of the fabric layer.</t>
  </si>
  <si>
    <t>US20220106622</t>
  </si>
  <si>
    <t>METHOD FOR PATHOGEN IDENTIFICATION</t>
  </si>
  <si>
    <t>17/380862</t>
  </si>
  <si>
    <t>MESA PHOTONICS, LLC</t>
  </si>
  <si>
    <t>MESA PHOTONICS</t>
  </si>
  <si>
    <t>Rininsland; Frauke Henrike; (Santa Fe, NM); Kane; Daniel James; (Santa Fe, NM)</t>
  </si>
  <si>
    <t>G01N 2333/9513 20130101;  C12Q 1/37 20130101;  G01N 33/56983 20130101;  G01N 2333/165 20130101</t>
  </si>
  <si>
    <t>The present invention relates to a method for detecting a pathogen in     cellular lysate by measuring pathogen-specific enzyme activity. The     method comprises contacting the cellular lysate with a substrate the     pathogen of interest recognizes and modifies, and obtaining a measurable,     recordable, signal. The method may comprise detection of SARS-CoV viruses     using the activity of SARS PLpro enzyme in tongue scrape lysate as a     readout.</t>
  </si>
  <si>
    <t>US20220106583</t>
  </si>
  <si>
    <t>VIRUS DETECTION IN WASTEWATER</t>
  </si>
  <si>
    <t>17/485824</t>
  </si>
  <si>
    <t>LuminUltra Technologies Ltd.</t>
  </si>
  <si>
    <t>LUMINULTRA</t>
  </si>
  <si>
    <t>SCHMIDT; Jordan Jeremy; (Windsor, CA); SHARMA; Neil Christopher; (Gaithersburg, MD); HUANG; Wei; (Ellicott City, MD)</t>
  </si>
  <si>
    <t>C12N 15/1013 20130101;  C12Q 1/70 20130101</t>
  </si>
  <si>
    <t>A method is provided to extract genetic material of a virus, for example     the SARS-CoV-2 virus, from a wastewater sample. The wastewater sample is     in the range of 0.5 to 5 mL in volume. The wastewater sample may be     prefiltered, but is not separated to concentrate the virus in a solids     fraction. A lysis buffer is added to the sample, followed by a waiting     period of at least one minute, followed by the addition of an alcohol.     1.5-4.5 mg of magnetic beads are added per mL of wastewater sample. The     magnetic beads are later separated from the sample. Genetic material is     eluted from the magnetic beads, optionally at a temperature of at least     45.degree. C. A test kit is provided for use in performing the method.</t>
  </si>
  <si>
    <t>US20220106363</t>
  </si>
  <si>
    <t>CHIMERIC PROTEIN FOR CORONAVIRUS VACCINE</t>
  </si>
  <si>
    <t>17/382625</t>
  </si>
  <si>
    <t>Ramsingh, Arlene I.; Pata, Janice</t>
  </si>
  <si>
    <t>RAMSINGH ARLENE</t>
  </si>
  <si>
    <t>Ramsingh; Arlene I.; (Miami, FL); Pata; Janice; (Alcove, NY)</t>
  </si>
  <si>
    <t>C12N 2760/16022 20130101;  C12N 2770/20022 20130101;  C12N 2760/16034 20130101;  A61K 39/215 20130101;  C07K 14/005 20130101;  C12N 2770/20034 20130101</t>
  </si>
  <si>
    <t>The disclosure relates to a polypeptide comprising, or consisting of, the     amino acid sequence of SEQ ID NO: 1, SEQ ID NO: 5, SEQ ID NO: 6, SEQ ID     NO: 9 or a sequence having at least 97%-100% sequence identity to one of     SEQ ID NO: 1, SEQ ID NO: 5, SEQ ID NO: 6, SEQ ID NO: 9 for use as an     immunogen for the purpose of eliciting an immune response in a subject     susceptible to infection with a coronavirus. The disclosed polypeptide is     further useful in reducing the severity of symptoms associated with a     coronavirus infection. In addition to use in a protein-based vaccine, the     polypeptide of the disclosure can be encoded by a nucleic     acid/ribonucleic acid and used in a nucleic acid vaccine or viral vector     vaccine.</t>
  </si>
  <si>
    <t>US20220106275</t>
  </si>
  <si>
    <t>RADIOLABELED COMPOUNDS AND USES THEREOF</t>
  </si>
  <si>
    <t>17/553462</t>
  </si>
  <si>
    <t>Columbia University</t>
  </si>
  <si>
    <t>COLUMBIA UNIVERSITY</t>
  </si>
  <si>
    <t>KUMAR; J.S. Dileep; (Fort Lee, NJ); MINTZ; Akiva; (Paramus, NJ); MANN; Joseph John; (Bronx, NY)</t>
  </si>
  <si>
    <t>C07B 2200/05 20130101;  C07D 261/08 20130101;  C07D 417/12 20130101;  C07D 239/42 20130101;  C07D 413/04 20130101;  C07D 409/12 20130101;  A61K 51/041 20130101</t>
  </si>
  <si>
    <t>Radiolabeled compounds of Formula I are described. Processes for     radiolabeling the compounds are described. Methods for radioactive     imaging using the compounds are also described.</t>
  </si>
  <si>
    <t>US20220106189</t>
  </si>
  <si>
    <t>STABILIZED AND NO2-INHIBITED NITRIC OXIDE GENERATING GELS FOR INHALED     NITRIC OXIDE THERAPY</t>
  </si>
  <si>
    <t>17/343649</t>
  </si>
  <si>
    <t>MILLER INTERNATIONAL LTD.</t>
  </si>
  <si>
    <t>MILLER</t>
  </si>
  <si>
    <t>Miller; J. W. Randolph; (Orem, UT)</t>
  </si>
  <si>
    <t>A61M 16/10 20130101;  C01B 21/24 20130101;  A61M 16/0666 20130101;  A61M 2202/0275 20130101;  A61M 16/208 20130101;  A61M 2205/8206 20130101</t>
  </si>
  <si>
    <t>The present invention relates to stabilized and NO.sub.2-inhibited nitric     oxide generating gels for inhaled nitric oxide therapy, for the treatment     of bacterial, viral or fungal conditions, including the formulas for the     gels with new stabilizing ingredients/agents, together with delivery     instructions that can permit self-administration of the gas, new dosage     protocols for the use of the nitric oxide gas, and new drug     concentrations for enhanced effectiveness. Other implementations are     described.</t>
  </si>
  <si>
    <t>US20220106159</t>
  </si>
  <si>
    <t>Touchless Elevator User Interface</t>
  </si>
  <si>
    <t>17/062620</t>
  </si>
  <si>
    <t>Mitsubishi Corporation</t>
  </si>
  <si>
    <t>MITSUBISHI CORP</t>
  </si>
  <si>
    <t>Yerazunis; William; (Acton, MA); Mahmud; Aleef; (Boston, MA); Lee; Brian; (Buena Park, CA)</t>
  </si>
  <si>
    <t>B66B 2201/4638 20130101;  B66B 1/52 20130101;  H03K 2217/94036 20130101;  B66B 1/461 20130101;  B66B 1/468 20130101;  B66B 3/004 20130101;  H03K 2217/960755 20130101;  H03K 17/941 20130101</t>
  </si>
  <si>
    <t>Systems and methods having a touchless operating panel with buttons and     an electronic circuit (EC). The system including a proximity sensor (PS)     associated with an associated button and positioned proximate thereto.     The PS arranged to generate a button detection zone around the associated     button and detect a presence within the button detection zone. When the     PS detects a presence of an object within the button detection zone in a     time period, the EC receives proximity values about the detection from     the PS. The EC detects if activation of the PS is intentional or     unintentional, based on inputting into an activation assessment module,     the received proximity values and any other proximity values received     from one or more other PSs. When a detection is made that the PS is     intentionally activated regarding the presence of the object within the     button detection zone. The EC generates and emits a command action.</t>
  </si>
  <si>
    <t>US20220105370</t>
  </si>
  <si>
    <t>METHODS AND COMPOSITIONS FOR IMPROVING FABRIC BASED ENTRAPMENT OF AQUEOUS     AEROSOL ASSOCIATED NANOPARTICLES</t>
  </si>
  <si>
    <t>17/495581</t>
  </si>
  <si>
    <t>DETRAPEL INC</t>
  </si>
  <si>
    <t>DETRAPEL</t>
  </si>
  <si>
    <t>Tabbara; Tarek; (Holliston, MA); Zamarin; David; (Jamison, PA); Wetzel; Casey; (San Diego, CA); Jarufe; Juan; (North Olmsted, OH); Jarufe; Melissa; (North Olmsted, OH)</t>
  </si>
  <si>
    <t>B82Y 40/00 20130101;  A62B 23/00 20130101;  D06B 3/10 20130101;  C08G 63/06 20130101</t>
  </si>
  <si>
    <t>The present invention relates generally to methods of using stable     aqueously dispersed superhydrophobic compositions to provide     superhydrophobic treatments on a range of porous and semi-porous target     materials and surfaces to enhance the filtration properties of the     materials and surfaces. Compositions provide stably dispersed waterborne     superhydrophobic compositions comprising colloidal silica or     hydrophobically-modified fumed silicon dioxide (i.e., silica) and one or     more additional agents and/or compounds applied to semi-porous target     filter materials and surfaces. More particularly, the present     compositions and methods are optimized to provide one or more     superhydrophobic surfaces in layered filtration systems provided to users     as personal protection equipment ("PPE"). Compositions of the present     invention can be applied (e.g., via spray deposition, immersion, liquid     application, and the like) to one or more surfaces and allowed to air dry     or cured with heat treatment(s).</t>
  </si>
  <si>
    <t>US20220105367</t>
  </si>
  <si>
    <t>AEROSOL PROTECTION HELMET</t>
  </si>
  <si>
    <t>17/554892</t>
  </si>
  <si>
    <t>AEROCONTAIN TECHNOLOGIES INC</t>
  </si>
  <si>
    <t>AEROCONTAIN</t>
  </si>
  <si>
    <t>ANVARI; KIOMARS; (WALNUT CREEK, CA); SAHIHOLNASAB; SEYED VAHID; (RICHMOND, CA); FRANSEN; JOEL NICHOLAS; (RICHMOND, CA)</t>
  </si>
  <si>
    <t>Hygiene regulations and social distancing are very effective in blocking     short distance infections. During the lockdown, the distance rules can     usually be adhered to, but what happens when the actual lockdown is over,     and the people meet again in a confined space? Then additional effective     and efficient protection is essential to stabilize infection rates. Since     the viruses are spread by contact and droplet infection, technical     devices are required that effectively intervene in the chain of infection     and effectively block infection. An effective protection is the     respiratory mask as known since 100 years. This patent application discloses an alternative to mask that is an     aerosol protection helmet (APH) for various applications in the     environment. The aerosol protection helmet consists of adjustable air     sucking and blowing devices in different form factors based on the     application. The aerosol protection helmet protects against any aerosol     in the environment.</t>
  </si>
  <si>
    <t>US20220105366</t>
  </si>
  <si>
    <t>MASK STRUCTURE WITH EXTERNALLY CONNECTED FILTERING DEVICE</t>
  </si>
  <si>
    <t>17/488266</t>
  </si>
  <si>
    <t>LEE, KAI PAO</t>
  </si>
  <si>
    <t>LEE KAI</t>
  </si>
  <si>
    <t>LEE; Kai Pao; (Hsinchu City, TW); CHENG; Yuan Ju; (Kaohsiung City, TW); CHENG; Chih Yuan; (Kaohsiung City, TW); KAO; Chien Hsian; (New Taipei City, TW)</t>
  </si>
  <si>
    <t>A mask structure with an externally connected filtering device includes a     mask body, a unidirectional air seat valve, at least one connecting tube     and a filtering device. The mask body is made of an air-impermeable     material, can be provided with the unidirectional air seal valve thereon     and connected with the filtering device through the connecting tube, so     that the mask structure can filter and purify ambient air by the     filtering device, and deliver the filtered air to the inner side of the     mask body through the connecting tube for a user to inhale. The exhaled     air by the user can be expelled through the unidirectional air seal valve     to the outer side of the mask body.</t>
  </si>
  <si>
    <t>US20220105289</t>
  </si>
  <si>
    <t>METHOD AND SYSTEM FOR AUTOMATING OXYGEN MONITORING AND DOSING IN REAL TIME     FOR PATIENT ON OXYGEN THERAPY</t>
  </si>
  <si>
    <t>17/492822</t>
  </si>
  <si>
    <t>VANDERBILT UNIVERSITY</t>
  </si>
  <si>
    <t>Lancaster; Lisa Hood; (Nashville, TN)</t>
  </si>
  <si>
    <t>This system and method for automating oxygen monitoring and dosing in     real time for a patient on oxygen therapy is disclosed. The system     includes a flow regulator coupled to an oxygen source for operably     controlling a flow rate of oxygen from the oxygen source to the patient;     a wearable device configured to be worn by the patient for measuring     physiological parameters of the patient to monitor a physiological status     of the patient; and a controller in wireless communication with the     wearable device and the flow regulator for receiving the measured     physiological parameters from the wearable device, and controlling     operations of the flow regulator to regulate the flow rate of oxygen from     the oxygen source for providing a desired amount of oxygen to the patient     based on the physiological status of the patient.</t>
  </si>
  <si>
    <t>US20220105228</t>
  </si>
  <si>
    <t>System and Method for Disinfecting Indoor Environments</t>
  </si>
  <si>
    <t>17/494126</t>
  </si>
  <si>
    <t>PURETEK GROUP INC</t>
  </si>
  <si>
    <t>PURETEK</t>
  </si>
  <si>
    <t>Litvin; Michael; (Kinnelon, NJ)</t>
  </si>
  <si>
    <t>A61L 9/20 20130101;  A61L 2209/12 20130101;  A61L 2209/111 20130101;  G01P 13/00 20130101</t>
  </si>
  <si>
    <t>A system and method for disinfecting an indoor environment. The system     includes a user computer having a user app operably coupled with a     controller. The user computer communicates with the controller through a     network. A UV-C lamp and motion sensor are operably coupled with the     controller. The UV-C lamp is operable in a first mode when the indoor     environment is occupied to emit ultraviolet radiation to an upper section     of the indoor environment at a first level, and a second mode when the     indoor environment is unoccupied to emit ultraviolet radiation to     sections of the indoor environment beyond the upper section at a level     greater than the first level. The method includes the steps of     programming parameters for controlling the UV-C lamp remotely,     communicating to and storing the parameters on the controller, and     controlling the UV-C lamp for operation in the first and second modes.</t>
  </si>
  <si>
    <t>US20220105227</t>
  </si>
  <si>
    <t>DUAL CHAMBER ULTRA-VIOLET LED DEVICE FOR USE WITH FACE MASKS TO DISINFECT     END-USER'S INHALED AND EXHALED AIR</t>
  </si>
  <si>
    <t>17/490284</t>
  </si>
  <si>
    <t>A62B 18/10 20130101;  A62B 18/08 20130101;  A61L 2209/12 20130101;  A61L 9/20 20130101</t>
  </si>
  <si>
    <t>A breathing protective device including a breathing hose manifold, a     dual-chamber sterilization portion including at least one UVC LED lamp,     and an end cap. Further disclosed embodiments include, a divider     separating the dual-chamber sterilization portion into an intake chamber     and an exhaust chamber, an intake check valve in fluid communication with     the intake chamber and an inhale port on the breathing hose manifold, an     exhaust check valve in fluid communication with the exhaust chamber and     an exhale port on the breathing hose manifold, at least one UVC LED lamp     in the intake chamber, and at least one UVC LED lamp in the exhaust     chamber.</t>
  </si>
  <si>
    <t>US20220105225</t>
  </si>
  <si>
    <t>Smartphone Case With UV LED Sanitizer</t>
  </si>
  <si>
    <t>17/062486</t>
  </si>
  <si>
    <t>A61L 2202/11 20130101;  A61L 9/20 20130101;  A45C 2011/002 20130101;  H04M 1/17 20130101;  A45C 11/00 20130101;  A45C 15/00 20130101;  A61L 2202/23 20130101</t>
  </si>
  <si>
    <t>A protective smartphone case with UV LED sanitizer configured for     attachment to a smartphone includes a plastic smartphone case body having     a base, a top end, and a bottom end with four impact resistant sides     which form the perimeter of the said smartphone case body; a back cover     plate; a fixed bracket; a power connector; a touch switch module; a phone     power socket; and an LED ultraviolet light module. Use of the protective     smartphone case with UV LED sanitizer includes the steps of attaching a     smartphone to the plastic smartphone case body, pointing the LED     ultraviolet light module in the direction of the surface or object to be     disinfected, positioning the LED ultraviolet light module at an optimal     distance from the surface or object, engaging the touch switch module,     irradiating the surface or object for a recommended period of time and     disengaging the touch switch module.</t>
  </si>
  <si>
    <t>US20220105220</t>
  </si>
  <si>
    <t>APPARATUS, SYSTEM AND METHOD FOR ADAPTIVE EMISSION OF RADIATION IN     INTERIOR ENVIRONMENTS</t>
  </si>
  <si>
    <t>17/495658</t>
  </si>
  <si>
    <t>SK INNOVATION CO., LTD.</t>
  </si>
  <si>
    <t>SK INNOVATION</t>
  </si>
  <si>
    <t>Ufkes; Philip J.; (Sullivan's Island, SC); Deal; Jeffery L.; (Charleston, SC)</t>
  </si>
  <si>
    <t>A germicidal disinfection apparatus, system and method. Embodiments of     the present disclosure include an adaptive germicidal disinfection     apparatus, system and method comprising one or more sensors communicably     engaged with a controller being configured to control the operation of at     least one UV-C emitter. The sensors may be configured to detect various     signals from an interior environment and communicate such signals as     inputs to the controller. The controller may be configured to process the     inputs according to one or more data processing framework to assess and     determine a variety of disease control risk factors and trigger     conditions. The controller may be configured to configure one or more     modes of operation for the at least one UV-C emitter according to an     output of one or more data processing operations.</t>
  </si>
  <si>
    <t>US20220105213</t>
  </si>
  <si>
    <t>DEVICES AND METHODS FOR STERILIZING PROTECTIVE FACIAL MASKS AND MEDICAL     GARMENTS USING MICROWAVE ENERGY</t>
  </si>
  <si>
    <t>17/489839</t>
  </si>
  <si>
    <t>R. GUTTERMAN RESOURCES AND HOLDINGS LTD.</t>
  </si>
  <si>
    <t>GUTTERMAN RESOURCES AND</t>
  </si>
  <si>
    <t>Gutterman; Ron; (Kfar Daniel, IL)</t>
  </si>
  <si>
    <t>A61L 2/12 20130101;  A61L 2202/26 20130101;  A61L 2202/122 20130101;  A61L 2/07 20130101;  A61L 2202/15 20130101;  A61L 2/26 20130101</t>
  </si>
  <si>
    <t>The present invention discloses devices and methods for sterilizing     protective facial masks and medical garments using microwave energy.     Devices include: a fabric sterilization unit for serving as a housing; a     water basin disposed inside the sterilization unit, the water basin     configured for generating steam in the water basin when exposed to the     microwave energy; a nozzle array plate disposed inside the sterilization     unit above the water basin, the nozzle array plate configured for     increasing the steam pressure by restricting steam escape; an array of     steam-jet nozzles with angled upper sections configured for directing a     flow of high-pressure, high-temperature steam jets exiting from the     nozzles toward at least one fabric material; and material holders for     individually positioning and supporting the material such that the steam     jets impinge on the material for: sterilizing the material from microbial     transmission and/or reproduction; and enabling reusability of the     material as suitable Personal Protective Equipment (PPE).</t>
  </si>
  <si>
    <t>US20220105209</t>
  </si>
  <si>
    <t>DISPLAY DEVICE WITH ULTRAVIOLET GERMICIDAL LAMP</t>
  </si>
  <si>
    <t>17/337425</t>
  </si>
  <si>
    <t>OXTI CORPORATION</t>
  </si>
  <si>
    <t>OXTI</t>
  </si>
  <si>
    <t>Ho; Chih-Feng; (New Taipei City, TW)</t>
  </si>
  <si>
    <t>A61L 2202/11 20130101;  H05B 47/19 20200101;  A61L 2/10 20130101;  H05B 47/115 20200101;  A61L 2202/14 20130101</t>
  </si>
  <si>
    <t>The display device with an ultraviolet (UV) germicidal lamp includes a     display device, an UV germicidal lamp, a power electrically connected to     the UV germicidal lamp, a control circuit electrically connected to the     UV germicidal lamp, and a fixture member detachably fixing the UV     germicidal lamp to a circumferential rim of the display device. The     fixture member includes a base, a first clamp piece, and a second clamp     piece. The base is joined to the UV germicidal lamp. The first and second     clamp pieces are mounted at interval on the base, forming a clamp     interval in between. An elastic element is provided between the second     clamp piece and the base for forcing the second clamp piece towards the     first clamp piece. Therefore, by adjusting the clamp interval, the UV     germicidal lamp may be reliably clamped to the display device.</t>
  </si>
  <si>
    <t>US20220105135</t>
  </si>
  <si>
    <t>METHODS AND COMPOSITIONS FOR THE MODULATION OF OPIOID SIGNALING IN THE     TUMOR MICROENVIRONMENT</t>
  </si>
  <si>
    <t>17/494062</t>
  </si>
  <si>
    <t>BROAD INST INC; DANA FARBER CANCER INST INC; MASSACHUSETTS INST TECHNOLOGY; BRIGHAM &amp; WOMENS HOSPITAL INC</t>
  </si>
  <si>
    <t>BROAD INST INC; DANA FARBER CANCER INST INC; MASSACHUSETTS INST TECHNOLOGY; BRIGHAM WOMENS HOSPITAL</t>
  </si>
  <si>
    <t>Singer; Meromit; (Boston, MA); Regev; Aviv; (Cambridge, MA); Rozenblatt-Rosen; Orit; (Cambridge, MA); Mangani; Davide; (Boston, MA); Anderson; Ana Carrizosa; (Boston, MA); Kuchroo; Vijay K.; (Boston, MA); Huang; Linglin; (Boston, MA)</t>
  </si>
  <si>
    <t>C07K 16/2827 20130101;  A61K 45/06 20130101;  A61K 35/17 20130101;  A61P 35/00 20180101;  C07K 16/2818 20130101</t>
  </si>
  <si>
    <t>The present invention is generally directed to identifying genes and cell     types that are correlated with tumor progression in the tumor     microenvironment. PENK was identified as a therapeutic target that is     positively correlated with tumor time and size. Targeting PENK can     enhance anti-tumor immunity. Opioid signaling can be modulated to enhance     anti-tumor immunity. The present invention is also generally directed to     interacting cells in the tumor microenvironment and using the identified     interactions to enhance anti-tumor immunity in cancer. Identified     interactions can be modulated using therapeutic agents. Immune cells     resistant to suppression can be used for adoptive cell transfer.</t>
  </si>
  <si>
    <t>US20220105128</t>
  </si>
  <si>
    <t>METHODS OF TREATING VIRAL INFECTIONS AFFECTING THE RESPIRATORY TRACT USING     TOPICALLY ADMINISTERED LITHIUM AGENTS</t>
  </si>
  <si>
    <t>17/494230</t>
  </si>
  <si>
    <t>DEPARTMENT OF VETERANS AFFAIRS, THE</t>
  </si>
  <si>
    <t>DEPARTMENT VETERANS AFFAIRS</t>
  </si>
  <si>
    <t>Ganio; Carl; (Wilmington, NC)</t>
  </si>
  <si>
    <t>A61P 37/02 20180101;  A61K 33/14 20130101;  A61K 9/0073 20130101;  A61K 45/06 20130101</t>
  </si>
  <si>
    <t>This disclosure relates to topical lithium agents including inhalable     lithium agents for treating a viral infection characterized by a cytokine     storm in the respiratory tract of a subject such as a human. Topical     lithium formulations can be used to mitigate such viral infections,     including coronavirus infections.</t>
  </si>
  <si>
    <t>US20220105126</t>
  </si>
  <si>
    <t>COMPOSITION FOR PREVENTING AND TREATING MICROBIAL DISEASE</t>
  </si>
  <si>
    <t>17/492451</t>
  </si>
  <si>
    <t>Boulris, Craig Mercer</t>
  </si>
  <si>
    <t>BOULRIS CRAIG</t>
  </si>
  <si>
    <t>Boulris; Craig Mercer; (Danville, CA)</t>
  </si>
  <si>
    <t>A61K 31/10 20130101;  A61K 45/06 20130101;  A61K 33/04 20130101;  A61K 47/10 20130101</t>
  </si>
  <si>
    <t>A composition for preventing and treating microbial diseases may include     dimethyl sulfide (DMS); dimethyl sulfoxide (DMSO); and elemental sulfur.     The composition may also include methylsulfonylmethane, water,     surfactants, terpenes, terpenoids, thioterpenols, bronchodilators, and     yield enhancers. A method for preventing and treating microbial disease,     viruses, fungi, bacteria, and parasites may include administering a     prophylactically or therapeutically effective dosage of the composition     to a patient in need.</t>
  </si>
  <si>
    <t>US20220105119</t>
  </si>
  <si>
    <t>DELIVERY OF AEROSOLIZED MICROMOLAR COMPOSITION CONCENTRATIONS</t>
  </si>
  <si>
    <t>17/330485</t>
  </si>
  <si>
    <t>AMCYTE PHARMA INC.</t>
  </si>
  <si>
    <t>AMCYTE PHARMA</t>
  </si>
  <si>
    <t>Vega; Julio Cesar; (Buenos Aires, AR)</t>
  </si>
  <si>
    <t>Formulations and pressurized devices able to get Ivermectin     concentrations in the micromolar range in the upper and lower respiratory     tract and the oropharyngeal cavity are disclosed. The formulations and     devices are used for the prevention or treatment of respiratory diseases     caused by SARS CoV 2, such as pandemic COVID 19, and other viruses for     which Ivermectin exerts viral inactivation at this concentration range.</t>
  </si>
  <si>
    <t>US20220105110</t>
  </si>
  <si>
    <t>COMPOSITION FOR THE TREATMENT OF COVID-19</t>
  </si>
  <si>
    <t>17/157107</t>
  </si>
  <si>
    <t>LALVANI, Kartar Singh; TAYLOR, Robert; SHELATKAR, Rohit</t>
  </si>
  <si>
    <t>LALVANI KARTAR</t>
  </si>
  <si>
    <t>LALVANI; Kartar Singh; (London, GB); TAYLOR; Robert; (London, GB); SHELATKAR; Rohit; (London, GB)</t>
  </si>
  <si>
    <t>A61K 31/593 20130101;  A61K 33/30 20130101;  A61K 31/137 20130101;  A61K 31/375 20130101;  A61K 31/7034 20130101;  A61K 31/455 20130101;  A61K 31/616 20130101;  A61K 33/18 20130101;  A61K 31/5415 20130101;  A61K 36/76 20130101;  A61K 33/04 20130101</t>
  </si>
  <si>
    <t>A formulation provides a unique synergistic composition for the treatment     of the novel Coronavirus (COVID-19). Due to multiple mechanisms and     synergy of action of the ingredients involved, using drug and nutrient     therapy to support the body's natural immune response, it can provide a     significant advantage to currently used therapies and may also be     administered prophylactically. In its optimal embodiment the composition     can be prepared in solid (tablet or capsule) or liquid form, containing     Aspirin or any natural salicinoid, Phenylephrine, Promethazine, Vitamin     D, Vitamin C, Niacinamide, Iodine Zinc and Selenium.</t>
  </si>
  <si>
    <t>US20220105109</t>
  </si>
  <si>
    <t>METHODS OF TREATING COVID-19 AND COMPOSITIONS THEREFOR</t>
  </si>
  <si>
    <t>17/113163</t>
  </si>
  <si>
    <t>NEGRIN BARRY E</t>
  </si>
  <si>
    <t>NEGRIN BARRY</t>
  </si>
  <si>
    <t>Negrin; Barry E.; (New York, NY)</t>
  </si>
  <si>
    <t>Methods and compositions for treating COVID-19 in humans, particularly     for treating at least one respiratory symptom, are disclosed. The     composition includes a therapeutically effective amount of     acetylsalicylic acid (ASA), expected to be in the range of approximately     0.4-4.0 grams per day. The composition may also include a therapeutically     effective amount of famotidine, expected to be in the range of     approximately 10-160 milligrams per day.</t>
  </si>
  <si>
    <t>US20220105108</t>
  </si>
  <si>
    <t>PERIVASCULAR ANTI-INFLAMMATORY THERAPY FOR VENOUS THROMBOSIS</t>
  </si>
  <si>
    <t>17/491036</t>
  </si>
  <si>
    <t>MERCATOR MEDSYSTEMS, INC.</t>
  </si>
  <si>
    <t>MERCATOR MEDSYSTEMS</t>
  </si>
  <si>
    <t>SEWARD; Kirk P.; (Brooklyn, NY)</t>
  </si>
  <si>
    <t>A61P 7/04 20180101;  A61K 31/573 20130101;  A61K 9/0024 20130101</t>
  </si>
  <si>
    <t>Disclosed herein are methods, devices, systems, and kits for reducing     inflammation and rate of progression to post-thrombotic syndrome (PTS) in     individuals who have experienced venous thrombosis. Provided herein are     approaches for local delivery of therapeutic agents to reduce     inflammation and resolve clotting in affected veins in limbs. A catheter     is positioned within the affected vein, and a composition comprising one     or more therapeutic agents is injected into the perivenous tissue through     the wall of the vein. The puncturing to inject may be achieved by an     expanding balloon on the distal end of the catheter.</t>
  </si>
  <si>
    <t>US20220105077</t>
  </si>
  <si>
    <t>17/552609</t>
  </si>
  <si>
    <t>US20220105057</t>
  </si>
  <si>
    <t>METHODS OF TREATMENT</t>
  </si>
  <si>
    <t>17/551922</t>
  </si>
  <si>
    <t>FIRST WAVE BIO, INC.</t>
  </si>
  <si>
    <t>FIRST WAVE BIO</t>
  </si>
  <si>
    <t>Glick; Gary D.; (Ann Arbor, MI)</t>
  </si>
  <si>
    <t>A61K 31/685 20130101;  A61K 31/4706 20130101;  A61K 31/7052 20130101;  A61K 31/135 20130101;  A61K 31/167 20130101</t>
  </si>
  <si>
    <t>This disclosure features compounds and compositions that are useful in     methods of treating coronavirus infections (e.g., useful in methods of     treating COVID-19) in a subject in need thereof. The methods include     administering to the subject niclosamide compounds (or pharmaceutically     acceptable salts and/or co-crystals thereof, e.g., niclosamide). In some     embodiments, the niclosamide compounds have one or more properties that     include, but are not limited to: a particular purity or a particular     particle size. In an aspect, the niclosamide compounds described herein     (e.g., niclosamide) can form part of compositions, dosage forms (e.g.,     unit dosage forms), and the like, which are suitable for respiratory     administration (e.g., via inhalation and/or intranasally). In another     aspect, the niclosamide compounds described herein (e.g., niclosamide)     can form part of compositions, dosage forms (e.g., unit dosage forms),     and the like, which are suitable for administration to the GI tract     (e.g., orally or rectally such as via enema)).</t>
  </si>
  <si>
    <t>US20220105044</t>
  </si>
  <si>
    <t>MODIFIED RELEASE COMPOSITIONS OF A GAMMA-HYDROXYBUTYRIC ACID DERIVATIVE</t>
  </si>
  <si>
    <t>17/494749</t>
  </si>
  <si>
    <t>XWPHARMA LTD.</t>
  </si>
  <si>
    <t>XWPHARMA</t>
  </si>
  <si>
    <t>KARABORNI; SAMI; (CUPERTINO, CA); CANAFAX; DANIEL M.; (HALF MOON BAY, CA); XIANG; JIA-NING; (FREMONT, CA); XIANG; WILLIAM W.; (FREMONT, CA); TIEN; JAMES; (WUHAN, CN); THIEL; STEFANIE; (BINZEN, DE); POLLINGER; NORBERT; (BINZEN, DE); GRAVE; ANNETTE; (BINZEN, DE)</t>
  </si>
  <si>
    <t>A61K 9/2866 20130101;  A61K 9/2054 20130101;  A61K 9/2009 20130101;  A61K 9/2013 20130101</t>
  </si>
  <si>
    <t>Pharmaceutical granulations having a functional coating surrounding a     core containing 4-((L-valyl)oxy)butanoic acid are disclosed. The     functional coatings provide for immediate release or modified release of     4-((L-valyl)oxy)butanoic acid. The pharmaceutical granulations can be     used in oral pharmaceutical compositions.</t>
  </si>
  <si>
    <t>US20220104983</t>
  </si>
  <si>
    <t>NEGATIVE PRESSURE ROOM WITH SAFETY MANAGEMENT SYSTEM</t>
  </si>
  <si>
    <t>17/117531</t>
  </si>
  <si>
    <t>KANG; Tae Young; (Gyeonggi-do, KR); PARK; Tae Jun; (Gwangju, KR)</t>
  </si>
  <si>
    <t>A61L 9/14 20130101;  F24F 2221/225 20130101;  F24F 11/0001 20130101;  A61G 10/023 20130101;  A61L 2209/134 20130101;  F24F 2110/40 20180101;  F24F 3/167 20210101;  A61L 2209/14 20130101;  F24F 2120/20 20180101;  A61G 2203/46 20130101</t>
  </si>
  <si>
    <t>A negative pressure room with a safety management system according to an     embodiment of the present disclosure includes an interior space being     under negative pressure and is provided in a movable form, so that the     negative pressure room can be constructed promptly and economically in     the event of a spreading infection, thereby enabling rapid and efficient     quarantine treatment and observation of patients with confirmed and     suspected infections, the negative pressure room is isolated from a     general ward, thereby preventing the possibility of further infection to     other patients or medical staff, and real-time monitoring whether     negative pressure is appropriately generated in the interior space, air     quality in the interior space, and the state of an isolated patient is     enabled.</t>
  </si>
  <si>
    <t>US20220104982</t>
  </si>
  <si>
    <t>PORTABLE NEGATIVE PRESSURE ISOLATION UNIT</t>
  </si>
  <si>
    <t>17/490880</t>
  </si>
  <si>
    <t>MACH32 INC.</t>
  </si>
  <si>
    <t>MACH32</t>
  </si>
  <si>
    <t>CURIAL; Marc; (Edmonton, CA); TERRIFF; Chris; (Edmonton, CA); COMEAU; Will; (Edmonton, CA); MCCONKEY; Ryley; (Waterloo, CA)</t>
  </si>
  <si>
    <t>The present disclosure provides an isolation unit to protect uninfected     persons from a patient infected with a respiratory disease during a use     case. The isolation unit generally includes a frame and cover configured     to form an enclosed space surrounding the head, neck and shoulders of the     patient, the enclosed space containing air and a fan/filter system in     fluid communication with the enclosed space and which includes a vacuum     to create a negative pressure within the enclosed space to withdraw air     in the enclosed space to the fan/filter system and a filter to remove any     contaminants in the air.</t>
  </si>
  <si>
    <t>US20220104778</t>
  </si>
  <si>
    <t>Systems and Methods for a Personal Diagnostic Device</t>
  </si>
  <si>
    <t>17/450114</t>
  </si>
  <si>
    <t>KEYSHARE INNOVATION GROUP LLC</t>
  </si>
  <si>
    <t>KEYSHARE INNOVATION</t>
  </si>
  <si>
    <t>Safari; Robert; (Seal Beach, CA)</t>
  </si>
  <si>
    <t>A61L 2202/24 20130101;  A61B 5/746 20130101;  A61B 5/744 20130101;  A61B 5/7405 20130101;  G16H 10/60 20180101;  A61B 5/0002 20130101;  A61B 2562/0271 20130101;  A61B 5/748 20130101;  A61B 5/02444 20130101;  G16H 80/00 20180101;  A61B 5/7445 20130101;  A61B 5/14552 20130101;  A61B 5/02055 20130101;  G16H 40/63 20180101;  A61L 2/10 20130101;  A61B 7/02 20130101;  A61L 2202/11 20130101</t>
  </si>
  <si>
    <t>The present invent is directed to a diagnostic platform that can be used     to provide efficient and safe healthcare. The diagnostic platform has a     database and back-end server for storing and processing healthcare     information, a display for conveying information to a user, and a user     interface for interacting with a user that includes an avatar that can     assist the user. A diagnostic device including a temperature sensor, a     heart rate sensor, a pulse oximeter sensor; and a stethoscope may be used     to obtain healthcare information from the user. A system of electronic     keys and electronic key readers may be integrated into the diagnostic     platform to provide contract tracing functionality.</t>
  </si>
  <si>
    <t>US20220104726</t>
  </si>
  <si>
    <t>METHOD AND DEVICES FOR DETECTING VIRUSES AND BACTERIAL PATHOGENS</t>
  </si>
  <si>
    <t>17/504421</t>
  </si>
  <si>
    <t>HUMMER GREGORY J</t>
  </si>
  <si>
    <t>HUMMER GREGORY</t>
  </si>
  <si>
    <t>Hummer; Gregory J.; (Shaker Heights, OH)</t>
  </si>
  <si>
    <t>The embodiments disclose a method including making electrodes using an     electrically conductive material for impedimetric detection of analytical     targets in an electrochemical sensing platform device, collecting patient     samples in a solution compartment of the electrochemical sensing platform     device, binding primers and aptamers to electrodes for functionalizing     electrodes for detecting and binding targeted viruses and bacterial     pathogens, incubating oral fluid samples in the solution compartment     using a heater, measuring electrode impedance changes, recording measured     electrode impedance changes in a memory device, and integrating wireless     technologies into the electrochemical sensing platform device configured     for transmitting recorded measured data.</t>
  </si>
  <si>
    <t>US20220104725</t>
  </si>
  <si>
    <t>SCREENING OF INDIVIDUALS FOR A RESPIRATORY DISEASE USING ARTIFICIAL     INTELLIGENCE</t>
  </si>
  <si>
    <t>17/374843</t>
  </si>
  <si>
    <t>Imran, Ali; Posokhova, Iryna; Rizwan, Ali</t>
  </si>
  <si>
    <t>IMRAN ALI</t>
  </si>
  <si>
    <t>Imran; Ali; (Bixby, OK); Posokhova; Iryna; (Kivsharivk, UA); Rizwan; Ali; (Lahore, PK)</t>
  </si>
  <si>
    <t>An artificial intelligence-based system and method for scalable screening     of individuals for respiratory infection, such as COVID-19. The system is     trained to distinguish distinct latent features of cough sounds produced     by a COVID-19 infected person from cough sounds produced by patients     suffering from any other respiratory infection or involuntary cough     sounds produced by a healthy person. Cough sound samples from individuals     can be remotely collected and evaluated by the system for likelihood of     the COVID-19 infection. Additionally, images of affected body parts,     biomarkers, metadata, and other respiratory sound samples can also be     used for screening.</t>
  </si>
  <si>
    <t>US20220104639</t>
  </si>
  <si>
    <t>METHOD AND DEVICE FOR THE PREVENTION OF THE SPREAD OF A COMMUNICABLE     DISEASE</t>
  </si>
  <si>
    <t>16/948845</t>
  </si>
  <si>
    <t>MENENDEZ ELIZABETH M</t>
  </si>
  <si>
    <t>MENENDEZ ELIZABETH</t>
  </si>
  <si>
    <t>Menendez; Elizabeth M.; (Kingston, NY)</t>
  </si>
  <si>
    <t>A61H 37/00 20130101;  A61G 13/009 20130101;  A47G 9/007 20130101;  A61H 2201/01 20130101;  A61H 2201/1607 20130101</t>
  </si>
  <si>
    <t>A device and method for preventing the spread of a communicable disease     during a close proximity services session is provided. The method     includes assembling a device to a face cradle of a massage table prior to     the close proximity services session, wherein the device captures one or     more respiratory droplets excreted by a client during the close proximity     services session. The device includes a closed sidewall, an open     sidewall, a top portion mechanically connected to the closed and to the     open sidewall, wherein the top portion includes a securing means for     securing the top portion to the face cradle and a bottom portion     mechanically connected to the closed sidewall.</t>
  </si>
  <si>
    <t>US20220104564</t>
  </si>
  <si>
    <t>Systems, Devices, and/or Methods for Eradicating Viruses</t>
  </si>
  <si>
    <t>17/207709</t>
  </si>
  <si>
    <t>PAPYRUS TECHNOLOGY CORP.</t>
  </si>
  <si>
    <t>PAPYRUS</t>
  </si>
  <si>
    <t>Ibrahim; Ahmed; (Westerville, OH); Ibrahim; Yasir; (Westerville, HO); Ibrahim; Sameh; (Westerville, OH)</t>
  </si>
  <si>
    <t>A41D 13/1192 20130101;  G02F 1/133302 20210101</t>
  </si>
  <si>
    <t>Certain exemplary embodiments can provide a face mask comprising a liquid     crystal sheet and a portion constructed to receive a solution. The     solution comprises glycerol and sodium chloride. The liquid crystal sheet     is constructed to detect a body temperature of a wearer of the face mask.     The liquid crystal sheet is constructed to alert the user if the body     temperature if the wearer is above a predetermined threshold.</t>
  </si>
  <si>
    <t>US20220104563</t>
  </si>
  <si>
    <t>Face Covering with Adjustable Securement System</t>
  </si>
  <si>
    <t>17/495987</t>
  </si>
  <si>
    <t>McKelley, Angelyn; McKelley, Maurice</t>
  </si>
  <si>
    <t>MCKELLEY ANGELYN</t>
  </si>
  <si>
    <t>McKelley; Angelyn; (Roy, UT); McKelley; Maurice; (Roy, UT)</t>
  </si>
  <si>
    <t>This present invention relates to a novel facemask with an adjustable     securement system that is designed to cover a wearer's face, nose, and     chin comfortably, and hang from the neck when not in use. The facemask     system utilizes a unique combination of face covering tunnels, a single     elastic cord and a cord lock to form one or two loops for securing the     system around the wearer's head, and eliminates the issues and discomfort     associated with typical facemask ear loops. In a further embodiment of     the invention, the face covering portion of the novel facemask with an     adjustable securement system is further comprised of an interior pocket     for holding a replaceable scented or unscented air filter that increases     the overall filtering efficiency of the system.</t>
  </si>
  <si>
    <t>US20220104561</t>
  </si>
  <si>
    <t>Particle Guard System and Apparatus</t>
  </si>
  <si>
    <t>17/064278</t>
  </si>
  <si>
    <t>Meyer, Jeffrey Thomas</t>
  </si>
  <si>
    <t>MEYER JEFFREY</t>
  </si>
  <si>
    <t>Meyer; Jeffrey Thomas; (Breckenridge, CO)</t>
  </si>
  <si>
    <t>The present disclosure provides generally for a particle guard system and     apparatus. The system may comprise temples, shield, and nose bridge. A     particle guard may prevent or limit aspiration from entering the user's     external environment via shield that covers the nose and mouth. The     particle guard may comprise interchangeable components for     personalization and various utility. The temples and the nose bridge may     be available in various colors and styles for customization of the     particle guard. The particle guard may possess attachments for various     utility. Temples may comprise integrated attachments. For example,     temples may contain a wireless signal device for external communication.     The particle guard may comprise a sanitation system. Where the system     includes external covering, shield may interface with the external     covering via opening in the external covering.</t>
  </si>
  <si>
    <t>US20220104488</t>
  </si>
  <si>
    <t>ANTIVIRAL COMPOSITIONS AND RELATED METHODS</t>
  </si>
  <si>
    <t>17/494509</t>
  </si>
  <si>
    <t>Bromberg; Lev E.; (Salem, MA); Hatton; T. Alan; (Sudbury, MA)</t>
  </si>
  <si>
    <t>A01P 1/00 20210801;  A01N 43/50 20130101;  C08F 226/06 20130101</t>
  </si>
  <si>
    <t>Polyamines are water-soluble polyelectrolytes with the amino groups that     can be used to attach the polymers onto functional surfaces of fibrous     materials. In addition, polyamines can be readily modified by     (super)nucleophilic groups such as (alkyl)aminopyridines that enhance the     polymer's ability to promote hydrolysis of organophosphorous chemical     warfare agents. Furthermore, attachment of hydantoin moieties augments     the number of the imide, amide, or amine groups on the polyamine's chain,     which provides oxidizing properties to the resulting modified polyamine     after halogenation. In one aspect, disclosed herein are polyamines with     side chains modified to contain both (4-aminopyridine, APy) and     5-(4-hydroxybenzylidene)hydantoin (HBH) functionalities with enhanced     content of the active bromine. Viricidal activity of the APy- and     HBH-modified polyallylamine against human coronavirus (type 229E) was     tested both in solution and on nylon-cotton fabric. The polymers are     effective at inactivating the coronavirus, at both low concentrations and     short exposure times.</t>
  </si>
  <si>
    <t>US20220104008</t>
  </si>
  <si>
    <t>DEVICES, SYSTEMS AND METHODS FOR CLOSE CONTACT TRACING WITH STRONG PRIVACY     PROTECTION</t>
  </si>
  <si>
    <t>17/217775</t>
  </si>
  <si>
    <t>Infineon Technologies</t>
  </si>
  <si>
    <t>INFINEON</t>
  </si>
  <si>
    <t>Luo; Hui; (Marlboro, NJ); Medapalli; Kamesh; (San Jose, CA)</t>
  </si>
  <si>
    <t>G06Q 30/0251 20130101;  H04L 2209/80 20130101;  H04L 9/30 20130101;  H04W 12/06 20130101;  G16H 50/80 20180101;  H04W 12/04 20130101;  H04W 4/80 20180201;  G06Q 50/265 20130101;  G01S 1/0428 20190801;  H04W 12/02 20130101;  H04W 4/029 20180201;  H04W 12/61 20210101;  H04W 12/033 20210101;  G16H 40/20 20180101;  H04W 76/10 20180201</t>
  </si>
  <si>
    <t>A method can include, by operation of a user device, receiving beacon     data via a wireless signal. Beacon data can include unencrypted data that     includes a key identification (ID) corresponding to a private key/public     key pair, a time value, and a location value. Beacon data can also     include encrypted data that includes at least a beacon ID, a beacon time     value, and a beacon location value. If the unencrypted time value is     within a predetermined range of a current time value of the user device,     the beacon data can be stored in a user record with a user ID.     Periodically, the user record can be uploaded to a tracking system.     Corresponding devices and systems are also disclosed.</t>
  </si>
  <si>
    <t>US20220103922</t>
  </si>
  <si>
    <t>SENSOR SYSTEMS AND METHODS FOR CHARACTERIZING HEALTH CONDITIONS</t>
  </si>
  <si>
    <t>17/546168</t>
  </si>
  <si>
    <t>LEVEL A, L.L.C.</t>
  </si>
  <si>
    <t>LEVEL</t>
  </si>
  <si>
    <t>JUMBE; Nelson L.; (Mountain View, CA); SCHUH; Andreas; (Mountain View, CA); REXELIUS; Peter; (Mountain View, CA); MORIMOTO; Michael; (Mountain View, CA); KATSIS; Dimosthenis; (Mountain View, CA); KNEZEVIC; Nikola; (Mountain View, CA); KRAWCZYK; Steve; (Mountain View, CA); HAMMOND; Kevin; (Mountain View, CA); KRAWIEC; Krzysztof; (Mountain View, CA); KIRKOS; Gregory A.; (Mountain View, CA)</t>
  </si>
  <si>
    <t>H04R 9/025 20130101;  A61B 5/0002 20130101;  G10L 25/66 20130101;  A61B 2560/0214 20130101;  H04R 1/04 20130101;  A61B 8/488 20130101;  H04R 9/08 20130101;  A61B 2562/0219 20130101;  A61B 2560/0257 20130101;  G01P 15/08 20130101;  A61B 2560/0431 20130101;  A61B 5/412 20130101;  H04R 1/46 20130101;  A61B 5/277 20210101;  A61B 5/0531 20130101;  A61B 2562/0204 20130101;  A61B 5/318 20210101;  H04R 9/045 20130101;  A61B 2560/0443 20130101;  A61B 2560/0252 20130101;  G01P 1/00 20130101;  A61B 5/7267 20130101;  A61B 7/04 20130101</t>
  </si>
  <si>
    <t>A sensing system comprising a hand-held sensing device with a     vibracoustic sensor module (VSM). The VSM comprises a voice coil     component comprising a coil holder supporting wire windings; a magnet     component comprising a magnet supported by a frame, a magnet gap     configured to receive at least a portion of the voice coil component in a     spaced and moveable manner; a connector connecting the voice coil     component to the magnet component, the connector being compliant and     permitting relative movement of the voice coil component and the magnet     component; a diaphragm configured to induce a movement of the voice coil     component in the magnet gap responsive to incident acoustic waves; a     housing for retaining the vibroacoustic sensor module having a handle end     and a sensor end, the sensor end having an opening, the VSM positioned     such that at least a portion of the diaphragm extends across the opening.</t>
  </si>
  <si>
    <t>US20220103603</t>
  </si>
  <si>
    <t>SYSTEM AND METHOD OF INTELLIGENTLY SHARING CONFERENCE CONTENT</t>
  </si>
  <si>
    <t>16/948781</t>
  </si>
  <si>
    <t>RINGCENTRAL, INC.</t>
  </si>
  <si>
    <t>RINGCENTRAL</t>
  </si>
  <si>
    <t>Vendrow; Vlad; (Reno, NV)</t>
  </si>
  <si>
    <t>A computer-implemented method for sharing conference content is provided.     The method comprises receiving a share input from a first device     corresponding to a participant of a conference session, determining     content for sharing using communication information associated with the     participant, determining that the content is available through a second     device and sharing the content using the second device.</t>
  </si>
  <si>
    <t>US20220103200</t>
  </si>
  <si>
    <t>FACE BARRIER COMMUNICATION SYSTEM, AN ATTACHABLE MICROPHONE AND SPEAKER     FOR USE WITH THE SYSTEM, AND A COMMUNICATION APPLICATION FOR USE WITH THE     SYSTEM</t>
  </si>
  <si>
    <t>17/489570</t>
  </si>
  <si>
    <t>Justiss, Joel; Justiss, Lisa</t>
  </si>
  <si>
    <t>JUSTISS JOEL</t>
  </si>
  <si>
    <t>Justiss; Joel; (Colleyville, TX); Justiss; Lisa; (Colleyville, TX)</t>
  </si>
  <si>
    <t>H04B 2001/3866 20130101;  H04W 4/80 20180201;  H04R 1/025 20130101;  A41D 13/11 20130101;  H04B 1/385 20130101;  H04R 1/083 20130101;  H04R 2420/07 20130101</t>
  </si>
  <si>
    <t>The disclosure provides a communication system that can be used with a     face barrier to improve communication. The communication system can     connect two communication devices via a short range wireless network,     such as a Bluetooth compliant connection. The communication system can     include, for example: (1) a microphone and (2) a first computing device     configured to receive a first audio signal from the microphone and     transmit the first audio signal to a speaker of a second computing     device, and configured to receive a second audio signal from a microphone     of the second computing device via the short range wireless system and     transmit the second audio signal to a speaker associated with the first     computing device, wherein each receive and transmit is via a short range     wireless communication system. A protective device for a user is also     disclosed.</t>
  </si>
  <si>
    <t>US20220102012</t>
  </si>
  <si>
    <t>Forecasting</t>
  </si>
  <si>
    <t>SYSTEMS AND METHODS FOR PREDICTIVE MODELING OF PEOPLE MOVEMENT AND DISEASE     SPREAD UNDER COVID AND PANDEMIC SITUATIONS</t>
  </si>
  <si>
    <t>17/491215</t>
  </si>
  <si>
    <t>ARIZONA BOARD OF REAGENTS ON BEHALF OF THE UNIVERSITY OF ARIZONA</t>
  </si>
  <si>
    <t>ARIZONA BOARD REAGENTS BEHALF UNIVERSITY ARIZONA</t>
  </si>
  <si>
    <t>Son; Young-Jun; (Tucson, AZ); Jain; Saurabh; (Tucson, AZ); Chowdhury; Bijoy Dripta Barua; (Tucson, AZ); Islam; Md Tariqul; (Tucson, AZ); Chen; Yijie; (Tucson, AZ)</t>
  </si>
  <si>
    <t>G16H 50/80 20180101;  G16H 50/30 20180101;  G16H 50/50 20180101;  G06F 16/29 20190101</t>
  </si>
  <si>
    <t>Systems and methods are described for agent-based simulation of each     individual's movements in order to monitor the propagation of a disease.     An agent-based simulation model has been exemplarily constructed, which     is mainly comprised of two parts: student mobility model and disease     propagation model. In the student mobility model, movements of students     are modeled based on the GIS map (viz. routes, distances) and their daily     schedules (e.g. dorms and classrooms/buildings). The disease propagation     model represents students' health status (viz. susceptible,     pre-symptomatic, asymptomatic, quarantine, isolation, and recovered)     based on different factors such as the number of infected students     attending the class or living in a dorm, classroom/dorm features (e.g.     size, humidity, ventilation), probabilities of disease transmissions     (e.g. droplet, airborne) in classrooms based on a dose-response model,     probabilities of disease transmissions in dorms based on cohort studies,     and mask wearing condition and effectiveness.</t>
  </si>
  <si>
    <t>US20220102011</t>
  </si>
  <si>
    <t>Outbreaks</t>
  </si>
  <si>
    <t>PREDICTIVE DATA ANALYSIS TECHNIQUES FOR CROSS-TREND DISEASE TRANSMISSION     DETECTION</t>
  </si>
  <si>
    <t>17/363687</t>
  </si>
  <si>
    <t>UNITEDHEALTH GROUP INCORPORATED</t>
  </si>
  <si>
    <t>UNITEDHEALTH</t>
  </si>
  <si>
    <t>Stroh; Alison R.; (Minnetonka, MN); Papoyan; Elya; (Glendale, CA); Wedam; Terence D.; (Klamath Falls, OR); Nation; Robert J.; (Rancho Palos Verdes, CA); Dion; Stephen R.; (Reading, MA); Ahmed; Salman; (Hyderabad, IN)</t>
  </si>
  <si>
    <t>Various embodiments of the present invention provide methods, apparatus,     systems, computing devices, computing entities, and/or the like for     performing predictive data analysis using cross-trend disease     transmission detection. Certain embodiments of the present invention     utilize systems, methods, and computer program products that perform     cross-trend disease transmission predictive data analysis by utilizing a     predictive data analysis user interface configured to depict interactions     between a case-based transmission rate trend user interface element, a     superior domain death-based transmission rate trend user interface     element, and an inferior domain death-based transmission rate user     interface using case-based confidence interval user interface elements,     superior domain death-based transmission rate user interface elements,     and inferior domain death-based transmission rate user interface     elements.</t>
  </si>
  <si>
    <t>US20220101992</t>
  </si>
  <si>
    <t>SENSOR PATCH AND RELATED SMART DEVICE, SYSTEMS, AND METHODS</t>
  </si>
  <si>
    <t>17/492657</t>
  </si>
  <si>
    <t>PB, INC</t>
  </si>
  <si>
    <t>PB</t>
  </si>
  <si>
    <t>Porter; Alexander D.; (Sammamish, WA); Daoura; Daniel J.; (Renton, WA)</t>
  </si>
  <si>
    <t>In an embodiment, an apparatus, such as a sensor package, includes a     sensor, an antenna, and a power circuit. The package is configured for     attachment to an object or a subject, for example a patient in need of     clinical monitoring. The sensor package is configured to sense a     condition or conditions related to the object or subject, and configured     to generate a sense signal according to the sensed condition. The sensor     patch may include a dual power source and means for switching between     power sources, such as NFC and battery. The sensor patch may also include     dual radios. As practiced, an NFC radio can be supplemented with a     Bluetooth or other LAN radio for data logging. Systems for monitoring     sensor patches may include methods for monitoring or tracking location of     the patches. In one instance, patches worn by patients are used to triage     patients and remotely monitor one or more clinical signs and radio     proximity; the system notifies caregivers in real time if the clinical     data is indicative of a worsening condition and guides the caregivers to     the patient by the shortest possible path, even in a busy facility such     as an emergency room.</t>
  </si>
  <si>
    <t>US20220101674</t>
  </si>
  <si>
    <t>TRAVELER CONTROL SYSTEM</t>
  </si>
  <si>
    <t>17/430830</t>
  </si>
  <si>
    <t>MICHINOKU SHIGENKAIHATSU CO., LTD.</t>
  </si>
  <si>
    <t>MICHINOKU SHIGENKAIHATSU</t>
  </si>
  <si>
    <t>TSUKIDATE; Junichi; (HACHINOHE-SHI, AOMORI, JP)</t>
  </si>
  <si>
    <t>G07C 9/20 20200101;  G06Q 50/265 20130101</t>
  </si>
  <si>
    <t>A traveler control system includes: a recording medium carried by a     traveler, the recording medium configured to store certification     information of not having a pathogen (CIONHAP) which proves that the     traveler does not have a particular pathogen and expiration time     information (ETI) of the CIONHAP; an information recording apparatus     managed by an administrator of CIONHAP who has authority to issue the     CIONHAP and ETI thereof, the information recording apparatus configured     to store the CIONHAP and the ETI of the CIONHAP in the recording medium;     and a gate apparatus configured to, when the traveler is passing the gate     apparatus, acquire as input the CIONHAP and ETI of the CIONHAP from the     recording medium, and allow the traveler to pass the gate apparatus only     if the presence of the CIONHAP is confirmed and expiration time indicated     by the ETI of the CIONHAP has not passed yet when the information is     input.</t>
  </si>
  <si>
    <t>US20220101469</t>
  </si>
  <si>
    <t>SYSTEMS AND METHODS FOR A CONTACTLESS VISITOR  CHECK-IN</t>
  </si>
  <si>
    <t>17/039152</t>
  </si>
  <si>
    <t>D'Souza; Derric; (Bentonville, AR); Goecke; Danika Alleen; (Lowell, AR)</t>
  </si>
  <si>
    <t>G06Q 10/1095 20130101;  G06K 7/1417 20130101;  G06Q 30/0185 20130101;  G06Q 50/265 20130101;  G06F 3/1204 20130101;  G06F 3/1268 20130101;  H04L 9/088 20130101;  G07C 9/29 20200101;  G06F 3/1292 20130101;  G06Q 2220/00 20130101</t>
  </si>
  <si>
    <t>A system including one or more processors and one or more non-transitory     computer-readable media storing computing instructions configured to run     on the one or more processors and perform one or more processors and     perform: transmitting an invitation to a mobile application on a mobile     device of a user, wherein the invitation authorizes the mobile     application on the mobile device to be used to check-in to a facility;     generating, by a visitor application, an image that is displayed on a     kiosk at an entrance of the facility; receiving, from the mobile device,     image data of the image, as scanned by the mobile application from the     kiosk, and mobile application data; validating whether the mobile     application data and the image data satisfy one or more criteria; and     when the one or more criteria are satisfied, authorizing the user to     access the facility. Other embodiments are disclosed.</t>
  </si>
  <si>
    <t>US20220101413</t>
  </si>
  <si>
    <t>METHODS AND A SYSTEM OF ITEM NUTRITION INFORMATION PROCESSING</t>
  </si>
  <si>
    <t>17/036103</t>
  </si>
  <si>
    <t>Morgan; Kip; (Atlanta, GA); Bennett; Gina Torcivia; (Lawrenceville, GA); Gardner; Noah Tyler; (Dacula, GA); Kadry; Aleah Jean; (Atlanta, GA); Lee; Kelli; (Atlanta, GA)</t>
  </si>
  <si>
    <t>G06Q 10/087 20130101;  G06Q 30/0239 20130101;  G06V 30/224 20220101;  G06Q 30/0635 20130101;  G06F 9/541 20130101</t>
  </si>
  <si>
    <t>Preferences with respect nutrition and ingredients are established for a     user. The preferences are managed and stored on a mobile device. Images     of nutrition and ingredient information are captured and analyzed against     the preferences. Any ingredient for an item associated with the images     that do not conform to the preferences are flagged and the user notified.     The user is provided an option to receive a substitute item that does     conform with the preferences. In an embodiment, a discount is provided to     the user for incentivizing the user to select the substitute item.</t>
  </si>
  <si>
    <t>US20220101305</t>
  </si>
  <si>
    <t>MOBILE NAVIGATIONAL CONTROL OF TERMINAL USER INTERFACE</t>
  </si>
  <si>
    <t>17/036074</t>
  </si>
  <si>
    <t>Morgan; Kip; (Atlanta, GA); Amin; Ankit Madhusudan; (Snellville, GA); Sreeraman; Meenakshi; (Waxhaw, NC); Bennett; Gina Torcivia; (Lawrenceville, GA); Kadry; Aleah Jean; (Atlanta, GA); Lasater; Zachary Taylor; (Atlanta, GA); Poston; Jacob Alexander; (Atlanta, GA)</t>
  </si>
  <si>
    <t>G06Q 20/3276 20130101;  G06Q 20/209 20130101;  G06Q 20/204 20130101</t>
  </si>
  <si>
    <t>A mobile device establishes an indirect network connection to a User     Interface (UI) agent of a terminal. The indirect connection managed as a     mobile navigational control session maintained through a server or     through the server and a proxy. A keyboard widget/object and a     navigation-selection widget/object are rendered within a mobile screen on     a display of the mobile device. During the session, a user interacts with     the keyboard and/or navigation-selection widgets and corresponding UI key     events are forwarded to the UI agent. The UI agent provides the UI key     events as Human Interface Device (HID) key events to the terminal causing     a transaction interface to update transaction screens being rendered on a     transaction display of the terminal during a transaction. The user     conducts the transaction at the terminal without touching the transaction     display and controls the transaction screens for the transaction via the     keyboard and navigational widgets from the mobile device.</t>
  </si>
  <si>
    <t>US20220101290</t>
  </si>
  <si>
    <t>PPE VERIFICATION SYSTEM AT POS</t>
  </si>
  <si>
    <t>17/036310</t>
  </si>
  <si>
    <t>Zebra Technologies</t>
  </si>
  <si>
    <t>ZEBRA</t>
  </si>
  <si>
    <t>Handshaw; Darran Michael; (Sound Beach, NY); Astvatsaturov; Yuri; (Lake Forest, IL); Barkan; Edward; (Miller Place, NY)</t>
  </si>
  <si>
    <t>Systems and methods for personal protective equipment (PPE) verification     are disclosed herein. An example method for PPE verification includes     capturing, by an image sensor associated with a checkout workstation, one     or more images of an individual within a threshold proximity of the     checkout workstation; analyzing, by one or more processors, the one or     more images to determine whether the individual is wearing personal     protective equipment (PPE); and triggering, by the one or more     processors, one or more actions based on determining that the individual     is not wearing PPE.</t>
  </si>
  <si>
    <t>US20220101150</t>
  </si>
  <si>
    <t>TEMPORALLY DYNAMIC LOCATION-BASED PREDICTIVE DATA ANALYSIS</t>
  </si>
  <si>
    <t>17/335260</t>
  </si>
  <si>
    <t>Stroh; Alison R.; (Minnetonka, MN); Suarez; Mario M.; (Ashburn, VA); Dion; Stephen R.; (Reading, MA); DiPascal; Jordan R.; (Knightdale, NC); Syverson; Derek J.; (Minneapolis, MN)</t>
  </si>
  <si>
    <t>Various embodiments of the present invention provide methods, apparatus,     systems, computing devices, computing entities, and/or the like for     performing temporally dynamic location-based predictive data analysis.     Certain embodiments of the present invention utilize systems, methods,     and computer program products that perform temporally dynamic     location-based predictive data analysis by using at least one of cohort     generation machine learning models and cohort-based growth forecast     machine learning models.</t>
  </si>
  <si>
    <t>US20220101048</t>
  </si>
  <si>
    <t>MULTIMODALITY IMAGE PROCESSING TECHNIQUES FOR TRAINING IMAGE DATA     GENERATION AND USAGE THEREOF FOR DEVELOPING MONO-MODALITY IMAGE     INFERENCING MODELS</t>
  </si>
  <si>
    <t>17/093960</t>
  </si>
  <si>
    <t>GE PREC HEALTHCARE LLC</t>
  </si>
  <si>
    <t>GE PREC HEALTHCARE</t>
  </si>
  <si>
    <t>Tan; Tao; (Eindhoven, NL); Avinash; Gopal B.; (San Ramon, CA); Fejes; Mate; (Szeged, HU); Soni; Ravi; (San Ramon, CA); Szabo; Daniel Attila; (Debrecen, HU); Mullick; Rakesh; (Bengaluru, IN); Melapudi; Vikram; (Bangalore, IN); Shriram; Krishna Seetharam; (Bengaluru, IN); Ranjan; Sohan Rashmi; (Bangalore, IN); Das; Bipul; (Chennai, IN); Agrawal; Utkarsh; (Bengaluru, IN); Rusko; Laszlo; (Budapest, HU); Herczeg; Zita; (Szeged, HU); Darazs; Barbara; (Szeged, HU)</t>
  </si>
  <si>
    <t>Techniques are described for generating mono-modality training image data     from multi-modality image data and using the mono-modality training image     data to train and develop mono-modality image inferencing models. A     method embodiment comprises generating, by a system comprising a     processor, a synthetic 2D image from a 3D image of a first capture     modality, wherein the synthetic 2D image corresponds to a 2D version of     the 3D image in a second capture modality, and wherein the 3D image and     the synthetic 2D image depict a same anatomical region of a same patient.     The method further comprises transferring, by the system, ground truth     data for the 3D image to the synthetic 2D image. In some embodiments, the     method further comprises employing the synthetic 2D image to facilitate     transfer of the ground truth data to a native 2D image captured of the     same anatomical region of the same patient using the second capture     modality.</t>
  </si>
  <si>
    <t>US20220100990</t>
  </si>
  <si>
    <t>SYSTEM AND METHOD OF DETERMINING AN EMOTIONAL STATE OF A USER</t>
  </si>
  <si>
    <t>16/948780</t>
  </si>
  <si>
    <t>Jain; Nitesh; (San Francisco, CA); Kirmani; Shazeeye; (Menlo Park, CA); Goldstein; Evelin; (Woodinville, WA); Barakzai; Anam; (Belmont, CA)</t>
  </si>
  <si>
    <t>G06V 40/174 20220101;  H04N 7/15 20130101</t>
  </si>
  <si>
    <t>A computer-implemented method for determining an emotional state of a     user based on a facial expression of the user and causing to display the     emotional state of the user to the user is provided.</t>
  </si>
  <si>
    <t>US20220100196</t>
  </si>
  <si>
    <t>Smart Thermal Tracking to Guide Surface Sanitization</t>
  </si>
  <si>
    <t>17/138628</t>
  </si>
  <si>
    <t>Duke University</t>
  </si>
  <si>
    <t>DUKE UNIVERSITY</t>
  </si>
  <si>
    <t>ROSS; Weston; (Durham, NC); CODD; Patrick; (Durham, NC); BUCKLAND; Daniel; (Durham, NC); TUCKER; Matthew; (Durham, NC); MA; Guangshen; (Durham, NC)</t>
  </si>
  <si>
    <t>The present disclosure describes a system and method for using thermal     cameras to detect surfaces that have been in contact with individuals.     The detection can be used to guide focused cleaning of the surfaces.</t>
  </si>
  <si>
    <t>US20220099679</t>
  </si>
  <si>
    <t>Portable diagnostic device for viewing biological entities and structures</t>
  </si>
  <si>
    <t>17/033827</t>
  </si>
  <si>
    <t>Tumusiime, Sylvester; Taylor, Jemma</t>
  </si>
  <si>
    <t>TUMUSIIME SYLVESTER</t>
  </si>
  <si>
    <t>Tumusiime; Sylvester; (Metairie, LA); Taylor; Jemma; (Ashford, GB)</t>
  </si>
  <si>
    <t>The present invention seeks to provide an easily portable means of     visualizing biological samples by way of fluorescent emissions from     fluorescently tagged antibodies associated with the biological entities;     thereby acting as a diagnostic tool when appropriate antibodies and     samples are applied to the sample plate. Current methods used to     visualize biological entities by way of fluorescent emissions from     fluorescently tagged antibodies associated with the biological samples     involve the use of large bulky equipment that doesn't exist in a modular     format--different components existing as disparate disjointed units that     cannot be physically associated or linked with each other. This invention     significantly decreases the size of the components needed to visualize     biological samples by way of fluorescent emissions from fluorescently     tagged antibodies and also modularizes the components such that they can     be connected to each other to form the portable detection device.</t>
  </si>
  <si>
    <t>US20220099675</t>
  </si>
  <si>
    <t>METHODS, DEVICES, AND RELATED ASPECTS FOR DETECTING EBOLA VIRUS</t>
  </si>
  <si>
    <t>17/489273</t>
  </si>
  <si>
    <t>University Of Washington</t>
  </si>
  <si>
    <t>UNIVERSITY of WASHINGTON</t>
  </si>
  <si>
    <t>CHEN; Xiahui; (Mesa, AZ); KANG; Shoukai; (Seattle, WA); IKBAL; Md Ashif; (Tempe, AZ); ZHAO; Zhi; (Mesa, AZ); GU; Liangcai; (Seattle, WA); WANG; Chao; (Chandler, AZ)</t>
  </si>
  <si>
    <t>Provided herein are methods of detecting Ebola virus in a sample. The     methods include contacting the sample with a plurality of gold     nanoparticles (AuNPs) that are conjugated with at least two sets of     antibodies, or antigen binding portions thereof, that binds to at least     first or second epitopes of glycoproteins, such as secreted glycoproteins     (sGPs) from the Ebola virus under conditions sufficient for the     antibodies, or the antigen binding portions thereof, to bind to the first     or second epitopes of the glycoproteins from the Ebola virus in the     sample to produce bound glycoproteins. The methods also include detecting     the glycoproteins from the Ebola virus when aggregations of the bound     glycoproteins form with one another. Related reaction mixtures, devices,     kits, and systems are also provided.</t>
  </si>
  <si>
    <t>US20220099674</t>
  </si>
  <si>
    <t>RAPID TEST SYSTEM FOR VIRAL AND BACTERIAL INFECTIONS</t>
  </si>
  <si>
    <t>17/488384</t>
  </si>
  <si>
    <t>Cleveland Clinic</t>
  </si>
  <si>
    <t>CLEVELAND CLINIC</t>
  </si>
  <si>
    <t>Vince; David Geoffrey; (Westlake, OH); Fleischman; Aaron J.; (Beachwood, OH); Lin; Feng; (Orange, OH)</t>
  </si>
  <si>
    <t>A method for detecting viral or bacteriological pathogens is disclosed.     The method comprises collecting a potentially pathogenic sample via a     collector, binding a first portion of the potentially pathogenic sample     to a magnetic particle via a first coating on the magnetic particle,     binding a second portion of the potentially pathogenic sample to a     fluorescently labeled particle via a coating of a second coating on the     fluorescently labeled particle to create aggregates comprising the     potentially pathogenic sample, magnetic particle, and the fluorescently     labeled particle, separating the aggregates magnetically, detecting a     fluorescence of the separated aggregates, and estimating an amount of the     pathogen based on the detected fluorescence.</t>
  </si>
  <si>
    <t>US20220099649</t>
  </si>
  <si>
    <t>POLYMERIC-COATED ELECTRODES FOR SENSING ANALYTES IN LIQUID AND METHODS OF     MAKING THE SAME</t>
  </si>
  <si>
    <t>17/491003</t>
  </si>
  <si>
    <t>MISSISSIPPI STATE UNIVERSITY</t>
  </si>
  <si>
    <t>Caldona; Eugene B.; (Knoxville, TN); Wipf; David O.; (Starkville, MS); Smith, JR.; Dennis W.; (Starkville, MS); Nash; Summer L.; (Brandon, MS)</t>
  </si>
  <si>
    <t>A sensing device is provided. The sensing device includes a base material     comprising metal, metalized polymer, or a combination thereof; a first     coating layer over the base material, the first coating layer comprising     polystyrene; and a second coating layer over the first coating layer, the     second coating layer comprising a fluorinated silane-modified     polystyrene. Also provided are a method of making the sensing device and     a method of electrochemical detection of an analyte in a liquid using the     sensing device.</t>
  </si>
  <si>
    <t>US20220099320</t>
  </si>
  <si>
    <t>SYSTEMS AND METHODS FOR BATCH PROCESSING AIR TAKEN FROM A POPULATED     ENVIRONMENT TO DESTROY PATHOGENS AND THEN REINTRODUCE THE AIR INTO THE     POPULATED ENVIRONMENT</t>
  </si>
  <si>
    <t>17/550247</t>
  </si>
  <si>
    <t>RHC VENTURES, LLC</t>
  </si>
  <si>
    <t>RHC VENTURES</t>
  </si>
  <si>
    <t>Cameron; Robert H.; (El Paso, TX); Ortiz; Luis M.; (Albuquerque, NM)</t>
  </si>
  <si>
    <t>F24F 8/26 20210101;  F24F 8/22 20210101;  F24F 8/158 20210101;  F24F 13/02 20130101;  B01D 36/00 20130101</t>
  </si>
  <si>
    <t>Systems and methods for batch processing air taken from a populated     environment to destroy pathogens contained therein. A multi-chamber     treatment system can be coupled between one or more air return vents of     the populated environment and one or more supply vents providing air into     the populated environment. A filling chamber can be coupled to the air     return vent(s) of the populated environment adapted to receive     potentially contaminated air therefrom. An expressing chamber can include     components for treating the potentially contaminated air to destroy     pathogens. A relaxing chamber can allow treated air previously treated in     the treatment compartment to stabilize. An exhausting chamber can be     coupled to an air conditioning system serving the populated environment     or the supply vent(s) providing air back into the populated environment.     Treatment can be facilitated by ozone, UVC, and other means.</t>
  </si>
  <si>
    <t>US20220098418</t>
  </si>
  <si>
    <t>CURABLE COATING COMPOSITIONS AND ANTIMICROBIAL COATINGS MADE BY CURING     SUCH COATING COMPOSITIONS</t>
  </si>
  <si>
    <t>17/488458</t>
  </si>
  <si>
    <t>GREEN THEME TECHNOLOGIES, INC.</t>
  </si>
  <si>
    <t>GREEN THEME</t>
  </si>
  <si>
    <t>Selwyn; Gary S.; (Albuquerque, NM); Cooper; Chris B.; (Albuquerque, NM); Caudill; Aaron T.; (Albuquerque, NM)</t>
  </si>
  <si>
    <t>D06M 16/00 20130101;  C08K 5/19 20130101;  C09D 4/00 20130101;  C08L 2203/02 20130101;  C08F 222/105 20200201;  C08L 71/02 20130101;  C08K 5/14 20130101;  C08F 220/56 20130101;  D06M 15/267 20130101;  C08K 5/13 20130101;  C08K 5/3432 20130101;  C08F 226/02 20130101</t>
  </si>
  <si>
    <t>Antimicrobial/antiviral coatings are applied to substrates such as     fabrics by applying and then curing a coating composition. The coating     composition includes at least one free radical-curable monomer, at least     one free radical initiator, and either or both of certain phenolic and/or     menthol compounds and certain non-free radical-curable ammonium     compounds.</t>
  </si>
  <si>
    <t>US20220098283</t>
  </si>
  <si>
    <t>ACE2- and TMPRSS2-Targeted Compositions and Methods for Treating COVID-19</t>
  </si>
  <si>
    <t>17/499041</t>
  </si>
  <si>
    <t>MADDON ADVISORS LLC</t>
  </si>
  <si>
    <t>MADDON ADVISORS</t>
  </si>
  <si>
    <t>Maddon; Paul J.; (Scarsdale, NY)</t>
  </si>
  <si>
    <t>This invention provides a composition comprising (a) a first monoclonal     antibody that (i) specifically binds to the extracellular portion of     human angiotensin converting enzyme 2 (hACE2), (ii) specifically inhibits     binding of SARS-CoV-2 to the extracellular portion of hACE2, and (iii)     does not significantly inhibit the ability of hACE2 to cleave angiotensin     II and/or a synthetic MCA-based peptide; and (b) a second monoclonal     antibody that (i) specifically binds to the extracellular portion of     human TMPRSS2 (hTMPRSS2), and (ii) specifically inhibits the entry into     hACE2.sup.+/hTMPRSS2.sup.+ human cells of a pseudovirus bearing     SARS-CoV-2 S protein. This invention also provides related recombinant     AAV vectors, recombinant AAV particles, compositions, prophylactic and     therapeutic methods, and kits.</t>
  </si>
  <si>
    <t>US20220098245</t>
  </si>
  <si>
    <t>Identification of SARS-COV2 Spike glycoprotein epitope amino acid     sequences recognized by Human class II antigen presenting determinant     HLA-DR1 and innate immune responder Toll-like receptor 8 by using     computer modeling and molecular docking methods.</t>
  </si>
  <si>
    <t>17/346245</t>
  </si>
  <si>
    <t>Dasgupta, Dr. Subhajit</t>
  </si>
  <si>
    <t>DASGUPTA</t>
  </si>
  <si>
    <t>Dasgupta; Subhajit; (Charleston, SC)</t>
  </si>
  <si>
    <t>The multi-epitope SARS-COV2 Spike peptides are analyzed for their ability     to form association or binding complex with HLA-DR1 and human TLR8 by     using computer modeling and molecular docking experiments. These peptides     are identified as candidates for vaccine development as well as     antibody-based immunotherapy.</t>
  </si>
  <si>
    <t>US20220098242</t>
  </si>
  <si>
    <t>COMPOSITIONS AND METHODS FOR MUCOSAL VACCINATION AGAINST SARS-COV-2</t>
  </si>
  <si>
    <t>17/187214</t>
  </si>
  <si>
    <t>University Of Maryland</t>
  </si>
  <si>
    <t>UNIVERSITY MARYLAND</t>
  </si>
  <si>
    <t>ZHU; Xiaoping; (Clarksville, MD); LI; Weizhong; (College Park, MD); WANG; Tao; (Ellicott City, MD)</t>
  </si>
  <si>
    <t>Disclosed are peptides comprising a monomeric Fc fragment of an     immunoglobulin recognized by a FcRn; SARS-CoV-2 antigen; and a     trimerization domain. Disclosed are peptide complexes comprising three     peptides, wherein each of the three peptides comprises a monomeric Fc     fragment of an immunoglobulin recognized by a FcRn; SARS-CoV-2 antigen;     and a trimerization domain. Disclosed are compositions comprising any of     the disclosed peptides or peptide complexes. Disclosed are methods for     eliciting a protective immune response against SARS-CoV-2 comprising     administering to a subject an effective amount of one or more of the     compositions disclosed herein. Disclosed are methods of treating a     subject exposed to SARS-CoV-2 or at risk of being exposed to SARS-CoV-2     comprising administering to a subject an effective amount of one or more     of the compositions disclosed herein.</t>
  </si>
  <si>
    <t>US20220098238</t>
  </si>
  <si>
    <t>THERAPEUTIC COMPOUNDS AND METHODS</t>
  </si>
  <si>
    <t>17/486602</t>
  </si>
  <si>
    <t>UNIV CALIFORNIA</t>
  </si>
  <si>
    <t>Pellecchia; Maurizio; (San Diego, CA); Baggio; Carlo; (Moreno Valley, CA)</t>
  </si>
  <si>
    <t>Provided is a compound of formula (I):  ##STR00001## or a salt thereof, wherein R.sup.1-R.sup.5 have any of the values     described in the specification, as well as compositions comprising a     compound of formula (I) or a pharmaceutically acceptable salt thereof and     therapeutic methods comprising the administration of a compound of     formula (I) or a pharmaceutically acceptable salt thereof. The compounds     are useful as matrix metalloprotease MMP-12 inhibitors.</t>
  </si>
  <si>
    <t>US20220098022</t>
  </si>
  <si>
    <t>CONTACTLESS BEVERAGE DISPENSER</t>
  </si>
  <si>
    <t>17/445030</t>
  </si>
  <si>
    <t>Juratovac, Vincent Theodore</t>
  </si>
  <si>
    <t>JURATOVAC VINCENT</t>
  </si>
  <si>
    <t>Juratovac; Vincent Theodore; (Star Tannery, VA)</t>
  </si>
  <si>
    <t>A contactless beverage dispenser, system, and method of contactlessly     dispensing a beverage are disclosed herein. Embodiments of the present     invention utilize a sensor that is operatively coupled to a pump for     selective activation thereof. The sensor detects, in a sensor zone, the     presence of a beverage container proximal a dispensing spout of the     beverage dispenser. The sensor may be a proximity sensor, such as a     photoelectric sensor. Upon detection of the beverage container, the pump     is activated and dispenses a beverage to a user.</t>
  </si>
  <si>
    <t>US20220097639</t>
  </si>
  <si>
    <t>Bioshield</t>
  </si>
  <si>
    <t>17/038926</t>
  </si>
  <si>
    <t>MCCLYMONT PATRICK</t>
  </si>
  <si>
    <t>McClymont; Patrick; (Stone Mountain, GA)</t>
  </si>
  <si>
    <t>The present invention is a portable partition for conveniently shielding     users from bodily fluids particulate. In particular, the invention allows     a user to create a partition in unique manner to help mitigate the spread     of pathogens. The proposed embodiment provides a unique experience for a     user by providing a pleasant and most importantly a safe experience.</t>
  </si>
  <si>
    <t>US20220097073</t>
  </si>
  <si>
    <t>Co-axial plunger based home molecular diagnostics kit</t>
  </si>
  <si>
    <t>17/240767</t>
  </si>
  <si>
    <t>Stanford University</t>
  </si>
  <si>
    <t>STANFORD</t>
  </si>
  <si>
    <t>Prakash; Manu; (San Francisco, CA); Kothari; Anesta; (San Francisco, CA); Larson; Adam George; (San Francisco, CA); Kumar; Shailabh; (Sunnyvale, CA); Soto-Montoya; Hazel; (Mountain View, CA)</t>
  </si>
  <si>
    <t>B01L 3/0217 20130101;  B01L 7/52 20130101;  B01L 3/5023 20130101</t>
  </si>
  <si>
    <t>Instrument free "plasticware" is provided that enables multi-step     molecular reactions in a diagnostics context. A hollow plunger that is     movable within a surrounding tube defines a reaction chamber inside the     plunger. By moving the plunger to different positions in the tube, a     sample can be collected, then the sample can be washed, and finally the     reaction chamber can be sealed to perform diagnostic reactions on the     sample. The juxtaposition of large sample collection/washing volume with     small reaction volume allows one to conduct a wide range of diagnostic     assays including a LAMP (Loop mediated isothermal amplification) based     saliva test in a small, portable self-contained device. Applications     include Molecular diagnostics for health applications (including COVID19     test), Environmental Monitoring, Disease surveillance, and Veterinary     health.</t>
  </si>
  <si>
    <t>US20220096990</t>
  </si>
  <si>
    <t>PATIENT AEROSOL PROTECTION</t>
  </si>
  <si>
    <t>17/548548</t>
  </si>
  <si>
    <t>ANVARI; KIOMARS; (Walnut Creek, CA); SAHIHOLNASAB; SEYED VAHID; (Richmond, CA); FRANSEN; JOEL NICHOLAS; (Richmond, CA)</t>
  </si>
  <si>
    <t>Hygiene regulations and social distancing are very effective in blocking     short distance infections. During the lockdown, the distance rules can     usually be adhered to, but what happens when the actual lockdown is over     and the people meet again in a confined space? Then additional effective     and efficient protection is essential to stabilize infection rates. Since     the viruses are spread by contact and droplet infection, technical     devices are required that effectively intervene in the chain of infection     and effectively block infection. An effective protection is the     respiratory mask as known since 100 years. This patent application discloses an alternative to mask that is a     patient aerosol protection for various applications in the environment.     The patient aerosol protection consists of adjustable air sucking devices     in different form factors based on the application. The patient aerosol     protection protects against any aerosol released by a patient in the     environment.</t>
  </si>
  <si>
    <t>US20220096875</t>
  </si>
  <si>
    <t>PERSONAL PROTECTED-AIR SYSTEM</t>
  </si>
  <si>
    <t>17/488390</t>
  </si>
  <si>
    <t>KATHY E. GOODMAN DO, INC.</t>
  </si>
  <si>
    <t>KATHY GOODMAN</t>
  </si>
  <si>
    <t>Goodman; Kathy E.; (Delray Beach, FL)</t>
  </si>
  <si>
    <t>A personal protected-air system includes first and second rings, and a     sleeve coupled on each end thereof to one of the rings. The first ring     includes a port for receiving filtered air under pressure, a manifold in     fluid communication with the port, and vents in fluid communication with     the manifold and the interior region of the sleeve. The sleeve includes a     transparent region. In use, the second ring fits over a user's head, the     sleeve encases the user's head, and the first ring rests on a top portion     of the user's head. The second ring includes an air passage providing     fluid communication between an ambient environment and the interior     region of the sleeve.</t>
  </si>
  <si>
    <t>US20220096874</t>
  </si>
  <si>
    <t>Pathogen-Filtering Face Mask with Transparent Mouth-Covering Portion and     Active Air Circulation</t>
  </si>
  <si>
    <t>17/547207</t>
  </si>
  <si>
    <t>MEDIBOTICS LLC</t>
  </si>
  <si>
    <t>MEDIBOTICS</t>
  </si>
  <si>
    <t>Connor; Robert A.; (St. Paul, MN)</t>
  </si>
  <si>
    <t>A41D 13/11 20130101;  A62B 7/10 20130101</t>
  </si>
  <si>
    <t>This invention is a pathogen-filtering face mask with a transparent     portion over a wearer's mouth which enables other people to see the     wearer's facial expressions and with active filtration of air entering     and exiting the mask, with a relatively unobtrusive design. This mask can     include a transparent portion which covers at least part of a person's     mouth, a first-side air filter and air impellor, a second-side air filter     and air impellor, and a central air filter between the first-side air     filter and the second-side air filter.</t>
  </si>
  <si>
    <t>US20220096861</t>
  </si>
  <si>
    <t>WEARABLE PHOTOTHERAPY APPARATUS WITH ANTI-VIRAL AND OTHER EFFECTS</t>
  </si>
  <si>
    <t>17/549571</t>
  </si>
  <si>
    <t>SOLETLUNA HOLDINGS, INC.</t>
  </si>
  <si>
    <t>SOLETLUNA</t>
  </si>
  <si>
    <t>SCHMIDT; David; (San Diego, CA)</t>
  </si>
  <si>
    <t>Embodiments enables a wearable phototherapy apparatus that produces     beneficial effects to a human body such as anti-viral effects, activation     of stem cells, improvement in strength, improvement in stamina, pain     relief via a non-transdermal container. May include an optional     transdermal container that releases or increases copper peptide GHK-Cu in     a subject's body. The non-transdermal apparatus reflects or emits     specific wavelengths of light to elevate levels of the copper peptide     GHK-Cu in the body. The non-transdermal apparatus includes one or more     materials that prevent the Left-Handed molecule from direct contact with     the body while the enclosure is coupled to the body and prevents the     Left-Handed molecules from entering the body. Embodiments may include or     be used with any bioavailable form of copper, e.g., such as copper     glycinate as an anti-viral therapy and may include an anti-inflammatory     or both.</t>
  </si>
  <si>
    <t>US20220096703</t>
  </si>
  <si>
    <t>PHOTOCATALYTIC OXIDATION CENTRIFUGAL FAN</t>
  </si>
  <si>
    <t>17/090626</t>
  </si>
  <si>
    <t>TRANE AIR CONDITIONING SYSTEMS CHINA CO LTD; TRANE INT INC</t>
  </si>
  <si>
    <t>TRANE AIR CONDITIONING SYSTEMS CHINA LTD; TRANE INT</t>
  </si>
  <si>
    <t>Chen; Xuefeng; (Taicang, CN); Wang; Bang Yu; (Taicang, CN); Wang; Qing Hao; (Taicang, CN); Cao; De Bin; (Taicang, CN)</t>
  </si>
  <si>
    <t>F04D 29/701 20130101;  F04D 29/4226 20130101;  F24F 8/22 20210101;  A61L 9/205 20130101;  F24F 1/0022 20130101;  F04D 29/281 20130101;  F24F 3/16 20130101;  A61L 2209/16 20130101;  A61L 2209/12 20130101</t>
  </si>
  <si>
    <t>A centrifugal fan for a heating, ventilation, air conditioning, and     refrigeration (HVACR) system is disclosed. The centrifugal fan includes a     volute housing having an inner surface and a curved inlet shroud. The     volute housing defines an air outlet. The curved inlet shroud defines an     air inlet. The air inlet has an inlet airflow cross-sectional area that     lies substantially perpendicular to an outlet airflow cross-sectional     area of the air outlet. The centrifugal fan also includes an impeller     mounted for rotation about a rotational axis within the volute housing.     The impeller has a plurality of fan blades. The plurality of fan blades     has an outer surface. The centrifugal fan further includes a light     source. The inner surface of the volute housing and the outer surface of     the plurality of fan blades includes a photocatalyst layer. The light     source is configured to emit light on the photocatalyst layer.</t>
  </si>
  <si>
    <t>US20220096702</t>
  </si>
  <si>
    <t>METHOD AND SYSTEM FOR LED BASED VIRUS AND BACTERIA REMOVAL</t>
  </si>
  <si>
    <t>17/033646</t>
  </si>
  <si>
    <t>JIBE LIGHTING NORTH AMERICA LIMITED LIABILITY COMPANY</t>
  </si>
  <si>
    <t>JIBE LIGHTING NORTH AMERICA LIABILITY</t>
  </si>
  <si>
    <t>Laseur; Lucien; (HOEVELAKEN, NL); Darling; Todd; (Parkland, FL); Talebi; Mehron Massoud; (Parkland, FL)</t>
  </si>
  <si>
    <t>A61L 2209/14 20130101;  A61L 9/22 20130101;  A61L 9/205 20130101;  A61L 2209/12 20130101;  A61L 2400/12 20130101;  B01D 46/0028 20130101;  A61L 2209/16 20130101;  F21Y 2115/10 20160801;  B01D 2255/802 20130101;  B01D 2255/20707 20130101;  F21V 33/0096 20130101</t>
  </si>
  <si>
    <t>A system (10) for removing airborne pathogens can include a housing (1,     4, and 6) having at least one or more chambers, a bipolar ionizer (9A),     at least one particle filter (8), and an ultra violet light radiation     source (5A) residing in at least one or more chambers. Furthermore, the     embodiments can include the use of a ventilation system which can include     a fan (3) that draws in surrounding air at an intake (7A) and directs the     surrounding air towards the at least one particle filter, the bipolar     ionizer, and the ultra violet light radiation source before the     ventilation system expels the surrounding air drawn through the intake     through an exhaust vent (7B).</t>
  </si>
  <si>
    <t>US20220096701</t>
  </si>
  <si>
    <t>AIR PURIFICATION AND DISINFECTION APPARATUS AND METHODS OF USE</t>
  </si>
  <si>
    <t>17/545822</t>
  </si>
  <si>
    <t>PISHARODI MADHAVAN</t>
  </si>
  <si>
    <t>Pisharodi; Madhavan; (Brownsville, TX)</t>
  </si>
  <si>
    <t>B01D 2273/26 20130101;  B01D 46/0028 20130101;  B64D 13/08 20130101;  B01D 46/0049 20130101;  F24D 15/00 20130101;  F24F 8/22 20210101;  A61L 2209/14 20130101;  B64F 5/30 20170101;  A61L 2209/12 20130101;  B01D 2279/50 20130101;  B01D 2273/30 20130101;  A62B 9/00 20130101;  F24F 3/16 20130101;  B64D 2013/0651 20130101;  A61L 2209/16 20130101;  A61L 9/20 20130101;  B01D 2279/65 20130101;  A62B 23/00 20130101;  A62B 7/02 20130101;  A62B 11/00 20130101;  B01D 46/10 20130101;  B64D 2013/0688 20130101</t>
  </si>
  <si>
    <t>An air purification and disinfection system includes an apparatus having     a housing, an ultraviolet disinfection chamber, an air mover, and an air     distribution unit in communication with the disinfection chamber. Air is     passed through the disinfection chamber where it is purified and     disinfected before it is delivered to the user of the apparatus through     the air distribution unit. The apparatus can be configured as an open or     a closed circuit system. The system may be configured to purify air in an     airplane, a conference room, a classroom, or as a portable unit for an     individual user. As a portable unit the disinfection chamber can be     incorporated into a back pack, a vest, a purse, a briefcase, a shoulder     bag, a cervical collar, or any other format for being carried by the     user.</t>
  </si>
  <si>
    <t>US20220096700</t>
  </si>
  <si>
    <t>DEVICE THAT USES ULTRAVIOLET LIGHT TO PURIFY AIR</t>
  </si>
  <si>
    <t>17/112324</t>
  </si>
  <si>
    <t>APACHE INDUSTRIAL SERVICES, INC</t>
  </si>
  <si>
    <t>APACHE INDUSTRIAL</t>
  </si>
  <si>
    <t>Bretherton; David; (Humble, TX)</t>
  </si>
  <si>
    <t>A61L 2209/14 20130101;  A61L 9/20 20130101;  A61L 2209/12 20130101</t>
  </si>
  <si>
    <t>Implementations of the present subject matter are directed toward a     device for purifying air. The device for purifying air may include a     conduit, a sheet, a light emitting diode and a fan. The conduit may have     an inlet, an outlet and a plenum that couples the inlet to the outlet.     The sheet may be at the inlet within the conduit and may be configured to     filter bio aerosols from air or other fluid entering the conduit. The     light emitting diode may be within the conduit and the fan may be     positioned at the outlet.</t>
  </si>
  <si>
    <t>US20220096699</t>
  </si>
  <si>
    <t>SANITIZING DEVICE WITH PATHOGEN DETECTION, SANITIZING SYSTEM WITH PATHOGEN     DETECTION, AND METHODS FOR USE THEREOF</t>
  </si>
  <si>
    <t>17/548477</t>
  </si>
  <si>
    <t>POPULATION LIGHTS, INC.</t>
  </si>
  <si>
    <t>POPULATION LIGHTS</t>
  </si>
  <si>
    <t>Groves; Megan; (San Francisco, CA)</t>
  </si>
  <si>
    <t>A61L 2/08 20130101;  A61L 9/18 20130101;  A61L 2202/25 20130101;  A61L 2/24 20130101;  A61L 2209/111 20130101</t>
  </si>
  <si>
    <t>Sanitizing devices may be configured to emit sanitizing light into an     environment in order to sanitize air, objects, and/or surfaces in the     environment. The sanitizing light may be of a wavelength, or set of     wavelengths, that deactivates, kills, or neutralizes, pathogens such as     bacteria and viruses but, is not harmful to human or animal tissue. The     sanitizing devices may be configured to be able to communicate with each     other and/or a user over, for example, the Internet, a wireless     communication network, a mesh network, and/or a near-field communication     protocol in order to, for example, provide operation information and/or     receive operation instructions.</t>
  </si>
  <si>
    <t>US20220096696</t>
  </si>
  <si>
    <t>Device For Disinfecting Air By Means Of Combustion</t>
  </si>
  <si>
    <t>17/479771</t>
  </si>
  <si>
    <t>EBM-PAPST MULFINGEN GMBH &amp; CO. KG</t>
  </si>
  <si>
    <t>EBM-PAPST MULFINGEN</t>
  </si>
  <si>
    <t>WYSTUP; Ralph; (Kuenzelsau, DE)</t>
  </si>
  <si>
    <t>A device (1) for disinfecting air by combustion has a primary inlet (10)     that sucks primary air into a combustion chamber (11) with a burner     nozzle (12). The primary air flows along a flow path into a mixing     chamber (13) arranged along the flow path after the combustion chamber     (11). The primary air (L1) is heated to a first temperature. The mixing     chamber (13) has an outlet (14) and at least one secondary inlet (15).     Secondary air can be sucked (L2) into the mixing chamber (13) through the     inlet (15). The mixing chamber (13) produces a mixed air (L3) of a third     temperature of at least 100.degree. C. from a mixing of the primary air     (L1) and the secondary air (L2). The mixed air (L3) is held in the mixing     chamber (13) for a predetermined residence time, and discharges the mixed     air (L3) along the flow path through the outlet (14).</t>
  </si>
  <si>
    <t>US20220096688</t>
  </si>
  <si>
    <t>Novel Pens/Pencils Sanitizing Machine</t>
  </si>
  <si>
    <t>17/328017</t>
  </si>
  <si>
    <t>SINGH SHASHWAT</t>
  </si>
  <si>
    <t>Singh; Shashwat; (Frisco, TX)</t>
  </si>
  <si>
    <t>Coronavirus disease (COVID-19) is an infectious disease caused by a newly     discovered coronavirus. COVID-19 is affecting the whole world and it's     not only taking lives but also heavily penalizing the economy. This new     invention `Novel Pens/Pencils Sanitizing Machine` helps in reducing the     risks of getting COVID-19 and other common infectious diseases like Flu,     common cold etc. through the use of common pens and pencils. Many     facilities front desk like schools, doctor's offices, Hospitals, private     offices share the same pens or pencils with others or sanitizes the pens     or pencils manually which is a time taking and tedious job. This machine     sanitizes bunch of pens and pencils in one go in an automated way.</t>
  </si>
  <si>
    <t>US20220096685</t>
  </si>
  <si>
    <t>MICROWAVE ASSISTED METHODS AND SYSTEMS FOR SURFACE DECONTAMINATION</t>
  </si>
  <si>
    <t>17/441289</t>
  </si>
  <si>
    <t>ZETEO TECH, INC.</t>
  </si>
  <si>
    <t>ZETEO TECH</t>
  </si>
  <si>
    <t>McCreery; Thomas; (Sykesville, MD); Bryden; Wayne A.; (Sykesville, MD)</t>
  </si>
  <si>
    <t>A61L 2202/14 20130101;  A61L 2/12 20130101;  A61L 2202/25 20130101;  A61L 2/18 20130101;  A61L 2202/16 20130101</t>
  </si>
  <si>
    <t>Disclosed are microwave assisted methods and systems for decontaminating     a variety of contaminated surfaces. The systems and methods comprise     treating the surfaces with benign chemical formulations followed by     exposing to microwave irradiation for short periods of time to achieve at     least 6-log reduction in biological contaminants including spores of B.     anthracis, B. thuringiensis, and P. roqueforti. Chemical formulations may     comprise copper (II) chloride in water. The formulations may include a     surfactant such as a polyethylene sorbitol ester surfactant.</t>
  </si>
  <si>
    <t>US20220096684</t>
  </si>
  <si>
    <t>VEHICLE HAVING DISINFECTION SYSTEM</t>
  </si>
  <si>
    <t>17/489523</t>
  </si>
  <si>
    <t>SAF-T-GLO LIMITED</t>
  </si>
  <si>
    <t>SAF-T-GLO</t>
  </si>
  <si>
    <t>Trundle; Robert; (Cwmbran, GB); Michard; Pierre; (Cwmbran, GB); Lipyeat; Mark; (Cwmbran, GB)</t>
  </si>
  <si>
    <t>A vehicle includes a disinfection system for combating biological, viral,     fungal and parasitic agents. The vehicle includes a power source and is     configured to generate at least one signal indicative the vehicle     operation status. The disinfection system includes at least one     electromagnetic emission device arranged to emit electromagnetic     radiation; a controller having a plurality of stored scenarios. The     controller is configured to receive the signal and to use the signal to     select a scenario from the plurality of stored scenarios. The controller     has output means to output control signals to the at least one     electromagnetic emission device to control at least one of the intensity,     wavelength, and duration of the emitted electromagnetic radiation in     response to the selected scenario.</t>
  </si>
  <si>
    <t>US20220096670</t>
  </si>
  <si>
    <t>PORTABLE AND WEARABLE DISINFECTING POUCH</t>
  </si>
  <si>
    <t>17/477797</t>
  </si>
  <si>
    <t>PURFORM LLC</t>
  </si>
  <si>
    <t>PURFORM</t>
  </si>
  <si>
    <t>PUTHOFF; Joel; (Charlotte, NC)</t>
  </si>
  <si>
    <t>A portable and wearable disinfecting pouch includes a waistbelt and a     disinfecting pocket positioned on the waistbelt. The disinfecting pocket     includes a first opening, a second opening, and an interior. The first     opening is on a first end of the disinfecting pocket. The second opening     is on a second end of the disinfecting pocket. The interior is positioned     between the first opening and the second opening. A sanitizing pad is     positioned in the interior of the disinfecting pocket. The sanitizing pad     contains a sanitizing formula configured for disinfecting or sanitizing     hands, accessories, or items.</t>
  </si>
  <si>
    <t>US20220096657</t>
  </si>
  <si>
    <t>COMPOSITIONS FOR THE TREATMENT OF DISEASE</t>
  </si>
  <si>
    <t>17/412592</t>
  </si>
  <si>
    <t>VOYAGER THERAPEUTICS, INC.</t>
  </si>
  <si>
    <t>VOYAGER THERAPEUTICS</t>
  </si>
  <si>
    <t>Paul; Steven; (Cambridge, MA); Liu; Wencheng; (Cambridge, MA); Hou; Jinzhao; (Lexington, MA); Shu; Yanqun; (Winchester, MA)</t>
  </si>
  <si>
    <t>The invention provides compositions and methods for the preparation,     manufacture and therapeutic use of viral vectors, such as     adeno-associated virus (AAV) particles having viral genomes encoding one     or more antibodies or antibody fragments or antibody-like polypeptides,     for the prevention and/or treatment of diseases and/or disorders.</t>
  </si>
  <si>
    <t>US20220096625</t>
  </si>
  <si>
    <t>17/523568</t>
  </si>
  <si>
    <t>A61K 47/6923 20170801;  A61K 47/6911 20170801;  A61K 2039/55555 20130101;  B82Y 30/00 20130101;  B82Y 40/00 20130101;  A61P 31/14 20180101;  C12N 15/86 20130101;  A61K 9/127 20130101;  A61K 39/215 20130101;  B82Y 5/00 20130101</t>
  </si>
  <si>
    <t>US20220096624</t>
  </si>
  <si>
    <t>EXTRACELLULAR VESICLES HARBORING A SPIKE PROTEIN, NUCLEIC ACIDS FOR     PRODUCING THE SAME, AND METHOD OF IMMUNIZING A SUBJECT AGAINST SARS-CoV-2     USING THE SAME</t>
  </si>
  <si>
    <t>17/036569</t>
  </si>
  <si>
    <t>CILOA</t>
  </si>
  <si>
    <t>TRENTIN; Bernadette Nadine; (Saint-Andre-de-Sangonis, FR); POLAK; Katarzyna; (Montpellier, FR); MAMOUN; Zaine El Abiddine Robert; (Saint-Andre-de-Sangonis, FR)</t>
  </si>
  <si>
    <t>A nucleic acid including (i) a sequence of a S gene coding for a Spike     protein and (ii) a sequence coding for a pilot peptide which interacts     with ESCRT proteins. Also, extracellular vesicles, in particular     exosomes, harboring at their external surface a Spike protein, obtainable     by transfecting cells with the nucleic acid. Further, a method of     immunizing a subject against a virus of the Orthocoronavirinae subfamily,     in particular against SARS-CoV-2, by DNA prime-protein boost using the     nucleic acid and the extracellular vesicles of the invention.</t>
  </si>
  <si>
    <t>US20220096605</t>
  </si>
  <si>
    <t>THERAPEUTIC SYSTEMS, DEVICES, AND COMPOSITIONS WITH WOUND HEALING AND     TISSUE REGENERATIVE PROPERTIES, USES THEREOF, AND CORRESPONDING METHODS</t>
  </si>
  <si>
    <t>17/545178</t>
  </si>
  <si>
    <t>THE BIOREGENTECH INSTITUTE, INC.</t>
  </si>
  <si>
    <t>BIOREGENTECH INSTITUTE</t>
  </si>
  <si>
    <t>KALMETA; MARGARET V.; (IRVINE, CA)</t>
  </si>
  <si>
    <t>G06T 7/0012 20130101;  A61K 33/34 20130101;  A61K 38/39 20130101;  A61N 5/06 20130101;  A61N 2005/0632 20130101;  G06T 2207/30088 20130101;  A61N 2005/0652 20130101;  A61K 31/728 20130101;  A61K 31/7004 20130101;  H01S 3/06708 20130101;  A61K 33/26 20130101;  A61N 5/067 20210801;  G06T 2207/20212 20130101</t>
  </si>
  <si>
    <t>Presented herein are compositions that can be administered to a subject     having damaged tissue, for example a wound. The compositions are often     administered in combination with administration of energy (e.g., laser     energy, light from a light emitting diode, radiofrequency (RF) energy,     audio frequency energy, etc.) from an energy generating device and/or     system to the affected site. The compositions, systems, devices, and     methods herein were found to induce wound healing and tissue     regeneration.</t>
  </si>
  <si>
    <t>US20220096542</t>
  </si>
  <si>
    <t>AUGMENTATION OF NATURAL KILLER CELL ACTIVITY AND INDUCTION OF CYTOTOXIC     IMMUNITY USING LEUKOCYTE LYSATE ACTIVATED ALLOGENEIC DENDRITIC CELLS:     STEMVACS</t>
  </si>
  <si>
    <t>17/364646</t>
  </si>
  <si>
    <t>ICHIM; Thomas E.; (Oceanside, CA); DIXON; Timothy G.; (Oceanside, CA); VELTMEYER; James; (Oceanside, CA)</t>
  </si>
  <si>
    <t>Stimulation of immunity would be beneficial in various chronic conditions     such as viral infections and neoplasia. Autologous dendritic cell therapy     has been widely described in the immunotherapy literature and has been     approved by the FDA for treatment of prostate cancer. Unfortunately, the     need to generate individual doses is costly and limited by ability of the     patients to have sufficient starting cell numbers available to generate     sufficient dendritic cells. Here we describe the process of preparing     allogeneic dendritic cells utilizing a leukocyte lysate based approach.     These data support development of StemVacs for conditions that would     benefit from NK activation such as cancer and COVID-19.</t>
  </si>
  <si>
    <t>US20220096538</t>
  </si>
  <si>
    <t>PHARMACEUTICAL COMPOSITIONS AND METHODS FOR PREVENTION AND/OR TREATMENT OF     INFLAMMATION</t>
  </si>
  <si>
    <t>17/490676</t>
  </si>
  <si>
    <t>REVEN PHARMACEUTICALS, INC.</t>
  </si>
  <si>
    <t>REVEN PHARMACEUTICALS</t>
  </si>
  <si>
    <t>Uckun; Fatih M.; (White Bear Lake, MN); Volk; Michael A.; (Broomfield, CO); Lange; Peter; (Golden, CO); Denomme; Brian D.; (Northville, MI); Van Wyk; Hendrick Johanness Petrus; (Glendale, CO)</t>
  </si>
  <si>
    <t>A61K 33/34 20130101;  A61K 33/06 20130101;  A61K 31/51 20130101;  A61P 37/06 20180101;  A61K 31/525 20130101;  A61K 33/04 20130101;  A61K 33/30 20130101;  A61K 31/07 20130101;  A61K 31/573 20130101;  A61K 31/455 20130101;  A61K 31/4415 20130101;  A61K 31/375 20130101;  A61K 31/714 20130101;  A61K 31/355 20130101</t>
  </si>
  <si>
    <t>The disclosure relates to pharmaceutical compositions and methods for the     prevention and/or treatment of inflammation, disease, and disorders. The     treatment may include treatment of COVID-19.</t>
  </si>
  <si>
    <t>US20220096536</t>
  </si>
  <si>
    <t>17/547624</t>
  </si>
  <si>
    <t>A61P 31/04 20180101;  A61K 33/06 20130101;  A61K 33/04 20130101;  A61K 33/20 20130101;  A61K 9/0073 20130101;  A61P 31/14 20180101;  A61K 31/14 20130101</t>
  </si>
  <si>
    <t>US20220096481</t>
  </si>
  <si>
    <t>PYRAZOLO[1,5]PYRIMIDINE-BASED COMPOUNDS AND METHODS OF THEIR USE TO TREAT     VIRAL INFECTIONS</t>
  </si>
  <si>
    <t>17/234349</t>
  </si>
  <si>
    <t>LEXICON PHARMACEUTICALS, INC.</t>
  </si>
  <si>
    <t>LEXICON PHARMACEUTICALS</t>
  </si>
  <si>
    <t>GOPINATHAN; Suma; (Conroe, TX); TYLE; Praveen; (Spring, TX); YANG; Qi Melissa; (The Woodlands, TX)</t>
  </si>
  <si>
    <t>Provided herein are methods of treating, managing and/or preventing viral     infections. A particular method comprises administering to a subject in     need thereof an effective amount of an adaptor associated kinase 1     inhibitor of the formula  ##STR00001## wherein R.sup.1, R.sup.2 and R.sup.3 are defined herein.</t>
  </si>
  <si>
    <t>US20220096425</t>
  </si>
  <si>
    <t>ANTIVIRAL COMPOSITION FOR SARS-COV-2 CONTAINING CANNABINOIDS AS ACTIVE     INGREDIENT</t>
  </si>
  <si>
    <t>17/465847</t>
  </si>
  <si>
    <t>RESEARCH COOPERATION FOUNDATION OF YEUNGNAM UNIVERSITY</t>
  </si>
  <si>
    <t>RESEARCH COOPERATION FOUNDATION YEUNGNAM UNIVERSITY</t>
  </si>
  <si>
    <t>LEE; Jintae; (Daegu, KR); HAM; Jungyeob; (Gangneung-si, KR); KIM; Taejung; (Gangneung-si, KR)</t>
  </si>
  <si>
    <t>A61K 31/192 20130101;  A61K 31/4706 20130101;  A61K 31/675 20130101;  G01N 2333/165 20130101;  G01N 2500/04 20130101;  G01N 33/56983 20130101;  A61K 31/05 20130101;  A61K 31/352 20130101;  A61P 31/14 20180101;  A61K 36/185 20130101;  A61K 31/513 20130101;  G01N 33/948 20130101</t>
  </si>
  <si>
    <t>The present invention relates to an antiviral composition and a screening     method thereof for severe acute respiratory syndrome coronavirus 2     (SARS-CoV-2) that occurred in Wuhan, China in 2019. An extract from     leaves or unfertilized female flowers of Cannabis sativa L. or its     fraction, and the cannabinoids (CBDs) molecules isolated from it have     high binding strength and stability to SARS-CoV-2 M.sup.pro, thereby     inhibiting its action as the main protease, to provide a useful lead     molecule that can be used alone or in combination with other drugs to     treat SARS-CoV-2.</t>
  </si>
  <si>
    <t>US20220096407</t>
  </si>
  <si>
    <t>COMPOSITION FOR INHIBITING RESPIRATORY VIRUSES AND RESPIRATORY VIRUS     PREVENTION AND TREATMENT METHOD</t>
  </si>
  <si>
    <t>17/034787</t>
  </si>
  <si>
    <t>ZONGZHAN DU</t>
  </si>
  <si>
    <t>ZONGZHAN</t>
  </si>
  <si>
    <t>DU; Zongzhan; (Jinan, CN); GAO; Qi; (Jinan, CN)</t>
  </si>
  <si>
    <t>A composition inhibits respiratory viruses and a method prevents and     treats a respiratory. Respiratory viral infections are extremely common     clinically, but the current therapeutic drugs for viral infections still     cannot meet the treatment needs. An inhalant inhibits respiratory viruses     and adopts a method of inhaling high-temperature acetic acid steam for     prevention and treatment. Acetic acid in the high-temperature steam can     release hydrogen ions to inactivate viruses in the respiratory tract, so     as to prevent the onset of the disease and provide a therapeutic effect.     In addition, the composition can be used to inhibit fungi and bacteria in     vitro and prevent skin diseases and respiratory diseases caused by     bacteria and fungi. The prevention and treatment method is easy to     implement and has low costs and important clinical application value.</t>
  </si>
  <si>
    <t>US20220095951</t>
  </si>
  <si>
    <t>DETECTION OF MEDICALLY RELATED EVENTS AT A POINT OF SALE</t>
  </si>
  <si>
    <t>17/036324</t>
  </si>
  <si>
    <t>Systems and methods for detecting medically related events at a point of     sale are disclosed herein. An example method of detecting droplets     associated with a sneeze or cough at a point of sale includes: capturing,     by an image sensor associated with a checkout workstation, one or more     images; analyzing, by one or more processors, the images captured by the     image sensor associated with the checkout workstation, to detect an     indication that one or more droplets associated with a sneeze or cough     are present upon one or more equipment associated with the checkout     workstation; and triggering, by the one or more processors, a     disinfection of the checkout workstation responsive to detecting the     indication that the one or more droplets associated with the sneeze or     cough are present upon the one or more equipment associated with the     checkout workstation.</t>
  </si>
  <si>
    <t>US20220095948</t>
  </si>
  <si>
    <t>Instantaneous olfactory disease detection system and method of use of     detection</t>
  </si>
  <si>
    <t>17/300727</t>
  </si>
  <si>
    <t>MITCHELL JEFFREY</t>
  </si>
  <si>
    <t>Mitchell; Jeffrey; (Creve Coeur, MO)</t>
  </si>
  <si>
    <t>A01K 15/02 20130101;  A61B 5/4845 20130101;  A61B 5/097 20130101;  A61B 5/082 20130101;  A61B 2010/0087 20130101</t>
  </si>
  <si>
    <t>A bacterial and microorganism detector apparatus and system to provide     quick and efficient sampling of a patient, or an attendee at an event,     that allows for a canine or other animal to test the breath to determine     the existence and presence of any deleterious particles, that may be     present therein. The apparatus includes an intake device, in which the     party breathes into an air drawing device such as a spirometer, or fan, a     reservoir for collecting the sampled breath, a discard valve in the event     that excessive breath has been taken in, an overflow valve from the     reservoir, which then subjects the final segment of breath to filtration,     which the animal can sniff for detection purposes, just before the     remaining sample is discharged from the apparatus. The spirometer     functions to withdraw air from the lungs of the treated party, for the     sampling and testing purposes.</t>
  </si>
  <si>
    <t>US20220095923</t>
  </si>
  <si>
    <t>SYSTEM AND APPARATUS FOR DETECTING DISEASES</t>
  </si>
  <si>
    <t>17/489400</t>
  </si>
  <si>
    <t>TECHARA LLC</t>
  </si>
  <si>
    <t>TECHARA</t>
  </si>
  <si>
    <t>Seybold; Karleen; (Concord, NH); Dhinagar; Nikhil; (Los Angeles, CA)</t>
  </si>
  <si>
    <t>A61B 5/0075 20130101;  A61B 5/0064 20130101;  A61B 5/082 20130101;  A61B 5/443 20130101</t>
  </si>
  <si>
    <t>A system and apparatus for detecting diseases that combines biosensors     and skin imaging. The system and apparatus combines bio-sensing     technology for measuring volatile organic compounds (VOCs) emanating from     the breath, oral cavity, and/or skin with multispectral high-resolution     imaging of the skin utilizing visible and infrared wavelengths to detect     specific diseases and/or medical conditions.</t>
  </si>
  <si>
    <t>US20220095851</t>
  </si>
  <si>
    <t>SOAP DISPENSER TIMER SYSTEM</t>
  </si>
  <si>
    <t>17/033566</t>
  </si>
  <si>
    <t>Romanyszyn, Jessica; Romanyszyn, Serge</t>
  </si>
  <si>
    <t>ROMANYSZYN JESSICA</t>
  </si>
  <si>
    <t>Romanyszyn; Jessica; (Oakland, FL); Romanyszyn; Serge; (Oakland, FL)</t>
  </si>
  <si>
    <t>A soap dispenser timing system includes a main body having a liquid     holding reservoir, a pump, a dispensing nozzle, an infrared sensor for     detecting a user's hand, a speaker for playing audible sounds and a     plurality of lights for displaying a visual indication. A controller     includes a processor, memory and timer module for selectively activating     each of the speaker and lights for twenty seconds upon receiving a signal     from the sensor. The pump includes a manually activated pump mechanism     that is linked to a pump arm or an electronic pump that automatically     dispenses soap stored within the reservoir to a user's hand upon     detection of the hand by the sensor.</t>
  </si>
  <si>
    <t>US20220095736</t>
  </si>
  <si>
    <t>FACE SHIELD WITH POWERED AIR PURIFYING RESPIRATOR AND METHODS OF USE</t>
  </si>
  <si>
    <t>17/489623</t>
  </si>
  <si>
    <t>HENSHAW ROBERT J</t>
  </si>
  <si>
    <t>HENSHAW ROBERT</t>
  </si>
  <si>
    <t>HENSHAW; Robert J.; (Newnan, GA)</t>
  </si>
  <si>
    <t>Air purifying respirator for user's having a face shield configured to     shield the user's face from splatter, a head strap configured to encircle     at least a portion of the users head, said head strap configured to     support the face shield, at least one fan, and a fan housing positioned     proximate an upper edge of the face shield, said fan housing configured     to support said fan, a filter media positioned on an outer perimeter     flange of the fan housing to maximizing a surface area of said filter     media, a face shroud connected to a perimeter of the face shield, the     face shroud configured to provide a seal between the face shield and the     user's face and thus, to facilitate pulling the air through the filter     media, and the fan pushes the filtered air from said fan housing to the     user between said face shield and the user's face.</t>
  </si>
  <si>
    <t>US20220095719</t>
  </si>
  <si>
    <t>Gown with Integrated Mask to Prevent the Spread of Disease While Allowing     Access to the Head and Hair</t>
  </si>
  <si>
    <t>17/488162</t>
  </si>
  <si>
    <t>JONES, MARK F.</t>
  </si>
  <si>
    <t>JONES MARK</t>
  </si>
  <si>
    <t>Jones; Marla Vanessa; (Atlanta, GA); Few; Melanie Helaine; (Atlanta, GA)</t>
  </si>
  <si>
    <t>A protective garment with an integrated mask or face shield allowing for     protection from bacteria, viruses, or other pathogens while allowing     access to a wearer's head and hair for medical or grooming activities.     The protective garment provides enhanced protection from the transmission     of disease while engaging in these activities. The protective garment may     include masks for face shields that are replaceable or interchangeable,     and also includes a type of face shield or mask that does not require any     headband, ties, or other obstructions around the back of the wearer's     head.</t>
  </si>
  <si>
    <t>US20220095717</t>
  </si>
  <si>
    <t>ISOLATOR DEVICE FOR MEDICAL USE</t>
  </si>
  <si>
    <t>17/034967</t>
  </si>
  <si>
    <t>HO; Chih Feng; (Taipei, TW)</t>
  </si>
  <si>
    <t>An isolator device includes a housing for engaging with a head of a user     and a nasal mask for covering a nose of the user, a filter member     attached to the housing for dirt filtering purposes, a radio attached to     the housing, a speaker attached to the housing and connected to the radio     for allowing a sound generated by the user to be amplified and to be     heard by people, and an earpiece attached to the housing and connected to     the radio for allowing an external sound to be amplified and to be heard     by the user. The radio is selected from a two-way radio. A fan member is     attached to the housing for circulating an air into the chamber of the     housing.</t>
  </si>
  <si>
    <t>US20220095626</t>
  </si>
  <si>
    <t>Multilayer Copper-based Zeolite Fiber Medical Material, Protective     Equipment and Manufacturing Method</t>
  </si>
  <si>
    <t>17/405149</t>
  </si>
  <si>
    <t>Zhejiang University Of Science And Technology</t>
  </si>
  <si>
    <t>ZHEJIANG UNIVERSITY (ZUST)</t>
  </si>
  <si>
    <t>Fan; Jie; (Hangzhou, CN); Xiao; Liping; (Hangzhou, CN); Yu; Lisha; (Hangzhou, CN); Li; Dan; (Hangzhou, CN); Shi; Yifeng; (Hangzhou, CN); Yao; Hangping; (Hangzhou, CN)</t>
  </si>
  <si>
    <t>The present disclosure is to provide a medical material, medical     protective equipment with both low cytotoxicity and high-efficiency     antibacterial, antiviral properties and its manufacturing method. The     multi-layer copper-based zeolite fiber medical material of the present     disclosure includes a four-layer structure, including the outermost     layer, the first intermediate layer, the second intermediate layer, and     the innermost layer in sequence; the outermost layer and the second     intermediate layer are copper-based zeolite fiber layer, the first     intermediate layer is a hydrophobic fiber layer, and the innermost layer     is a hydrophilic fiber layer; the pore size of the copper-based zeolite     fiber layer of the outermost layer is greater than the pore size of the     hydrophobic fiber layer of the first intermediate layer; the copper-based     zeolite fiber layer contains copper-based zeolite and fiber threads, the     fiber threads are formed by twisting fibers; the copper-based zeolite is     independently dispersed on the fiber surface.</t>
  </si>
  <si>
    <t>US20220094774</t>
  </si>
  <si>
    <t>PERSONNEL CONTACT HISTORY RECORDING METHOD, ELECTRONIC DEVICE AND COMPUTER     PROGRAM PRODUCT</t>
  </si>
  <si>
    <t>17/025402</t>
  </si>
  <si>
    <t>SHENZHEN FUGUI PRECISION IND. CO., LTD.</t>
  </si>
  <si>
    <t>SHENZHEN FUGUI PRECISION</t>
  </si>
  <si>
    <t>CHEN; WEI-HUNG; (New Taipei, TW)</t>
  </si>
  <si>
    <t>H04M 1/275 20130101;  H04M 1/27453 20200101;  H04M 1/2757 20200101;  H04W 4/80 20180201</t>
  </si>
  <si>
    <t>A personnel contact history recording method executable by an electronic     device, comprising: scanning surrounding devices via Bluetooth by a     preset time interval; requesting a device name and an IMSI of the scanned     device, when at least one device is scanned, and generating a surrounding     phone list according to the scanned devices; comparing the surrounding     phone list with a daily list to determine whether the devices recording     in the surrounding phone list are recorded in the daily list; and, if at     least one device recording in the surrounding phone list is recorded in     the daily list, sending a warning message to the electronic device and a     server.</t>
  </si>
  <si>
    <t>US20220093277</t>
  </si>
  <si>
    <t>PATH ANALYTICS OF DISEASE VECTORS IN A PHYSICAL SPACE USING SMART FLOOR     TILES</t>
  </si>
  <si>
    <t>17/544602</t>
  </si>
  <si>
    <t>SCANALYTICS INC</t>
  </si>
  <si>
    <t>SCANALYTICS</t>
  </si>
  <si>
    <t>Scanlin; Joseph; (Milwaukee, WI)</t>
  </si>
  <si>
    <t>A method for tracking potential disease spread in a physical space is     disclosed. The method includes receiving, at a first time in the time     series from a device in the physical space, first data pertaining to a     first initiation event of a first path of a first living creature in the     physical space; receiving, at a second time in the time series from smart     floor tiles in the physical space, second data pertaining to a first time     and location event caused by the first living creature in the physical     space, wherein the first time and location event comprises a first     initial location of the first living creature in the physical space; and     correlating, the first initiation event and the first initial location to     generate a first starting point comprising a first starting time and     first starting location of a first path of the first living creature in     the physical space.</t>
  </si>
  <si>
    <t>US20220093276</t>
  </si>
  <si>
    <t>Machine Learning-Based Prediction of Covid-19 Risk Score for Census     Tract-Level Communities</t>
  </si>
  <si>
    <t>17/483680</t>
  </si>
  <si>
    <t>CKB SOLUTIONS LTD.</t>
  </si>
  <si>
    <t>CKB SOLUTIONS</t>
  </si>
  <si>
    <t>PATEL; Chirag J.; (Boston, MA); MANRAI; Arjun K.; (North Easton, MA); DEONARINE; Andrew Shaun; (Watertown, MA); LYONS; Genevieve; (Boston, MA); LAKHANI; Chirag; (Cambridge, MA); PARRENT; Jerod; (Cambridge, MA)</t>
  </si>
  <si>
    <t>The technology disclosed relates to a system and method for predicting     chronic disease outcome for census tract-level communities at risk for     COVID-19 related complications. The system can access satellite image     data of built environment for census tract-level communities and merge     the image data with respective chronic disease prevalence data per census     tract-level community. This merging of image data with chronic disease     prevalence data results in a high-dimensional image space. The system     includes logic to identify principal components forming a basis of the     high-dimensional image space. A subset of the principal components is     selected that cumulatively explain at least fifty percent of the     explained variance. The system includes logic to calculate COVID-19 risk     score as a weighted combination of the selected principal components. The     COVID-19 risk score is provided to public health policy decision makers     for use in public health policy decisions.</t>
  </si>
  <si>
    <t>US20220093275</t>
  </si>
  <si>
    <t>SYSTEMS AND METHODS FOR A MULTI-MODAL GEOGRAPHIC INFORMATION SYSTEM (GIS)     DASHBOARD FOR REAL-TIME MAPPING OF PERCEIVED STRESS, HEALTH AND SAFETY     BEHAVIORS, FACILITIES DESIGN AND OPERATIONS, AND MOVEMENT</t>
  </si>
  <si>
    <t>17/479792</t>
  </si>
  <si>
    <t>Arizona Board Of Regents</t>
  </si>
  <si>
    <t>ARIZONA BOARD REGENTS</t>
  </si>
  <si>
    <t>Sternberg; Esther; (Tucson, AZ); Yang; Bo; (Tucson, AZ); Li; Shujuan; (Tucson, AZ); Mehl; Matthias; (Tucson, AZ); Jain; Saurabh; (Tucson, AZ); Chowdhury; Bijoy Dripta Barua; (Tucson, AZ); Islam; Md Tariqul; (Tucson, AZ); Son; Young-Jun; (Tucson, AZ); Engineer; Altaf; (Tucson, AZ); Stoker; Philip; (Tucson, AZ); Chen; Yijie; (Tucson, AZ)</t>
  </si>
  <si>
    <t>G16H 50/80 20180101;  G16H 50/30 20180101;  G16H 50/20 20180101</t>
  </si>
  <si>
    <t>Systems and methods are disclosed for spatially and temporally mapping     safer and riskier and wellbeing areas based on perceived safety/risk and     wellbeing, related to perceived viral mitigating health behaviors, known     built environment wellbeing features, and predictively modelling movement     through locations, and building environment features and operations     contributing to viral spread.</t>
  </si>
  <si>
    <t>US20220093274</t>
  </si>
  <si>
    <t>INTEGRATED CONTACT TRACING PLATFORM</t>
  </si>
  <si>
    <t>17/029972</t>
  </si>
  <si>
    <t>DAV ACQUISITION CORP</t>
  </si>
  <si>
    <t>DAV ACQUISITION</t>
  </si>
  <si>
    <t>SETHRE; Jennifer; (Austin, TX); MATA; Aquiles; (Lakeway, TX); SALUME; Adolfo; (San Salvador, SV); LIBERTY; Michael A.; (Windermere, FL)</t>
  </si>
  <si>
    <t>A61B 5/7282 20130101;  G16H 50/80 20180101;  G16H 50/20 20180101;  G16H 50/70 20180101;  G16H 10/40 20180101;  G16H 10/20 20180101;  G06F 16/2358 20190101;  G16H 10/60 20180101;  G06N 20/00 20190101</t>
  </si>
  <si>
    <t>A contact tracing protocol performed by an integrated contact tracing     platform is disclosed. For example, a method comprises: receiving     location information associated with a first participant in the contact     tracing protocol; receiving medical information associated with the first     participant, the medical information indicating the first participant has     contracted an infectious medical condition; identifying, based on the     location information, a plurality of participants in the contact tracing     protocol who came into contact with the first participant during a     contagious period associated with the infectious medical condition;     receiving medical information associated with a second participant of the     plurality of participants, the medical information related to the     infectious medical condition; determining, based on the medical     information associated with the second participant, a likelihood that the     second participant has contracted the infectious medical condition; and     generating a notification for each participant of the plurality of     participants indicating an exposure to the infectious medical condition.</t>
  </si>
  <si>
    <t>US20220093269</t>
  </si>
  <si>
    <t>INTEGRATED HEALTH DATA CAPTURE AND ANALYSIS SYSTEM</t>
  </si>
  <si>
    <t>17/543330</t>
  </si>
  <si>
    <t>LABRADOR DIAGNOSTICS LLC</t>
  </si>
  <si>
    <t>LABRADOR DIAGNOSTICS</t>
  </si>
  <si>
    <t>HOLMES; Elizabeth A.; (Palo Alto, CA); GIBBONS; Ian; (US); YOUNG; Daniel; (Palo Alto, CA); MICHELSON; Seth G.; (San Jose, CA)</t>
  </si>
  <si>
    <t>G16Z 99/00 20190201;  G16H 50/80 20180101;  G16H 50/70 20180101;  G16H 50/50 20180101;  G16H 50/20 20180101;  Y02A 90/10 20180101</t>
  </si>
  <si>
    <t>The present invention provides an integrated health care surveillance and     monitoring system that provides real-time sampling, modeling, analysis,     and recommended interventions. The system can be used to monitor     infectious and chronic diseases. When faced with outbreak of an     infectious disease agent, e.g., influenza virus, the system can identify     active cases through pro-active sampling in high risk locations, such as     schools or crowded commercial areas. The system can notify appropriate     entities, e.g., local, regional and national governments, when an event     is detected, thereby allowing for proactive management of a possible     outbreak. The system also predicts the best response for deployment of     scarce resources.</t>
  </si>
  <si>
    <t>US20220093256</t>
  </si>
  <si>
    <t>LONG-TERM HEALTH AND MOOD MONITORING</t>
  </si>
  <si>
    <t>17/542637</t>
  </si>
  <si>
    <t>Keith, JR.; Robert O.; (San Jose, CA); Manjunath; Sanju; (San Jose, CA)</t>
  </si>
  <si>
    <t>G16H 50/70 20180101;  G16H 50/20 20180101</t>
  </si>
  <si>
    <t>US20220093230</t>
  </si>
  <si>
    <t>MOBILE HEALTH AND FITNESS REACTIVE IMMERSIVE ACTIVITY SPACE</t>
  </si>
  <si>
    <t>17/464696</t>
  </si>
  <si>
    <t>GUPTA ASEEM</t>
  </si>
  <si>
    <t>GUPTA; ASEEM; (DUBAI, AE)</t>
  </si>
  <si>
    <t>This invention relates to a mobile health and fitness reactive immersive     activity space embodied with a plurality of modules and more particularly     to a motorized or towed vehicle or vessel with its structural space     embodied in modular assembly with sensory flooring and walls, providing a     immersive platform for performing health assessments and treatments as     well as physical and mental health fitness activities for functional     training and therapy, using a plurality of sensors, electronics,     electrical and ambient audio-visual stimulation that can be programmed to     suit the specific needs of an individual or a group of individuals.</t>
  </si>
  <si>
    <t>US20220092947</t>
  </si>
  <si>
    <t>Currency Disinfecting Assembly</t>
  </si>
  <si>
    <t>17/029897</t>
  </si>
  <si>
    <t>Steadman, John; Egensperger, Lynn</t>
  </si>
  <si>
    <t>STEADMAN JOHN</t>
  </si>
  <si>
    <t>Steadman; John; (Jefferson, OH); Egensperger; Lynn; (Jefferson, OH)</t>
  </si>
  <si>
    <t>A61L 2202/14 20130101;  G06Q 20/1085 20130101;  G16H 40/63 20180101;  A61L 2/10 20130101;  A61L 2202/11 20130101;  G06F 3/04847 20130101;  G06F 3/0488 20130101;  A61L 2/26 20130101;  G07F 19/203 20130101</t>
  </si>
  <si>
    <t>A currency disinfecting assembly includes a housing that has entry     extending therein and an exit extending to receive and dispense paper     currency. A roller unit is positioned in the housing and the roller unit     is positioned between the entry and the exit to transport the paper     currency between the entry and the exit. A disinfecting unit is     integrated into the housing and the disinfecting unit emits     electromagnetic radiation to kill bacteria. A control unit is coupled to     the housing and the control unit is in communication with the roller unit     and the disinfecting unit. Moreover, the control unit turns on each of     the roller unit and the disinfecting unit to facilitate the user to     sterilize their paper currency.</t>
  </si>
  <si>
    <t>US20220092890</t>
  </si>
  <si>
    <t>VEHICLE DATA CAPTURE AND DISPLAY SYSTEM</t>
  </si>
  <si>
    <t>17/479857</t>
  </si>
  <si>
    <t>LUNEGOV EVGENY</t>
  </si>
  <si>
    <t>Lunegov; Evgeny; (Celebration, FL)</t>
  </si>
  <si>
    <t>A system for capturing and displaying vehicle data includes a vehicle     data capture system having a pair of elongated platforms for receiving a     subject vehicle, a plurality of cameras and microphones, and a series of     dynamometer units for capturing vehicle images, sounds, and performance     information. An interior data capture unit includes a portable camera and     microphone, an OBD scanner and temperature sensor for capturing     information from the interior of the subject vehicle. A system controller     is communicatively linked to a platform provider over a network and sends     the captured vehicle data. The platform provider includes functionality     for receiving the vehicle data from the system controller, and for     communicating with a third party data provider to receive additional data     pertaining to a subject vehicle. All received data is provided as a     comprehensive vehicle report and submitted to a client interface device.</t>
  </si>
  <si>
    <t>US20220092662</t>
  </si>
  <si>
    <t>PREPAID BUNDLED HEALTH, DENTAL, AND VETERINARY SERVICES WITH VIRTUAL     PAYMENT DISTRIBUTION</t>
  </si>
  <si>
    <t>17/543723</t>
  </si>
  <si>
    <t>Mdsave Shared Services North</t>
  </si>
  <si>
    <t>MDSAVE SHARED NORTH</t>
  </si>
  <si>
    <t>Ketchel, III; Paul; (Brentwood, TN)</t>
  </si>
  <si>
    <t>G06Q 50/22 20130101;  G06Q 30/0206 20130101;  G06Q 30/0613 20130101;  G06Q 30/0629 20130101;  G06Q 20/10 20130101;  G06Q 20/381 20130101;  G16H 10/60 20180101;  G06Q 30/0239 20130101;  G06Q 30/0621 20130101;  G06Q 20/065 20130101;  G16H 40/20 20180101;  G06Q 30/0633 20130101;  G16H 20/00 20180101</t>
  </si>
  <si>
    <t>Apparatus and associated methods relate to presenting for selection     services comprising at least one bundled set of healthcare services to be     performed separately by respective providers, determining a bundle price     for the at least one bundled set of healthcare services, and in response     to receiving payment in an amount of the bundle price, generating a puron     chase data record selectively redeemable to receive each of the at least     one bundled set of healthcare services, and transmitting a unique     confirmation number generated for the purchase data record. One or more     service of the bundled set may be a dental or veterinary service. The     bundle price may be based on a location or time at which at least one     service will be performed and may be determined using a user's remaining     insurance deductible. Payment may be disbursed to multiple providers of     the bundled set of healthcare services. A payment may be virtual funds.</t>
  </si>
  <si>
    <t>US20220092661</t>
  </si>
  <si>
    <t>17/543713</t>
  </si>
  <si>
    <t>MDSAVE SHARED SERVICES INC.</t>
  </si>
  <si>
    <t>MDSAVE SHARED</t>
  </si>
  <si>
    <t>Ketchel, III; Paul J.; (Brentwood, TN)</t>
  </si>
  <si>
    <t>G06Q 20/065 20130101;  G06Q 50/22 20130101;  G06Q 30/0206 20130101;  G06Q 30/0629 20130101;  G06Q 30/0613 20130101;  G06Q 20/10 20130101;  G06Q 30/0633 20130101;  G06Q 30/0239 20130101;  G16H 20/00 20180101;  G06Q 30/0621 20130101;  G16H 40/20 20180101;  G16H 10/60 20180101;  G06Q 20/381 20130101</t>
  </si>
  <si>
    <t>Apparatus and associated methods relate to presenting for selection     services comprising at least one bundled set of healthcare services to be     performed separately by respective providers, determining a bundle price     for the at least one bundled set of healthcare services, and in response     to receiving payment in an amount of the bundle price, generating a     purchase data record selectively redeemable to receive each of the at     least one bundled set of healthcare services, and transmitting a unique     confirmation number generated for the purchase data record. One or more     service of the bundled set may be a dental or veterinary service. The     bundle price may be based on a location or time at which at least one     service will be performed and may be determined using a user's remaining     insurance deductible. Payment may be disbursed to multiple providers of     the bundled set of healthcare services. A payment may be virtual funds.</t>
  </si>
  <si>
    <t>US20220092654</t>
  </si>
  <si>
    <t>General; Prevention</t>
  </si>
  <si>
    <t>PREPACKAGED BASKET GENERATOR AND INTERFACE</t>
  </si>
  <si>
    <t>17/030577</t>
  </si>
  <si>
    <t>Laserson; Itamar David; (Givat Shmuel, IL); Chudin; Rotem; (Kfar-Saba, IL); Katz Ohayon; Julie Dvora; (Ashdod, IL); Shaharur; Moshe; (Tel-Aviv, IL)</t>
  </si>
  <si>
    <t>G06Q 30/0603 20130101</t>
  </si>
  <si>
    <t>Item codes for items are mapped to multidimensional space as item vectors     based on transaction contexts. Similar items are clustered together based     on distances between the items within the multidimensional space to     create item clusters. Basket clusters are derived from the item clusters     and each basket cluster is scored. Prepackaged baskets are derived from     the scored basket clusters, each prepackaged basket comprising at least 1     item selected from each of the item clusters of a given basket cluster.     The prepackaged baskets are recommended to services or systems via an     interface.</t>
  </si>
  <si>
    <t>US20220092580</t>
  </si>
  <si>
    <t>Touchless Transaction on a Transaction Terminal</t>
  </si>
  <si>
    <t>17/541734</t>
  </si>
  <si>
    <t>McGraw, IV; William Harrison; (Albemarle, NC); Aladahalli Puttaswamy; Deepak; (Atlanta, GA); Hartman; Michael David; (Milton, GA)</t>
  </si>
  <si>
    <t>A transaction is detected on a transaction terminal. A first code is     presented on a display of the transaction terminal that is encoded with     an identifier and a passcode for a wireless connection between the     transaction terminal and a mobile device operated by a customer. The     mobile device processes the code to wirelessly connect to the transaction     terminal using the identifier and the passcode. A second code is     presented on a display of the transaction terminal. The second code when     captured by the mobile device causes a transaction interface to be     remoted from the transaction terminal to the mobile device over the     wireless connection. The transaction continues with interactions provided     on the mobile device and processed on the transaction terminal without     any customer touching of the display of the transaction terminal and     without any customer touching of any keys or keypad of the transaction     terminal.</t>
  </si>
  <si>
    <t>US20220092570</t>
  </si>
  <si>
    <t>METHODS AND DEVICE FOR TOUCHLESS PAYMENT PROCESSING</t>
  </si>
  <si>
    <t>17/541691</t>
  </si>
  <si>
    <t>Morgan; Kip Oliver; (Atlanta, GA); Fugedy, II; James Emery; (Marietta, GA)</t>
  </si>
  <si>
    <t>G06Q 30/0185 20130101;  G08B 7/00 20130101;  G06K 19/06037 20130101;  G06Q 20/3276 20130101;  G06Q 20/204 20130101;  G06Q 20/322 20130101;  G06Q 20/208 20130101;  G06Q 30/0607 20130101;  G06Q 20/209 20130101;  G06Q 20/02 20130101;  G06Q 20/10 20130101</t>
  </si>
  <si>
    <t>A transaction is maintained in a shopping cart and processed by a     transaction manager in cooperation with a transaction application of a     user device. The status device displays a code that when obtained by user     device and provided to the transaction manager links the cart to the     status device, Acquisition of the code is an indication that the customer     associated with the cart is ready to checkout and pay for the items in     the cart. The entire payment processing between the application, the     transaction manager, and a payment service is monitored by transaction     manager. Payment processing statuses for the payment as it processes in     real time are sent from the transaction manager to the status device.     Status device displays payment status messages on a display of that     device and/or illuminates colored lights and/or plays specialized audible     sounds indicative of the statuses as the payment processing continues in     real time.</t>
  </si>
  <si>
    <t>US20220092550</t>
  </si>
  <si>
    <t>CONTACTLESS WORKPLACE ACCESS</t>
  </si>
  <si>
    <t>17/029240</t>
  </si>
  <si>
    <t>Citrix Systems, Inc.</t>
  </si>
  <si>
    <t>CITRIX SYSTEMS</t>
  </si>
  <si>
    <t>ALAM; ABHISHEK KUMAR; (Pompano Beach, FL); Beera; Jayasree; (Pompano Beach, FL); Dalvi; Karan Jayant; (Pompano Beach, FL); Sampson; Raymond Matthew; (Coral Springs, FL)</t>
  </si>
  <si>
    <t>G06Q 10/1095 20130101;  G06K 19/06037 20130101;  G07C 9/32 20200101;  H04W 4/021 20130101;  G07C 9/37 20200101</t>
  </si>
  <si>
    <t>A computing system includes an endpoint management server and a mobile     device. The mobile device enrolls with the endpoint management server,     and downloads a calendar app from the endpoint management server. The     calendar app is used to schedule a meeting between a user of the mobile     device and a host at a physical workplace. The endpoint management server     is notified in response to the mobile device entering into a geo-fence of     the physical workplace. The mobile device then receives an access code     from the endpoint management server, and displays the access code to     provide access by the user to the physical workplace.</t>
  </si>
  <si>
    <t>US20220092529</t>
  </si>
  <si>
    <t>END-TO-END VACCINE DELIVERY SYSTEM AND METHOD OF DELIVERY AND     POST-DELIVERY TRACKING</t>
  </si>
  <si>
    <t>17/479476</t>
  </si>
  <si>
    <t>POSEY TINA</t>
  </si>
  <si>
    <t>Posey; Tina; (Jersey City, NJ)</t>
  </si>
  <si>
    <t>G06Q 10/0832 20130101;  F25D 2700/12 20130101;  G06F 21/6245 20130101;  G16H 40/67 20180101;  F25D 29/00 20130101;  G06Q 10/0833 20130101</t>
  </si>
  <si>
    <t>An end-to-end vaccine supply chain for distribution, tracking, delivery,     implementation, and post-delivery data collection and processing. A     supply chain is monitored by ensuring proper cold-chain distribution     protects the vaccine from manufacturer all the way to delivery to a     patient. Equipment would include a cold box integrated with sensors for     monitoring temperature and ensuring that the box is not tampered with     anywhere in the delivery chain. Back-end delivery tracking and     post-delivery monitoring software systems provide up to date     notifications to relevant parties of vaccine safety and other     information.</t>
  </si>
  <si>
    <t>US20220092492</t>
  </si>
  <si>
    <t>Economic; Health Risks</t>
  </si>
  <si>
    <t>TEMPORAL AND SPATIAL SUPPLY CHAIN RISK ANALYSIS</t>
  </si>
  <si>
    <t>17/026745</t>
  </si>
  <si>
    <t>Silverstein; Zachary A.; (Jacksonville, FL); Lopez; Juan C.; (Tampa, FL)</t>
  </si>
  <si>
    <t>Data of a supply chain is received. The data includes components moving     through a locations at points in time. Risks are identified that relate     to at least some of the locations. Likelihoods of each of the risks     impacting any of the components at any of the locations at any of the     points of time are calculated by simulating the risks spreading across     space and time. A risk of the risks is identified as having more than a     threshold likelihood of impacting at least one component at a respective     location at a respective point in time. A change to the supply chain that     lowers a likelihood of the risk impacting the at least one component at     the respective location at the respective point in time to below the     threshold likelihood is provided to a user.</t>
  </si>
  <si>
    <t>US20220092255</t>
  </si>
  <si>
    <t>QUERY SELECTION SYSTEM</t>
  </si>
  <si>
    <t>17/482306</t>
  </si>
  <si>
    <t>EVERNORTH STRATEGIC DEVELOPMENT, INC.</t>
  </si>
  <si>
    <t>EVERNORTH STRATEGIC DEVELOPMENT</t>
  </si>
  <si>
    <t>Bini; Mark G.; (O'Fallon, MO)</t>
  </si>
  <si>
    <t>G16H 50/80 20180101;  G06F 40/174 20200101;  G16H 10/20 20180101;  G06F 16/24575 20190101</t>
  </si>
  <si>
    <t>Methods and systems for a query selection system are provided. The     methods and systems include operations comprising: accessing a database     comprising a plurality of data inquiries, a data inquiry of the plurality     of data inquiries being associated with inquiry metadata including a data     type, a data inquiry, a plurality of data responses, and display data;     accessing a query definition group, the query definition group defining a     plurality of data types to include in a data inquiry prompt; accessing     historical query selection information representing one or more data     inquiries of the plurality of data inquiries previously presented to one     or more users; configuring, based on the query definition group and the     historical query selection information, a set of the plurality of data     inquiries; and generating the data inquiry prompt based on the configured     set of the plurality of data inquiries.</t>
  </si>
  <si>
    <t>US20220092091</t>
  </si>
  <si>
    <t>GRAPH ENABLED LOCATION OPTIMIZATION</t>
  </si>
  <si>
    <t>16/948515</t>
  </si>
  <si>
    <t>Ravizza; Stefan; (Wallisellen, CH); Kwatra; Shikhar; (San Jose, CA); Flother; Frederik Frank; (Schlieren, CH); Yadav; Saurabh; (Bangalore, IN)</t>
  </si>
  <si>
    <t>A method and a related system for allocating target locations to optimize     trajectories between several objects and the target locations may be     provided. The method comprises capturing location data of the target     locations as well as location and movement data of the objects, building     a graph using the target locations as well as the location and movement     data and integrating constraints into the graph. Furthermore, the method     comprises determining for each of the several objects a desired target     location using a first optimization system, thereby determining endpoints     of a trajectory between each of the objects and its respective desired     target location and selecting for each of the several objects an optimal     path as the trajectory between the object and the desired target     location, using a second optimization system, and taking into account     movements of other objects along their trajectories.</t>
  </si>
  <si>
    <t>US20220091133</t>
  </si>
  <si>
    <t>METHODS AND ASSAYS FOR IMMUNE PHENOTYPING</t>
  </si>
  <si>
    <t>17/479326</t>
  </si>
  <si>
    <t>Hotchkiss; Richard; (St. Louis, MO); Turnbull; Isaiah; (St. Louis, MO); Mazer; Monty; (St. Louis, MO); Remy; Kenneth; (St. Louis, MO); Caldwell; Charles; (Cincinnati, OH); Moldawer; Lyle; (Gainesville, FL); Brakenridge; Scott; (Seattle, WA)</t>
  </si>
  <si>
    <t>A method of immune phenotyping (evaluating adaptive and innate immune     status) a subject is disclosed that includes providing a biological     sample comprising diluted whole blood or isolated peripheral blood     mononuclear cells (PBMCs), quantitating T cell interferon-gamma     (IFN-.gamma.) and monocyte TNF-.alpha. production using ELISpot in the     biological sample comprising diluted whole blood, and determining that     the subject has an immunosuppressive immunological endotype if T cell     interferon-gamma (IFN-.gamma.) and/or monocyte TNF-.alpha. production are     decreased or low compared to a healthy subject. The disclosed method may     be used to evaluating drug efficacy by measuring immune function in a     subject after administering a drug to the subject to determine changes in     the immune function of the subject in response to the drug.</t>
  </si>
  <si>
    <t>US20220091132</t>
  </si>
  <si>
    <t>CELL-BASED ASSAY FOR DETECTION OF ANTIBODIES IN A SAMPLE</t>
  </si>
  <si>
    <t>17/395143</t>
  </si>
  <si>
    <t>Guryev; Oleg; (San Jose, CA); Mehrpouyan; Majid; (Gilroy, CA)</t>
  </si>
  <si>
    <t>Methods of determining whether a sample includes an antibody that binds     to a coronaviral antigen are provided. Aspects of the methods may include     combining the sample, a mammalian cell displaying on a surface thereof an     antigenic determinant of the coronaviral antigen that is specifically     bound by the antibody, and a labeled secondary binding member that binds     to the antibody to produce an assay composition; and flow cytometrically     assaying the assay composition for the presence of a signal from the     labeled secondary binding member to determine whether the sample includes     the antibody. Also provided are methods of assessing a subject for an     immune response to a coronaviral infection and methods of producing a     mammalian cell displaying on a surface thereof an antigenic determinant     of a coronaviral antigen. Also provided are systems, expression vectors,     mammalian cells, and kits for practicing the subject methods.</t>
  </si>
  <si>
    <t>US20220091119</t>
  </si>
  <si>
    <t>Methods for the Diagnosis and Detection of Viral Analytes</t>
  </si>
  <si>
    <t>17/448095</t>
  </si>
  <si>
    <t>GEORGIA TECH RESEARCH CORPORATION</t>
  </si>
  <si>
    <t>GEORGIA TECH</t>
  </si>
  <si>
    <t>XU; Jie; (Marietta, GA)</t>
  </si>
  <si>
    <t>Methods of detecting one or more viral analytes with an optical     interferometric system is provided. Methods of diagnosing a viral     infection in a patient with an optical interferometric system are also     provided.</t>
  </si>
  <si>
    <t>US20220091011</t>
  </si>
  <si>
    <t>Method of Detecting an Infection Using Negative Sorting</t>
  </si>
  <si>
    <t>17/479742</t>
  </si>
  <si>
    <t>OP-HYGIENE IP GMBH</t>
  </si>
  <si>
    <t>OP-HYGIENE</t>
  </si>
  <si>
    <t>Steltenkamp; Siegfried; (Bonn, DE); Ophardt; Heiner; (Arisdorf, CH); Lang; Albrecht; (Niederbipp, CH)</t>
  </si>
  <si>
    <t>A method comprising passing a fluid through a negative sorting device.     The negative sorting device produces a negatively sorted stream of the     fluid from which any particles present in the fluid that are above a     threshold size have been removed. The negatively sorted stream is     analyzed to obtain a measure of a concentration of particles of interest     in the negatively sorted stream. The particles of interest have a size     that is less than or equal to the threshold size.</t>
  </si>
  <si>
    <t>US20220090927</t>
  </si>
  <si>
    <t>Multi-Hazard Spatio-Temporal Zone-Based Evacuation Management Platform</t>
  </si>
  <si>
    <t>17/482008</t>
  </si>
  <si>
    <t>GENAPSYS, INC.</t>
  </si>
  <si>
    <t>GENAPSYS</t>
  </si>
  <si>
    <t>Shear; Robert; (Albany, CA); Crocker; Charles; (San Francisco, CA); Saunders; Jeff; (San Mateo, CA); Williams; Alan; (Novato, CA)</t>
  </si>
  <si>
    <t>Systems and methods providing for zone-based evacuation management. The     systems and methods involve allowing a user to select zones from a user     interface. The zones properties may be modified by the user. The user may     create evacuation pre-plans for selected zones for different types of     incidents. Different scenarios may be used in the creation of the plan.     The scenarios may use simulation models to determine the affected zones     and the rate of spread of the incident. The systems and methods may also     generate and send notifications and alerts to the people residing within     the affected zones as well as police departments and fire departments     with jurisdiction over the affected areas.</t>
  </si>
  <si>
    <t>US20220090408</t>
  </si>
  <si>
    <t>Shelter</t>
  </si>
  <si>
    <t>17/479678</t>
  </si>
  <si>
    <t>TESSIER EMMANUELLE</t>
  </si>
  <si>
    <t>Tessier; Emmanuelle; (Town of Mount-Royal, CA)</t>
  </si>
  <si>
    <t>E04H 15/58 20130101;  E04H 15/54 20130101</t>
  </si>
  <si>
    <t>A shelter including a supporting component having a main supporting     surface configured and sized for supporting a human in a sleeping     position, the supporting component defining substantially opposed     supporting component first and second longitudinal ends; a first end wall     and a second end wall provided respectively at the supporting component     first and second longitudinal ends; and a roof movable between a closed     configuration and an open configuration, wherein, in the closed     configuration, the roof is overlying the main supporting surface, and in     the open configuration, the roof is at least partially retracted from the     main supporting surface to allow outside access thereto.</t>
  </si>
  <si>
    <t>US20220090186</t>
  </si>
  <si>
    <t>Diagnosis; Pharma&amp;Biopharma</t>
  </si>
  <si>
    <t>METHODS AND COMPOSITIONS FOR RAPID AND HIGH THROUGHPUT DIAGNOSIS</t>
  </si>
  <si>
    <t>17/478415</t>
  </si>
  <si>
    <t>OPENTRONS LABWORKS INC.</t>
  </si>
  <si>
    <t>OPENTRONS LABWORKS</t>
  </si>
  <si>
    <t>Boeke; Jef D.; (New York, NY); Laurent; Jon; (Brooklyn, NY); Martin; Andrew; (Brooklyn, NY); Mita; Paolo; (Brooklyn, NY)</t>
  </si>
  <si>
    <t>Provided herein are methods and compositions for diagnosing a disease or     an infection in a high throughput manner. Also provided herein are     methods and compositions for diagnosing a disease or an infection with     high specificity and high sensitivity.</t>
  </si>
  <si>
    <t>US20220090185</t>
  </si>
  <si>
    <t>SYSTEM USING CONTAMINATION INDEX FOR EVALUATING FALSE POSITIVE DUE TO     CONTAMINATION BY POSITIVE CONTROL TEMPLATE</t>
  </si>
  <si>
    <t>17/472127</t>
  </si>
  <si>
    <t>Korea Electronics And Telecommunications Research Institute (ETRI)</t>
  </si>
  <si>
    <t>Korea Electronics</t>
  </si>
  <si>
    <t>JEONG; Eun-Soo; (Daejeon, KR); LEE; Hye-Min; (Seoul, KR); AHN; Jae-Hyun; (Gwangju, KR)</t>
  </si>
  <si>
    <t>Disclosed herein is a method for determining a false positive by a     real-time nucleic acid amplification reaction, including steps of a)     preparing a positive control including a positive control gene including     a target gene sequence and a contamination-determining gene sequence, b)     obtaining a gene from a sample to prepare a group to be tested, followed     by adding an internal control gene to the group to be tested, and c)     adding probes capable of binding to each of a target gene, a     contamination-determining gene and the internal control gene respectively     to the positive control and the group to be tested, followed by     proceeding a real-time nucleic acid amplification reaction (PCR), and     characterized in that fluorescent light is emitted at the same wavelength     when the probes capable of binding to each of the     contamination-determining gene and the internal control gene are     hydrolyzed.</t>
  </si>
  <si>
    <t>US20220090134</t>
  </si>
  <si>
    <t>Enhancing Immunity Using Chimeric CD40 Ligand and Coronavirus Vaccine</t>
  </si>
  <si>
    <t>17/472268</t>
  </si>
  <si>
    <t>MEMGEN, LLC</t>
  </si>
  <si>
    <t>MEMGEN</t>
  </si>
  <si>
    <t>CANTWELL; Mark J.; (Meadow Vista, CA)</t>
  </si>
  <si>
    <t>The present disclosure provides methods and compositions for enhancing     immunity by administering a coronavirus vaccine and a chimeric CD40L     polypeptide. The coronavirus vaccine can be comprised of inactivated     coronaviral particles or an antigenic polypeptide, preferably the     coronavirus spike protein. The coronavirus antigenic polypeptide can be a     purified antigenic polypeptide or a nucleic acid expression construct     that encodes the antigenic polypeptide. The chimeric CD40L polypeptide in     compositions of the invention can be a purified chimeric CD40L     polypeptide or a nucleic acid expression construction that encodes the     chimeric CD40L polypeptide.</t>
  </si>
  <si>
    <t>US20220090082</t>
  </si>
  <si>
    <t>GAPMER ANTISENSE OLIGONUCLEOTIDES TARGETING SARS-COV-2 FOR TREATING COVID     19</t>
  </si>
  <si>
    <t>17/471719</t>
  </si>
  <si>
    <t>Childrens National Medical Center</t>
  </si>
  <si>
    <t>CHILDRENS NATIONAL MEDICAL CENTER</t>
  </si>
  <si>
    <t>CHEN; Yi-Wen; (Bethesda, MD); LIU; Alexander E.; (St. Louis, MO)</t>
  </si>
  <si>
    <t>C12N 2310/11 20130101;  C12N 2310/321 20130101;  C12N 2310/341 20130101;  C12N 15/1131 20130101;  A61P 31/14 20180101;  C12N 2310/3231 20130101;  C12N 2310/322 20130101</t>
  </si>
  <si>
    <t>SARS-CoV-2 causes pandemic COVID19. Developing an effective treatment to     directly target the virus could significantly impact viral burden in     those most vulnerable to the devastating effects of this virus. The     invention provides antisense oligonucleotides (AOs) to target the single     stranded RNA genome of the SARS-CoV-2 viruses. The administration of AOs     can significantly reduce the target viral RNAs.</t>
  </si>
  <si>
    <t>US20220089912</t>
  </si>
  <si>
    <t>Self-Disinfecting Photocatalyst Sheet</t>
  </si>
  <si>
    <t>17/027535</t>
  </si>
  <si>
    <t>ALEDDRA INC.</t>
  </si>
  <si>
    <t>ALEDDRA</t>
  </si>
  <si>
    <t>Maa; Chia-Yiu; (Bellevue, WA); Yu; Chun-Te; (Bellevue, WA)</t>
  </si>
  <si>
    <t>A self-disinfecting photocatalyst sheet includes a substrate material and     a photocatalyst layer with a primary photocatalyst and a secondary     photocatalyst. The primary photocatalyst is a metal oxide photocatalyst,     whereas the secondary photocatalyst is a metallic photocatalyst. The     primary photocatalyst forms a covalent bond with the substrate material.     The self-disinfecting photocatalyst sheet is activatable by a visible     light and can self-disinfect against bacteria and viruses. A method of     manufacturing the self-disinfecting photocatalyst sheet and means for     alerting the user on the expiration of the self-disinfecting     photocatalyst sheet are also presented.</t>
  </si>
  <si>
    <t>US20220089782</t>
  </si>
  <si>
    <t>NASAL SPRAY TO REDUCE COVID-19 TRANSMISSION</t>
  </si>
  <si>
    <t>17/478302</t>
  </si>
  <si>
    <t>A61K 47/44 20130101;  C07K 16/40 20130101</t>
  </si>
  <si>
    <t>An embodiment provides a method for preventing the transmission of     Covid-19, including: preparing a composition comprising an ACE2     monoclonal antibody, a vegetable oil, and a saline solution; and spraying     the composition in a nasal cavity of a patient. Other aspects are     described and claimed.</t>
  </si>
  <si>
    <t>US20220089764</t>
  </si>
  <si>
    <t>Antibody Molecules to C5AR1 and Uses Thereof</t>
  </si>
  <si>
    <t>17/147842</t>
  </si>
  <si>
    <t>VISTERRA, INC.</t>
  </si>
  <si>
    <t>VISTERRA</t>
  </si>
  <si>
    <t>Viswanathan; Karthik; (Waltham, MA); Booth; Brian; (Waltham, MA); Ramakrishnan; Boopathy; (Waltham, MA); Wollacott; Andrew; (Waltham, MA); Babcock; Gregory; (Waltham, MA); Shriver; Zachary; (Waltham, MA)</t>
  </si>
  <si>
    <t>Antibody molecules that specifically bind to C5aR1 are disclosed. The     antibody molecules can be used to treat, prevent, and/or diagnose     disorders, such as ANCA-vasculitis.</t>
  </si>
  <si>
    <t>US20220089695</t>
  </si>
  <si>
    <t>Targeting SARS-CoV-2 Viral-immune Interaction for COVID-19 Therapy</t>
  </si>
  <si>
    <t>17/484483</t>
  </si>
  <si>
    <t>Wang; Jun; (New York, NY); Lu; Qiao; (New York, NY); Liu; Jia; (New York, NY); Huang; Chao Bai; (San Leandro, CA); Dong; Jianbo; (Santa Clara, CA); Liu; Yue; (Foster City, CA)</t>
  </si>
  <si>
    <t>The invention provides compositions and methods for inhibiting the     interaction of the SARS-CoV-2 S protein and one or more SARS-CoV-2 S     protein interacting protein, and methods of use thereof.</t>
  </si>
  <si>
    <t>US20220089693</t>
  </si>
  <si>
    <t>NANO-ANTIBODY AND ITS APPLICATION BASED ON SARS-COV-2 S PROTEIN</t>
  </si>
  <si>
    <t>17/371241</t>
  </si>
  <si>
    <t>SHIHEZI UNIVERSITY</t>
  </si>
  <si>
    <t>CHEN; Chuangfu; (Shihezi, CN); WU; Peng; (Shihezi, CN); XIAO; Chencheng; (Shihezi, CN); LI; Chengyao; (Shihezi, CN); WANG; Yong; (Shihezi, CN); WANG; Zhen; (Shihezi, CN)</t>
  </si>
  <si>
    <t>A nanobody and its application based on SARS-CoV-2 S protein are     provided, and the present disclosure relates to biomedical technology.     The present disclosure chooses the Spike S1+S2 ECD of SARS-CoV-2 as a     target, and screens the nanobody against of SARS-CoV-2 by using a     nanobody library. After an ELISA test, the Spike S1+S2 ECD target of     SARS-CoV-2 can be specifically identified while a SPIKE RBD target is     identified, and a binding signal is relatively strong. The corresponding     nanobody sequence is constructed into a prokaryotic expression vector for     expression and purification to express the target nanobody successfully.     After the purification, the purity is greater than 90%. The ELISA test of     VHH nanobody showed that the purified nanobody has higher affinity to the     two targets.</t>
  </si>
  <si>
    <t>US20220089692</t>
  </si>
  <si>
    <t>NANO-ANTIBODY AND ITS APPLICATION BASED ON SARS-COV-2 S PROTEIN S1 SUBUNIT</t>
  </si>
  <si>
    <t>17/371155</t>
  </si>
  <si>
    <t>A nanobody and its application based on SARS-CoV-2 S protein S1 subunit     are provided, and the present disclosure relates to biomedical     technology. The present disclosure chooses the Spike RBD of SARS-CoV-2 as     a target, and screens the nanobody targeting SARS-CoV-2 by using a     nanobody library. After an ELISA test, the Spike RBD target of SARS-CoV-2     can be specifically identification while a SPIKE S1+S2 ECD target is     identification, and a binding signal is relatively strong. The     corresponding nanobody sequence is constructed into a prokaryotic     expression vector for expression and purification to express the target     nanobody successfully. After purification, the purity is greater than     90%. The ELISA test of VHH nanobody showed that the purified nanobody has     higher affinity to the two targets.</t>
  </si>
  <si>
    <t>US20220089691</t>
  </si>
  <si>
    <t>ANTI-SARS-COV-2 ANTIBODIES AND APPLICATION THEREOF</t>
  </si>
  <si>
    <t>17/021042</t>
  </si>
  <si>
    <t>NATIONAL DEFENSE MEDICAL CENTER</t>
  </si>
  <si>
    <t>LAI; Szu-Chia; (New Taipei, TW); Huang; Yu-Yine; (New Taipei, TW); Chen; Yi-Ling; (Taoyuan, TW); Wey; Jiunn-Jye; (New Taipei, TW); Hsieh; Po-Shiuan; (Taipei, TW); Tsai; Meng-Hung; (Taipei, TW); Kau; Jyh-Hwa; (Taoyuan, TW)</t>
  </si>
  <si>
    <t>C07K 2317/565 20130101;  C07K 16/10 20130101;  G01N 33/563 20130101</t>
  </si>
  <si>
    <t>The present invention relates to anti-SARS-CoV-2 antibodies and/or     antigen-binding fragments thereof, which are useful for specific     detection of SARS-CoV-2 in a biological sample. The present invention     also provides methods and kits for detecting SARS-CoV-2 and methods and     compositions for use in diagnosis and treatment of coronavirus disease     (COVID-19) using the anti-SARS-CoV-2 antibodies as described herein.</t>
  </si>
  <si>
    <t>US20220089656</t>
  </si>
  <si>
    <t>PROTEIN M FUSION PROTEINS AND USES</t>
  </si>
  <si>
    <t>17/469708</t>
  </si>
  <si>
    <t>Dela Cruz, Jay</t>
  </si>
  <si>
    <t>DELA CRUZ</t>
  </si>
  <si>
    <t>Dela Cruz; Jay; (Moreno Valley, CA)</t>
  </si>
  <si>
    <t>Fusion proteins with immunoglobulin binding properties, their uses and     related methods and compositions are disclosed. The fusion proteins are     comprised of an antibody-binding fragment of protein M from Mycoplasma     spp. conjugated to a receptor fragment. The receptor fragment is a     protein fragment to which a pathogen or a toxin can specifically bind.     The fusion proteins can be used to neutralize or eradicate a wide group     of pathogens or toxins.</t>
  </si>
  <si>
    <t>US20220089642</t>
  </si>
  <si>
    <t>Fc Receptor-ACE2 Conjugates and Use Thereof</t>
  </si>
  <si>
    <t>17/478824</t>
  </si>
  <si>
    <t>WILLIAMS; John C.; (Monrovia, CA); PARK; Miso; (Duarte, CA)</t>
  </si>
  <si>
    <t>C07K 2317/524 20130101;  C12N 15/86 20130101;  C07K 7/08 20130101;  C07K 2317/526 20130101;  C07K 16/08 20130101;  A61K 38/162 20130101</t>
  </si>
  <si>
    <t>Provided herein are, inter alia, peptides capable of binding viral     proteins and thereby preventing viral infection, replication and spread     (e.g., SARS CoV-2). The conjugates provided herein include an dimerizing     domain (e.g., Fc domain) attached through a peptide linker to a protein     domain (viral protein binding domain). The viral protein binding domain     is capable of binding a viral protein, for example, a viral envelope     protein or a portion thereof.</t>
  </si>
  <si>
    <t>US20220089586</t>
  </si>
  <si>
    <t>NLRX1 LIGANDS</t>
  </si>
  <si>
    <t>17/479337</t>
  </si>
  <si>
    <t>LANDOS BIOPHARMA, INC.</t>
  </si>
  <si>
    <t>LANDOS BIOPHARMA</t>
  </si>
  <si>
    <t>Bassaganya-Riera; Josep; (Blacksburg, VA); Leber; Andrew; (Blacksburg, VA); Tubau-Juni; Nuria; (Blacksburg, VA); Hontecillas; Raquel; (Blacksburg, VA)</t>
  </si>
  <si>
    <t>Provided are compounds that target the nucleotide-binding oligomerization     domain, leucine rich repeat containing X1 (NLRX1) pathway. The compounds     can be used to treat conditions such as autoimmune diseases, allergic     diseases, chronic and/or inflammatory central nervous system diseases,     chronic and/or inflammatory respiratory diseases, cancer, and infectious     diseases. Exemplary conditions include multiple sclerosis, asthma,     Alzheimer's disease, Parkinson's disease, neuroinflammation resulting     from, for example, stroke, traumatic brain injury, or spinal cord injury,     chronic obstructive pulmonary disease, idiopathic pulmonary fibrosis, and     inflammatory bowel disease.</t>
  </si>
  <si>
    <t>US20220089105</t>
  </si>
  <si>
    <t>GRAPHENE-BASED ANTIVIRAL POLYMER</t>
  </si>
  <si>
    <t>17/411415</t>
  </si>
  <si>
    <t>CPK INTERIOR PRODUCTS</t>
  </si>
  <si>
    <t>REDDY; Murali Mohan; (Belleville, CA); FARRAR; Gregory James; (Roblin, CA)</t>
  </si>
  <si>
    <t>An antiviral material is provided. The antiviral material includes a     polymeric matrix and graphene particles dispersed in the polymeric matrix     at a concentration of greater than or equal to about 0.05 wt. % to less     than or equal to about 10 wt. % based on the total weight of the     antiviral material, wherein the antiviral material exhibits antiviral     activity. Methods of making the antiviral material and uses of the     antiviral material are also provided.</t>
  </si>
  <si>
    <t>US20220088601</t>
  </si>
  <si>
    <t>Method and System for Sample Collection, Storage, Preparation and     Detection</t>
  </si>
  <si>
    <t>17/412354</t>
  </si>
  <si>
    <t>MicroGEM International Plc</t>
  </si>
  <si>
    <t>MICROGEM PLC</t>
  </si>
  <si>
    <t>SCOTT; ORION; (CHARLOTTESVILLE, VA); BIRCH; CHRISTOPHER; (CHARLOTTESVILLE, VA); MILLS; DANIEL; (CHARLOTTESVILLE, VA); ROOT; BRIAN; (CHARLOTTESVILLE, VA); LANDERS; JAMES; (CHARLOTTESVILLE, VA); LI; JINGYI; (CHARLOTTESVILLE, VA); YEUNG; MATTHEW; (MOUNT WAVERLEY, AU); SAUL; DAVID; (DUNEDIN, NZ); VIGIL; DAVID; (MOUNT WAVERLEY, AU); ; ; ANDREW GUY; (MOUNT WAVERLEY, AU); WADA; STAN; (MOUNT WAVERLEY, AU); DE GORORDO; BETINA; (MOUNT WAVERLEY, AU); DODMAN; STEWARD; (MOUNT WAVERLEY, AU); MORAN; TOM; (Southampton, GB); KNOWLES; STUART; (Mount Waverley, AU); DIAS; FERNANDO; (Mount Waverley, AU); GARDNER; RICK; (Mount Waverley, AU)</t>
  </si>
  <si>
    <t>B01L 2400/0622 20130101;  C12Q 1/6806 20130101;  G01N 33/54326 20130101;  B01L 2200/10 20130101;  C12Q 1/686 20130101;  B01L 2300/18 20130101;  B01L 2300/0832 20130101;  B01L 3/502738 20130101;  B01L 7/52 20130101;  B01L 2200/027 20130101;  G01N 1/18 20130101;  B01L 2300/0864 20130101;  B01L 2200/04 20130101;  G01N 1/4022 20130101;  G01N 33/56983 20130101;  G01N 2333/165 20130101;  B01L 3/502761 20130101;  B01L 3/502715 20130101;  B01L 2300/044 20130101;  G01N 2001/1056 20130101;  G01N 2800/26 20130101</t>
  </si>
  <si>
    <t>A collection device for a biological sample to capture target compounds     such as viruses or other pathogens or particles for testing from within     the sample and move the captured target compound to a separate chamber     for subsequent processing. The collection device can include an openable     substance blister including capture particles located in a cup interior.     Capture particles can attract and bind the target compounds from the     sample. An extraction tube extracts any nucleic acid from the target     compound for storage or subsequent amplification and testing to confirm     presence of known microorganisms. The extraction tube can comprise a     heat-deformable material and can be connected to a microfluidic cartridge     for further processing of nucleic acid including, amplification and     detection. The microfluidic cartridge includes valves and a plurality of     chambers for amplification.</t>
  </si>
  <si>
    <t>US20220088584</t>
  </si>
  <si>
    <t>SYSTEMS, APPARATUS, AND METHODS FOR DETECTING PATHOGENS</t>
  </si>
  <si>
    <t>17/484842</t>
  </si>
  <si>
    <t>INNOTECH PREC MEDICINE INC</t>
  </si>
  <si>
    <t>INNOTECH PREC MEDICINE</t>
  </si>
  <si>
    <t>Khosravi-Far; Roya; (Boston, MA); Mollaaghababa; Reza; (Natick, MA)</t>
  </si>
  <si>
    <t>B01L 2200/026 20130101;  B01L 2300/0663 20130101;  B01L 7/00 20130101;  B01L 2200/16 20130101;  B01L 2300/0609 20130101;  B01L 2300/12 20130101;  B01L 2300/044 20130101;  B01L 2300/1822 20130101;  B01L 3/508 20130101;  B01L 2300/0645 20130101;  B01L 2200/0689 20130101;  B01L 2200/04 20130101;  B01L 2300/1894 20130101;  B01L 2200/10 20130101</t>
  </si>
  <si>
    <t>A sensor for detecting a target pathogen (e.g., a virus or a bacterium)     in a specimen is disclosed, which includes at least two sensing units one     of which is configured to detect at least one protein (such as a     structural protein) associated with the target pathogen and another one     is configured to detect at least one genetic component (e.g., an RNA or a     DNA segment) associated with that pathogen (e.g., an RNA segment that is     unique to that pathogen).</t>
  </si>
  <si>
    <t>US20220088424</t>
  </si>
  <si>
    <t>RADIOFREQUENCY ENABLED FILTERING FACEPIECE RESPIRATOR</t>
  </si>
  <si>
    <t>17/483159</t>
  </si>
  <si>
    <t>Mikaelian, Andrew J.; Masoian, Nyree S.; Mikaelian, Danielle K.</t>
  </si>
  <si>
    <t>MIKAELIAN ANDREW</t>
  </si>
  <si>
    <t>Mikaelian; Andrew J.; (Westlake Village, CA); Masoian; Nyree S.; (San Ramon, CA); Mikaelian; Danielle K.; (Westlake Village, CA)</t>
  </si>
  <si>
    <t>H04Q 2209/40 20130101;  F16K 15/1825 20210801;  F16K 15/148 20130101;  A62B 18/10 20130101;  A41D 13/11 20130101;  H04Q 9/00 20130101;  A62B 23/025 20130101;  A62B 9/006 20130101</t>
  </si>
  <si>
    <t>A radiofrequency enabled filtering facepiece respirator is provided. The     filtering facepiece respirator includes a facemask adapted to fit over     the nose and mouth of a wearer, where the facemask comprising a mask body     containing a filtering structure. A harness is coupled to the mask body     for securing the facemask on the face of the wearer. A mechanical valve     is coupled to a portion of the mask body proximate the wearer's mouth,     where the valve is adjustable between a first mode of operation and a     second mode of operation. In the first mode of operation, air is     permitted to flow through the valve on exhalation but not on inhalation.     In the second mode of operation, air is obstructed from flowing through     the valve on exhalation and inhalation</t>
  </si>
  <si>
    <t>US20220088423</t>
  </si>
  <si>
    <t>FILTERING FACEPIECE RESPIRATOR WITH AN ADJUSTABLE INHALATION-EXHALATION     VALVE</t>
  </si>
  <si>
    <t>17/462351</t>
  </si>
  <si>
    <t>A filtering facepiece respirator is provided. The filtering facepiece     respirator includes a facemask adapted to fit over the nose and mouth of     a wearer, where the facemask comprises a mask body containing a filtering     structure. A harness is coupled to the mask body for securing the     facemask on the face of the wearer, and a mechanical valve is coupled to     a portion of the mask body proximate the wearer's mouth. The valve may be     adjusted between a first mode of operation and a second mode of     operation, where in the first mode of operation is permitted to flow     through the valve on exhalation but not on inhalation and in the second     mode of operation air is obstructed from flowing through the valve on     exhalation and inhalation. There is an optional third mode of operation     where air is permitted to flow through the valve on inhalation and     exhalation.</t>
  </si>
  <si>
    <t>US20220088421</t>
  </si>
  <si>
    <t>Air Purification System</t>
  </si>
  <si>
    <t>17/147038</t>
  </si>
  <si>
    <t>MOORE JOHN H</t>
  </si>
  <si>
    <t>MOORE JOHN</t>
  </si>
  <si>
    <t>Moore; John H.; (Wynnewood, OK)</t>
  </si>
  <si>
    <t>An air purifying breathing system for providing filtered air to a user.     The air purifying breathing system comprises a headgear that is not     self-contained and is open under a face shield to let air flow out of the     headgear. A fan component moves ambient air into the system and across a     filtering component. The filtering component comprises a first and second     filter, each filter using different filter media. After the air is     filtered, it exits the filtering component and into the headgear at the     top for distribution to the user. The filtered air flows past the user     and out the opening under the face shield. The slight positive pressure     from the airflow prevents the inflow of unfiltered air into the headgear.     The filtering component may be attached to or integrated into the     headgear or may be retained by a vest or harness.</t>
  </si>
  <si>
    <t>US20220088420</t>
  </si>
  <si>
    <t>FACIAL GUARD SYSTEM</t>
  </si>
  <si>
    <t>17/481283</t>
  </si>
  <si>
    <t>CHIU DAVID T W</t>
  </si>
  <si>
    <t>CHIU DAVID W</t>
  </si>
  <si>
    <t>Chiu; David T. W.; (Tuxedo Park, NY)</t>
  </si>
  <si>
    <t>A62B 18/084 20130101;  A62B 18/006 20130101;  A62B 18/02 20130101</t>
  </si>
  <si>
    <t>A facial guard system configured to be worn on a person's head, in front     of the face, has a barrier with a peripheral edge that cooperates with a     base that acts as a seal between the barrier and the person's face to     create an enclosed space around the facial orifices into which air may     flow into only through a submaxillary filtered opening and one or more     additional filtered openings defined in the barrier and/or base. The base     includes a conforming section that creates a continuous seal across the     wearer's forehead, down along the zygoma, cheek, and jaw on each side of     the wearer's face, and then to or under the wearer's chin. The     submaxillary filtered opening may include an integrated filter and fan     unit for blowing air into enclosed spaced directed toward the nostrils of     a person wearing the facial guard system.</t>
  </si>
  <si>
    <t>US20220088403</t>
  </si>
  <si>
    <t>Methods And Compositions For Treating Coronavirus</t>
  </si>
  <si>
    <t>17/478174</t>
  </si>
  <si>
    <t>NOVOCURE LIMITED</t>
  </si>
  <si>
    <t>NOVOCURE</t>
  </si>
  <si>
    <t>Voloshin-Sela; Tali; (Haifa, IL); Avigdor; Lilach; (Haifa, IL); Porat; Yaara; (Haifa, IL); Giladi; Moshe; (Haifa, IL); Yaara; Helena Are; (Haifa, IL); Mumblat; Helena; (Haifa, IL)</t>
  </si>
  <si>
    <t>A61N 1/40 20130101;  A61N 1/3601 20130101</t>
  </si>
  <si>
    <t>Disclosed are methods of inhibiting a coronavirus from infecting or     replicating in a cell comprising exposing the cell to an alternating     electric field for a period of time, the alternating electric field     having a frequency and field strength, wherein the frequency and field     strength of the alternating electric field inhibits coronavirus infection     or replication. Disclosed are methods of reducing coronavirus copy number     per cell comprising exposing the cell to an alternating electric field     for a period of time, the alternating electric field having a frequency     and field strength, wherein the frequency and field strength of the     alternating electric field reduces coronavirus copy number in the cell.     Disclosed are methods of treating a subject infected with coronavirus     comprising applying an alternating electric field to a target site of the     subject for a period of time, the alternating electric field having a     frequency and field strength, wherein the target site comprises one or     more coronavirus infected cells.</t>
  </si>
  <si>
    <t>US20220088337</t>
  </si>
  <si>
    <t>PERSONAL PROTECTIVE EQUIPMENT AND PATHOGEN CONTAINMENT SYSTEM FOR ORAL AND     DENTAL PROCEDURES</t>
  </si>
  <si>
    <t>17/468967</t>
  </si>
  <si>
    <t>ROBINSON KEITH ALAN</t>
  </si>
  <si>
    <t>Robinson; Keith Alan; (Katy, TX)</t>
  </si>
  <si>
    <t>A pathogen containment system for use during healthcare procedures is     disclosed, comprising a flexible tubing dimensioned to extend around a     user's mouth, the flexible tubing including a first end and a second end.     A connector includes a central portion including a first side fittingly     engaged with the first end of the flexible tubing and a second side     fittingly engaged with the second end of the flexible tubing. An     attachment port is positioned perpendicular to the central portion, the     attachment port is in fluid communication via a vacuum tubing to a vacuum     suction unit. A plurality of intake ports are provided on the flexible     tubing to permit air to be drawn therethrough via the vacuum suction     unit. The air intake ports capture a contaminant emitted from the user's     mouth or the user's nose.</t>
  </si>
  <si>
    <t>US20220088332</t>
  </si>
  <si>
    <t>REMOTE VENTILATOR ADJUSTMENT</t>
  </si>
  <si>
    <t>17/544631</t>
  </si>
  <si>
    <t>Shankaranarayana; Kiran; (San Diego, CA); Lafreniere; David M.; (Fallbrook, CA); Gleim; Ryan; (Vista, CA); Shafiei; Mehran; (Vista, CA); Damineni; Hari; (San Diego, CA); Patel; Ankit B.; (San Diego, CA); Son; Eon Joo; (La Jolla, CA)</t>
  </si>
  <si>
    <t>A61M 2205/52 20130101;  A61M 16/024 20170801;  G06F 3/0482 20130101;  A61M 2205/3584 20130101;  H04W 84/18 20130101;  A61M 16/0063 20140204;  H04N 7/183 20130101;  A61M 2205/505 20130101;  G06F 3/04817 20130101;  A61M 2205/3553 20130101;  G06F 3/04847 20130101</t>
  </si>
  <si>
    <t>Aspects of the technology include methods and systems for performing     remote adjustments to a ventilator with a remote device. A remote device     may include an interactive display including a remote position indicator.     The remote position indicator may be associated or correlated with a     local ventilator position indicator. A selection and/or adjustment at the     remote device (or an activation at the remote device) at the interactive     display may result in a selection, adjustment, or activation at the     ventilator. Information may be transmitted to the ventilator from the     remote device to remotely adjust the ventilator. Additionally or     alternatively, the remote device may additionally display a view of, or     replicate, some or all portions of the ventilator display.</t>
  </si>
  <si>
    <t>US20220088260</t>
  </si>
  <si>
    <t>Multi Stage Disinfecting Air Cleaner</t>
  </si>
  <si>
    <t>17/025010</t>
  </si>
  <si>
    <t>KRIGMONT HENRY</t>
  </si>
  <si>
    <t>Krigmont; Henry; (Seal Beach, CA)</t>
  </si>
  <si>
    <t>A portable air filtration apparatus capable of rapid and efficient room     air turnover and recirculation of filtered and decontaminated air with     eradication of both microorganisms and biological agents. The invention     relates to a compact device that can be used in ultra-clean air     purification using a multi stage electrostatic precipitation and air     filtration with disinfection and eradication of both microorganisms and     biological agents by the application of ultraviolet light radiation. It     can be used in any application where space, lower cost or ultra-fine     particulate filtering is needed; such as in clean rooms and surgical     suites. The device is extremely efficient for purifying contaminated air     from entrained dust and organic substances without using chemicals and     physical filters, and it is hygienic and fireproof. The device including     its multi stage electrostatic precipitator with the filter, connecting,     releasing tubes and the fan is easy to clean and can be portable.</t>
  </si>
  <si>
    <t>US20220088259</t>
  </si>
  <si>
    <t>Device For Disinfecting Air With Electromagnetic Radiation</t>
  </si>
  <si>
    <t>17/469832</t>
  </si>
  <si>
    <t>Wystup; Ralph; (Kunzelsau, DE); Humm; Markus; (Weissbach, DE); Nase; Rainer; (Weikersheim, DE); Wystup; Frederik; (Neuenstein, DE)</t>
  </si>
  <si>
    <t>A61L 9/032 20130101;  A61L 2209/134 20130101;  A61L 9/18 20130101</t>
  </si>
  <si>
    <t>A device (1) for disinfecting air with electromagnetic radiation, has a     radiation chamber (10) where air flows from an intake side (A) to a     discharge side (B) along a flow path. At least one radiation source (11)     generates electromagnetic radiation in the microwave range and emits     electromagnetic radiation into the radiation chamber. At least one fan     (20) with an impeller (21) generates an air flow through the radiation     chamber (10). The fan (20) takes in air on the suction side (A), convey     it through the radiation chamber (10) along the flow path to the     discharge side (B) and blows it out of the radiation chamber (10) on the     discharge side (B). At least the impeller (21) is arranged inside the     radiation chamber (10). The impeller (21) has a plurality of blades (22)     formed at least in sections from a material deflecting the     electromagnetic radiation.</t>
  </si>
  <si>
    <t>US20220088247</t>
  </si>
  <si>
    <t>Open-Cell Foam Based Pathogen Remediation</t>
  </si>
  <si>
    <t>17/467256</t>
  </si>
  <si>
    <t>SMITH, SCOTT C.</t>
  </si>
  <si>
    <t>SMITH SCOTT</t>
  </si>
  <si>
    <t>Smith; Scott C.; (Osterville, MA)</t>
  </si>
  <si>
    <t>An open-cell foam structure that is impregnated with a disinfectant and     used to remove pathogens from air, water, and surfaces, and kill the     pathogens</t>
  </si>
  <si>
    <t>US20220088244</t>
  </si>
  <si>
    <t>UV LIGHT MONITORING SYSTEM FOR A UV DECONTAMINATION APPARATUS</t>
  </si>
  <si>
    <t>17/480793</t>
  </si>
  <si>
    <t>SPECIALIST HEALTH SOLUTIONS LIMITED</t>
  </si>
  <si>
    <t>SPECIALIST HEALTH SOLUTIONS</t>
  </si>
  <si>
    <t>KARITONAS; Tautvydas; (Kings Lynn, GB); MORGAN; Kurt; (Kings Lynn, GB)</t>
  </si>
  <si>
    <t>A61L 2/28 20130101;  A61L 2202/25 20130101;  A61L 2202/26 20130101;  A61L 2/10 20130101</t>
  </si>
  <si>
    <t>The invention provides a UV light monitoring system that is capable of     estimating the UV irradiance on a target surface oriented at an arbitrary     angle relative to a UV emitter that emits UV light. The UV light     monitoring system can be used in a system or process for disinfecting a     space, where the UV light monitoring system may enable a dose of UV light     experienced by a surface in the space to be accurately estimated. The     invention can alternatively or additionally provide a mechanism for     determining the orientation of a UV light monitor to assist with the     optimal placement of the UV light monitor within a space. The orientation     is determined based on a comparison between signals received from first     and second solar cells that are located on different faces of the UV     light monitor.</t>
  </si>
  <si>
    <t>US20220088237</t>
  </si>
  <si>
    <t>Targeted Approach for Ultraviolet Disinfection of Surfaces</t>
  </si>
  <si>
    <t>17/085416</t>
  </si>
  <si>
    <t>The Board Of Trustees Of The University Of Illinois</t>
  </si>
  <si>
    <t>THE BOARD TRUSTEES UNIVERSITY ILLINOIS</t>
  </si>
  <si>
    <t>Hauser; Kristoffer Karl; (Bloomington, IN); Marques; Joao Marcos Correia; (Urbana, IL); Pan; Zherong; (Urbana, IL)</t>
  </si>
  <si>
    <t>An embodiment may involve obtaining a three-dimensional image map of m     surfaces within an environment, wherein the surfaces are associated with     importance weights that represent how frequently the surfaces are     expected to be touched; determining a set of n vantage points for a light     source within the environment; calculating an m.times.n irradiance matrix     for each of the surfaces when the light source is in each of the vantage     points, wherein each entry in the m.times.n irradiance matrix is     determined by: (i) rasterizing the three-dimensional image map, (ii)     identifying a set of visible surfaces, and (iii) calculating an amount of     light-based power that would reach each of the visible surfaces;     determining a set of n dwell times for the vantage points; and providing     instructions, to a disinfecting agent, to traverse at least a subset of     the vantage points, pausing at and illuminating at least some.</t>
  </si>
  <si>
    <t>US20220088236</t>
  </si>
  <si>
    <t>STERILIZING MEDIA CASSETTE</t>
  </si>
  <si>
    <t>17/025261</t>
  </si>
  <si>
    <t>Birnie; Steven; (Dundee, GB); McCafferty; Liam; (Dundee, GB)</t>
  </si>
  <si>
    <t>A sterilizing media cassette is described for docking with a self-service     terminal or a docking terminal. The sterilizing media cassette has a body     having a lower portion and four sides. The body is adapted to hold a     stack of media items such as banknotes on support members positioned     above the lower portion of the body. A lid is provided that couples to     the body. The lid forms an enclosed inner space when coupled to the body.     UV light sources are mounted on each an inner surface of the body and the     inner surface of the lid. A controller activates the UV light source to     sterilize the stack of media items. This may be done for a predetermined     fixed period of time after the sterilizing media cassette is docked with     a self-service terminal or a docking terminal. Ozone and/or heat may also     be used for sterilization of the media items.</t>
  </si>
  <si>
    <t>US20220088234</t>
  </si>
  <si>
    <t>AIR-EXCHANGING SANITATION APPARATUS AND METHOD</t>
  </si>
  <si>
    <t>17/482274</t>
  </si>
  <si>
    <t>NUYTKENS INDUSTRIES LLC</t>
  </si>
  <si>
    <t>NUYTKENS INDUSTRIES</t>
  </si>
  <si>
    <t>Nuytkens; Peter R.; (Franklin, MA); Nuytkens; Mark H.; (Mystic, CT); Nuytkens; Amy R.; (Newport, RI); Nuytkens; Margaret H.; (Franklin, MA)</t>
  </si>
  <si>
    <t>Described herein is a low-form table-top air sanitizer using filterless     UVA/UVC technology to prevent viral spread in a localized volume. For     example, the low-form table-top air sanitizer can be used where people     are indoors, in close proximity, and not wearing masks. Also described     herein is a method of using a low-form table-top air sanitizer to purify     air in an indoor, close proximity environment where wearing a mask is     impractical.</t>
  </si>
  <si>
    <t>US20220088217</t>
  </si>
  <si>
    <t>17/523457</t>
  </si>
  <si>
    <t>A61K 9/1075 20130101;  A61K 31/711 20130101;  B82Y 30/00 20130101;  A61K 47/44 20130101;  A61K 47/6923 20170801;  A61K 31/7105 20130101;  B82Y 5/00 20130101;  A61K 47/6907 20170801;  A61K 47/02 20130101;  B82Y 40/00 20130101;  B82Y 25/00 20130101</t>
  </si>
  <si>
    <t>US20220088186</t>
  </si>
  <si>
    <t>SAMRNA VACCINE AND PREPARATION METHOD THEREFOR</t>
  </si>
  <si>
    <t>17/420608</t>
  </si>
  <si>
    <t>CANSINO BIOLOGICS INC.</t>
  </si>
  <si>
    <t>CANSINO BIOLOGICS</t>
  </si>
  <si>
    <t>ZHU; Tao; (Tianjin, CN); LI; Junqiang; (Tianjin, CN); CHAO; Shoubai; (Tianjin, CN); XIN; Chunlin; (Tianjin, CN); MIAO; Wei; (Tianjin, CN); LU; Xishan; (Tianjin, CN)</t>
  </si>
  <si>
    <t>Disclosed is an SamRNA vaccine, including a recombinant viral vector     which includes: i) a viral gene replication complex including nucleotide     sequences encoding viral gene replication-related proteins nsP1, nsP2,     nsP3, and nsP4; and ii) a nucleotide sequence encoding at least one     antigen. According to the SamRNA vaccine of the present invention, in     addition to that a promoter of a modified adenoviral vector itself can     transcribe an antigen gene to form mRNA, the viral gene     replication-related proteins nsP1-4 use RNA as a template to synthesize a     large amount of mRNAs, and the immune effect of a target antigen is     greatly improved.</t>
  </si>
  <si>
    <t>US20220088182</t>
  </si>
  <si>
    <t>ANTIGEN SPECIFIC IMMUNOTHERAPY FOR COVID-19 FUSION PROTEINS AND METHODS OF     USE</t>
  </si>
  <si>
    <t>17/544293</t>
  </si>
  <si>
    <t>AKSTON BIOSCIENCES CORPORATION</t>
  </si>
  <si>
    <t>AKSTON BIOSCIENCES</t>
  </si>
  <si>
    <t>Zion; Todd C.; (Marblehead, MA); Lancaster; Thomas M.; (Wenham, MA); Sathiyaseelan; Thillainayagam; (Lexington, MA); Huang; Kexin; (San Mateo, CA)</t>
  </si>
  <si>
    <t>C07K 14/165 20130101;  A61K 2039/55588 20130101;  C12N 7/00 20130101;  A61K 39/215 20130101;  A61K 38/00 20130101;  A61P 31/14 20180101;  A61K 2039/54 20130101</t>
  </si>
  <si>
    <t>The present disclosure provides recombinantly manufactured fusion     proteins comprising a SARS-CoV-2 Receptor Binding Domain (SARS-CoV-2-RBD)     fragment or an analog thereof linked to a human Fc fragment for use in     relation to the 2019 Novel Coronavirus (COVID-19). Embodiments include     the administration of the fusion proteins to patients that have recovered     from COVID-19 as a booster vaccination, to antibody naive patients to     produce antibodies to the SARS-CoV-2 virus to enable the patients to     become convalescent plasma donors, to patients who have been infected by     the SARS-CoV-2 virus and have contracted COVID-19 in order to limit the     scope of the infection and ameliorate the disease, and as a prophylactic     COVID-19 vaccine. Exemplary Fc fusion proteins and pharmaceutical     formulations of exemplary Fc fusion proteins are provided, in addition to     methods of use and preparation.</t>
  </si>
  <si>
    <t>US20220088181</t>
  </si>
  <si>
    <t>VIRUS SPECIFIC CYTOKINE-INDUCED KILLER CELLS</t>
  </si>
  <si>
    <t>17/474552</t>
  </si>
  <si>
    <t>ABTEILUNG FUR INTEGRIERTE ONKOLOGIE - CIO BONN</t>
  </si>
  <si>
    <t>ABTEILUNG FUR INTEGRIERTE ONKOLOGIE CIO BONN</t>
  </si>
  <si>
    <t>Schmidt-Wolf; Ingo; (Bonn, DE)</t>
  </si>
  <si>
    <t>C12N 5/0634 20130101;  C12N 2501/2304 20130101;  C12N 2502/1121 20130101;  C12N 2501/24 20130101;  C12N 2501/515 20130101;  A61K 2039/5158 20130101;  C12N 2501/22 20130101;  A61K 39/215 20130101;  C12N 2501/2302 20130101;  C12N 2501/2301 20130101</t>
  </si>
  <si>
    <t>The present invention is directed to Virus specific Cytokine-Induced     Killer cells (CIK), their use as a medicament and to a method for     obtaining these Virus specific Cytokine-Induced Killer cells.</t>
  </si>
  <si>
    <t>US20220088180</t>
  </si>
  <si>
    <t>IMMUNOGENIC COMPOSITIONS AND USE THEREOF</t>
  </si>
  <si>
    <t>17/463429</t>
  </si>
  <si>
    <t>BROAD INST INC; HARVARD COLLEGE; MASSACHUSETTS GEN HOSPITAL; UNIV BOSTON</t>
  </si>
  <si>
    <t>SABETI; Pardis; (Cambridge, MA); Weingarten-Gabbay; Shira; (Cambridge, MA); Klaeger; Susan; (Cambridge, MA); Abelin; Jenn; (Cambridge, MA); Saeed; Mohsan; (Boston, MA); Hacohen; Nir; (Boston, MA); Sarkizova; Siranush; (Cambridge, MA); Carr; Steven; (Cambridge, MA); Clauser; Karl; (Cambridge, MA)</t>
  </si>
  <si>
    <t>G01N 2800/26 20130101;  A61K 2039/53 20130101;  A61K 45/06 20130101;  G01N 2333/165 20130101;  A61P 31/14 20180101;  A61K 39/215 20130101;  G01N 33/56983 20130101;  G01N 33/6818 20130101</t>
  </si>
  <si>
    <t>Immunogenic compositions comprising one or more polypeptides, wherein the     one or more polypeptides: is capable of binding to Major     Histocompatibility Complex (MHC) class I, and is derived from one or more     proteins of SARS-CoV-2. Also provided include methods of treating and     preventing diseases using the immunogenic compositions.</t>
  </si>
  <si>
    <t>US20220088179</t>
  </si>
  <si>
    <t>PORCINE EPIDEMIC DIARRHEA VIRUS STRAINS AND IMMUNOGENIC COMPOSITIONS     THEREFROM</t>
  </si>
  <si>
    <t>17/021261</t>
  </si>
  <si>
    <t>UNIVERSITY OF IOWA RESEARCH FOUNDATION</t>
  </si>
  <si>
    <t>UNIVERSITY IOWA RESEARCH FOUNDATION</t>
  </si>
  <si>
    <t>ZHANG; Jianqiang; (Ames, IA); CHEN; Qi; (Ames, IA); GAUGER; Phillip; (Ames, IA); MADSON; Darin; (Ames, IA); HARDHAM; John Morgan; (Parsippany, NJ); BANDRICK; Meggan; (Parsippany, NJ); CALVERT; Jay Gregory; (Parsippany, NJ); THOMPSON; James Richard; (Parsippany, NJ); STOEVA; Mira Ivanova; (Parsippany, NJ); VALDEZ; Walter; (Parsippany, NJ)</t>
  </si>
  <si>
    <t>The present invention is directed to novel nucleotide and amino acid     sequences of Porcine Epidemic Diarrhea Virus ("PEDV"), including novel     genotypes thereof, all of which are useful in the preparation of vaccines     for treating and preventing diseases in swine and other animals Vaccines     provided according to the practice of the invention are effective against     multiple swine PEDV genotypes and isolates. Diagnostic and therapeutic     polyclonal and monoclonal antibodies are also a feature of the present     invention, as are infectious clones useful in the propagation of the     virus and in the preparation of vaccines. Particularly important aspects     of the invention include polynucleotide constructs that replicate in     tissue culture and in host swine. The invention also provides for novel     full length PEDV genomes that can replicate efficiently in host animals     and tissue culture.</t>
  </si>
  <si>
    <t>US20220088174</t>
  </si>
  <si>
    <t>GENOMIC VARIANTS IN IG GENE REGIONS AND USES OF SAME</t>
  </si>
  <si>
    <t>17/288684</t>
  </si>
  <si>
    <t>National Institutes Of Health (NIH)</t>
  </si>
  <si>
    <t>NATIONAL INSTITUTES HEALTH</t>
  </si>
  <si>
    <t>Marasco; Wayne A.; (Wellesley, MA); Watson; Corey; (Louisville, KY)</t>
  </si>
  <si>
    <t>A61K 39/145 20130101;  C12Q 2600/156 20130101;  C12Q 2600/106 20130101;  C12Q 1/6883 20130101</t>
  </si>
  <si>
    <t>The present invention is directed to methods for mining     genotype-repertoire-disease associations. Aspects of the disclosure are     also drawn to methods of preparing a vaccine composition. For example,     the vaccine composition can be specific to a subject or a group of     subjects with a genotype responsive to the vaccine composition. Aspects     of the disclosure are further drawn towards methods of vaccinating a     subject or a population of subjects.</t>
  </si>
  <si>
    <t>US20220088105</t>
  </si>
  <si>
    <t>METHOD AGAINST CORONAVIRUS INFECTION WITH WATER-EXTRACTED PRODUCT OF     PERILLA FRUTESCENS</t>
  </si>
  <si>
    <t>17/217561</t>
  </si>
  <si>
    <t>CHANG GUNG UNIVERSITY</t>
  </si>
  <si>
    <t>Horng; Jim-Tong; (New Taipei City, TW); Tang; Wen-Fang; (Taoyuan City, TW); Tsai; Hui-Ping; (Taipei City, TW); Chang; Tien-Yao; (Taipei City, TW); Hsieh; Po-Shiuan; (Taipei City, TW); Chang; Yu-Hsiu; (Taipei City, TW); Hsieh; Chung-Fan; (Taoyuan City, TW); Lin; Chia-Yi; (Taoyuan City, TW); Lin; Guan-Hua; (Taoyuan City, TW); Chen; Yu-Li; (Taoyuan City, TW)</t>
  </si>
  <si>
    <t>A61K 2236/331 20130101;  A61K 9/0053 20130101;  A61P 31/14 20180101;  A61K 36/535 20130101</t>
  </si>
  <si>
    <t>Disclosed herein is a method against coronavirus infection, which     includes administering to a subject in need thereof a composition     containing a water-extracted product of Perilla frutescens.</t>
  </si>
  <si>
    <t>US20220088067</t>
  </si>
  <si>
    <t>PREVENTION OF INFECTION BY HIGHLY PATHOGENIC VIRUSES USING TOPICAL     APPLICATION OF POVIDONE-IODINE ON MUCOUS MEMBRANES</t>
  </si>
  <si>
    <t>17/544931</t>
  </si>
  <si>
    <t>FIREBRICK PHARMA LIMITED</t>
  </si>
  <si>
    <t>FIREBRICK PHARMA</t>
  </si>
  <si>
    <t>MOLLOY; Peter; (Doreen, AU); GOODALL; Stephen; (Doreen, AU)</t>
  </si>
  <si>
    <t>A61K 9/08 20130101;  A61K 33/18 20130101;  A61K 47/32 20130101;  A61K 9/127 20130101;  A61K 9/0043 20130101</t>
  </si>
  <si>
    <t>This invention is directed to methods for prevention of infections by     highly pathogenic viruses by applying to the nasal mucous membranes     topical preparations comprising the broad-spectrum antimicrobial agent     povidone-iodine.</t>
  </si>
  <si>
    <t>US20220088044</t>
  </si>
  <si>
    <t>SUBSTANCES FOR TREATMENT OF CORONAVIRUS INFECTION</t>
  </si>
  <si>
    <t>17/025396</t>
  </si>
  <si>
    <t>SCANDIBIO THERAPEUTICS AB</t>
  </si>
  <si>
    <t>SCANDIBIO THERAPEUTICS</t>
  </si>
  <si>
    <t>Mardinoglu; Adil; (Goteborg, SE); Boren; Jan; (Goteborg, SE); Uhlen; Mathias; (Lidingo, SE)</t>
  </si>
  <si>
    <t>There is provided a method of treating a human subject that is or has     been infected with a coronavirus, comprising administration to the     subject of: A) serine, glycine, betaine, N-acetylglycine, N-acetylserine,     dimethylglycine, sarcosine and/or phosphoserine; B) N-acetyl cysteine,     cysteine and/or cystine; C) optionally carnitine, deoxycarnitine,     gamma-butyrobetaine, 4-trimethylammoniobutanal,     3-hydroxy-N6,N6,N6-trimethyl-L-lysine, N6,N6,N6-trimethyl-L-lysine and/or     lysine; and D) nicotinamide riboside, quinolinate, deamino-NAD+,     nicotinate D-ribonucleotide, nicotinamide D-ribonucleotide, nicotinate     D-ribonucleoside, nicotinamide and/or nicotinate.</t>
  </si>
  <si>
    <t>US20220088017</t>
  </si>
  <si>
    <t>COMPOSITIONS AND METHODS FOR TREATING VIRAL INFECTIONS</t>
  </si>
  <si>
    <t>17/476560</t>
  </si>
  <si>
    <t>Kimani, Harun; Drane, Walter</t>
  </si>
  <si>
    <t>KIMANI HARUN</t>
  </si>
  <si>
    <t>Kimani; Harun; (Nairobi, KE)</t>
  </si>
  <si>
    <t>A61K 47/44 20130101;  A61P 9/00 20180101;  A61K 31/505 20130101</t>
  </si>
  <si>
    <t>Preferred embodiments described herein relate to methods for preventing,     treating, or reducing symptoms of viral infections in patients by     administering a composition comprising one or more statins. The viral     infections may be coronavirus infections and the administration of the     statins may reduce vascular inflammation in the patient, leading to     prevention of heart failure and related complications.</t>
  </si>
  <si>
    <t>US20220088002</t>
  </si>
  <si>
    <t>METHOD AGAINST CORONAVIRUS INFECTION WITH QUINOLINE COMPOUND</t>
  </si>
  <si>
    <t>17/333303</t>
  </si>
  <si>
    <t>HORNG; Jim-Tong; (New Taipei City, TW); TANG; Wen-Fang; (Taoyuan City, TW); TSAI; Hui-Ping; (Taipei City, TW); HSIEH; Chung-Fan; (Taoyuan City, TW); LIN; Chia-Yi; (Taoyuan City, TW); LIN; Guan-Hua; (Taoyuan City, TW); CHEN; Yu-Li; (Taoyuan City, TW); HSIEH; Po-Shiuan; (Taipei City, TW); CHANG; Tien-Yao; (Taipei City, TW); CHANG; Yu-Hsiu; (Taipei City, TW)</t>
  </si>
  <si>
    <t>A61P 31/14 20180101;  A61K 9/0019 20130101;  A61K 9/0053 20130101;  A61K 31/4709 20130101</t>
  </si>
  <si>
    <t>Disclosed herein is a method against coronavirus infection, which     includes administering to a subject in need thereof an effective amount     of 6-bromo-2-[1-(2,5-dimethylphenyl)-5-methyl-1H-pyrazol-4-yl]-quinoline--    4-carboxylic acid or a pharmaceutically acceptable salt thereof.</t>
  </si>
  <si>
    <t>US20220087974</t>
  </si>
  <si>
    <t>METHOD AGAINST CORONAVIRUS INFECTION WITH COUMARIN-DERIVED COMPOUND</t>
  </si>
  <si>
    <t>17/333266</t>
  </si>
  <si>
    <t>A61K 31/37 20130101;  A61P 31/14 20180101</t>
  </si>
  <si>
    <t>Disclosed herein is a method against coronavirus infection, which     includes administering to a subject in need thereof an effective amount     of 8-benzoyl-4-methyl-9-phenyl-furo[2,3-h]chromen-2-one or a     pharmaceutically acceptable salt thereof.</t>
  </si>
  <si>
    <t>US20220087956</t>
  </si>
  <si>
    <t>COMBINATION THERAPIES WITH DISULFIRAM</t>
  </si>
  <si>
    <t>17/340684</t>
  </si>
  <si>
    <t>SPRING DISCOVERY, INC.</t>
  </si>
  <si>
    <t>SPRING DISCOVERY</t>
  </si>
  <si>
    <t>JACOBSON; Rachel; (Belmont, CA); COUSIN; Wendy; (Belmont, CA); NGUYEN; An; (Seattle, WA); PLOTT; Tempest; (San Mateo, CA); VAN TRUMP; William; (San Francisco, CA); NGUYEN; Dat; (Redwood City, CA); CHEN; Daniel; (San Mateo, CA); HEINRICH; Jarred; (Menlo Park, CA); KOMALO; Ben; (San Francisco, CA); NICOLAISEN; Lauren; (Redwood City, CA); ELABD; Christian; (Belmont, CA)</t>
  </si>
  <si>
    <t>Disclosed herein are compositions and methods for increasing lifespan,     for preventing or treating a disease including an aging-related disorder,     for reducing a symptom of aging, and/or boosting an immune system in a     mammal. Also disclosed herein are compositions and methods for improving     effectiveness of a vaccine in a mammal. The compositions comprise, at     least, a therapeutically effective amount of disulfiram and one or more     additional ingredients.</t>
  </si>
  <si>
    <t>US20220087955</t>
  </si>
  <si>
    <t>17/198157</t>
  </si>
  <si>
    <t>US20220087950</t>
  </si>
  <si>
    <t>COMPOUNDS, TARGETS AND PATHWAYS FOR MACROPHAGE MODULATION</t>
  </si>
  <si>
    <t>17/381857</t>
  </si>
  <si>
    <t>Chen; Jianzhu; (Lexington, MA); Hu; Guangan; (Westwood, MA)</t>
  </si>
  <si>
    <t>G01N 33/5026 20130101;  A61K 31/03 20130101</t>
  </si>
  <si>
    <t>Disclosed are methods of modulating macrophage activation to treat     various diseases, such as cancer, fibrosis, infectious diseases,     inflammatory diseases, metabolic diseases, or autoimmune diseases. Also     disclosed are methods of identifying compounds useful for modulating     macrophage activation as means to treat cancer, fibrosis, infectious     diseases, inflammatory diseases, metabolic diseases, or autoimmune     diseases.</t>
  </si>
  <si>
    <t>US20220087930</t>
  </si>
  <si>
    <t>SARS-CoV-2 Subunit Vaccine and Microneedle Array Delivery System</t>
  </si>
  <si>
    <t>17/538412</t>
  </si>
  <si>
    <t>UNIVERSITY OF PITTSBURGH</t>
  </si>
  <si>
    <t>UNIVERSITY PITTSBURGH</t>
  </si>
  <si>
    <t>Gambotto; Andrea; (Pittsburgh, PA); Falo, JR.; Louis; (Wexford, PA); Kim; Eun; (Allison Park, PA)</t>
  </si>
  <si>
    <t>A recombinant coronavirus vaccine is provided. Methods of making and     delivering the coronavirus vaccine also are provided. A microneedle array     is provided, along with methods of making and using the microneedle     array.</t>
  </si>
  <si>
    <t>US20220087767</t>
  </si>
  <si>
    <t>BARRIER DISPENSER AND METHOD OF USING THE SAME</t>
  </si>
  <si>
    <t>17/488057</t>
  </si>
  <si>
    <t>SANO CURATIO, LLC</t>
  </si>
  <si>
    <t>SANO CURATIO</t>
  </si>
  <si>
    <t>Chien; Norman Tien-Yo; (Sierra Madre, CA); Swartzbaugh; Richard Alan; (Henderson, NV)</t>
  </si>
  <si>
    <t>A61B 7/026 20130101;  A61B 7/00 20130101;  A61B 2090/0813 20160201;  A61B 90/08 20160201;  A61B 50/30 20160201;  A61B 46/10 20160201</t>
  </si>
  <si>
    <t>The present disclosure provides an apparatus comprising a housing with a     left side panel, right side panel, and top panel, each of which may     comprise a slot. The apparatus may comprise a front panel that is     insertable into the slots of the left and right-side panels. The front     panel may comprise a recessed region configured to receive a portion of a     medical instrument. A source of a barrier material may be supported by     the left and right-side panels. The apparatus may comprise a lid cover     comprising a roller portion that is insertable into a slot of the top     panel. The lid cover may pivot relative to the housing when the roller     portion is inserted into the slot of the top panel. The lid cover and the     front panel may form a gap through which a portion of the barrier     material may extend when the barrier material is dispensed.</t>
  </si>
  <si>
    <t>US20220087645</t>
  </si>
  <si>
    <t>GUIDED LUNG COVERAGE AND AUTOMATED DETECTION USING ULTRASOUND DEVICES</t>
  </si>
  <si>
    <t>17/029858</t>
  </si>
  <si>
    <t>Melapudi; Vikram; (Bangalore, IN); Aladahalli; Chandan Kumar Mallappa; (Bangalore, IN); Shriram; Krishna Seetharam; (Bangalore, IN)</t>
  </si>
  <si>
    <t>G06T 2207/10016 20130101;  A61B 8/4263 20130101;  G06V 10/17 20220101;  G06T 7/0012 20130101;  G06T 11/00 20130101;  G06T 2207/30061 20130101;  A61B 8/463 20130101;  G06T 2207/10132 20130101;  G06T 7/70 20170101;  A61B 8/5223 20130101</t>
  </si>
  <si>
    <t>Systems and methods for guided lung coverage and automated detection     using ultrasound devices are disclosed. The method for guided coverage     and automated detection of pathologies of a subject includes positioning     an ultrasound probe on a region of the subject body to be imaged. The     method includes capturing a video of the subject and processing the video     to generate a torso image of the subject and identify location of the     ultrasound probe on the subject body. The method includes registering the     video to an anatomical atlas to generate a mask of the region of the     subject body comprising a plurality of sub-regions of the subject body to     be imaged and superimposing the mask over the torso image. The method     further includes displaying an indicator corresponding to a location of     the each of the plurality of the sub-regions on the torso image. The     method further includes displaying the relative position of the     ultrasound probe with respect to the indicator corresponding to the     location of the each of the plurality of plurality of sub-regions of the     subject body to be imaged.</t>
  </si>
  <si>
    <t>US20220087620</t>
  </si>
  <si>
    <t>METHOD FOR DETERMINING A DISEASE OUTBREAK CONDITION AT A TRANSIT FACILITY</t>
  </si>
  <si>
    <t>17/540737</t>
  </si>
  <si>
    <t>PRINCE MOHAMMAD BIN FAHD UNIVERSITY</t>
  </si>
  <si>
    <t>AL ANEZI; Faisal; (Dhahran, SA)</t>
  </si>
  <si>
    <t>G01K 13/223 20210101;  G16H 50/80 20180101;  A61B 5/7282 20130101;  G16H 50/20 20180101;  A61B 5/0008 20130101</t>
  </si>
  <si>
    <t>A fever-causing disease outbreak detection system for an early warning of     the outbreak of an infectious disease. The system uses an array of     infrared detectors to measure the temperatures of individuals in a     population. The measured temperatures are used to create a measured     population temperature distribution. A central control unit generates a     predicted population temperature distribution using environmental data     such as local atmospheric conditions and compares the predicted     population temperature distribution to the measured population     temperature distribution. If an outbreak is detected, an alert is issued.</t>
  </si>
  <si>
    <t>US20220087570</t>
  </si>
  <si>
    <t>COUGH DETECTION</t>
  </si>
  <si>
    <t>17/541904</t>
  </si>
  <si>
    <t>CIRRUS LOGIC INTERNATIONAL SEMICONDUCTOR LTD.</t>
  </si>
  <si>
    <t>CIRRUS LOGIC SEMICONDUCTOR</t>
  </si>
  <si>
    <t>LESSO; John P.; (Edinburgh, GB); SURYONO; Yanto; (Tokyo, JP); IDO; Toru; (Tokyo, JP)</t>
  </si>
  <si>
    <t>A61B 5/7264 20130101;  A61B 5/7275 20130101;  A61B 5/0803 20130101;  A61B 5/725 20130101;  A61B 5/0823 20130101;  A61B 5/7246 20130101;  A61B 5/6803 20130101;  A61B 2562/0219 20130101</t>
  </si>
  <si>
    <t>A method of cough detection in a headset, the method comprising:     receiving a first signal from an external transducer of the headset;     receiving a second signal from an in-ear transducer of the headset; and     detecting a cough of a user of the headset based on the first and second     signals.</t>
  </si>
  <si>
    <t>US20220087546</t>
  </si>
  <si>
    <t>VITAL SIGN CAPTURE DEVICE</t>
  </si>
  <si>
    <t>17/479340</t>
  </si>
  <si>
    <t>Simon, Antonio; Spence, Rodderick</t>
  </si>
  <si>
    <t>SIMON ANTONIO</t>
  </si>
  <si>
    <t>Simon; Antonio; (Berlin, GA); Spence; Rodderick; (Doerun, GA)</t>
  </si>
  <si>
    <t>A61B 5/02055 20130101;  A61B 5/746 20130101;  A61B 5/1172 20130101;  A61B 5/7405 20130101;  A61B 5/1176 20130101;  A61B 5/0004 20130101;  A61B 5/742 20130101</t>
  </si>
  <si>
    <t>This present invention relates to a vital sign scanning apparatus that     comprises a portal for individuals to pass through. The vital sign     scanning apparatus detects the vital signs and other physiological     conditions of a user passing through the portal which is comprised of two     vertical sidewalls connected via a top wall or member. The sidewalls     and/or top member are comprised of a plurality of integrated sensors     including, without limitation, a heart rate sensor, SpO2 sensor, facial     recognition scanner, and an infrared temperature sensor to detect the     body temperature of the user passing through the portal. The sensors are     in communication with a processor and a display device that displays the     obtained vital sign values along with any abnormality notifications.</t>
  </si>
  <si>
    <t>US20220087538</t>
  </si>
  <si>
    <t>Smartphone Software-Based Measurement of Cyanosis and Capillary Refill     Time</t>
  </si>
  <si>
    <t>17/025075</t>
  </si>
  <si>
    <t>Hollander, Eric Jonathan</t>
  </si>
  <si>
    <t>HOLLANDER ERIC</t>
  </si>
  <si>
    <t>Hollander; Eric Jonathan; (Beverly Hills, CA)</t>
  </si>
  <si>
    <t>A system for measuring blood oxygenation levels and capillary refill time     (CRT) of a user includes a camera configured to capture a video stream     that includes a series of images representing a process of first     squeezing a fingernail of the user to a blanched state, and then     releasing to a resting state, and a Convolutional Neural Network (CNN)     based processing unit configured to process an input image to create a     two-dimensional representation of features, remove spatial relationships     in the two-dimensional representation, generate non-spatial metadata,     identify the fingernail in the resting state, and regions within a static     image of the fingernail, and configured to generate a blood oxygenation     value, and a measurement confidence level, and generate a CRT value of     the user by applying the blood oxygenation value, and the measurement     confidence level to a series of images captured by the camera over time.</t>
  </si>
  <si>
    <t>US20220087536</t>
  </si>
  <si>
    <t>TEMPERATURE MEASUREMENT METHOD AND MEASUREMENT DEVICE</t>
  </si>
  <si>
    <t>17/027675</t>
  </si>
  <si>
    <t>RADIANT INNOVATION INC.</t>
  </si>
  <si>
    <t>RADIANT INNOVATION</t>
  </si>
  <si>
    <t>HUANG; YU-CHIEN; (HSINCHU CITY, TW); LIAO; CHIEN-CHANG; (HSINCHU CITY, TW)</t>
  </si>
  <si>
    <t>A61B 2562/0271 20130101;  A61B 5/0075 20130101;  A61B 2560/0431 20130101;  G01J 5/0025 20130101;  A61B 5/015 20130101;  G01J 5/0265 20130101;  G01J 2005/0077 20130101;  G01J 5/10 20130101;  A61B 5/7203 20130101;  G01J 5/026 20130101;  A61B 2576/02 20130101</t>
  </si>
  <si>
    <t>A temperature measurement method and a measurement device are provided.     The temperature measurement method includes capturing, by a temperature     measurement device, a first sampling temperature of a first measurement     position surface of a subject body and a second sampling temperature of a     second measurement position surface of the subject body, the first     measurement position surface and the second measurement position surface     are where body surfaces of the subject have different thermal dissipation     rates when in contact with the air; computing an original measured     temperature according to the first sampling temperature; computing a     compensated temperature, the compensated temperature including a     temperature difference compensation value that is computed according to a     difference between the first sampling temperature and the second sampling     temperature; and correcting the original measured temperature according     to the compensated temperature to obtain the measured temperature.</t>
  </si>
  <si>
    <t>US20220087440</t>
  </si>
  <si>
    <t>Ventilator Headboard Apparatus</t>
  </si>
  <si>
    <t>17/483794</t>
  </si>
  <si>
    <t>VENTBOARDS LLC</t>
  </si>
  <si>
    <t>VENTBOARDS</t>
  </si>
  <si>
    <t>Pearson; Jeffrey Alan; (Olympia, WA)</t>
  </si>
  <si>
    <t>A47C 21/044 20130101;  A47C 19/022 20130101</t>
  </si>
  <si>
    <t>A ventilator headboard apparatus is a modular air handling and filtration     device used to recirculate and filter a volume of air. A chassis supports     at least one mounting panel, a supply plenum, and a cover plate to manage     the atmosphere at the head of a patient's bed, i.e., at the headboard. A     plenum space is formed between the supply plenum and the cover plate,     across the mounting panel. A pressurized conduit is connected between the     supply plenum and an air handling unit, arranging the air handling unit     in fluid communication with the plenum space directly, and the atmosphere     around a patient's head by extension. With operating energy supplied by a     power supply, the air handling unit is used to operably intake or exhaust     air across the cover plate according to user configurations and     situational requirements.</t>
  </si>
  <si>
    <t>US20220087341</t>
  </si>
  <si>
    <t>SELF-DISINFECTING GLOVE COMPOSITION AND METHOD OF PRODUCTION THEREOF</t>
  </si>
  <si>
    <t>17/029135</t>
  </si>
  <si>
    <t>REDDY, G. PRATAP</t>
  </si>
  <si>
    <t>REDDY</t>
  </si>
  <si>
    <t>REDDY; L.DHRUV SAI; (Chennai, IN); REDDY; L.DHARIKA; (Chennai, IN); SHAIK; ANITHA; (Plainsboro, NJ); SHAIK; ALEESHA; (Plainsboro, NJ)</t>
  </si>
  <si>
    <t>A method for manufacturing a self-disinfecting glove, the method     comprising dissolving an elastomer in a solvent to form a solution,     wherein the elastomer is selected from the group consisting of synthetic     rubber, natural rubber, and nitrile. Adding of a photosensitizer to the     elastomer solvent solution and evaporating the solvent solution to form a     film, wherein the photosensitizer is selected from the group consisting     of methylene blue, hypericin and titanium dioxide. Next hot pressing of     the film above elastomer's melting point to form a sheet. Finally     cutting, stacking and hot pressing the sheet again to enable even spread     of the photosensitizer throughout the sheet.</t>
  </si>
  <si>
    <t>US20220087333</t>
  </si>
  <si>
    <t>FACE MASKS CONFIGURED TO COUPLE TO EYEWEAR</t>
  </si>
  <si>
    <t>17/027197</t>
  </si>
  <si>
    <t>CRAIGWELL MILES</t>
  </si>
  <si>
    <t>Craigwell; Miles; (Seattle, WA)</t>
  </si>
  <si>
    <t>A41D 13/1161 20130101</t>
  </si>
  <si>
    <t>Face masks configured to fit over a nose and a mouth of a user wearing an     eyewear article. The face masks include a cover and an eyewear coupler.     The cover is configured to the cover the nose and the mouth of the user.     The eyewear coupler is attached to the cover and configured to     selectively attach to the eyewear article to couple the cover to the     eyewear article. In some examples, the face mask includes the eyewear     article to define a face-and-eye-mask.</t>
  </si>
  <si>
    <t>US20220087257</t>
  </si>
  <si>
    <t>Anti-Microbial Agent</t>
  </si>
  <si>
    <t>17/481651</t>
  </si>
  <si>
    <t>Sareen, Sidharth; Sareen, Mukul; Sareen, Jasbeer</t>
  </si>
  <si>
    <t>SAREEN SIDHARTH</t>
  </si>
  <si>
    <t>Sareen; Sidharth; (La Mirada, CA); Sareen; Mukul; (Ludhiana, IN); Sareen; Jasbeer; (Ludhiana, IN)</t>
  </si>
  <si>
    <t>A01N 25/12 20130101;  A61K 8/361 20130101;  A01N 37/02 20130101;  C09D 175/06 20130101;  A01P 1/00 20210801;  C09D 5/14 20130101;  A61Q 17/005 20130101</t>
  </si>
  <si>
    <t>An Anti-Microbial Agent (AMA) kills viruses, bacteria, and fungi on the     surface and prevents cross-transmission of the diseases by providing     products using a natural AMA having a fast acting, long-term virucidal     property. The AMA includes fatty acids from natural plants is an extract     which may be added to plastic objects like laptops, handles, mobile     phones and covers, suitcases, hand rails, plastic bags, medical apparels,     plastic gloves or products that are handled multiple times. The AMA may     be converted to coatings which may be applied by spray, roller, dip or     any other way to inanimate objects such as fabrics, paper and surfaces to     make them anti-microbial. The AMA may be combined with cosmetics and     applied on the body, for example on hands, to avoid pathogens from living     on hands and causing cross-contamination. The AMA can also be applied     during the washing of garments.</t>
  </si>
  <si>
    <t>US20220087220</t>
  </si>
  <si>
    <t>SYSTEM AND METHOD FOR TRAINING CANINES TO DETECT COVID-19 BY SCENT FOR     IMPLEMENTATION IN MOBILE SWEEPS</t>
  </si>
  <si>
    <t>17/314816</t>
  </si>
  <si>
    <t>K2 SOLUTIONS INC</t>
  </si>
  <si>
    <t>K2 SOLUTIONS</t>
  </si>
  <si>
    <t>Kjellsen; Lane; (Carthage, NC); DeLong; Lanie Teresa; (Berthoud, CO); Royston; Rachel Marie; (Pinehurst, NC)</t>
  </si>
  <si>
    <t>Systems and methods for training canines to detect a virus by scent, and     field implementation of a trained canine sweeping for the virus in a     public setting with high mobility, the public setting selected by     predictive analytics software. The trained canine is brought to a     location desired to be swept and moves freely around the location. The     canine searches for target odors or scents associated with the virus and     is able to follow the target odor or scent back to its source. A person     identified by a trained canine as a source of the target odor or scent     associated with the virus is quarantined or subjected to further testing     to confirm if they have the virus.</t>
  </si>
  <si>
    <t>US20220086597</t>
  </si>
  <si>
    <t>REAL-TIME MONITORING OF PROXIMITY BETWEEN A PLURALITY OF COMPUTING DEVICES</t>
  </si>
  <si>
    <t>17/178081</t>
  </si>
  <si>
    <t>CHANDEL; Vivek; (Gurgaon, IN); BANERJEE; Snehasis; (Kolkata, IN); GHOSE; Avik; (Kolkata, IN)</t>
  </si>
  <si>
    <t>Conventionally, Received Signal Strength Indicator (RSSI)-based solutions     have been extensively devised in the domains of indoor localization and     context-aware applications. These solutions are primarily based on a     path-loss attenuation model, with customizations on RSSI processing and     are usually regression-based. Further, existing solutions for distance     and proximity estimation incorporate data features derived only from the     RSSI values themselves with additional features like frequency of     occurrence of certain RSSI values thus are less accurate. Present     disclosure provides systems and methods that implement a classification     model that uses RSSI as well as temporal features derived from the     received data packets. The model uses data from multiple devices in     different environments for training and can execute proximity decisions     on the device itself. The method of the present disclosure monitoring     proximity between a plurality of devices implements/uses an effective     protocol for decision aggregation to suppress false positive proximity     events generated and further stabilizes device's response.</t>
  </si>
  <si>
    <t>US20220086370</t>
  </si>
  <si>
    <t>RADIOMETRIC CAMERA WITH BLACK BODY ELEMENTS FOR SCREENING INFECTIOUS     DISEASE CARRIERS AND METHOD FOR CALIBRATING A THERMAL CAMERA HAVING     INTERNAL BLACK BODY ELEMENTS</t>
  </si>
  <si>
    <t>17/024057</t>
  </si>
  <si>
    <t>ADASKY, LTD.</t>
  </si>
  <si>
    <t>ADASKY</t>
  </si>
  <si>
    <t>KUYBEDA; Oleg; (Portland, OR); IVANOV; Igor; (Haifa, IL); ALPERN; Yair; (Kiryat Tivon, IL); KUPERMAN; Vitaly; (Maalot, IL); SHERER; Neta; (Kibbutz Megido, IL)</t>
  </si>
  <si>
    <t>A61B 2560/0223 20130101;  A61B 5/41 20130101;  A61B 5/0075 20130101;  G06T 2207/10048 20130101;  A61B 5/01 20130101;  G06T 2207/30196 20130101;  A61B 5/0077 20130101;  G06T 7/80 20170101;  H04N 5/33 20130101</t>
  </si>
  <si>
    <t>A radiometric camera having internal black body components and a method     for calibrating a radiometric camera having internal black body     components. A radiometric camera includes a detector, the detector     further including a thermal detector configured to capture thermal     images, wherein the thermal detector is pointed in a direction, wherein     the radiometric camera is adapted to receive at least one black body     element in front of the detector with respect to the direction of the     thermal detector, the thermal detector having a plurality of portions     including at least one first portion, wherein the at least one black body     element affects radiation readings by the at least one first portion of a     plurality of portions of the thermal detector when disposed in the     radiometric camera.</t>
  </si>
  <si>
    <t>US20220086011</t>
  </si>
  <si>
    <t>System, Methods and Apparatus to Quantify Efficacy of Transportation     Systems and to Provide Electronic Warranty Certificate for Equipment and     Manage Maintenance Contracts</t>
  </si>
  <si>
    <t>17/412095</t>
  </si>
  <si>
    <t>Smart Bumper Sticker Inc</t>
  </si>
  <si>
    <t>SMART BUMPER STICKER</t>
  </si>
  <si>
    <t>Siddiqui; Qirfiraz; (Castro Valley, CA); de Bordeaux; Gilles Thierry; (Belmont, CA); Rosen; Nanette Gill; (San Francisco, CA)</t>
  </si>
  <si>
    <t>H04L 9/3263 20130101;  H04L 2209/38 20130101;  H04L 9/3247 20130101</t>
  </si>
  <si>
    <t>Disclosed is a method of evaluating transportation handling conditions     and events on packages, good and services, and providing an Electronic     Warranty Certificate (EWC) to manage maintenance contracts, comprising of     sensor modules equipped with MEMS and related micro-sensors, gathering     vital data and securely logging characteristics into embedded memory     modules suitably interfaced, offline or online, batch or real-time, with     wired or wireless connections to centralized or localized databases     providing custom programmed software producing dashboards, encrypted and     secured by technology like Blockchain which distributes     immutable/unchangeable information that can be verifiable without any     trusted third-party, for operational and executive management services.     The stored data is processed through Artificial Intelligence (AI) enabled     deep-learning algorithms to predictively point out problem links in the     transport chain network, so that remedial actions can be taken at the     related nodes of the problem links.</t>
  </si>
  <si>
    <t>US20220085666</t>
  </si>
  <si>
    <t>OUTDOOR LOCATION SYSTEM OF INDOOR WIRELESS GATEWAY</t>
  </si>
  <si>
    <t>17/408683</t>
  </si>
  <si>
    <t>ARRIS ENTERPRISES, INC.</t>
  </si>
  <si>
    <t>ARRIS</t>
  </si>
  <si>
    <t>CHAMBERLAIN; John Charles; (Hickory, NC)</t>
  </si>
  <si>
    <t>The external network connection device includes a housing, a location     indicator disposed on the housing, an external connector configured to     connect to the communication channel, a data receiver configured to     wirelessly receive a data signal through an external wall, a power     receiver configured to wirelessly receive a power signal through the     external wall and to power the external network connection device via the     received power signal, an electromagnetic signal detector configured to     detect the data signal or the power signal at an external side of the     external wall and to generate a directional indication signal based on     location of the detected at least one of the data signal and the power     signal. The location indicator is configured to indicate a location of     the electromagnetic signal at the external side of the external wall.</t>
  </si>
  <si>
    <t>US20220084688</t>
  </si>
  <si>
    <t>Infectious Disease Tracking Platform</t>
  </si>
  <si>
    <t>17/474850</t>
  </si>
  <si>
    <t>University of Texas System</t>
  </si>
  <si>
    <t>University of Texas</t>
  </si>
  <si>
    <t>Sharma; Gulshan; (League City, TX); McCaffrey; Peter; (Galveston, TX); Sellappan; Revathi; (League City, TX)</t>
  </si>
  <si>
    <t>A system and method of tracking a disease includes providing an     input/output interface, a memory, a staging database, a relational     database and one or more processors communicably coupled to the     input/output interface, the memory, the staging database and the     relational database, obtaining a first data corresponding to a first time     period for the disease from one or more data sources, storing the first     data in the staging database, obtaining a second data corresponding to a     second time period for the disease from the data sources, wherein the     second time period is different than the first time period, storing the     second data in the staging database, processing the first and second data     stored in the staging database using a disease curated data model,     storing the processed first and second data in the relational database,     and tracking the disease based on a plurality of metrics using the     processed first and second data.</t>
  </si>
  <si>
    <t>US20220084685</t>
  </si>
  <si>
    <t>MEDICAL LOGISTIC PLANNING SOFTWARE</t>
  </si>
  <si>
    <t>17/535613</t>
  </si>
  <si>
    <t>Galameau; Michael; (San Diego, CA); Wing; Vern; (San Diego, CA); Brock; Jonny; (Brownsboro, AL); D'Souza; Edwin; (Oceanside, CA); Elkins; Trevor; (San Diego, CA); Mitchell; Ray; (huntsville, AL); Negus; Tracy; (San Diego, CA); Nix; Ralph; (Escondido, CA); Walker; Jay; (San Diego, CA); Zouris; James; (San Diego, CA); Blood; Chirstopher G.; (San Diego, CA)</t>
  </si>
  <si>
    <t>The present invention is a software, methods, and system for creating and     editing a medical logistics simulation model and for presenting the     simulation model simulated within a military or disaster relief scenario.     A user interface that allows a user to enter and edit platforms and     associated attributes for a simulation model. The system runs the     simulation model based on user input and historical data stored in     databases using the inventive software. The present invention provides an     output for allowing a user to view casualty rates, patient streams, and     medical requirements or any other desired aspect of the simulation model.</t>
  </si>
  <si>
    <t>US20220084672</t>
  </si>
  <si>
    <t>TEMPERATURE MONITORING WEARABLE WITH AN ARTIFICIAL INTELLIGENCE ENGINE</t>
  </si>
  <si>
    <t>17/478322</t>
  </si>
  <si>
    <t>SMT</t>
  </si>
  <si>
    <t>SportsMEDIA</t>
  </si>
  <si>
    <t>Hall; Gerard J.; (Durham, NC)</t>
  </si>
  <si>
    <t>The present invention includes a sleep system with a temperature     monitoring wearable that is operable to capture biometric and     physiological data of a user while the user is sleeping. The present     invention further includes an artificial intelligence engine that is     operable to receive and analyze the captured biometric and physiological     data.</t>
  </si>
  <si>
    <t>US20220084659</t>
  </si>
  <si>
    <t>DIAGNOSTIC TEST KITS AND METHODS OF ANALYZING THE SAME</t>
  </si>
  <si>
    <t>17/222819</t>
  </si>
  <si>
    <t>SCANWELL HEALTH, INC.</t>
  </si>
  <si>
    <t>SCANWELL HEALTH</t>
  </si>
  <si>
    <t>ROWE; Aaron Alexander; (Toluca Lake, CA); KOH; Hui-Ling; (Santa Ana, CA); CHEN; Stephen L.; (Tustin, CA); WANG; Yunyuan Vivian; (Tustin, CA)</t>
  </si>
  <si>
    <t>G16H 30/40 20180101;  G01N 33/5302 20130101;  G01N 2458/00 20130101</t>
  </si>
  <si>
    <t>A method for analyzing a diagnostic test may include receiving an image     depicting a diagnostic test, wherein the diagnostic test comprises a test     region indicating a test result, validating quality of the image,     locating a test region image portion of the image depicting the test     region of the diagnostic test; and predicting the test result based on     the test region image portion. Furthermore, a method for facilitating     analysis of a diagnostic test may include receiving one or more images     depicting one or more control markings on a scan surface, wherein the one     or more control markings are representative of one or more predetermined     test results for the diagnostic test, and verifying detection of the one     or more control markings in the one or more images using at least one     computer vision technique.</t>
  </si>
  <si>
    <t>US20220084638</t>
  </si>
  <si>
    <t>PATIENT TEST DATA PROCESSING SYSTEM AND METHOD</t>
  </si>
  <si>
    <t>17/535266</t>
  </si>
  <si>
    <t>GOODMARK MEDICAL INTERNATIONAL LTD</t>
  </si>
  <si>
    <t>GOODMARK MEDICAL</t>
  </si>
  <si>
    <t>Oliphant; Iain; (Edinburgh, GB); Gove; Liam John Scott; (Edinburgh, GB); Clark; Michael David; (Edinburgh, GB); Szymanczak; Aleksandra; (Edinburgh, GB); Farish; Neil; (Edinburgh, GB)</t>
  </si>
  <si>
    <t>G16H 10/40 20180101;  G16H 40/67 20180101;  G16H 50/80 20180101;  G16H 15/00 20180101;  G16H 10/60 20180101;  G16H 50/70 20180101;  G16H 40/20 20180101;  G16H 40/63 20180101</t>
  </si>
  <si>
    <t>A method at a server system for processing patient test data from at     least one point of care device comprises receiving point of care test     data for a patient, retrieve demographic data for the patient from a said     electronic health record provider's computer, where the at least one     electronic health record provider's computer stores electronic health     records for patients, processing the point of care test data for the     patient using the demographic data and reference data, where the     reference data specifies at least one demographically dependent normal     range for point of care test data, setting a flag in the point of care     test data when the processing of the point of care test data determines     that the point of care test data lies outside the normal range, and     uploading the point of care test data to the electronic health record     data for the patient at the electronic health provider's computer.</t>
  </si>
  <si>
    <t>US20220084634</t>
  </si>
  <si>
    <t>PORTABLE SPECIMEN COLLECTION AND TESTING KIT</t>
  </si>
  <si>
    <t>17/021818</t>
  </si>
  <si>
    <t>LABWARE HOLDINGS, INC.</t>
  </si>
  <si>
    <t>LABWARE</t>
  </si>
  <si>
    <t>KERSHNER; Vance V.; (Wilmington, DE); Raiford; Jon F.; (Newark, DE); Reinecke; Eilze; (Chadds Ford, PA); Hardin; Vaughn; (Wilmington, DE); Payne; Peter; (Wilmington, DE); Peet IV; John; (Wilmington, DE); Robertson; Russell; (Chadds Ford, PA); Overman; Meric; (Chadds Ford, PA); Krasovec; Edward; (Media, PA)</t>
  </si>
  <si>
    <t>G06Q 50/265 20130101;  A61B 10/0096 20130101;  G06K 7/1413 20130101;  G16H 10/20 20180101;  G06Q 30/0185 20130101;  G06K 15/024 20130101;  G16H 10/60 20180101;  G16H 10/40 20180101;  G16H 40/20 20180101</t>
  </si>
  <si>
    <t>In one embodiment, a portable specimen and collection kit is provided.     The kit provides improved patient triage and streamlined specimen     collection with a cloud-based, HIPAA-compliant and user-friendly software     that is accessed by a field operations person via a tablet computer and a     mobile hotspot. The kit may use a software platform currently deployed in     7 U.S. state public health labs and most of the public health labs in     Canada. Once patient demographic details and answers to triage questions     are captured, labels are printed on an included wireless portable label     printer and affixed to the specimen container(s). The software routes the     specimen to the appropriate location (public health or commercial lab)     for testing based on priority and workload. The order information is     transmitted electronically to the testing laboratory information system     so that the specimen is immediately ready to be tested upon receipt in     the laboratory.</t>
  </si>
  <si>
    <t>US20220084207</t>
  </si>
  <si>
    <t>MOTION ANALYSIS OF THE DIGESTIVE TRACT</t>
  </si>
  <si>
    <t>17/477867</t>
  </si>
  <si>
    <t>MOTIENT SERVICES, INC.</t>
  </si>
  <si>
    <t>MOTIENT</t>
  </si>
  <si>
    <t>Menys; Alexander; (London, GB); Robbins; Thomas S.; (London, GB)</t>
  </si>
  <si>
    <t>G06T 7/248 20170101;  A61B 8/5223 20130101;  G16H 30/40 20180101;  G06T 7/0016 20130101;  G06T 2207/30092 20130101;  G06T 2207/10132 20130101;  A61B 8/08 20130101;  G06T 7/269 20170101;  G16H 30/20 20180101</t>
  </si>
  <si>
    <t>A method for analyzing a digestive tract of a patient using ultrasound.     The method includes receiving a plurality of ultrasound images taken over     a time series, determining movement characteristics of objects within the     ultrasound images based on movement of one or more pixels in the     ultrasound images over the time series, and outputting a visual data that     describes the movement characteristics.</t>
  </si>
  <si>
    <t>US20220084143</t>
  </si>
  <si>
    <t>SYSTEMS AND METHODS FOR CREATING CINEMATIC INFOMERCIALS AND FACILITATING     REAL-ESTATE TRANSACTIONS</t>
  </si>
  <si>
    <t>17/446582</t>
  </si>
  <si>
    <t>BOX OFFICE REALTY SERVICES LLC</t>
  </si>
  <si>
    <t>BOX OFFICE REALTY</t>
  </si>
  <si>
    <t>Byer; Keith; (Austin, TX)</t>
  </si>
  <si>
    <t>G06Q 30/0277 20130101;  G06Q 50/16 20130101;  G06Q 30/0276 20130101</t>
  </si>
  <si>
    <t>Systems and methods are described for creating cinematic infomercials and     facilitating real estate transactions. A system receives sell interest     for a property from a seller, receives a story from the owner of a real     estate property, collects images and 360-degree videos of the interior     and exterior of the property captured through a drone, geotags location     of the property, collects neighborhoods information, and create a     cinematic infomercial for the property and the environment around using a     machine-assisted media editing tool. The cinematic infomercial includes a     voice-over narrated story synced with 360 videos. The system facilitates     the listing of the property on an online portal that allows a potential     buyer to view more than 80 critical points of the property and     environment around with the help of cinematic infomercial and make a     buying decision. The system allows different stack holder to provide     other allied services to interact through the online portal and complete     the real estate transaction.</t>
  </si>
  <si>
    <t>US20220084141</t>
  </si>
  <si>
    <t>SYSTEMS AND METHODS FOR FACILITATING A MOBILE APPLICATION BASED RESTAURANT     EXPERIENCE</t>
  </si>
  <si>
    <t>17/420349</t>
  </si>
  <si>
    <t>SKINNER DANIEL J</t>
  </si>
  <si>
    <t>SKINNER DANIEL</t>
  </si>
  <si>
    <t>Skinner; Daniel J.; (Reynoldsburg, OH)</t>
  </si>
  <si>
    <t>Systems and methods for facilitating a mobile application based     restaurant experience are provided. A virtual waiter and customer     greeting may be generated at a customer and restaurant device upon     arrival of the customer at the restaurant. As part of the virtual     greeting, customers may indicate a desired level of interaction with an     assigned waiter for their restaurant experience so that menu items may be     ordered electronically or in person. Operations of the mobile application     may be altered based on the type of service normally provided by the     restaurant and/or user preference.</t>
  </si>
  <si>
    <t>US20220083978</t>
  </si>
  <si>
    <t>MISCONDUCT METRICS REPORTING GENERATION AND RENDERING ENGINE APPARATUSES,     METHODS, SYSTEMS AND MEDIA</t>
  </si>
  <si>
    <t>17/535610</t>
  </si>
  <si>
    <t>WEINDLING ARIEL D</t>
  </si>
  <si>
    <t>WEINDLING ARIEL</t>
  </si>
  <si>
    <t>Weindling; Ariel D.; (Los Angeles, CA)</t>
  </si>
  <si>
    <t>G06Q 10/105 20130101;  G06F 3/0482 20130101;  G06F 3/0484 20130101</t>
  </si>
  <si>
    <t>A misconduct metrics report generation request datastructure is obtained.     Misconduct metrics report parameters associated with the misconduct     metrics report generation request datastructure are determined. The     misconduct metrics report parameters specify a misconduct metric. A     database query for the specified misconduct metric is dynamically     generated. The database query operates on structured data associated with     existing misconduct reports. A set of tuples resulting from execution of     the dynamically generated database query is transformed into structured     chart data for the specified misconduct metric. Rendered in-memory HTML     is generated using an HTML template file and a chart image file generated     using the structured chart data for the specified misconduct metric. A     misconduct metrics report PDF file is generated using the rendered     in-memory HTML.</t>
  </si>
  <si>
    <t>US20220083932</t>
  </si>
  <si>
    <t>LOCATION-BASED RISK EVALUATION</t>
  </si>
  <si>
    <t>17/022171</t>
  </si>
  <si>
    <t>Yan; Shunguo; (Austin, TX); Liu; Su; (Austin, TX); Lavery; Andrew J.; (Austin, TX)</t>
  </si>
  <si>
    <t>An event at a location is identified. An event risk of the event can be     calculated based on risk characteristics of both the location of the     event ("location risk characteristics") and the event itself ("personnel     risk characteristics"). Location risk characteristics can include a     visitor history of the location. Personnel risk characteristics can be     based on attendees of the event, such as a number of attendees. The     overall event risk, once calculated, can be compared to a threshold.     Depending on the comparison, a risk mitigation policy can be implemented.</t>
  </si>
  <si>
    <t>US20220083760</t>
  </si>
  <si>
    <t>REMOTE PRESENCE-BASED DRIVING OBSERVATION AND ASSESSMENT EXAMINATION     ADMINISTRATION SYSTEM</t>
  </si>
  <si>
    <t>17/477245</t>
  </si>
  <si>
    <t>R.D. JONES, STOP EXPERTS, INC.</t>
  </si>
  <si>
    <t>JONES</t>
  </si>
  <si>
    <t>Jones, Sr.; Reginald S.; (Naperville, IL); Jones; Glenna W.; (Naperville, IL)</t>
  </si>
  <si>
    <t>G06N 20/00 20190101;  G08G 1/0116 20130101;  G06V 20/52 20220101;  G06V 20/13 20220101</t>
  </si>
  <si>
    <t>Techniques are described herein for providing a system and techniques for     remotely administering a practical exam, such as a road test component of     a driver's license examination. A platform server receives streaming data     captured by one or more audio and video sensors of a monitoring device     located in a vehicle during the road test component. The platform server     is at a location remote from the vehicle. The platform server identifies,     from the streaming data, one or more events associated with an individual     inside the vehicle taking the examination. The platform server evaluates     each event against one or more rules of the road test component and     generates an examination result based on the evaluation.</t>
  </si>
  <si>
    <t>US20220083142</t>
  </si>
  <si>
    <t>Ultrahapticons</t>
  </si>
  <si>
    <t>17/477536</t>
  </si>
  <si>
    <t>ULTRALEAP LIMITED</t>
  </si>
  <si>
    <t>ULTRALEAP</t>
  </si>
  <si>
    <t>Brown; Eddie; (Bristol, GB)</t>
  </si>
  <si>
    <t>Described herein are "Ultrahapticons," which are a set of tangible and     recognizable mid-air haptic icons that have been derived from research     study participants' metaphorical associations with car infotainment     features. In line with semiotic theory (the study of signs), data from     the study was analyzed to identify key characteristics that when realized     in mid-air haptic form, would enable a user to "feel" the feature they     are interacting with. Their use is not limited to an automotive context,     they can be instrumented to any application that exhibits the same     feature functionality i.e. home entertainment system, laptop UI's,     digital communication, Extended Reality (XR), and the like.</t>
  </si>
  <si>
    <t>US20220082280</t>
  </si>
  <si>
    <t>SYSTEMS AND METHODS TO MITIGATE INFECTION RISK USING AIR PURIFICATION</t>
  </si>
  <si>
    <t>17/476351</t>
  </si>
  <si>
    <t>DOUGLAS; Jonathan D.; (Mequon, WI); DREES; Kirk H.; (Cedarburg, WI); RISBECK; Michael J.; (Madison, WI)</t>
  </si>
  <si>
    <t>A method for providing filtered air to a zone of a building includes     operating an air handler to pass unfiltered air through a filter and     output filtered air to the zone of the building. The method includes     determining an amount of filtered air provided to the zone of the     building by the air handler. The method includes determining if     additional air filtration is required to satisfy at least one of a     desired amount of clean airflow or a desired reduction of a risk of     infection. The method includes activating an in-zone filtration device     and operating the in-zone filtration device to draw air from the zone     into an inner volume, filter the air, and recirculate the filtered air to     the zone of the building in response to determining additional air     filtration is required.</t>
  </si>
  <si>
    <t>US20220082277</t>
  </si>
  <si>
    <t>Air Vent Remora Air Filtering System</t>
  </si>
  <si>
    <t>17/019198</t>
  </si>
  <si>
    <t>LOWE ANGELICA</t>
  </si>
  <si>
    <t>Lowe; Angelica; (Westworth Village, TX)</t>
  </si>
  <si>
    <t>An indoor external air filtering and fragrance diffusing system composed     of a cage like apparatus that attaches to an existing air vent and holds     in place air filter. The present invention includes a device to hold a     filter from the exterior of a conventional air vent, allowing the airflow     into a room from the central air system and a customized air filter. The     present invention incorporates a variety of air filters that can be     adapted to the specific needs of a user. One variation of the filter     contains an embodiment that is comprised of absorbent material where a     fragrance of choice can be added. Yet another variation of the filter     contains an embodiment of absorbent material that already contains     fragrance.</t>
  </si>
  <si>
    <t>US20220081885</t>
  </si>
  <si>
    <t>AUTOMATIC WATER AND SOAP DISPENSING FAUCET</t>
  </si>
  <si>
    <t>17/021538</t>
  </si>
  <si>
    <t>Leighton, Alexandra Ahneman</t>
  </si>
  <si>
    <t>LEIGHTON ALEXANDRA</t>
  </si>
  <si>
    <t>Leighton; Alexandra Ahneman; (Greenwich, CT)</t>
  </si>
  <si>
    <t>E03C 1/046 20130101;  E03C 1/057 20130101</t>
  </si>
  <si>
    <t>An automatic faucet assembly having a faucet spout for simultaneously     dispensing water and soap; a touchless sensor on the automatic faucet     assembly; a soap supply for a soap; a water flow control valve; and a     controller. The touchless sensor is configured to signal the controller     to activate a timed wash cycle including a start-up phase to initiate     only water flow through the faucet spout for a first predetermined period     of time, a scrubbing phase to dispense the soap from the soap supply and     water flow simultaneously in a single stream through the faucet spout for     a second predetermined period of time, and a rinsing phase to provide     only water flow through the faucet spout for a third predetermined period     of time.</t>
  </si>
  <si>
    <t>US20220081730</t>
  </si>
  <si>
    <t>METHOD, SYSTEM AND APPARATUS FOR RESPIRATORY TESTING</t>
  </si>
  <si>
    <t>17/533829</t>
  </si>
  <si>
    <t>ANOTHER CHANCE NUTRA, LLC</t>
  </si>
  <si>
    <t>ANOTHER CHANCE NUTRA</t>
  </si>
  <si>
    <t>Davidson; John F.; (Guilford, CT); Xue; Zheng; (Madison, CT); Joaquim; Tony; (Milford, CT)</t>
  </si>
  <si>
    <t>The disclosure relates to method, system and apparatus for respiratory     testing. In one implementation, a method for detecting one or more     pathogens causing a respiratory infection includes the steps of: (1)     combining a quantity of mucous sample from a patient with a fluidic     reagent to form a test reagent, the mucous sample further comprising at     least one pathogen; (2) filtering the test reagent through a large volume     concentrator to obtain a filtered solution; and (3) introducing the     filtered solution onto a disc having a plurality of test site, wherein     each of the plurality of test sites further comprises at least one agent     to bind with the at least one pathogen to detect presence or absence of     an infection caused by the at least one pathogen. The mucus sample may be     obtained from nasal, nasopharyngeal or throat regions of the patient.</t>
  </si>
  <si>
    <t>US20220081678</t>
  </si>
  <si>
    <t>USE OF MESENCHYMAL STEM CELLS IN THE TREATMENT OF VIRAL INFECTIONS AND/OR     COMPLICATIONS CAUSED BY VIRAL INFECTIONS</t>
  </si>
  <si>
    <t>17/154117</t>
  </si>
  <si>
    <t>HUNAN YUANPIN CELL TECHNOLOGY CO. LTD</t>
  </si>
  <si>
    <t>HUNAN YUANPIN CELL</t>
  </si>
  <si>
    <t>Xue; Zhigang; (Changsha City, CN); Yi; Ning; (Changsha City, CN); Qi; Lingbin; (Changsha City, CN); Lv; Bo; (Changsha City, CN); Li; Chanyi; (Changsha City, CN); Zheng; Chunbing; (Changsha City, CN); Li; Weilin; (Changsha City, CN); Hua; Jiangzhou; (Changsha City, CN); Yan; Tenglong; (Changsha City, CN); Yang; Yuan; (Changsha City, CN)</t>
  </si>
  <si>
    <t>A61K 35/28 20130101;  C12N 5/0665 20130101;  C12Q 1/6881 20130101;  A61K 9/0019 20130101;  C12N 2500/02 20130101</t>
  </si>
  <si>
    <t>The present disclosure provides the use of mesenchymal stem cells (MSC)     in the treatment of viral infection and/or complications caused by the     viral infection. MSC can highly express multiple antioxidative stress     genes and secrete multiple antioxidative stress factors under the     stimulation of oxidative stress, inhibit inflammatory reaction and     excessive activation of immune cells, thus improving inflammatory indexes     and myocardial injury indexes of human bodies. MSC can regulate the     expression profile of monocyte genes and monocyte toxicity genes in     patients with viral infection, inhibit the excessive immune response,     protect alveolar function, and reduce the damage of lung and whole body     organs in patients with viral infection. MSC can regulate the expression     of antivirus-related genes and coagulation-related genes of terminally     differentiated cell subsets in patients with viral infection, inhibit the     excessive activation of monocytes in patients with viral infection, and     effectively treat the complications of patients with viral infection.</t>
  </si>
  <si>
    <t>US20220081489</t>
  </si>
  <si>
    <t>ANTI-TMPRSS2 ANTIBODIES AND ANTIGEN-BINDING FRAGMENTS</t>
  </si>
  <si>
    <t>17/153684</t>
  </si>
  <si>
    <t>REGENERON PHARMACEUTICALS, INC.</t>
  </si>
  <si>
    <t>REGENERON PHARMACEUTICALS</t>
  </si>
  <si>
    <t>PURCELL; Lisa; (Yorktown Heights, NY)</t>
  </si>
  <si>
    <t>C07K 16/283 20130101;  C07K 16/28 20130101;  A61P 31/16 20180101;  C07K 16/1018 20130101;  C12N 9/6424 20130101;  A61K 9/0019 20130101;  A61K 2039/505 20130101;  C07K 16/40 20130101</t>
  </si>
  <si>
    <t>The present invention includes an antibody or antigen-binding fragment     thereof that binds specifically to TMPRSS2 and methods of using such     antibodies and fragments for treating or preventing viral infections     (e.g., influenza virus infections).</t>
  </si>
  <si>
    <t>US20220081462</t>
  </si>
  <si>
    <t>COMPOUNDS AND METHODS FOR TREATMENT OF VIRAL INFECTIONS</t>
  </si>
  <si>
    <t>17/458023</t>
  </si>
  <si>
    <t>Chun; Byoung-Kwon; (Pleasanton, CA); Hui; Hon C.; (San Mateo, CA); Kalla; Rao V.; (Cupertino, CA); Mackman; Richard L.; (Millbrae, CA)</t>
  </si>
  <si>
    <t>Compounds and methods of using said compounds, singly or in combination     with additional agents, and salts, crystalline forms, pharmaceutical     compositions of said compounds for the treatment of viral infections are     disclosed.</t>
  </si>
  <si>
    <t>US20220081455</t>
  </si>
  <si>
    <t>17/409261</t>
  </si>
  <si>
    <t>Lazerwith; Scott E.; (Burlingame, CA); Medley; Jonathan William; (San Bruno, CA); Morganelli; Philip A.; (Oakland, CA); Naduthambi; Devan; (San Bruno, CA); Stratton; Thomas P.; (San Francisco, CA); Wang; Peiyuan; (San Mateo, CA)</t>
  </si>
  <si>
    <t>C07F 9/6561 20130101</t>
  </si>
  <si>
    <t>Compounds and methods of using said compounds, singly or in combination     with additional agents, and pharmaceutical compositions of said compounds     for the treatment of viral infections are disclosed.</t>
  </si>
  <si>
    <t>US20220081274</t>
  </si>
  <si>
    <t>Package opener, dispenser, and related methods.</t>
  </si>
  <si>
    <t>17/020306</t>
  </si>
  <si>
    <t>ROBLES CHRISTOPHER</t>
  </si>
  <si>
    <t>Robles; Christopher; (Chula Vista, CA)</t>
  </si>
  <si>
    <t>A tool for opening and dispensing soft package contents which has two     arms, a hinge connecting the arms, and a hollow prick. A soft package is     placed between the two arms so the soft package contents can be opened     and dispensed in an easy and sanitary manner through the hollow prick,     after which the arms can be opened, and the soft package easily disposed.</t>
  </si>
  <si>
    <t>US20220080811</t>
  </si>
  <si>
    <t>HAND SANITIZER, AIR PURIFICATION, AND FOGGER VEHICLE MOUNT</t>
  </si>
  <si>
    <t>17/246158</t>
  </si>
  <si>
    <t>D.E. SHAW &amp; CO., INC.</t>
  </si>
  <si>
    <t>SHAW</t>
  </si>
  <si>
    <t>Shaw; Al Farentino; (Westampton, NJ)</t>
  </si>
  <si>
    <t>B60H 2003/0042 20130101;  B60R 2011/0085 20130101;  B60R 2011/0056 20130101;  B60H 3/0078 20130101;  B60H 3/0014 20130101;  B60H 3/0035 20130101;  B60R 2011/0005 20130101</t>
  </si>
  <si>
    <t>The present invention is a hand sanitizer, air purification, fogger     vehicle mount, or combination thereof, attach to a dashboard of a     vehicle. Its purpose is to maximize disinfecting opportunities as a     countermeasure to the spread of disease, including COVID-19. As a hand     sanitizer, this invention is a hand-free device that minimizes     cross-contamination among vehicle patrons during operation. A sensor,     activated by hand proximity, sends a signal to a controller, then to a     pump to dispense a portion-controlled volume of hand sanitizer. To     disinfect airborne antigens, HEPA filtration and UV light are utilized.     Pathogen lingering on surfaces are disinfected by a fogger, which     dispenses atomized droplets throughout a vehicle. To eliminate exposure     to nebulized sanitizer, the controller may receive a wireless signal from     outside the vehicle. Independently powered, a vehicle can be sanitized     each time it arrives at a destination, made ready to transport the next     group of patrons safely.</t>
  </si>
  <si>
    <t>US20220080705</t>
  </si>
  <si>
    <t>COST EFFECTIVE ANTIVIRAL PLASTIC FILM, ITS METHOD OF MAKING AND     APPLICATIONS</t>
  </si>
  <si>
    <t>17/022913</t>
  </si>
  <si>
    <t>CHAN LAURENCE C</t>
  </si>
  <si>
    <t>CHAN LAURENCE</t>
  </si>
  <si>
    <t>CHAN; Laurence C.; (San Diego, CA)</t>
  </si>
  <si>
    <t>This invention involves a cost effective antiviral plastic film with     variable physical properties, comprising of at least one thinner surface     layer to minimize the amount of the expensive copper nano-powders     required to render the film to be antiviral, and one thicker substrate     layer with variable physical properties and thickness. The plastic film     is made using a co-extrusion cast film or a blown film process so that     the antiviral surface layer and the substrate are joined together as they     are made into a multilayer film. The physical properties for the plastic     film can be varied by using different kinds of polymeric materials such     as PE, PP, PVC, Nylons and others. Its low cost combined with variable     physical properties make our invented film suitable for making a wide     variety of affordable and safer protection products against the COVID-19.     Such products include gloves, masks, covers, wrappers, curtains, bags and     protective apparels, for use by individuals, healthcare facilities,     restaurants and other industries.</t>
  </si>
  <si>
    <t>US20220080450</t>
  </si>
  <si>
    <t>NONDESSICATING TARGET CAPTURE DEVICE</t>
  </si>
  <si>
    <t>17/476289</t>
  </si>
  <si>
    <t>Theberge; Ashleigh Brooks; (Seattle, WA); van Neel; Tammi; (Seattle, WA); Berthier; Jean; (Seattle, WA); Berthier; Erwin Stefan Peter; (Seattle, WA); Lee; Ulri Nicole; (Seattle, WA)</t>
  </si>
  <si>
    <t>Techniques for efficiently capturing targets, such as biological     materials, within the air are described. A lightweight, portable device     is configured to capture the targets without desiccation by flowing a     mixture of air carrying the targets with liquid droplets through a     nonlinear path in a partially enclosed interior of the device. For     example, a method includes generating an impinging jet comprising a     mixture of air, a target, and droplets. A baffle splits the impinging jet     into a recirculation zone and coalesces a mixture of the target and the     droplets onto an upper surface of the baffle. At least one channel     receives the coalesced mixture and transports the coalesced mixture to a     collection reservoir.</t>
  </si>
  <si>
    <t>US20220080439</t>
  </si>
  <si>
    <t>RIGID BOTTLE WITH PRESSURE EQUALIZATION FOR USE IN A LIQUID DISPENSING     SYSTEM</t>
  </si>
  <si>
    <t>17/469521</t>
  </si>
  <si>
    <t>AEREOS INTERIOR SOLUTIONS, LLC</t>
  </si>
  <si>
    <t>AEREOS INTERIOR SOLUTIONS</t>
  </si>
  <si>
    <t>KENNY; Paul; (Thousand Oaks, US)</t>
  </si>
  <si>
    <t>A47K 5/12 20130101;  B05B 11/00442 20180801</t>
  </si>
  <si>
    <t>A liquid dispensing system includes a liquid container and a one way     user-actuated dispensing valve for dispensing contained liquid. The     liquid container further includes a two way vent which allows for     ventilation of the contained liquid/gas in response to changes in air     pressure outside of the liquid container.</t>
  </si>
  <si>
    <t>US20220080408</t>
  </si>
  <si>
    <t>LATERAL FLOW ASSAY CASSETTE</t>
  </si>
  <si>
    <t>17/476329</t>
  </si>
  <si>
    <t>INBIOSE N.V.</t>
  </si>
  <si>
    <t>INBIOSE</t>
  </si>
  <si>
    <t>Needham; James William; (Seattle, WA); Firnhaber; Gustavo; (Seattle, WA)</t>
  </si>
  <si>
    <t>A lateral flow assay cassette comprising a swab holder is provided     herein. Also provided are kits comprising the lateral flow assay cassette     and methods of detecting an analyte.</t>
  </si>
  <si>
    <t>US20220080341</t>
  </si>
  <si>
    <t>NONWOVEN ANTIMICROBIAL AND ANTIVIRAL PROTECTIVE BARRIER</t>
  </si>
  <si>
    <t>17/533952</t>
  </si>
  <si>
    <t>Keuchel, Kenneth Herbert; Keuchel, Connor Ayrom; Keuchel, Brennen Ayrom; Keuchel, Destynn Ayrom</t>
  </si>
  <si>
    <t>KEUCHEL KENNETH</t>
  </si>
  <si>
    <t>Keuchel; Kenneth; (Solon, OH); Keuchel; Destynn; (Solon, OH); Keuchel; Brennen; (Solon, OH); Keuchel; Connor; (Solon, OH)</t>
  </si>
  <si>
    <t>A protective barrier having antimicrobial and antiviral properties. A     filtration media structure is constructed from an inner media layer and     an outer media layer. The inner and outer layers are spunbond and may be     nonwoven or woven. An antimicrobial additive of silver and copper is     compounded into a polypropylene base to form each of the layers. A middle     layer of melt blown nonwoven filtration media layer may be encapsulated     between the inner and outer media layers. The middle layer may also be     constructed with the antimicrobial additive of silver and copper for     enhanced antimicrobial protection. A channeling layer may also be     sandwiched between the inner and outer media layers. The channeling layer     comprises a plurality of filaments having a non-round or round     cross-section. The filaments are arranged in a three-dimensional (3D)     structure configured to disturb laminar flow through the protective     barrier and increase contact with the antimicrobial additive.</t>
  </si>
  <si>
    <t>US20220080227</t>
  </si>
  <si>
    <t>WEARABLE, MASKLESS RESPIRATORY ISOLATION DEVICE</t>
  </si>
  <si>
    <t>17/475729</t>
  </si>
  <si>
    <t>ESKANDAR, EMAD</t>
  </si>
  <si>
    <t>ESKANDAR EMAD</t>
  </si>
  <si>
    <t>Cohen; James Joseph; (Wenham, MA); Eskandar; Emad; (Swampscott, MA)</t>
  </si>
  <si>
    <t>A wearable respiratory isolation system is configured as an open collar     to be worn loosely around the neck of the user, with an articulating arm     positioning a mouthpiece in front of the mouth and nasal region of the     user. The system provides filtered and sterilized air through a     inhalation vent on the mouthpiece which creates a curtain of sterilized     air in front of the users face, which protects the users face from air     bourne pathogens provides sterile air for the user to inhale. Exhaled air     is extracted through an exhalation vent on the mouthpiece, is     decontaminated and exhausted to the rear of the user. A modified,     background oriented Schlieren imaging technique is used to determine     whether the user is inhaling or exhaling, and this information is used to     control the flow of sterilized air and the capture of exhaled gases.</t>
  </si>
  <si>
    <t>US20220080142</t>
  </si>
  <si>
    <t>HEAT AND MOISTURE EXCHANGER DEVICE (HME) WITH FILTERING</t>
  </si>
  <si>
    <t>17/475967</t>
  </si>
  <si>
    <t>SHIKANI, Alan Henry</t>
  </si>
  <si>
    <t>SHIKANI ALAN</t>
  </si>
  <si>
    <t>SHIKANI; Alan Henry; (Ruxton, MD)</t>
  </si>
  <si>
    <t>A61M 16/047 20130101;  A61M 16/0468 20130101;  A61M 16/1045 20130101</t>
  </si>
  <si>
    <t>A heat and moisture exchanger device (HME) mounted on an end of a     tracheotomy tube. The heat moisture exchange device has, in parallel with     reticulated polyurethane foam filter, an N95 filter material that is     customized in a wafer shape so that to precisely fits inside the housing     of the HME, with a good seal and avoiding air leakage. Airflow is     redirected inside the HME in a turbulent fashion, replicating Brownian     Motion and the phenomena of Impaction, Interception, and Diffusion that     are typically found in a HEPA filter, and enhancing filtration of air     that is breathed by tracheotomized patients, hence protecting these     patients from inhaling airborne germs and viruses, including COVID 19.</t>
  </si>
  <si>
    <t>US20220080106</t>
  </si>
  <si>
    <t>INTRAVASCULAR OXYGENATION SYSTEM AND METHOD</t>
  </si>
  <si>
    <t>17/464258</t>
  </si>
  <si>
    <t>MOONSHOT MEDICAL LLC</t>
  </si>
  <si>
    <t>MOONSHOT MEDICAL</t>
  </si>
  <si>
    <t>Evans; Morgan; (Apple Valley, MN); Arcand; Benjamin; (Minneapolis, MN); Boling; Carl Lance; (San Jose, CA); Chmura; Jennifer; (Minneapolis, MN)</t>
  </si>
  <si>
    <t>A61M 5/00 20130101;  A61M 37/0092 20130101;  A61M 2202/0208 20130101;  A61M 2005/006 20130101;  A61M 25/0068 20130101;  A61M 39/24 20130101</t>
  </si>
  <si>
    <t>A system for intravascular oxygenation may include a catheter shaft, a     vibratory member, and an oxygen source. The catheter shaft may have a     wall that extends from a proximal end to a distal end along a     longitudinal axis to form a lumen. The distal end may terminate in an     atraumatic tip that seals off an interior space of the lumen from an     adjacent exterior space. The distal end may include a coiled spring whose     coils are tightly disposed against adjacent coils. The vibratory member     may be configured to produce and transmit via the wall, to the coiled     spring, mechanical vibration or high-frequency acoustic energy. The     oxygen source may be configured to be coupled to the proximal end and to     deliver a flow of oxygen to an interior space for communication to the     exterior space, through gaps that exist or are created between adjacent     coils of the coiled spring.</t>
  </si>
  <si>
    <t>US20220080073</t>
  </si>
  <si>
    <t>Bag Disinfection</t>
  </si>
  <si>
    <t>17/411162</t>
  </si>
  <si>
    <t>ALDAHAIM ALI</t>
  </si>
  <si>
    <t>Aldahaim; Ali; (Al Jahra, KW)</t>
  </si>
  <si>
    <t>A bag for sterilizing and disinfecting personal items is provided,     comprising: a) a first layer comprising an environmentally friendly     degradable plastic linoleum; b) a second layer comprising a plate of     flexible glass fiber insulation or any suitable insulator, wherein the     insulation or suitable insulator provides insulation and support for the     first layer and is preferably environmentally friendly and biodegradable;     and c) a third layer comprising a disinfectant wet wipe wetted with: i)     one or more disinfectants approved by the World Health Organization; or     ii) water and one or more extracts from fruits and/or herbs; wherein the     bag is configured to enable a user to rub one or more personal items     placed inside the bag from outside the bag, thereby sterilizing and     disinfecting the one or more personal items without the need for the user     to touch the one or more personal items. Methods for sterilizing and     disinfecting a personal item are also provided.</t>
  </si>
  <si>
    <t>US20220080070</t>
  </si>
  <si>
    <t>APPARATUS AND METHODS FOR TRIOXIDANE DISINFECTION</t>
  </si>
  <si>
    <t>17/474748</t>
  </si>
  <si>
    <t>DD STEROZONE LLC</t>
  </si>
  <si>
    <t>DD STEROZONE</t>
  </si>
  <si>
    <t>FROST; Kevin; (Columbus, OH); ADLER; Landon; (Jacksonville, FL)</t>
  </si>
  <si>
    <t>A01N 59/00 20130101;  C01B 13/326 20130101;  A61L 2202/11 20130101;  A61L 2202/15 20130101;  A61L 2/26 20130101;  A61L 2/22 20130101</t>
  </si>
  <si>
    <t>Compositions, methods and apparatus for trioxidane disinfection. The     compositions may contain trioxidane in microbicidal concentrations of     trioxidane effective for disinfection of surfaces. The apparatus may be     used to produce the compositions. The apparatus may be used to deliver     the compositions. The apparatus may be used to perform one or more steps     of the methods. The methods may include methods for disinfection with the     trioxidane compositions produced in or delivered via one or more of the     apparatus.</t>
  </si>
  <si>
    <t>US20220080067</t>
  </si>
  <si>
    <t>17/527820</t>
  </si>
  <si>
    <t>B65D 65/466 20130101;  A61L 2202/16 20130101;  A61L 2/186 20130101;  B65D 33/16 20130101;  B65D 65/40 20130101;  A61L 2202/122 20130101;  A61L 2/26 20130101</t>
  </si>
  <si>
    <t>A bag for sterilizing and disinfecting personal items is provided,     comprisinga layer comprising a disinfectant wet wipe, alone or in     combination with another layer comprising an environmentally friendly     degradable plastic linoleum, particularly wherein the wet wipe comprises     cotton or tree fibers and is wetted with: i) one or more disinfectants     approved by the World Health Organization; or ii) water and one or more     extracts from fruits and/or herbs; wherein the bag is configured to     enable a user to rub one or more personal items placed inside the bag     from outside the bag, thereby sterilizing and disinfecting the one or     more personal items without the need for the user to touch the one or     more personal items. Methods for sterilizing and disinfecting a personal     item are also provided.</t>
  </si>
  <si>
    <t>US20220080062</t>
  </si>
  <si>
    <t>Sanitizing sunshade</t>
  </si>
  <si>
    <t>17/018249</t>
  </si>
  <si>
    <t>SHAFER KEVIN</t>
  </si>
  <si>
    <t>Shafer; Kevin; (Carlsbad, NM)</t>
  </si>
  <si>
    <t>The present invention is directed to a sunshade for vehicles which has     both a disinfecting and illuminating function. The sunshade includes a     reflective outer surface and is foldable for stowing purposes. The inner     surface includes at least a pair of UV lamps positioned thereon. The     lamps, which may use UV-C radiation are preferably powered by both an     attached solar cell array, and the vehicles' electrical system. When the     vehicle is parked, the sunshade may be deployed within the windshield and     electrically connected to the vehicle's battery. The UV lamps give off     radiation which disinfects the vehicle while unoccupied. The lamps also     give off colored radiation which has a pleasing aesthetic, especially at     night.</t>
  </si>
  <si>
    <t>US20220080039</t>
  </si>
  <si>
    <t>MULTIVALENT INFLUENZA NANOPARTICLE VACCINES</t>
  </si>
  <si>
    <t>17/534659</t>
  </si>
  <si>
    <t>BODDAPATI; Sarathi; (Germantown, MD); HERWADKAR; Anushree; (Clarksburg, MD); WONG; Jason; (Rockville, MD); LIN; Yen-Huei; (Rockville, MD); SMITH; Gale; (Germantown, MD); TIAN; Jing-Hui; (Germantown, MD)</t>
  </si>
  <si>
    <t>A61K 39/145 20130101;  A61K 2039/70 20130101;  A61K 9/51 20130101;  A61P 31/16 20180101;  A61K 9/0051 20130101</t>
  </si>
  <si>
    <t>Disclosed herein are multivalent nanoparticle vaccine compositions     suitable for use in influenza vaccines. The nanoparticles include     effective amounts of influenza glycoproteins that provide increased     immune responses compared to a commercially available influenza vaccine     composition. The present disclosure also provides vaccine formulation     strategies that are cost effective and are convenient for clinical use.     Methods of administering the nanoparticle vaccine compositions to a     subject are also disclosed.</t>
  </si>
  <si>
    <t>US20220080020</t>
  </si>
  <si>
    <t>COMPOSITIONS AND METHODS FOR REDUCING THE TRANSMISSIVITY OF ILLNESSES     USING AN ORAL DELIVERY SYSTEM</t>
  </si>
  <si>
    <t>17/409669</t>
  </si>
  <si>
    <t>Montagnier, Luc; Lorenzen, Lee H.</t>
  </si>
  <si>
    <t>MONTAGNIER LUC</t>
  </si>
  <si>
    <t>Montagnier; Luc; (New York, NY); Lorenzen; Lee H.; (Ranch Santa Margarita, CA)</t>
  </si>
  <si>
    <t>A61K 47/10 20130101;  A61K 33/38 20130101;  A61K 31/352 20130101;  A61K 31/047 20130101;  A61K 31/122 20130101;  A61K 31/704 20130101;  A61K 31/23 20130101;  A61K 31/375 20130101;  A61K 31/4709 20130101;  A61K 36/9066 20130101;  A61K 9/14 20130101;  A61K 36/752 20130101;  A61K 33/30 20130101;  A61K 9/08 20130101</t>
  </si>
  <si>
    <t>Methods for prophylactic and anti-transmissivity uses of an     anti-microbial composition are disclosed. The methods comprise the step     of administering to a human an amount of a composition having a first     ingredient being xylitol; a second ingredient comprised of a     glycyrrhizin-protargin-quercetin complex, in addition to formula     stabilizing ingredients of glycerol monolaurate, grapefruit seed extract;     vitamin C (ascorbic acid), aloe emodin, curcumin, 1,8-cineole, zinc,     quinine, flavoring, and an acceptable preservative for use in an oral     application. When administered the composition is effective in reducing     the incidence of contracting an illness or to prophylactically help     prevent transmission of an illness into the or cavity and respiratory     tract.</t>
  </si>
  <si>
    <t>US20220079981</t>
  </si>
  <si>
    <t>LAVAGE TECHNIQUES AND VIRUCIDAL COMPOSITIONS COMPRISING HYPOCHLOROUS     SOLUTIONS</t>
  </si>
  <si>
    <t>17/475741</t>
  </si>
  <si>
    <t>FACERESTORATION LTD</t>
  </si>
  <si>
    <t>FACERESTORATION</t>
  </si>
  <si>
    <t>Murthy; Rachna; (Norfolk, GB); Roos; Jonathan; (Norfolk, GB)</t>
  </si>
  <si>
    <t>A61P 31/02 20180101;  A61K 9/0048 20130101;  A61K 9/08 20130101;  A61K 33/20 20130101</t>
  </si>
  <si>
    <t>The present disclosure provides methods and compositions for treating and     preventing conditions characterised by infection and/or inflammation of     mucus membranes, skin and surrounding structures, especially of the eyes,     ears &amp; ear canal, nose, pharynx, mouth, urethra, vagina, glans penis,     anus, skin and nipples. The presently disclosed methods may include     administering hypochlorous acid to the patient's surfaces, such as in the     form of a composition described within this manuscript. In many     embodiments, the disclosed compositions may have varying pH and/or     concentrations of hypochlorous, for example specific pH and hypochlorous     concentrations that may be tailored for each treatment environment. In     many embodiments, the disclosed compositions may be administered with     site specific applicators, configured so as to increase tolerability.</t>
  </si>
  <si>
    <t>US20220079961</t>
  </si>
  <si>
    <t>NASAL SPRAY FORMULATIONS USING BOTANICALS, STEROIDS ORGANOSILANE     QUATERNARIES, POLYOL STABILIZING AGENTS AND NONIONIC SURFACTANT AS     ANTIMICROBIALS, ANTIVIRALS AND BIOCIDES TO PROTECT THE CELLS, SKIN AND     HAIR OF NASAL PASSAGES</t>
  </si>
  <si>
    <t>17/476768</t>
  </si>
  <si>
    <t>AP GOLDSHIELD LLC</t>
  </si>
  <si>
    <t>AP GOLDSHIELD</t>
  </si>
  <si>
    <t>Higgins; Thomas L.; (Locust Valley, NY)</t>
  </si>
  <si>
    <t>A61K 31/05 20130101;  A61K 31/695 20130101;  A61K 9/0043 20130101;  A61K 31/573 20130101</t>
  </si>
  <si>
    <t>This invention relates to the formulations and methods for use to     sanitize and protect goblet secretory cells, which produce mucus, as well     as the skin cells and hair within the nasal passage to inhibit bacterial,     fungal and viral infections. A novel nasal spray composition of the     invention includes an organosilane compound, C.sub.23H.sub.52ClNO.sub.3Si     cross-linked to a botanical, Thymol, C.sub.10H.sub.14O, a steroid,     dexamethasone, C.sub.22H.sub.29FO.sub.5, a polyol stabilizing agent and a     nonionic surfactant that adheres to mucosa, skin cells and hair in the     nasal passages. The composition creating a 12-24 hour, and up to a     48-hour bio-barrier to inhibit an infection from bacteria fungi, and     viruses.</t>
  </si>
  <si>
    <t>US20220079897</t>
  </si>
  <si>
    <t>17/231716</t>
  </si>
  <si>
    <t>A61K 31/7052 20130101;  A61K 31/4706 20130101;  A61K 31/685 20130101;  A61K 31/135 20130101;  A61K 31/167 20130101</t>
  </si>
  <si>
    <t>This disclosure features compounds and compositions that are useful in     methods of treating coronavirus infections (e.g., useful in methods of     treating COVID-19) in a subject in need thereof. The methods include     administering to the subject niclosamide compounds (or pharmaceutically     acceptable salts and/or co-crystals thereof, e.g., niclosamide). In some     embodiments, the niclosamide compounds have one or more properties that     include, but are not limited to: a particular purity (e.g., a chemical     purity of greater than about 99.0%) or a particular particle size (e.g.,     a particular particle size distribution and/or a particular particle size     range and/or a specific surface area range). In an aspect, the     niclosamide compounds described herein (e.g., niclosamide) can form part     of compositions, dosage forms (e.g., unit dosage forms), and the like,     which are suitable for respiratory administration (e.g., via inhalation     and/or intranasally). In another aspect, the niclosamide compounds     described herein (e.g., niclosamide) can form part of compositions,     dosage forms (e.g., unit dosage forms), and the like, which are suitable     for administration to the GI tract (e.g., orally or rectally such as via     enema)).</t>
  </si>
  <si>
    <t>US20220079876</t>
  </si>
  <si>
    <t>OCULAR IMPLANT CONTAINING A TYROSINE KINASE INHIBITOR</t>
  </si>
  <si>
    <t>17/210719</t>
  </si>
  <si>
    <t>OCULAR THERAPEUTIX, INC.</t>
  </si>
  <si>
    <t>OCULAR THERAPEUTIX</t>
  </si>
  <si>
    <t>Blizzard; Charles D.; (Nashua, NH); Driscoll; Arthur; (Reading, MA); El-Hayek; Rami; (Norwood, MA); Goldstein; Michael; (Cambridge, MA); Iacona; Joseph; (Somerville, MA); Jarrett; Peter; (Burlington, MA); Jarrett; Timothy S.; (Boston, MA); Kahn; Erica; (Cambridge, MA); Lattrell; Zachary; (Newburyport, MA)</t>
  </si>
  <si>
    <t>The invention relates to a sustained release biodegradable ocular implant     containing a tyrosine kinase inhibitor dispersed in a hydrogel for the     treatment of a retinal disease for an extended period of time.</t>
  </si>
  <si>
    <t>US20220079830</t>
  </si>
  <si>
    <t>Collapsible Casket Viewing Barrier</t>
  </si>
  <si>
    <t>17/474361</t>
  </si>
  <si>
    <t>Vega, Jesus; De Leon, Jason</t>
  </si>
  <si>
    <t>VEGA JESUS</t>
  </si>
  <si>
    <t>Vega; Jesus; (Mission, TX); De Leon; Jason; (Edinburg, TX)</t>
  </si>
  <si>
    <t>A collapsible casket viewing barrier includes a first transparent shield     pivotally connected to a second transparent shield. The transparent     shields are disposed within supporting frames that are connected via one     or more hinges. Each supporting frame includes attached support legs,     which may be telescopically adjustable and include wheels for easy     transport. The first supporting frame and the second supporting frame are     configured to move between a deployed configuration for use and a     collapsed configuration for storage. When deployed during a funeral     service, the collapsible casket viewing barrier can be positioned     adjacent a casket such that the longer first transparent shield extends     lengthwise along the casket while the shorter second transparent shield     extends perpendicularly along the upper end of the casket. The casket is     shielded in a way that allows individuals to view the deceased while     reducing the transmission of germs.</t>
  </si>
  <si>
    <t>US20220079656</t>
  </si>
  <si>
    <t>SYSTEMS AND METHODS FOR THERAPEUTIC NASAL TREATMENT</t>
  </si>
  <si>
    <t>17/477714</t>
  </si>
  <si>
    <t>NEURENT MEDICAL LTD</t>
  </si>
  <si>
    <t>NEURENT MEDICAL</t>
  </si>
  <si>
    <t>Townley; David; (County Clare, IE)</t>
  </si>
  <si>
    <t>The invention generally relates to systems and methods for providing     precision targeting of tissue in a nasal region of a patient for the     treatment of a nasal condition while minimizing or avoiding vaporization     and/or aerosolization of both targeted and non-targeted tissue to thereby     reduce risk of transmitting airborne viral loads.</t>
  </si>
  <si>
    <t>US20220079519</t>
  </si>
  <si>
    <t>Smart Wearable Device</t>
  </si>
  <si>
    <t>17/384912</t>
  </si>
  <si>
    <t>JIRIK GREG</t>
  </si>
  <si>
    <t>Jirik; Greg; (Lonsdale, MN)</t>
  </si>
  <si>
    <t>A61B 5/14542 20130101;  A61B 5/681 20130101;  A61B 5/02438 20130101;  G01K 1/028 20130101;  A61B 5/02055 20130101;  A61B 5/01 20130101;  G08B 7/06 20130101;  G04G 21/025 20130101;  A61B 5/742 20130101</t>
  </si>
  <si>
    <t>A smart wearable device for detecting and displaying a skin temperature     reading. The smart wearable device may be a temperature sensing     wristwatch comprising a temperature sensor for measuring wearer's body     temperature while the watch is worn. The temperature sensing wristwatch     further comprises a plurality of indicating lights which illuminate in     different colors to identify elevated body temperatures and normal body     temperatures. The detected temperature is clearly displayed on a display     screen of the device in a highly visible manner and creates an awareness     of symptoms such as running fever among others in order to prevent and     control the spread of diseases.</t>
  </si>
  <si>
    <t>US20220079503</t>
  </si>
  <si>
    <t>SYSTEM AND METHOD FOR PROVIDING FOUR RING VISUAL ELECTROPHYSIOLOGY     STIMULUS</t>
  </si>
  <si>
    <t>17/473144</t>
  </si>
  <si>
    <t>DIAGNOSYS LLC</t>
  </si>
  <si>
    <t>DIAGNOSYS</t>
  </si>
  <si>
    <t>Farmer; Jeffrey D.; (Chelmsford, MA)</t>
  </si>
  <si>
    <t>A system for testing different regions of the retina of a subject for     retinal function, said system comprising: a monitor configured to display     a visual electrophysiology stimulus to the subject, wherein the visual     electrophysiology stimulus comprises a four ring visual electrophysiology     stimulus; at least one active electrode; at least one reference     electrode; and a computer configured to receive electrical signals from     said at least one active electrode and said at least one reference     electrode, and process the electrical signals.</t>
  </si>
  <si>
    <t>US20220079439</t>
  </si>
  <si>
    <t>Biometric Imaging and Biotelemetry System</t>
  </si>
  <si>
    <t>17/338866</t>
  </si>
  <si>
    <t>HEISLOP CHRISTIAN; SWIFT JOSEPH</t>
  </si>
  <si>
    <t>Heislop; Christian; (Crossville, TN); Swift; Joseph; (Crossville, TN)</t>
  </si>
  <si>
    <t>A61B 5/0013 20130101;  G16H 15/00 20180101;  A61B 5/0008 20130101;  G16H 30/40 20180101;  H04N 5/2256 20130101;  A61B 5/0077 20130101;  H04N 5/247 20130101;  A61B 5/01 20130101;  G16H 10/60 20180101;  G16H 50/70 20180101</t>
  </si>
  <si>
    <t>A biometric imaging and biotelemetry (BIB) system is provided that may be     configured to capture, analyze, and process qualitative and quantitative     biomarker data acquired from the process of imaging individuals. The BIB     system can rapidly measure facial and other body temperatures of a test     subject, along with a plurality of other biometric parameters that may be     compiled into a subject-specific health profile which, in turn, may     provide insights into the wellness or illness of the individual. The BIB     system captures biometric data by appropriately configured,     multispectral, high resolution digital cameras and sensors. This data is     then interconnected to data processing units that employ algorithms,     artificial intelligence, and self-learning/deep learning to analyze and     process data, render decisions, and manage actions via complex analytical     methodologies. The BIB system provides essentially instantaneous analyses     that give real-time insights into the wellness or illness of a test     subject.</t>
  </si>
  <si>
    <t>US20220079366</t>
  </si>
  <si>
    <t>SYSTEMS AND METHODS FOR DELIVERING UNCONTAMINATED FOOD ORDERS</t>
  </si>
  <si>
    <t>17/020551</t>
  </si>
  <si>
    <t>Cotton-Betteridge, Stephanie; Cotton-Betteridge, Samuel</t>
  </si>
  <si>
    <t>COTTON-BETTERIDGE STEPHANIE</t>
  </si>
  <si>
    <t>Cotton-Betteridge; Stephanie; (Highland, UT); Cotton-Betteridge; Samuel; (Highland, UT)</t>
  </si>
  <si>
    <t>A food delivery container for delivering food that is not contaminated     during delivery. The container is locked with an electromechanical lock     that is keyed with a unique electronic code or key that is generated     during the ordering process based on information collected from the     consumer. The electronic key is transmitted to the user's electronic     device, such as a phone, and the user transmits the key from the     electronic device to the lock to unlock the container.</t>
  </si>
  <si>
    <t>US20220079272</t>
  </si>
  <si>
    <t>ANTIBACTERIAL DEODORANT QUICK-DRYING MASK</t>
  </si>
  <si>
    <t>17/017691</t>
  </si>
  <si>
    <t>HUIZHOU LIXING TEXTILE CO., LTD.</t>
  </si>
  <si>
    <t>HUIZHOU LIXING TEXTILE</t>
  </si>
  <si>
    <t>LIANG; YUAN; (Shenzhen, CN)</t>
  </si>
  <si>
    <t>A41D 2500/30 20130101;  A41D 31/10 20190201;  A41D 13/1192 20130101;  A41D 2400/36 20130101;  A41D 2500/10 20130101;  A41D 2500/20 20130101;  A41D 13/1161 20130101;  A41D 31/305 20190201</t>
  </si>
  <si>
    <t>The invention discloses an antibacterial deodorant quick-drying mask     comprising a mask body and a strap, wherein the mask body comprises a     water repellent outer cloth layer, a first upright cotton layer, a first     needle-punched cotton layer, a melt-blown cloth layer, a second     needle-punched cotton layer, a second upright cotton layer and an inner     functional cloth layer. The inner functional cloth layer is woven by     antibacterial yarns and spandex yarns, and a quick-drying aid is added     into the inner functional cloth layer. The invention has the functions of     antibiosis, deodorization and quick-drying, has soft hand feeling, is     safe to use and high in comfort level and filtering rate, does not     wrinkle, and enables the mask to keep the original contour all the time.</t>
  </si>
  <si>
    <t>US20220079271</t>
  </si>
  <si>
    <t>PERSONAL PROTECTION SYSTEM AND METHOD</t>
  </si>
  <si>
    <t>17/539009</t>
  </si>
  <si>
    <t>PABBAN DEVELOPMENT, INC.</t>
  </si>
  <si>
    <t>PABBAN DEVELOPMENT</t>
  </si>
  <si>
    <t>Memita; Carlo C.; (Laguna Hills, CA)</t>
  </si>
  <si>
    <t>A42B 3/221 20130101;  A42B 3/225 20130101;  A41D 13/1161 20130101;  A41D 13/1184 20130101;  A61F 9/045 20130101</t>
  </si>
  <si>
    <t>A facial shield for a protective headgear system includes a polymeric     sheet having an upper portion configured to be coupled to a support and a     lower portion having a lower extremity, wherein the upper portion     includes a first hole, a second hole, and a third hole, each one of the     first, second, and third holes laterally spaced from the other two of the     first, second, and third holes, and the first hole including a first     section having a first hole gap and a second section laterally adjacent     the first section and having a second hole gap, wherein the first hole     gap of the first hole is greater than or equal to the maximum vertical     dimension of a first hook of the support, and wherein the second hole gap     of the first hole is greater than a vertical base thickness of a base of     the first hook and is less than the maximum vertical dimension of the     first hook.</t>
  </si>
  <si>
    <t>US20220079269</t>
  </si>
  <si>
    <t>FACE MASK WITH TRANSPARENT PORTION</t>
  </si>
  <si>
    <t>17/187268</t>
  </si>
  <si>
    <t>HILLS; SETH; (Richmond, VA); BURKHARDT; BRIAN; (Richmond, VA); MILLER; JOHN; (Richmond, VA); OLIVER; MELISSA; (Richmond, VA)</t>
  </si>
  <si>
    <t>A41D 2500/50 20130101;  A41D 13/1161 20130101;  A41D 2500/30 20130101</t>
  </si>
  <si>
    <t>A mask can be used on a face of a wearer having a head, a face, a nose,     and a mouth. The mask can comprise a transparent body defining a     peripheral rim that is configured to engage the face of the wearer. The     transparent body can be configured to simultaneously cover the mouth and     the nose of the wearer. The transparent body can define at least one     aperture. The transparent body can define a circumferential surface     around each aperture. A respective filter media can extend across and     covers each aperture of the at least one aperture. A respective retaining     element can be configured to retain the respective filter media across     each aperture. The circumferential surface around each aperture can be     configured to cooperate with the retaining element to retain the     respective filter media between the retaining element and the     circumferential surface.</t>
  </si>
  <si>
    <t>US20220079267</t>
  </si>
  <si>
    <t>FACE MASK ATTACHMENT DEVICE</t>
  </si>
  <si>
    <t>17/018377</t>
  </si>
  <si>
    <t>MASON MARISA</t>
  </si>
  <si>
    <t>Mason; Marisa; (Cave Creek, AZ)</t>
  </si>
  <si>
    <t>A41D 13/1161 20130101;  G02C 11/00 20130101;  F16B 2/20 20130101</t>
  </si>
  <si>
    <t>A clip for facilitating face mask attachment on an eyewear is disclosed     herein. The clip comprises a clip body having a temple attachment portion     for facilitating placement of the clip on a temple of an eyewear, and a     mask attachment portion extending from the temple attachment portion for     securely holding a securing cord of a face mask. In another embodiment, a     mask attachment sleeve is disclosed herein. The mask attachment sleeve is     configured for assembly on a temple of an eyewear. The mask attachment     sleeve comprises a sleeve body, and at least one clip provided on the     sleeve body for securely holding a securing cord of a face mask.</t>
  </si>
  <si>
    <t>US20220079266</t>
  </si>
  <si>
    <t>17/018203</t>
  </si>
  <si>
    <t>US20220079190</t>
  </si>
  <si>
    <t>Beverage Composition for Supporting General Health</t>
  </si>
  <si>
    <t>17/475232</t>
  </si>
  <si>
    <t>CHAMBERLIN, RICHARD J.</t>
  </si>
  <si>
    <t>CHAMBERLIN RICHARD</t>
  </si>
  <si>
    <t>CHAMBERLIN; RICHARD J.; (LAS VEGAS, NV); NORTON; RONALD J.; (ST. GEORGE, UT); DUONG; CHI T.; (LAS VEGAS, NV)</t>
  </si>
  <si>
    <t>A23L 2/56 20130101;  A23L 33/15 20160801;  A23L 33/115 20160801;  A23L 2/66 20130101;  A23L 33/105 20160801;  A23L 33/17 20160801;  A23L 33/16 20160801</t>
  </si>
  <si>
    <t>A beverage composition for supporting general health is a drinkable     composition that enhances immune system unction, suppresses viral and     pathogen propagation, and promotes general health for a user afflicted     with ailments or medical condition that are not positively impacted by     conventional treatments. The drinkable composition includes a quantity of     nano-cannabinoids, a quantity of vitamin-and-mineral compound, a quantity     of botanical compound, a quantity of enzyme compound, a quantity of hemp     extract, a quantity of fruit-and-vegetable extract, a quantity of     ancillary additives, and a quantity of liquid filler. The quantity of     nano-cannabinoids, the quantity of vitamin-and-mineral compound, the     quantity of botanical compound, the quantity of enzyme compound, the     quantity of hemp extract, the quantity of fruit-and-vegetable extract,     the quantity of ancillary additives, and the quantity of liquid filler     are being homogenously mixed into a drinkable composition. The dosages     and administration period for the drinkable composition may vary based on     each user.</t>
  </si>
  <si>
    <t>US20220079159</t>
  </si>
  <si>
    <t>COVERS WITH BIOACTIVE SURFACE COATINGS FOR USE ON DOOR KNOBS, LATCHES AND     HANDLES</t>
  </si>
  <si>
    <t>17/212609</t>
  </si>
  <si>
    <t>Hackemeyer, Dennis; Sisson, Mark</t>
  </si>
  <si>
    <t>HACKEMEYER DENNIS</t>
  </si>
  <si>
    <t>Hackemeyer; Dennis; (Forest, VA); Sisson; Mark; (Forest, VA)</t>
  </si>
  <si>
    <t>Certain embodiments described herein are directed to door knob covers,     latch covers, urinal handle covers and other covers that can reversibly     couple to an underlying structure. In some examples, the cover comprises     a bioactive material that can kill or inactivate bioorganisms. The     bioactive material can be a photocatalyst and may also comprise one or     more transition metals. Methods of preventing or reducing the spread of     infections using the covers are also described.</t>
  </si>
  <si>
    <t>US20220079149</t>
  </si>
  <si>
    <t>FORMULATIONS FOR DECONTAMINATING A SURFACE</t>
  </si>
  <si>
    <t>17/462664</t>
  </si>
  <si>
    <t>Beetge, Jan Hendrik</t>
  </si>
  <si>
    <t>BEETGE JAN</t>
  </si>
  <si>
    <t>Beetge; Jan Hendrik; (Pearland, TX)</t>
  </si>
  <si>
    <t>A first decontaminating formulation includes a volatile solvent, a     non-volatile encapsulating agent that is soluble in the volatile solvent,     and a microfiber composition dispersed in the volatile solvent, wherein     the microfiber composition forms a three-dimensional microfiber network     within the volatile solvent. A second decontaminating formulation     includes a volatile solvent and a non-volatile encapsulating agent that     is soluble in the volatile solvent, wherein the non-volatile     encapsulating agent has a melt point above 37 degrees Celsius. As the     volatile solvent evaporates, the microfiber network collapses to trap a     contaminant and/or the non-volatile encapsulating agent solidifies around     the contaminant to immobilize and eliminate the contaminant.</t>
  </si>
  <si>
    <t>US20220078575</t>
  </si>
  <si>
    <t>BARRIER DETECTION TO AID CONTACT TRACING</t>
  </si>
  <si>
    <t>17/462168</t>
  </si>
  <si>
    <t>Qualcomm</t>
  </si>
  <si>
    <t>QUALCOMM</t>
  </si>
  <si>
    <t>RAVEENDRAN; Vidhur; (Del Mar, CA); MADAIN; laith; (San Diego, CA); ZHANG; Xiaoxin; (Sunnyvale, CA); BHATIA; Ashok; (San Diego, CA); RAVEENDRAN; Vijayalakshmi; (Del Mar, CA)</t>
  </si>
  <si>
    <t>Techniques are provided for utilizing wireless devices for contact     tracing, and more specifically for detecting a barrier between devices to     enhance contact tracing applications. An example method for detecting a     barrier between a first device and a second device includes determining,     by the first device, a first range measurement with respect to the second     device using a first positioning technique determining, by the first     device, a second range measurement with respect to the second device     using a second positioning technique that is different from the first     positioning technique, and detecting the barrier between the first device     and the second device based on the first range measurement and the second     range measurement.</t>
  </si>
  <si>
    <t>US20220078503</t>
  </si>
  <si>
    <t>VIDEO REBROADCASTING WITH MULTIPLEXED COMMUNICATIONS AND DISPLAY VIA SMART     MIRRORS</t>
  </si>
  <si>
    <t>17/151987</t>
  </si>
  <si>
    <t>CURIOUSER PRODUCTS INC.</t>
  </si>
  <si>
    <t>CURIOUSER PRODUCTS</t>
  </si>
  <si>
    <t>PUTNAM; Brynn; (New York, NY); D'AMBROSIO-CORRELL; Kristie; (Sea Cliff, NY)</t>
  </si>
  <si>
    <t>H04N 21/4131 20130101</t>
  </si>
  <si>
    <t>A user of a smart mirror schedules a rebroadcast of a previously recorded     fitness class, to be displayed concurrently via multiple smart mirrors     associated with multiple multiplexed geographically remote users who are     "invitees" to the rebroadcast. Non-invitees can be blocked from accessing     the rebroadcast. During the rebroadcast, invitees and the user can view     live video feeds of one another, and can communicate with one another     using voice, text, and/or graphic symbols (e.g., emojis). The voice     communications can occur via the microphones/speakers of the mirrors, and     the text and/or graphic symbols can be displayed via the mirrors.     Optionally, real-time biometric data of the user can be displayed via the     user's smart mirror and/or via smart mirrors of other invitees.</t>
  </si>
  <si>
    <t>US20220076850</t>
  </si>
  <si>
    <t>Method of COVID-19 Detection, Spread Prevention and Medical Assistance     Using Machine Learning</t>
  </si>
  <si>
    <t>17/527261</t>
  </si>
  <si>
    <t>Allugunti, Viswanatha Reddy; Tummala, Dhana Naga Kalyani</t>
  </si>
  <si>
    <t>ALLUGUNTI VISWANATHA</t>
  </si>
  <si>
    <t>Allugunti; Viswanatha Reddy; (New Jersey, NJ); Tummala; Dhana Naga Kalyani; (New Jersey, NJ)</t>
  </si>
  <si>
    <t>G16H 50/80 20180101;  G16H 50/20 20180101</t>
  </si>
  <si>
    <t>A system and method of COVID-19 Detection, Spread Prevention and Medical     Assistance Using Machine Learning. The Machine Learning (ML) techniques     have been generally utilized in different spaces, there is presently a     popularity for ML-helped analysis frameworks for screening, following,     and anticipating the spread of COVID-19 and discovering a fix against it.     According to one embodiment, the system comprises IoT module, a warm     imaging, a social distance monitoring, contact tracing module, and Media     analysis based on which the system estimates the and detects the     infection. Fundamentally taking a gander at it from a screening, gauging,     and antibody points of view, the present system conducts an exhaustive     review of the ML calculations and models that can be utilized on this     campaign and help with engaging the infection.</t>
  </si>
  <si>
    <t>US20220076849</t>
  </si>
  <si>
    <t>SYSTEM AND METHOD FOR ANALYZING USER HEALTH</t>
  </si>
  <si>
    <t>17/478560</t>
  </si>
  <si>
    <t>ZERO TECHNOLOGIES, LLC</t>
  </si>
  <si>
    <t>ZERO</t>
  </si>
  <si>
    <t>Sones; Frederick Kennedy; (Madison, MS); Clark; Timothy Allan; (Flowood, MS); Kenedy; Matthew Johnson; (Ridgeland, MS); Ngo; Huey Jiun; (Brandon, MS)</t>
  </si>
  <si>
    <t>A system and method for analyzing health data includes providing a user     one or more surveys, compiling user input from the one or more surveys,     storing user notes, collecting information regarding external factors,     analyzing the user input relative to the information regarding the     environmental factors, and generating output for the user based on the     analysis of the user input relative to the information regarding the     environmental factors where the output may be location specific.</t>
  </si>
  <si>
    <t>US20220076848</t>
  </si>
  <si>
    <t>SEASONALLY ADJUSTED PREDICTIVE DATA ANALYSIS</t>
  </si>
  <si>
    <t>17/015531</t>
  </si>
  <si>
    <t>Garg; Siddharth; (New Delhi, IN); Nahata; Jyoti; (Chennai, IN); Yadav; Madhuri; (Gurgaon, IN); Kiser; Danita; (Marietta, GA); Singh; Prashant; (Noida, IN); Aishwarya; Aishwarya; (Gurgaon, IN)</t>
  </si>
  <si>
    <t>G06N 5/04 20130101;  G16H 50/80 20180101;  G06N 20/00 20190101</t>
  </si>
  <si>
    <t>There is a need for more effective and efficient seasonally-adjusted     predictive data analysis solutions. This need can be addressed by, for     example, solutions for performing seasonally-adjusted predictive data     analysis that use autoregressive integrated moving average (ARIMA)     machine learning models. In one example, a method includes: identifying a     seasonally-adjusted training input timeseries data object and a     seasonally-adjusted testing timeseries data object; generating a trained     ARIMA machine learning model using the seasonally-adjusted training input     timeseries data object; determining a validation determination for the     trained ARIMA machine learning model based on the seasonally-adjusted     testing timeseries data object; determining whether the validation     determination describes a positive validation; and in response to     determining that the validation determination describes the positive     validation, enabling performance of a predictive inference using the     trained AMNIA machine learning model in order to generate one or more     prospective time-lagged predictions and to perform prediction-based     actions based on the prospective time-lagged predictions.</t>
  </si>
  <si>
    <t>US20220076842</t>
  </si>
  <si>
    <t>MEDICAL INFORMATION PROCESSING SYSTEM AND METHOD</t>
  </si>
  <si>
    <t>17/466304</t>
  </si>
  <si>
    <t>OHYU; Shigeharu; (Yaita, JP)</t>
  </si>
  <si>
    <t>According to one embodiment, a medical information processing system     includes a storage and processing circuitry. The storage is configured to     store a determination model that determines a probability for a disease.     The processing circuitry is configured to: receive first subject     information based on a history of a first subject; output first     information including the probability based on the determination model     and the first subject information; acquire second subject information     based on a history of a second subject; update the determination model     based on the second subject information; and output second information     including the probability of the first subject based on an updated     determination model and the first subject information.</t>
  </si>
  <si>
    <t>US20220076841</t>
  </si>
  <si>
    <t>PREDICTIVE RISK ASSESSMENT IN PATIENT AND HEALTH MODELING</t>
  </si>
  <si>
    <t>17/447252</t>
  </si>
  <si>
    <t>X-ACT SCIENCE INC.</t>
  </si>
  <si>
    <t>X-ACT SCIENCE</t>
  </si>
  <si>
    <t>Abu El Ata; Nabil A.; (New York, NY); Drucbert; Annie; (New York, NY); Abu El Ata; Tomy; (New York, NY)</t>
  </si>
  <si>
    <t>G16H 50/50 20180101;  G16H 15/00 20180101;  G16H 10/60 20180101;  G16H 50/20 20180101;  G16H 50/30 20180101</t>
  </si>
  <si>
    <t>A patient's health is modeled through multiple scenarios. A base model     incorporates rules that govern a response by a human being to one or more     diseases, as well as a relation between health metrics and the diseases.     Health attributes of the patient are obtained. From the base model and     the health attributes, a patient model is generated. The patient model is     modeled under different parameters to generate health metrics. From an     analysis of the parameters and the resulting health metrics, occurrence     probabilities for each of the sets of parameters are determined. Risks     are identified, which indicate a likelihood of the patient transitioning     from the initial state to an adverse outcome such as a diseased state. A     report provides a diagnosis of the patient and one or more     remedies/interventions that are predicted, based on the plural sets of     parameters and resulting health metrics, to avoid or prevent an adverse     outcome.</t>
  </si>
  <si>
    <t>US20220076813</t>
  </si>
  <si>
    <t>IMMUNIZATION REGISTRY INTEGRATION SYSTEM</t>
  </si>
  <si>
    <t>17/228113</t>
  </si>
  <si>
    <t>MARKETOUCH MEDIA, LLC</t>
  </si>
  <si>
    <t>MARKETOUCH MEDIA</t>
  </si>
  <si>
    <t>Green; Lyle M.; (Pacific Palisades, CA); Feltman; Matthew K.; (Isle Of Palms, SC); Russo; Charles E.; (Houston, TX)</t>
  </si>
  <si>
    <t>Techniques are described for vaccine notification and scheduling in     automated electronic delivery format. A system for immunization registry     integration that supports vaccine notification and scheduling in     automated electronic delivery format is provided. One method includes     providing access to a scheduling application to schedule a patient     appointment. The method may include receiving authorization to query an     immunization registry based at least on the provided access. The method     may also include determining one or more immunization opportunities based     at least in part on the received authorization. Additionally, the method     may communicating the one or more immunization opportunities based at     least in part on the determining.</t>
  </si>
  <si>
    <t>US20220076554</t>
  </si>
  <si>
    <t>Social Distancing and Contact Mapping Alerting Systems for Schools and     other Social Gatherings</t>
  </si>
  <si>
    <t>17/013944</t>
  </si>
  <si>
    <t>Jones, SR.; Erick Christopher; (Arlington, TX); Priest; John; (Dallas, TX); Jefferson; Felicia; (McDonough, GA); Jones, JR.; Erick Christopher; (Austin, TX); Azeem; Gohar; (Arlington, TX); Annadurai; Srinivas; (Arlington, TX)</t>
  </si>
  <si>
    <t>G06V 20/53 20220101;  G06V 20/41 20220101;  G08B 21/0453 20130101;  H04W 4/023 20130101;  G08B 25/006 20130101;  G08B 21/0476 20130101</t>
  </si>
  <si>
    <t>During a pandemic like COVID-19, real-time automated virus-monitoring and     predictive models are crucial. The solution of this disclosure is through     the development of a novel systems approach of implementing AI into     visual cameras for visible characteristics such as facial and physical     recognition and thermal imaging and other wavelength capture sensors such     as thermal body characteristics which are then integrated with community     mapping to resolve issues and predict trends before they happen. The     system finds the distance between groups of people in classrooms,     buildings, or other physical structures to locate pinch and possible     virus contagion points in remote areas. Forehead to forehead measurement     is one method as a novel approach to capture distance quickly. This is     integrated into a distance statistical metric such as the Manhattan     Distance Metric model to exemplify any two people who are less than 6     feet away and community mapping to identify and predict areas of concern.</t>
  </si>
  <si>
    <t>US20220076522</t>
  </si>
  <si>
    <t>PROCESSING DEVICE FOR CURRENCY BILLS AND A METHOD OF USE THEREOF</t>
  </si>
  <si>
    <t>17/525911</t>
  </si>
  <si>
    <t>AMRO-ASIAN TRADE, INC</t>
  </si>
  <si>
    <t>AMRO-ASIAN TRADE</t>
  </si>
  <si>
    <t>SIDDIQUI; MAHBUB ALAM; (HONOLULU, HI)</t>
  </si>
  <si>
    <t>A61L 2202/14 20130101;  A61L 2202/122 20130101;  A61L 2/10 20130101;  A61L 2202/11 20130101;  G07D 2211/00 20130101;  G07D 11/50 20190101;  A61L 2202/26 20130101;  G07D 11/18 20190101</t>
  </si>
  <si>
    <t>A currency bill processing device for counting, denominating,     discriminating, and/or sorting the currency bills and subsequently     disinfecting the currency bills without any manual intervention. The     currency bill processing device can process the currency bills at a speed     of up to 1000 bills per minute. The currency bill processing device     includes one or more elongated UV-C LED strips mounted on a rigid     aluminum or copper base which can be mounted on an outer or exposed side     of a support plate or reject receptacle plate or stacker guide bar plate     located at the end of the currency bill conveying path. A disinfection     unit of the currency bill processing device including the elongated UV-C     LED strip that can activate and deactivate with turning-on and -off of     the currency bill conveying mechanism respectively.</t>
  </si>
  <si>
    <t>US20220076512</t>
  </si>
  <si>
    <t>METHOD AND APPARATUS FOR PERSONAL PATHOGEN STATUS VERIFICATION AT POINT OF     ENTRY INTO AN AREA OF CONGREGATION</t>
  </si>
  <si>
    <t>17/529086</t>
  </si>
  <si>
    <t>KLEIN; Mark; (Henderson, NV); Brown; Wendell; (Henderson, NV)</t>
  </si>
  <si>
    <t>G16H 10/40 20180101;  G16H 40/63 20180101;  G07C 9/27 20200101;  G07C 9/00563 20130101;  G16H 50/80 20180101;  G06Q 50/265 20130101</t>
  </si>
  <si>
    <t>A system and system for personal pathogen status verifying allows an     entity to control access to an area of congregation (AOC) at one or more     points of entry (POE) is a configurable manner. In one embodiment, the     system may be used for the SARS-CoV-2 virus, but may be similarly used     for other pathogens.</t>
  </si>
  <si>
    <t>US20220076511</t>
  </si>
  <si>
    <t>DOOR ACCESS CONTROL METHOD FOR REDUCING PROPAGATION PROBABILITY OF SOME     INFECTIOUS DISEASES</t>
  </si>
  <si>
    <t>17/528530</t>
  </si>
  <si>
    <t>Shen, I-Ting</t>
  </si>
  <si>
    <t>SHEN</t>
  </si>
  <si>
    <t>Shen; I-Ting; (Tainan, TW)</t>
  </si>
  <si>
    <t>A61L 2202/14 20130101;  A61L 2202/122 20130101;  A61L 2/0047 20130101;  G07C 9/00563 20130101;  G01K 13/20 20210101</t>
  </si>
  <si>
    <t>A door access control method includes detecting whether a person is     intending to pass through a door access control device. Then, it is     identified whether a body temperature of the person near the door access     control device exceeds a threshold value. The door access control device     carries out an unlocking judgment procedure when the body temperature is     below the threshold value. The unlocking judgment procedure is not     carried out when the body temperature is not below the threshold value.     Next, it is identified whether the person is qualified to pass through     the door access control device based on the unlocking judgment. The door     access control device remains in a locking state when the person is     identified as not qualified to pass through the door access control     device. The unlocking state is lifted when the person is identified as     qualified to pass through the door access control device.</t>
  </si>
  <si>
    <t>US20220076506</t>
  </si>
  <si>
    <t>Synchronized Online/Offline Clock In Management</t>
  </si>
  <si>
    <t>17/013261</t>
  </si>
  <si>
    <t>TOTVS INC</t>
  </si>
  <si>
    <t>TOTVS</t>
  </si>
  <si>
    <t>de Matos; Hamilton; (Sao Paulo, BR); Poffo; Robson; (Aoex, NC); Furtado; Bruno; (Curitiba, BR); Da Rolt Joachim; Jean; (Bento Goncalves, BR); Valentin; Jansel; (Santo Domingo, DO); Dhital; Varun; (Santa Clara, CA); Volpato da Cunha; Bruno Candido; (Raleigh, NC); Wagner; Carlos Affonso; (Joinville, BR); Wagner; Ingo; (Raleigh, NC); Acharya; Mithun Puthige; (Cary, NC); Goetten; Vincent; (Raleigh, NC)</t>
  </si>
  <si>
    <t>Systems, devices, and methods for synchronized clock in management. In an     embodiment, a system enables users to clock in to a cloud computing     platform over a network through remote clock in devices, regardless of     whether the remote clock in devices are online or offline. A clock in     manager on the platform is configured to communicate with clock in     assistants on remote clock in devices and to manage clock in of users in     self and group clock in modes. A predetermined threshold may be used to     determine a match with respect to a captured image. A clock in manager     may intelligently determine the predetermined threshold according to     algorithms based on training data. Face scan guides, liveness detection,     and fraud detection may be included. A report engine supports     presentations of filtered data from a control panel including map     displays of devices or clock in events according to geolocation.</t>
  </si>
  <si>
    <t>US20220076225</t>
  </si>
  <si>
    <t>REMOTE SELF-CHECKOUT</t>
  </si>
  <si>
    <t>17/220696</t>
  </si>
  <si>
    <t>TARGET BRANDS, INC.</t>
  </si>
  <si>
    <t>TARGET BRANDS</t>
  </si>
  <si>
    <t>YATAGIRI; AMIT; (Minneapolis, MN); GILLIS; JOHN; (Minneapolis, MN); MUTHALAGAPPAN; ANNAMALAI; (Minneapolis, MN); RAJU; DHILEEPAN CHITRADEVI; (Hopkins, MN); RAJ; KARTHIC S.; (Minneapolis, MN)</t>
  </si>
  <si>
    <t>Methods and systems for remote self-checkout are described. One method     includes presenting a code at a self-checkout point-of-sale device that     may be captured by a user (e.g., a store customer or a store employee)     mobile device. The code may enable the mobile device to request a     connection with the self-checkout point-of-sale device that allows for     user interactions associated with a self-checkout session to be performed     at the self-checkout point-of-sale device or at the mobile device. The     self-checkout session includes adding items to be purchased into a cart     instance and receiving payment for items in the cart instance. User     interactions associated with weighed items may be performed on the mobile     device in a manner integrated with a scale/scanner portion of the     self-checkout point-of-sale device to avoid user contact with a     touchpoint of the self-checkout point-of-sale device. Accordingly,     contact with a self-checkout point-of-sale device by all users may be     reduced.</t>
  </si>
  <si>
    <t>US20220076172</t>
  </si>
  <si>
    <t>FITTING ROOM RESERVATION SYSTEM FOR CONTACT MINIMIZATION IN RETAIL CONTEXT</t>
  </si>
  <si>
    <t>17/471792</t>
  </si>
  <si>
    <t>BROWN; AMANDA; (Minneapolis, MN); PRUSINSKI; DANIEL; (Minneapolis, MN); SLY; TAYLOR; (Lake Elmo, MN); STOPPEL; ALEX; (Minneapolis, MN)</t>
  </si>
  <si>
    <t>G06Q 30/0643 20130101;  G06Q 10/02 20130101</t>
  </si>
  <si>
    <t>Methods and systems for implementing a reduced contact fitting room     reservation system are described. In example implementations, a customer     may digitally select one or more apparel items to be assessed at a     physical retail location. The customer may also select the specific     location, as well as a notice (e.g., a date and time range) for the time     at which the customer is likely to arrive at the retail location. Upon     receipt of the selection of apparel items and the notice at the physical     retail location, an employee may also sanitize a particular fitting room,     and also collect the selected items and place those items in the     particular fitting room for assessment by the customer.</t>
  </si>
  <si>
    <t>US20220076137</t>
  </si>
  <si>
    <t>QUERY-BASED MOLECULE OPTIMIZATION AND APPLICATIONS TO FUNCTIONAL MOLECULE     DISCOVERY</t>
  </si>
  <si>
    <t>17/016640</t>
  </si>
  <si>
    <t>Hoffman; Samuel Chung; (New York, NY); Vijil; Enara C.; (Westchester, NY); Chen; Pin-Yu; (White Plains, NY); Das; Payel; (Yorktown Heights, NY); Wadhawan; Kahini; (Delhi, IN)</t>
  </si>
  <si>
    <t>A query-based generic end-to-end molecular optimization ("QMO") system     framework, method and computer program product for optimizing molecules,     such as for accelerating drug discovery. The QMO framework decouples     representation learning and guided search and applies to any plug-in     encoder-decoder with continuous latent representations. QMO framework     directly incorporates evaluations based on chemical modeling, analysis     packages, and pre-trained machine-learned prediction models for efficient     molecule optimization using a query-based guided search method based on     zeroth order optimization. The QMO features efficient guided search with     molecular property evaluations and constraints obtained using the     predictive models and chemical modeling and analysis packages. QMO tasks     include optimizing drug-likeness and penalized log P scores with     similarity constraints and improving the target binding affinity of     existing drugs to pathogens such as the SARS-CoV-2 main protease protein     while preserving the desired drug properties. QMO tasks further improves     optimizing antimicrobial peptides toward lower toxicity.</t>
  </si>
  <si>
    <t>US20220075446</t>
  </si>
  <si>
    <t>SMART MAT</t>
  </si>
  <si>
    <t>17/458567</t>
  </si>
  <si>
    <t>CERADEX CORPORATION</t>
  </si>
  <si>
    <t>CERADEX</t>
  </si>
  <si>
    <t>SU; CHEN-YUAN; (TAOYUAN CITY, TW); TSAI; LIANG-TAI; (TAOYUAN CITY, TW); HUANG; WEI-LUN; (TAOYUAN CITY, TW)</t>
  </si>
  <si>
    <t>B32B 5/12 20130101;  B32B 7/12 20130101;  B32B 2250/03 20130101;  H04W 4/80 20180201;  G06K 9/0057 20130101;  G06K 9/00523 20130101;  G06F 3/011 20130101</t>
  </si>
  <si>
    <t>A smart mat includes a stepping potential generation unit, a computing     processor and a transmission processor for sensing the stepping direction     of a stepper to control the operation of a device. The stepping potential     generation unit includes an upper mat, an isolating airgap layer, a lower     mat and at least one high-resistance strips. When the stepper stands on     the smart mat to press the stepping potential generation unit, a part of     the stepping potential generation unit is pressed by an open-circuit     state to form a closed circuit and generate a potential. The computing     processor uses the distributed position of each potential and the time     sequence of distributing each potential to compute and analyse a     potential stepping process distribution area to obtain a stepping     direction, so as to control the operation of the device through the     transmission processor.</t>
  </si>
  <si>
    <t>US20220074939</t>
  </si>
  <si>
    <t>METHOD FOR DETERMINING IMMUNE COMPETENCE AGAINST SEVERE ACUTE RESPIRATORY     SYNDROME CORONAVIRUS 2</t>
  </si>
  <si>
    <t>17/470283</t>
  </si>
  <si>
    <t>SHIH; Shin-Ru; (New Taipei City, TW); LIU; Kuan-Ting; (Taoyuan City, TW); CHEN; Guang-Wu; (New Taipei City, TW); HUANG; Chung-Guei; (Taoyuan City, TW); YU; Kar-Yee; (Taoyuan City, TW); LEE; Hou-Chen; (Taoyuan City, TW); HUANG; Peng-Nien; (Taoyuan City, TW); GONG; Yu-Nong; (Taoyuan City, TW); KUO; Rei-Lin; (Taoyuan City, TW); WU; Chih-Ching; (Taoyuan City, TW); KUNG; Yu-An; (Taoyuan City, TW); HUANG; Sheng-Yu; (Taoyuan City, TW)</t>
  </si>
  <si>
    <t>G01N 33/54366 20130101;  G06N 7/00 20130101;  G01N 33/538 20130101;  G01N 2800/26 20130101;  G01N 33/56983 20130101</t>
  </si>
  <si>
    <t>A method for determining immune competence against severe acute     respiratory syndrome coronavirus 2 (SARS-CoV-2) includes obtaining a     blood sample from a subject in need thereof, detecting, in the blood     sample, levels of binding antibodies against SARS-CoV-2 spike S1 protein     and its receptor binding domain (RBD), and calculating a weighted value     using a regression model. Another method for determining immune     competence against SARS-CoV-2 is also disclosed.</t>
  </si>
  <si>
    <t>US20220074938</t>
  </si>
  <si>
    <t>METHOD OF DETECTING PATHOGENS AND/OR ANTIGENS IN SAMPLES</t>
  </si>
  <si>
    <t>17/314983</t>
  </si>
  <si>
    <t>SENSEUTICS LTD</t>
  </si>
  <si>
    <t>SENSEUTICS</t>
  </si>
  <si>
    <t>OMIR; Mona Kab; (Rose Hill, Oxford, GB); LUNN; David John; (Abingdon, Oxfordshire, GB); SHEPPARD; Alexander James; (Manchester, GB)</t>
  </si>
  <si>
    <t>The present disclosure provides new and improved methods for the     detection of pathogens, for example viral pathogens, in samples. The     methods, tests and assays permit the identification of an infection, for     example a Coronavirus infection, in a sample, but can also be used as a     means to identify the infectious status or "infectivity level" of a     subject. Disclosed is a method for detecting an antigen in a sample, said     method comprising: contacting the sample with an antigen binding agent,     wherein the antigen binding agent is not an antibody.</t>
  </si>
  <si>
    <t>US20220074917</t>
  </si>
  <si>
    <t>SPECTROSCOPIC METHOD AND APPARATUS FOR DETECTION OF VIRUSES AND OTHER     BIOLOGICAL PATHOGENS</t>
  </si>
  <si>
    <t>17/468627</t>
  </si>
  <si>
    <t>BREWMETRIX LLC</t>
  </si>
  <si>
    <t>BREWMETRIX</t>
  </si>
  <si>
    <t>Sukuta; Sydney; (Patterson, CA)</t>
  </si>
  <si>
    <t>The presence of a virus, such as a coronavirus, or other pathogen can be     determined through spectroscopic methods. In one example, the method     includes obtaining a biological sample from a subject and obtaining     spectrographic data from the sample in an onsite portable spectroscopic     unit. The spectroscopic data may be transmitted to a remote lab to     determine the presence of the virus or other pathogen within the sample,     providing a simple to understand result that does not require significant     interpretation by a medical practitioner Contrary to existing test     methods such as PCR, this method has no supply chain requirements other     than distilled water and results are out in real-time at a highly subdued     cost.</t>
  </si>
  <si>
    <t>US20220074894</t>
  </si>
  <si>
    <t>SAW-BASED HYDROGEL TESTING FOR DETECTING VIRUSES OR OTHER ANTIGENS</t>
  </si>
  <si>
    <t>17/017398</t>
  </si>
  <si>
    <t>Serino; Anthony; (Northborough, MA); Rogers; Miles T.; (Watertown, MA); Bilotto; James A.; (Beaver, PA); Cottrell; William J.; (Melrose, MA)</t>
  </si>
  <si>
    <t>G01N 29/022 20130101;  G01N 29/14 20130101;  G01N 33/56983 20130101;  G01N 33/559 20130101</t>
  </si>
  <si>
    <t>An apparatus includes a surface acoustic wave (SAW) sensor. The SAW     sensor includes a piezoelectric substrate. The SAW sensor also includes     first and second interdigitating transistors over the piezoelectric     substrate. The first interdigitating transistor is configured to convert     an input electrical signal into an acoustic wave. The second     interdigitating transistor is configured to convert the acoustic wave     into an output electrical signal. The piezoelectric substrate is     configured to transport the acoustic wave. The SAW sensor further     includes a detection layer over the piezoelectric substrate and     positioned at least partially between the first and second     interdigitating transistors. The detection layer includes (i) antibodies     configured to bind to one or more biological analytes and (ii) a hydrogel     layer over the antibodies.</t>
  </si>
  <si>
    <t>US20220074882</t>
  </si>
  <si>
    <t>ELECTROCHEMICAL-BASED SENSOR FOR RAPID AND DIRECT DETECTION OF SARS-COV-2</t>
  </si>
  <si>
    <t>17/466998</t>
  </si>
  <si>
    <t>FRAUNHOFER-GESELLSCHAFT ZUR FORDERUNG DER ANGEWANDTEN FORSCHUNG .E.V.</t>
  </si>
  <si>
    <t>FRAUNHOFER</t>
  </si>
  <si>
    <t>WITT; Suzanne; (Plymouth, MI); BECKER; Michael; (Plymouth, MI)</t>
  </si>
  <si>
    <t>Disclosed herein are electrochemical-based sensors, comprising: a solid     electrode material; a linker moiety bound to the solid electrode     material; and a receptor bound to the linker moiety, wherein the receptor     binds to a target, and the binding of target to receptor causes an     increase in the charge transfer resistance of the solid electrode     material. In particular, the present disclosure relates to an     electrochemical sensor which is selective for the S.sub.1 subunit of the     SARS-CoV-2 spike protein and which uses boron-doped diamond as a solid     electrode material. Sensor networks comprising one or more such sensors     are also disclosed herein, along with methods of detecting a target     (e.g., SARS-CoV-2) using such sensors.</t>
  </si>
  <si>
    <t>US20220074857</t>
  </si>
  <si>
    <t>NANOHOLE ARRAY BASED SENSORS WITH VARIOUS COATINGS AND TEMPERATURE CONTROL     FOR COVID-19</t>
  </si>
  <si>
    <t>17/472277</t>
  </si>
  <si>
    <t>HOTH THERAPEUTICS, INC.</t>
  </si>
  <si>
    <t>HOTH THERAPEUTICS</t>
  </si>
  <si>
    <t>Zaghloul; Mona E.; (Bethesda, MD); Jordan; Jeanne A.; (Arlington, VA); Johns; Stefanie; (New York, NY); Springer; Hayley; (New York, NY)</t>
  </si>
  <si>
    <t>G01N 21/554 20130101;  B82Y 20/00 20130101;  B82Y 40/00 20130101;  G01N 33/56983 20130101;  G01N 33/543 20130101</t>
  </si>
  <si>
    <t>A nanohole array (NHA)-based plasmonic sensor (e.g., liquid/condensed     phase sensor), their preparation, and their use to detect and analyze     liquid samples, especially mixtures of chemicals and/or bio-chemicals     and/or infectious diseases (e.g., viruses such as SARS-CoV-2 (COVID-19)).</t>
  </si>
  <si>
    <t>US20220074847</t>
  </si>
  <si>
    <t>MULTI-FUNCTION ANALYTIC DEVICES</t>
  </si>
  <si>
    <t>17/479391</t>
  </si>
  <si>
    <t>BIOMEME, INC.</t>
  </si>
  <si>
    <t>BIOMEME</t>
  </si>
  <si>
    <t>Eisenhower; Peter; (Downington, PA); Cook; Tom; (Downington, PA); Perelman; Max; (Philadelphia, PA)</t>
  </si>
  <si>
    <t>The present disclosure provides devices, systems, methods for processing     and/or analyzing a biological sample. An analytic device for processing     and/or analyzing one or more biological samples may be electronically     and/or physically configured or programed to activate one or more     features/operations of the analytic device. The analytic device can be     configured or programed by one or more instructions received from a     cooperating electronic device or a remote server. The analytic device may     comprise a moving carriage. The analytic device may be portable. The     analytic device may receive instructions for performing an assay from a     mobile electronic device external to a housing of the analytic device.</t>
  </si>
  <si>
    <t>US20220074613</t>
  </si>
  <si>
    <t>Multi-Virus and Corona Virus U.V. and Ozone Protection</t>
  </si>
  <si>
    <t>17/016652</t>
  </si>
  <si>
    <t>Hernandez, John Sergio</t>
  </si>
  <si>
    <t>HERNANDEZ JOHN</t>
  </si>
  <si>
    <t>Hernandez; John Sergio; (Van Cleave, MS)</t>
  </si>
  <si>
    <t>This actual inventive idea kills and slows the spread of COVID 19 and     other pathogens inside of homes, buildings, marine vessels, trains,     subways, commercial transit, city buses, and also personal vehicles can     also be protected with this idea.</t>
  </si>
  <si>
    <t>US20220074224</t>
  </si>
  <si>
    <t>Protective Canopy Barrier</t>
  </si>
  <si>
    <t>17/106292</t>
  </si>
  <si>
    <t>LICONA CHRISTINA</t>
  </si>
  <si>
    <t>Licona; Christina; (Owasso, OK)</t>
  </si>
  <si>
    <t>A protective canopy barrier for use with a procedure table used by     massage therapist, an esthetician, a chiropractor, or a doctor. The     protective canopy barrier is configured to at least partially enclose a     client during a massage and protects both the client and massage     therapist from transmitting or contracting pathogens, viruses,     contaminants, etc. The protective canopy barrier comprises an adjustable     frame that is attachable to the massage table. The frame is adjustable in     height and may be configured to tilt at an angle to enclose different     sized clients. The protective canopy device further comprises a draping     cover configured to fit over the frame to partially encapsulate the     massage table. The draping cover comprises a plurality of arm holes     disposed therein providing access to the client while still providing a     barrier. The draping cover further comprises a viewing door comprising a     flap and a transparent window disposed therein allowing the massage     therapist to view the client during the massage.</t>
  </si>
  <si>
    <t>US20220074132</t>
  </si>
  <si>
    <t>SELF-STERILIZING FABRICS INCORPORATING ANTI-VIRAL COLD-ACTIVE PROTEASES</t>
  </si>
  <si>
    <t>17/467318</t>
  </si>
  <si>
    <t>WABESO ENHANCED ENZYMATICS, LLC</t>
  </si>
  <si>
    <t>WABESO ENHANCED ENZYMATICS</t>
  </si>
  <si>
    <t>Ward; Mandy Jane; (Los Osos, CA)</t>
  </si>
  <si>
    <t>The invention provides fabrics that incorporate protease enzymes that     inactivate viruses and bacteria. The fabrics of the invention may be used     in the production of various items of self-sterilizing protective     equipment including protective facemasks.</t>
  </si>
  <si>
    <t>US20220074000</t>
  </si>
  <si>
    <t>PATHOGEN TEST SYSTEMS AND METHODS</t>
  </si>
  <si>
    <t>17/017643</t>
  </si>
  <si>
    <t>Wong, Christopher; Probst, Lyle; Tran, Bao; Grimm, Matthew; Lohe, Jason; Lee, Barney; Massing, Michael</t>
  </si>
  <si>
    <t>WONG CHRISTOPHER</t>
  </si>
  <si>
    <t>Wong; Christopher; (San jose, CA); Probst; Lyle; (Burlingame, CA); Tran; Bao; (Saratoga, CA); Grimm; Matthew; (Burlingame, CA); Lohe; Jason; (Burlingame, CA); Lee; Barney; (sanjose, CA); Massing; Michael; (san jose, CA)</t>
  </si>
  <si>
    <t>A method to test a person includes capturing genetic material from a     person being tested; performing a RNA and or DNA or genetic test on the     captured material for a predetermined pathogen; if the test shows an     absence of the predetermined pathogen, certifying the person with a     pathogen free status; and providing a certificate during travel or     entrance to a facility as proof of pathogen free status. The method can     optionally use a mobile testing lab that includes a mobile test platform     including a sealed environment that is easily disinfected; a plurality of     storage spaces to store virus genetic testing equipment, diagnostic     computer, support equipment, a fume hood with an internal filter and no     outside venting; and a power generator.</t>
  </si>
  <si>
    <t>US20220073891</t>
  </si>
  <si>
    <t>SYSTEMS, METHODS, AND COMPOSITIONS FOR RNA-GUIDED RNA-TARGETING CRISPR     EFFECTORS</t>
  </si>
  <si>
    <t>17/365777</t>
  </si>
  <si>
    <t>Abudayyeh; Omar; (Cambridge, MA); Gootenberg; Jonathan; (Cambridge, MA)</t>
  </si>
  <si>
    <t>This disclosure provides systems, methods, and compositions for     RNA-guided RNA-targeting CRISPR effectors for the treatment of diseases     as well as diagnostics. In some embodiments, nucleotide deaminase     functionalized CRISPR systems for RNA editing RNA knockdown, viral     resistance, splicing modulation, RNA tracking, translation modulation,     and epi-transcriptomic modifications are disclosed.</t>
  </si>
  <si>
    <t>US20220073594</t>
  </si>
  <si>
    <t>ANTI-SARS-COV-2 NEUTRALIZING ANTIBODIES</t>
  </si>
  <si>
    <t>17/391161</t>
  </si>
  <si>
    <t>NEWSOARA BIOPHARMA CO., LTD.</t>
  </si>
  <si>
    <t>NEWSOARA BIOPHARMA</t>
  </si>
  <si>
    <t>LI; Yuannian; (Shanghai, CN); WANG; Wenyi; (Shanghai, CN)</t>
  </si>
  <si>
    <t>A61K 45/06 20130101;  C07K 2317/76 20130101;  C07K 16/10 20130101;  C07K 2317/565 20130101</t>
  </si>
  <si>
    <t>The present disclosure provides novel neutralizing antibodies against     SARS-COV-2, and the antigen binding fragments thereof. Pharmaceutical     composition and kits comprising the same, and the uses thereof are also     provided.</t>
  </si>
  <si>
    <t>US20220073569</t>
  </si>
  <si>
    <t>RECOMBINANT POLYPEPTIDES CONTAINING AT LEAST ONE IMMUNOGENIC FRAGMENT AND     ANTIBODY FC REGION AND USES THEREOF</t>
  </si>
  <si>
    <t>17/535309</t>
  </si>
  <si>
    <t>BOOST BIOPHARMA, INC.</t>
  </si>
  <si>
    <t>BOOST BIOPHARMA</t>
  </si>
  <si>
    <t>Schomburg; Fritz M.; (Madison, WI); Rancour; David M.; (Madison, WI)</t>
  </si>
  <si>
    <t>C12N 2770/20071 20130101;  C07K 14/005 20130101;  C12N 2770/20022 20130101;  C12N 2770/20034 20130101;  A61K 39/215 20130101;  C07K 2319/30 20130101</t>
  </si>
  <si>
    <t>Provided is a recombinant polypeptide containing at least one immunogenic     fragment of Severe Acute Respiratory Syndrome Coronavirus 2 (SARS-CoV-2)     spike glycoprotein, and pharmaceutical compositions containing the same.</t>
  </si>
  <si>
    <t>US20220073543</t>
  </si>
  <si>
    <t>SILACROWN ETHERS, PHARMACEUTICAL COMPOSITIONS THEREOF, AND THERAPEUTIC     APPLICATIONS THEREOF</t>
  </si>
  <si>
    <t>17/464301</t>
  </si>
  <si>
    <t>ARKLES, Barry C.; ARKLES, Jeffrey S.</t>
  </si>
  <si>
    <t>ARKLES BARRY</t>
  </si>
  <si>
    <t>ARKLES; Barry C.; (Pipersville, PA); ARKLES; Jeffrey S.; (Lafayette Hill, PA)</t>
  </si>
  <si>
    <t>Large ring silacrown ethers having at least fourteen ring atoms with at     least one lipophilic or hydrophobic substituent on the ring and/or on the     silicon atom are provided. Pharmaceutical compositions containing these     silacrown ethers and the use of these materials as therapeutic agents are     also described.</t>
  </si>
  <si>
    <t>US20220072990</t>
  </si>
  <si>
    <t>TRAILER WITH ISOLATED SUITES</t>
  </si>
  <si>
    <t>17/378664</t>
  </si>
  <si>
    <t>MITCHELL KENNETH</t>
  </si>
  <si>
    <t>Mitchell; Kenneth; (Hendersonville, TN)</t>
  </si>
  <si>
    <t>B60P 3/39 20130101;  E04H 1/02 20130101</t>
  </si>
  <si>
    <t>Implementations of a trailer with isolated suites are provided. In some     implementations, the trailer with isolated suites comprises a road     transportable trailer with a plurality of separate isolated living suites     or units each having a separate independent heating and air conditioning     system and an upper bed or a lower bed alternating on each side of the     trailer such that the beds of side-adjacent units are positioned in a     vertical bunk bed configuration with the beds separately isolated within     in each unit. In some implementations, a method of using the trailer with     isolated suites comprises transporting the trailer with isolated suites     to a desired location, positioning and setting up the trailer with     isolated suites at the location, using the units of the trailer with     isolated suites to provide individual living quarters that are completely     separated and environmentally isolated from each other for a plurality of     users to prevent or minimize the spread of COVID-19 (or other infectious     diseases) among the users.</t>
  </si>
  <si>
    <t>US20220072935</t>
  </si>
  <si>
    <t>ANTIMICROBIAL, INJECTION MOLDED AIR DUCT FOR USE IN AN AIR DISTRIBUTION     SYSTEM</t>
  </si>
  <si>
    <t>17/012822</t>
  </si>
  <si>
    <t>JVIS-USA, LLC</t>
  </si>
  <si>
    <t>JVIS-USA</t>
  </si>
  <si>
    <t>PREISLER; Darius J.; (Macomb, MI); MURAR; Jason T.; (Macomb, MI); WILLIAMS; Shawn R.; (Auburn Hills, MI)</t>
  </si>
  <si>
    <t>An antimicrobial, injection molded air duct for use in an air     distribution system which delivers air to a passenger cabin of a vehicle     or into an enclosed space within a residential structure is provided. The     air duct includes a hollow, injection molded housing having an air     passageway for communicating airflow therethrough. The housing includes a     layer of molded material which at least partially defines the passageway     and which absorbs airborne liquid droplets containing infectious,     disease-causing pathogens moving with the airflow. The molded material     includes antimicrobial agents disbursed throughout the layer to reduce     the number of pathogens contained within droplets absorbed by the layer.</t>
  </si>
  <si>
    <t>US20220072934</t>
  </si>
  <si>
    <t>ANTIMICROBIAL, INJECTION MOLDED AIR REGISTER FOR USE IN AN AIR     DISTRIBUTION SYSTEM</t>
  </si>
  <si>
    <t>17/012786</t>
  </si>
  <si>
    <t>An antimicrobial, injection molded air register for use in an air     distribution system to direct airflow from ductwork into a passenger     cabin of a vehicle or into an enclosed space within a residential     structure is provided. The air register includes a perforated cover     configured to cover an outlet end of the ductwork and a plurality of     injection molded components supported by the cover to direct air flow     into the passenger cabin. Each of the components includes a surface layer     in fluid communication with the airflow and is made of a molded material     which absorbs airborne liquid droplets containing infectious,     disease-causing pathogens moving with the airflow. The molded material     includes antimicrobial agents disbursed throughout each of the surface     layers to reduce the number of pathogens contained within droplets     absorbed by the surface layers.</t>
  </si>
  <si>
    <t>US20220072697</t>
  </si>
  <si>
    <t>MULTIVALENT VACCINES FOR RABIES VIRUS AND CORONAVIRUSES</t>
  </si>
  <si>
    <t>17/307066</t>
  </si>
  <si>
    <t>Johnson; Reed F.; (Frederick, MD); Schnell; Matthias; (Harleysville, PA); Hensley; Lisa E.; (Frederick, MD); Wirblich; Christoph; (Philadelphia, PA); Coleman; Christopher M.; (Owings Mills, MD); Frieman; Matthew S.; (Baltimore, MD)</t>
  </si>
  <si>
    <t>The present disclosure provides methods and compositions for inducing an     immune response that confers dual protection against infections by either     or both of a rabies virus and a coronavirus, and/or which can be used     therapeutically for an existing infection with rabies virus and/or a     coronavirus to treat at least one symptom thereof and/or to neutralize or     clear the infecting agents. In particular, the present disclosure     provides a recombinant rabies virus vector comprising a nucleotide     sequence encoding at least one coronavirus immunogenic glycoprotein     fragment, as well as pharmaceutical compositions comprising the vaccine     vectors.</t>
  </si>
  <si>
    <t>US20220072469</t>
  </si>
  <si>
    <t>DISINFECTANT, GAS ACCUMULATION AND COMBUSTION CONTROL DEVICE</t>
  </si>
  <si>
    <t>17/525848</t>
  </si>
  <si>
    <t>NANOSIEVE INC.</t>
  </si>
  <si>
    <t>NANOSIEVE</t>
  </si>
  <si>
    <t>Abizeid; Gabrielle; (Miami Beach, FL)</t>
  </si>
  <si>
    <t>B01D 2257/93 20130101;  G01N 33/0057 20130101;  B01D 53/0454 20130101;  B01D 2259/402 20130101;  A61L 2209/12 20130101;  A61L 9/20 20130101;  B01D 2253/25 20130101;  B01D 2253/204 20130101;  A61L 2209/111 20130101;  B01D 53/0415 20130101</t>
  </si>
  <si>
    <t>A gas accumulation and combustion control device combining a sorption     system, a ventilation system, a control system, and sensor system, with     the sensor system configured to detect gas contaminants, transmit a gas     detection signal to the control system, the control system configured to     adjust the ventilation system based on the gas detection signal, the     ventilation system configured to draw the contaminated air in from the     atmosphere and lead it toward the sorption system, which in turn is     configured to adsorb or absorb the gas contaminants.</t>
  </si>
  <si>
    <t>US20220072379</t>
  </si>
  <si>
    <t>VIDEO STREAMING WITH MULTIPLEXED COMMUNICATIONS AND DISPLAY VIA SMART     MIRRORS</t>
  </si>
  <si>
    <t>17/464960</t>
  </si>
  <si>
    <t>PUTNAM; Brynn; (New York, NY); D'AMBROSIO-CORRELL; Kristie; (Sands Point, NY)</t>
  </si>
  <si>
    <t>A63B 24/0062 20130101;  A47G 1/02 20130101;  A63B 2220/40 20130101;  A63B 2220/75 20130101;  A63B 2220/12 20130101;  A63B 71/0622 20130101;  A63B 2220/805 20130101;  A63B 2230/50 20130101;  A63B 2230/06 20130101;  A63B 2225/12 20130101</t>
  </si>
  <si>
    <t>A processor-implemented method includes receiving a request that     specifies a workout performed at a first time, a list of users, a second     time after the first time, an overlay to be displayed during a     rebroadcast associated with the request, and a skill level of the     workout. The request is compared to calendar data, and a session     acknowledgment message is sent to the compute device of the first user     based on the comparison. An invitation message is sent to compute devices     of a second user and a third user, identifying the second time, and     invitation responses are received from the second user and the third     user. In response to the invitation responses, a video of the workout is     rebroadcast at the second time, to a smart mirror of the first user, a     smart mirror of the second user and a smart mirror of the third user.</t>
  </si>
  <si>
    <t>US20220072376</t>
  </si>
  <si>
    <t>17/339365</t>
  </si>
  <si>
    <t>A63B 24/0062 20130101;  A63B 2024/0065 20130101;  A63B 24/0006 20130101;  A63B 2024/0009 20130101;  G06V 40/23 20220101;  G06V 40/103 20220101</t>
  </si>
  <si>
    <t>During a first time period and for a first user, a second user is     automatically selected based on competitive data of the first user and     competitive data of the second user, and a workout selection is sent to     cause a video of a workout to be displayed during a second time period on     a smart mirror of the first user and a smart mirror of the second user.     During the second time period, a live stream of the first user exercising     is displayed at the smart mirror of the second user, and a live stream of     the second user exercising is received and displayed at the smart mirror     of the first user. During the second time period, a performance score of     the first user and a performance score of the second user is displayed at     the smart mirrors of the first user and the second user.</t>
  </si>
  <si>
    <t>US20220072375</t>
  </si>
  <si>
    <t>17/339337</t>
  </si>
  <si>
    <t>US20220072347</t>
  </si>
  <si>
    <t>PARTICLE PROTECTION HEADWEAR APPARATUS</t>
  </si>
  <si>
    <t>17/446629</t>
  </si>
  <si>
    <t>Oliver, III, Lewis Maurice</t>
  </si>
  <si>
    <t>OLIVER III</t>
  </si>
  <si>
    <t>Oliver, III; Lewis Maurice; (Orlando, FL)</t>
  </si>
  <si>
    <t>Embodiments of particle protection headwear apparatuses and use thereof     are detailed herein. In general, embodiments of the present invention     include a shield and a shroud which couple to, or are partially or wholly     integral with, a hat. The shield extends downwardly from the hat and is     typically embodied as part of the hat. Further, the shield is designed     for a user to be able to look through it. The shroud is coupled to and     extends downwardly from the shield and the hat. The shroud extends     entirely around a perimeter of the hat to form a breathable barrier     between particles and the user's head. The shroud may be removeable from     the shield and washable.</t>
  </si>
  <si>
    <t>US20220072342</t>
  </si>
  <si>
    <t>NOSE BRIDGE STRIP WITH SCENT RELEASING MECHANISM AND MASK STRUCTURE HAVING     THE SAME</t>
  </si>
  <si>
    <t>17/391264</t>
  </si>
  <si>
    <t>TSAI, Cheng-Lang</t>
  </si>
  <si>
    <t>TSAI CHENG</t>
  </si>
  <si>
    <t>TSAI; Cheng-Lang; (New Taipei City, TW)</t>
  </si>
  <si>
    <t>A nose bridge strip having a scent-releasing mechanism can be included in     a mask structure and includes a main body and at least one     scent-releasing element. The main body is in a shape of a strip and can     be combined with the scent-releasing element. The scent-releasing element     can produce scent molecules capable of reacting with olfactory cells in a     nasal cavity such that bioelectric waves are generated and propagate to     the brain. The mask structure includes the nose bridge strip and a mask     body that can be arranged with the nose bridge strip. When the mask body     is worn on a human face, the nose bridge strip can be pressed and     deformed compliantly against the nose bridge so that a user wearing the     mask structure can smell a pleasant scent while breathing and feel     comfortable.</t>
  </si>
  <si>
    <t>US20220072251</t>
  </si>
  <si>
    <t>INTUBATION ASSEMBLY TO PROTECT FROM AIRBORNE ILLNESSES</t>
  </si>
  <si>
    <t>17/177432</t>
  </si>
  <si>
    <t>SAFER MEDICAL PRODUCTS, LLC</t>
  </si>
  <si>
    <t>SAFER MEDICAL PRODUCTS</t>
  </si>
  <si>
    <t>Brady; Rob; (Sarasota, FL); Vergin; Matt; (St. Petersburg, FL); Jennings; Barry; (Largo, FL); MacFarlane; Steve; (Bradenton, FL); Blubaugh; Richard; (Branson West, MO); Randall; Craig; (Branson, MO); Denevan; Misty; (Branson, MO); Baker; Todd; (Walnut Shade, MO)</t>
  </si>
  <si>
    <t>An intubation assembly and shield configured to at least partially reduce     the risk of contagion of airborne illnesses. The intubation assembly     comprises an intubation apparatus assembly, which may comprise an     intubation apparatus such as a laryngoscope, endoscope, bronchoscope, or     other fiberoptic device. The intubation apparatus assembly may be     operatively disposed on the shield assembly. The intubation apparatus may     be placed on a correspondingly dimensioned sleeve. The shield assembly     comprises a body with a plurality of side segments and a first     transparent component with a shield opening disposed thereon. The shield     opening may be used for insertion of the intubation apparatus assembly.     The shield assembly may also comprise a second transparent component with     at least one longitudinally disposed slot for insertion of an     endotracheal tube or other intubation apparatus(es). The shield assembly     may be provided with ports to attach a vacuum device to provide negative     pressure.</t>
  </si>
  <si>
    <t>US20220072250</t>
  </si>
  <si>
    <t>VENTILATOR SYSTEM WITH MULTIPLE AIRFLOW CONTROL LUMENS</t>
  </si>
  <si>
    <t>17/345994</t>
  </si>
  <si>
    <t>KILJANEK LUKASZ R</t>
  </si>
  <si>
    <t>KILJANEK LUKASZ</t>
  </si>
  <si>
    <t>Kiljanek; Lukasz R.; (Chesapeake Beach, MD)</t>
  </si>
  <si>
    <t>A61M 16/0486 20140204;  A61M 16/0404 20140204;  A61M 2202/0225 20130101;  A61M 16/12 20130101;  A61M 16/042 20140204;  A61M 16/208 20130101;  A61M 16/106 20140204;  A61M 16/0463 20130101</t>
  </si>
  <si>
    <t>Ventilator system with multiple inspiratory lumens is provided. The     inspiratory lumens are configured so that separate inspiratory lumens     provide inspiratory gas mixtures to separate portions of a patient's     airways, for instance to separate lungs and/or bronchi. The ventilator     system can include one or more expiratory lumens to evacuate expiratory     gases from airways. The use of separate inspiratory lumen(s), with     expiratory lumen(s), allows for functional separation of structural     portions of the lungs, and maintenance of continuous or almost continuous     flow through at least part of respiratory cycle via inspiratory and     expiratory lumens. This can further reduce dead space and clear suspended     therein diseases causative agents with improvement in outcomes, reduce     risk of cross-contamination or cross-infection between different parts of     airways, for example such as cross-infection from one lung lobe to     another lobe or. The ventilator system allows for independent titration     of PEEP, pCO.sub.2 and pO.sub.2 with no need for permissive hypercapnia.</t>
  </si>
  <si>
    <t>US20220072245</t>
  </si>
  <si>
    <t>VACUUM SHIELD ASSEMBLY FOR ATTACHMENT TO MEDICAL MASKS</t>
  </si>
  <si>
    <t>17/191823</t>
  </si>
  <si>
    <t>Brady; Rob; (Sarasota, FL); Vergin; Matt; (St. Petersburg, FL); Jennings; Barry; (Largo, FL); Winterhalter; Mike; (Nokomis, FL); Blubaugh; Richard; (Branson West, MO); Randall; Craig; (Branson, MO); Denevan; Misty; (Branson, MO); Baker; Todd; (Walnut Shade, MO)</t>
  </si>
  <si>
    <t>A61M 2202/0208 20130101;  A61M 16/009 20130101;  A61M 16/06 20130101;  A61M 16/14 20130101</t>
  </si>
  <si>
    <t>A vacuum shield assembly intended for attachment to an existing medical     mask for air suction, nebulization, BIPAP, and/or CPAP. The vacuum shield     assembly generally comprises a shield body and a retaining assembly. The     retaining assembly may attach the vacuum shield assembly to a vacuum tube     of the existing mask, which may be connected to a negative pressure     vacuum. The retaining assembly may also be attached to a nebulizer unit     or component thereof, or to an oxygen supply tube of a BIPAP or CPAP     mask. The shield body may comprise a lower segment, which may comprise a     connecting component configured and dimensioned for attachment to, and     for a fluid communication, with the retaining assembly. The shield body     may be configured and dimensioned to correspond to the geometry of the     existing mask. As an example, the shield body may comprise a     substantially concave configuration with a substantially semi-ovoidal     edge.</t>
  </si>
  <si>
    <t>US20220072210</t>
  </si>
  <si>
    <t>TREATMENT OF VIRAL INFECTION BY APHERESIS</t>
  </si>
  <si>
    <t>17/017502</t>
  </si>
  <si>
    <t>ELIAZ THERAPEUTICS INC</t>
  </si>
  <si>
    <t>ELIAZ THERAPEUTICS</t>
  </si>
  <si>
    <t>ELIAZ; Isaac; (Santa Rosa, CA)</t>
  </si>
  <si>
    <t>A61K 31/732 20130101;  C07K 16/10 20130101;  A61M 1/3618 20140204;  A61M 1/362 20140204;  A61M 2202/0415 20130101;  A61K 35/16 20130101;  A61M 1/3496 20130101</t>
  </si>
  <si>
    <t>The invention is directed to the treatment of COVID-19 patients by     withdrawing SARS-CoV-2 viral particles from the patient's circulation by     apheresis using a binding agent in either a fixed bed, or in a form     easily removed, such as by being complexed with magnetic particles. The     reduction in viral particles may be combined by reduction of active gal-3     levels in the patient which may provide further relief of conditions     associated with COVID-19 that may include symptoms associated with the     cytokine storm that is associated with COVID-19 infection. Both     SARS-CoV-2 viral particles and gal-3 may be bound by modified citrus     pectin of less than sixty thousand Daltons. The process may be combined     with the administration of supportive agents like antivirals,     anti-inflammatories, immune based inhibitors, vitamins and modified     citrus pectin.</t>
  </si>
  <si>
    <t>US20220072187</t>
  </si>
  <si>
    <t>Air Purification Devices and Systems</t>
  </si>
  <si>
    <t>17/410710</t>
  </si>
  <si>
    <t>UV AIRTECH INC</t>
  </si>
  <si>
    <t>UV AIRTECH</t>
  </si>
  <si>
    <t>Singh; Uday; (Bloomfield, NJ); Pirovolikos; Steven; (Hempstead, NY); DiPaolo; Gary; (East Rockaway, NY); Bernal; Juan; (Clifton, NJ)</t>
  </si>
  <si>
    <t>A sanitizer system, comprising: a housing having an air intake end and an     air outflow end; a fan disposed at the air outflow end; a cap disposed at     the air intake end, the cap being coupled to an edge of the housing, the     cap being spaced apart from the housing so that an intake port is formed     between the cap and the housing; and an ultraviolet (UV) lamp disposed     within the housing, the UV lamp being arranged to disinfect air that     enters the housing through the intake port before the air is expelled by     the fan through the air outflow end of the housing.</t>
  </si>
  <si>
    <t>US20220072184</t>
  </si>
  <si>
    <t>SANITIZING DEVICE, SANITIZING SYSTEM, AND METHODS FOR USE THEREOF</t>
  </si>
  <si>
    <t>17/332947</t>
  </si>
  <si>
    <t>US20220072121</t>
  </si>
  <si>
    <t>CORONAVIRUS IMMUNOGENIC COMPOSITIONS AND USES THEREOF</t>
  </si>
  <si>
    <t>17/342769</t>
  </si>
  <si>
    <t>ALTIMMUNE INC</t>
  </si>
  <si>
    <t>ALTIMMUNE</t>
  </si>
  <si>
    <t>Georges; Bertrand Victor Gilbert; (Leeds, GB); Roberts; M. Scot; (Gaithersburg, MD)</t>
  </si>
  <si>
    <t>CORONAVIRUS IMMUNOGENIC COMPOSITIONS AND USES THEREOF Provided in the     present disclosure are immunogenic compounds, pharmaceutical formulations     thereof and their use for inducing a protective immune response against     2019 novel coronavirus (SARS-CoV-2) infection and variants in a mammal.</t>
  </si>
  <si>
    <t>US20220072037</t>
  </si>
  <si>
    <t>MINERAL CATION COMPLEX COMPOSITIONS, FORMULATIONS THEROF, AND METHODS OF     USE THEROF</t>
  </si>
  <si>
    <t>17/466974</t>
  </si>
  <si>
    <t>LYME REVIVE FOUND</t>
  </si>
  <si>
    <t>KENNEDY; John Wayne; (Austin, TX)</t>
  </si>
  <si>
    <t>A61K 45/06 20130101;  A61K 33/04 20130101;  A61K 33/30 20130101;  A61K 33/06 20130101;  A61K 33/02 20130101;  A61K 33/34 20130101</t>
  </si>
  <si>
    <t>The disclosure provides compositions and formulations for the treatment     and mitigation disease as well as the restoration of cells to a state of     metabolic homeostasis. The disclosure further provides exemplary methods     of administering a therapeutically effective amount of a composition or     formulation comprising a mineral cation complex and ionic salt to a     subject for the treatment of disease or disorder. The disclosure further     provides exemplary methods of administering a therapeutically effective     amount of a composition or formulation comprising a mineral cation     complex and ionic salt to a subject for the maintenance or restoration of     cellular metabolic homeostasis.</t>
  </si>
  <si>
    <t>US20220072036</t>
  </si>
  <si>
    <t>METHOD FOR INHIBITING CORONAVIRUS AND METHOD FOR TREATING DISEASE     ASSOCIATED WITH CORONAVIRUS INFECTION</t>
  </si>
  <si>
    <t>17/468293</t>
  </si>
  <si>
    <t>AMAZING FORTUNE CO., LTD.</t>
  </si>
  <si>
    <t>AMAZING FORTUNE</t>
  </si>
  <si>
    <t>LIN; Bo-Lin; (Taipei City, TW); LIN; Chung-Hsiang; (Taipei City, TW)</t>
  </si>
  <si>
    <t>A61K 31/203 20130101;  A61K 33/30 20130101;  A61K 33/06 20130101;  A61P 31/14 20180101</t>
  </si>
  <si>
    <t>Disclosed herein is a method for inhibiting a coronavirus, which includes     administering to a subject in need thereof a retinoic acid and at least     one bivalent metal ion. Also disclosed is a method for treating a disease     associated with coronavirus infection, which includes administering to a     subject in need thereof a retinoic acid and at least one bivalent metal     ion.</t>
  </si>
  <si>
    <t>US20220072031</t>
  </si>
  <si>
    <t>TREATMENT OF VIRAL INFECTION</t>
  </si>
  <si>
    <t>17/063505</t>
  </si>
  <si>
    <t>ECONUGENICS INC</t>
  </si>
  <si>
    <t>ECONUGENICS</t>
  </si>
  <si>
    <t>Eliaz; Isaac; (SANTA ROSA, CA)</t>
  </si>
  <si>
    <t>The invention is directed to the treatment of COVID-19 patients by     administering to patients either infected by SARS-CoV-2 or presymptomatic     for COVID-19 but at risk of severe morbidity and mortality due to     potential COVID-19 infection. Such patients are given modified pectin,     preferably modified citrus pectin, in an amount that may range from 2.5     or 5 on up to 10-25 grams per day, divided into two or three doses per     day. The administration may be oral, by inhalation, intrabuccal or IV.     The process may be combined with the administration of supportive agents     like antivirals, anti-inflammatories, immune based inhibitors, vitamins,     monoclonal and polyclonal anti-viral or viral binding antibodies.</t>
  </si>
  <si>
    <t>US20220072016</t>
  </si>
  <si>
    <t>MILTEFOSINE FOR THE TREATMENT OF VIRAL INFECTIONS INCLUDING COVID-19</t>
  </si>
  <si>
    <t>17/471070</t>
  </si>
  <si>
    <t>PROFOUNDA HEALTH AND BEATY INC.</t>
  </si>
  <si>
    <t>PROFOUNDA HEALTH AND BEATY</t>
  </si>
  <si>
    <t>MacLaughlan; Todd Ewen; (Orlando, FL)</t>
  </si>
  <si>
    <t>A61K 31/661 20130101;  A61K 31/573 20130101;  A61K 39/42 20130101;  A61K 2039/545 20130101;  A61K 9/0053 20130101;  A61K 31/593 20130101;  A61K 38/21 20130101</t>
  </si>
  <si>
    <t>Methods of treating infections caused by viruses such as influenza and     coronaviruses are disclosed. The methods generally include systemic     administration of an effective amount of miltefosine, such as an oral or     intravenous formulation, and optionally administration of one or more     secondary agents. The methods may alleviate or abrogate the viral     infection and may further lessen the effects of the cytokine and/or     bradykinin storms that occur in certain subjects.</t>
  </si>
  <si>
    <t>US20220072008</t>
  </si>
  <si>
    <t>METHOD OF USING PROGESTERONE RECEPTOR AGONISTS FOR THE TREATMENT OF     COVID-19</t>
  </si>
  <si>
    <t>17/469089</t>
  </si>
  <si>
    <t>CEDARS-SINAI MEDICAL CENTER</t>
  </si>
  <si>
    <t>Ghandehari; Sara; (Los Angeles, CA); Pepkowitz; Samuel; (Los Angeles, CA)</t>
  </si>
  <si>
    <t>The invention describes methods of treating COVID-19, particularly     treating men who have COVID-19. The treatment includes administering a     progesterone receptor agonist, such as progesterone to a subject who has     one or more symptoms of COVID-19, or who is confirmed to have COVID-19.</t>
  </si>
  <si>
    <t>US20220071928</t>
  </si>
  <si>
    <t>POLYAMINE TRANSPORT INHIBITORS AS ANTIVIRALS</t>
  </si>
  <si>
    <t>17/469827</t>
  </si>
  <si>
    <t>BOSTON UNIVERSITY, TRUSTEES OF</t>
  </si>
  <si>
    <t>BOSTON UNIVERSITY</t>
  </si>
  <si>
    <t>PHANSTIEL, IV; Otto; (Orlando, FL); CONNOR; John; (Boston, MA)</t>
  </si>
  <si>
    <t>Disclosed herein are polyamine transport inhibitors (PTI) and methods of     use as antivirals. Disclosed PTI compounds are useful as treatments for     viral infections or can be used as prophylactic agents that protect high     risk individuals from becoming infected by the virus. The disclosed PTI     compounds can be used alone or in combination with other agents (or other     antivirals) to improve patient outcomes such as DFMO (or Remdesivir).</t>
  </si>
  <si>
    <t>US20220071904</t>
  </si>
  <si>
    <t>METHODS OF PROPHYLAXIS OF CORONAVIRUS INFECTION AND TREATMENT OF     CORONAVIRUSES</t>
  </si>
  <si>
    <t>17/410743</t>
  </si>
  <si>
    <t>CUREMARK, LLC</t>
  </si>
  <si>
    <t>CUREMARK</t>
  </si>
  <si>
    <t>FALLON; Joan M.; (White Plains, NY); HEIL; Matthew; (Sherman, CT); FALLON; James J.; (Armonk, NY); HUGHES; Janice; (Boulder, CO)</t>
  </si>
  <si>
    <t>A61K 38/47 20130101;  A61K 9/0029 20130101;  A61K 38/465 20130101;  A61K 9/1271 20130101;  A61K 38/48 20130101;  A61K 9/025 20130101</t>
  </si>
  <si>
    <t>Methods for prophylaxis, treatment, and reduction of infection,     re-infection, and transmission rates of Coronaviruses and more     particularly Coronavirus Disease 2019 (COVID-19) resulting from a     SARS-CoV-2 viral infection with the use of a pharmaceutical preparation     comprising one or more coated or uncoated digestive enzymes, such as     pancreatic enzymes and porcine pancreatic enzymes are described herein.</t>
  </si>
  <si>
    <t>US20220071902</t>
  </si>
  <si>
    <t>Nutriceuticals</t>
  </si>
  <si>
    <t>SOLUTION AND METHOD FOR REDUCING THE VIRULENCE OF VIRUSES, BACTERIA,     YEASTS, OR FUNGUS</t>
  </si>
  <si>
    <t>17/530439</t>
  </si>
  <si>
    <t>CHANGARIS, DAVID</t>
  </si>
  <si>
    <t>CHANGARIS DAVID</t>
  </si>
  <si>
    <t>Changaris; David G.; (Louisville, KY); CARENBAUER; ANNE L.; (Louisville, KY)</t>
  </si>
  <si>
    <t>A method of reducing the virulence of microbes in or on the human body     and a method of sanitizing or disinfecting a surface, area, object, or     porous or non porous material is provided. The methods comprise applying     or injecting a solution having an effective amount of a conjugated diene     for substantially reducing the virulence of the microbes or sanitizing or     disinfecting a surface, area, object, or porous or non porous material.</t>
  </si>
  <si>
    <t>US20220071893</t>
  </si>
  <si>
    <t>COMPOSITIONS FOR PREVENTING INFECTION</t>
  </si>
  <si>
    <t>17/466142</t>
  </si>
  <si>
    <t>ALTAMIRA MEDICA AG</t>
  </si>
  <si>
    <t>ALTAMIRA MEDICA</t>
  </si>
  <si>
    <t>Meyer; Thomas; (Zuchwil, CH); Fais; Fabio; (Kembs, FR)</t>
  </si>
  <si>
    <t>A61K 47/10 20130101;  A61K 33/00 20130101;  A61K 47/36 20130101;  A61K 9/006 20130101;  A61K 47/12 20130101;  A61P 31/16 20180101;  A61K 47/14 20130101</t>
  </si>
  <si>
    <t>The present disclosure relates aqueous composition comprising a     mucoadhesive polymer and clay particles and methods of treating or     preventing infection.</t>
  </si>
  <si>
    <t>US20220071825</t>
  </si>
  <si>
    <t>Patient Puller</t>
  </si>
  <si>
    <t>17/017577</t>
  </si>
  <si>
    <t>Thomas, Mammen; Peter, Sarah; Thomas, Elizabeth</t>
  </si>
  <si>
    <t>THOMAS MAMMEN</t>
  </si>
  <si>
    <t>Thomas; Mammen; (Hercules, CA); Peter; Sarah; (Los Angeles, CA); Thomas; Elizabeth; (Hercules, CA)</t>
  </si>
  <si>
    <t>A pulling mechanism using a motor, and a rolling tube or rod of     sufficient strength to pull a patient lying on a sheet on the bed is     provided to move patients up the bed with little manual effort. In most     hospitals and care facilities a common problem is that patients tend to     slip down the beds causing discomfort for the patient. Patients have to     be moved-up to comfortable position on the bed. Currently this is done     manually by two nursing staff one on either side of the bed, with the     patient on a slide sheet and pulling the patient manually up using the     slide sheet. This simple but strenuous operation has been the cause of     back problems for many nursing staff. The current invention is a way to     reduce or eliminate this injury to nursing staff by mechanizing the     pull-up operation.</t>
  </si>
  <si>
    <t>US20220071604</t>
  </si>
  <si>
    <t>SAMPLE COLLECTION DEVICES</t>
  </si>
  <si>
    <t>17/116584</t>
  </si>
  <si>
    <t>CONCEPTOMED AS</t>
  </si>
  <si>
    <t>CONCEPTOMED</t>
  </si>
  <si>
    <t>Mide; Christian; (Ballstad, NO); Schon; Jimmy Gido; (Ballstad, NO)</t>
  </si>
  <si>
    <t>A61B 2090/0807 20160201;  A61B 2560/04 20130101;  A61B 90/08 20160201;  A61B 2090/063 20160201;  A61B 10/0051 20130101</t>
  </si>
  <si>
    <t>A sample collection device for collecting a fluid sample is provided. The     device includes a sample collection chamber, for collecting a sample     therein, having a first end and a second end and a sample collection     conduit, for conveying a sample from a user into the sample collection     chamber. The sample collection conduit includes an inlet for receiving a     sample and wherein in at least a first position the sample collection     conduit extends from within the sample collection chamber out through the     first end such that at least the inlet is outside of the sample     collection chamber. The device further includes a plunger configured to     expel the sample out of the sample collection chamber through the second     end of the sample collection chamber.</t>
  </si>
  <si>
    <t>US20220071507</t>
  </si>
  <si>
    <t>COVID-19 REMOTE MONITORING</t>
  </si>
  <si>
    <t>17/468969</t>
  </si>
  <si>
    <t>Cardiac Pacemakers (Boston Scientific)</t>
  </si>
  <si>
    <t>CARDIAC PACEMAKERS</t>
  </si>
  <si>
    <t>Stolen; Craig; (New Brighton, MN); Thakur; Pramodsingh Hirasingh; (Woodbury, MN); Ahmed; Rezwan; (Arden Hills, MN); Averina; Viktoria A.; (Shoreview, MN)</t>
  </si>
  <si>
    <t>Systems and methods to provide remote patient monitoring for     viral-respiratory symptoms, including coronavirus or COVID-19 symptoms     are disclosed, including a signal receiver circuit configured to receive     first and second physiologic information of a patient, the first     physiologic information comprising respiration rate information of a     patient and the second physiologic information different than the first     physiologic information, and an assessment circuit configured to     determine an indication of patient viral-respiratory disease using the     received first and second physiologic information.</t>
  </si>
  <si>
    <t>US20220071442</t>
  </si>
  <si>
    <t>Roller Grill Food Warmer</t>
  </si>
  <si>
    <t>17/470782</t>
  </si>
  <si>
    <t>KURMLAVAGE MICHAEL M</t>
  </si>
  <si>
    <t>KURMLAVAGE MICHAEL</t>
  </si>
  <si>
    <t>Kurmlavage; Michael M; (Monroeville, NJ)</t>
  </si>
  <si>
    <t>Provided is a combination food warmer and sneeze guard cover for a roller     grill. The device includes a transparent cabinet with a pair of doors and     optionally one or more food shelves. The cabinet functions as a sneeze     guard cover to prevent contaminants, pathogens, insects, and the like     from contacting food contained on a roller grill. The cabinet     additionally utilizes the roller grill heating elements to indirectly     keep pre-cooked food contained on the shelves in a warm state. The     shelves can be inserted and removed as desired, and further include one     or more removable sections to allow access to the roller grill heating     elements. The device can be retrofitted to function with existing roller     grills, and can be quickly installed and removed as desired.</t>
  </si>
  <si>
    <t>US20220071428</t>
  </si>
  <si>
    <t>Silverwear Protective Supports</t>
  </si>
  <si>
    <t>17/017158</t>
  </si>
  <si>
    <t>Berardo, Bart; Foster, Donald</t>
  </si>
  <si>
    <t>BERARDO BART</t>
  </si>
  <si>
    <t>Berardo; Bart; (Camarllo, CA); Foster; Donald; (Santa Cruz, CA)</t>
  </si>
  <si>
    <t>A47G 29/087 20130101</t>
  </si>
  <si>
    <t>A protective support for an article of silverwear has a body with a     lowermost interface to a tabletop and an uppermost region presenting a     cradle opening vertically upward for restraining a silverwear utensil,     the cradle having a bottom restraint supporting the silverwear utensil,     and side restraints constraining the supported silverwear utensil from     moving off the support on either side.</t>
  </si>
  <si>
    <t>US20220071415</t>
  </si>
  <si>
    <t>VIDEO REBROADCASTING WITH MULTIPLEXED COMMUNICATIONS AND DISPLAY VIA SMART     MIRRORS, AND SMART WEIGHT INTEGRATION</t>
  </si>
  <si>
    <t>17/315558</t>
  </si>
  <si>
    <t>A method includes causing display, during a first time period and via a     first set of multiple smart mirrors, of live video depicting at least one     user associated with the first set of multiple smart mirrors, without     displaying a workout video. The method also includes causing display,     during a second time period following and mutually exclusive of the first     time period, and via a second set of multiple smart mirrors, of a workout     video and a representation of at least one user associated with the     second set of smart mirrors. The method also includes causing display,     during a third time period following and mutually exclusive of the second     time period, and via a third set of multiple smart mirrors, of live video     depicting at least one user associated with the third set of multiple     smart mirrors.</t>
  </si>
  <si>
    <t>US20220071325</t>
  </si>
  <si>
    <t>ENZYME-ENHANCED FABRICS THAT INACTIVATE PATHOGENS</t>
  </si>
  <si>
    <t>17/190299</t>
  </si>
  <si>
    <t>WARD MANDY JANE; BELL ADAM WARWICK</t>
  </si>
  <si>
    <t>Ward; Mandy Jane; (Los Osos, CA); Bell; Adam Warwick; (San Francisco, CA)</t>
  </si>
  <si>
    <t>The invention provides fabrics that incorporate enzymes that inactivate     microbial pathogens, particularly enveloped viral particles such as those     of Influenza virus and Coronavirus such as Covid-19. The fabrics of the     invention may be used in the production of various items including     protective facemasks.</t>
  </si>
  <si>
    <t>US20220071320</t>
  </si>
  <si>
    <t>Microfluidic PDMS face mask</t>
  </si>
  <si>
    <t>17/208334</t>
  </si>
  <si>
    <t>TAMKANG UNIVERSITY</t>
  </si>
  <si>
    <t>YANG; LUNG-JIEH; (NEW TAIPEI CITY, TW); Jabaraj; Vivek; (ANDAMAN &amp; NICOBAR ISLANDS, IN); Waikhom; Reshmi; (Imphal, IN)</t>
  </si>
  <si>
    <t>A41D 13/1107 20130101</t>
  </si>
  <si>
    <t>Provided is a microfluidic PDMS face mask, including a face mask body     having a plurality of bores mounted on a surface thereof, a microfluidic     block array including a plurality of microfluidic blocks being arranged     in arrays and received in the bores, each of the microfluidic block     includes a microfluidic module for allowing a fluid to flow therethrough,     thereby capturing microparticles, and a strap having one end attached to     a left side of the face mask body and the other end attached to a right     side of the face mask body for adhering the face mask body to the face of     a user.</t>
  </si>
  <si>
    <t>US20220071319</t>
  </si>
  <si>
    <t>Personal Ventilation System for an Air Mask</t>
  </si>
  <si>
    <t>17/159303</t>
  </si>
  <si>
    <t>BRUNEAU JOHN</t>
  </si>
  <si>
    <t>Bruneau; John; (Freeport, FL)</t>
  </si>
  <si>
    <t>This present invention relates to personal protection equipment, and in     particular to a face mask having a positive or forced air flow provided     by a portable pump to the interior of the face mask. The face mask system     reduces the amount of carbon monoxide the wearer is exposed to by     providing a one-way valve system which closes to allow the expelled     carbon monoxide to dissipate. The face mask system serves to force out     previously expelled air through on or more vents located in the mask.</t>
  </si>
  <si>
    <t>US20220070676</t>
  </si>
  <si>
    <t>Identifying and distance-measuring remote devices</t>
  </si>
  <si>
    <t>17/458628</t>
  </si>
  <si>
    <t>BRIGHT COCOON BV</t>
  </si>
  <si>
    <t>BRIGHT COCOON</t>
  </si>
  <si>
    <t>DE GRAAFF; J.L.R. (John); (Amersfoort, NL)</t>
  </si>
  <si>
    <t>H04L 9/3247 20130101;  H04W 12/06 20130101;  H04L 9/3073 20130101;  H04W 12/037 20210101;  H04W 12/63 20210101</t>
  </si>
  <si>
    <t>The invention provides for a device that allows real-time feedback to its     carrier (person) about the proximity or distance to another person. This     feedback could be a friendly tune or some alarm sound pattern, or a     visible light source with some color and brightness pattern. A person     could for instance alter his behavior by creating more distance from     other persons during a pandemic or in other situations where physical     distance is desired. The device according to the invention is     colloquially referred to as a SOTAR device, being short for "Sound     Transponder Rangefinder".</t>
  </si>
  <si>
    <t>US20220068625</t>
  </si>
  <si>
    <t>ULTRAVIOLET FIELD-EMISSION LAMPS AND THEIR APPLICATIONS</t>
  </si>
  <si>
    <t>17/195438</t>
  </si>
  <si>
    <t>NANOTECH INC.</t>
  </si>
  <si>
    <t>NANOTECH</t>
  </si>
  <si>
    <t>COE-SULLIVAN; Seth; (Redondo Beach, CA); STEVENSON; Matthew; (Ann Arbor, MI); LALEYAN; David Arto; (Whitmore Lake, MI)</t>
  </si>
  <si>
    <t>Improved ultraviolet field-emission lamps can be safely deployed close to     people because they eliminate the use of toxic materials, mitigate     heating issues, and emit light in a wavelength range that is safe for     human exposure.</t>
  </si>
  <si>
    <t>US20220068500</t>
  </si>
  <si>
    <t>SYSTEMS AND METHODS FOR PRIVATELY AND SECURELY TRACKING LOCATION DATA AND     BIOMETRIC SAMPLING FOR TRACING DISEASE PROPAGATION</t>
  </si>
  <si>
    <t>17/463545</t>
  </si>
  <si>
    <t>Abdallah, Mohammad Abdel-Fattah</t>
  </si>
  <si>
    <t>ABDALLAH MOHAMMAD</t>
  </si>
  <si>
    <t>Abdallah; Mohammad Abdel-Fattah; (El Dorado Hills, CA)</t>
  </si>
  <si>
    <t>G16H 50/80 20180101;  G16H 10/60 20180101;  G16H 70/60 20180101;  H04L 9/0819 20130101</t>
  </si>
  <si>
    <t>Embodiments of the present invention provide an artificial     intelligence-enabled apparatus, such as a mobile communication device     equipped with input ports and bio sensors and having a     controlling/coordinating/managing methods and software applications     running on them for reducing the spread of a pandemic and managing social     and economic impact to minimize disruptions that occur due to     indiscriminate and global actions such as strict social distancing and     business closures.</t>
  </si>
  <si>
    <t>US20220068499</t>
  </si>
  <si>
    <t>PREDICTING INFECTION RISK USING HETEROGENEOUS TEMPORAL GRAPHS</t>
  </si>
  <si>
    <t>17/009043</t>
  </si>
  <si>
    <t>Tadesse; Girmaw Abebe; (Nairobi, KE); Lin; Chen; (Elmsford, NY); Monge Nunez; Roxana; (Perez Zeledon, CR); Vukovic; Maja; (New York, NY); Weldemariam; Komminist; (Ottawa, CA)</t>
  </si>
  <si>
    <t>Predicting infection risk by generating a first temporal graph of a first     set of disease progression data, generating a second temporal graph of a     second set of disease progression data, combining a first temporal graph     node embedding and a second temporal graph node embedding, and generating     a predicted infection risk according to the first temporal graph node     embedding and the second temporal graph node embedding.</t>
  </si>
  <si>
    <t>US20220068490</t>
  </si>
  <si>
    <t>TEST APPARATUS, TEST METHOD, AND TEST PROGRAM</t>
  </si>
  <si>
    <t>17/409808</t>
  </si>
  <si>
    <t>Fujifilm Business Innovation</t>
  </si>
  <si>
    <t>FUJIFILM BUSINESS INNOVATION</t>
  </si>
  <si>
    <t>NAKATSUGAWA; Haruyasu; (Kanagawa, JP); KANEKO; Yasuhisa; (Kanagawa, JP); NAGAMIYA; Kenji; (Kanagawa, JP); HIRAGAMI; Tomohide; (Kanagawa, JP); HOSONO; Yasuyuki; (Kanagawa, JP); KITAMURA; Nobuya; (Kanagawa, JP)</t>
  </si>
  <si>
    <t>A61B 5/0013 20130101;  A61B 5/7445 20130101;  A61B 5/0537 20130101;  A61B 5/14532 20130101;  G16H 50/30 20180101;  A61B 5/681 20130101;  A61B 5/0022 20130101</t>
  </si>
  <si>
    <t>A test apparatus comprising at least one processor, wherein the processor     is configured to acquire a determination result as to whether or not     there is an abnormal tendency in first biological information, the     determination result being determined based on a monitoring result of the     first biological information of a user, determine, as a test candidate to     be recommended for the user, at least one test candidate for acquiring     second biological information associated with the first biological     information in a case where the determination result corresponds to the     abnormal tendency, present the determined test candidate to the user,     receive selection of the presented test candidate, and present a guide     according to the selected test candidate to the user.</t>
  </si>
  <si>
    <t>US20220068480</t>
  </si>
  <si>
    <t>SYSTEMS AND METHODS FOR PREDICTING AND IMPROVING THE HEALTHCARE DECISIONS     OF A PATIENT VIA PREDICTIVE MODELING</t>
  </si>
  <si>
    <t>17/411102</t>
  </si>
  <si>
    <t>CURIA.AI INC.</t>
  </si>
  <si>
    <t>CUAI</t>
  </si>
  <si>
    <t>MANZI; James; (Washington, DC)</t>
  </si>
  <si>
    <t>G16H 50/80 20180101;  G06T 7/0012 20130101;  G16H 50/20 20180101;  G16H 50/30 20180101;  G16H 10/60 20180101;  G16H 50/70 20180101;  G06T 2207/20081 20130101;  G16H 30/20 20180101;  G16H 40/20 20180101;  G16H 30/40 20180101</t>
  </si>
  <si>
    <t>A system and method for predicting and improving the healthcare decisions     of a patient via predictive modeling. The system and method include     receiving a request for a risk score; applying scoring data to a risk     predictive model causing the risk predictive model to generate the risk     score, the risk score indicative of a probability of the patient to     access in-person medical care at a medical provider within a temporal     window; determining that the risk score satisfies a criteria; and     applying at least a subset of the scoring data to an impactability     predictive model causing the impactability predictive model to generate     an impactability score based on at least the subset of the scoring data,     the impactability score indicative of a probability that the patient     would not access the in-person medical care at the medical provider     within the temporal window responsive to receiving a notification from     the medical provider.</t>
  </si>
  <si>
    <t>US20220068241</t>
  </si>
  <si>
    <t>SYNCHRONIZING A USER DEVICE AND A KIOSK INTERFACE USING A VISUAL CODE, AND     APPLICATIONS THEREOF</t>
  </si>
  <si>
    <t>17/515898</t>
  </si>
  <si>
    <t>INFINITE PERIPHERALS</t>
  </si>
  <si>
    <t>BRODERICK; John; (Corona, CA); SCHURAN; Brad; (St. Catharines, CA); SCOTT; Jeffrey Lee; (Irvine, CA)</t>
  </si>
  <si>
    <t>G09G 2370/022 20130101;  G06F 1/12 20130101;  H04L 7/0008 20130101;  H04L 67/141 20130101;  G09G 5/12 20130101;  G09G 2354/00 20130101;  G06K 7/1417 20130101;  G06F 21/64 20130101</t>
  </si>
  <si>
    <t>A user can scan a QR code on a kiosk with her mobile device. Scanning the     QR code will cause the mobile device to display an interface displayed on     the kiosk. When a user enters information on the device corresponding     information is displayed on the kiosk. In this way, a user can engage     with the kiosk interface in a contactless manner.</t>
  </si>
  <si>
    <t>US20220068078</t>
  </si>
  <si>
    <t>METHODS OF AND SYSTEMS FOR CONTROLLING ACCESS TO NETWORKED DEVICES     PROVIDED WITH MACHINE-READABLE CODES SCANNED BY MOBILE PHONES AND     COMPUTING DEVICES</t>
  </si>
  <si>
    <t>17/399080</t>
  </si>
  <si>
    <t>SCOOTERBUG, INC.</t>
  </si>
  <si>
    <t>SCOOTERBUG</t>
  </si>
  <si>
    <t>Schmidt; Mark Christopher; (Windermere, FL); Swogger; Wesley Edward; (Fairfax Station, VA); Taylor; Thomas Dwayne; (Kissimmee, FL); Buchoff; Michael Buchoff; (Winter Springs, FL)</t>
  </si>
  <si>
    <t>G07F 17/12 20130101;  G07C 2009/00769 20130101;  G07C 9/00896 20130101;  G06Q 10/02 20130101;  G07C 9/00309 20130101;  G07C 9/22 20200101;  G07F 17/0028 20130101;  G07C 9/27 20200101;  G06F 16/9554 20190101</t>
  </si>
  <si>
    <t>A multi-level machine-readable code system and method deployed in an     environment supported by a wireless access control system network. The     multi-level machine-readable code system including multi-level codes     including facility-level codes, site-level codes and device-level codes,     that are scanned by mobile computing devices such as mobile smart phones     to initiated web-based e-commerce-enabled transactions that allow guest     users to select and rent the particular networked devices available for     rental and use within a facility, such as, for example, storage lockers,     strollers, EVCs, wheelchairs and the like at a site selected within the     environment. The wireless access and control system network can     automatically assign an available device to the guest user at the     selected site. When the guest reads the device-level machine-readable     code on a device available for rental at a site, the wireless control     access network also enables the guest users to scan the code and rent the     device at the selected site and automatically control access to the     rented device at the selected site, for access and use in the     environment.</t>
  </si>
  <si>
    <t>US20220068077</t>
  </si>
  <si>
    <t>AUTOMATED PERSONAL PROTECTIVE EQUIPMENT DISPENSER</t>
  </si>
  <si>
    <t>17/412245</t>
  </si>
  <si>
    <t>Mims, Paula; Mims, Tom</t>
  </si>
  <si>
    <t>MIMS PAULA</t>
  </si>
  <si>
    <t>Mims; Paula; (Lakeland, FL); Mims; Tom; (Lakeland, FL)</t>
  </si>
  <si>
    <t>G07F 9/009 20200501</t>
  </si>
  <si>
    <t>A machine that comprises a housing capable of containing a supply of at     least one type of persona protective equipment, a motion sensor, a     control module, and at least one operably connected means for moving at     least one item of personal protective equipment. Personal protective     equipment includes masks, gloves, face shields, and gowns.</t>
  </si>
  <si>
    <t>US20220067921</t>
  </si>
  <si>
    <t>MEASUREMENT OF BODY TEMPERATURE OF A SUBJECT</t>
  </si>
  <si>
    <t>17/006944</t>
  </si>
  <si>
    <t>LEV; Tsvi; (Tel-Aviv, IL); HOCH; Yaacov; (Ramat-Gan, IL); OREVI; Liran; (Rishon-LeZion, IL)</t>
  </si>
  <si>
    <t>There is provided a computer implemented method of measuring a     temperature of a subject, comprising: receiving a sequence of a plurality     of thermal images of a subject captured by a thermal sensor, analyzing     the sequence of the plurality of thermal images to identify at least one     target thermal image depicting an upper region of a tongue of the     subject, analyzing the at least one target thermal image to identify an     estimated temperature of the upper region of the tongue, and providing     the estimated temperature of the upper region of the tongue.</t>
  </si>
  <si>
    <t>US20220067756</t>
  </si>
  <si>
    <t>SYSTEM AND METHOD FOR INTELLIGENT RESOURCE MANAGEMENT</t>
  </si>
  <si>
    <t>17/401538</t>
  </si>
  <si>
    <t>THE ROYAL BANK OF CANADA</t>
  </si>
  <si>
    <t>THE ROYAL BANK CANADA</t>
  </si>
  <si>
    <t>MA; Mary Xiaoyu; (Oakville, CA); GRITTER; Joel Aidan; (Vineland Station, CA); HASMANI; Inaara; (Toronto, CA); PRAYOGO; Nicholas Andrien; (Toronto, CA); HABIB; Imran; (Toronto, CA); STANTON; Richard; (Toronto, CA); HAGUE; Jenna; (Mississauga, CA); CHENG; Victor; (Toronto, CA)</t>
  </si>
  <si>
    <t>A computer system and method for intelligent system diagnostics and     management is provided. The system comprises at least one processor and a     memory storing instructions which when executed by the processor     configure the processor to perform the method. The method comprises     receiving resource data and usage data, preprocessing the resource data     and the usage data into operational data, training and updating a     foresight model using the operational data, receiving a forecast     generated by the foresight model, and sending a notification for a     recommended action based on the forecast. The forecast may be associated     with a future resource state or event associated with the operational     data.</t>
  </si>
  <si>
    <t>US20220067666</t>
  </si>
  <si>
    <t>Virtual hallway conversations for remote collaboration</t>
  </si>
  <si>
    <t>17/404565</t>
  </si>
  <si>
    <t>CIENA CORPORATION</t>
  </si>
  <si>
    <t>CIENA</t>
  </si>
  <si>
    <t>Shiner; Andrew D.; (Ottawa, CA)</t>
  </si>
  <si>
    <t>G06Q 10/063118 20130101;  G06Q 10/103 20130101;  G06Q 10/1095 20130101</t>
  </si>
  <si>
    <t>Systems and methods include monitoring users logging into a collaboration     service for a corresponding online meeting; and assigning a plurality of     the users to a virtual waiting room, separate from any corresponding     online meeting, in advance of their corresponding online meeting to     enable collaboration in the virtual waiting room. The systems and methods     can further include notifying the plurality of users when their     corresponding online meeting has started for the plurality of users to     leave the virtual waiting room.</t>
  </si>
  <si>
    <t>US20220067662</t>
  </si>
  <si>
    <t>SYSTEMS AND METHODS FOR COMMUNICATION SYSTEMS ANALYTICS</t>
  </si>
  <si>
    <t>17/464188</t>
  </si>
  <si>
    <t>PWC PRODUCT SALES LLC</t>
  </si>
  <si>
    <t>PWC PRODUCT SALES</t>
  </si>
  <si>
    <t>MARINOVIC; Srdjan; (Washington, DC)</t>
  </si>
  <si>
    <t>G06Q 10/063118 20130101;  G16H 50/80 20180101;  G06Q 10/105 20130101;  G06Q 10/0635 20130101;  G06Q 10/06398 20130101;  G06F 16/258 20190101;  G06Q 10/103 20130101;  G06Q 50/01 20130101;  G06Q 10/06393 20130101;  G06Q 10/101 20130101;  G08B 5/22 20130101;  G16H 50/30 20180101</t>
  </si>
  <si>
    <t>Embodiments of this disclosure relate to systems and methods for     determining a set of one or more identified characteristics correlated     with high performing projects. Methods include receiving communication     data from a plurality of servers, the communication data associated with     a plurality of conversations involving one or more users. The     communication data is converted into a common format and used to generate     a graph, the graph based upon characteristics identified in the     communication data and users involved with the plurality of     conversations. The communication data can be clustered according to the     characteristics and the users, thereby generating one or more clusters     around at least one of a characteristic and a user. User data and project     data can be generated based on the one or more clusters and be used to     determine the set of one or more identified characteristics correlated     with high performing projects.</t>
  </si>
  <si>
    <t>US20220067445</t>
  </si>
  <si>
    <t>SYSTEMS AND METHODS FOR AUTOMATED CLASSIFICATION OF SIGNAL DATA SIGNATURES</t>
  </si>
  <si>
    <t>17/465399</t>
  </si>
  <si>
    <t>COVID COUGH, INC.</t>
  </si>
  <si>
    <t>COVID COUGH</t>
  </si>
  <si>
    <t>Archuleta; Michelle; (Lakewood, CO); Cox; Morgan; (Lakewood, CO); Donaldson; Nolan; (Denver, CO); Stogsdill; Adam; (Cypress, TX); Kotchou; Simon; (Phoenix, AZ); Ramirez; Maurice A.; (Lake Wales, FL)</t>
  </si>
  <si>
    <t>G06K 9/6234 20130101;  G06K 9/6262 20130101;  G06N 3/088 20130101</t>
  </si>
  <si>
    <t>Systems and methods of the present disclosure enable automated detection     of signal data signatures by receiving a first reward and a first state     including a signal data signature recording having a first onset location     and a first offset location. An action is performed to produce a second     state with second onset and offset locations based on the first state,     the first reward and a policy of a reinforcement learning agent. A     discriminator machine learning model determines a match score     representative of a similarity between the second state and a target     distribution of a signal data signature type. A second reward is     determined based on the match score and, based on the second reward     exceeding a threshold, a modified signal data signature recording is     produced with the signal data signature having a modified beginning and a     modified end according to the second onset location and the second offset     location, respectively.</t>
  </si>
  <si>
    <t>US20220067313</t>
  </si>
  <si>
    <t>SYSTEM, APPARATUS AND METHODS FOR DETERMINATION OF TRIGGER EVENTS USING     RADIO-FREQUENCY IDENTIFICATION DEVICES</t>
  </si>
  <si>
    <t>17/463799</t>
  </si>
  <si>
    <t>TAOGLAS GROUP HOLDINGS LIMITED</t>
  </si>
  <si>
    <t>TAOGLAS</t>
  </si>
  <si>
    <t>Behan; Peter; (San Diego, CA); Hibbett; Mike; (San Diego, CA)</t>
  </si>
  <si>
    <t>G08B 21/18 20130101;  G06K 7/10237 20130101</t>
  </si>
  <si>
    <t>Systems and apparatus for the determination of trigger events using     radio-frequency identification devices. In one embodiment, the system     includes radio-frequency devices, one or more wireless access points, and     monitoring software. The system operates by detecting a trigger event by     a radio-frequency identification device; switching from a default     identifier to an alert identifier for the radio-frequency identification     device; determining whether to transmit the alert identifier for the     radio-frequency identification device; and transmitting the alert     identifier for the radio-frequency identification device to a wireless     access point. Methods for determination of trigger events using     radio-frequency identification devices are also disclosed.</t>
  </si>
  <si>
    <t>US20220067302</t>
  </si>
  <si>
    <t>SYSTEMS AND METHODS FOR SCIENETIFIC CONTRIBUTION SUMMARIZATION</t>
  </si>
  <si>
    <t>17/161327</t>
  </si>
  <si>
    <t>Salesforce.com</t>
  </si>
  <si>
    <t>SALESFORCE</t>
  </si>
  <si>
    <t>Hayashi; Hiroaki; (Pittsburgh, PA); Kryscinski; Wojciech; (San Francisco, CA)</t>
  </si>
  <si>
    <t>Embodiments described herein provide natural language processing (NLP)     systems and methods that provide a customized summarization of scientific     or technical articles, which disentangles background information from new     contributions, and summarizes the background information or the new     information (or both) based on a user's preference. Specifically, the     systems and methods utilize machine learning classifiers to classify     portions of sentences within the article as containing background     information or as containing a new contribution attributable to the     article. The systems and methods then incorporate the background     information in the summary or incorporate the new contribution in the     summary and output the summary. In this way, the systems and methods can     provide summaries of scientific literatures, which largely accelerates     literature review in scientific fields.</t>
  </si>
  <si>
    <t>US20220067204</t>
  </si>
  <si>
    <t>SYSTEM ARCHITECTURE FOR PROVIDING PRIVACY BY DESIGN</t>
  </si>
  <si>
    <t>17/459464</t>
  </si>
  <si>
    <t>Accenture</t>
  </si>
  <si>
    <t>ACCENTURE</t>
  </si>
  <si>
    <t>Hadar; Eitan; (Nesher, IL); Klein; Dan; (Rosh Ha'ayin, IL); Rochwerger; Benny; (Tel Aviv, IL)</t>
  </si>
  <si>
    <t>G06N 5/02 20130101;  G06F 21/577 20130101;  G06F 2221/034 20130101;  G06F 21/6254 20130101;  G06N 20/00 20190101</t>
  </si>
  <si>
    <t>The present disclosure provides a system architecture for designing and     monitoring privacy-aware services and improving privacy regulation     compliance. A privacy-preserving knowledge graph (PPKG) system provides     functionality for modelling and analyzing processes that use, share, or     request sensitive data from users and the outcomes of such functionality     may be utilized to modify the design of the processes (e.g., to improve     security of the process, regulatory compliance of the process, and the     like). The PPKG system may also be used to modify the process, such as to     write code that may be compiled into executable form and deployed to a     run-time environment. A privacy-preserving posture (PPP) system monitors     the run-time environment and analyzes where processes obtain, store, and     share sensitive data. The PPP system may identify run-time     vulnerabilities that may pose risks with respect to the sensitive data,     as well as areas where modifications could be made to improve regulatory     compliance.</t>
  </si>
  <si>
    <t>US20220067093</t>
  </si>
  <si>
    <t>SYSTEMS AND METHODS FOR GENERATING SMELL DATA AND A DATABASE THEREOF</t>
  </si>
  <si>
    <t>17/007292</t>
  </si>
  <si>
    <t>MS^2 INC.</t>
  </si>
  <si>
    <t>MS^2</t>
  </si>
  <si>
    <t>Su; Xing; (Santa Clara, CA); WU; Kai; (Santa Clara, CA)</t>
  </si>
  <si>
    <t>G06F 16/9035 20190101;  G06F 16/901 20190101;  G06F 16/906 20190101;  G01N 33/0001 20130101;  G06N 7/00 20130101</t>
  </si>
  <si>
    <t>A database comprising a digital signature of a smell, the digital     signature comprising a smell data, the smell data comprising a response     signal that is a function of a first data corresponding to a generator     generating the response signal and a second data corresponding to a     predetermined stimulus for generating the response signal, wherein the     digital signature comprises binary data, wherein the response signal is a     measurable response of the generator to the predetermined stimulus that     is a function of change in electrical properties of resistance or     impedance in the generator. wherein the generator generating the     smell-related response signal is a Metal Oxide Semiconductor (MOS) in a     sensor or a sensor pixel of a sensor array having a plurality of MOS     sensor pixels having an MOS active material exposed to an analyte in the     gas environment and the predetermined stimulus is a sequence of     predetermined temperatures.</t>
  </si>
  <si>
    <t>US20220066456</t>
  </si>
  <si>
    <t>OBSTACLE RECOGNITION METHOD FOR AUTONOMOUS ROBOTS</t>
  </si>
  <si>
    <t>17/403292</t>
  </si>
  <si>
    <t>YVA.AI, INC.</t>
  </si>
  <si>
    <t>YVA.AI</t>
  </si>
  <si>
    <t>Ebrahimi Afrouzi; Ali; (San DIEGO, CA); Fath; Lukas; (York, CA); Fitzgerald; Andrew; (Burlington, CA); Ebrahimi Afrouzi; Amin; (Encinitas, CA); Highfill; Brian; (Castro Valley, CA)</t>
  </si>
  <si>
    <t>G05D 1/0214 20130101;  B25J 9/1676 20130101;  B25J 9/1697 20130101;  G05D 1/0246 20130101</t>
  </si>
  <si>
    <t>Provided is a method for operating a robot, including: capturing images     of a workspace; capturing movement data indicative of movement of the     robot; capturing LIDAR data as the robot performs work within the     workspace; comparing at least one object from the captured images to     objects in an object dictionary; identifying a class to which the at     least one object belongs; generating a first iteration of a map of the     workspace based on the LIDAR data; generating additional iterations of     the map based on newly captured LIDAR data and newly captured movement     data; actuating the robot to drive along a trajectory that follows along     a planned path by providing pulses to one or more electric motors of     wheels of the robot; and localizing the robot within an iteration of the     map by estimating a position of the robot based on the movement data,     slippage, and sensor errors.</t>
  </si>
  <si>
    <t>US20220066189</t>
  </si>
  <si>
    <t>WIDE-FIELD DEEP UV RAMAN MICROSCOPE</t>
  </si>
  <si>
    <t>17/326576</t>
  </si>
  <si>
    <t>Texas AM University System</t>
  </si>
  <si>
    <t>TEXAS AM UNIVERSITY SYSTEM</t>
  </si>
  <si>
    <t>Yakovlev; Vladislav V.; (College Station, TX)</t>
  </si>
  <si>
    <t>A spectroscopy device includes an incoherent light source, tunable to a     predetermined emission wavelength; a microscope platform comprising a     microscope objective comprising a deep-UV optimized objective and a focal     plane defined thereon; a notch filter having an absorption frequency     matched to the emission wavelength; and a frequency-selective optical     path from the wide-field UV light source to the microscope platform onto     the focal plane and from the focal plane through the notch filter.</t>
  </si>
  <si>
    <t>US20220065869</t>
  </si>
  <si>
    <t>Methods, Compositions, and Systems for Detecting Coronavirus Neutralizing     Antibodies</t>
  </si>
  <si>
    <t>17/359064</t>
  </si>
  <si>
    <t>LABORATORY CORPORATION OF AMERICA HOLDINGS</t>
  </si>
  <si>
    <t>LABORATORY AMERICA</t>
  </si>
  <si>
    <t>Petropoulos; Christos J.; (Half Moon Bay, CA); Wrin; Mary T.; (Fremont, CA); DiTirro; Danielle; (Walnut Creek, CA)</t>
  </si>
  <si>
    <t>The present disclosure relates to methods, compositions, and systems for     detecting whether a subject exposed to a coronavirus has developed a     neutralizing antibody response. Also disclosed are methods for     determining whether a patient infected by a coronavirus is likely to     respond to treatment with an antibody preparation. Also disclosed are     methods for detecting the level of neutralizing antibody response in a     sample of serum from a subject exposed to a coronavirus or to a     coronavirus vaccine.</t>
  </si>
  <si>
    <t>US20220065852</t>
  </si>
  <si>
    <t>DEVICES AND METHODS FOR DETECTING VIRAL INFECTION</t>
  </si>
  <si>
    <t>17/461264</t>
  </si>
  <si>
    <t>MAXIM BIOMEDICAL, INC.</t>
  </si>
  <si>
    <t>MAXIM BIOMEDICAL</t>
  </si>
  <si>
    <t>Su; Mei-Jhy; (North Potomac, MD); Maa; Juehn-Shin; (North Potomac, MD); Maa; Jonathan; (North Potomac, MD); Maa; Jessica; (North Potomac, MD); Maa; Julia; (North Potomac, MD)</t>
  </si>
  <si>
    <t>Methods and devices for the detection of coronavirus infection are     disclosed. The methods include detecting the presence of coronavirus     nucleocapsid protein comprising the use of antibodies bound to     nanoparticles immobilized on a solid support chromatographic immunoassay.     The devices and methods include detection of SARS-CoV-2.</t>
  </si>
  <si>
    <t>US20220065842</t>
  </si>
  <si>
    <t>Plural individual specimen collecting, transporting &amp; analyzing device and     method</t>
  </si>
  <si>
    <t>17/006827</t>
  </si>
  <si>
    <t>NGUYEN PHUONG</t>
  </si>
  <si>
    <t>Nguyen; Phuong; (San Diego, CA)</t>
  </si>
  <si>
    <t>G01N 2001/027 20130101;  B01L 3/5082 20130101;  G01N 1/02 20130101;  G01N 33/487 20130101;  B01L 3/5029 20130101</t>
  </si>
  <si>
    <t>A device for collecting, shipping and analyzing a plurality of     pathological specimens includes a plural number of collection vials for     loading into testing vessel. Each vial can contain a reagent solution and     a collector stick projecting from the inside of a stopper. The bottom of     the vial can have a drain sealed by a frangible barrier. The vials can be     inserted into chambers in the vessel that have a pintles oriented to     break the barriers, allowing solution to flow onto one or more signaling     elements such as a chromatographic strips. An insert drives the vials     onto the pintles by simply screwing the vessel lid to its farthest     position. The insert includes pins oriented to puncture sealed holes in     the stoppers of each vial, facilitating the flow of solution from the     vials. The analytical process can be performed in the absence of any     contacting or manipulating of the vials and specimen collectors.</t>
  </si>
  <si>
    <t>US20220065807</t>
  </si>
  <si>
    <t>MULTIPLEXED SENSOR FOR ULTRA-FAST AND LOW-COST COVID-19 DIAGNOSIS AND     MONITORING</t>
  </si>
  <si>
    <t>17/465709</t>
  </si>
  <si>
    <t>California Institute Of Technology</t>
  </si>
  <si>
    <t>CALIFORNIA INSTITUTE</t>
  </si>
  <si>
    <t>Gao; Wei; (Pasadena, CA); Torrente-Rodriguez; Rebeca M.; (Pasadena, CA); Lukas; Heather; (Pasadena, CA)</t>
  </si>
  <si>
    <t>G01N 33/6857 20130101;  B01L 2300/0636 20130101;  B01L 2300/0645 20130101;  B01L 3/502715 20130101;  G01N 27/3277 20130101;  G01N 2333/165 20130101;  B01L 2300/023 20130101</t>
  </si>
  <si>
    <t>A biosensor for the rapid, inexpensive, quantitative, and convenient     detection of SARS-CoV-2 biomarkers, methods of manufacturing, and methods     of using the same, to identify a patient's prognosis and past/present     SARS-CoV-2 infection status, wherein the biosensor comprises a     microfluidics layer, a multimodal sensing layer comprising two or more     working electrodes, and a logic circuit that may include a processor and     non-transitory memory with computer executable instructions embedded     thereon.</t>
  </si>
  <si>
    <t>US20220065789</t>
  </si>
  <si>
    <t>FILTER MEDIA AND SYSTEM USING THE SAME</t>
  </si>
  <si>
    <t>17/008290</t>
  </si>
  <si>
    <t>Rateick, JR.; Richard George; (South Bend, IN); Evans; Christopher; (Granger, IN); Jadidian; Bahram; (Watchung, NJ); Mohajeri; Mahdi; (Morristown, NJ); Mehr; Mehrad; (Raleigh, NC)</t>
  </si>
  <si>
    <t>G01J 3/0229 20130101;  B01D 39/2051 20130101;  G01N 21/65 20130101;  B01D 2239/0471 20130101;  B01D 2239/025 20130101;  B01D 2239/1216 20130101;  B01D 2239/0442 20130101;  G01J 3/44 20130101</t>
  </si>
  <si>
    <t>In some examples, a method of making a filter includes heating a metal     substrate to precipitate a first phase on a surface of the metal     substrate from a metal alloy, the metal substrate defining a plurality of     apertures configured to allow a gas to pass through the apertures. The     metal substrate is the metal alloy including a first metal and a second     metal. The method further includes growing a plurality of carbon     nanotubes (CNTs) on the surface of the first metal of the first phase,     and the CNTs are configured to capture at least one particle.</t>
  </si>
  <si>
    <t>US20220065782</t>
  </si>
  <si>
    <t>FORENSIC DETECTOR AND THE SYSTEM THEREOF</t>
  </si>
  <si>
    <t>16/948041</t>
  </si>
  <si>
    <t>HONG KONG APPLIED SCIENCE AND TECHNOLOGY RESEARCH INSTITUTE CO., LTD</t>
  </si>
  <si>
    <t>HONG KONG APPLIED SCIENCE AND RESEARCH INSTITUTE</t>
  </si>
  <si>
    <t>CHEUNG; Hoi Ching; (Hong Kong, CN)</t>
  </si>
  <si>
    <t>G01N 2201/0633 20130101;  H04M 1/72409 20210101;  G01N 2201/0636 20130101;  G01N 2021/6417 20130101;  H04M 2250/52 20130101;  G02B 27/141 20130101;  G01N 21/64 20130101</t>
  </si>
  <si>
    <t>A forensic detector for remotely sensing a porphyrin-containing substance     on a surface of an object is provided. The forensic detector includes an     excitation light source for generating an excitation light beam, plural     optical elements, one or more sensors for measuring a first and second     radiation powers, and a computer processor. The excitation light beam has     an excitation wavelength capable of exciting porphyrin to luminesce at a     target wavelength centered between 665-675 nm. The first and second     radiation powers are in non-overlapping wavelength regions of the     object-originated light beam. The computer processor is configured to     compute a SNR according to the first radiation power and a background     noise power level, and to determine if the porphyrin-containing substance     is present on the surface according to the SNR. The background noise     power level is obtained from the one or more second radiation powers.</t>
  </si>
  <si>
    <t>US20220065479</t>
  </si>
  <si>
    <t>INFECTION CONTROL TOOL FOR HVAC SYSTEM</t>
  </si>
  <si>
    <t>17/459963</t>
  </si>
  <si>
    <t>Douglas; Jonathan D.; (Mequon, WI); Drees; Kirk H.; (Cedarburg, WI); Risbeck; Michael J.; (Madison, WI)</t>
  </si>
  <si>
    <t>An infection control tool for a building HVAC system includes processing     circuitry configured to receive one or more inputs defining a HVAC system     configuration for each of a baseline scenario and one or more other     scenarios. The processing circuitry is also configured to estimate     infection risk and at least one of energy consumption or operating cost     for each of the one or more other scenarios relative to the baseline     scenario. The processing circuitry is also configured to operate a     display to provide the infection risk and at least one of the energy     consumption or operating cost to a user.</t>
  </si>
  <si>
    <t>US20220065466</t>
  </si>
  <si>
    <t>CLEAN NEGATIVE PRESSURE HOSPITAL ROOM SYSTEM USING COMPRESSOR AND TURBINE</t>
  </si>
  <si>
    <t>17/458563</t>
  </si>
  <si>
    <t>Korea Institute Of Energy Research</t>
  </si>
  <si>
    <t>KOREA INSTITUTE ENERGY RESEARCH</t>
  </si>
  <si>
    <t>CHO; Jongjae; (Sejong-si, KR); SHIN; Hyungki; (Daejeon, KR); LEE; Beomjoon; (Sejong-si, KR); HUR; Gyunchul; (Sejong-si, KR); CHO; Junhyun; (Daejeon, KR); CHOI; Bongsu; (Daejeon, KR); ROH; Chulwoo; (Sejong-si, KR); BAIK; Young-Jin; (Daejeon, KR); RA; Ho-sang; (Daejeon, KR)</t>
  </si>
  <si>
    <t>The present disclosure sucks air in hospital room using a compressor to     maintain an inner portion of the hospital room in a negative pressure     state, and creates a high-temperature and humid environment by a water     spray, the compressor, and a sterilization chamber to kill bacteria or     viruses. In addition, the compressor uses power generated by a turbine,     and is configured so that heat of air coming out of the compressor is     recovered to a suction side of the compressor, such that efficiency of a     system may be secured. Further, some of clean air generated while passing     through the sterilization chamber may be directly supplied again to the     hospital room through a bypass means.</t>
  </si>
  <si>
    <t>US20220065021</t>
  </si>
  <si>
    <t>COOKING AND WARMING OVEN WITH NO-TOUCH MOVEMENT OF CABINET DOOR</t>
  </si>
  <si>
    <t>17/461786</t>
  </si>
  <si>
    <t>Wisner, Donald W.</t>
  </si>
  <si>
    <t>WISNER DONALD</t>
  </si>
  <si>
    <t>Wisner; Donald W.; (Grand Haven, MI)</t>
  </si>
  <si>
    <t>A cooking oven for warming food includes a housing and a heat source for     heating a interior compartment within the housing. One or more doors are     used for providing access to the compartment and a no-touch sensor for     detecting user actuation of the door(s). Control circuitry utilizes the     no-touch sensor to detect user actuation outside the compartment that     signals the door(s) to open and likewise to close on command or via a     preprogrammed time. A position sensing system interfaces with the     electro-mechanical door open/close device to control door speed and     positioning.</t>
  </si>
  <si>
    <t>US20220064861</t>
  </si>
  <si>
    <t>GERM-REPELLENT BOOK AND FOOD PAPER PACKAGING, AND METHOD OF MANUFACTURE</t>
  </si>
  <si>
    <t>17/310125</t>
  </si>
  <si>
    <t>MAIN CHOICE PAPER PRODUCTS LTD</t>
  </si>
  <si>
    <t>MAIN CHOICE PAPER PRODUCTS</t>
  </si>
  <si>
    <t>MENG; Wenjun; (Shatin, HK); TUNG; Pit Shing; (Kowloon, HK); YU; Wai Hong; (Shatin, HK); ZHANG; Mingyu; (Shatin, HK)</t>
  </si>
  <si>
    <t>A germ-repellent paper product contains a paper substrate and a     germ-repellent overprint varnish. The germ-repellent overprint varnish     contains a varnish and a germ-repellent agent. The germ-repellent     overprint varnish is coated onto the paper substrate to form a     germ-repellent paper product. A method for manufacturing such a     germ-repellent paper product is also provided.</t>
  </si>
  <si>
    <t>US20220064709</t>
  </si>
  <si>
    <t>Compositions and Methods for Screening Biological Samples</t>
  </si>
  <si>
    <t>17/464247</t>
  </si>
  <si>
    <t>LONGHORN VACCINES AND DIAGNOSTICS, LLC</t>
  </si>
  <si>
    <t>LONGHORN VACCINES AND DIAGNOSTICS</t>
  </si>
  <si>
    <t>Fischer; Gerald W.; (Bethesda, MD); Daum; Luke T.; (San Antonio, TX)</t>
  </si>
  <si>
    <t>C12Q 1/686 20130101;  C12Q 1/6806 20130101;  C12Q 1/6888 20130101</t>
  </si>
  <si>
    <t>The invention is directed to compositions and methods for isolating,     detecting, amplifying, and quantitating pathogen-specific nucleic acids     in a biological sample, and in particular PCR ready compositions that     contain enzyme and are stable or long periods of time. The invention also     provides diagnostic kits containing specific amplification primers and     labeled detection probes that specifically bind to the amplification     products obtained therefrom. Also disclosed are compositions and methods     for the isolation and characterization of nucleic acids that are specific     to one or more pathogens, including for example Influenza virus and     Mycobacterium tuberculosis, from a wide variety of samples including     those of biological, environmental, clinical and/or veterinary origin.</t>
  </si>
  <si>
    <t>US20220064618</t>
  </si>
  <si>
    <t>Catalysis deactivated angiotensin-converting enzyme 2 (ACE2) variants and     their uses</t>
  </si>
  <si>
    <t>17/368755</t>
  </si>
  <si>
    <t>AVIRMAX, INC.</t>
  </si>
  <si>
    <t>AVIRMAX</t>
  </si>
  <si>
    <t>Liu; Shengjiang; (Hayward, CA)</t>
  </si>
  <si>
    <t>Angiotensin-converting enzyme 2 (ACE2) has been confirmed as a specific     receptor for several (3 group coronaviruses include severe respiratory     syndrome (SARS) coronavirus (SARS-CoV-1) and recently the causative agent     for the World pandemic CoVID-19, SARS-CoV-2, and low pathogenic     coronavirus of HCoV-NL63, a member in .alpha.-coronavirus group. Viral     spike protein (S) of viral envelope is confirmed to bind to ACE2 as viral     receptor to start a virus replication cycle. The present invention     provides ACE2 and its mutants or variants, the viral or non-viral vectors     thereof. Methods of treatment of viral infection of a human subject by     using such mutants or variants are also provided.</t>
  </si>
  <si>
    <t>US20220064268</t>
  </si>
  <si>
    <t>RECOMBINANT POLYCLONAL PROTEINS TARGETING ZIKA AND METHODS OF USE THEREOF</t>
  </si>
  <si>
    <t>17/469493</t>
  </si>
  <si>
    <t>GIGAGEN, INC.</t>
  </si>
  <si>
    <t>GIGAGEN</t>
  </si>
  <si>
    <t>Johnson; David Scott; (San Francisco, CA); Keating; Sheila; (South San Francisco, CA); Adler; Adam Shultz; (Belmont, CA); Asensio; Michael; (South San Francisco, CA); Stadtmiller; Kacy; (San Francisco, CA); Benzie; Emily; (San Francisco, CA); Niedecken; Ariel; (Sunnyvale, CA); Medina-Cucurella; Angelica V.; (Mountain View, CA); Mizrahi; Rena Aviva; (Pacifica, CA); Lim; Yoong Wearn; (South San Francisco, CA)</t>
  </si>
  <si>
    <t>Provided herein are compositions comprising recombinant polyclonal     protein (RPP) derived from mammalian plasma cells and plasmablasts.     Specifically, RPPs specific to Zika virus are provided. Also provided are     the methods of using the RPP for treatment of viral infection and the     methods of making the RPPs.</t>
  </si>
  <si>
    <t>US20220064266</t>
  </si>
  <si>
    <t>CLEAVING PRE-FUSION STATE SARS-COV-2 SPIKE PROTEIN</t>
  </si>
  <si>
    <t>17/242364</t>
  </si>
  <si>
    <t>ABCLONAL SCIENCE, INC.</t>
  </si>
  <si>
    <t>ABCLONAL SCIENCE</t>
  </si>
  <si>
    <t>Xiang; Yang; (Winchester, MA); Tan; Yan; (Saugus, MA)</t>
  </si>
  <si>
    <t>Disclosed is producing recombinant SARS-CoV-2 spike protein in a     pre-fusion state, using furin knock out or knockdown mammalian cells     (such as HEK293, CHO or other mammalian cells) and using them to generate     antibodies and related binding agents. The antibodies/binding agents can     be used in SARS-CoV-2 detection assays or in diagnosis of active or prior     infection with SARS-CoV-2; in prophylaxis or as a therapeutic; or for     prophylactic or therapeutic use against coronaviruses related to     SARS-CoV-2.</t>
  </si>
  <si>
    <t>US20220064265</t>
  </si>
  <si>
    <t>Episomal Expression of Potent Immunoglobulins Derived from Human Blood or     Convalescent Plasma to Enable Short term Vaccination / Immunization to     COVID, COVID-19 and Mutants and Other Pandemic and non-Pandemic Viruses     designed from Rapid FDA approval.</t>
  </si>
  <si>
    <t>16/995829</t>
  </si>
  <si>
    <t>SWARTZ ROGER B</t>
  </si>
  <si>
    <t>SWARTZ ROGER</t>
  </si>
  <si>
    <t>Swartz; Roger B; (Clifton Park, NY)</t>
  </si>
  <si>
    <t>The present invention provides methods, immunoglobulin compositions and     vector constructs as a general approach to provide episomal based immune     protection from the 2019 novel coronavirus (COVID-19), its     variants/mutants and other pandemic and even non-pandemic viruses. The     immunoglobulin compositions include the heavy chain variable, diversity     and joining (VDJ or Variable Heavy Region genes) segment immunoglobulin     DNA and/or polypeptide sequence from humans identified to have developed     high affinity immunoglobulins (ideally antibodies with nanomolar to     picomolar dissociation constants to virus proteins with additional     emphasis on cell surface proteins and further emphasis on the Spike     protein as related to COVID-19) against the virus of interest and either     to use the exact immunoglobulin composition identified from the donor or     to combine that variable immunoglobulin region for both heavy and light     chains with a non-divergent well-conserved amino acid sequence for the     constant regions especially, Hinge region, Constant Heavy 2 (C.sub.H2)     and Constant Heavy 3 (C.sub.H3) for the immunoglobulin heavy chain     polypeptide with optional use of donor based Constant Heavy 1 (C.sub.H1)     or non-divergent well conserved C.sub.H1 heavy chain constant region and     optional use of hinge region peptides. The immunoglobulin light chain     will use either entirely donor based amino acid sequence or donor based     light chain variable and joining (VJ or Variable light region genes)     segments immunoglobulin polypeptide sequence with a well-conserved     non-divergent constant light (C.sub.L) chain region for immunoglobulin     Kappa locus (.kappa.) or immunoglobulin lambda locus (.lamda.) light     chain. The resulting antibodies can either be used as a monoclonal or     polyclonal mix of (Immunoglobulin Class G subclass1) IgG1, IgG3 and other     subclasses, IgA1 monomer and IgA2 monomer and dimeric IgA1 (dIgA1)     immunoglobulins (as identified by the potency of associated memory     B-cells) to be expressed via intramuscular administration, intravenous or     proximal to lymph nodes. The immunoglobulins will be expressed in the     vaccine/immunization recipient via an episome. The vector will be ideally     delivered in a recombinant Adeno Associated Virus (rAAV) with preference     for AAV serotype 8 (AAV8) containing a single-stranded Deoxyribonucleic     acid (ssDNA) non-viral vector or lentivirus virion containing double     stranded DNA as a non-viral vector. A single non-viral vector will code     for the entire immunoglobulin and J-chain expression for dIgA1 where     expression will occur with a single start codon and stop codon for the     amino acid sequence and in some embodiments a second start codon for J     chain expression. The specific DNA of the immune donor can be identified     as follows: Cluster of Differentiation 27+ (CD27+) IgG+ and CD27+ IgA+     memory B cells or other CD memory B-cells will be isolated from serum     using established methods. Each resulting isotype of memory B-cell will     be subjected to a competitive binding assay using flow cytometry methods     such as Fluorescence Activated Cell Sorting (FACS) to identify the memory     B-cells with the greatest binding affinity to the COVID-19 antigens of     interest. Isolated memory B-cells will have their DNA sequenced to     identify the genetic sequence of their cell surface IgG+ or IgA+     receptor. That information and potentially other sources of     immunoglobulin genetic information will be used to create vector     construct coding for antibodies to be further evaluative for potency and     safety and then to be incorporated into a vector construct for episomal     immunoglobulin expression. Episomes will be designed to express IgG1,     IgG3, IgA1, IgA2 and dIgA1 with potent binding to COVID antigens or     antigens of other viruses. A central part of this patent application is     the method used to identify the high affinity immunoglobulins expressed     by those that were exposed to COVID or other virus of interest.</t>
  </si>
  <si>
    <t>US20220064128</t>
  </si>
  <si>
    <t>AMINOCARBAMOYL COMPOUNDS FOR THE TREATMENT OF VIRAL INFECTIONS</t>
  </si>
  <si>
    <t>17/445989</t>
  </si>
  <si>
    <t>Roche</t>
  </si>
  <si>
    <t>ROCHE</t>
  </si>
  <si>
    <t>Liang; Chungen; (Shanghai, CN); Yun; Hongying; (Shanghai, CN); Zhang; Weixing; (Shanghai, CN); Miao; Kun; (Shanghai, CN); Chen; Jianguo; (Shanghai, CN); Wu; Yao; (Shanghai, CN)</t>
  </si>
  <si>
    <t>C07D 401/04 20130101;  C07D 231/12 20130101;  C07D 235/24 20130101;  C07D 413/12 20130101;  C07D 233/64 20130101;  C07D 209/42 20130101;  C07D 207/26 20130101;  C07C 243/34 20130101;  C07D 403/12 20130101;  C07D 211/76 20130101;  C07D 261/18 20130101;  C07C 311/35 20130101;  C07D 241/24 20130101</t>
  </si>
  <si>
    <t>The present invention relates to compounds of formula (I),  ##STR00001## wherein R.sup.1-R.sup.5 and L are as described herein, and their     pharmaceutically acceptable salt thereof, and compositions including the     compounds and methods of using the compounds.</t>
  </si>
  <si>
    <t>US20220064001</t>
  </si>
  <si>
    <t>SYNTHESIS AND USE OF MATERIALS FOR ULTRAVIOLET FIELD-EMISSION LAMPS</t>
  </si>
  <si>
    <t>17/009621</t>
  </si>
  <si>
    <t>C01P 2002/54 20130101;  H01J 2209/012 20130101;  C23C 14/30 20130101;  C01B 21/0641 20130101;  C01P 2006/80 20130101;  C23C 14/5806 20130101;  C30B 29/406 20130101;  C01P 2004/61 20130101;  C30B 29/62 20130101;  C30B 29/38 20130101;  C30B 25/165 20130101;  C30B 29/403 20130101;  C23C 14/34 20130101;  C30B 23/02 20130101;  C01P 2004/16 20130101;  C01P 2002/76 20130101;  H01J 63/02 20130101;  H01J 9/125 20130101;  C23C 14/0647 20130101;  C23C 14/0036 20130101</t>
  </si>
  <si>
    <t>Processes for synthesizing the hexagonal polymorph of boron nitride     (h-BN) produce h-BN of a grade that is highly suitable for ultraviolet     (UV) field-emission lights and other UV applications.</t>
  </si>
  <si>
    <t>US20220063983</t>
  </si>
  <si>
    <t>Pedal-Operated Device for Hands Free Operation of a Beverage Dispenser</t>
  </si>
  <si>
    <t>17/411623</t>
  </si>
  <si>
    <t>CURRIE MICHAEL LEE</t>
  </si>
  <si>
    <t>Currie; Michael Lee; (Winnipeg, CA)</t>
  </si>
  <si>
    <t>B67D 3/04 20130101;  B67D 3/0058 20130101</t>
  </si>
  <si>
    <t>A pedal-operated device for hands-free operation of a beverage dispenser     features a support structure mounted or mountable to a perimeter wall     structure of the beverage dispenser, and a working unit movably supported     on said support structure and configured for movement between a working     position forcing a spigot actuator of the dispenser into an open     position, and a default rest position releasing the spigot actuator back     into a closed position. An included foot pedal has a foot pad movable     between a default upper position and a depressed lower position. A cable     is connected between the foot pad and said working unit to pull said     working unit into the working position under depression of the foot pad.</t>
  </si>
  <si>
    <t>US20220063812</t>
  </si>
  <si>
    <t>PROTECTIVE SHIELD SYSTEM FOR PUBLIC TRANSPORTATION</t>
  </si>
  <si>
    <t>17/463599</t>
  </si>
  <si>
    <t>RYAN TIA A</t>
  </si>
  <si>
    <t>RYAN TIA</t>
  </si>
  <si>
    <t>Ryan; Tia A.; (Philadelphia, PA)</t>
  </si>
  <si>
    <t>B64D 11/0606 20141201</t>
  </si>
  <si>
    <t>Exemplary embodiments are directed to a protective shield system. The     protective shield system includes a base including a slot extending into     an at least partially hollow interior of the base, a shield selectively     extendable and retractable from the at least partially hollow interior of     the base, an actuation mechanism to selectively extend and retract the     shield from the at least partially hollow interior of the base.</t>
  </si>
  <si>
    <t>US20220062819</t>
  </si>
  <si>
    <t>HEAT-DRIVEN ADSORPTION VACUUM DEHUMIDIFICATION SYSTEM</t>
  </si>
  <si>
    <t>17/458601</t>
  </si>
  <si>
    <t>THE CITY UNIVERSITY OF HONG KONG</t>
  </si>
  <si>
    <t>THE CITY UNIVERSITY HONG KONG</t>
  </si>
  <si>
    <t>FONG; Kwong Fai; (Hong Kong, HK); LEE; Chun Kwong; (Hong Kong, HK)</t>
  </si>
  <si>
    <t>B01D 53/265 20130101;  B01D 2253/106 20130101;  F24F 2003/144 20130101;  B01D 2259/40088 20130101;  B01D 53/268 20130101;  B01D 2259/402 20130101;  B01D 53/261 20130101;  F24F 3/1411 20130101;  B01D 53/0438 20130101;  B01D 2257/80 20130101</t>
  </si>
  <si>
    <t>The present invention provides a heat-driven adsorption vacuum     dehumidification system including a vapor adsorption apparatus having a     water permeable hydrophilic membrane separating the apparatus into at     least a feed section and a low-pressure or vacuum section (evaporator),     and providing a water vapor pressure difference to extract moisture from     the air flowing through the apparatus into the evaporator, followed by     adsorption in an adsorption chamber, and subsequently desorbed when acted     as a desorption chamber to form water vapor which is condensed in a     condenser. Adsorption and desorption chambers inter-change periodically     to form a complete system cycle. Heating of chamber/compartment can be     from waste heat or a renewable source in the absence of any electricity     supplied externally. Related method for using a heat-driven adsorption     vacuum dehumidification system to remove moisture from the air is also     provided. The present invention is superior to the adsorption chiller     over a wide range of operating conditions.</t>
  </si>
  <si>
    <t>US20220062807</t>
  </si>
  <si>
    <t>ANTIVIRAL GLASS FIBER TREATMENT, PROCESS AND METHOD OF MANUFACTURING</t>
  </si>
  <si>
    <t>17/412557</t>
  </si>
  <si>
    <t>Hodges; James M.; (Evanston, IL); Lupton; F. Stephen; (Evanston, IL); Bedard; Robert L.; (McHenry, IL); Broderick; Erin M.; (Arlington Heights, IL); van der Vliet; Dennis F.; (Skokie, IL); Moarrefzadeh; Mana; (Wheeling, IL)</t>
  </si>
  <si>
    <t>B01D 39/1615 20130101;  A01N 57/34 20130101;  D21F 11/14 20130101;  D21H 13/40 20130101;  B01D 39/2017 20130101;  D21H 17/13 20130101;  B01D 2239/0216 20130101;  D21H 27/08 20130101;  B01D 2239/0442 20130101;  A01N 55/00 20130101</t>
  </si>
  <si>
    <t>Processes for increasing the viricidal activity of a fiber substrate. The     fiber substrate is provided. An antiviral treatment containing a     quaternary ammonium or phosphonium compound is introduced to the fiber     substrate to form an antiviral substrate. The treated fiber substrate is     washed and dried. The antiviral treatment may occur before or after the     fiber substrate is incorporated into the HEPA filter media in a     papermaking process. Also a filter made from treated fiber substrates.</t>
  </si>
  <si>
    <t>US20220062670</t>
  </si>
  <si>
    <t>Multiple Layer Mask</t>
  </si>
  <si>
    <t>17/083640</t>
  </si>
  <si>
    <t>MADDOX MELODY</t>
  </si>
  <si>
    <t>Maddox; Melody; (Monroe, GA)</t>
  </si>
  <si>
    <t>A multiple layer mask for protection against airborne hazards. An inner     layer is made of cloth and an outer layer is made of washable plastic     which are permanently or removably attached to each other. A vent filter     is disposed within the outer layer. An intermediate layer may be disposed     between the inner and outer layers. The layers of the mask help protect     against virus droplets or other infectious pathogens from penetrating the     mask and assists in reducing the spread of contagious viruses that are     transmitted in the air through respiratory droplets. The invention     affords civilians, doctors, nurses, service members, and others peace of     mind that they are better protected against airborne pathogens.</t>
  </si>
  <si>
    <t>US20220062622</t>
  </si>
  <si>
    <t>VAGAL NERVE STIMULATION THERAPY</t>
  </si>
  <si>
    <t>17/491313</t>
  </si>
  <si>
    <t>electroCore</t>
  </si>
  <si>
    <t>ELECTROCORE</t>
  </si>
  <si>
    <t>Errico; J. P.; (Palm Beach Gardens, FL); Simon; Bruce J.; (Mountain Lakes, NJ); Staats; Peter; (Atlantic Beach, FL)</t>
  </si>
  <si>
    <t>A61N 1/0492 20130101;  A61N 1/36021 20130101;  A61N 1/36007 20130101;  A61N 1/0456 20130101;  A61N 1/36034 20170801</t>
  </si>
  <si>
    <t>Devices, systems and methods are provided for treating post-operative     symptoms following major surgery and/or for treating patients in critical     or intensive care. A method includes positioning a contact surface of a     device in contact with an outer skin surface of patient and applying an     electrical impulse transcutaneously from the device through the outer     skin surface of the patient to a vagus nerve in the patient for about 60     seconds to about 5 minutes. The electrical impulse is sufficient to     modify the vagus nerve such that the symptoms are reduced. A stimulation     protocol is provided that includes two or more doses administered per day     for a period of time sufficient to relieve the symptoms. The doses may be     administered before and after the patient's surgery, or while the patient     is being treating in intensive care.</t>
  </si>
  <si>
    <t>US20220062571</t>
  </si>
  <si>
    <t>MECHANICAL VENTILATOR APPARATUSES AND METHODS THEREOF</t>
  </si>
  <si>
    <t>17/412712</t>
  </si>
  <si>
    <t>VILLANOVA UNIVERSITY</t>
  </si>
  <si>
    <t>Nataraj; Chandrasekhar; (Chadds Ford, PA); Ortega; Alfonso; (Villanova, PA); Clayton; Garrett; (Villanova, PA); Townend; Christopher; (Villanova, PA)</t>
  </si>
  <si>
    <t>A ventilator apparatus includes a linear electro-mechanical actuator that     interfaces with a self-inflating bag including an inlet configured to     receive air and an outlet configured to expend the air. A three-way valve     is coupled to the outlet via a first flowmeter, an ambient environment     via a second flowmeter, and a patient via an endotracheal tube. The first     and/or second flowmeters are coupled to pressure transducer(s). A control     unit is coupled to the linear electro-mechanical actuator and the first     and second flowmeters and includes a control panel, memory including     programmed instructions stored thereon, and processor(s) configured to     execute the stored programmed instructions to set an inhalation time and     an exhalation time. A current inspiratory pressure and a current tidal     volume are obtained from the pressure transducer(s) and/or the first     flowmeter. A stroke of the linear electro-mechanical actuator is then     controlled to facilitate inspiratory and expiratory phases of a     respiratory cycle.</t>
  </si>
  <si>
    <t>US20220062524</t>
  </si>
  <si>
    <t>Cannula and Balloon System for Extracorporeal Membrane Oxygenation</t>
  </si>
  <si>
    <t>17/392482</t>
  </si>
  <si>
    <t>BARZEDI LLC</t>
  </si>
  <si>
    <t>BARZEDI</t>
  </si>
  <si>
    <t>Barodka; Viachaslau; (Troy, MI)</t>
  </si>
  <si>
    <t>A61M 1/3659 20140204;  A61M 1/3667 20140204;  A61M 1/1698 20130101;  A61M 1/367 20130101</t>
  </si>
  <si>
    <t>The present disclosure provides for a cannula and balloon system for     extracorporeal membrane oxygenation. The system may comprise one or more     cannula, one or more insertion mechanism, and one or more balloon cuff.     The method may comprise venous-venous or venous-arterial insertion into     one or more blood vessels or chambers of the heart. The balloon cuff may     allow fluid flow to avoid oxygenated blood restriction to a region of the     body for the cannula insertion duration. One or both the balloon cuff and     dual cannula may prevent occlusion, recirculation, and mixing of     oxygenated and deoxygenated blood. When there is a dual cannula, the     cannula may comprise a reinfusion cannula and a drainage cannula. A     reinfusion cannula may bypass one or more chambers of the heart. When the     system comprises more than one cannula, the cannulae may be joined via a     cannula connection mechanism.</t>
  </si>
  <si>
    <t>US20220062479</t>
  </si>
  <si>
    <t>Disinfection Bomb</t>
  </si>
  <si>
    <t>17/073867</t>
  </si>
  <si>
    <t>DENNIS CROOK &amp; ASSOCIATES, LLC</t>
  </si>
  <si>
    <t>DENNIS CROOK ASSOCIATES</t>
  </si>
  <si>
    <t>Crook; Dennis; (Katy, TX)</t>
  </si>
  <si>
    <t>A61L 2101/34 20200801;  A01N 31/02 20130101;  A01N 25/06 20130101;  A61L 2101/06 20200801;  A01N 33/12 20130101;  A61L 2101/14 20200801;  A61L 2/22 20130101;  A01N 31/08 20130101;  A61L 2/26 20130101;  A61L 2202/25 20130101;  A61L 2202/15 20130101</t>
  </si>
  <si>
    <t>This present invention relates to a portable disinfection device for     dispersing a unique disinfecting solution into a room or enclosed space.     The disinfecting solution may comprise one or more of a an ethyl or     isopropyl alcohol, a lemon or fruit scent, an aldehyde, a chlorine     compound, an oxidizing agent, a phenol, a quaternary ammonium, and a     propellant, wherein the amount of the ethyl or isopropyl alcohol is at     least 60% of the disinfecting solution by weight. The disinfecting     solution is stored in a pressurized canister, and a release tab is     pressed down for controlling the release of the disinfecting solution     into the room from the canister. The disinfecting solution kills 99.9% of     the germs and pathogens that it contacts.</t>
  </si>
  <si>
    <t>US20220062475</t>
  </si>
  <si>
    <t>DOME LIGHT WITH SANITIZING FEATURES</t>
  </si>
  <si>
    <t>17/410144</t>
  </si>
  <si>
    <t>JOHNSON SAM</t>
  </si>
  <si>
    <t>Johnson; Sam; (Largo, FL)</t>
  </si>
  <si>
    <t>B60Q 1/2611 20130101;  B60Q 3/51 20170201;  B01D 2259/804 20130101;  A61L 2/10 20130101</t>
  </si>
  <si>
    <t>A dome-style light is provided for vehicles or other environments and     includes one or more sanitizing feature such as light elements and/or a     disinfectant dispenser. The light elements may be UVC emitting lights.     The disinfectant dispenser may include a container or tank of aerosol or     liquid disinfectant. The light includes a control unit for controlling     the lights and/or dispenser at certain times. The control unit may     receive an output for one or more sensors, such as detectors, for     detecting activity in the presence of the light, where the control unit     may prevent the illumination of the light(s) or the dispensing of     disinfectant when activity is detected. The light may be retrofit into a     vehicle for use in disinfecting a vehicle.</t>
  </si>
  <si>
    <t>US20220062474</t>
  </si>
  <si>
    <t>DISINFECTING MEDICAL IMAGING SYSTEM</t>
  </si>
  <si>
    <t>17/405178</t>
  </si>
  <si>
    <t>ANGEL; Erin; (Tustin, CA); LUKAS; Qingqing; (Tustin, CA); MENSAH; Eugene; (Tustin, CA)</t>
  </si>
  <si>
    <t>A61L 2202/14 20130101;  A61L 2202/24 20130101;  A61L 2/10 20130101</t>
  </si>
  <si>
    <t>A disinfecting medical imaging system including medical imaging equipment     and a UV light source for disinfecting the medical imaging equipment. The     UV light source can include a composite ultraviolet (UV) for performing     viral and bacterial disinfection. The disinfection system may be built     into the medical imaging equipment or external thereto such as conveyed     on a robotic arm.</t>
  </si>
  <si>
    <t>US20220062472</t>
  </si>
  <si>
    <t>CURRENCY AND DOCUMENT SANITIZING APPARATUS AND SYSTEM</t>
  </si>
  <si>
    <t>17/381977</t>
  </si>
  <si>
    <t>DRI MARK PRODUCTS, INC.</t>
  </si>
  <si>
    <t>DRI MARK PRODUCTS</t>
  </si>
  <si>
    <t>Owen; Cathy Ann; (Bethpage, NY)</t>
  </si>
  <si>
    <t>A sanitizing system for sanitizing currency bills at a retailer has a     sanitizing apparatus that has an inlet for the insertion therethrough     currency bills by a customer, the sanitizing apparatus including a reader     for reading the currency bills to establish the total monetary value     thereof, and for issuing a receipt to the customer reflecting the total     monetary value. A reader located adjacent a cash register at the retailer     reads the receipt and accepts the total monetary value as cash tender for     merchandize being purchased. A counterfeit detector tests the currency     bills and rejects currency bills that do not meet predetermined genuine     criteria.</t>
  </si>
  <si>
    <t>US20220062470</t>
  </si>
  <si>
    <t>17/319990</t>
  </si>
  <si>
    <t>A sanitizing apparatus for sanitizing sheets, typically currency bills,     has a housing defining a sanitizing chamber with an inlet and an outlet     for the ingress and egress, respectively, of the currency bills. An     intake conveyor conveys the currency bills into the sanitizing chamber     into the sanitizing chamber and an outlet conveyor is arranged in the     sanitizing chamber along a conveying direction and spaced away from the     intake conveyor across a gap therebetween. An upper ultra-violet (UV)     lamp is located above the gap and a lower UV light is arranged below the     gap. An electrical system causes the upper UV lamp and the lower UV lamp     to direct UV light onto an upper surface and a lower surface of the     currency bills they are conveyed into the sanitizing chamber and travel     across the gap, the UV light being selected to have an intensity to     sanitize the currency bills as they pass through the sanitizing     apparatus.</t>
  </si>
  <si>
    <t>US20220062468</t>
  </si>
  <si>
    <t>LUMINAIRE WITH DISINFECTION LIGHT EXPOSURE AND DOSAGE LIMIT CONTROL     PROTOCOL AND SENSOR INTEGRATION WITH HEIGHT CONTROLLER</t>
  </si>
  <si>
    <t>17/186832</t>
  </si>
  <si>
    <t>ABL IP HOLDING LLC</t>
  </si>
  <si>
    <t>ABL HOLDING</t>
  </si>
  <si>
    <t>RODRIGUEZ; Yan; (Suwanee, GA); RAINS, JR.; Jack C.; (Sarasota, FL); RAMER; David P.; (Reston, VA)</t>
  </si>
  <si>
    <t>A61L 2202/11 20130101;  G06V 40/10 20220101;  A61L 2202/14 20130101;  A61L 2/10 20130101;  G06T 7/50 20170101</t>
  </si>
  <si>
    <t>A luminaire includes a luminaire control circuit and a disinfection light     source to emit a disinfection light in an ultraviolet (UV) band for     disinfecting a vicinity of a physical space of a target pathogen that is     exposed to the disinfection light. The UV band is 200 nanometers (nm) to     230 nm wavelength. The luminaire receives a control signal based on at     least the mounting height of the luminaire. The luminaire adjusts a UV     radiation threshold limit based on the control signal. The luminaire     controls, via a driver circuit, the disinfection light source over a dose     cycle to emit the disinfection light continuously or during the plurality     of periods for disinfecting the vicinity to substantially obtain the     target pathogen UV radiation level and restrict the total UV radiation     threshold exposure level by the adjusted UV radiation threshold limit     based on the control signal.</t>
  </si>
  <si>
    <t>US20220062467</t>
  </si>
  <si>
    <t>REACTIVE OXYGEN SPECIES (ROS) ENHANCED ANTIBACTERIAL LIGHT SYSTEM</t>
  </si>
  <si>
    <t>17/184913</t>
  </si>
  <si>
    <t>B/E AEROSPACE, INC.</t>
  </si>
  <si>
    <t>B/E AEROSPACE</t>
  </si>
  <si>
    <t>Tilmont; Daniel; (Rocky Point, NY); Johannessen; Eric; (Holbrook, NY); Edquist; John; (Miwaukee, WI)</t>
  </si>
  <si>
    <t>A61L 2/084 20130101;  B64D 11/06 20130101;  A61L 2202/11 20130101;  B64F 5/30 20170101;  B64D 2011/0038 20130101;  A61L 2/22 20130101;  A61L 2202/14 20130101;  A61L 2209/12 20130101;  A61L 2/08 20130101;  A61L 2/10 20130101;  A61L 2/208 20130101;  B64D 11/00 20130101;  A61L 9/18 20130101;  A61L 2209/11 20130101;  A61L 2209/16 20130101;  A61L 2/202 20130101;  A61L 9/015 20130101;  A61L 2202/25 20130101;  A61L 2/26 20130101;  A61L 2209/211 20130101;  B64D 2011/0053 20130101;  A61L 9/14 20130101</t>
  </si>
  <si>
    <t>A sanitization system for an aircraft cabin may comprise: a cabin of an     aircraft; a light system including a lighting unit configured to emit an     electromagnetic radiation output between 300 and 430 nanometers ("nm");     an external reactive oxygen species (ROS) generator in fluid     communication with the cabin, wherein the sanitization system is     configured to disinfect a target area of the cabin by targeting the     target area with the electromagnetic radiation output and the ROS.</t>
  </si>
  <si>
    <t>US20220062465</t>
  </si>
  <si>
    <t>SELF-CLEANING DOOR HANDLE</t>
  </si>
  <si>
    <t>17/012043</t>
  </si>
  <si>
    <t>MOTIONAL AD, LLC</t>
  </si>
  <si>
    <t>MOTIONAL</t>
  </si>
  <si>
    <t>De Francesco; Daniele; (Lexington, MA)</t>
  </si>
  <si>
    <t>Among other things, techniques are described for self-cleaning door     handles. A door handle for a vehicle includes a housing including a hand     grip; a hygienic film that is formed around a portion of a circumference     of the hand grip; a plurality of cylindrical rollers rotatably connected     to the housing and are configured to rotationally guide the hygienic film     along the portion of the circumference of the hand grip; and a light that     is configured to emit electromagnetic radiation in an ultraviolent     spectrum and configured to irradiate at least one portion of the hygienic     film to reduce a quantity of bacteria on the at least one portion of the     hygienic film.</t>
  </si>
  <si>
    <t>US20220062463</t>
  </si>
  <si>
    <t>LUMINAIRE WITH DISINFECTION LIGHT EXPOSURE AND DOSAGE LIMIT CONTROL     PROTOCOL AND SENSOR INTEGRATION</t>
  </si>
  <si>
    <t>17/005971</t>
  </si>
  <si>
    <t>RAMER; David P.; (Reston, VA); RAINS, JR.; Jack C.; (Sarasota, FL); RODRIGUEZ; Yan; (Suwanee, GA); SCHIMMELPFENNING; Ron Carl; (Winona, MN); WANG; Jeannine Fisher; (Orinda, CA)</t>
  </si>
  <si>
    <t>A luminaire includes a luminaire control circuit and a disinfection light     source to emit a disinfection light in an ultraviolet (UV) band for     disinfecting a vicinity of a space of a target pathogen that is exposed     to the disinfection light. The UV band is 200 nanometers (nm) to 230 nm     wavelength. The luminaire initiates a dose cycle of a vicinity in which     the disinfection light source emits the disinfection light continuously     or during a plurality of periods of a dose cycle from the disinfection     light source by recording a beginning time of the dose cycle. The     luminaire controls, via a driver circuit, the disinfection light source     over the dose cycle to emit the disinfection light continuously or during     the plurality of periods for disinfecting the vicinity to substantially     obtain a target pathogen UV radiation level and restrict a total UV     radiation threshold exposure level by a UV radiation threshold limit.</t>
  </si>
  <si>
    <t>US20220062462</t>
  </si>
  <si>
    <t>16/909895</t>
  </si>
  <si>
    <t>A61L 2202/14 20130101;  A61L 2/10 20130101;  G07F 17/3216 20130101;  A61L 2202/11 20130101;  G07F 17/3209 20130101;  A61L 2/24 20130101</t>
  </si>
  <si>
    <t>US20220062457</t>
  </si>
  <si>
    <t>ELECTROLYTIC HAND SANITIZER DEVICE</t>
  </si>
  <si>
    <t>17/004514</t>
  </si>
  <si>
    <t>RHEEM MFG CO</t>
  </si>
  <si>
    <t>RHEEM MFG</t>
  </si>
  <si>
    <t>Satyanarayana; Harsha; (Norwalk, CT); Haden; Christopher M.; (Shelton, CA)</t>
  </si>
  <si>
    <t>A61L 2/035 20130101;  A61L 2/24 20130101;  A61L 2202/11 20130101;  A61Q 19/10 20130101;  A61L 2/0047 20130101</t>
  </si>
  <si>
    <t>A hand sanitizer device is disclosed. The hand sanitizer device can     include one or more storage chambers configured to store at least one of     water and salt. The hand sanitizer device can be configured to receive a     request for an amount of electrolyzed saltwater product for performing a     hand disinfecting action. In response to receiving the request, the hand     sanitizer device can automatically introduce a predetermined amount of     water and a predetermined amount of salt into a reaction chamber and can     be configured to provide a current of electricity from an electricity     source and through the reaction chamber, thereby electrolyzing the     contents in the reaction chamber to form an electrolyzed saltwater     product.</t>
  </si>
  <si>
    <t>US20220062456</t>
  </si>
  <si>
    <t>Non-Contact Ultrasound Disinfection System and Method</t>
  </si>
  <si>
    <t>17/410813</t>
  </si>
  <si>
    <t>MAHMOOD ANARKALI</t>
  </si>
  <si>
    <t>Mahmood; Anarkali; (Denver, CO)</t>
  </si>
  <si>
    <t>A system and method for disinfecting a person's skin and clothing, using     non-contact ultrasonic waves is disclosed. This involves a ring or other     assembly that includes a number of ultrasound transducers that surround a     person, and that direct ultrasonic waves inward towards the person. The     transducer assembly may be moved along the person's height so that the     person's skin and clothing are disinfected.</t>
  </si>
  <si>
    <t>US20220062454</t>
  </si>
  <si>
    <t>Ultraviolet Hand Sanitizer</t>
  </si>
  <si>
    <t>17/465310</t>
  </si>
  <si>
    <t>SLOAN VALVE COMPANY</t>
  </si>
  <si>
    <t>SLOAN VALVE</t>
  </si>
  <si>
    <t>Flaherty; Thomas; (Lunenburg, MA); Verzijl; Johannes; (Winthrop, MA); Collins; Joseph; (Worcester, MA); Friedl; Warren; (Chicago, IL)</t>
  </si>
  <si>
    <t>A61L 2202/14 20130101;  A61L 2/0052 20130101;  A61L 2/10 20130101;  A61L 2/0047 20130101;  A61L 2/24 20130101;  A61L 2202/122 20130101;  A61L 2202/11 20130101</t>
  </si>
  <si>
    <t>A hand sanitizing device described herein allows users to sanitize and/or     disinfect their hands by bathing them in ultraviolet light. The hand     sanitizing device may comprise a cabinet that comprises one or more     cavities for a user's hands. The one or more cavities may comprise a     sensor to detect a user's hands, a controller to send signals to a     plurality of ultraviolet lights, and a plurality of ultraviolet lights.     Based on a determination that the user has placed their hands in the one     or more cavities, the plurality of ultraviolet lights may be illuminated     to sanitize and/or disinfectant the user's hands. When the user has     removed their hands from the one or more cavities, the plurality of     ultraviolet lights may be turned off. By using ultraviolet light, the     hand sanitizing device may reduce the spread of infectious diseases and     waste consumption associated with bathroom usage.</t>
  </si>
  <si>
    <t>US20220062430</t>
  </si>
  <si>
    <t>Self Assembling Protein Nanoparticles as Carrier Molecules</t>
  </si>
  <si>
    <t>17/002571</t>
  </si>
  <si>
    <t>Yeates; Todd; (Agoura Hills, CA); Lai; Yen-Ting; (Allston, MA); Miller; Justin; (Los Angeles, CA); Nguyen; Phillip; (Ithaca, NY); Srinivasan; Yashes; (San Diego, CA); Dharmaraj; Nithin; (San Diego, CA); Taylor; Scott; (Los Angeles, CA); Liu; Andrew; (Monrovia, CA)</t>
  </si>
  <si>
    <t>A61K 47/65 20170801;  A61K 47/6929 20170801;  A61K 47/62 20170801</t>
  </si>
  <si>
    <t>Disclosed herein are self-assembling protein nanoparticles comprising     passenger molecules of interest.</t>
  </si>
  <si>
    <t>US20220062406</t>
  </si>
  <si>
    <t>IMMUNE MEMORY ENHANCED PREPARATIONS AND USES THEREOF</t>
  </si>
  <si>
    <t>17/460026</t>
  </si>
  <si>
    <t>TORIGEN PHARMACEUTICALS, INC.</t>
  </si>
  <si>
    <t>TORIGEN PHARMACEUTICALS</t>
  </si>
  <si>
    <t>Suckow; Mark; (Lexington, KY); Kalinauskas; Ashley; (Vernon, CT); Clauson; Ryan Michael; (Wethersfield, CT)</t>
  </si>
  <si>
    <t>A61K 39/39 20130101;  A61K 39/215 20130101;  A61K 2039/552 20130101</t>
  </si>
  <si>
    <t>Formulations and preparations having immune memory enhanced properties     are disclosed that provide for enhancing immune response against a tumor     growth, cancer, infectious agent, bacteria, virus or other infectious or     non-infectious agent. The vaccine formulation includes an immune memory     invoking component, such as an antigen of an infectious agent, virus     (e.g., Rabies), bacteria, prion, neo-antigen or other moiety antigen, and     a targeted antigen (e.g., a harvested tumor tissue (B-cell, T-cell,     epitopes)). The vaccine formulation/preparations may comprise a target     infectious agent protein/peptide component (such as a SARS-Cov-2 spike     protein epitope) mixed with, or fused to (or otherwise conjugated) an     immune-memory associated viral antigen (such as Rabies, polio, or other     peptide/protein antigen or peptide or fragment thereof).</t>
  </si>
  <si>
    <t>US20220062405</t>
  </si>
  <si>
    <t>UNGULATE-DERIVED POLYCLONAL IMMUNOGLOBULIN SPECIFIC FOR CORONAVIRUS     PROTEIN AND USES THEREOF</t>
  </si>
  <si>
    <t>17/364278</t>
  </si>
  <si>
    <t>SAB BIOTHERAPEUTICS, INC.</t>
  </si>
  <si>
    <t>SAB BIOTHERAPEUTICS</t>
  </si>
  <si>
    <t>LUKE; Tom; (Sioux Falls, SD); BAUSCH; Christoph L.; (Sioux Falls, SD); SULLIVAN; Eddie J.; (Sioux Falls, SD); WU; Hua; (Sioux Falls, SD); EGLAND; Kristi A.; (Sioux Falls, SD)</t>
  </si>
  <si>
    <t>A61K 45/06 20130101;  A61K 39/215 20130101;  A61K 39/39 20130101</t>
  </si>
  <si>
    <t>Provided are human polyclonal immunoglobulin products for use in treating     or preventing coronavirus disease. Further provided are methods for     making such compositions in a transgenic ungulate, e.g. using a     transchromosomic bovine (TcB) system.</t>
  </si>
  <si>
    <t>US20220062367</t>
  </si>
  <si>
    <t>Upregulation of Therapeutic T Regulatory Cells and Suppression of Suicidal     Ideations in Response to Inflammation by Administration of Nutraceutical     Compositions Alone or Combined with Minocycline</t>
  </si>
  <si>
    <t>17/461486</t>
  </si>
  <si>
    <t>Ichim; Thomas E.; (Oceanside, CA); Dixon; Timothy G.; (Oceanside, CA); O'Connor; Kalina; (Oceanside, CA)</t>
  </si>
  <si>
    <t>Disclosed are compositions of matter, treatments and protocols useful for     induction of T regulatory cells in response to inflammation, as well as     inhibition of suicidal ideations and/or neuroinflammation. In some     embodiments the invention teaches the administration of a therapeutic     combination of ingredients comprising of minocycline, pterostilbene,     Nigella sativa, sulforaphane, and epigallocatechin-3-gallate (EGCG) to a     mammal undergoing upregulation of inflammatory mediators. In another     embodiment, the invention teaches administration of said therapeutic     combination to a mammal infected with said SARS-CoV-2 and/or possessing     suicidal ideations. In some embodiments dosage of said therapeutic     combination is based on inflammatory and/or immunological parameters     observed in patients.</t>
  </si>
  <si>
    <t>US20220062357</t>
  </si>
  <si>
    <t>METHOD AND COMPOSITION AGAINST VIRUS INFECTIONS WITH ACTIVATED INNATE     LYMPHOID CELLS (ILCS)</t>
  </si>
  <si>
    <t>17/409962</t>
  </si>
  <si>
    <t>PURDUE RESEARCH FOUNDATION; THE US SECRETARY DEPARTMENT OF HEALTH AND HUMAN SERVIC</t>
  </si>
  <si>
    <t>PURDUE RESEARCH FOUNDATION; SECRETARY DEPARTMENT HEALTH AND HUMAN SERVIC</t>
  </si>
  <si>
    <t>Suresh; Mittal; (West Lafayette, IN); Sambhara; Suryaprakash; (Atlanta, GA); Cao; Weiping; (Atlanta, GA); Mboko; Wadzanai; (Atlanta, GA); Sayedahmed; Ekramy; (West Lafayette, IN)</t>
  </si>
  <si>
    <t>The present disclosure provides method and composition for protection,     prevention, and/or treatment against viral infections via activation of     ILCs induced by certain virus, including but not limited to, influenza     and/or non-replicating adenoviruses. The present disclosure further     provides that activation of ILCs is an intervention strategy against not     only influenza viral infectious epidemic and/or pandemic before a     strain-matched vaccine is available but also against other viruses for     which prophylactic vaccines may not be available.</t>
  </si>
  <si>
    <t>US20220062310</t>
  </si>
  <si>
    <t>PSILOCYBIN IN PATIENTS WITH OBSESSIVE-COMPULSIVE DISORDER</t>
  </si>
  <si>
    <t>17/466111</t>
  </si>
  <si>
    <t>YALE UNIVERSITY</t>
  </si>
  <si>
    <t>Kelmendi; Benjamin; (New Haven, CT); Pittenger; Christopher; (Bethany, CT)</t>
  </si>
  <si>
    <t>A61K 31/675 20130101;  A61P 25/18 20180101</t>
  </si>
  <si>
    <t>This disclosure provides methods of treating or, reversing, and/or     eliminating obsessive-compulsive disorder (OCD) in a subject by     administering to the subject a dose of a 5-HT receptor agonist such as     psilocybin. The method can significantly reduce or eliminate the symptoms     of OCD with a single dose of a 5-HT receptor agonist, an effect that can     last at least 12 weeks.</t>
  </si>
  <si>
    <t>US20220062232</t>
  </si>
  <si>
    <t>17/395139</t>
  </si>
  <si>
    <t>C07B 2200/13 20130101;  A61K 31/427 20130101;  A61K 31/403 20130101;  C07D 403/12 20130101;  A61P 31/14 20180101</t>
  </si>
  <si>
    <t>US20220062219</t>
  </si>
  <si>
    <t>COMPOSITION AND METHOD FOR TREATING OR PROPHYLAXIS OF CORONAVIRUS AND     CANCERS</t>
  </si>
  <si>
    <t>17/412523</t>
  </si>
  <si>
    <t>BETAHEALTH, LLC</t>
  </si>
  <si>
    <t>BETAHEALTH</t>
  </si>
  <si>
    <t>BETANCOURT; Pablo Antonio; (Northbrook, IL)</t>
  </si>
  <si>
    <t>A61K 38/063 20130101;  A61P 11/00 20180101;  A61K 31/245 20130101;  C12Y 301/21001 20130101;  A61K 38/465 20130101</t>
  </si>
  <si>
    <t>Described herein is a composition and methods for treating, reducing the     symptoms of, or prophylaxis of viral infections, and particularly     SARS-CoV-2. The composition enhances delivery of oxygen to the tissues.     Also described herein is a composition and methods for treating cancers,     particularly, adenocarcinomas, infiltrating ductal adenocarcinoma,     metastatic ductal adenocarcinoma, and neuroendocrine tumors. The     composition inhibits the growth of tumor cells and promotes cytoreduction     of tumors.</t>
  </si>
  <si>
    <t>US20220061971</t>
  </si>
  <si>
    <t>SYSTEM AND METHOD FOR DENTAL VENTILATION</t>
  </si>
  <si>
    <t>17/464664</t>
  </si>
  <si>
    <t>CUSACK MICHAEL</t>
  </si>
  <si>
    <t>Cusack; Michael; (Durango, CO)</t>
  </si>
  <si>
    <t>A system and method for dental ventilation is provided including a fan     mount assembly wherein a fan unit having a perimeter fan ring is engaged     with the fan mount assembly by engaging a locking ring to the fan mount     assembly over the perimeter fan ring. The fan unit is connected to an air     intake using a duct hose. The air intake includes a light receptacle     receiving a light to illuminate a patient and a battery holder receiving     a battery to electrically power the light.</t>
  </si>
  <si>
    <t>US20220061950</t>
  </si>
  <si>
    <t>DENTAL AEROSOL PROTECTION SYSTEM</t>
  </si>
  <si>
    <t>17/011793</t>
  </si>
  <si>
    <t>ASAMARAI MUJAHID A</t>
  </si>
  <si>
    <t>ASAMARAI MUJAHID</t>
  </si>
  <si>
    <t>Asamarai; Mujahid A.; (Wayne, NJ)</t>
  </si>
  <si>
    <t>A dental aerosol protection system includes an aerosol collection funnel     and one or more protective transparent shields. A proximal attachment end     of the aerosol collection funnel can be configured to fit into a fitting     of a high-vacuum evacuator (HVE) conduit. A distal end thereof defines an     opening having a cross-sectional area that is greater than a diameter of     the proximal attachment end to collect aerosols emanating from the     patient's mouth. The aerosol collection funnel is positionable with     respect to a mouth of a patient via an adjustable arm operably coupled to     the aerosol collection funnel or the fitting of the HVE conduit. The     shield or shields can be positioned with respect to the mouth of the     patient via a boom coupled to an aperture defined through the shield. The     boom can be coupled to the shield(s) via a flexible shield support     member.</t>
  </si>
  <si>
    <t>US20220061851</t>
  </si>
  <si>
    <t>OCCLUSIVE DEVICE WITH SELF-EXPANDING STRUTS</t>
  </si>
  <si>
    <t>17/463504</t>
  </si>
  <si>
    <t>FOJTIK SHAWN P</t>
  </si>
  <si>
    <t>FOJTIK SHAWN</t>
  </si>
  <si>
    <t>Fojtik; Shawn P.; (Park City, UT)</t>
  </si>
  <si>
    <t>A61B 2017/00084 20130101;  A61B 2017/00867 20130101;  A61B 17/12113 20130101;  A61B 2017/22062 20130101;  A61B 17/1214 20130101</t>
  </si>
  <si>
    <t>A self-expanding occlusive device includes a hypotube. An outer diameter     of the occlusive device self-expands, or increases, and the occlusive     device automatically assumes its final shape upon deployment to a target     location. The occlusive device may retain its increased outer diameter     and final shape as it remains exposed to one or more conditions at the     target location.</t>
  </si>
  <si>
    <t>US20220061823</t>
  </si>
  <si>
    <t>METHOD FOR OBTAINING EXHALED RESPIRATORY SPECIMENS</t>
  </si>
  <si>
    <t>17/461698</t>
  </si>
  <si>
    <t>AEOLUS PARTNERS, LLC</t>
  </si>
  <si>
    <t>AEOLUS PARTNERS</t>
  </si>
  <si>
    <t>Berger; Barry M.; (Brockton, MA); Kuperwasser; Charlotte; (Newton, MA)</t>
  </si>
  <si>
    <t>A61B 10/0051 20130101;  G01N 2001/2244 20130101;  A41D 13/11 20130101;  G01N 33/497 20130101;  A61B 2010/0087 20130101;  G01N 1/2214 20130101</t>
  </si>
  <si>
    <t>The invention provides articles, devices, and methods for sampling     respiratory droplets, the article comprising a material capable of     adsorbing or absorbing respiratory droplets such that the contents of     said respiratory droplets can be recovered for analysis. The invention     allows respiratory droplets to be collected directly from any source of     moisture and commonly-used devices, for example face masks and air     handling systems.</t>
  </si>
  <si>
    <t>US20220061813</t>
  </si>
  <si>
    <t>METHODS AND SYSTEMS FOR DETECTING PLEURAL IRREGULARITIES IN MEDICAL IMAGES</t>
  </si>
  <si>
    <t>17/005153</t>
  </si>
  <si>
    <t>Halmann; Menachem; (Monona, WI); Pinkovich; Dani; (Brookline, MA); Shiran; Carmit; (Haifa, IL); Anderson; Robert John; (Oshkosh, WI); Fermoso; Antonio Fabian; (Madrid, ES); Owen; Cynthia; (Powhatan, AR)</t>
  </si>
  <si>
    <t>A61B 8/5261 20130101;  G06T 2207/10136 20130101;  A61B 5/08 20130101;  A61B 5/055 20130101;  A61B 8/5246 20130101;  A61B 5/7485 20130101;  G06T 7/13 20170101;  A61B 6/037 20130101;  G06T 7/0012 20130101;  A61B 5/7425 20130101;  A61B 8/463 20130101;  A61B 8/5223 20130101;  G06T 2207/30061 20130101;  G06T 3/4038 20130101;  A61B 8/469 20130101;  A61B 6/469 20130101;  A61B 6/50 20130101;  A61B 6/032 20130101;  A61B 6/5247 20130101;  G06T 19/00 20130101;  A61B 6/5235 20130101;  A61B 6/463 20130101;  A61B 8/08 20130101;  G06T 2207/20221 20130101;  A61B 6/5217 20130101</t>
  </si>
  <si>
    <t>Various methods and systems are provided for a medical imaging system. In     one embodiment, a method includes acquiring a series of medical images of     a lung, identifying a pleural line in each medical image of the series,     evaluating the pleural line for irregularities in each medical image of     the series, and outputting an annotated version of each medical image of     the series, the annotated version including visual markers for healthy     pleura and irregular pleura. In this way, an operator of the medical     imaging system may be alerted to pleural irregularities during a scan.</t>
  </si>
  <si>
    <t>US20220061773</t>
  </si>
  <si>
    <t>TEST SUPPORT APPARATUS, TEST SUPPORT METHOD, AND TEST SUPPORT PROGRAM</t>
  </si>
  <si>
    <t>17/405049</t>
  </si>
  <si>
    <t>NAGAMIYA; Kenji; (Kanagawa, JP); NAKATSUGAWA; Haruyasu; (Kanagawa, JP); KANEKO; Yasuhisa; (Kanagawa, JP); HIRAGAMI; Tomohide; (Kanagawa, JP); HOSONO; Yasuyuki; (Kanagawa, JP); KITAMURA; Nobuya; (Kanagawa, JP)</t>
  </si>
  <si>
    <t>A61B 5/7275 20130101;  G06F 3/0482 20130101;  G16H 40/63 20180101;  A61B 5/4866 20130101;  A61B 5/7435 20130101;  A61B 5/7221 20130101;  A61B 5/7282 20130101;  G06F 3/04817 20130101;  A61B 5/0004 20130101;  A61B 5/14532 20130101;  A61B 5/681 20130101</t>
  </si>
  <si>
    <t>A test support apparatus including at least one processor, wherein the     processor is configured to determine whether or not there is an abnormal     tendency in first biological information of a user by monitoring the     first biological information, determine, as plural action candidates to     be recommended for the user, plural action candidates including at least     one test candidate for acquiring second biological information associated     with the first biological information in a case where there is the     abnormal tendency in the first biological information, and present the     plurality of action candidates to the user.</t>
  </si>
  <si>
    <t>US20220061664</t>
  </si>
  <si>
    <t>SYSTEM AND METHOD FOR AUGMENTING PATIENT-TECHNOLOGIST COMMUNICATION</t>
  </si>
  <si>
    <t>17/004994</t>
  </si>
  <si>
    <t>Georgiev; Emil M.; (Hartland, WI); Kemper; Erik P.; (Franklin, WI)</t>
  </si>
  <si>
    <t>The present disclosure relates to a system and method for augmenting     patient-technologist communication, before, during, and after a medical     imaging procedure. In accordance with certain embodiments, a system     includes a processor and a computer readable storage medium in     communication with the processor. The processor executes program     instructions stored in the computer readable storage medium which cause     the computer processor to generate media that relates to a medical     imaging procedure as a function of information in an electronic medical     record that corresponds to a patient and output the media that relates to     a medical imaging procedure to a display or a speaker.</t>
  </si>
  <si>
    <t>US20220061595</t>
  </si>
  <si>
    <t>PORTABLE SANITIZER DISPENSER</t>
  </si>
  <si>
    <t>17/462964</t>
  </si>
  <si>
    <t>SIEGEL, Aaron; SIEGEL, Adam; SIEGEL, Aviel</t>
  </si>
  <si>
    <t>SIEGEL AARON</t>
  </si>
  <si>
    <t>SIEGEL; Aaron; (Oak Park, MI); SIEGEL; Adam; (Oak Park, MI); SIEGEL; Aviel; (Oak Park, MI)</t>
  </si>
  <si>
    <t>A portable sanitizer dispenser including a body that securely encloses a     bottle of sanitizer, an attachment mechanism operatively attached to the     body, and a dispensing mechanism operatively attached at a mouth of the     bottle or at a bottom of the body. A method of using the portable     sanitizer dispenser, by attaching the portable sanitizer dispenser to an     object with an attachment mechanism operatively attached to a body,     actuating a dispensing mechanism operatively attached to the body, and     dispensing sanitizer.</t>
  </si>
  <si>
    <t>US20220061572</t>
  </si>
  <si>
    <t>SANITARY DELIVERY CONTAINER SYSTEM</t>
  </si>
  <si>
    <t>17/003485</t>
  </si>
  <si>
    <t>PORCHBOXX INC.</t>
  </si>
  <si>
    <t>PORCHBOXX</t>
  </si>
  <si>
    <t>SNODGRASS; CLYDE RICHARD; (Tampa, FL)</t>
  </si>
  <si>
    <t>G06Q 50/28 20130101;  E05B 65/0075 20130101;  G06Q 30/0185 20130101;  A61L 2/202 20130101;  A47G 2029/145 20130101;  A61L 2/10 20130101;  A61L 2202/23 20130101;  G07C 9/00182 20130101;  G06K 7/1413 20130101;  E05G 1/12 20130101;  A47G 2029/147 20130101;  G08B 3/10 20130101;  A47G 2029/149 20130101;  A47G 29/141 20130101;  G08B 6/00 20130101;  E05G 1/10 20130101;  A61L 2/26 20130101;  A61L 2202/11 20130101;  G06K 7/1417 20130101;  F25D 31/005 20130101;  G06Q 10/107 20130101;  A61L 2202/122 20130101</t>
  </si>
  <si>
    <t>A device and method for securely delivering a package are provided. The     device may be a container for receiving packages, and may include a body     configured to receive a package, a door coupled to the body and having a     locking mechanism configured to prevent the door from opening when     engaged, a controller configured to receive a signal corresponding to the     package, and to unlock the locking mechanism in response to the signal,     and a sanitization device configured to sanitize at least one of the     package and contents of the package by emitting at least one of a gas and     a light configured to kill one or more of bacteria, viruses, and other     pathogens. The method for securely delivering a package may include     storing information corresponding to the package in a memory of the     container, receiving a signal indicating that the package is ready for     delivery to the container, unlocking a locking mechanism of the container     in response to receiving the signal, and activating a sanitization device     to sanitize the package after the package has been placed inside the     container.</t>
  </si>
  <si>
    <t>US20220061521</t>
  </si>
  <si>
    <t>APPARATUS AND METHOD FOR CREATING A BARRIER</t>
  </si>
  <si>
    <t>17/008831</t>
  </si>
  <si>
    <t>PUCKSRUS, INC.</t>
  </si>
  <si>
    <t>PUCKSRUS</t>
  </si>
  <si>
    <t>Schwartz; Steven; (Sarasota, FL)</t>
  </si>
  <si>
    <t>A47B 41/06 20130101;  A47B 83/001 20130101</t>
  </si>
  <si>
    <t>A barrier system is described herein. The barrier system includes at     least three floating barrier elements, at least four securement     components, and at least four stabilizing components. The at least four     securement components are configured to secure the first floating barrier     element between the second floating barrier element and the third     floating barrier element to form a barrier. The at least four stabilizing     components are configured to stabilize the barrier. The components of the     barrier system are interchangeable and movable.</t>
  </si>
  <si>
    <t>US20220061473</t>
  </si>
  <si>
    <t>HAND SANITIZING SYSTEM, BRACELET APPLICATOR APPARATUS, DISPENSING SYSTEM,     REFILL SYSTEM, AND METHOD OF USE</t>
  </si>
  <si>
    <t>17/460408</t>
  </si>
  <si>
    <t>NEWCOMB FERNANDO</t>
  </si>
  <si>
    <t>Newcomb; Fernando; (Hong Kong, HK)</t>
  </si>
  <si>
    <t>A hand sanitizing system, bracelet applicator apparatus, dispensing     system, refill system, and method of use are presented. The bracelet     disinfectant system is configured to be worn on a user's wrist. The     system is located close to the palm of the user. The bracelet     disinfectant system ejects a predetermined amount of sanitizing solution     onto the palm of the user. The ejection of the solution can be completed     without removing the bracelet from the wrist of the user. The system     provides a disinfectant bracelet and refillable system that can be caused     to eject a sanitizing solution from the system to the palm of a user. The     system provides a user quick and easy ejection of a predetermined amount     of solution onto a single palm and still have both hands free to rub the     solution into their hands and/or onto another surface--so as to make the     surface disinfected.</t>
  </si>
  <si>
    <t>US20220061421</t>
  </si>
  <si>
    <t>Face Mask Accessory</t>
  </si>
  <si>
    <t>17/006807</t>
  </si>
  <si>
    <t>WARREN DONNA MAY</t>
  </si>
  <si>
    <t>Warren; Donna May; (St. Catharines, CA)</t>
  </si>
  <si>
    <t>A device for holding a face mask on a head of a wearer; the device     includes a hair accessory, particularly a hair clip; and at least one     mask fastener means for attaching a face mask to the hair accessory. The     device is unobtrusive and holds the face mask on the head of the wearer     such that the hair of the wearer is not disturbed, and the wearer remains     comfortable whilst wearing the face mask. The device can also be stored     atop the hair accessory.</t>
  </si>
  <si>
    <t>US20220061419</t>
  </si>
  <si>
    <t>CUSTOM DESIGNED FACE MASK AND KIT</t>
  </si>
  <si>
    <t>17/093199</t>
  </si>
  <si>
    <t>NICKLAUS AMY</t>
  </si>
  <si>
    <t>NICKLAUS; AMY; (Randolph, NJ)</t>
  </si>
  <si>
    <t>A custom designed face mask and kit. The custom designed face mask can be     formed of a material which is suitable to enable ink to be readily     adhered without bleeding. A design, indicia or pattern can be printed on     the material of the custom designed face mask. The kit can include one or     more pens having non-bleed ink.</t>
  </si>
  <si>
    <t>US20220061418</t>
  </si>
  <si>
    <t>RESPIRATORY FACE MASK</t>
  </si>
  <si>
    <t>17/011717</t>
  </si>
  <si>
    <t>BIOSERENITY</t>
  </si>
  <si>
    <t>Giovanni; Antoine; (Marseille, FR); Guy; Marion; (Troyes, FR); Frouin; Pierre-Yves; (Atlanta, GA)</t>
  </si>
  <si>
    <t>A41D 13/1107 20130101;  A61B 1/233 20130101;  A61B 1/00142 20130101;  A61B 46/20 20160201;  A61B 1/24 20130101</t>
  </si>
  <si>
    <t>A respiratory face mask, or personal protective equipment, having a     deformable entry point is described herein. Various examples of the     respiratory face mask described herein include a deformable entry point     that allows for the insertion and removal of a medical device or other     object to provide care to a user wearing the face mask. The respiratory     face mask is configured to at least partially maintain a barrier between     the interior of the mask and the exterior of the mask, thereby providing     some degree of protection for the patient receiving treatment from the     environment around them as well as those administering care from germs     contained in the exhalation of the patient.</t>
  </si>
  <si>
    <t>US20220061328</t>
  </si>
  <si>
    <t>17/403097</t>
  </si>
  <si>
    <t>Hodges; James M.; (Evanston, IL); Bedard; Robert L.; (McHenry, IL); Lupton; F. Stephen; (Evanston, IL); van der Vliet; Dennis F.; (Skokie, IL); Moarrefzadeh; Mana; (Wheeling, IL); Abrevaya; Hayim; (Kenilworth, IL); Ball; Jon E.; (Crystal Lake, IL); Broderick; Erin M.; (Arlington Heights, IL); Bogdan; Paula L.; (Mount Prospect, IL)</t>
  </si>
  <si>
    <t>Processes for increasing a viricidal activity of a fiber substrate. The     fiber substrate is provided. The fiber substrate may comprise acidic     functional groups and may be acid leached to provide additional acidic     groups. Metal ions may thereafter be exchanged with a proton from the     acidic functional groups. A divalent metal is introduced to the fiber     substrate. An antiviral metal is introduced and deposited onto the fiber     substrate by galvanic displacement. Subsequently, a further antiviral     metal is introduced and deposited on the fiber substrate by an     electroless process. The treated fiber substrate is washed and dried. The     deposition of antiviral metals onto the fiber substrate to form a treated     fiber substrate may occur before or after the fiber substrate is     incorporated into a filter media in a wet-laid paper making process.</t>
  </si>
  <si>
    <t>US20220061327</t>
  </si>
  <si>
    <t>17/403093</t>
  </si>
  <si>
    <t>Processes for increasing a virucidal activity of a fiber substrate are     disclosed. A fiber substrate comprising borosilicate is provided. The     fiber substrate may comprise acidic functional groups. An antiviral metal     salt solution is introduced to the fiber substrate to form an antiviral     substrate. The pH of the antiviral metal salt solution is adjusted, and     an antiviral metal ion is exchanged with a proton from the acidic     functional groups. The antiviral metal is present in an amount ranging     from about 0.001 to about 3.0 wt. % of the antiviral fiber substrate. The     antiviral fiber substrate is incorporated into a filter media before or     after the deposition of the antiviral metal onto the fiber substrate.</t>
  </si>
  <si>
    <t>US20220061320</t>
  </si>
  <si>
    <t>Phenolic aerosol sprays comprising thymol</t>
  </si>
  <si>
    <t>17/006830</t>
  </si>
  <si>
    <t>DUGGAL VIJAY</t>
  </si>
  <si>
    <t>Duggal; Vijay; (Elmhurst, NY)</t>
  </si>
  <si>
    <t>Disinfecting compositions for aerosols and vapors comprising thymol,     monoterpenoids, essential oils and/or phenols wherein said compositions     are fortified with antimicrobial agents of natural and/or synthetic     origin. A method of disinfection of mucous membranes, skin, surfaces and     air by using aerosols and vapors comprising thymol, monoterpenoids and/or     phenols.</t>
  </si>
  <si>
    <t>US20220061318</t>
  </si>
  <si>
    <t>ANTIMICROBIAL PREVENTIVE NETTING</t>
  </si>
  <si>
    <t>17/244688</t>
  </si>
  <si>
    <t>Chen; James; (Seattle, WA); Clark; Tanner; (Seattle, WA); Lendvay; Thomas; (Seattle, WA)</t>
  </si>
  <si>
    <t>An antimicrobial preventive netting is disclosed that includes one or     more photosensitizers that are capable of generating a cloud of singlet     oxygen on each surface and openings through the netting in response to     incident light. A depth of the singlet oxygen cloud may be less than 0.7     centimeters from a netting surface. The netting may be supported by     screens, enclosures or headgear. The netting can be made by dipping or     soaking the netting in a solution of one or more photosensitizers.</t>
  </si>
  <si>
    <t>US20220061315</t>
  </si>
  <si>
    <t>PERSISTENT SANITIZER</t>
  </si>
  <si>
    <t>17/458524</t>
  </si>
  <si>
    <t>THOMAS, DOUGLAS A.</t>
  </si>
  <si>
    <t>THOMAS DOUGLAS</t>
  </si>
  <si>
    <t>Thomas; Douglas Wescott; (Palo Alto, CA); Mahrat; Reem; (Palo Alto, CA)</t>
  </si>
  <si>
    <t>A01N 25/04 20130101;  A01N 57/12 20130101;  A01N 59/16 20130101;  A01N 33/12 20130101</t>
  </si>
  <si>
    <t>Provided herein are compositions and related methods related to a class     of formulation that can be applied once a day and still provide     antimicrobial and/or antiviral protection during this period, thus     exhibiting persistent sanitization to the user. In some embodiments, a     hand cream with antimicrobial and/or antiviral protection can prevent     against COVID-19 spread or infection. In some embodiments, the     formulation comprises one or more of the following: benzalkonium     chloride, zinc oxide, tributyl phosphate, soybean oil, and/or Triton     X-100, or an analog, derivative, salt, or pharmaceutical equivalent     thereof, with the formulation containing a predominance of water to     prevent a greasy feel to the user.</t>
  </si>
  <si>
    <t>US20220060856</t>
  </si>
  <si>
    <t>USING SMART OCCUPANCY DETECTION AND CONTROL IN BUILDINGS TO REDUCE DISEASE     TRANSMISSION</t>
  </si>
  <si>
    <t>17/518128</t>
  </si>
  <si>
    <t>WELLIG; ARMIN; (Mont-sur-Rolle, CH); INKPEN; CHRIS; (Charlotte, NC); TOWLER; KELVIN; (Barnham, GB)</t>
  </si>
  <si>
    <t>H04W 4/33 20180201;  G16H 50/80 20180101;  H04W 4/029 20180201;  H04W 4/021 20130101</t>
  </si>
  <si>
    <t>A signal is received from an occupancy sensor each time a person passes     through an access point corresponding to a building space, and is     identified as indicating a person either entering or exiting the building     space. An occupancy count is maintained for each of the building spaces     by incrementing the occupancy count when the signal indicates a person     entering and decrementing the occupancy count when the signal indicates a     person exiting. A determination is made as to whether the occupancy count     for any of the building spaces of the plurality of building spaces has     reached a threshold for the corresponding building space. Action is taken     in response to determining that the occupancy count for any of the     building spaces of the plurality of building spaces has reached the     threshold for that particular building space.</t>
  </si>
  <si>
    <t>US20220060761</t>
  </si>
  <si>
    <t>SYSTEM AND METHOD FOR PROCTORING TESTIMONY FROM A REMOTE LOCATION</t>
  </si>
  <si>
    <t>17/409760</t>
  </si>
  <si>
    <t>Lundy, Jean-Paul</t>
  </si>
  <si>
    <t>LUNDY JEAN</t>
  </si>
  <si>
    <t>Lundy; Jean-Paul; (Los Angeles, CA)</t>
  </si>
  <si>
    <t>H04L 65/1083 20130101;  H04N 21/2187 20130101;  H04N 21/8453 20130101;  H04N 21/858 20130101;  H04L 65/4069 20130101</t>
  </si>
  <si>
    <t>The present invention involves a system and method for proctoring     testimony, including proctoring a remote deposition, which reduces or     eliminates disingenuous conduct and preserves the integrity of the     testimony. A server may be configured to host a remote deposition     comprising a live video stream between a host device and one or more     client devices. The client devices are configured to receive an invite     from the server or the host device to join the remote deposition. The     invite to a client device of the witness being deposed, includes a link     with instructions to access the remote deposition and lock a user     interface of the client device during the live video stream. An     application executable by the client device of the witness is configured     to access the remote deposition, display the live video stream, and lock     access to the user interface of the client device during the live video     stream.</t>
  </si>
  <si>
    <t>US20220060522</t>
  </si>
  <si>
    <t>Touch Reduction Conferencing System and Method</t>
  </si>
  <si>
    <t>17/445389</t>
  </si>
  <si>
    <t>BAWARSKY DAVID</t>
  </si>
  <si>
    <t>Bawarsky; David; (Fort Lauderdale, FL)</t>
  </si>
  <si>
    <t>System and methods for touch reduction conferencing are provided. The     system, for example, includes an input/output device remote from a     first-user and a processor. The processor programmed to: receive an input     from the first-user at the processor, the input including a request from     the first user for a meeting with a second-user; deliver an output at the     input/output device, the output including the request sent to at least     one of the second-user and an administrator; deliver an output from the     processor, the output including confirming the meeting to the first-user     and at least one of the second-user and the administrator; and deliver an     output at the input/ouput device, the ouput including connecting the     first-user with the second-user at the meeting without at least one of     the second-user and the administrator interacting with the input/ouput     device.</t>
  </si>
  <si>
    <t>US20220060495</t>
  </si>
  <si>
    <t>SYSTEMS AND METHODS FOR EFFECTIVE DELIVERY OF SIMULATED PHISHING CAMPAIGNS</t>
  </si>
  <si>
    <t>17/001070</t>
  </si>
  <si>
    <t>KnowBe4</t>
  </si>
  <si>
    <t>KNOWBE4</t>
  </si>
  <si>
    <t>Patton; Mark William; (Clearwater, FL); Cormier; Daniel; (Clearwater, FL); Kras; Greg; (Dunedin, FL)</t>
  </si>
  <si>
    <t>Systems and methods are described for verifying whether simulated     phishing communications are allowed to pass by a security system of an     email system to email account of users. One or more email accounts of the     email system with the security system may be identified to use for a     delivery verification campaign. Further, one or more types of simulated     phishing communications may be selected from a plurality of types of     simulated phishing communications. The delivery verification campaign may     be configured to include the selection of the one or more types of     simulated phishing communications from the plurality of types of     simulated phishing communications. The selected one or more types of     simulated phishing communications of the delivery verification campaign     may be communicated to the one or more email accounts. Further, whether     or not each of the one or more types of simulated phishing communications     was allowed by the security system to be received unchanged at the one or     more email accounts.</t>
  </si>
  <si>
    <t>US20220059242</t>
  </si>
  <si>
    <t>Alert; Data Integration</t>
  </si>
  <si>
    <t>METHOD AND SYSTEM FOR MANAGING EPIDEMICS THROUGH BAYESIAN LEARNING ON     CONTACT NETWORKS</t>
  </si>
  <si>
    <t>17/445426</t>
  </si>
  <si>
    <t>Schneider; Tapio; (Pasadena, CA); Daraio; Chiara; (South Pasadena, CA); Dunbar; Oliver R.; (Pasadena, CA)</t>
  </si>
  <si>
    <t>Systems and methods for epidemic/pandemic management by creating a     network of user devices wirelessly connected to a central server or     servers, the devices having location/proximity capability. The central     server propagates crowdsourced information about individual risks of     exposure and infectiousness across a dynamic contact network, where the     risk assessments are determined by the server by data assimilation     methods with corrections made by updating previous risk network models     and re-evolving them.</t>
  </si>
  <si>
    <t>US20220059241</t>
  </si>
  <si>
    <t>SYSTEM AND METHOD OF TRACKING AND GRAPHICALLY REPRESENTING TEST RESULTS</t>
  </si>
  <si>
    <t>17/407091</t>
  </si>
  <si>
    <t>FOOD MICROBIOLOGICAL LABORATORIES INC</t>
  </si>
  <si>
    <t>FOOD MICROBIOLOGICAL LABORATORIES</t>
  </si>
  <si>
    <t>Calicchia; Melissa; (Cypress, CA)</t>
  </si>
  <si>
    <t>A data visualization overlay comprising a facility map including one or     more zones; and one or more symbols representing one or more data points     wherein the one or more symbols are aggregated in a helical display     disposed on the one or more zones thereby allowing a readable     representation of the one or more data points on the facility map.</t>
  </si>
  <si>
    <t>US20220059232</t>
  </si>
  <si>
    <t>Contact tracing; Detect&amp;Monitor</t>
  </si>
  <si>
    <t>System, Method, and Computer Program Product for Monitoring Individuals in     an Environment to Determine an Onset of Infection</t>
  </si>
  <si>
    <t>17/410357</t>
  </si>
  <si>
    <t>ONDO SYSTEMS INC</t>
  </si>
  <si>
    <t>ONDO SYSTEMS</t>
  </si>
  <si>
    <t>Nishioka; Suguru; (San Francisco, CA); Goering; Ivan; (Santa Clara, CA); Baum; Marc; (San Jose, CA)</t>
  </si>
  <si>
    <t>H04W 4/80 20180201;  G16H 40/67 20180101;  G16H 50/30 20180101</t>
  </si>
  <si>
    <t>Provided are computer-implemented methods for monitoring individuals in     an environment to determine an onset of infection which includes     receiving data associated with one or more measurements obtained by one     or more sensors of a sensor band and determining whether the one or more     measurements obtained by the one or more sensors of the sensor band     satisfies one or more conditions of a non-standard state, wherein the     non-standard state is associated with an individual at risk for     infection. Such methods may also include providing an indication that an     individual associated with the sensor band is at risk for infection.     Systems and computer program products are also provided.</t>
  </si>
  <si>
    <t>US20220059231</t>
  </si>
  <si>
    <t>WATCHDOG SMART FACE PROTECTIVE DEVICE AND SMART FACE SHIELD FOR INFECTION     CONTROL</t>
  </si>
  <si>
    <t>17/404419</t>
  </si>
  <si>
    <t>SALEH, AHMAD</t>
  </si>
  <si>
    <t>SALEH AHMAD</t>
  </si>
  <si>
    <t>SALEH; Ahmad; (Dubai, AE)</t>
  </si>
  <si>
    <t>G16H 10/60 20180101;  G16H 50/20 20180101;  G16H 50/80 20180101;  G06F 1/163 20130101;  G16H 50/30 20180101</t>
  </si>
  <si>
    <t>A smart face protective device (SFPD) for infection control, where the     smart face protective device is configured to detect health and safety     (H&amp;S) conditions of the user and/or a person passing in proximity of the     user and conduct actions based on the detection. The smart face     protective device has a moveable face shield portion configured to be     automatically adjusted between a secured positon and an unsecured     position based on a command signal received at the device. A smart face     shield that can detect the temperature of a user and the user's distance     with respect to another person. The smart face shield has a shell, a pad,     and a circuitry. The pad is fixed to the shell and the circuitry allows     for the operation of the smart features of the smart face shield.</t>
  </si>
  <si>
    <t>US20220059224</t>
  </si>
  <si>
    <t>AUGMENTED INTELLIGENCE FOR NEXT-BEST-ACTION IN PATIENT CARE</t>
  </si>
  <si>
    <t>17/406604</t>
  </si>
  <si>
    <t>RECOVERY EXPLORATION TECHNOLOGIES INC.</t>
  </si>
  <si>
    <t>RECOVERY EXPLORATION</t>
  </si>
  <si>
    <t>TULLEY; Carl Bate; (San Fransico, CA); ROGERS; Robert Derward; (Oakland, CA); LEE; Jennifer May; (London, GB); EPSTEIN; David A.; (Croton-on-Hudson, NY); KELLER; Michelle S.; (Los Angeles, CA); STIPP; Wian; (Somerleyton, GB); ROBINSON; David; (Santa Cruz, CA); MCSORLEY; Matthew; (Pittsburgh, PA)</t>
  </si>
  <si>
    <t>G16H 40/20 20180101;  G16H 10/60 20180101;  G16H 10/40 20180101;  G06F 40/30 20200101;  G10L 15/22 20130101;  G06F 40/295 20200101;  G10L 25/66 20130101;  G16H 50/70 20180101;  G16H 70/20 20180101;  G10L 15/26 20130101;  G16H 50/20 20180101</t>
  </si>
  <si>
    <t>A next-best-action system includes real-time operation and off-line     training and processes. During off-line training databases of medical     conditions and associated diagnostic factors, tests and treatments are     used to create models used for later natural language processing of input     electronic text. Diagnostic factors are ranked according to the     probability that they indicate conditions and are stored in a matrix.     Treatments corresponding to conditions are also stored in a matrix.     During real-time operation electronic text is received from patient     history of an EHR system, from a transcribed conversation between a     physician and a patient, or from input that the physician makes in the     EHR system or in an overlaid diagnostic user interface. The electronic     text is processed by an NLP pipeline that derives clinical diagnostic     factors and test results for the patient. The factors and test results     are matched against the matrix of factors to produce a list of likely     conditions, along with an ordered list of factors and tests that are     either unknown or not yet performed for that patient.</t>
  </si>
  <si>
    <t>US20220059221</t>
  </si>
  <si>
    <t>MACHINE-LEARNING TECHNIQUES FOR OXYGEN THERAPY PREDICTION USING MEDICAL     IMAGING DATA AND CLINICAL METADATA</t>
  </si>
  <si>
    <t>17/000982</t>
  </si>
  <si>
    <t>Nvidia</t>
  </si>
  <si>
    <t>NVIDIA</t>
  </si>
  <si>
    <t>Zhu; Wentao; (New York, NY); Xu; Daguang; (Potomac, MD); Ruan; Peiying; (Tokyo, JP); Yang; Dong; (Pocatello, ID); Xu; Ziyue; (Reston, VA); Roth; Holger Reinhard; (Rockville, MD)</t>
  </si>
  <si>
    <t>Apparatuses, systems, and techniques to train one or more neural networks     based, at least in part on, medical imaging data and clinical metadata or     inference using one or more neural networks trained as such. In at least     one embodiment, one or more circuits to train one or more neural network     to predict a treatment for a patient suspected to have or confirmed to     have COVID-19 based, at least in part on, medical imaging data and     clinical metadata.</t>
  </si>
  <si>
    <t>US20220059194</t>
  </si>
  <si>
    <t>3D PHARMACOPHORE MODEL FOR THE RAPID COMPUTATIONAL SCREENING OF SARS-COV-2     MODULATORS AND COMPOSITIONS AND METHODS THEREOF</t>
  </si>
  <si>
    <t>17/409433</t>
  </si>
  <si>
    <t>FLUOROME INC</t>
  </si>
  <si>
    <t>FLUOROME</t>
  </si>
  <si>
    <t>VLACHAKIS; Dimitrios; (Houston, TX); NEBLETT; Charles; (Houston, TX); KASTI; Maria; (Houston, TX)</t>
  </si>
  <si>
    <t>The invention encompasses compositions and compounds for inhibiting CoV2     Spike GP and human ACE2 proteins and a 3D pharmacophore model described     herein provides the means for rapid, high-throughput virtual screening of     potential anti-CoV2 modulators thus facilitating, optimizing and speeding     up the search for the discovery of a potent anti-COVID-19 agent and     methods of treatment and prevention thereof.</t>
  </si>
  <si>
    <t>US20220059187</t>
  </si>
  <si>
    <t>METHODS OF DETECTING NUCLEIC ACID BARCODES</t>
  </si>
  <si>
    <t>17/395895</t>
  </si>
  <si>
    <t>OXFORD NANOPORE TECHNOLOGIES LIMITED</t>
  </si>
  <si>
    <t>OXFORD NANOPORE</t>
  </si>
  <si>
    <t>Reid; Stuart William; (Oxford, GB); Harrington; Eoghan Donal; (New York, NY)</t>
  </si>
  <si>
    <t>Provided herein, in some embodiments, are methods of determining whether     a target nucleic acid comprises a particular barcode sequence.</t>
  </si>
  <si>
    <t>US20220058986</t>
  </si>
  <si>
    <t>SEPARATION INDICATOR FOR HOTEL DOORS AND OTHER MOVEABLE OBJECTS</t>
  </si>
  <si>
    <t>17/000536</t>
  </si>
  <si>
    <t>RIVAL BRANDING LLC</t>
  </si>
  <si>
    <t>RIVAL BRANDING</t>
  </si>
  <si>
    <t>Marquardt; Trenton; (Lenexa, KS)</t>
  </si>
  <si>
    <t>C09J 2203/338 20130101;  G09F 2003/0269 20130101;  G09F 3/10 20130101;  G09F 2003/0276 20130101;  G09F 3/0341 20130101;  G09F 2003/0239 20130101;  C09J 2203/37 20200801;  G09F 3/02 20130101;  G09F 3/03 20130101;  C09J 7/20 20180101;  G09F 2003/0277 20130101;  C09J 2301/18 20200801;  G09F 3/0292 20130101;  C09J 7/30 20180101;  Y10T 428/28 20150115</t>
  </si>
  <si>
    <t>A separation indicator for indicating when a door has been opened. The     separation indicator includes a substrate having opposed inner and outer     surfaces and first and second portions, with an elongated tear line     between the first and second portions. An adhesive material is applied to     the inner surface of the substrate and a message, pattern, or design is     printed on the outer face of the substrate. The indicator further     comprises a series of perforations separated by uncut links along the     tear line, with at least a part of the perforations being angled with     respect to the tear line. The links hold the first and second portions of     the substate together when the indicator is first placed on a door and     break along the tear line when the door to which the indicator is     attached is opened. Movement of the door to the open position causes the     substrate to tear along the tear line while the first and second portions     of the substrate remain adhered to the door and door jamb.</t>
  </si>
  <si>
    <t>US20220058648</t>
  </si>
  <si>
    <t>Detect&amp;Monitor; Economic</t>
  </si>
  <si>
    <t>METHODS AND SYSTEMS FOR VERIFYING ELECTRONIC PURCHASES INCLUDING     RESTRICTED PRODUCTS AND PAYMENT PROCESSING THEREOF</t>
  </si>
  <si>
    <t>17/348170</t>
  </si>
  <si>
    <t>Mastercard</t>
  </si>
  <si>
    <t>MASTERCARD</t>
  </si>
  <si>
    <t>MAHALLE; Rajesh Pralhadrao; (Pune, IN); MALHOTRA; Surbhi; (Pune, IN); NATH; Vijay; (Pune, IN); SHARMA; Pallav; (Pune, IN)</t>
  </si>
  <si>
    <t>G06Q 20/3255 20130101;  G06Q 20/40145 20130101;  G06F 21/32 20130101;  G06Q 20/405 20130101;  G06Q 30/0607 20130101</t>
  </si>
  <si>
    <t>Embodiments provide methods and systems for verifying plurality of user     attributes corresponding to a purchase of a user, including restricted     products. Methods include receiving a payment request for purchasing a     plurality of products, determining plurality of attributes to be verified     for the payment request by applying regulatory rules on a products     related information associated with the plurality of products,     transmitting a payment link, to the merchant terminal including at least     one user-specific attribute to be verified from the user. The methods     further include receiving user-specific information associated with the     at least one user-specific attribute, verifying the plurality of     attributes by accessing one or more databases, based at least on checking     the at least one general attribute by applying a set of pre-defined rules     and performing validation of the user-specific information received from     the user device and upon successful verification, processing the payment     request initiated by the merchant terminal.</t>
  </si>
  <si>
    <t>US20220058606</t>
  </si>
  <si>
    <t>Keypad Overlay for Credit Card Machines</t>
  </si>
  <si>
    <t>17/407726</t>
  </si>
  <si>
    <t>SALES DATA, INC.</t>
  </si>
  <si>
    <t>SALES DATA</t>
  </si>
  <si>
    <t>Boone; Jerry; (Hutchinson, KS)</t>
  </si>
  <si>
    <t>A keypad overlay for credit card machines includes a main panel, a     lateral wall, a connector wall, a plurality of button receiving features,     a first attachment hole, and a second attachment hole. The connector wall     and the lateral wall are perimetrically positioned around the main panel.     The connector wall is terminally connected to the main panel. The lateral     wall is terminally connected to the main panel. The plurality of button     receiving features is integrated onto the main panel. The first     attachment hole and the second attachment hole are oppositely positioned     of each other along the connector wall. The first attachment hole     traverses through the connector wall. The second attachment hole     traverses through the connector wall.</t>
  </si>
  <si>
    <t>US20220058556</t>
  </si>
  <si>
    <t>BUILDING SYSTEM WITH BUILDING HEALTH ANALYSIS</t>
  </si>
  <si>
    <t>17/354583</t>
  </si>
  <si>
    <t>Warake; Ravindra Ramanand; (Pune, IN); Schubert; Shawn D.; (Oak Creek, WI); Sinha; Vineet Binodshanker; (Brookfield, WI); Stangarone; Joseph S.; (Milwaukee, WI); Madison; Nicole A.; (Milwaukee, WI); Bell; Kerry M.; (Mukwonago, WI)</t>
  </si>
  <si>
    <t>G06Q 10/06315 20130101;  G05B 19/41845 20130101;  G05B 19/41855 20130101</t>
  </si>
  <si>
    <t>A building system of a building including one or more storage devices     storing instructions thereon that, when executed by one or more     processors, cause the one or more processors to receive building data     from one or more building systems of the building, generate, based on the     building data, an overall building score of the building based on one or     more space parameters indicating health levels of spaces of the building,     one or more planet health parameters indicating an effect of operations     performed by the one or more building systems of the building on     environmental pollution, and one or more people parameters indicating at     least one of physical or mental health of occupants of the building. The     instructions cause the one or more processors to implement one or more     updates to the one or more building systems of the building.</t>
  </si>
  <si>
    <t>US20220058545</t>
  </si>
  <si>
    <t>BUILDING SYSTEM WITH BUILDING HEALTH RECOMMENDATIONS</t>
  </si>
  <si>
    <t>17/354565</t>
  </si>
  <si>
    <t>A building system of a building including one or more storage devices     storing instructions thereon that, when executed by one or more     processors, cause the one or more processors to generate one or more     recommendations for improving one or more building scores, the one or     more recommendations including a prediction of an increase to a level of     the one or more building scores or a decrease to the level of the one or     more building scores. The instructions cause the one or more processors     to cause the display device of the user device of the user to display the     one or more recommendations and receive, via the display device, a     selection of one recommendation of the one or more recommendations via     the display device from the user and operate the one or more building     systems based on one or more operating settings of the one     recommendation.</t>
  </si>
  <si>
    <t>US20220057979</t>
  </si>
  <si>
    <t>MODULAR ENTERTAINMENT POD</t>
  </si>
  <si>
    <t>17/407080</t>
  </si>
  <si>
    <t>Dune Enterprises</t>
  </si>
  <si>
    <t>DUNE</t>
  </si>
  <si>
    <t>Wong; Andrew Sean; (Pasadena, CA); Horvath; Stephen Joseph; (San Gabriel, CA); Horvath; Maxwell Francis; (San Gabriel, CA); Pham; Leonardo; (San Gabriel, CA); Garcia; Nikolai Neira; (San Gabriel, CA)</t>
  </si>
  <si>
    <t>G06F 3/147 20130101;  G09G 3/001 20130101;  H04R 1/028 20130101;  G09G 2300/026 20130101;  G06F 3/1446 20130101;  G06F 3/1454 20130101</t>
  </si>
  <si>
    <t>An apparatus and methods for a modular entertainment pod are provided for     preventing a transfer of airborne droplets and contagious aerosols within     a large group of people. Multiple modular entertainment pods may be used     to divide the large group of people into smaller groups. The modular     entertainment pod provides audio and visual content to a small group of     people. Screens supported around a perimeter of a supportive deck portion     provide a surrounding display of visual content to the people within the     pod. Speakers mounted above the screens provide a surrounding audio     experience to the people within the pod. The multiple modular     entertainment pods enable the small groups of people to socially distance     themselves within the large group of people. The multiple modular     entertainment pods may be synchronized to simultaneously present media     content to all of the small groups of people.</t>
  </si>
  <si>
    <t>US20220057861</t>
  </si>
  <si>
    <t>Reciprocal signaling in multiport video conferencing</t>
  </si>
  <si>
    <t>17/300390</t>
  </si>
  <si>
    <t>PETUCHOWSKI SAMUEL J</t>
  </si>
  <si>
    <t>PETUCHOWSKI SAMUEL</t>
  </si>
  <si>
    <t>Petuchowski; Samuel J; (Brookline, MA)</t>
  </si>
  <si>
    <t>H04L 12/1813 20130101;  G06F 3/013 20130101</t>
  </si>
  <si>
    <t>Methods and a computer program product for signaling objects of     participant gaze in a video conference in which a plurality of     participants are displayed on respective screens. A first object of gaze     is associated with one of the video participants based on a detected     locus of gaze of the first participant relative to that participant's     screen. The object of gaze is associated with a participation node of a     second video participant on the basis of a display position of the second     video participant on the screen of the first video participant. A matrix     encoding participant-related gaze relationships is transmitted to at     least one of the participation nodes to apprise a participant of other     participants' attention. Additionally, a reciprocal gaze between a pair     of participants may be indicated, where present.</t>
  </si>
  <si>
    <t>US20220057392</t>
  </si>
  <si>
    <t>Diagnosis; Testing</t>
  </si>
  <si>
    <t>METHODS AND COMPOSITIONS FOR EXOSOME-BASED DIAGNOSTICS AND DIAGNOSIS OF     DISEASE</t>
  </si>
  <si>
    <t>17/409966</t>
  </si>
  <si>
    <t>VLACHAKIS; Dimitrios; (Houston, TX); Neblett; Charles; (Houston, TX); Kasti; Maria; (Houston, TX)</t>
  </si>
  <si>
    <t>G01N 2800/7095 20130101;  G01N 2001/1056 20130101;  B01L 2300/0681 20130101;  G01N 1/4077 20130101;  G01N 2001/1427 20130101;  B01L 3/508 20130101;  G01N 33/54388 20210801;  G01N 2001/4088 20130101</t>
  </si>
  <si>
    <t>The invention encompasses an innovative system for exosome-based     diagnostics of infection and/or inflammation that is based on a novel     exosome isolation kit from biological fluids such as urine and saliva in     the form of a syringe, and a rapid diagnostic test device that     simultaneously detects exosomal biomarkers based on a quantitative assay     and disease (infection/inflammation) biomarkers.</t>
  </si>
  <si>
    <t>US20220057391</t>
  </si>
  <si>
    <t>DIAGNOSTIC AND THERAPEUTIC FOR THE IDENTIFICATION AND TREATMENT OF     SARS-CoV-2</t>
  </si>
  <si>
    <t>17/409925</t>
  </si>
  <si>
    <t>G01N 33/54388 20210801;  G01N 2333/165 20130101;  G01N 2469/10 20130101</t>
  </si>
  <si>
    <t>The present invention provides methods and diagnostic kits for the     detection or prediction of SARS-CoV-2. More particularly, the present     invention provides for the diagnosis of SARS-CoV-2 by detecting in a     human biological sample inhibition of protein translation by the     phosphorylation of the eukaryotic initiation factor-2.alpha.     (eIF-2.alpha.), and the formation of stress granules (SGs) known to be     affected by Sars-CoV-2</t>
  </si>
  <si>
    <t>US20220057390</t>
  </si>
  <si>
    <t>SALIVA TESTING KIT USING NANO CARBON IMMUNOCHROMATOGRAPHY</t>
  </si>
  <si>
    <t>17/407735</t>
  </si>
  <si>
    <t>BIOPOLARIX SCIENTIFIC, LLC</t>
  </si>
  <si>
    <t>BIOPOLARIX SCIENTIFIC</t>
  </si>
  <si>
    <t>Hu; Xiaolong; (Shanghai, CN); Zheng; Hong; (Plano, TX); Nogura; Fahmi; (Hickoryhills, IL)</t>
  </si>
  <si>
    <t>G01N 33/587 20130101;  G01N 33/54388 20210801;  G01N 2469/10 20130101;  G01N 2800/26 20130101;  G01N 2333/165 20130101;  G01N 33/56983 20130101;  G01N 2470/06 20210801</t>
  </si>
  <si>
    <t>Biological assay systems, methods, and devices for detecting the presence     of the virus responsible for COVID-19 (sars-cov-2) in the saliva of an     individual. The systems, methods, and devices utilize immunoassay     technology for detecting the presence of antigen in a sample, such as the     virus responsible for COVID-19 in the saliva of an individual. The     immunoassay technology in accordance with embodiments of the systems,     methods, and devices use nano-carbon, or carbon nanoparticles attached to     biorecognition/detector molecules, such as antibodies.</t>
  </si>
  <si>
    <t>US20220057304</t>
  </si>
  <si>
    <t>METHODS TO OBTAIN A BIOLOGICAL SAMPLE REPRESENTATIVE OF A PASSENGER CABIN     ON AN AIRCRAFT AUTOMATICALLY FROM THE COLLECTOR DEVICE</t>
  </si>
  <si>
    <t>17/518356</t>
  </si>
  <si>
    <t>Gonzalez; Arnau Castillo; (Maarssen, NL); Surawski; Eric; (Hebron, CT); Gonzalez; Vanessa; (Palma de Mallorca, ES); Murcia; Antonio Martinez; (Elche, ES)</t>
  </si>
  <si>
    <t>G01N 1/2205 20130101;  G01N 1/2247 20130101</t>
  </si>
  <si>
    <t>A system for monitoring aircraft air including a collector for collecting     particulate samples positioned within at least one of an outlet flow path     or a recirculation flow path, at least one of an outflow valve positioned     in the outlet flow path downstream from the collector, and a retrieval     device for retrieving the collector from the outflow valve.</t>
  </si>
  <si>
    <t>US20220057303</t>
  </si>
  <si>
    <t>METHODS OF OBTAINING A BIOLOGICAL SAMPLE REPRESENTATIVE OF A PASSENGER     CABIN ON AN AIRCRAFT USING AN AIR CYCLONIC COLLECTOR VIA A CABIN EXHAUST     VALVE</t>
  </si>
  <si>
    <t>17/518325</t>
  </si>
  <si>
    <t>Surawski; Eric; (Hebron, CT); Crawford; Kenneth; (Manchester, CT); Army; Donald E.; (Enfield, CT); Walsh; Kevin P.; (Enfield, CT); Shea; Brian R.; (Windsor, CT); Ho; Tony; (Glastonbury, CT)</t>
  </si>
  <si>
    <t>A method of monitoring aircraft including removing a conical collector     through a cabin exhaust valve of the aircraft wherein ambient cabin air     has been driven from the cabin over a reagent fluid within the conical     collector in order to collect a representative sample of the cabin air     within the reagent fluid.</t>
  </si>
  <si>
    <t>US20220057274</t>
  </si>
  <si>
    <t>PATCH TYPE THERMOMETER AND APPLICATION PRODUCT FOR SAME</t>
  </si>
  <si>
    <t>16/952270</t>
  </si>
  <si>
    <t>NBST CO., LTD.</t>
  </si>
  <si>
    <t>NBST</t>
  </si>
  <si>
    <t>CHO; In Suk; (Pyeongtaek-si, KR); KIM; Gwang Ho; (Pyeongtaek-si, KR); LEE; In sook; (Pyeongtaek-si, KR); KIM; Seok Hyoung; (Pyeongtaek-si, KR)</t>
  </si>
  <si>
    <t>C09D 11/50 20130101;  A61B 5/01 20130101;  A61B 5/6833 20130101;  A61B 5/68335 20170801;  A61B 2503/06 20130101;  A61B 2503/08 20130101;  G01K 11/16 20130101;  A61B 2503/04 20130101</t>
  </si>
  <si>
    <t>The present disclosure relates to a patch-type thermometer using a     thermochromic ink, and particularly to, a patch-type thermometer capable     of accurately measuring a body temperature even in special environments.</t>
  </si>
  <si>
    <t>US20220057094</t>
  </si>
  <si>
    <t>DEVICE AND SYSTEM FOR CREATING AIR CAPSULES AROUND PASSENGERS IN VEHICLES     AND METHOD THEREOF</t>
  </si>
  <si>
    <t>17/039058</t>
  </si>
  <si>
    <t>HCL TECHNOLOGIES LIMITED</t>
  </si>
  <si>
    <t>HCL</t>
  </si>
  <si>
    <t>Chinnappa Reddy; Ganga Reddy; (BANGALORE, IN); Srinivasa; Vinod Kumar; (BANGALORE, IN); Mohan; Manu; (BANGALORE, IN)</t>
  </si>
  <si>
    <t>A device, system, and method for creating air capsules enclosing     passengers in vehicles is disclosed. The device for creating air capsules     enclosing passengers in vehicles includes an attachment portion. The     attachment portion is removably attached to a gasper within a vehicle and     receives airflow from an outlet port of the gasper. The device further     includes a diffuser portion integrated with the attachment portion. The     diffuser portion is configured to intake the airflow from the attachment     portion. Further, the diffuser portion includes a flow control portion     configured to generate at least one airflow stream from the airflow. A     first airflow stream of the at least one airflow stream creates an air     capsule configured to enclose a passenger in the vehicle.</t>
  </si>
  <si>
    <t>US20220056727</t>
  </si>
  <si>
    <t>THE PRIVACY SCREEN</t>
  </si>
  <si>
    <t>16/999857</t>
  </si>
  <si>
    <t>LEWCHUK JAMES</t>
  </si>
  <si>
    <t>Lewchuk; James; (Palm Harbor, FL)</t>
  </si>
  <si>
    <t>E04H 15/34 20130101;  E04H 17/16 20130101</t>
  </si>
  <si>
    <t>An illustrated view of an exemplary privacy screen for providing privacy     in an outdoor location is presented. The privacy screen is easily     transportable and requires little instruction. The privacy screen further     provides protection and reduction of COVID-19, as well as exposure to     other infectious airborne diseases. The privacy screen protects a     person's selected area from crowed encroachment from others as well as     low surface airborne debris.</t>
  </si>
  <si>
    <t>US20220056717</t>
  </si>
  <si>
    <t>Visiting Booth</t>
  </si>
  <si>
    <t>16/996290</t>
  </si>
  <si>
    <t>ANDARE MARKETING LLC</t>
  </si>
  <si>
    <t>ANDARE</t>
  </si>
  <si>
    <t>Quagliana Parker; Catherine A.; (Plano, TX)</t>
  </si>
  <si>
    <t>E04H 1/1205 20130101;  E04B 1/34321 20130101;  E04B 1/34869 20130101;  E04H 3/08 20130101;  E04H 3/10 20130101</t>
  </si>
  <si>
    <t>A visiting booth for safe social interaction. The visiting booth having     an opposing pair of parallel end walls, an opposing pair of parallel side     walls, and a partition. The partition having a partition window, wherein     the partition divides the visiting booth into a first visiting area and a     second visiting area. Alternatively, an end wall configured to couple to     a standing structure. Alternatively, the visiting booth configured with a     first end wall, a second end wall, a first set of opposing pair of     parallel side walls, second set of opposing pair of parallel side walls,     and a partition. A second end of the second set of opposing pair of     parallel side walls coupled to a standing structure. The visiting booth     having a partition including a partition window. The partition coupled to     a second end of the first set of opposing pair of parallel side walls to     the standing structure.</t>
  </si>
  <si>
    <t>US20220056681</t>
  </si>
  <si>
    <t>MOBILE HANDWASHING SYSTEM</t>
  </si>
  <si>
    <t>17/404103</t>
  </si>
  <si>
    <t>ILLINOIS TOOL WORKS INC.</t>
  </si>
  <si>
    <t>ILLINOIS TOOL WORKS</t>
  </si>
  <si>
    <t>FIRCHAU; Dennis; (Baden-Baden, DE); JUNKER; Marco; (Offenburg, DE)</t>
  </si>
  <si>
    <t>A mobile handwashing system (1) includes a freestanding supply station     (2) and at least one freestanding handwashing station (3). The supply     station (2) includes a freshwater tank (4), which is fluidly connected or     connectable to the at least one handwashing station (3) via a first     freshwater supply line (5) and is fluidly connected or connectable to a     freshwater supply system via a second freshwater supply line (6). The     supply station (2) includes a wastewater or graywater tank (7) and/or a     wastewater pump (23) which is fluidly connected or connectable to the at     least one handwashing station (3) via a first wastewater line (8) and is     fluidly connected or connectable to a wastewater disposal or wastewater     treatment system via a second wastewater line (9).</t>
  </si>
  <si>
    <t>US20220056542</t>
  </si>
  <si>
    <t>Rapid Viral Diagnostic Test</t>
  </si>
  <si>
    <t>17/401079</t>
  </si>
  <si>
    <t>NANTCELL, INC.</t>
  </si>
  <si>
    <t>NANTCELL</t>
  </si>
  <si>
    <t>GARB N; Hermes; (Los Angeles, CA); NIAZI; Kayvan; (Agoura Hills, CA); RABIZADEH; Shahrooz; (Culver City, CA); SOON-SHIONG; Patrick; (Los Angeles, CA)</t>
  </si>
  <si>
    <t>C12Q 1/701 20130101</t>
  </si>
  <si>
    <t>A method for detecting severe acute respiratory syndrome coronavirus 2     (SARS-CoV-2) in a sample is provided. The method includes contacting at     least two pairs of primers with a complementary deoxyribonucleic acid     (cDNA) derived from SARS-CoV-2 ribonucleic acid (RNA) in the sample;     amplifying a portion of the cDNA by quantitative loop-mediated isothermal     amplification (qLAMP) in the presence of a marker that exhibits a     detectable signal as the cDNA is amplified, wherein the portion of the     cDNA comprises a portion of non-structural protein 3 (Nsp3)-gene cDNA, a     portion of S-gene cDNA, a portion of a 3' end of N-gene cDNA, or     combinations thereof; periodically measuring the detectable signal during     the isothermally amplifying; and determining at least one of an     amplification threshold breach or an amplification rate corresponding to     levels of the detectable signal versus amplification time. Treatment     methods, reaction mixtures, and assay kits are also provided.</t>
  </si>
  <si>
    <t>US20220056510</t>
  </si>
  <si>
    <t>ENZYMATIC TABLET AND USES THEREOF</t>
  </si>
  <si>
    <t>17/406730</t>
  </si>
  <si>
    <t>Rothberg; Jonathan M.; (Miami Beach, FL)</t>
  </si>
  <si>
    <t>The disclosure relates, in some aspects, to compositions and methods for     amplifying nucleic acids. In some embodiments, the disclosure describes     solid compositions comprising a first enzyme (e.g., a reverse     transcriptase) and a second enzyme (e.g., a polymerase), and optionally a     third enzyme (e.g., a Uracil-DNA glycosylase), where each enzyme is under     the control of a molecular switch. In some embodiments, solid     compositions described by the disclosure allow for single-tube,     temperature-controlled lysis, decontamination, and amplification of     nucleic acid s (e.g., DNA or RNA) from a biological sample without the     need to add additional reaction components or transfer the reaction     mixture from one container to another.</t>
  </si>
  <si>
    <t>US20220056429</t>
  </si>
  <si>
    <t>ANGIOTENSIN-CONVERTING ENZYME 2 (ACE2) IMMUNOADHESIN MICROBODY</t>
  </si>
  <si>
    <t>17/405104</t>
  </si>
  <si>
    <t>Landau; Nathaniel R.; (New York, NY); Tada; Takuya; (New York, NY)</t>
  </si>
  <si>
    <t>Provided are polypeptides comprising an enzymatically inactive     angiotensin-converting enzyme 2 (ACE2) ectodomain, a segment of an     immunoglobulin Fc and optionally a purification tag. A cDNA or an     expression vector encoding the polypeptide along with a method of     culturing cells comprising the expression vector is also provided. The     disclosure also provides a method for prophylaxis or therapy for a     Coronavirus infection by administering the polypeptide to an individual     in need thereof.</t>
  </si>
  <si>
    <t>US20220056374</t>
  </si>
  <si>
    <t>ORGANIC ACID BASED ANTIMICROBIAL FORMULATIONS CONTAINING EXTREMELY LOW     LEVELS OF SURFACTANT</t>
  </si>
  <si>
    <t>17/406341</t>
  </si>
  <si>
    <t>THE CLOROX COMPANY</t>
  </si>
  <si>
    <t>THE CLOROX</t>
  </si>
  <si>
    <t>GUO; Xuanrong; (Pleasanton, CA); EKERDT; Barbara; (Pleasanton, CA); SCHEUING; David R.; (Danville, CA); FALK; Nancy A.; (Pleasanton, CA)</t>
  </si>
  <si>
    <t>The present invention is for an acidic cleaning composition which has     excellent cleaning performance, low toxicity and good antimicrobial     efficacy. The inventive acidic cleaning compositions are capable of     sanitizing or disinfecting a variety of hard surfaces. The inventive     acidic cleaning compositions can take a variety of forms, such as:     disinfecting wipes, all-purpose disinfecting sprays, kitchen cleaners,     bathroom cleaners, toilet cleaners, etc. The compositions may meet EPA     DfE requirements, EPA category III or IV requirements, and/or be safe for     use on food contact surfaces without rinsing. The compositions may     include citric acid, an anionic surfactant, a non-volatile glycol     solvent, a fatty acid, and water. The compositions may be free of other     sanitizing acids, quaternary ammonium compounds, biguanides, peroxides,     hypohalites, etc., and have a pH of less than 2.5. The composition may     provide sanitization or disinfection against a target microbe within 5     minutes or less, or 4 minutes or less.</t>
  </si>
  <si>
    <t>US20220056371</t>
  </si>
  <si>
    <t>3-IN ONE FABRIC CONDITIONERS AND SOFTENERS COMPRISING ANTIMICROBIAL AGENTS</t>
  </si>
  <si>
    <t>17/404994</t>
  </si>
  <si>
    <t>C11D 3/3742 20130101;  C11D 1/72 20130101;  C11D 3/48 20130101;  C11D 3/30 20130101;  C11D 1/62 20130101;  C11D 3/0015 20130101;  C11D 11/0017 20130101;  C11D 1/835 20130101</t>
  </si>
  <si>
    <t>Fabric treatment compositions are described that provide three functions     to the textiles to which they are applied: sanitizing (killing microbes     therein or thereon), conditioning or softening, and providing a residual     antimicrobial effect to prevent immediate reinfection after treatment.     Such trifunctional, or three-in-one, fabric treatments employing     organosilane compounds, nonionic and cationic surfactants, a botanical     (Thymol) and cationic fabric conditioners, and their use as microbicidal     and microbiostatic agents, and fabric conditioners and softeners are also     described.</t>
  </si>
  <si>
    <t>US20220056370</t>
  </si>
  <si>
    <t>ACIDIC CLEANING AND DISINFECTING COMPOSITIONS</t>
  </si>
  <si>
    <t>17/406461</t>
  </si>
  <si>
    <t>FALK; Nancy A.; (Pleasanton, CA); SCHEUING; David R.; (Danville, CA); DAY; Heather L.; (Pleasanton, CA); CHEN; Szu-Ying; (Pleasanton, CA); PARRISH; Bryan K.; (Pleasanton, CA); FRAUSTO; Fanny; (Pleasanton, CA); GHARAKHANIAN; Eric G.; (Pleasanton, CA); KING; William; (Pleasanton, CA)</t>
  </si>
  <si>
    <t>C11D 1/143 20130101;  C11D 11/0023 20130101;  C11D 3/2044 20130101;  C11D 3/2086 20130101;  C11D 3/50 20130101;  C11D 3/48 20130101;  C11D 1/22 20130101;  C11D 3/43 20130101;  C11D 1/662 20130101;  C11D 3/2079 20130101;  C11D 1/75 20130101;  C11D 17/049 20130101;  C11D 1/83 20130101</t>
  </si>
  <si>
    <t>The present invention is for an acidic cleaning composition which has     excellent cleaning performance, low toxicity and good antimicrobial     efficacy. The inventive acidic cleaning compositions are capable of     sanitizing or disinfecting a variety of hard surfaces. The inventive     acidic cleaning compositions can take a variety of forms, such as:     disinfecting wipes, all-purpose disinfecting sprays, kitchen cleaners,     bathroom cleaners, toilet cleaners, etc. The inventive acidic cleaning     compositions have good cleaning properties and low residue.</t>
  </si>
  <si>
    <t>US20220056154</t>
  </si>
  <si>
    <t>Bispecific Antibody Compositions and Methods for Treating COVID-19</t>
  </si>
  <si>
    <t>17/499030</t>
  </si>
  <si>
    <t>C07K 2317/31 20130101;  C07K 16/2803 20130101;  C12N 15/86 20130101;  C07K 2317/24 20130101;  C07K 16/40 20130101;  C07K 16/468 20130101</t>
  </si>
  <si>
    <t>This invention provides a bispecific antibody that (i) specifically binds     to the extracellular portion of human angiotensin converting enzyme 2     (hACE2); (ii) specifically binds to the extracellular portion of human     TMPRSS2 (hTMPRSS2); (iii) does not significantly inhibit the ability of     hACE2 to cleave angiotensin II and/or a synthetic MCA-based peptide; and     (iv) specifically inhibits the entry into hACE2.sup.+/hTMPRSS2.sup.+     human cells of a pseudovirus bearing SARS-CoV-2 S protein. This invention     also provides related pharmaceutical compositions, recombinant nucleic     acid molecules, vectors, AAV particles, therapeutic and prophylactic     methods, and kits.</t>
  </si>
  <si>
    <t>US20220056153</t>
  </si>
  <si>
    <t>ACE2-Targeted Compositions and Methods for Treating COVID-19</t>
  </si>
  <si>
    <t>17/499012</t>
  </si>
  <si>
    <t>This invention provides a monoclonal antibody that (i) specifically binds     to the extracellular portion of human angiotensin converting enzyme 2     (hACE2); (ii) specifically inhibits binding of SARS-CoV-2 to the     extracellular portion of hACE2; and (iii) does not significantly inhibit     the ability of hACE2 to cleave angiotensin II and/or a synthetic     MCA-based peptide. This invention also provides related recombinant AAV     vectors, recombinant AAV particles, compositions, prophylactic and     therapeutic methods, and kits.</t>
  </si>
  <si>
    <t>US20220056152</t>
  </si>
  <si>
    <t>ANTI-HUMAN NICOTINAMIDE PHOSPHORIBOSYLTRANSFERASE (NAMPT) ANTIBODIES</t>
  </si>
  <si>
    <t>17/498091</t>
  </si>
  <si>
    <t>AQUALUNG THERAPEUTICS</t>
  </si>
  <si>
    <t>GARCIA; JOE G.N.; (TUCSON, AZ); MACCANN; DARRAGH; (CO. DERRY, IE)</t>
  </si>
  <si>
    <t>A61P 11/00 20180101;  A61K 2039/505 20130101;  C07K 2317/76 20130101;  C07K 2317/34 20130101;  C07K 2317/24 20130101;  C07K 16/40 20130101;  A61P 31/14 20180101;  C07K 2317/565 20130101</t>
  </si>
  <si>
    <t>Anti-nicotinamide phosphoribosyltransferase (NAMPT) antibodies, or     antigen binding fragments thereof, are described, as well as methods for     treating a subject having a (NAMPT)-associated local and/or systemic     inflammatory disorder.</t>
  </si>
  <si>
    <t>US20220056119</t>
  </si>
  <si>
    <t>Methods for Preventing and Treating Cardiac Dysfunction and COVID-19 with     Activin A Antagonists</t>
  </si>
  <si>
    <t>17/407012</t>
  </si>
  <si>
    <t>REGENERON PHARMA</t>
  </si>
  <si>
    <t>Glass; David; (Cortlandt Manor, NY); Macdonnell; Scott; (New Milford, CT); Megna; Jake; (Pine Bush, NY); Morton; Lori; (Chappaqua, NY)</t>
  </si>
  <si>
    <t>The present invention provides methods for preventing and treating     cardiac dysfunction, including cardiomyopathy and heart failure. The     methods of the invention feature the administration of an antagonist of     Activin A, e.g., a therapeutically effective amount of an antibody that     binds to and reduces or neutralizes the activity of human Activin A. The     methods of the invention are useful in preventing and treating cardiac     disease from multiple causes, including viral disease, e.g., COVID-19.</t>
  </si>
  <si>
    <t>US20220056112</t>
  </si>
  <si>
    <t>MONOCLONAL ANTIBODIES AGAINST SARS-CoV-2 NUCLEOCAPSID PROTEIN AND USES     THEREOF</t>
  </si>
  <si>
    <t>17/399367</t>
  </si>
  <si>
    <t>YUROGEN BIOSYSTEMS LLC</t>
  </si>
  <si>
    <t>YUROGEN BIOSYSTEMS</t>
  </si>
  <si>
    <t>WU; Hai; (Worcester, MA); LOU; Yang; (Worcester, MA)</t>
  </si>
  <si>
    <t>C07K 2317/565 20130101;  C12Y 111/01007 20130101;  G01N 33/543 20130101;  G01N 2333/165 20130101;  C12N 9/0065 20130101;  C07K 16/10 20130101;  C07K 19/00 20130101;  C07K 2317/24 20130101</t>
  </si>
  <si>
    <t>The disclosure provides rabbit monoclonal antibodies against the     nucleocapsid protein of SARS-CoV-2 and uses thereof. The antibody     comprises: a V.sub.H CDR1 selected from the group consisting of SEQ ID     NO: 1-7; a V.sub.H CDR2 selected from the group consisting SEQ ID NO:     8-14; a V.sub.H CDR3 selected from the group consisting of SEQ ID NO:     15-21; a V.sub.L CDR1 selected from the group consisting SEQ ID NO:     22-28; a V.sub.L CDR2 selected from the group consisting of SEQ ID NO:     29-35; and a V.sub.L CDR3 selected from the group consisting of SEQ ID     NO: 36-42. The antibodies can be used for a rapid test or screening of     SARS-CoV-2 infection and detecting SARS-CoV-2 nucleocapsid protein.</t>
  </si>
  <si>
    <t>US20220056111</t>
  </si>
  <si>
    <t>MONOCLONAL ANTIBODY AGAINST SPIKE S1 PROTEIN OF SARS-CoV-2 AND USE     THEREOFOF</t>
  </si>
  <si>
    <t>17/399364</t>
  </si>
  <si>
    <t>The disclosure provides rabbit monoclonal antibodies against the spike S1     protein of SARS-CoV-2 and uses thereof. The antibody comprises: a V.sub.H     CDR1 selected from the group consisting of SEQ ID NO: 1-7; a V.sub.H CDR2     selected from the group consisting SEQ ID NO: 8-14; a V.sub.H CDR3     selected from the group consisting of SEQ ID NO: 15-21; a V.sub.L CDR1     selected from the group consisting SEQ IDN NO: 22-28; a V.sub.L CDR2     selected from the group consisting of SEQ ID NO: 29-35; and a V.sub.L     CDR3 selected from the group consisting of SEQ ID NO: 36-42. The     antibodies can be used for a rapid test or screening of SARS-CoV-2     infection. The antibodies can also be used for treating SARS-CoV-2     infection.</t>
  </si>
  <si>
    <t>US20220055752</t>
  </si>
  <si>
    <t>HEALTH MONITORING SEATING SYSTEM</t>
  </si>
  <si>
    <t>17/399186</t>
  </si>
  <si>
    <t>GOODRICH AEROSPACE SERIVCES PRIVATE LIMITED</t>
  </si>
  <si>
    <t>GOODRICH AEROSPACE SERIVCES PRIVATE</t>
  </si>
  <si>
    <t>Subramanian; Sanith Kurumpilavu; (Chikkabanavara, IN); Bathla; Dharamveer Surya Prakash; (Sonepat, IN); Mandava; Raja; (Bangalore, IN); Sadashivaiah; Nagesh; (Kolar, IN); Vishwannathan; Vishwanand; (Bangalore, IN)</t>
  </si>
  <si>
    <t>B64D 11/00155 20141201;  G06V 40/10 20220101;  B64D 11/0646 20141201;  A61B 5/024 20130101;  A61B 5/02055 20130101</t>
  </si>
  <si>
    <t>A system includes a passenger seat. A biometric sensor is configured to     monitor at least one biometric of a passenger seated in the passenger     seat. A controller is operatively connected to control the biometric     sensor and to provide output indicative of a health condition of the     passenger based on the biometric.</t>
  </si>
  <si>
    <t>US20220055036</t>
  </si>
  <si>
    <t>TRAY FOR PARALLEL PROCESSING OF MULTIPLE TEST DEVICES</t>
  </si>
  <si>
    <t>17/405115</t>
  </si>
  <si>
    <t>Tycon; Michael August; (Scottsdale, AZ)</t>
  </si>
  <si>
    <t>A cartridge pre-processing device system and method receives immunoassay     lateral flow assay test cartridges for development prior to submitting     the cartridge for assay/analysis. The cartridge pre-processing device     supports high assay throughput with reduced operator burden by automating     device pre-processing timing steps without locking-down the reader that     is used to perform the assay/analysis. The pre-processing device is     operated in a walk-a-way mode. The pre-processing device is separate from     the assay cartridge reader and is capable of automatically timing the     development of an assay cartridge with minimal to no operator oversight.     Additionally, the device disclosed herein is able to alert the operator     when assay development is complete and when the assay has developed in     excess of a predetermined flex-time associated with an individual     cartridge.</t>
  </si>
  <si>
    <t>US20220054986</t>
  </si>
  <si>
    <t>Filtration Films Having Dense Packing of Pores of Uniform Size and     Distribution, and Tools and Methods for Their Formation</t>
  </si>
  <si>
    <t>17/379882</t>
  </si>
  <si>
    <t>MICROCONTINUUM, INC.</t>
  </si>
  <si>
    <t>MICROCONTINUUM</t>
  </si>
  <si>
    <t>Slafer; W. Dennis; (Arlington, MA); Wolf; David E.; (Maynard, MA); Kaufman; Lawrence A.; (Wayland, MA); Martin; B. Diane; (Somerville, MA)</t>
  </si>
  <si>
    <t>Porous filters having uniform pore size and close packing density are     described, along with methods and apparatus for making the porous filters     based on nanopatterning. One method includes applying a polymeric liquid     to a mold consisting of an array of posts having a desired pore size and     distribution. Solidification of polymeric membrane followed by separation     from the mold produces a polymer membrane with a predetermined spaced     array of pores. A pre-filter film can also be bonded with the membrane     during formation to provide increased mechanical support and filtration     of larger particles on the input side of the filter. Other process     variants are described, including methods for incorporating additional     functionalities to the filter.</t>
  </si>
  <si>
    <t>US20220054964</t>
  </si>
  <si>
    <t>FILTER MEDIA STRUCTURES</t>
  </si>
  <si>
    <t>17/408131</t>
  </si>
  <si>
    <t>ASCEND PERFORMANCE MATERIALS OPERATIONS LLC</t>
  </si>
  <si>
    <t>ASCEND PERFORMANCE MATERIALS OPERATIONS</t>
  </si>
  <si>
    <t>GOPAL; Vikram; (Houston, TX); DEAN; Natasha; (Houston, TX); ORTEGA; Albert; (Houston, TX); YUNG; Wai-shing; (Houston, TX); HAO; Ping; (Houston, TX)</t>
  </si>
  <si>
    <t>B01D 39/1623 20130101;  B01D 2239/0442 20130101;  B01D 2239/0435 20130101;  B01D 46/0032 20130101;  B01D 2239/1233 20130101;  B01D 2275/10 20130101;  B01D 2239/0618 20130101;  B01D 46/0028 20130101</t>
  </si>
  <si>
    <t>Provided herein are filter media structures having antimicrobial and/or     antiviral properties. In particular, the present disclosure describes     filter media structures having a first layer with an electret web and a     second layer that demonstrates biological-reducing properties. In some     cases, the first layer is formed from polypropylene (e.g., spunbond) and     the second layer is formed from a plurality of fibers of a polyamide     composition (e.g., meltblown).</t>
  </si>
  <si>
    <t>US20220054929</t>
  </si>
  <si>
    <t>Face Guard</t>
  </si>
  <si>
    <t>17/410986</t>
  </si>
  <si>
    <t>Craig; Seden; (Baltimore, MD); Campbell; Derek; (Baltimore, MD); Blakely; Kyle; (Baltimore, MD)</t>
  </si>
  <si>
    <t>A face guard is disclosed herein. The face guard is configured for a     human user having a face with a mouth and nose. The face guard includes a     mouthpiece configured for retention in the mouth of the human user. The     face guard also includes a face mask coupled to the mouthpiece, wherein     the face mask configured to cover the mouth and nose of the human user.</t>
  </si>
  <si>
    <t>US20220054867</t>
  </si>
  <si>
    <t>SMART MASKS</t>
  </si>
  <si>
    <t>17/515330</t>
  </si>
  <si>
    <t>XUPERMASK OPCO, LLC</t>
  </si>
  <si>
    <t>XUPERMASK OPCO</t>
  </si>
  <si>
    <t>Adams; William; (Los Angeles, CA)</t>
  </si>
  <si>
    <t>B01D 46/2411 20130101;  A61M 2021/0016 20130101;  B01D 46/0086 20130101;  B01D 46/46 20130101;  A62B 9/003 20130101;  B01D 46/0043 20130101;  B01D 46/446 20130101;  A61M 21/02 20130101;  A61M 15/0001 20140204;  F21W 2111/00 20130101;  F21V 33/0064 20130101;  B01D 2265/023 20130101;  B01D 2273/30 20130101;  F21Y 2115/10 20160801;  A62B 9/006 20130101;  B01D 46/009 20130101;  A62B 23/02 20130101;  B01D 46/0038 20130101;  A41D 13/11 20130101;  A62B 18/003 20130101</t>
  </si>
  <si>
    <t>A smart mask includes a face covering, an attachment member, one or more     sensors, and a controller. The face covering is configured to cover a     face area of a wearer. The attachment member is configured to attach the     face covering onto the face area of the wearer. The one or more sensors     comprises an air quality sensor configured to obtain first data     associated with nearby air quality or a breathing pattern sensor     configured to obtain second data associated with the wearer's breathing     pattern. The controller is configured to process the first data     associated with nearby air quality to identify a current air quality, or     process the second data obtained by the breathing pattern. In response to     determining that the current air quality is worse than a predetermined     threshold, or identifying a particular breathing pattern, the controller     is configured to generate a notification, notifying the wearer.</t>
  </si>
  <si>
    <t>US20220054696</t>
  </si>
  <si>
    <t>Magnetically Attachable UV LED Sanitizer System</t>
  </si>
  <si>
    <t>16/996901</t>
  </si>
  <si>
    <t>A magnetically attachable UV LED sanitizer system for indoor spaces     having an outer shell assembly consisting of a rectangular cuboid outer     machine shell, a front plate, and a back plate shaped in such a manner so     as to fit inside an air conditioning duct register, diffuser or grille; a     transparent cover, said cover allowing for the transmission of germicidal     ultraviolet light frequencies; an ultraviolet lamp board; a motion     detector capable of detecting movement of persons in an indoor space; at     least one processor; a power supply; a rechargeable battery; a wireless     network card; a magnet assembly capable of adhering the system to     ferromagnetic surfaces such as air conditioning ducts, registers,     diffusers and grilles. The system is programmable to emit germicidal     ultraviolet radiation to sanitize air traveling to, from and through air     conditioning ducts. The device is networkable with devices such as     computers, smartphones and tablets.</t>
  </si>
  <si>
    <t>US20220054690</t>
  </si>
  <si>
    <t>Sanitizing steam room</t>
  </si>
  <si>
    <t>16/995861</t>
  </si>
  <si>
    <t>Wallach, Alon; Etgar Eisenstadt, Michael</t>
  </si>
  <si>
    <t>WALLACH ALON</t>
  </si>
  <si>
    <t>Wallach; Alon; (Ramat Gan, IL); Etgar Eisenstadt; Michael; (Kfar Saba, IL)</t>
  </si>
  <si>
    <t>A steam room for sanitizing people's external body parts and clothes, but     also their breathing airways and respiratory tract, to reduce viral load     and thereby mitigate the likelihood of spreading or contracting Viral     contamination. Steam room has precise temperature and relative humidity     control of a heater and mist generator, in which the mist water molecules     contain an accurate concentration of a Chlorine or Ethanol based     disinfectant, so that the water vapor or combined air/water mixture in     the room that comes in contact with the sanitized person reaches but does     not surpass the globally permitted concentration of free Chlorine for     swimming pools, dressing rooms and spas. The room has thermally isolated     quick doors allowing rapid entry and exit, and the signaling to guide the     person when to enter, stay and breath, and exit, in the most suitable     timing profile for the application.</t>
  </si>
  <si>
    <t>US20220054687</t>
  </si>
  <si>
    <t>SYSTEM AND METHOD FOR MITIGATING AIRBORNE CONTAMINATION IN CONDITIONED     INDOOR ENVIRONMENTS</t>
  </si>
  <si>
    <t>17/406675</t>
  </si>
  <si>
    <t>MAYO FOUNDATION FOR MEDICAL EDUCATION AND RESEARCH</t>
  </si>
  <si>
    <t>Forzani; Erica; (Mesa, AZ); Pyznar; Gabriel; (Tempe, AZ); Patel; Bhavesh; (Scottsdale, AZ); McKay; Kelly; (Southern Pines, NC)</t>
  </si>
  <si>
    <t>A61L 2/022 20130101;  A61L 2209/212 20130101;  A61L 2/202 20130101;  A61L 2/28 20130101;  A61L 2209/13 20130101;  A61L 2209/111 20130101;  A61L 2/18 20130101;  A61L 2209/14 20130101;  A61L 2209/22 20130101;  A61L 2/24 20130101;  A61L 2209/16 20130101;  A61L 2/23 20130101;  A61L 2/10 20130101</t>
  </si>
  <si>
    <t>A system and method for mitigating airborne contamination in a     conditioned indoor environment utilizes one or more sensing modules     configured to detect presence and/or concentration of particles and/or     aerosols at different locations. A control module employs an artificial     intelligence algorithm to selectively activate at least one mitigation     module utilizing machine learning programmed rules and output signals     from the sensing module(s). The mitigation module(s) are configured to     take one or more actions to reduce presence and/or concentration of     particles and/or aerosols in the conditioned indoor environment.</t>
  </si>
  <si>
    <t>US20220054675</t>
  </si>
  <si>
    <t>AUTOMATIC FAR-UV ENVIRONMENTAL SANITIZATION</t>
  </si>
  <si>
    <t>17/397721</t>
  </si>
  <si>
    <t>UVDEVELOPMENT LLC</t>
  </si>
  <si>
    <t>UVDEVELOPMENT</t>
  </si>
  <si>
    <t>Duncan; Francis P.; (Needham, MA); Arthur; Kevin T.; (Medfield, MA)</t>
  </si>
  <si>
    <t>A system using a Far-UV light source is disclosed for sanitizing an     environment. The light source can be automatically activated based on     environment dimension information, environment usage information, light     source specification information, and/or regulatory compliance     information. Activation of the light source can be further based on     sensor data from the environment, such as occupancy sensor data. The     controller can further monitor and log light source usage, such as to     update an expected remaining lifespan of the light source and generate a     compliance report of light source usage. Activation of the light source     can be further based on the expected remaining lifespan of the light     source. When the expected remaining lifespan of the light source drops     below a threshold, a maintenance prediction alert can be generated to     facilitate maintaining and/or replacing the light source.</t>
  </si>
  <si>
    <t>US20220054674</t>
  </si>
  <si>
    <t>PORTABLE MODULAR SANITIZER FOR THE DISINFECTION OF PRODUCTS FOR PROMPT     DELIVERY</t>
  </si>
  <si>
    <t>17/110812</t>
  </si>
  <si>
    <t>GADOTTI CAR SERRALHERIA LTDA-ME</t>
  </si>
  <si>
    <t>Gadotti Martins; Eduardo; (Extrema, BR)</t>
  </si>
  <si>
    <t>Portable modular sanitizer (10) for disinfecting various products (Pd),     like food packages for delivery, goods in general as commercialized in     supermarkets, drugstores, convenience stores or similar commercial     establishments, as well as letters, objects, packages or any other     inanimate product. The portable modular sanitizer (10) being presented in     the form of a box (11), cabin (12) and backpack (13), all of them by a     timer (TP) to control the time of incidence of light spectra (21) emitted     by UVC lamps (20) installed inside the receptacle (11A), (12A) or (13A)     constituting the sanitizer (10) which UV-C ultraviolet light (21)     germicide effect is the result of a photolytic effect eliminating the RNA     and DNA replication potential, inactivating and eliminating the COVID-19     virus, as well as other virus and bacteria existing on the product (Pd)     surfaces.</t>
  </si>
  <si>
    <t>US20220054669</t>
  </si>
  <si>
    <t>MINIATURIZED DEVICE TO STERILIZE SURFACES FROM COVID-19 AND OTHER VIRUSES</t>
  </si>
  <si>
    <t>17/519695</t>
  </si>
  <si>
    <t>Nxgen Partners IP, LLC</t>
  </si>
  <si>
    <t>NXGEN PARTNERS</t>
  </si>
  <si>
    <t>ASHRAFI; Solyman; (Plano, TX)</t>
  </si>
  <si>
    <t>A system for sterilizing viruses includes beam generation circuitry for     generating a radiating wave having radiating energy therein at a     predetermined frequency therein. A controller controls the radiating wave     generation at the predetermined frequency. The predetermined frequency     equals a resonance frequency of a particular virus. The predetermined     frequency induces a mechanical resonance vibration at the resonance     frequency of the particular virus within the particular virus for     destroying a capsid of the particular virus. Radiating circuitry projects     the radiating wave on a predetermined location to destroy the particular     virus at the predetermined location.</t>
  </si>
  <si>
    <t>US20220054667</t>
  </si>
  <si>
    <t>INVISIBLE SINGLET FILM</t>
  </si>
  <si>
    <t>17/389936</t>
  </si>
  <si>
    <t>A61K 9/7007 20130101;  A01P 1/00 20210801;  A61N 5/0624 20130101;  A01N 25/34 20130101;  A61N 2007/0004 20130101;  A61L 2/088 20130101;  A61L 2/025 20130101;  A61L 2202/26 20130101;  A61K 41/0057 20130101;  A61N 5/062 20130101;  A61N 7/00 20130101;  A61L 2/0076 20130101;  A61K 41/0028 20130101</t>
  </si>
  <si>
    <t>Antimicrobial films for generating singlet oxygen and their use is     described. The antimicrobial films are generally thin films having two     surfaces or faces. The first surface of the film is adhesive. Various     adhesives, including, electrostatic charges, are possible. The second     surface faces in a direction opposite from the first surface. The second     surface of the film emits singlet oxygen when activated by light or     ultrasound. Various photosensitizers can be incorporated onto the second     surface of the films for generating the singlet oxygen. The singlet     oxygen and other radical species generated from the antimicrobial films     diffuses out from and in proximity to the films to form a layer or cloud     of singlet oxygen at a concentration sufficient to inactivate microbial     particles, e.g., viruses and other pathogens, that come within the     singlet oxygen layer to provide a protective zone against microbial     particles.</t>
  </si>
  <si>
    <t>US20220054665</t>
  </si>
  <si>
    <t>DISINFECTION ASSEMBLIES</t>
  </si>
  <si>
    <t>17/375766</t>
  </si>
  <si>
    <t>Talakadu; Madhu; (Mysuru, IN)</t>
  </si>
  <si>
    <t>A61L 2202/11 20130101;  A61L 2202/14 20130101;  A61L 2202/122 20130101;  A61L 2202/15 20130101;  A61L 2/24 20130101;  A61L 2/0047 20130101;  A61L 2/0088 20130101;  A61L 2202/121 20130101</t>
  </si>
  <si>
    <t>A disinfection assembly for a person includes a chamber housing defining     a floor area, an entry, an exit and an interior space between the entry     and the exit. At least one of a UV light emitter or an atomization nozzle     is positioned within the interior space. At least one platform is     positioned and a sensor operatively coupled to the platform. A method for     disinfecting a person in a disinfection assembly includes triggering at     least one sensor in a disinfection chamber housing. The method includes     at least one of emitting a UV light with a UV light emitter, or spraying     a disinfection fluid from an atomization nozzle for a stipulated     duration. The method includes stopping at least one of the emitting or     the spraying after the stipulated duration. The method includes opening     an exit door to permit a person to exit the disinfection chamber housing     after the stipulated duration.</t>
  </si>
  <si>
    <t>US20220054629</t>
  </si>
  <si>
    <t>NUCLEIC ACID BASED VACCINE AGAINST MIDDLE EAST RESPIRATORY     SYNDROME-CORONAVIRUS</t>
  </si>
  <si>
    <t>17/230383</t>
  </si>
  <si>
    <t>KING ABDULAZIZ UNIVERSITY</t>
  </si>
  <si>
    <t>HASHEM; Anwar M.; (Jeddah, SA)</t>
  </si>
  <si>
    <t>C12N 15/62 20130101;  A61K 2039/6031 20130101;  A61K 39/12 20130101;  A61P 31/14 20180101;  C12N 2770/20022 20130101;  A61K 39/215 20130101;  C12N 2770/20071 20130101;  C07K 14/165 20130101;  C12N 2770/20034 20130101;  C07K 14/005 20130101;  C07K 2319/03 20130101;  C07K 14/70575 20130101</t>
  </si>
  <si>
    <t>An immunogenic CD40-targeted trimeric MERS-CoV S1 fusion polypeptide as     well as a corresponding polynucleotide encoding it and its use for safely     inducing immune responses directed against MERS-CoV without inducing     vaccine associated respiratory pathologies associated with non-targeted     vaccines.</t>
  </si>
  <si>
    <t>US20220054628</t>
  </si>
  <si>
    <t>DEVELOPMENT OF AN EDIBLE VACCINE</t>
  </si>
  <si>
    <t>16/997313</t>
  </si>
  <si>
    <t>SOHRAB; Sayed Sartaj; (Jeddah, SA); ASHAR; Esam Ibraheem Ahmed; (Jeddah, SA); ELKAFRAWY; Sherif Aly Abdelkhalek; (Jeddah, SA); Abdelhadi; Ayman Talaat Abbas; (Jeddah, SA); RYBICKI; Edward P.; (Jeddah, SA); MARGOLIN; Emmanuel Aubrey; (Jeddah, SA)</t>
  </si>
  <si>
    <t>Plant-based, edible vaccines are provided. The vaccines are or are made     from plants that are genetically engineered to express antigens of     disease-causing microbes, for example, antigens of the MERS-CoV virus,     such as the S1 subunit of the spike protein.</t>
  </si>
  <si>
    <t>US20220054601</t>
  </si>
  <si>
    <t>METHODS AND COMPOSITIONS FOR TREATING CORONAVIRUS INFECTIONS</t>
  </si>
  <si>
    <t>17/342897</t>
  </si>
  <si>
    <t>MOREHOUSE SCHOOL OF MEDICINE</t>
  </si>
  <si>
    <t>MOREHOUSE SCHOOL MEDICINE</t>
  </si>
  <si>
    <t>POWELL; Michael; (Douglasville, GA); Gbodossou; Erick Vidjin' Agnih; (BP: 6134 Dakar-Etoile, SN)</t>
  </si>
  <si>
    <t>The present application relates to a compositions and methods comprising     or expressing a HEVAR or MOMO30 protein derived from Momordica balsamina.     The HEVAR or MOMO30 protein and/or a nucleic acid encoding the same may     be used in methods for treating or preventing viral infections,     particularly those caused by coronaviruses, such as SARS-CoV-2.</t>
  </si>
  <si>
    <t>US20220054592</t>
  </si>
  <si>
    <t>METHODS FOR TREATMENT OF COVID-19 SYNDROME</t>
  </si>
  <si>
    <t>17/389571</t>
  </si>
  <si>
    <t>CHIRHOCLIN, INC.</t>
  </si>
  <si>
    <t>CHIRHOCLIN</t>
  </si>
  <si>
    <t>Purich; Edward D.; (Silver Spring, MD)</t>
  </si>
  <si>
    <t>The invention relates generally to methods for treating and modulating     the severity of COVID-19 syndrome. The methods comprise administering a     therapeutically effective amount of a pharmaceutical composition to a     human patient, the composition comprising secretin and a pharmaceutically     acceptable carrier.</t>
  </si>
  <si>
    <t>US20220054575</t>
  </si>
  <si>
    <t>PROTECTION AGAINST CORONAVIRUS INFECTION BY EXTRACTS AND EXTRACT     COMPONENTS</t>
  </si>
  <si>
    <t>17/405720</t>
  </si>
  <si>
    <t>NATREON INC.</t>
  </si>
  <si>
    <t>NATREON</t>
  </si>
  <si>
    <t>Kalidindi; Sanyasi R.; (Monroe, NJ)</t>
  </si>
  <si>
    <t>This disclosure is directed to methods of treating, preventing, and     protecting against viral infection including coronavirus infection and     symptoms such as in COVID-19 infection. The methods include the     administration of a composition comprising an extract and/or extract     component, specifically, plant and/or herbo-mineral extracts, such as of     Shilajit, Withania somnifera, Asparagus racemosus, Terminalia chebula,     Terminaha bellirica, Phyllanthus emblica, Azadirachta indica, and a     trivalent chromium complex with extracts of P. emblica and Shilajit;     and/or extract components such as 3,8-dihydroxy-6H-benzo[c]chromen-6-one     and 3-hydroxy-6H-benzo[c]chromen-6-one.</t>
  </si>
  <si>
    <t>US20220054574</t>
  </si>
  <si>
    <t>PHARMACEUTICAL COMPOSITIONS AND USE THEREOF</t>
  </si>
  <si>
    <t>17/409288</t>
  </si>
  <si>
    <t>SANDALWOOD BIOTECH INC</t>
  </si>
  <si>
    <t>SANDALWOOD BIOTECH</t>
  </si>
  <si>
    <t>XIE; Be; (Fremont, CA); REN; Xuefeng; (Buffalo, NY)</t>
  </si>
  <si>
    <t>The present application relates to methods of preventing, treating or     managing a respiratory disease and/or a viral infection (e.g., an     influenza virus infection and COVID-19) using a pharmaceutical     composition produced from one or more preparations of plant parts.     Provided herein are the pharmaceutical compositions produced from the one     or more preparations. Also provided herein are methods of producing the     pharmaceutical composition from the one or more preparations.</t>
  </si>
  <si>
    <t>US20220054572</t>
  </si>
  <si>
    <t>17/409301</t>
  </si>
  <si>
    <t>A61K 9/0053 20130101;  A61K 36/484 20130101;  A61K 45/06 20130101;  A61K 36/736 20130101;  A61K 33/06 20130101;  A61K 2236/331 20130101;  A61P 31/16 20180101;  A61K 36/17 20130101;  A61K 2236/17 20130101</t>
  </si>
  <si>
    <t>US20220054566</t>
  </si>
  <si>
    <t>ANTIVIRAL COMPOSITION HAVING ANTIVIRAL ACTIVITY AGAINST CORONAVIRUS AND     VARIANT VIRUSES THEREOF</t>
  </si>
  <si>
    <t>17/091234</t>
  </si>
  <si>
    <t>APEXEL CO., LTD.</t>
  </si>
  <si>
    <t>APEXEL</t>
  </si>
  <si>
    <t>Kim; Cheong Ja; (Gyeongsangbuk-do, KR)</t>
  </si>
  <si>
    <t>Disclosed is an antiviral composition having excellent antiviral activity     against coronavirus and variant viruses thereof, more particularly, an     antiviral composition containing an oyster shell powder; an Inonotus     obliquus powder; and a silkworm powder or a Gryllus bimaculatus powder;     as an active ingredients. The antiviral composition has activity of     enhancing immunity that acts as an in-vivo defense against infection with     harmful substances such as bacteria and viruses, and has activity of     effectively inhibiting the proliferation of coronavirus, and thus has     useful effects as a drug or health functional food for the prevention,     amelioration or treatment of coronaviral infection.</t>
  </si>
  <si>
    <t>US20220054521</t>
  </si>
  <si>
    <t>Method and Compositions for Treating Coronavirus Infection</t>
  </si>
  <si>
    <t>17/473594</t>
  </si>
  <si>
    <t>PHOENIX BIOTECHNOLOGY, INC.</t>
  </si>
  <si>
    <t>PHOENIX BIOTECHNOLOGY</t>
  </si>
  <si>
    <t>NEWMAN; Robert A.; (Surry, ME); ADDINGTON; Otis C.; (San Antonio, TX); MATOS; Jose R.; (Plano, TX)</t>
  </si>
  <si>
    <t>A61K 31/7048 20130101;  A61P 31/14 20180101;  A61K 45/06 20130101</t>
  </si>
  <si>
    <t>A method of treating viral infection, such as viral infection caused by a     virus of the Coronaviridae family, is provided. A composition having at     least oleandrin is used to treat viral infection.</t>
  </si>
  <si>
    <t>US20220054516</t>
  </si>
  <si>
    <t>COMPOUNDS AND PHARMACEUTICAL USES THEREOF</t>
  </si>
  <si>
    <t>17/377829</t>
  </si>
  <si>
    <t>SYNEURX INTERNATIONAL (TAIWAN) CORP.</t>
  </si>
  <si>
    <t>SYNEURX</t>
  </si>
  <si>
    <t>Tsai; Guochuan Emil; (Pasadena, CA); Mao; Yi-Wen; (New Taipei City, TW); Lu; Lu-Ping; (New Taipei City, TW); Chang; Wei-Hua; (New Taipei City, TW); Hsieh; Han-Yi; (New Taipei City, TW); Hu; Jhe Wei; (New Taipei City, TW); Shih; Tsai-Miao; (New Taipei City, TW); Huang; ChanHui; (New Taipei City, TW)</t>
  </si>
  <si>
    <t>A61K 45/06 20130101;  A61P 31/14 20180101;  A61K 9/008 20130101;  A61K 31/7032 20130101</t>
  </si>
  <si>
    <t>A method of treating coronavirus infection, comprising administering to a     subject in need thereof an effective amount of a composition, wherein the     composition comprises one or more compounds of Formula (I):  ##STR00001## or a pharmaceutically acceptable salt thereof.</t>
  </si>
  <si>
    <t>US20220054510</t>
  </si>
  <si>
    <t>USE OF 1-ALPHA-HYDROXYVITAMIN D5 AND RELATED COMPOUNDS AS PROPHYLACTIC OR     THERAPEUTIC AGENTS FOR SARS-COV-2 (COVID-19 VIRUS) AND RELATED INFECTIONS</t>
  </si>
  <si>
    <t>17/404254</t>
  </si>
  <si>
    <t>VIVIDPHARMA LLC</t>
  </si>
  <si>
    <t>VIVIDPHARMA</t>
  </si>
  <si>
    <t>Pariza; Richard J.; (Zion, IL); Moriarty; Robert M.; (Michiana Shores, IN)</t>
  </si>
  <si>
    <t>A61K 31/592 20130101</t>
  </si>
  <si>
    <t>The use of 1-alpha-hydroxyvitamin D5 or related compounds as prophylactic     or therapeutic agents for SARS-CoV-2 (Covid-19 virus) and related     infections. The compounds may be administered orally, by inhalation,     nasal spray, eye drops, or by injection. The compounds may be     administered to persons who are unwilling, unable or adverse to be     vaccinated. The compounds also may be administered to immunocompromised     persons for whom vaccination may not provide adequate protection from     infection.</t>
  </si>
  <si>
    <t>US20220054509</t>
  </si>
  <si>
    <t>METHODS OF TREATMENT FOR DISEASE FROM CORONAVIRUS EXPOSURE</t>
  </si>
  <si>
    <t>17/516449</t>
  </si>
  <si>
    <t>ENSEMBLE GROUP HOLDINGS</t>
  </si>
  <si>
    <t>ENSEMBLE</t>
  </si>
  <si>
    <t>KUO; Michael David; (Scottsdale, AZ); SCHLECHT; Clifford; (Lookout Mountain, GA)</t>
  </si>
  <si>
    <t>Disclosed herein are methods of treating a disease in a subject which is     the consequence of previous exposure of the subject to a virus,     particularly SARS-CoV-2, the method comprising administration of an     effective amount of one or more agents to the subject.</t>
  </si>
  <si>
    <t>US20220054495</t>
  </si>
  <si>
    <t>COMPOSITIONS AND METHODS FOR ENHANCED DELIVERY OF ANTIVIRAL AGENTS</t>
  </si>
  <si>
    <t>17/234744</t>
  </si>
  <si>
    <t>PoViva Tea, Llc</t>
  </si>
  <si>
    <t>POVIVA TEA</t>
  </si>
  <si>
    <t>Docherty; John; (Port Perry, CA); Bunka; Christopher Andrew; (Kelowna, CA)</t>
  </si>
  <si>
    <t>A61K 31/445 20130101;  A61K 47/46 20130101;  A61K 31/40 20130101;  A61K 31/7064 20130101;  A61K 31/422 20130101;  A61K 47/10 20130101;  A61K 31/165 20130101;  A61K 31/496 20130101;  A61K 47/36 20130101;  A61K 31/505 20130101;  A61K 31/4439 20130101;  A61K 31/343 20130101;  A61K 31/506 20130101;  A61K 31/536 20130101</t>
  </si>
  <si>
    <t>Disclosed herein are methods, compositions and kits for treating a viral     infection, for example, COVID-19, MERS and SARS. The disclosed     compositions provide for enhanced delivery of the disclosed antiviral     agents.</t>
  </si>
  <si>
    <t>US20220054464</t>
  </si>
  <si>
    <t>COMPOUNDS AND METHODS FOR TREATING VIRAL INFECTIONS</t>
  </si>
  <si>
    <t>17/233830</t>
  </si>
  <si>
    <t>A61P 31/14 20180101;  A61K 31/444 20130101</t>
  </si>
  <si>
    <t>Provided herein are methods of treating, managing and/or preventing viral     infections. A particular method comprises administering to a subject in     need thereof an effective amount of an adaptor associated kinase 1     inhibitor of Formula (I):  ##STR00001##</t>
  </si>
  <si>
    <t>US20220054436</t>
  </si>
  <si>
    <t>METHODS AND COMPOSITIONS INCLUDING PROTOCATECHUIC ACID CRYSTALS FOR THE     TREATMENT OF CONDITIONS CAUSED BY AN ENVELOPED VIRUS</t>
  </si>
  <si>
    <t>17/453432</t>
  </si>
  <si>
    <t>JOHNSON LANNY LEO</t>
  </si>
  <si>
    <t>Johnson; Lanny Leo; (Frankfort, MI)</t>
  </si>
  <si>
    <t>A61K 31/192 20130101;  A61P 31/18 20180101</t>
  </si>
  <si>
    <t>In embodiments, a method of treating a disease or condition caused by an     enveloped virus in a mammal is disclosed including administering to the     mammal a composition comprising protocatechuic acid crystals and     disrupting the viral envelope of the enveloped virus. The mammal may be a     human. The composition may include a pharmaceutically acceptable carrier.     The enveloped virus may be a coronavirus. The enveloped virus may be a     virus of the family Orthomyxoviridae.</t>
  </si>
  <si>
    <t>US20220054330</t>
  </si>
  <si>
    <t>MOVEABLE MEDICAL DEVICES AND MONITORING METHODS THEREOF</t>
  </si>
  <si>
    <t>17/445726</t>
  </si>
  <si>
    <t>SHANGHAI UNITED IMAGING HEALTHCARE CO., LTD.</t>
  </si>
  <si>
    <t>SHANGHAI UNITED IMAGING HEALTHCARE</t>
  </si>
  <si>
    <t>LIN; Xiaozhen; (Shanghai, CN); CHEN; Daheng; (Shanghai, CN); HU; Wei; (Shanghai, CN); FAN; Zhouyuan; (Shanghai, CN); JIANG; Yifeng; (Shanghai, CN); LIN; Yangyang; (Shanghai, CN); ZHOU; Pei; (Shanghai, CN); WU; Tingting; (Shanghai, CN)</t>
  </si>
  <si>
    <t>A61G 10/00 20130101;  A61B 6/4423 20130101;  A61B 6/54 20130101;  A61B 6/56 20130101;  A61L 2202/11 20130101;  A61B 6/0407 20130101;  A61G 3/001 20130101;  A61G 2210/50 20130101;  A61L 2202/16 20130101;  A61L 2/10 20130101;  A61L 2202/14 20130101;  A61B 6/4405 20130101;  A61L 2202/25 20130101;  A61L 2/22 20130101;  G07C 9/37 20200101</t>
  </si>
  <si>
    <t>A movable medical device is provided. The movable medical device may     include a medical cabin configured to accommodate medical resources for     providing multiple types of medical services and a movable platform     configured to move the medical cabin to a desired location. The medical     cabin may include a radiation room configured to accommodate a radiation     device for providing a medical imaging service; a sample processing room     configured to accommodate medical resources for providing at least one of     a sampling service or a sample detection service; and a control room     configured to accommodate a control platform used to control the     radiation device for providing the medical imaging service.</t>
  </si>
  <si>
    <t>US20220054217</t>
  </si>
  <si>
    <t>ANTI-MICROBIAL IV TUBING PROTECTION SYSTEM</t>
  </si>
  <si>
    <t>17/517242</t>
  </si>
  <si>
    <t>I+D DEVICE SOLUTIONS LLC</t>
  </si>
  <si>
    <t>I+D DEVICE SOLUTIONS</t>
  </si>
  <si>
    <t>VALDEZ; Desiree; (Loma Linda, CA); GERETSCHNIG; Iris; (Corona, CA); TUDRYN; Gregory; (San Diego, CA)</t>
  </si>
  <si>
    <t>A61M 2205/0205 20130101;  A61B 90/08 20160201;  A61M 39/08 20130101</t>
  </si>
  <si>
    <t>Embodiments described herein relate to encasements for protection of     central lines, arterial lines, and/or intravenous (IV) lines from     contaminants, and methods of making and using the same. In some     embodiments, an encasement device can include a flexible sleeve that fits     over a central line and protects the central line from contaminants. The     flexible sleeve has a first open end and a second open end. A first     closing element secures the first open end to a medical dressing and a     second closing element secures the second open end in a closed position     at a location distal to the first closing element. In some embodiments,     the central line can include an intravenous (IV) catheter, a peripherally     inserted central catheter (PICC) and/or a hemodialysis line. In some     embodiments, the device can include a flap coupled to the flexible     sleeve.</t>
  </si>
  <si>
    <t>US20220054092</t>
  </si>
  <si>
    <t>EYEWEAR WITH HEALTH ASSESSMENT, RISK MONITORING AND RECOVERY ASSISTANCE</t>
  </si>
  <si>
    <t>17/407099</t>
  </si>
  <si>
    <t>IPVENTURE, INC.</t>
  </si>
  <si>
    <t>IPVENTURE</t>
  </si>
  <si>
    <t>HOWELL; THOMAS A.; (SAN JOSE, CA); Thomas; C. Douglass; (Saratoga, CA); Tong; Peter P.; (Mountain View, CA)</t>
  </si>
  <si>
    <t>Electronic eyewear configured to provide health condition or health risk     monitoring or guidance to its user. Electronic eyewear, when being worn,     is conveniently positioned to provide health condition or health risk     monitoring. The eyewear can include various detectors for monitoring     health conditions. The eyewear can also monitor the geographic location     of the eyewear, which can impact risk level to the user. The eyewear can     also measure distance to other persons for risk monitoring and/or     facilitating contact tracing. The eyewear can serve to alert its user or     facilitate alerting others. The user of the eyewear can configure a risk     profile so that the eyewear provides customized health condition or     health risk monitoring. Other embodiments can assist a user who is ill,     such as, for example, by monitoring their health, monitoring for     particular illnesses, tracking worsening conditions, and/or providing     guidance to the user.</t>
  </si>
  <si>
    <t>US20220054075</t>
  </si>
  <si>
    <t>OLFACTORY-ACTION METER FOR PRECISE QUANTIFICATION OF OLFACTORY     DYSFUNCTIONS AND NEUROCOGNITIVE DEFICITS</t>
  </si>
  <si>
    <t>17/443527</t>
  </si>
  <si>
    <t>INDIAN INSTITUTE OF SCIENCE EDUCATION AND RESEARCH BHOPAL</t>
  </si>
  <si>
    <t>INDIAN INSTITUTE SCIENCE EDUCATION AND RESEARCH BHOPAL</t>
  </si>
  <si>
    <t>ABRAHAM; Nixon Mundathukudiyil; (Pashan, IN)</t>
  </si>
  <si>
    <t>The present disclosure relates to an apparatus (100) for quantitative     assessment of olfactory dysfunctions and neurocognitive deficits, the     apparatus includes first filters (104-1) adapted to sterilize air     received from an air pump, a second filter (106) filter odor molecules     from the air, a manifold (108) adapted to split the sterilized air into a     plurality of channels, at least one channel carries the sterilized air to     a first MFC (110) and adjacent channels carry sterilized air to second     MFCs (112). Each container in a reservoir (114) filled with an odorant     different from adjacent containers, and a nozzle (118) adapted to receive     the odorized air from the reservoir that is inhaled by a subject through     an odor delivery unit (124), based on degree of variation in volumetric     concentration of the odorants, quantitative assessment of olfactory     dysfunction is determined.</t>
  </si>
  <si>
    <t>US20220054074</t>
  </si>
  <si>
    <t>METHODS AND KITS FOR RAPID SCREENING FOR HYPOSMIA AND ANOSMIA</t>
  </si>
  <si>
    <t>17/410949</t>
  </si>
  <si>
    <t>UNIVERSITY OF ROCHESTER</t>
  </si>
  <si>
    <t>UNIVERSITY ROCHESTER</t>
  </si>
  <si>
    <t>STODGELL; Christopher J; (Rochester, NY); WOOD; Ronald W.; (Rochester, NY)</t>
  </si>
  <si>
    <t>A61B 5/01 20130101;  A61K 8/34 20130101;  A61J 1/06 20130101;  A61J 1/035 20130101;  A61B 5/4011 20130101</t>
  </si>
  <si>
    <t>The invention provides methods and kits for rapid and inexpensive     detection of hyposmia or anosmia, diminishment or loss of the sense of     smell. Sudden onset of diminishment or loss of the sense of smell is an     early sign of infection with SARS-CoV-2, the causative agent of COVID-19;     detecting the sudden onset of diminishment or loss of the sense of smell     can therefore be used to rapidly screen a population for persons who     should undergo diagnostic testing for a SARS-CoV-2 infection, and more     generally to screen persons for olfactory disorders.</t>
  </si>
  <si>
    <t>US20220054040</t>
  </si>
  <si>
    <t>IDENTIFYING CONDITIONS USING RESPIRATION RATE</t>
  </si>
  <si>
    <t>17/405220</t>
  </si>
  <si>
    <t>Pho; Gerald; (Somerville, MA); Aschbacher; Kirstin Elizabeth; (San Francisco, CA); Chapp; Michael; (Lafayette, CA); Rai; Harpreet Singh; (San Francisco, CA)</t>
  </si>
  <si>
    <t>A61B 5/6826 20130101;  A61B 5/4812 20130101;  A61B 5/4815 20130101;  A61B 5/0816 20130101;  A61B 5/7275 20130101;  A61B 5/743 20130101</t>
  </si>
  <si>
    <t>Methods, systems, and devices for detection of medical conditions using     respiration rate data are described. A method may include receiving     physiological data associated with a user, the physiological data being     continuously collected via a wearable device associated with the user,     determining a set of respiration rate values for the user over a time     interval based on the physiological data, and determining one or more     respiration rate parameters associated with a change of the set of     respiration rate values over the time interval. The method may further     include determining one or more condition risk metrics associated with     one or more medical conditions based on the one or more respiration rate     parameters, where the one or more condition risk metrics associated with     a relative probability that the user is associated with a respective     medical condition.</t>
  </si>
  <si>
    <t>US20220054008</t>
  </si>
  <si>
    <t>METHODS AND SYSTEMS FOR REMOTE HEALTH MONITORING</t>
  </si>
  <si>
    <t>16/997464</t>
  </si>
  <si>
    <t>EKO HEALTH, INC.</t>
  </si>
  <si>
    <t>EKO HEALTH</t>
  </si>
  <si>
    <t>Venkatraman; Subramaniam; (Lafayette, CA); Thompson; Michael; (San Francisco, CA); Suarez; Scott; (San Francisco, CA); Landgraf; Connor; (Albany, CA)</t>
  </si>
  <si>
    <t>Methods and systems are provided for real-time biological sensor data     transmission and analysis. In one example, a method includes obtaining     biological sensor data of a patient from one or more sensors of a health     monitoring device and transmitting the biological sensor data in     real-time from a patient's transmitting device to a clinician's remote     receiving device that is wirelessly communicating with the transmitting     device. Further, at the transmitting device, responsive to a request for     analysis and/or storage from the remote receiving device, transmitting     the real-time biological sensor data stream or a recording of the     real-time biological sensor data to a computing sever for analysis and/or     storage.</t>
  </si>
  <si>
    <t>US20220053919</t>
  </si>
  <si>
    <t>Portable Personal Care Product Holder</t>
  </si>
  <si>
    <t>17/218262</t>
  </si>
  <si>
    <t>GAYTAN VICTORIA</t>
  </si>
  <si>
    <t>Gaytan; Victoria; (San Antonio, TX)</t>
  </si>
  <si>
    <t>A portable dispenser configure to retain tissues, wipes, handkerchiefs,     or similar convenience items. The portable dispenser comprises a band     with two ends which can be closed and adjusted to size the device to the     appendage of a user using a closure mechanism. A dispensing component is     attachable to or is integrated into the band. The dispensing component     has a slit with a fastening mechanism for accessing the tissues, wipes or     handkerchiefs stored inside the pouch. The dispensing component may be     configured to accept a roll of tissues or wipes. The device of the     present invention can be a wrist band, arm band, bracelet, smartwatch or     the like, that makes the tissues, wipes or handkerchiefs readily     available as needed.</t>
  </si>
  <si>
    <t>US20220053856</t>
  </si>
  <si>
    <t>DIFFUSER HEADBAND SYSTEM FOR 360 DEGREES OF AIR DISTRIBUTION</t>
  </si>
  <si>
    <t>17/403722</t>
  </si>
  <si>
    <t>FLORIDA A&amp;M UNIVERSITY</t>
  </si>
  <si>
    <t>Magee; Charles; (Cairo, GA)</t>
  </si>
  <si>
    <t>A61L 9/015 20130101;  A41D 20/005 20130101;  A61L 2209/15 20130101</t>
  </si>
  <si>
    <t>Various embodiments are directed to a diffuser headband system. The     system may include a diffuser headband formed from an elastic material     coupled to a sanitized air generating source that produces sanitized air.     The diffuser headband may form a substantially oval shape and include an     elastic tube attached to the elastic material. A first portion of the     elastic tube may be perforated to include a group of air outlet holes     spaced along a surface of the elastic tube. A second portion of the     elastic tube may include an inlet that receives the sanitized air from     the sanitized air generating source. The air outlet holes receive the     sanitized air from the inlet and expel the sanitized air to provide an     air shield that encircles a person's body wearing the diffuser headband.     The air shield blocks viral aerosol droplets from entering or leaving an     airspace occupied by the person wearing the diffuser headband.</t>
  </si>
  <si>
    <t>US20220053855</t>
  </si>
  <si>
    <t>Protective Detachable Hand Covering</t>
  </si>
  <si>
    <t>17/000686</t>
  </si>
  <si>
    <t>HOULIHAN BRIAN JOHN</t>
  </si>
  <si>
    <t>Houlihan; Brian John; (Naperville, IL)</t>
  </si>
  <si>
    <t>A protective detachable hand covering, particularly useful for pumping     fuel into a fuel tank, and being store on a surface of a vehicle. The     hand covering has a flexible base and a bridging member to secure the     hand covering to an individual's hand. The flexible base has a bottom     adhering surface, which may be magnetized or use a hook and loop     fastening mechanism. A bridging member is secured to the top surface so a     user can slide his or her hand within the hand cover and detach it from     the surface by pulling away from the surface. The flexible base has a     palmar region, an elongated thumb region, and an elongated index finger     region, particularly useful for gripping a fuel pump handle, and allow a     user to pump fuel without directly contacting the fuel pump handle. A     method of pumping fuel using a protective detachable hand covering.</t>
  </si>
  <si>
    <t>US20220053851</t>
  </si>
  <si>
    <t>STRAPLESS FACE MASK</t>
  </si>
  <si>
    <t>17/445346</t>
  </si>
  <si>
    <t>NICKEL RICHARD</t>
  </si>
  <si>
    <t>Nickel; Richard; (Torrance, CA)</t>
  </si>
  <si>
    <t>A strapless face mask retainer has a nasal columella bridge defined by a     lateral span curved to conform to a facial structure of a wearer and     includes a pair of columella pads each receivable within respective     nostrils of the wearer. A covering frame is defined at least by a     transverse frame span with opposed left and right ends, and by vertical     frame arms that extend from the corresponding left and right ends of the     transverse frame span. Each of the vertical frame arms define an upper     end at least horizontally coincident with or above openings of the     nostrils of the wearer. The vertical frame arms also define a lower end     that is below a mouth of the wearer.</t>
  </si>
  <si>
    <t>US20220053759</t>
  </si>
  <si>
    <t>ANTIMICROBIAL LAMINATES AND COATINGS INDICATING EFFICACY</t>
  </si>
  <si>
    <t>17/226387</t>
  </si>
  <si>
    <t>MAGIC BOX, INC., A CORP. OF TX</t>
  </si>
  <si>
    <t>MAGIC BOX</t>
  </si>
  <si>
    <t>Avina; Christopher David; (Denver, CO)</t>
  </si>
  <si>
    <t>A01N 25/02 20130101;  A01N 25/34 20130101</t>
  </si>
  <si>
    <t>Disclosed is an antimicrobial coating and antimicrobial laminate that can     be used on surfaces to prevent the spread of bacteria and viruses.     Spray-on techniques can be used with antimicrobial agents mixed with an     air-drying antimicrobial coating and a heated liquid plastic     antimicrobial coating. Efficacy of the antimicrobial coating can be     monitored by detecting changes in texture, color, opaqueness,     fluorescence, and other techniques. Soft plastics and acrylics can be     used to suspend the antimicrobial agents to provide better efficacy in     the release of antimicrobial agents over time.</t>
  </si>
  <si>
    <t>US20220053324</t>
  </si>
  <si>
    <t>ANONYMOUS VERIFICATION PROCESS FOR EXPOSURE NOTIFICATION IN MOBILE     APPLICATIONS</t>
  </si>
  <si>
    <t>17/403216</t>
  </si>
  <si>
    <t>THE UAB RESEARCH FOUNDATION</t>
  </si>
  <si>
    <t>Rivers; Claude B.; (Birmingham, AL); Pillai; Rajesh B.; (Birmingham, AL); Demirezen; Zekai; (Birmingham, AL); Langston; Jaret A.; (Birmingham, AL)</t>
  </si>
  <si>
    <t>The present disclosure relates exposure notification, and in particular     to techniques for verification of positive test results from public     health authorities where individuals submit notice using public health     approved mobile applications for exposure notification and/or contact     tracing. When an individual attempts to submit a positive test result     notification in a mobile application, the associated device's mobile     number will be requested. This mobile number will then be sent a     verification code to be entered in the application. At this point, these     codes shall be stored digitally in escrow. A regular data feed from a     health authority shall be provided that shall include an agreed     encryption (irreversibly encrypted or reversibly encrypted) of the mobile     numbers associated with any reported test. Any results submitted in the     application that have a matching encryption of the mobile numbers shall     be released from the escrow for subsequent notification.</t>
  </si>
  <si>
    <t>US20220053292</t>
  </si>
  <si>
    <t>Low Cost, High Performance Asset Tracking Systems and Methods</t>
  </si>
  <si>
    <t>17/404643</t>
  </si>
  <si>
    <t>PATTI ENG INC</t>
  </si>
  <si>
    <t>PATTI ENG</t>
  </si>
  <si>
    <t>Hoff; Samuel Mark; (Clarkston, MI); Shipley; Larry John; (Upland, IN); Grabow; Bradley; (Auburn Hills, MI); Sadro; Constance Amber; (Metamora, MI)</t>
  </si>
  <si>
    <t>H04W 4/029 20180201;  H04W 48/20 20130101;  G16H 50/80 20180101</t>
  </si>
  <si>
    <t>A real time asset tracking system and method is described including a     plurality of mobile units (e.g., fobs) which are capable of communication     with a network. The plurality of mobile units being configured to     determine the presence of a contact event, e.g., when a first mobile unit     is within a predetermined distance from a second mobile unit for a     predetermined amount of time. If the first mobile unit is in a contact     event, then the first mobile unit may be configured to alert the user     (visual, vibration, sound) and report the contact event data to the     server.</t>
  </si>
  <si>
    <t>US20220053218</t>
  </si>
  <si>
    <t>Digital Sporting Event Viewer</t>
  </si>
  <si>
    <t>17/065016</t>
  </si>
  <si>
    <t>MALECKI MICHAEL</t>
  </si>
  <si>
    <t>Malecki; Michael; (Langhorne, PA)</t>
  </si>
  <si>
    <t>G06Q 30/0185 20130101;  G06Q 20/0457 20130101;  G06Q 20/127 20130101;  H04R 1/08 20130101;  G06Q 10/02 20130101;  H04N 21/2187 20130101;  H04R 1/028 20130101;  G06Q 50/01 20130101;  H04N 21/25875 20130101;  G06Q 30/0633 20130101;  H04N 21/2543 20130101;  H04N 21/4788 20130101</t>
  </si>
  <si>
    <t>The device of the present invention transmits live events to remote     authorized user devices. More specifically, the digital device of the     present invention is placed in a seat in a venue hosting a live event,     and is wirelessly connected to an electronic device of an authenticated     user who paid for the seat but is remote from the venue. The device     transmits the live event from the venue to the user's device, thereby     enabling the user to remotely attend and participate in the live event     via his or her user device. The various position and characteristics of     the components of the digital device can be modified remotely by the user     through a user interface present in the user device via a smartphone     application.</t>
  </si>
  <si>
    <t>US20220053168</t>
  </si>
  <si>
    <t>METHOD AND SYSTEM FOR VIRTUAL 3D COMMUNICATIONS HAVING MULTIPLE     PARTICIPANTS PER CAMERA</t>
  </si>
  <si>
    <t>17/304376</t>
  </si>
  <si>
    <t>TRUE MEETING INC.</t>
  </si>
  <si>
    <t>TRUE MEETING</t>
  </si>
  <si>
    <t>Strasman; Nery; (Los Altos, CA); Gronau; Yuval; (Ramat Hasharon, IL); Oz; Ran; (Maccabim, IL)</t>
  </si>
  <si>
    <t>G06T 15/205 20130101;  H04N 7/157 20130101;  G06T 15/04 20130101</t>
  </si>
  <si>
    <t>A method for conducting a three dimensional (3D) video conference between     multiple participants, the method may include acquiring visual     information, by a visual sensing unit related to a certain participant;     identifying multiple persons that appear in the visual information;     finding, out of the multiple persons, at least one relevant person;     determining 3D entity representation information, for each of the at     least one relevant person; and generating, for at least one participant,     a representation of a virtual 3D video conference environment, based on     the 3D entity representation information for each of the at least one     relevant person.</t>
  </si>
  <si>
    <t>US20220053100</t>
  </si>
  <si>
    <t>SYSTEM AND METHOD FOR SOCIAL DISTANCING DURING DEVICE USAGE</t>
  </si>
  <si>
    <t>16/992542</t>
  </si>
  <si>
    <t>Toshiba</t>
  </si>
  <si>
    <t>TOSHIBA</t>
  </si>
  <si>
    <t>SU; William; (Riverside, CA)</t>
  </si>
  <si>
    <t>H04N 1/00251 20130101;  H04N 1/00925 20130101;  G06V 40/103 20220101;  H04N 1/00917 20130101;  H04N 1/00875 20130101;  H04N 1/00408 20130101;  H04N 1/00859 20130101;  G06V 40/172 20220101;  H04N 1/00891 20130101;  H04N 2201/0094 20130101;  G08B 5/36 20130101;  H04N 1/00854 20130101</t>
  </si>
  <si>
    <t>A system and method for maintaining safe social distancing during device     operation comprises a multifunction peripheral configured to scan or     print a tangible document. A camera captures electronic images of two or     more people proximate to the multifunction peripheral. A processor     determines a relative distance between the people in accordance with     captured electronic images and generates an alarm when a determined     relative distance is less than a predetermined alarm threshold distance.     The processor disables operation of the multifunction peripheral when the     determined relative distance is less than the predetermined alarm     threshold distance.</t>
  </si>
  <si>
    <t>US20220051808</t>
  </si>
  <si>
    <t>ANONYMOUS DISTRIBUTED CONTACT TRACING AND VERIFICATION SYSTEM</t>
  </si>
  <si>
    <t>17/444090</t>
  </si>
  <si>
    <t>TECHNISCHE UNIVERSITAT DARMSTADT</t>
  </si>
  <si>
    <t>Miettinen; Markus; (Ober-Ramstadt, DE); Nguyen; Duc Thien; (Darmstadt, DE); Sadeghi; Ahmad-Reza; (Seeheim-Jugenheim, DE)</t>
  </si>
  <si>
    <t>An automated contact tracing system for anonymously identifying contacts     between users includes at least a tracing server; and more than one     mobile device or wearable of a user comprising means for short-range     proximity communication and means for carrying out a computer program for     generating Encounter-Tokens, when one user spent a pre-defined amount of     time in a pre-defined proximity range of another user.</t>
  </si>
  <si>
    <t>US20220051807</t>
  </si>
  <si>
    <t>DYNAMIC RISK ASSESSMENT</t>
  </si>
  <si>
    <t>17/383944</t>
  </si>
  <si>
    <t>SUBRAMANIAN; Venkatesh; (Bangalore, IN); KUNTAGOD; Nataraj; (Bangalore, IN); SAI SRINIVAS; Satya; (Bangalore, IN)</t>
  </si>
  <si>
    <t>A system and method for dynamic risk assessment is disclosed. The system     may include a data warehouse, an output device and a processor including     a data capturer, a process engine and a rules engine. The data capturer     may capture information pertaining to a plurality of risk factors     associated with an infection risk corresponding to a plurality of data     elements in an environment. The plurality of data elements may pertain to     at least one of a space and a person in the space. The process engine may     include at least one of a space risk profiler and a person risk profiler.     The process engine may determine a risk score and a risk profile     associated with the person and the space. Based on the risk profile, the     processor may perform at least one of an automatic identification of a     mitigation to reduce the infection risk and an automated generation of an     alert.</t>
  </si>
  <si>
    <t>US20220051762</t>
  </si>
  <si>
    <t>Systems and Methods for Virtual Clinical Trials</t>
  </si>
  <si>
    <t>17/400079</t>
  </si>
  <si>
    <t>SHARECARE, INC.</t>
  </si>
  <si>
    <t>SHARECARE</t>
  </si>
  <si>
    <t>SHARMA; Srivatsa Akshay; (Santa Clara, CA); DE BROUWER; Walter Adolf; (Los Altos, CA); ZACCAK; Gabriel Gabra; (Cambridge, MA); SARABU; Chethan R.; (Morgan Hill, CA); REICH; Devin Daniel; (Olympia, WA); TITOVA; Marina; (Menlo Park, CA); RODR GUEZ ESMERAL; Andres; (Vancouver, CA)</t>
  </si>
  <si>
    <t>G06F 7/588 20130101;  G06F 7/483 20130101;  H04L 9/0861 20130101;  G16H 10/20 20180101;  G06F 7/523 20130101</t>
  </si>
  <si>
    <t>The technology disclosed relates to a system and method for assigning     participants to groups in a clinical trial. The system includes a     federated server configured with group assignability data specifying a     plurality of groups assignable to participants in a clinical trial and     group distribution data specifying distribution of the participants into     groups. The groups include at least one placebo group and one or more     treatment groups. The system includes an intervention server configured     to generate group encryption keys for encrypting the group assignability     data. The system includes edge devices of each of the participants. The     edge devices are in communication with the federated server.</t>
  </si>
  <si>
    <t>US20220051648</t>
  </si>
  <si>
    <t>MIDI CONTROLLER AND SYSTEM FOR DISTRIBUTING MEDIA THEREWITH</t>
  </si>
  <si>
    <t>17/399331</t>
  </si>
  <si>
    <t>GERBER CHAD</t>
  </si>
  <si>
    <t>Gerber; Chad; (Los Angeles, CA)</t>
  </si>
  <si>
    <t>A musical instrument digital interface (MIDI) controller is provided. It     has a housing having a hollow interior portion, a first audio jack and a     second audio jack positioned on the housing, wherein the first audio jack     is configured to accept a first audio signal from an electronic music     instrument, and wherein the second audio jack is configured to accept a     second audio signal from a microphone, a conversion module configured to     receive the first signal from the first audio jack and the second signal     from the second audio jack, wherein the conversion module is configured     to transform the first signal into an outgoing digital signal and retain     the second signal in a database and an output module configured to     utilize the outgoing digital signal and the retained second signal from     the database, and output both signals as a dual signal of audio and     digital outputs during a user performance.</t>
  </si>
  <si>
    <t>US20220051546</t>
  </si>
  <si>
    <t>SYSTEM AND METHOD FOR MONITORING HAND HYGIENE, WELLNESS, AND HUMAN     INTERACTIONS</t>
  </si>
  <si>
    <t>17/399991</t>
  </si>
  <si>
    <t>STERILOGY, LLC</t>
  </si>
  <si>
    <t>STERILOGY</t>
  </si>
  <si>
    <t>ZAIMA; Harold; (Bloomfield Hills, MI); KREITZ; John; (Beverly Hills, MI)</t>
  </si>
  <si>
    <t>A system includes a bed zone boundary module and a user interface device     (UID) control module. The bed zone boundary module is configured to     detect when at least one of a first wearable dispenser assembly and an     identification badge is within a boundary of a zone around a bed, and     generate a sanitize reminder signal when at least one of the first     wearable dispenser assembly and the identification badge is within the     zone boundary. The UID control module is configured to, in response to     the sanitize reminder signal, control a user interface device to generate     a message reminding a person wearing at least one of the first wearable     dispenser assembly and the identification badge to use hand sanitizer     before approaching a patient in the bed.</t>
  </si>
  <si>
    <t>US20220051541</t>
  </si>
  <si>
    <t>PREVENTING THE NUMBER OF MEETING ATTENDEES AT A VIDEOCONFERENCING ENDPOINT     FROM BECOMING UNSAFE</t>
  </si>
  <si>
    <t>17/445221</t>
  </si>
  <si>
    <t>Schwerdtfeger; Jeffrey; (Santa Cruz, CA); Manassero, II; Robert; (Santa Cruz, CA); Jensen; Geoffrey Dean; (Carpinteria, CA); Burke; Sean Michael; (Santa Cruz, CA); Gallione; Kem; (Santa Cruz, CA); Dalke; Ryan Michael; (Santa Cruz, CA); Jensen; Brian; (Soquel, CA)</t>
  </si>
  <si>
    <t>Systems and methods of managing videoconferencing endpoint capacity based     on safety concerns (e.g., COVID-19), comprising: capturing a video feed     corresponding to a geographic location; detecting a presence of one or     more persons corresponding to the geographic location, based on data of     the video feed; determining a quantity of persons corresponding to the     geographic location, based the data of the video feed; determining that     the quantity of persons corresponding to the geographic location exceeds     a first predetermined threshold; and--in response to the determination     that the quantity of persons corresponding to the geographic location     exceeds the first predetermined threshold--issuing one or more alert     messages and/or taking other appropriate action(s).</t>
  </si>
  <si>
    <t>US20220051515</t>
  </si>
  <si>
    <t>DOUBLE-SIDED STORAGE LOCKER SYSTEMS ACCESSED AND CONTROLLED USING     MACHINE-READABLE CODES SCANNED BY MOBILE PHONES AND COMPUTING DEVICES</t>
  </si>
  <si>
    <t>17/399079</t>
  </si>
  <si>
    <t>BEST LOCKERS, LLC</t>
  </si>
  <si>
    <t>BEST LOCKERS</t>
  </si>
  <si>
    <t>Schmidt; Mark Christopher; (Windermere, FL); Swogger; Wesley Edward; (Fairfax Station, VA); Miranda; Kevin George; (Ocoee, FL)</t>
  </si>
  <si>
    <t>G07C 9/00896 20130101;  G07F 17/12 20130101;  G06Q 10/02 20130101;  G08B 5/36 20130101;  G07C 9/22 20200101;  G07F 17/0021 20130101;  G07C 9/27 20200101;  G06F 16/9554 20190101</t>
  </si>
  <si>
    <t>A double-sided ride storage locker system deployed at a park facility     with ride sites, including a system integrated with a facility ride     management system, for automated management and control over the     operation of locker-rental state indication lights displayed as rented on     the egress side of the double-sided ride storage locker system. The     double-sided ride storage locker system provides guest visitors with     access control enabled by scanning multi-level machine-readable codes     using mobile scanning computing systems, such as web-enabled smartphones     with digital cameras and mobile application support. The storage locker     system supports automated modes of discovering and finding where a     guest's rented locker is located within the facility and its sites at any     moment in time, simply by using the guest' smart phone to scan a     device-level code, a site-level code, a facility-level code or a     discovery-level code, posted anywhere within the facility or any site,     without need for using a physical locker lookup kiosk or other     conventional systems and methods.</t>
  </si>
  <si>
    <t>US20220051514</t>
  </si>
  <si>
    <t>SINGLE-SIDED STORAGE LOCKER SYSTEMS ACCESSED AND CONTROLLED USING     MACHINE-READABLE CODES SCANNED BY MOBILE PHONES AND COMPUTING DEVICES</t>
  </si>
  <si>
    <t>17/399077</t>
  </si>
  <si>
    <t>A single-sided ride storage locker system deployed at any site within a     facility, and providing guest visitors with access control enabled by     scanning multi-level machine-readable codes using mobile scanning     computing systems, such as web-enabled smartphones with digital cameras     and mobile application support. The storage locker system supports     automated modes of discovering and finding where a guest's rented locker     is located within the facility and its sites at any moment in time,     simply by using the guest' smart phone to scan a device-level code, a     site-level code, a facility-level code or a discovery-level code, posted     anywhere within the facility or any site, without need for using a     physical locker lookup kiosk or other conventional systems and methods.</t>
  </si>
  <si>
    <t>US20220051513</t>
  </si>
  <si>
    <t>METHOD OF AND SYSTEM FOR PROVIDING WIRELESS ACCESS CONTROL OF     WIRELESS-NETWORKED WHEEL CHAIRS TO GUEST USERS WITHIN AN ENVIRONMENT</t>
  </si>
  <si>
    <t>17/242990</t>
  </si>
  <si>
    <t>SAFEMARK SYSTEMS, LP</t>
  </si>
  <si>
    <t>SAFEMARK SYSTEMS</t>
  </si>
  <si>
    <t>Schmidt; Mark Christopher; (Windermere, FL); Swogger; Wesley Edward; (Fairfax Station, VA); Taylor; Thomas Dwayne; (Kissimmee, FL); Buchoff; Michael Buchoff; (Winter Springs, FL); Balda; Sowmya; (Orlando, FL); Lutz; Stephanie Cornelia; (Belle Island, FL); Barber; Marc Maxwell; (Deltona, FL); Miranda; Kevin George; (Ocoee, FL)</t>
  </si>
  <si>
    <t>A GPS-tracked wireless-networked wheelchair system includes a wheelchair     framework for carrying a passenger, and having a set of wheels adapted to     rotate. A device-level machine-readable code is displayed on a surface     associated with the wheelchair system. A brake assembly is arranged with     the set of wheels and has a locked position, and an unlocked position. A     wireless control module is operably connected to a wireless communication     network. When a web-enabled mobile phone is used to (i) scan the     device-level machine-readable code displayed on the wheelchair system,     (ii) complete a wheelchair rental transaction over the wireless     communication network, and (iii) obtain access control over the rented     wheelchair system, then the wireless wheel locking control module unlocks     the brake assembly, and the wheelchair framework is allowed to move     relative to the ground surface.</t>
  </si>
  <si>
    <t>US20220051512</t>
  </si>
  <si>
    <t>Method of and system for providing guest users with wireless access     control to wireless-networked electric convenience vehicles within an     environment</t>
  </si>
  <si>
    <t>17/242945</t>
  </si>
  <si>
    <t>G07C 9/00912 20130101;  G07F 17/12 20130101;  G07C 9/00571 20130101;  G06Q 30/0645 20130101;  G07C 2009/00523 20130101;  G07C 9/00309 20130101;  G06K 7/1417 20130101</t>
  </si>
  <si>
    <t>A GPS-tracked wireless-networked electric convenience vehicle (ECV)     includes a body portion adapted for supporting the body of passenger; a     GPS system for providing GPS-location services to the GPS-tracked     wireless-networked ECV; a transport system with wheels and a drive     mechanism, for supporting and transporting the body portion; and a     wireless electronic control module being integrated with the transport     system, and in wireless communication with a wireless communication     infrastructure, for controlling said wheels and/or the drive mechanism.     When a web-enabled mobile phone is used to (i) scan a device-level     machine-readable code displayed on the GPS-tracked wireless-networked     ECV, (ii) complete an ECV rental transaction over the wireless     communication infrastructure, and (iii) obtain access control over the     rented GPS-tracked wireless-networked ECV, then the wireless electronic     control module enables the GPS-tracked wireless-networked ECV to be     operated on a ground surface.</t>
  </si>
  <si>
    <t>US20220051511</t>
  </si>
  <si>
    <t>WIRELESS-NETWORKED STROLLER ACCESS CONTROL SYSTEM</t>
  </si>
  <si>
    <t>17/242933</t>
  </si>
  <si>
    <t>A wireless-networked stroller access control system includes a plurality     of wireless-networked strollers, each having stroller framework for     carrying a passenger, and having a set of wheels mounted on an axle. A     device-level machine-readable code is displayed on a surface associated     with the stroller system. A wheel brake assembly is arranged with the set     of wheels and has a locked position, and an unlocked position. A     manually-actuated control bar assembly is mounted on the stroller     framework, arranged with respect to the wheel brake assembly, and has a     locked state of operation and an unlocked state of operation. A wireless     wheel-axle locking control module is arranged in wireless communication     with a wireless communication infrastructure, and configured with the     manually-actuated control bar assembly to control the state of operation     of the manually-actuated control bar assembly and also the wheel brake     assembly. When a web-enabled mobile phone is used to (i) scan the     device-level machine-readable code displayed on the wireless-networked     stroller, (ii) complete a stroller rental transaction over the wireless     access control network, and (iii) obtain access control over the rented     stroller system, then the wireless wheel-axle locking control module     unlocks the wheel brake assembly, so that the set of wheels are allowed     to rotate and the stroller framework is allowed to moved relative to the     ground surface.</t>
  </si>
  <si>
    <t>US20220051510</t>
  </si>
  <si>
    <t>METHODS OF CONTACT-LESS ACCESS CONTROL TO  NETWORKED STORAGE LOCKERS USING     A MOBILE SCANNING SYSTEM TO SCAN FACILITY-LEVEL, SITE-LEVEL AND     DEVICE-LEVEL MACHINE-READABLE CODES DISPLAYED IN AN ENVIRONMENT IN WHICH     THE NETWORKED STORAGE LOCKERS ARE LOCATED</t>
  </si>
  <si>
    <t>17/242922</t>
  </si>
  <si>
    <t>Schmidt; Mark Christopher; (Windermere, FL); Swogger; Wesley Edward; (Fairfax Station, VA); Rodriguez; Edward Joel; (Kissimmee, FL); Taylor; Thomas Dwayne; (Kissimmee, FL); Buchoff; Michael Buchoff; (Winter Springs, FL); Balda; Sowmya; (Orlando, FL); West; Kyle Clarennce; (Saint Cloud, FL); Rood; Brian William; (Orlando, FL); Rodriguez; Tomas; (Winter Park, FL)</t>
  </si>
  <si>
    <t>A method of contact-less access control to a device available for rental,     access and use in an environment, by scanning multi-level     machine-readable codes displayed in the environment using web-enabled     mobile phones wirelessly connected to a wireless access control network.     To practice a facility-level, site-level access and/or device-level     access control method, a web-enabled mobile phone is used to scan     facility-level, site-level and/or device-level machine-readable codes in     the environment, and in response, rental transaction identifiers are     stored within the cache on the web-enabled mobile phone scanning the     machine-readable code. Each rental transaction identifier identifies the     web-enabled mobile phone that is linked to a specific device rental     transaction. After renting the selected device at either a     facility-level, site-level or device-level location in the environment,     the web-enabled mobile phone is used to scan the device-level     machine-readable code on the rented device. The web-enabled mobile phone     uses the rental transaction identifier stored within its cache to     automatically enable access to the rented device at the selected site for     use in the environment. While not required by the access methods, the     user may set a passcode for entry into the system using the web-enabled     mobile phone, to further constrain access to the rented device</t>
  </si>
  <si>
    <t>US20220051509</t>
  </si>
  <si>
    <t>WIRELESS NETWORK, MOBILE SYSTEMS AND METHODS FOR CONTROLLING ACCESS TO     LOCKERS, STROLLERS, WHEEL CHAIRS AND ELECTRONIC CONVENIENCE VEHICLES     PROVIDED WITH MACHINE-READABLE CODES SCANNED BY MOBILE PHONES AND     COMPUTING DEVICES</t>
  </si>
  <si>
    <t>16/990381</t>
  </si>
  <si>
    <t>Schmidt; Mark Christopher; (Windermere, FL); Swogger; Wesley Edward; (Fairfax Station, VA); Rodriguez; Edward Joel; (US); Taylor; Thomas Dwayne; (Kissimmee, FL); Buchoff; Michael Buchoff; (Winter Springs, FL); Balda; Sowmya; (Orlando, FL); West; Kyle Clarennce; (Saint Cloud, FL); Lutz; Stephanie Cornelia; (Belle Island, FL); Barber; Marc Maxwell; (Deltona, FL); Miranda; Kevin George; (Ocoee, FL); Rood; Brian William; (Orlando, FL); Rodriguez; Thomas; (Winter Park, FL)</t>
  </si>
  <si>
    <t>G07C 9/00912 20130101;  G07F 17/12 20130101;  G07C 9/00571 20130101;  G07C 9/00309 20130101;  G07C 2009/00523 20130101;  G06Q 30/0645 20130101;  G06K 7/1417 20130101</t>
  </si>
  <si>
    <t>A wireless network, mobile systems and methods for controlling access to     lockers, strollers, wheel chairs and electronic convenience vehicles and     other networked devices provided with machine-readable codes that are     scanned by mobile phones and computing devices.</t>
  </si>
  <si>
    <t>US20220051503</t>
  </si>
  <si>
    <t>APPARATUS AND METHOD FOR PROVIDING AND/OR FOR FACILITATING SECURED AND/OR     ON-LINE CAMPAIGNS, ELECTIONS, AND/OR VOTING ACTIVITIES</t>
  </si>
  <si>
    <t>17/365094</t>
  </si>
  <si>
    <t>JOAO, RAYMOND ANTHONY, MR.</t>
  </si>
  <si>
    <t>JOAO RAYMOND</t>
  </si>
  <si>
    <t>JOAO; RAYMOND ANTHONY; (YONKERS, NY)</t>
  </si>
  <si>
    <t>G07C 13/00 20130101;  G06K 7/10366 20130101;  G06F 16/2365 20190101;  G06Q 2230/00 20130101</t>
  </si>
  <si>
    <t>An apparatus, including: a receiver; processor; distributed ledger and     Blockchain technology system; and transmitter. The receiver receives a     request for an e-voting ballot regarding an election. The e-voting ballot     contains information regarding the elected office race or referendum     issue in the election, and a link or hyperlink to information regarding a     candidate or referendum issue. The apparatus receives a digital file,     containing information regarding a picture, photograph, or video clip, of     the individual. The processor transmits the e-voting ballot to a user     device. The apparatus transmits a voter account use message and the     digital file to the user device. The apparatus receives and stores     information regarding a vote or votes cast pursuant to the e-voting     ballot. The apparatus stores the information regarding the vote or votes     cast in the distributed ledger and Blockchain technology system. The     apparatus transmits a vote confirmation message to the user device.</t>
  </si>
  <si>
    <t>US20220051494</t>
  </si>
  <si>
    <t>ELECTROMECHANICAL DEVICE THAT COUNTS, CALCULATES, AND REPORTS WAIT TIMES     AND OCCUPANCY RATES IN REAL-TIME</t>
  </si>
  <si>
    <t>17/398995</t>
  </si>
  <si>
    <t>RANJAN, Riya; CHAN, Alson; WANG, Katherine; ANAND, Keshav; TRINH, Henry</t>
  </si>
  <si>
    <t>RANJAN RIYA</t>
  </si>
  <si>
    <t>RANJAN; Riya; (Cupertino, CA); CHAN; Alson; (Palo Alto, CA); WANG; Katherine; (Los Altos, CA); ANAND; Keshav; (Folsom, CA); TRINH; Henry; (East Elmhurst, NY)</t>
  </si>
  <si>
    <t>G05B 2219/25257 20130101;  G05B 19/042 20130101;  G07C 9/00 20130101</t>
  </si>
  <si>
    <t>Provided are systems, devices, and methods to calculate and display     information pertaining to a space. Information pertaining to the space     may include a number of one or more objects that are permitted to enter     the space and a wait time to enter the space.</t>
  </si>
  <si>
    <t>US20220051412</t>
  </si>
  <si>
    <t>FOREGROUND AND BACKGROUND SEGMENTATION RELATED TO A VIRTUAL     THREE-DIMENSIONAL (3D) VIDEO CONFERENCE</t>
  </si>
  <si>
    <t>17/304379</t>
  </si>
  <si>
    <t>Gronau; Yuval; (Ramat Hasharon, IL); Oz; Ran; (Maccabim, IL)</t>
  </si>
  <si>
    <t>G06K 9/6267 20130101;  G06N 20/00 20190101;  G06V 40/171 20220101;  G06V 40/172 20220101;  G06T 7/194 20170101</t>
  </si>
  <si>
    <t>A method for foreground and background segmentation related to a virtual     three-dimensional (3D) video conference, the method may include     segmenting each image of multiple images of a video stream, to segments,     each segment has one or more properties that are constant; determining     temporal properties of the segments; and classifying each segment as a     background segment or a foreground segment, based at least in part, on     the temporal properties of the segments.</t>
  </si>
  <si>
    <t>US20220050929</t>
  </si>
  <si>
    <t>SECURE FORECAST SYSTEM TO GENERATE FORECASTS THAT PREVENT UNAUTHORIZED     DATA MODIFICATION AND INCLUDES REPORTS ON A TARGET LEVEL OF INTEGRITY     TRACEABLE TO HIGH INTEGRITY DATA SOURCES</t>
  </si>
  <si>
    <t>17/402310</t>
  </si>
  <si>
    <t>Kades, Terence Malcolm</t>
  </si>
  <si>
    <t>KADES TERENCE</t>
  </si>
  <si>
    <t>Kades; Terence Malcolm; (CHEYENNE, WY)</t>
  </si>
  <si>
    <t>G06F 21/62 20130101;  H04L 2209/38 20130101;  G06F 21/64 20130101;  H04L 9/3263 20130101</t>
  </si>
  <si>
    <t>A driver-based high-integrity forecast source attributing system with     blockchain technology that through its methods and user interface     screens, categorizes scenarios into high-integrity and custom-source     sections and provides a set desired-level of high-integrity accreditation     in the forecast definition. The method incorporates the use of a     weighting system for scenarios and the driver-item pairs within a     scenario that can be applied within the forecast algorithm and generates     a high integrity forecast with a certificate of accreditation which     together with a link to access is encrypted. The system provides method     for making available scenarios and drivers that are both high-integrity     and custom-source and can store endorsements data source type. The system     also provides a method and user interfaces for a recipient of a forecast     to perform what-if modeling of the forecast and stress test the values     and the weights in the drivers and view their effect on the outcome of     the forecast.</t>
  </si>
  <si>
    <t>US20220050917</t>
  </si>
  <si>
    <t>RE-IDENTIFICATION RISK ASSESSMENT USING A SYNTHETIC ESTIMATOR</t>
  </si>
  <si>
    <t>17/400484</t>
  </si>
  <si>
    <t>REPLICA ANALYTICS</t>
  </si>
  <si>
    <t>JIANG; Yangdi; (Ottawa, CA); JIANG; Bei; (Ottawa, CA); KONG; Linglong; (Ottawa, CA); EL EMAM; Khaled; (Ottawa, CA)</t>
  </si>
  <si>
    <t>A risk of re-identifying a particular individual associated with a record     in a dataset can be assessed by synthesizing a dataset from a dataset to     be shared and then sampling a synthetic microdata dataset from the     synthetic dataset. The synthetic dataset and the synthetic microdata     dataset can then be used to estimate the risk of re-identifying an     individual from the dataset to be shared.</t>
  </si>
  <si>
    <t>US20220050877</t>
  </si>
  <si>
    <t>SYSTEMS AND METHODS FOR QUERY AUTOCOMPLETION</t>
  </si>
  <si>
    <t>17/119943</t>
  </si>
  <si>
    <t>Kang; Young Mo; (Redwood City, CA); Liu; Wenhao; (Redwood City, CA); Zhou; Yingbo; (Mountain View, CA)</t>
  </si>
  <si>
    <t>Embodiments described herein provide a query autocompletion (QAC)     framework at subword level. Specifically, the QAC framework employs a     subword encoder that encodes or converts the sequence of input alphabet     letters into a sequence of output subwords. The generated subword     candidate sequences from the subword encoder is then for the n-gram     language model to perform beam search on. For example, as user queries     for search engines are in general short, e.g., ranging from 10 to 30     characters. The n-gram language model at subword level may be used for     modeling such short contexts and outperforms the traditional language     model in both completion accuracy and runtime speed. Furthermore, key     computations are performed prior to the runtime to prepare segmentation     candidates in support of the subword encoder to generate subword     candidate sequences, thus eliminating significant computational overhead.</t>
  </si>
  <si>
    <t>US20220050876</t>
  </si>
  <si>
    <t>17/119941</t>
  </si>
  <si>
    <t>US20220050591</t>
  </si>
  <si>
    <t>METHOD, SYSTEM AND NON-TRANSITORY COMPUTER-READABLE RECORDING MEDIUM FOR     SUPPORTING OBJECT CONTROL</t>
  </si>
  <si>
    <t>17/372680</t>
  </si>
  <si>
    <t>VTOUCH CO., LTD.</t>
  </si>
  <si>
    <t>VTOUCH</t>
  </si>
  <si>
    <t>NA; Jin Hee; (Seoul, KR); KIM; Seok Joong; (Seoul, KR); JUNG; Jik Han; (Yongin-si, KR)</t>
  </si>
  <si>
    <t>G06F 3/04883 20130101;  G06F 3/011 20130101</t>
  </si>
  <si>
    <t>According to one aspect of the present disclosure, there is provided a     method of assisting an object control, comprising the steps of:     determining a first coordinate with reference to, as a trigger     coordinate, a coordinate at a time point when a trigger event relating to     movement of a control means is generated, among motion coordinates of the     control means; determining a second coordinate with reference to at least     one of a distance between the trigger coordinate and the motion     coordinates, a straight line section specified by the trigger coordinate     and the motion coordinates, a distance between the first coordinate and     the motion coordinates, and a straight line section specified by the     first coordinate and the motion coordinates; and determining a motion     vector determined based on the first coordinate and the second coordinate     as an instruction vector for determining a control position in a control     object region.</t>
  </si>
  <si>
    <t>US20220050432</t>
  </si>
  <si>
    <t>17/372706</t>
  </si>
  <si>
    <t>KIM; Seok Joong; (Seoul, KR)</t>
  </si>
  <si>
    <t>A method of assisting an object control is provided. The method includes:     determining an instruction vector with reference to at least one of     whether or not a trigger event relating to a movement of a control means     is generated and a distance between a motion coordinate of the control     means and a control object region; and determining, when a position of     the control means is changed, a control position in the control object     region with reference to a vector that connects a virtual reference point     specified based on an extension line of the instruction vector before the     position of the control means is changed and the motion coordinate of the     control means after the position of the control means is changed.</t>
  </si>
  <si>
    <t>US20220050106</t>
  </si>
  <si>
    <t>METHODS AND KITS FOR DETECTING SARS-CORONAVIRUS-2 ANTIGEN</t>
  </si>
  <si>
    <t>17/400086</t>
  </si>
  <si>
    <t>QUANTERIX CORPORATION</t>
  </si>
  <si>
    <t>QUANTERIX</t>
  </si>
  <si>
    <t>Ball; Andrew; (Billerica, MA); Chang; Lei; (Billerica, MA); Fernandes; Syrena; (Billerica, MA); Hrusovsky; Kevin; (Billerica, MA); Johnson; Joseph; (Billerica, MA); Mattoon; Dawn; (Billerica, MA); Plavina; Tatiana; (Billerica, MA); Shan; Dandan; (Billerica, MA); Wilson; David; (Billerica, MA)</t>
  </si>
  <si>
    <t>The present disclosure relates to methods and compositions, e.g., kits,     for assessing or detecting SARS-CoV-2 antigen(s), e.g., SARS-CoV-2     nucleocapsid protein (N-protein), in a sample or a blood sample, e.g.,     serum, plasma, dried blood spots (DBS) and/or a saliva sample. Certain     applications and uses of the present methods and compositions, e.g.,     kits, are also provided.</t>
  </si>
  <si>
    <t>US20220050105</t>
  </si>
  <si>
    <t>METHOD AND APPARATUS FOR DETECTING VIRUSES IN BIOLOGICAL SAMPLES</t>
  </si>
  <si>
    <t>17/096076</t>
  </si>
  <si>
    <t>BOSTON MOLECULES INC</t>
  </si>
  <si>
    <t>BOSTON MOLECULES</t>
  </si>
  <si>
    <t>Lao; Taotao; (Newton, MA); Xu; Jiang; (Brookline, MA)</t>
  </si>
  <si>
    <t>The present invention relates to a process for detecting a virus that     include the steps of: taking a biosample (e.g. saliva) suspected of     containing a virus, mixing it with a solution comprising nanoparticles     having easily detectable properties (e.g. a color) and also comprising     contrasting microparticles (e.g. clear or white), each having attached     chemical compounds (e.g. antibodies) that selectively bind to the virus     to be detected (e.g. SARS-CoV-2). When suitably mixed together, virus     present in the biosample may bind to the nanoparticles and to the     microparticles, connecting the two. When the mixture is then passed     through a microfluidic assembly with dimensions that trap the     microparticles but pass unbound nanoparticles, the detection of the     presence of nanoparticles bound to the microparticles at the microfluidic     filter indicates the presence of the virus to be detected. The process     may include a concentration step to accelerate binding the virus to the     nano- and micro-particles.</t>
  </si>
  <si>
    <t>US20220050102</t>
  </si>
  <si>
    <t>Lateral Flow Device for Detecting SARS-CoV-2 Antibodies in Human and     Animal Samples</t>
  </si>
  <si>
    <t>17/389473</t>
  </si>
  <si>
    <t>ZOETIS SERVICES LLC</t>
  </si>
  <si>
    <t>ZOETIS</t>
  </si>
  <si>
    <t>Lizer; Joshua T.; (Augusta, MI); Workman; Jason J.; (Wayland, MI); Gillies; James P.; (Allegan, MI); Baima; Eric T.; (Kalamazoo, MI); Mehra; Rajesh K.; (Hayward, CA)</t>
  </si>
  <si>
    <t>G01N 33/54388 20210801;  G01N 33/56983 20130101;  G01N 2333/165 20130101</t>
  </si>
  <si>
    <t>The invention provides a lateral flow device and methods for the     detection of antibodies to severe acute respiratory syndrome coronavirus     2 (SARS-CoV-2) in a sample of bodily fluid of an animal or human. The     test methods include contacting the sample with a conjugate comprising a     recombinant SARS-CoV-2 spike protein antigen that has been conjugated to     a detection agent, wherein an antigen-antibody complex is formed between     the SARS-CoV-2 spike protein antigen conjugate and SARS-CoV-2 antibodies     present in the sample; capturing the formed antigen-antibody complex with     an Fc-binding molecule; and detecting the captured complex.</t>
  </si>
  <si>
    <t>US20220050101</t>
  </si>
  <si>
    <t>DEVICE AND METHOD FOR MEASUREMENT OF SARS-CoV-2 SPECIFIC ANTIGEN IN A     BIOLOGICAL SAMPLE</t>
  </si>
  <si>
    <t>17/322392</t>
  </si>
  <si>
    <t>PATHSHODH HEALTHCARE PVT LTD</t>
  </si>
  <si>
    <t>PATHSHODH HEALTHCARE PVT</t>
  </si>
  <si>
    <t>BHAT; NAVAKANTA; (Sanjaynagar, IN); KUMAR; VINAY; (Sanjaynagar, IN)</t>
  </si>
  <si>
    <t>B01L 2300/0663 20130101;  B01L 2300/024 20130101;  G01N 27/48 20130101;  B01L 2300/027 20130101;  B01L 2300/0645 20130101;  G01N 1/38 20130101;  B01L 3/508 20130101;  B01L 2200/025 20130101;  B01L 9/52 20130101;  B01L 2300/126 20130101;  B01L 2300/023 20130101;  G01N 27/3276 20130101;  G01N 2469/10 20130101;  G01N 27/3277 20130101;  G01N 2333/165 20130101;  B01L 2200/143 20130101;  G01N 33/56983 20130101;  G01N 33/54386 20130101;  B01L 2300/123 20130101</t>
  </si>
  <si>
    <t>A device for retaining a biological sample, for measuring a concentration     of a SARS-CoV2 specific antigen, with SARS-CoV2 antigen-specific and     electrochemically active immunoreceptor that is conjugated with an     electrochemically active substance and optionally including an electrode     reactivity enhancement agent and antibody stabilization agent. The     immunoreceptor is configured to be in chemical contact with electrodes     and a biological sample with SARS-CoV2 specific antigen of the device.     The present invention also provides a device holder for holding the     device of the present invention and a point-of-care biosensor. A method     for measuring a concentration of SARS-CoV2 specific antigen from a     reduced volume of biological sample is also provided in the presence of     the antigen-specific and electrochemically active immunoreceptor, by     measuring a peak value of redox current of the SARS-CoV2 antigen-specific     and electrochemically active immunoreceptor and determining a     concentration of SARS-CoV2 specific antigen in the biological sample, by     linearly matching with a corresponding reference redox current.</t>
  </si>
  <si>
    <t>US20220050074</t>
  </si>
  <si>
    <t>Instant Early Stage Disease Detection by Decoding Organic Compound     Signatures</t>
  </si>
  <si>
    <t>17/244140</t>
  </si>
  <si>
    <t>POSTREL RICHARD</t>
  </si>
  <si>
    <t>Postrel; Richard; (Miami Beach, FL)</t>
  </si>
  <si>
    <t>The present invention provides a process and method for the early     detection and diagnosis of disease by reading and decoding volatile     organic compounds (VOCs) for signatures associated with a specific     disease. From its outset, each disease begins producing its own unique     set of volatile organic compounds. For many diseases, this early-stage     detection may be many months or years before noticeable symptoms. The VOC     emissions when analyzed, result in a "signature" that identifies and     distinguishes the developing, or at later stages, the developed disease.     The device assays non-invasively obtained biosamples in real-time to     output a VOC based signature that, when correlated with data in a disease     signature library, identifies one or more diseases associated with the     sample.</t>
  </si>
  <si>
    <t>US20220050028</t>
  </si>
  <si>
    <t>METHOD AND SYSTEM FOR CLASSIFYING SAMPLE DATA FOR ROBOTICALLY EXTRACTED     SAMPLES</t>
  </si>
  <si>
    <t>16/990366</t>
  </si>
  <si>
    <t>Mohiuddin; Ozman; (Redmond, WA); Sutch; Brian T.; (Pasadena, CA); Mahmood; Mohammad Ali; (Garden Grove, CA)</t>
  </si>
  <si>
    <t>B01L 3/508 20130101;  B01L 2300/0809 20130101;  B01L 3/5029 20130101;  G01N 1/31 20130101;  B01L 2200/0678 20130101;  B01L 2300/021 20130101;  B01L 2300/04 20130101;  G01N 2001/007 20130101;  G01N 2001/028 20130101;  C12Q 1/6806 20130101;  B01L 2200/025 20130101</t>
  </si>
  <si>
    <t>A method of classifying sample data for robotically extracted samples is     disclosed. A specimen is received from a human subject with a potential     infection of a first disease agents or a plurality of disease agents. The     specimen includes genetic material collected from a human subject using a     collection device and stored in a collection carrier. The specimen     includes a unique identifier on the collection carrier. The unique     identifier contains human subject descriptive data. The method classifies     the human subject descriptive data to identify a second disease agent.     The method extracts a sequence of genetic material from the specimen     using an automated robot. The method determines a test result for the     first disease agent as a function of the sequence of genetic material. A     system comprising a computer device configured to classify sample data     for robotically extracted samples is also disclosed.</t>
  </si>
  <si>
    <t>US20220050027</t>
  </si>
  <si>
    <t>LABORATORY (LAB) GRINDERS CAPABLE OF SIMULTANEOUSLY GRINDING MULTIPLE     SAMPLES WITHOUT CROSS-CONTAMINATION AND METHOD OF GRINDING LAB SAMPLES</t>
  </si>
  <si>
    <t>17/398744</t>
  </si>
  <si>
    <t>VIETNAM NATIONAL UNIVERSITY HO CHI MINH CITY</t>
  </si>
  <si>
    <t>VIETNAM NATIONAL UNIVERSITY CHI MINH CITY</t>
  </si>
  <si>
    <t>VO; TOI VAN; (HO CHI MINH, VN)</t>
  </si>
  <si>
    <t>B02C 25/00 20130101;  B02C 19/08 20130101;  G01N 1/286 20130101;  B02C 21/00 20130101;  G01N 2001/2866 20130101</t>
  </si>
  <si>
    <t>A cross-contamination free and efficient laboratory sample grinder is     disclosed which includes: a first housing unit having a plurality of     pestle ejecting pins arranged in a fixed position, a second housing unit     containing a planetary gear system connected to operate an array of     mortars and pestles, and a third housing unit containing a single motor     and controllers; when the first housing unit is in lock position with the     second housing unit, and a third housing unit containing a single motor     and controllers. The first housing unit, the second housing unit, and the     third housing unit are geometrically configured and dimensioned so that     when they are stacked on top of one another they are in lock position and     consequently the array of pestle ejecting pins are lined up with the     plurality of pestle ejecting pins.</t>
  </si>
  <si>
    <t>US20220049865</t>
  </si>
  <si>
    <t>Ventilation airflow in confined spaces to inhibit the transmission of     disease</t>
  </si>
  <si>
    <t>17/399014</t>
  </si>
  <si>
    <t>Breidenthal, JR., Robert Edward</t>
  </si>
  <si>
    <t>BREIDENTHAL</t>
  </si>
  <si>
    <t>Breidenthal, JR.; Robert Edward; (Seattle, WA)</t>
  </si>
  <si>
    <t>The present invention relates to a reduction in the propagation rate of     airborne pathogens by an improved airflow ventilation pattern in confined     spaces, such as in buildings or in vehicles. Since human beings are     normally horizontally disposed with respect to each other, the optimum     airflow pattern minimizes the horizontal component of the airflow     velocity field. This invention addresses the fluid-mechanical     requirements to achieve this goal.</t>
  </si>
  <si>
    <t>US20220049862</t>
  </si>
  <si>
    <t>ELEVATOR CAB AIR PURIFICATION</t>
  </si>
  <si>
    <t>16/994884</t>
  </si>
  <si>
    <t>OTIS ELEVATOR COMPANY</t>
  </si>
  <si>
    <t>OTIS ELEVATOR</t>
  </si>
  <si>
    <t>Derwinski; Patricia; (Farmington, CT); Castro Inzunza; Cuauhtemoc; (Florence, SC)</t>
  </si>
  <si>
    <t>F24F 3/167 20210101;  F24F 8/192 20210101;  F24F 8/22 20210101</t>
  </si>
  <si>
    <t>An illustrative example embodiment of an elevator cab air purification     device includes a housing having an inlet, an outlet, and at least one     air pathway between the inlet and the outlet. A fan module is situated to     cause air flow into the housing through the inlet, through the housing,     and out of the housing through the outlet. The air flow through the     housing includes air flow along the at least one pathway in at least a     first direction. An air purifier is situated within the housing and     configured to purify air that flows along the at least one pathway before     the air exits the housing through the outlet.</t>
  </si>
  <si>
    <t>US20220049483</t>
  </si>
  <si>
    <t>PERSONAL HYGIENE WASHING DEVICES, SYSTEMS, METHODS AND KITS</t>
  </si>
  <si>
    <t>17/403323</t>
  </si>
  <si>
    <t>MAKE THE WORLD LESS CRAPPY, INC.</t>
  </si>
  <si>
    <t>MAKE WORLD LESS CRAPPY</t>
  </si>
  <si>
    <t>MONTGOMERY; Luke; (Chicago, IL); MENAYAS; Barthelemy; (Chicago, IL)</t>
  </si>
  <si>
    <t>Disclosed are systems, devices, methods and kits, for adapting a standard     toilet that works with an existing water supply and/or plumbing to     provide the functionality of a bidet. Additionally, disclosed are     solution delivery systems operable to deliver a soap-free, zero residue     cleaning agent. Also disclosed are fluid delivery devices that provides     improved control of a stream of fluid from a bidet system that targets     the anatomical area of interest.</t>
  </si>
  <si>
    <t>US20220049430</t>
  </si>
  <si>
    <t>SILVER COMPOSITIONS AND METHODS FOR MAKING BIOCIDAL CURRENCY</t>
  </si>
  <si>
    <t>17/403375</t>
  </si>
  <si>
    <t>GOTTHELF, Philip; Wamsley, Brian L.</t>
  </si>
  <si>
    <t>GOTTHELF PHILIP</t>
  </si>
  <si>
    <t>GOTTHELF; Philip; (Closter, NJ); Wamsley; Brian L.; (Nanuet, NY)</t>
  </si>
  <si>
    <t>Compositions and methods for making biocidal currency are disclosed. The     compositions of the within invention contain biocidal silver or silver     compounds, which include elemental silver, nanoparticulate silver,     colloidal silver, inorganic silver, including silver oxide, silver     compounds and silver salts, that exhibit antibacterial and/or antiviral     properties. Ink formulations that are used in the printing of currency,     such as offset printing and intaglio printing, which incorporate the     biocidal silver are also disclosed. In addition, the biocidal silver is     formulated within pulp mixtures during the currency paper or linen-making     processes. Methods of employing the biocidal silver or silver compounds     of this invention include high pressure engravement printing where the     silver impregnates the fiber, being cellulosic fiber, cotton or linen,     forming a permanent biocidal layer within or on the surface of the     currency, and offset printing.</t>
  </si>
  <si>
    <t>US20220049283</t>
  </si>
  <si>
    <t>Method of detecting SARS-CoV-2 cleavage targeted proprotein convertase and     facilitated protease activity</t>
  </si>
  <si>
    <t>16/947760</t>
  </si>
  <si>
    <t>Li, Weiwei; Li, Jessica Mliu; Lee, William Lei</t>
  </si>
  <si>
    <t>WEIWEI</t>
  </si>
  <si>
    <t>Li; Weiwei Li; (Woodbury, NY); Li; Jessica Mliu; (Woodbury, NY); Lee; William Lei; (Mineola, NY)</t>
  </si>
  <si>
    <t>G01N 2800/50 20130101;  C12Q 1/37 20130101;  G01N 21/78 20130101;  G01N 2800/26 20130101;  G01N 33/54306 20130101</t>
  </si>
  <si>
    <t>The present invention provides the methods of detecting the cleavage     activity of PCs and proteases that are in purified form or from a     biological sample and target to SARS-CoV-2 spike protein cleavage.</t>
  </si>
  <si>
    <t>US20220049271</t>
  </si>
  <si>
    <t>ADENOVIRUS VECTORS AND METHODS FOR USING ADENOVIRUS VECTORS</t>
  </si>
  <si>
    <t>17/469569</t>
  </si>
  <si>
    <t>Barry; Michael A.; (Rochester, MN)</t>
  </si>
  <si>
    <t>C12N 2750/14122 20130101;  C12N 2770/20022 20130101;  C12N 7/00 20130101;  A61K 2039/541 20130101;  A61K 39/08 20130101;  A61K 2039/5256 20130101;  A61P 31/04 20180101;  A61P 37/04 20180101;  A61K 9/006 20130101;  A61P 31/14 20180101;  A61K 39/12 20130101;  C12N 15/86 20130101;  C12N 2750/14143 20130101;  C07K 2319/33 20130101;  C07K 14/005 20130101</t>
  </si>
  <si>
    <t>This document provides adenovirus vectors and methods and materials     related to using adenovirus vectors. For example, adenoviruses for     delivering nucleic acid encoding one or more immunogens (e.g., one or     more immunogens associated with a pathogen causing an infection) to cells     within a mammal such that the mammal produces an effective immune     response against the immunogen(s) are provided.</t>
  </si>
  <si>
    <t>US20220049251</t>
  </si>
  <si>
    <t>dsRNA Directed to Coronavirus Proteins</t>
  </si>
  <si>
    <t>17/303051</t>
  </si>
  <si>
    <t>NITTO DENKO TECHNICAL CORPORATION</t>
  </si>
  <si>
    <t>NITTO DENKO TECHNICAL</t>
  </si>
  <si>
    <t>Harborth; Jens; (San Diego, CA); Cina; Cima; (San Diego, CA); Majeti; Bharat; (San Diego, CA); Adami; Roger; (Carlsbad, CA); Ying; Wenbin; (San Diego, CA)</t>
  </si>
  <si>
    <t>C12N 15/113 20130101;  C12N 2310/11 20130101;  C12N 15/86 20130101;  C12N 2310/313 20130101;  C12N 2310/321 20130101</t>
  </si>
  <si>
    <t>Disclosed are compositions that include double-stranded ribonucleic acid     (dsRNA) constructs that inhibit expression or translation of a     Coronavirus protein, and methods of using them to treat MERS, SARS,     Covid-19 and/or symptoms thereof. Some embodiments relate to a method for     preventing, treating, inhibiting, or ameliorating a MERS, SARS, or     Covid-19 symptom using a composition herein disclosed. In some     embodiments the composition targets the lung.</t>
  </si>
  <si>
    <t>US20220049098</t>
  </si>
  <si>
    <t>Zwitterionic Polysiloxane for Biomedical Devices</t>
  </si>
  <si>
    <t>17/398618</t>
  </si>
  <si>
    <t>UNIV PITTSBURGH COMMONWEALTH SYS HIGHER EDUCATION</t>
  </si>
  <si>
    <t>Wagner; William R.; (Gibsonia, PA); Ye; Sang Ho; (Cheswick, PA); Kim; Seungil; (Pittsburgh, PA); Cho; Sung Kwon; (Pittsburgh, PA)</t>
  </si>
  <si>
    <t>A zwitterionic polysiloxane polymer (e.g., a polyurethane elastomer)     composition having poly(dialkylsiloxane) blocks and a zwitterionic moiety     is prepared by the copolymerization of a poly(dialkylsiloxane) diol, a     diisocyanate, a tertiary amine alkyl diol, and a poly(dialkylsiloxane)     diamine to form a poly(urethane urea) copolymer. A substituted saturated     heterocylic compound is reacted with the tertiary amine of the     poly(urethane urea) copolymer to introduce a zwitterionic group into the     poly(urethane urea) copolymer backbone. A polysiloxane polymer having a     zwitterionic moiety is prepared by reacting a diallyl tertiary amine     compound and a substituted saturated heterocylic compound to form a     diallyl zwitterionic macromer and cross-linking a vinyl terminated     poly(dialkylsiloxane) and the diallyl zwitterionic macromer with a curing     agent to introduce a zwitterionic group into the poly(dialkylsiloxane)     polymer.</t>
  </si>
  <si>
    <t>US20220049021</t>
  </si>
  <si>
    <t>FLT3L-Fc FUSION PROTEINS AND METHODS OF USE</t>
  </si>
  <si>
    <t>17/405124</t>
  </si>
  <si>
    <t>Ambrogelly; Alexandre; (Carlsbad, CA); Baca; Manuel; (Lexington, MA); Carr; Brian A.; (Foster City, CA); Chu; Hon Man Hamlet; (El Cerrito, CA); Hung; Magdeleine S.; (Mountain View, CA); Kanwar; Manu; (San Marcos, CA); Kuhne; Michelle R.; (San Francisco, CA); Rehder; Douglas S.; (Bonsall, CA); Schenauer; Matthew R.; (Dana Point, CA); Wilson; Nicholas S.; (San Carlos, CA)</t>
  </si>
  <si>
    <t>C07K 2317/94 20130101;  C07K 14/52 20130101;  A61K 45/05 20130101;  C07K 14/4705 20130101;  C07K 2317/53 20130101;  C07K 19/00 20130101;  A61K 2035/122 20130101;  C12N 15/64 20130101;  C07K 2319/30 20130101</t>
  </si>
  <si>
    <t>Provided are FLT3L-Fc fusion proteins, polynucleotides encoding such     fusion proteins, expression cassettes, vectors, cells and kits comprising     such fusion proteins, and methods of using.</t>
  </si>
  <si>
    <t>US20220048978</t>
  </si>
  <si>
    <t>CR3022 CHIMERIC ANTIGEN RECEPTORS AND METHODS OF USE</t>
  </si>
  <si>
    <t>17/399993</t>
  </si>
  <si>
    <t>Liu; Dongfang; (Millburn, NJ); Ma; Minh; (New Brunswick, NJ); Badeti; Saiaditya; (New Brunswick, NJ)</t>
  </si>
  <si>
    <t>Chimeric antigen receptors (CARs) including an antigen binding domain     specifically binding to coronavirus spike protein, nucleic acids encoding     the CARs, vectors including nucleic acids encoding the CARs, and immune     cells expressing the CARs are provided. Methods of treating a subject     with coronavirus, including administering to the subject an immune cell     expressing a disclosed CAR are also provided.</t>
  </si>
  <si>
    <t>US20220048954</t>
  </si>
  <si>
    <t>SARS-COV2 VACCINE VECTOR METHODS AND COMPOSITIONS</t>
  </si>
  <si>
    <t>17/240902</t>
  </si>
  <si>
    <t>SALK INSTITUTE FOR BIOLOGICAL STUDIES, THE</t>
  </si>
  <si>
    <t>SALK INSTITUTE FOR BIOLOGICAL STUDIES</t>
  </si>
  <si>
    <t>Pao; Gerald; (San Diego, CA); Ogawa; Junko; (San Diego, CA)</t>
  </si>
  <si>
    <t>Provided herein are recombinant nucleic acids and viral vectors thereof     encoding a SARS-CoV-2 spike protein that have been optimized for     expression in mammalian cells.</t>
  </si>
  <si>
    <t>US20220048925</t>
  </si>
  <si>
    <t>Substituted     3,4,12,12a-Tetrahydro-1H-[1,4]Oxazino[3,4-c]Pyrido[2,1-f][1,2,4]Triazine--    6,8-dione, Pharmaceutical Composition, Method for the Production and Use     Thereof</t>
  </si>
  <si>
    <t>16/768892</t>
  </si>
  <si>
    <t>VIRIOM, INC.</t>
  </si>
  <si>
    <t>VIRIOM</t>
  </si>
  <si>
    <t>Ivachtchenko; Alexandre Vasilievich; (Hallandale, FL); Ivashchenko; Andrey Alexandrovich; (Moscow, RU); Mitkin; Oleg Dmitrievich; (Khimki, RU)</t>
  </si>
  <si>
    <t>Influenza is an acute infectious respiratory disease caused by the     influenza virus. It is part of the group of Acute Respiratory Viral     Infections (ARVI). It occasionally spreads in the form of epidemics and     pandemics. Currently, more than 2000 variants of the influenza virus     differing in the antigen spectrum have been identified. Given that     influenza is a serious threat to public health (worldwide, these annual     epidemics lead to 3-5 million cases of severe illness, millions of     hospitalizations, and up to 650,000 deaths), it seems appropriate to     search for new anti-influenza drugs with improved characteristics. The inventors surprisingly found out that the previously unknown     substituted 3,4,12,12a-tetrahydro-1H-[1,4] oxazino[3,4-c]pyrido[2,1-f]     [1,2,4]triazine-6,8-dione of general formula 1, its stereoisomer, their     prodrug, pharmaceutically acceptable salt, solvate, hydrate, and a     crystalline or polycrystalline form thereof are effective agents for     prophylaxis and treatment of viral diseases, including influenza  ##STR00001## where R.sup.1 is     (6,7-difluoro-5,10-dihydrothieno[3,2-c][2]benzothiepin-10-yl,     (7,8-difluoro-4,9-dihydrothieno[2,23-c][2]benzothiepin-4-yl,     (3,4-difluorophenyl)(phenyl)methyl,     (3,4-difluorophenyl)(2-methylsulfanylphenyl)methyl, diphenylmethyl,     bis(4-fluorophenyl)-methyl; R.sup.2 is hydrogen or a protective group     selected from a series comprising (C1-C3 alkyl) oxycarbonyloxy, {[(C1-C3     alkyl)oxycarbonyl]-oxy}methoxy, {[2-(C1-C3 alkyl) oxyethoxy]carbonyl}oxy,     ({[(1R)-2-[(C1-C3alkyl)oxy]-1-methylethoxy} carbonyl)oxy,     {[(3S)-ethoxyfuran-3-yloxy]-carbonyl}oxy, [(ethoxy-2H-pyran-4-yloxy)     carbonyl]oxy,{[(1-acetylazetidine)-3-yloxy]carbonyl}oxy, {[(C1-C3alkyl)     oxycarbonyl]-oxy}methoxy, ({[2-(C1-C3 alkyl)oxyethoxy]carbonyl}oxy)     methoxy.</t>
  </si>
  <si>
    <t>US20220048754</t>
  </si>
  <si>
    <t>CONSUMABLE-LIQUID DISPENSER</t>
  </si>
  <si>
    <t>17/395652</t>
  </si>
  <si>
    <t>IMCP LLC</t>
  </si>
  <si>
    <t>IMCP</t>
  </si>
  <si>
    <t>SCHNACKE; Ulrich Bernd; (Weddington, NC); GLUCKSMAN; Dov; (Winchester, MA); MILLER; Michael; (Tewksbury, MA); ROJEE; Andrew; (Derry, NH); GROSSI; Joseph; (Amesbury, MA)</t>
  </si>
  <si>
    <t>A refrigerated consumable-liquid dispenser. A consumable-liquid container     is carried in a covered refrigerated housing that includes a heat     exchanger for maintaining consumable-liquid at a predetermined     temperature which may be pre-selected depending on the type of     consumable-liquid being carried. A dispensing tube provides a conduit for     the consumable-liquid. To dispense the consumable-liquid, a pressure     differential is produced in response to the user command, whereby the     pressure on the liquid in the container is greater than the pressure at a     dispensing port. User command may be achieved without physical contact     with the consumable-liquid dispenser, for sanitary and health related     considerations.</t>
  </si>
  <si>
    <t>US20220048738</t>
  </si>
  <si>
    <t>ELEVATOR CAB VENTILATION</t>
  </si>
  <si>
    <t>16/991413</t>
  </si>
  <si>
    <t>An illustrative example embodiment of an elevator cab ventilation device     includes a fan module and a ventilation controller that is configured to     control operation of the fan module based on an indication of a position     of at least one door of the elevator cab. The controller is configured to     control the fan module to operate in a first mode to move a first amount     of air per unit time when the door is in a first open position. The     controller is configured to control the fan module to operate in a second     mode to move a second, larger amount of air per unit time when the door     is in a second, different open position.</t>
  </si>
  <si>
    <t>US20220048659</t>
  </si>
  <si>
    <t>AUTOMATIC PLASTIC BAG OPENING DEVICE</t>
  </si>
  <si>
    <t>17/399936</t>
  </si>
  <si>
    <t>GULESSERIAN ARA</t>
  </si>
  <si>
    <t>Gulesserian; Ara; (Glendale, CA)</t>
  </si>
  <si>
    <t>B65B 43/267 20130101;  B65B 43/30 20130101;  B65B 57/00 20130101</t>
  </si>
  <si>
    <t>A bag opening apparatus includes one or more processors; a motor     assembly; one or more gearing assemblies; one or more shaft assemblies;     one or more gripping assemblies; and one or more bag sensor assemblies.     The one or more bag sensor assemblies detect a leading edge of the bag     and communicates a signal or command to one or more processors. The bag     opening apparatus includes one or more memory devices and     computer-readable instructions stored in the one or more memory devices.     The computer-readable instructions are executable by the one or more     processors to communicate with the motor assembly to activate the motor     assembly, the motor assembly to rotate and cause movement of the one or     more gearing assemblies, the one or more shaft assemblies and the one or     more gripping assemblies.</t>
  </si>
  <si>
    <t>US20220048633</t>
  </si>
  <si>
    <t>AIRCRAFT CABIN DISINFECTION</t>
  </si>
  <si>
    <t>16/949453</t>
  </si>
  <si>
    <t>Michalakos; Peter M.; (Arlington Heights, IL); Childers; Amanda; (Arlington Heights, IL); Isella; Giorgio C.; (Culver City, CA); Lippold; Tim; (Huntington Beach, CA); Skomurski; Sean; (Highland Park, IL)</t>
  </si>
  <si>
    <t>B64D 2013/0651 20130101;  A61L 2/22 20130101;  A61L 2202/25 20130101;  B64D 2013/0688 20130101;  B64D 13/06 20130101;  A61L 2202/15 20130101</t>
  </si>
  <si>
    <t>The disclosure describes a method for disinfecting an aircraft cabin that     includes injecting a non-peroxide disinfectant into an environmental     control system of an aircraft and discharging cabin supply air through     the environmental control system to discharge the non-peroxide     disinfectant into the aircraft cabin. In some instances, the method     includes aerosolizing the disinfectant into a plurality of liquid     droplets while injecting the disinfectant into the environmental control     system. In some instances, the injected disinfectant includes a     non-corrosive, non-toxic disinfectant, such that the disinfectant may be     discharged into the aircraft cabin in the presence of personnel in the     aircraft cabin.</t>
  </si>
  <si>
    <t>US20220048628</t>
  </si>
  <si>
    <t>PORTABLE AIRLINE INTER-PASSENGER SHIELD</t>
  </si>
  <si>
    <t>17/213618</t>
  </si>
  <si>
    <t>WINDHAM PACKAGING, LLC</t>
  </si>
  <si>
    <t>WINDHAM PACKAGING</t>
  </si>
  <si>
    <t>Varriano-Marston; Elizabeth; (Windham, NH); LaCourse; Casey B.; (Sutton, VT)</t>
  </si>
  <si>
    <t>An apparatus for inhibiting cross contamination by airborne droplets     between adjacent passengers on an aircraft comprises a case in which a     flexible shield can be stored, and from which the shield can be deployed     in a vertical, substantially flat configuration, where it is maintained     by an extension mechanism. The shield can be coiled within the case when     not deployed, and can be retractable by a ratchet and spring when     deployment is terminated. An attachment mechanism positions the case     between the passengers by fixing the case to a structure such as an arm     rest. The extension mechanism can include one or more rigid or semi-rigid     rods. The case or shield can include a storage cavity for storage of the     rods when not deployed. The attachment mechanism can include an arm rest     clamp and/or an insertion member that can pivot downward for insertion     between a seat cushion and adjacent structure.</t>
  </si>
  <si>
    <t>US20220047980</t>
  </si>
  <si>
    <t>SELF-CONTAINED SURGICAL SMOKE DETOXIFIER</t>
  </si>
  <si>
    <t>17/399838</t>
  </si>
  <si>
    <t>PATIENTPOCKET LLC</t>
  </si>
  <si>
    <t>PATIENTPOCKET</t>
  </si>
  <si>
    <t>Seftel; Allen D.; (Camden, NJ)</t>
  </si>
  <si>
    <t>An integrated surgical smoke filtration and detoxification system. The     system includes a housing that may include an interior chamber for     detoxification and filtration performed by a detoxification system. The     detoxification system may include a suction device and a filter and may     be used to receive surgical smoke through a first portion of the chamber     and exhaust detoxified surgical smoke through a second portion of the     chamber.</t>
  </si>
  <si>
    <t>US20220047902</t>
  </si>
  <si>
    <t>AEROSOL-REDUCING VACUUM FACEMASK</t>
  </si>
  <si>
    <t>17/400008</t>
  </si>
  <si>
    <t>McRae; Bryan R.; (Salt Lake City, UT); Smith; Jared L.; (Salt Lake City, UT)</t>
  </si>
  <si>
    <t>Improved facemask designs are disclosed herein. The improved facemask is     designed to provide a sucking airflow that sucks aerosolized particles     emitted from a person's mouth towards a filtration unit. By providing     this sucking airflow, medical personnel can work on the user's mouth and     facial area without worrying about breathing in the aerosolized     particles. The facemask includes a covering portion that covers a user's     nose and mouth. The facemask includes a central lumen that is configured     to permit access to the user's nose and/or mouth. The facemask further     includes an access port configured to enable airflow communication     between the covering portion and a bilateral vacuum. Airflow is directed     away from the central lumen towards the bilateral vacuum. By directing     the airflow in this manner, aerosolized particles emitted from the user's     mouth are removed in an effective amount to decrease expulsion of the     aerosolized particles outside of the vacuum facemask.</t>
  </si>
  <si>
    <t>US20220047898</t>
  </si>
  <si>
    <t>METHOD, APPARATUS AND SYSTEM FOR REDUCING PATHOGENS IN A BREATHABLE     AIRSTREAM</t>
  </si>
  <si>
    <t>17/402025</t>
  </si>
  <si>
    <t>TOMPHYZX.LLC</t>
  </si>
  <si>
    <t>TOMPHLLC</t>
  </si>
  <si>
    <t>Dunbar; Thomas; (Dundee, NY)</t>
  </si>
  <si>
    <t>A handheld device for treating air to a user includes an airflow path     having an illumination chamber with a reflective surface, wherein the     reflective surface is sufficiently reflective and configured to impart     multiple reflections of at least a portion of the light introduced into     the illumination chamber. The introduced light is produced by an onboard     UV light generator, wherein the UV light generator can be cycled     corresponding to at least one of a pressure and an airflow in the airflow     path.</t>
  </si>
  <si>
    <t>US20220047879</t>
  </si>
  <si>
    <t>SYSTEM AND METHOD FOR DELIVERY A FLOW OF ELECTRONS FOR INHALATION OR     INGESTION BY AN ORGANISM</t>
  </si>
  <si>
    <t>16/994598</t>
  </si>
  <si>
    <t>LI, ZHENHUA</t>
  </si>
  <si>
    <t>LI ZHENHUA</t>
  </si>
  <si>
    <t>Li; Zhen; (Toronto, CA)</t>
  </si>
  <si>
    <t>A system is disclosed for supplying a system and method for delivering a     flow of electrons to an organism's airway for inhalation or mouth for     ingestion. The system includes a pre-stage rectification and filtering     module, a power conversion module, a post-stage rectification and     filtering module, an output module, an over voltage protection module, a     current-limiting protection module, and a pulse width controller. Each of     these modules and components is configured to deliver a suitable voltage     and flow of electrons via the output module comprising a negative     electrode that emits electrons into the air stream, which then enters the     organism's air passages (e.g. nose). Electrons emitted through the skin     of the organism are captured by the output module's positive electrode.     The flow of electrons from the system, to and through the organism and     back to the system promotes cell metabolism and improved biological     functioning of the organism.</t>
  </si>
  <si>
    <t>US20220047838</t>
  </si>
  <si>
    <t>One-Way CPAP/BiPAP Mask</t>
  </si>
  <si>
    <t>16/991228</t>
  </si>
  <si>
    <t>MINHAS IMRAN</t>
  </si>
  <si>
    <t>MINHAS; IMRAN; (WEST CHESTER, OH)</t>
  </si>
  <si>
    <t>A61M 16/0644 20140204;  A61M 16/0666 20130101;  A61M 2016/0027 20130101;  A61M 16/1065 20140204;  A61M 16/208 20130101;  A61M 16/0003 20140204</t>
  </si>
  <si>
    <t>An article of manufacture for a one-way CPAP/BiPAP mask is disclosed. The     article includes a mask covering a mouth and nose of a user, an inlet for     connecting to a CPAP/BiPAP machine, an exhalation port having an     interlocking ring, and a removable filtering tube having an attachment     end and an exhalation end. The removable filtering tube has an attachment     port located at the attachment end and configured to connect to the     interlocking ring of the exhalation port, a filtered exhalation opening     located at the exhalation end, and a filter element located between the     attachment port and the filtered exhalation opening, the filter permits     air from within the mask leave the filtered exhalation opening while     removing any pathogens present in the user's exhalations.</t>
  </si>
  <si>
    <t>US20220047768</t>
  </si>
  <si>
    <t>CONCEALED AIR SANITIZATION DEVICE WITH UV LIGHT SOURCES</t>
  </si>
  <si>
    <t>17/404279</t>
  </si>
  <si>
    <t>PROSTAR TECHNOLOGIES, INC.</t>
  </si>
  <si>
    <t>PROSTAR</t>
  </si>
  <si>
    <t>Miller; Michael Alan; (Winter Garden, FL); Maxik; Fredric; (Cocoa Beach, FL); Sampson; Todd Brinley; (Orlando, FL); Zhou; Ran; (Rockledge, FL)</t>
  </si>
  <si>
    <t>A61L 2209/111 20130101;  A61L 9/20 20130101;  A61L 2209/134 20130101;  A61L 2209/12 20130101</t>
  </si>
  <si>
    <t>A concealed air sanitization device is disclosed. The concealed air     sanitization device comprises a housing having an interior chamber, and     an air inlet and outlet communicating between the interior chamber and an     exterior environment. The concealed air sanitization device further     comprises an air circulation unit configured to draw air into the     interior chamber through the air inlet, one or more ultraviolet light     sources disposed within the interior chamber, and one or more sensors     configured to detect human presence proximate the air sanitization     device. The concealed air sanitization device further comprises a     processor configured to receive signals from the sensors in response to     detection of human presence, and activate the air circulation unit and     ultraviolet light sources in response to the detection to draw air from     the exterior environment into the interior chamber and emit ultraviolet     light to the air.</t>
  </si>
  <si>
    <t>US20220047766</t>
  </si>
  <si>
    <t>METHOD, APPARATUS AND SYSTEM FOR REDUCING PATHOGENS IN A BREATHABLE     AIRSTREAM IN AN ENVIRONMENT</t>
  </si>
  <si>
    <t>17/401874</t>
  </si>
  <si>
    <t>A61L 2209/14 20130101;  A61L 2209/111 20130101;  A61L 9/20 20130101;  A61L 2209/16 20130101;  A61L 2209/12 20130101</t>
  </si>
  <si>
    <t>An air flow system for reducing pathogens in a breathable airstream in an     environment has a device having an airstream intake for receiving a     volume of untreated air located in a first position, an airstream outlet     for expelling a volume of treated air, the airstream outlet located in a     second position extending above the first position, a flow path extending     between the airstream intake and the airstream outlet, at least one of a     UV generator and a UV-C emitter optically coupled to the flow path, a     power source operably connected to the one of the at least one of the UV     generator and the UV emitter, and a pressure generator fluidly connected     to the airstream intake, the pressure generator configured to impart a     flow from the airstream intake to the airstream outlet, wherein the     pressure generator can be at least one of a force of flow from in line     pressurized source or provided by a fan within the housing, and wherein a     portion of the flow path includes a UV-C highly reflective surface.</t>
  </si>
  <si>
    <t>US20220047759</t>
  </si>
  <si>
    <t>INACTIVATION OF AEROSOLIZED MICROORGANISMS USING DIRECTED ENERGY</t>
  </si>
  <si>
    <t>17/208038</t>
  </si>
  <si>
    <t>Keshavarz-Nia; Navid; (Temecula, CA); Manzi; David G.; (Tucson, AZ); Myrehn, SR.; Ross E.; (Albuquerque, NM)</t>
  </si>
  <si>
    <t>A system includes one or more radio frequency (RF) emitters configured to     transmit RF energy into a specified area in order to inactivate one or     more specified microorganisms in the specified area. The system also     includes a control system configured to control the one or more RF     emitters in order to adjust the RF energy transmitted by the one or more     RF emitters. The control system is configured to obtain information     identifying different types of microorganisms that are or might be     present in the specified area over time and to adjust the RF energy     transmitted by the one or more RF emitters in order to target the     different types of microorganisms for inactivation over time.</t>
  </si>
  <si>
    <t>US20220047758</t>
  </si>
  <si>
    <t>Portable Air Sterilizer for Respirators Used in Infectious Environments</t>
  </si>
  <si>
    <t>17/390011</t>
  </si>
  <si>
    <t>BLUESTEM BIO, INCORPORATED</t>
  </si>
  <si>
    <t>BLUESTEM BIO</t>
  </si>
  <si>
    <t>Ionescu; Cazemir-Benedict; (Vladiceasca, RO); Radu; Radu; (Bucharest, RO)</t>
  </si>
  <si>
    <t>A61L 9/16 20130101</t>
  </si>
  <si>
    <t>A portable air sterilization device is disclosed that attaches to     respirators, and is used for the personal protection of individuals     working in highly infectious environments for extended periods of time.     The air sterilization device is portable and deactivates 99.99%-100% of     aerosolized viruses and bacteria present in the infected air. To     sterilize the infected air, the device uses the method of thermal stress.</t>
  </si>
  <si>
    <t>US20220047744</t>
  </si>
  <si>
    <t>CHARGING ASSEMBLY FOR SANITIZING CONTAINER</t>
  </si>
  <si>
    <t>17/404940</t>
  </si>
  <si>
    <t>SANTRAIL LLC</t>
  </si>
  <si>
    <t>SANTRAIL</t>
  </si>
  <si>
    <t>Clark; Sheffield; (Southlake, TX); Zieres; Craig; (Fort Worth, TX)</t>
  </si>
  <si>
    <t>H02J 7/0044 20130101;  A61L 2/10 20130101;  A61L 2202/11 20130101;  A61L 2202/16 20130101;  A61L 2/26 20130101;  A61L 2202/23 20130101</t>
  </si>
  <si>
    <t>A system and method for a charging assembly designed to sanitize the     exterior of sanitizing containers is provided. The system and method of     the present disclosure are generally designed to provide power to a     plurality of sanitizing containers within a cavity that contains     ultraviolet (UV) emitters used to sanitize the exterior of the sanitizing     containers. To this end, the system and method of the present disclosure     may comprise a vessel, charging pins, power supply, and circuitry     connecting the power supply to the various components of the system.     Spacing rods may be used to support the containers within the internal     cavity at an angle to reduce movement, which may allow for a more even     distribution of UV light. To reduce unwanted exposure to UV light,     switches may be used to allow for the control of power to the UV     emitters.</t>
  </si>
  <si>
    <t>US20220047743</t>
  </si>
  <si>
    <t>PORTABLE UV SANITIZATION DEVICE</t>
  </si>
  <si>
    <t>17/404275</t>
  </si>
  <si>
    <t>A portable ultraviolet sanitization device is disclosed that includes a     gripping portion, an ultraviolet electromagnetic radiation emitter     portion, and a power source. The ultraviolet electromagnetic radiation     emitter portion is disposed at a distal end of the gripping portion. The     ultraviolet electromagnetic radiation emitter portion includes one or     more ultraviolet light sources, such as light emitting diodes or excimer     lamps. The power source is in electrical connection with the one or more     ultraviolet light sources. The sanitization device is used to sanitize     surfaces by eliminating viruses and other microorganisms. The     sanitization device is particularly well-equipped to sanitize surfaces     that are used intermittently, such as airplane cabins, restaurant seating     areas, or similarly occupied spaces.</t>
  </si>
  <si>
    <t>US20220047742</t>
  </si>
  <si>
    <t>METHOD AND APPARATUS FOR PROVIDING SELF-STERILIZING SANITARY BARRIER</t>
  </si>
  <si>
    <t>17/403426</t>
  </si>
  <si>
    <t>UNIVERSITY OF CENTRAL FLORIDA RESEARCH FOUNDATION, INC.</t>
  </si>
  <si>
    <t>UNIVERSITY CENTRAL FLORIDA</t>
  </si>
  <si>
    <t>CHOI; Hwan; (Orlando, FL); GUO; Zhishan; (Orlando, FL); RAMEZANI; Sepehr; (Orlando, FL); CRAWFORD; Matthew; (Orlando, FL)</t>
  </si>
  <si>
    <t>A method and apparatus for providing a self-sterilizing sanitary barrier     is disclosed. The apparatus includes a housing defining an interior space     configured to receive a mask sheet such that the mask sheet is movable     from a first position covering a portion of a face of a user to a second     position within the interior space of the housing. The apparatus also     includes a light source mounted within the interior space and configured     to emit radiation to sterilize the mask sheet in the second position. The     method includes steps including donning the apparatus on the user and     moving the mask from the first position to the second position. The     method further includes emitting radiation from the light source within     the housing to sterilize the mask sheet in the second position.</t>
  </si>
  <si>
    <t>US20220047739</t>
  </si>
  <si>
    <t>Modular ultraviolet light panel</t>
  </si>
  <si>
    <t>17/401003</t>
  </si>
  <si>
    <t>NEMESIS UVC LLC</t>
  </si>
  <si>
    <t>NEMESIS UVC</t>
  </si>
  <si>
    <t>Wade; Eric L.; (Garland, TX); Early; John; (Garland, TX); Wade; Aaron; (Garland, TX)</t>
  </si>
  <si>
    <t>A UV light unit. The UV light unit may comprise one or more components     which 1) expose surfaces, areas, and spaces to UV light sufficient to     disinfect and/or sanitize the surfaces, areas, and spaces, 2) provide one     or more non-UV light sources configured to illuminate the surfaces,     areas, and spaces, and 3) provide air filtration/purification or     cleaning.</t>
  </si>
  <si>
    <t>US20220047737</t>
  </si>
  <si>
    <t>BIN DISINFECTION SYSTEM</t>
  </si>
  <si>
    <t>17/399550</t>
  </si>
  <si>
    <t>PRIMEFLIGHT AVIATION SERVICES INC</t>
  </si>
  <si>
    <t>PRIMEFLIGHT AVIATION</t>
  </si>
  <si>
    <t>Zwirn; Edward; (Sugar Land, TX)</t>
  </si>
  <si>
    <t>A disinfection system for disinfecting at least one bin, comprises a     housing, a lifting mechanism, at least one UV-C light and a pair of upper     brackets. The housing is defined by an open top and an access opening.     The lifting mechanism moves the at least one bin in a vertical plane. The     UV-C light is disposed within the housing along a pathway in which the     bin is moved by the lifting mechanism. A pair of catches are configured     to hold the bin in suspension above the open top after being disinfected.</t>
  </si>
  <si>
    <t>US20220047734</t>
  </si>
  <si>
    <t>AIRCRAFT DISINFECTING SYSTEM</t>
  </si>
  <si>
    <t>17/032940</t>
  </si>
  <si>
    <t>Michalakos; Peter; (Des Plaines, IL); Saxena; Sunit Kumar; (Bangalore, IN); Yates; Stephen; (Des Plaines, IL)</t>
  </si>
  <si>
    <t>A61L 2202/14 20130101;  A61L 2/10 20130101;  A61L 2202/25 20130101;  A61L 2202/16 20130101;  A61L 2/24 20130101</t>
  </si>
  <si>
    <t>An aircraft disinfecting system. The system includes a trolley that can     move along an aisle of an aircraft and an arm assembly coupled to the     trolley. The arm assembly includes at least first and second arms that     can extend over one or more seats on either side of the aisle along     respective axes of extension. An electromagnetic radiation apparatus     coupled to the trolley and the arm assembly for disinfecting, by     electromagnetic irradiation, surfaces associated with the seats. The     first and second arms are rotatable about the axes of extension,     respectively.</t>
  </si>
  <si>
    <t>US20220047731</t>
  </si>
  <si>
    <t>METHOD FOR INACTIVATION OF A PATHOGEN COLONY IN SPACES, SURFACES AND     OBJECTS USING ELECTROMAGNETIC RADIATION</t>
  </si>
  <si>
    <t>17/371523</t>
  </si>
  <si>
    <t>EMOLED S.R.L.</t>
  </si>
  <si>
    <t>EMOLED</t>
  </si>
  <si>
    <t>TARGETTI; Lorenzo; (Firenze, IT)</t>
  </si>
  <si>
    <t>A61L 2202/21 20130101;  A61L 2/0029 20130101</t>
  </si>
  <si>
    <t>A method for the inactivation of viruses and/or bacteria by at least 50%,     or the disinfection and sanitization from bacteria and/or viruses, in     spaces, surfaces or objects uses an electromagnetic radiation having a     wavelength comprised between 410 nm and 430 nm. In particular, it relates     to irradiating the area to be disinfected or sanitized with an     electromagnetic radiation having a wavelength comprised between 410 nm     and 430 nm for a time interval between 5 minutes and 180 minutes, a power     density comprised between 13 mW/cm.sup.2 and 120 mW/cm.sup.2 and an     energy density comprised between 30 J/cm.sup.2 and 220 J/cm.sup.2. The     electromagnetic radiation is irradiated at a distance between the source     of the electromagnetic radiation and the irradiated space, surface or     object between 30 centimeters to 1.5 meters.</t>
  </si>
  <si>
    <t>US20220047712</t>
  </si>
  <si>
    <t>IMMUNOCONJUGATES TARGETING CD46 AND METHODS OF USE THEREOF</t>
  </si>
  <si>
    <t>17/395358</t>
  </si>
  <si>
    <t>FORTIS THERAPEUTICS, INC.</t>
  </si>
  <si>
    <t>FORTIS THERAPEUTICS</t>
  </si>
  <si>
    <t>NASOFF; Marc; (La Jolla, CA); DORR; Andrew; (Solana Beach, CA)</t>
  </si>
  <si>
    <t>Disclosed herein are immunoconjugates comprising a CD46 binding domain     and effector agent. Further provided herein are methods of treating     cancer comprising administering to a subject having cancer a     pharmaceutical composition comprising immunoconjugates comprising a CD46     binding domain and effector agent.</t>
  </si>
  <si>
    <t>US20220047697</t>
  </si>
  <si>
    <t>SALMONELLA VACCINE FOR THE TREATMENT OF CORONAVIRUS</t>
  </si>
  <si>
    <t>17/402014</t>
  </si>
  <si>
    <t>JULIUS-MAXIMILIANS-UNIVERSITAET WUERZBURG</t>
  </si>
  <si>
    <t>Rudel; Thomas; (Wurzburg, DE); Bergmann; Birgit; (Wurzburg, DE)</t>
  </si>
  <si>
    <t>The present invention provides live-attenuated bacterium of the genus     Salmonella comprising a recombinant plasmid encoding a fusion protein,     wherein the fusion protein comprises a coronavirus antigen and an     adjuvant peptide.</t>
  </si>
  <si>
    <t>US20220047696</t>
  </si>
  <si>
    <t>ANTI-CORONAVIRUS VACCINES</t>
  </si>
  <si>
    <t>17/389724</t>
  </si>
  <si>
    <t>Baima; Eric Todd; (Kalamazoo, MI); Burakova; Yulia; (Byron Center, MI); Dominowski; Paul Joseph; (Kalamazoo, MI); Dunham; Steven Alan; (Kalamazoo, MI); Hainer; Nicole Lynn; (Kalamazoo, MI); Hardham; John Morgan; (Kalamazoo, MI); Kumar; Mahesh; (Portage, MI); Millership; Jason John; (Portage, MI); Mwangi; Duncan M.; (Portage, MI); Rai; Sharath K.; (Portage, MI); Wappel; Sharon Marie; (Kalamazoo, MI); Foss; Dennis Lee; (Mattawan, MI)</t>
  </si>
  <si>
    <t>A61K 2039/55577 20130101;  A61K 2039/55588 20130101;  A61K 2039/525 20130101;  A61K 2039/55511 20130101;  A61K 2039/55561 20130101;  A61K 2039/552 20130101;  A61K 39/215 20130101;  A61K 2039/545 20130101;  A61P 31/14 20180101</t>
  </si>
  <si>
    <t>The invention provides stable coronavirus spike proteins. Immunogenic     compositions comprising same and the methods of using these immunogenic     compositions are also provided.</t>
  </si>
  <si>
    <t>US20220047686</t>
  </si>
  <si>
    <t>METHODS FOR TREATING INFECTIOUS DISEASES</t>
  </si>
  <si>
    <t>17/384039</t>
  </si>
  <si>
    <t>Asirvatham; Samuel J.; (Rochester, MN)</t>
  </si>
  <si>
    <t>A61K 31/529 20130101;  A61M 15/009 20130101;  A61M 2202/064 20130101;  A61K 41/0047 20130101;  A61K 9/0073 20130101;  A61K 38/4813 20130101;  A61K 31/4706 20130101;  A61K 31/4965 20130101;  A61K 31/4709 20130101;  A61N 1/327 20130101;  A61M 2205/054 20130101</t>
  </si>
  <si>
    <t>Various methods and devices of treating infectious diseases are     described. In one example embodiment, a method of treating an infectious     disease in an individual in need thereof is provided, including     administering a therapeutic agent to the individual and electroporating a     tissue of the individual, wherein the therapeutic agent is inhalable.</t>
  </si>
  <si>
    <t>US20220047663</t>
  </si>
  <si>
    <t>FORMULATION FOR INHIBITING VIRUS REPLICATION</t>
  </si>
  <si>
    <t>17/167380</t>
  </si>
  <si>
    <t>GANJU, SHIBBAN KRISHEN</t>
  </si>
  <si>
    <t>GANJU SHIBBAN</t>
  </si>
  <si>
    <t>DAMLE; Hrishikesh; (Bangalore, IN)</t>
  </si>
  <si>
    <t>The present invention is related to a novel formulation comprising active     pharmaceutical ingredients, optionally in combination with other active     pharmaceutical ingredients which are capable of inhibiting replication of     the virus belonging to the family Coronaviridae. The present invention     formulation includes Andrographis paniculata, PVP K30 and Acrylic     polymer. The present invention further relates to different     pharmaceutical formulations that have different modes of application.</t>
  </si>
  <si>
    <t>US20220047592</t>
  </si>
  <si>
    <t>METHODS OF TREATING RESPIRATORY DISEASES USING C5a INHIBITORS</t>
  </si>
  <si>
    <t>17/400257</t>
  </si>
  <si>
    <t>CHEMOCENTRYX, INC.</t>
  </si>
  <si>
    <t>CHEMOCENTRYX</t>
  </si>
  <si>
    <t>CAPPEL; Markus J.; (San Carlos, CA)</t>
  </si>
  <si>
    <t>Provided herein are methods of treating a respiratory disease in a     subject in need thereof by administering an effective amount of a small     molecule C5a inhibitor. Also provided herein are methods of treating     coronavirus disease 2019 (COVID-19) in a subject in need thereof by     administering an effective amount of a small molecule C5a inhibitor. In     some embodiments, the small molecule C5a inhibitor is a compound of     Formula (I), Formula (II), Formula (III), Formula (IV) or an embodiment     described herein.</t>
  </si>
  <si>
    <t>US20220047571</t>
  </si>
  <si>
    <t>COMPOSITIONS FOR AND METHODS OF INHIBITING SARS-COV2 INFECTION</t>
  </si>
  <si>
    <t>17/402419</t>
  </si>
  <si>
    <t>TEXAS SOUTHERN UNIVERSITY</t>
  </si>
  <si>
    <t>Olaleye; Omonike A.; (Houston, TX)</t>
  </si>
  <si>
    <t>A61K 45/06 20130101;  A61P 31/14 20180101;  A61K 33/30 20130101;  A61K 31/47 20130101;  A61K 31/137 20130101</t>
  </si>
  <si>
    <t>Severe Acute Respiratory Syndrome Coronavirus 2 (SARS-CoV-2), the     etiological agent for coronavirus disease 2019 (COVID-19), has emerged as     an ongoing global pandemic. Presently, there are no clinically approved     vaccines nor drugs for COVID-19. Hence, there is an urgent need to     accelerate the development of effective antivirals. One or more members     of the 8-Hydroxyquinoline and Benzylamine structural classes inhibited     SARS-CoV-2 infection induced cytopathic effect in vitro, inhibited the     exopeptidase activity of angiotensin converting enzyme 2 (ACE2), and     disrupted the binding between ACE2 and the Spike protein of SARS-CoV-2.     This abstract is intended as a scanning tool for purposes of searching in     the particular art and is not intended to be limiting of the present     invention.</t>
  </si>
  <si>
    <t>US20220047545</t>
  </si>
  <si>
    <t>Management; Vaccine</t>
  </si>
  <si>
    <t>Coronavirus; Prevention</t>
  </si>
  <si>
    <t>Micronutrient combination to inhibit coronavirus cell infection</t>
  </si>
  <si>
    <t>17/402396</t>
  </si>
  <si>
    <t>RATH, MATTHIAS W</t>
  </si>
  <si>
    <t>RATH MATTHIAS</t>
  </si>
  <si>
    <t>Niedzwiecki; Aleksandra; (Henderson, NV); Rath; MATTHIAS W.; (Henderson, NV); Ivanov; Vadim; (CASTRO VALLEY, CA); Goc; Anna; (SANJOSE, CA)</t>
  </si>
  <si>
    <t>The way the SARS-CoV-2 virus infects the cell is a complex process and     comprises four main stages: attachment to the cognate receptor, cellular     entry, replication and cellular egress. Targeting binding of the virus to     the host receptor in order to prevent its entry has been of particular     interest. We tested 56 polyphenols, including plant extracts, brazilin,     theaflavin-3,3'-digallate, and curcumin displayed the highest binding     with the receptor-binding domain of spike protein, inhibiting viral     attachment to the human angiotensin-converting enzyme 2 receptor, and     thus cellular entry of pseudo-typed SARS-CoV-2 virions. Both,     theaflavin-3,3'-digallate at 25 .mu.g/ml and curcumin above 10 .mu.g/ml     concentration, showed binding with the angiotensin-converting enzyme 2     receptor reducing at the same time its activity in both cell-free and     cell-based assays. Our study also demonstrates that brazilin and     theaflavin-3, 3'-digallate, curcumin, decrease the activity of     transmembrane serine protease 2 both in cell-free and cell-based assays     and moderately increased endosomal/lysosomal pH.</t>
  </si>
  <si>
    <t>US20220047518</t>
  </si>
  <si>
    <t>PEG LIPIDS AND USES THEREOF</t>
  </si>
  <si>
    <t>17/277452</t>
  </si>
  <si>
    <t>Hennessy; Edward J.; (Westwood, MA); Benenato; Kerry; (Sudbury, MA)</t>
  </si>
  <si>
    <t>A61K 8/11 20130101;  C07D 239/00 20130101;  A61K 8/86 20130101;  A61K 47/24 20130101;  A61K 47/22 20130101;  C07C 69/708 20130101;  A61Q 19/00 20130101;  A61K 47/28 20130101;  A61K 47/14 20130101;  C07C 321/14 20130101;  C07D 317/32 20130101;  A61K 9/5123 20130101;  A61K 47/18 20130101;  A61K 2800/413 20130101;  C07C 223/02 20130101;  A61K 2800/10 20130101;  A61K 31/7105 20130101</t>
  </si>
  <si>
    <t>The present disclosure in part provides compounds (i.e., PEG lipids)     which are useful in pharmaceutical compositions, cosmetic compositions,     and drug delivery systems, e.g, for use in lipid nanoparticle (LNP)     formulations. The present disclosure also provides LNP formulations     comprising PEG lipids described herein, and methods of using the same.     For example, the LNPs provided herein are useful for the delivery of an     agent (e.g, therapeutic agent) to a subject. The PEG lipids and LNPs     provided herein, in certain embodiments, exhibit increased PEG shedding     compared to existing PEG lipids and LNP formulations.</t>
  </si>
  <si>
    <t>US20220047229</t>
  </si>
  <si>
    <t>RADIODIAGNOSTIC APPARATUS AND METHOD OF OPERATING RADIODIAGNOSTIC     APPARATUS</t>
  </si>
  <si>
    <t>17/358054</t>
  </si>
  <si>
    <t>TAKATA; Kenji; (Kanagawa, JP); NISHI; Yoshihiro; (Kanagawa, JP); TSUBOTA; Keiji; (Kanagawa, JP)</t>
  </si>
  <si>
    <t>A61B 6/0414 20130101;  A61L 2202/11 20130101;  A61L 2/10 20130101;  A61B 6/0435 20130101;  A61B 6/4452 20130101;  A61L 2202/24 20130101</t>
  </si>
  <si>
    <t>A breast imaging apparatus includes a radiation source that irradiates a     breast of a subject with radiation, a radiation detector that detects the     radiation transmitted through the breast to output a radiographic image,     an ultraviolet light source that performs irradiation of ultraviolet     light, and a controller that controls an operation of the ultraviolet     light source. The controller prohibits the irradiation of the ultraviolet     light by the ultraviolet light source in a case where a predetermined set     condition is satisfied. The controller determines that the set condition     is satisfied, for example, in a case where a person is shown in a     captured image of a camera.</t>
  </si>
  <si>
    <t>US20220047223</t>
  </si>
  <si>
    <t>Virtual Patient Care (VPC) Platform Measuring Vital Signs Extracted from     Video During Video Conference with Clinician</t>
  </si>
  <si>
    <t>17/084952</t>
  </si>
  <si>
    <t>COOEY HEALTH, INC.</t>
  </si>
  <si>
    <t>COOEY HEALTH</t>
  </si>
  <si>
    <t>Gondi; Srikanth; (Sunnyvale, CA); Puthana; Suman; (San Jose, CA); Rathinasamy; Rajesh Kumar; (Allen, TX); Mahadevan; Uma; (Cupertino, CA)</t>
  </si>
  <si>
    <t>A Virtual Patient Care (VPC) platform establishes a video call between a     patient application and a clinician application. During the video call     Selfie Vitals are measured using the selfie camera on the patient's     smartphone. The patient's video is paused to the clinician and sent to     Artificial Intelligence (AI) engines using remote Photoplethysmography     (rPPG) or Transdermal Optical Imaging (TOI) techniques to extract vital     signs. Pulse, blood pressure, oxygen saturation, and respiration rate     vital signs are generated and displayed on the clinician' s user     interface. Audio continues while video conferencing may be paused during     vitals measurement. The patient's smartphone can perform pre-processing     to generate metadata that is sent to a VPC server with more powerful AI     engines. Vitals measurement can be initiated by the patient selecting a     Selfie Vitals icon on a patient user interface during the video     conference call or can be initiated by the clinician.</t>
  </si>
  <si>
    <t>US20220047163</t>
  </si>
  <si>
    <t>17/358050</t>
  </si>
  <si>
    <t>A breast imaging apparatus includes a radiation source that irradiates a     breast of a subject with radiation, a radiation detector that detects the     radiation transmitted through the breast to output a radiographic image,     and an ultraviolet light source that performs irradiation of ultraviolet     light. The ultraviolet light source irradiates an imaging table, a face     guard, a pressing plate, and the like with the ultraviolet light in a     case where a turn-on command signal input from an operator through an     input device is input.</t>
  </si>
  <si>
    <t>US20220047160</t>
  </si>
  <si>
    <t>CEILING AI HEALTH MONITORING APPARATUS AND REMOTE MEDICAL-DIAGNOSIS METHOD     USING THE SAME</t>
  </si>
  <si>
    <t>17/184698</t>
  </si>
  <si>
    <t>RESEARCH &amp; BUSINESS FOUNDATION SUNGKYUNKWAN UNIVERSITY</t>
  </si>
  <si>
    <t>RESEARCH BUSINESS FOUNDATION SUNGKYUNKWAN UNIVERSITY</t>
  </si>
  <si>
    <t>YOO; Jae-Chern; (Suwon-si, KR)</t>
  </si>
  <si>
    <t>A ceiling artificial intelligence (AI) health monitoring system, includes     a monitoring device provided on a ceiling of a space to acquire health     information from a patient, and a medical management device configured to     apply the health information of the patient acquired to an artificial     intelligence-based learning model to determine health condition     information of the patient and provide the determination result to a     doctor monitor. The medical management device is configured to provide     remote medical diagnosis information from the doctor monitor to a user     terminal.</t>
  </si>
  <si>
    <t>US20220047126</t>
  </si>
  <si>
    <t>PERSONAL HYGIENE DEVICE</t>
  </si>
  <si>
    <t>17/128979</t>
  </si>
  <si>
    <t>JACKSON MELISSA</t>
  </si>
  <si>
    <t>Jackson; Melissa; (Houston, TX)</t>
  </si>
  <si>
    <t>A personal hygiene device that includes a front side and a base. The     front side has a cleaning surface comprising a mesh material configured     for exfoliating a user's skin. The base is configured for coupling the     device to surface, such as a bathroom surface. In aspects, the bathroom     surface is a side of a bathtub or shower wall.</t>
  </si>
  <si>
    <t>US20220047070</t>
  </si>
  <si>
    <t>MODULAR OUTDOOR CLASSROOM DESKS</t>
  </si>
  <si>
    <t>17/399615</t>
  </si>
  <si>
    <t>PLAYCORE WISCONSIN, INC.</t>
  </si>
  <si>
    <t>PLAYCORE WISCONSIN</t>
  </si>
  <si>
    <t>Fauley; Kyle; (Grants Pass, OR); Brower; Thomas; (Merlin, OR); Hutchinson; Wesley; (Selma, OR); Millard; Timothy; (Grants Pass, OR); Schatza; CJ; (Grants Pass, OR)</t>
  </si>
  <si>
    <t>A47B 2200/12 20130101;  A47B 39/12 20130101;  A47B 83/023 20170801;  A47B 87/002 20130101;  A47B 39/02 20130101</t>
  </si>
  <si>
    <t>A set of modular classroom desks configured for outdoor use is presently     described. Each classroom desk includes a bench seat; a table unit having     a top surface; and first and second legs, each of which is coupled to     both the bench seat and the table unit. The classroom desks of the set     are configured to be releasably attached together in either a     side-by-side orientation or a face-to-face orientation. In the     side-by-side orientation, the top surfaces of the classroom desks form a     planar tabletop surface, and the bench seats of the classroom desks form     a planar seating surface. In the face-to-face orientation, the top     surfaces of the classroom desks form a planar tabletop surface. In this     manner, a number of classroom desks may be attached together, for     instance to form a picnic table.</t>
  </si>
  <si>
    <t>US20220047060</t>
  </si>
  <si>
    <t>Eyeliner Pencil with Disposable Tips</t>
  </si>
  <si>
    <t>17/402292</t>
  </si>
  <si>
    <t>GANNON SHAB</t>
  </si>
  <si>
    <t>Gannon; Shab; (Glen Head, NY)</t>
  </si>
  <si>
    <t>A45D 40/205 20130101;  A45D 40/24 20130101;  A45D 2040/207 20130101</t>
  </si>
  <si>
    <t>An eyeliner pencil with disposable tips is presented. The eyeliner pencil     with disposable tips contains a pencil body, at least one tip insert, and     at least one fastening element. The at least one fastening element is     distributed about the pencil body. Each of the at least one tip insert is     removably attached to each of the at least one fastening element. The at     least one fastener element allows the user to replace the at least one     tip insert along the pencil body, facilitating sterile use and     application of make-up.</t>
  </si>
  <si>
    <t>US20220047055</t>
  </si>
  <si>
    <t>SANITIZING HAIR DRYER</t>
  </si>
  <si>
    <t>16/993593</t>
  </si>
  <si>
    <t>CONAIR CORPORATION</t>
  </si>
  <si>
    <t>CONAIR</t>
  </si>
  <si>
    <t>WOJCZAK; SOPHIA; (HARRISON, NY)</t>
  </si>
  <si>
    <t>A hair dryer includes a housing having a handle portion and a nozzle     portion, a motor within the housing, a fan drivingly connected to the     motor within the housing, a heating element within the housing, and at     least one ultraviolet light emitting element within the nozzle portion,     the at least one ultraviolet light emitting element being configured to     irradiate a flow passage of the nozzle portion with ultraviolet light. At     least a portion of the housing adjacent to the at least one ultraviolet     light emitting element is transparent or translucent allowing the     ultraviolet light to be viewed from exterior to the housing.</t>
  </si>
  <si>
    <t>US20220047050</t>
  </si>
  <si>
    <t>PERSONAL ANTIMICROBIAL CARRIER</t>
  </si>
  <si>
    <t>17/402319</t>
  </si>
  <si>
    <t>PAC, LLC</t>
  </si>
  <si>
    <t>PAC</t>
  </si>
  <si>
    <t>Ferrari; Tamara Icardi; (Burlingame, CA); Leininger; Carol McEnaney; (Burlingame, CA)</t>
  </si>
  <si>
    <t>A01N 59/20 20130101;  D01F 11/127 20130101;  D10B 2401/13 20130101;  A45C 1/02 20130101;  D01F 1/103 20130101;  C23C 16/06 20130101</t>
  </si>
  <si>
    <t>An exemplary personal carrier includes a housing defining a space, and an     antimicrobial metal incorporated into the housing. According to one     exemplary embodiment, the housing can be any carrying type object and can     include an anti-microbial material deposited or infused therein.</t>
  </si>
  <si>
    <t>US20220047036</t>
  </si>
  <si>
    <t>Hat With Air Curtain</t>
  </si>
  <si>
    <t>17/399770</t>
  </si>
  <si>
    <t>Kurmlavage; Michael M.; (Monroeville, NJ)</t>
  </si>
  <si>
    <t>A42B 1/02 20130101;  A42C 5/04 20130101;  A42B 1/017 20210101;  A42B 1/014 20210101</t>
  </si>
  <si>
    <t>Provided is a hat that creates an air curtain between a wearer and the     external environment to prevent contact with contaminants, pathogens,     insects, and the like. The device includes a hat with a fan, an air     intake, a power switch, a power source, an interior channel, and release     points. Air is directed into the hat through the air intake, which then     travels through the interior channel towards the release points. The air     is compressed and expelled through release points, which are angled     downward and away from the wearer. The flow of air creates an air curtain     separating the wearer from the external environment.</t>
  </si>
  <si>
    <t>US20220047027</t>
  </si>
  <si>
    <t>CONVERTIBLE HAT WITH STORAGE COMPARTMENT</t>
  </si>
  <si>
    <t>17/400036</t>
  </si>
  <si>
    <t>Marquez Diaz, Beatriz; Sanchez Marquez, Mario</t>
  </si>
  <si>
    <t>MARQUEZ DIAZ</t>
  </si>
  <si>
    <t>Marquez Diaz; Beatriz; (Long Beach, CA); Sanchez Marquez; Mario; (Long Beach, CA)</t>
  </si>
  <si>
    <t>A convertible hat comprising a cap portion comprising one or more panels;     a liner directly opposite said cap portion wherein said liner is coupled     to said cap portion thereby forming a storage compartment; a first band     and a second band parallel said first band located alongside a portion of     said cap portion; and a resealable opening on the cap portion to allow     access to the storage compartment wherein the resealable opening is     located between and below the first band and the second band such that     the resealable opening is imperceptible.</t>
  </si>
  <si>
    <t>US20220047017</t>
  </si>
  <si>
    <t>FACE MASKS AND OTHER PROTECTIVE DEVICES HAVING ENHANCED VIRUS ENTRAPMENT     EFFICIENCY, AND RELATED METHODS</t>
  </si>
  <si>
    <t>17/402355</t>
  </si>
  <si>
    <t>AXIM Biotechnologies</t>
  </si>
  <si>
    <t>AXIM</t>
  </si>
  <si>
    <t>SVAROVSKY; Sergei A.; (San Diego, CA); HUEMOELLER; John; (San Diego, CA)</t>
  </si>
  <si>
    <t>Protective devices with enhanced entrapment efficiency and related     methods are provided herein. Contemplated protective devices include face     masks having a filtration material and an     infectious-agent-capture-moiety. In some aspects, ACE2 is applied to mask     material during the construction of the material it is applied to, during     construction of the mask, or after construction of the mask. In some     aspects, the infectious agent the infectious-agent-capture-moiety     captures is SARS-CoV-2.</t>
  </si>
  <si>
    <t>US20220047014</t>
  </si>
  <si>
    <t>Cup for capturing aerosolized mucosal droplets</t>
  </si>
  <si>
    <t>17/388565</t>
  </si>
  <si>
    <t>LIZOTTE PIERRE</t>
  </si>
  <si>
    <t>Lizotte; Pierre; (Burnaby, CA)</t>
  </si>
  <si>
    <t>A cup for capturing droplets expelled during coughing or sneezing, the     cup has a sidewall having an inner surface and an outer surface. The     sidewall has a lip portion of sufficient size for a snug substantially     circumferential location over a nose and mouth of an intended user. The     sidewall is configured and sized to be hand-held. An absorbent liner is     located against the inner surface of the sidewall, the absorbent liner     being sufficiently absorbent to capture and hold the expelled droplets     during coughing or sneezing.</t>
  </si>
  <si>
    <t>US20220047009</t>
  </si>
  <si>
    <t>SMART MASK WITH PRINTED ELECTRONICS</t>
  </si>
  <si>
    <t>17/036936</t>
  </si>
  <si>
    <t>Bermak; Amine; (Doha, QA); Khan; Saleem; (Doha, QA); Ali; Shawkat; (Doha, QA)</t>
  </si>
  <si>
    <t>A61B 5/02055 20130101;  A41D 13/11 20130101;  A41D 1/002 20130101</t>
  </si>
  <si>
    <t>A facial mask configured to be worn by a user includes a mask substrate,     a temperature and respiration rate sensor for monitoring the temperature     and breathing rate of the user, a humidity sensor for monitoring the     humidity of the breath of the user, and a cough sensor for monitoring the     cough rate of the user. The sensors may be printed onto a sensor array     substrate, which is then secured to the mask substrate. The sensors     provide real-time monitoring of the temperature, the breathing rate, the     humidity, and the cough rate of the user.</t>
  </si>
  <si>
    <t>US20220046960</t>
  </si>
  <si>
    <t>BEVERAGE COMPOSITION AND PROCESS</t>
  </si>
  <si>
    <t>17/398827</t>
  </si>
  <si>
    <t>RUPPMAN KURT H</t>
  </si>
  <si>
    <t>RUPPMAN KURT</t>
  </si>
  <si>
    <t>RUPPMAN; Kurt H.; (Allen, TX)</t>
  </si>
  <si>
    <t>A61K 33/00 20130101;  C02F 1/68 20130101;  A23L 33/125 20160801;  A23L 2/60 20130101;  A23L 33/15 20160801;  A61K 9/0095 20130101;  A23L 2/68 20130101;  A23L 33/40 20160801;  B01F 23/23764 20220101;  A23L 33/16 20160801;  A23L 2/54 20130101;  A23L 33/175 20160801;  B01F 23/232 20220101;  B01F 23/2319 20220101;  A23L 33/105 20160801;  B01F 2101/14 20220101;  A61K 9/0053 20130101;  A61K 31/198 20130101</t>
  </si>
  <si>
    <t>A beverage comprising a hydrogen-infused, degassed water and a     nonessential amino acid are disclosed. The beverage can further include a     natural sweetener, a dicarboxylic acid, a tricarboxylic acid, an     .alpha.-amino acid, an electrolyte, a caffeine composition, and a Vitamin     B composition. Also disclosed is a method for making such beverage. The     beverage provides benefits to health.</t>
  </si>
  <si>
    <t>US20220046927</t>
  </si>
  <si>
    <t>DISINFECTANT COMPOSITIONS AND METHODS OF MAKING AND USING THE SAME</t>
  </si>
  <si>
    <t>17/402270</t>
  </si>
  <si>
    <t>JOHNSON THOMAS</t>
  </si>
  <si>
    <t>Johnson; Tom; (Overland Park, KS); Nanjee; Amyn; (Overland Park, KS); Goradia; Prerna Sonthalia; (Mumbai, IN)</t>
  </si>
  <si>
    <t>Disclosed are efficient anti-viral compositions for application to     surfaces, or within bulk materials, in order to effectively prevent the     spread of the SARS-CoV-2 virus and other viruses or microbes. The     disclosed silver-containing composition is particularly effective for its     anti-viral properties due to a controlled release of silver ions over     time. Some variations provide a disinfectant composition comprising: a     silver-containing compound; a polymer; a reducing agent; and optionally,     a wetting agent. Certain embodiments provide a disinfectant composition     comprising: silver nitrate; a polymer; a reducing agent; optionally, a     wetting agent; optionally, a binding agent; and water as solvent. The     disinfectant composition may be in solution, gel, spray, foam, dry, or     other form, for application to a substrate surface or impregnation into     an object. The disinfectant composition may be applied to plastics,     glass, wood, metals, metal alloys, ceramics, paper, cardboard, fabrics,     textiles, and human skin, for example.</t>
  </si>
  <si>
    <t>US20220046124</t>
  </si>
  <si>
    <t>DISPOSABLE PHONE CASE INCLUDING FITTING MEANS</t>
  </si>
  <si>
    <t>17/131727</t>
  </si>
  <si>
    <t>TENER ASHLEY</t>
  </si>
  <si>
    <t>Tener; Ashley; (Brooklyn, NY)</t>
  </si>
  <si>
    <t>H04B 1/3888 20130101;  H04M 1/17 20130101;  G06F 1/1626 20130101;  H04B 1/3877 20130101;  G06F 2200/1633 20130101</t>
  </si>
  <si>
    <t>A case for PDAs is disclosed. The case is particularly suitable for     maintaining mobile telephones free of infectious agents. The case     includes a barrier material defining a body configured to enclose a PDA,     and at least one drawstring fastener, wherein: (a) the case is configured     to convert between a relaxed configuration which facilitates transfer of     the PDA into and out of the case, and a fitted configuration which     conforms more closely to the PDA enclosed therein, (b) the at least one     fastener is configured to reversibly retain the case in the fitted     configuration, and (c) the barrier material is effective to prevent     viruses and bacteria from penetrating therethrough.</t>
  </si>
  <si>
    <t>US20220045858</t>
  </si>
  <si>
    <t>Systems and Methods for Privacy-Reserving Data Hiding</t>
  </si>
  <si>
    <t>17/395974</t>
  </si>
  <si>
    <t>NEW JERSEY INSTITUTE OF TECHNOLOGY</t>
  </si>
  <si>
    <t>NEW JERSEY INSTITUTE</t>
  </si>
  <si>
    <t>Gotsman; Craig; (Jersey City, NJ); Hormann; Kai; (Pregassona, CH)</t>
  </si>
  <si>
    <t>Described in detail herein is a method for encrypting or encoding     time-stamped location data associated with a computing device. The method     converts time and location information associated with the computing     device into a vector format. The method generates a code vector based on     the converted time and location vector. The method sorts entries in the     code vector based at least in part on a predetermined ordering scheme.     The method executes a random modification to each of the sorted entries.     The method compares the code vector to at least one other code vector     associated with another computing device. The method identifies other     code vectors within a specified distance of the given code vector. The     method concludes that the computing device and the at least one other     computing device were in proximity to each other during a time period     corresponding to the time information.</t>
  </si>
  <si>
    <t>US20220044828</t>
  </si>
  <si>
    <t>SYSTEMS AND METHODS FOR TREATING PATIENTS WITH DISEASES ASSOCIATED WITH     VIRUSES</t>
  </si>
  <si>
    <t>17/471962</t>
  </si>
  <si>
    <t>Errico; Joseph P.; (Palm Beach Gardens, FL); Simon; Bruce J.; (Mountain Lakes, NJ); Staats; Peter; (Atlantic Beach, FL); Errico; Thomas; (Coral Gables, US)</t>
  </si>
  <si>
    <t>Systems and methods are provided for treating an inflammatory or allergic     response associated with a replicating pathogen, such as a virus in the     coronaviridae family. The methods include emitting an electrical impulse     near a vagus nerve within the patient sufficient to inhibit or reduce an     inflammatory or allergic response in the patient, provide relief for     bronchoconstriction that results in the tightening of airways and the     inability to breath without ventilator support and/or lessen the abnormal     blot clotting that develops in some patients. The systems and methods are     particularly useful for treating post-COVID conditions or post-acute     sequelae of COVID-19 that develop in "long-haul" or COVID patients.</t>
  </si>
  <si>
    <t>US20220044827</t>
  </si>
  <si>
    <t>BIOLOGICAL INFECTION DETECTION METHOD, BIOLOGICAL INFECTION DETECTION AND     PERSONNEL CONTROL METHOD AND BIOLOGICAL INFECTION RESPONSE SYSTEM</t>
  </si>
  <si>
    <t>17/350056</t>
  </si>
  <si>
    <t>CHANG, WEN HSIH</t>
  </si>
  <si>
    <t>CHANG WEN</t>
  </si>
  <si>
    <t>CHANG; WEN-HAN; (TAIPEI, TW)</t>
  </si>
  <si>
    <t>The present invention is provided a biological infection detection     method, which includes the steps (a) is providing a screening kit with an     identification code and a detection area; step (b) is binding an identity     of a screened person and the identification code, wherein the     identification code is binding the identity is defined as an associated     identification code; step (c) is setting a biological sample of the     screened person in the detection area; step (d) is generating a test     result of the detected biological sample in the detection area; step (e)     is to compare the associated identification code to ensure the test     result belong to the screened person; and step (f), based on the test     result, to determine whether the biological sample belongs to a first     state, a second state, or an undeterminable state. The invention also     provides a biological infection detection and personnel control method     and biological infection response system.</t>
  </si>
  <si>
    <t>US20220044800</t>
  </si>
  <si>
    <t>SYSTEM AND METHOD FOR MANAGING PROPERTY SHOWING APPOINTMENTS BASED ON     HEALTH PARAMETERS</t>
  </si>
  <si>
    <t>16/984982</t>
  </si>
  <si>
    <t>MFTB HOLDCO, INC.</t>
  </si>
  <si>
    <t>MFTB HOLDCO</t>
  </si>
  <si>
    <t>Woodard; Scott E.; (New Buffalo, MI); Caputo; Michael P.; (Aurora, IL)</t>
  </si>
  <si>
    <t>G16H 40/67 20180101;  G06Q 50/163 20130101</t>
  </si>
  <si>
    <t>A real estate showing appointment management system manages showing     appointments based on a health parameter of a showing contact. The health     parameter can be the body temperature. The system includes a server     system running a server software application and remote software     application running on a remote device. The remote software application     configures the thermometer of the remote device to take body temperature     of the showing contact. The thermometer can be an infrared thermometer.     The remote software application determines whether the body temperature     meets a threshold relying on the server system or by itself. When the     showing contact passes the health check, the remote software application     retrieves a showing directive for the showing contact to proceed with     showing the listing of a showing appointment. The showing directive is     presented by the remote device for the showing contact.</t>
  </si>
  <si>
    <t>US20220044776</t>
  </si>
  <si>
    <t>HEALTHCARE SYSTEM BASED ON DEVICES AND WEARABLES</t>
  </si>
  <si>
    <t>17/508568</t>
  </si>
  <si>
    <t>Cerner Innovation</t>
  </si>
  <si>
    <t>CERNER INNOVATION</t>
  </si>
  <si>
    <t>Pillarisetty; Satya Krishna; (Bangalore, IN); Kumar; Krishna; (Bangalore, IN); Kotekar; Mahesh Vilas; (Bangalore, IN); Premakumar; Pradeep; (Bangalore, IN); Dharmamoorthy; Thampuraj; (Bangalore, IN)</t>
  </si>
  <si>
    <t>G16H 10/60 20180101;  G16H 50/30 20180101;  G16H 40/67 20180101</t>
  </si>
  <si>
    <t>A computerized method is presented for improving medical records of an     individual based on received information from a device or wearable, the     method comprising: retrieving from a record-keeping database     medical-related information associated with the individual; retrieving     from a device associated with the individual a measurable factor;     determining, based at least partly on the medical-related information,     that the measurable factor poses a medical risk to the individual; and     communicating instructions to the record-keeping database to store, in     association with the individual, information related to the medical risk.     Other methods may associate a location with a medical risk. Other methods     may aggregate medical information received from devices or wearables and     associate it with a location. Mapping this information with regard to     locations may allow early prediction of an epidemic.</t>
  </si>
  <si>
    <t>US20220044772</t>
  </si>
  <si>
    <t>AUTOMATED ELECTRONIC PATIENT CARE RECORD DATA CAPTURE</t>
  </si>
  <si>
    <t>17/396206</t>
  </si>
  <si>
    <t xml:space="preserve">Zoll Medical </t>
  </si>
  <si>
    <t>ZOLL MEDICAL</t>
  </si>
  <si>
    <t>Moghadam; Alexander N.; (Boulder, CO); Freeman; Gary A.; (Waltham, MA); Early; Keenan S.; (Denver, CO); Baca DeGarie; Angela L.; (Golden, CO); Goutmann; Peter G.; (Gibsonia, PA); Scott; Allyn E.; (Boulder, CO); Whannel; John R.; (Littleton, CO)</t>
  </si>
  <si>
    <t>A patient data charting system for automated data capture by an     electronic patient care record (ePCR) generated during a patient     encounter with emergency medical services (EMS) includes a local     computing device including a processor, and a memory storing an ePCR     including ePCR data fields, and a user interface device communicatively     coupled to the local computing device and including a microphone and     speaker, wherein the microphone may be configured to capture spoken     patient encounter information, wherein the processor may be configured to     receive the spoken patient encounter information as text information from     a speech-to-text conversion application, determine at least one ePCR data     field value based on the text information, populate at least one ePCR     data field with the at least one ePCR data field value, generate     caregiver prompts based on the at least one ePCR data field value, and     provide the audible caregiver prompts to the caregiver via the speaker.</t>
  </si>
  <si>
    <t>US20220044589</t>
  </si>
  <si>
    <t>Systems and methods for helping language learners learn more</t>
  </si>
  <si>
    <t>17/355155</t>
  </si>
  <si>
    <t>PERSAUD CHRISTOPHER</t>
  </si>
  <si>
    <t>Persaud; Christopher; (Winnetka, CA)</t>
  </si>
  <si>
    <t>The invention includes a group of programs that help people learn     languages. The programs include explanations of the grammatical rules of     the language that a user is trying to learn, and statistical analyses of     the types of errors that the individual user makes, and ways that these     errors can be corrected. Most embodiments reinforce students' language     learning using systems of visual displays, data graphics, and a "grammar     of graphics". The programs can be run on cellular phones, computers, and     other electronic devices. The programs can be used by a student to learn     a language, or by an instructor to augment a class being taught to     students. Some embodiments also allow a student to preserve records of     his or her progress and the types of errors that he or makes, between     classes, allowing an instructor to tailor a class to the strengths and     weaknesses of the students in the class.</t>
  </si>
  <si>
    <t>US20220044269</t>
  </si>
  <si>
    <t>SYSTEM AND METHOD FOR CONTACTLESS SALES USING LOCATION-BASED SERVICES</t>
  </si>
  <si>
    <t>17/394503</t>
  </si>
  <si>
    <t>BANDITS ROOST LLC</t>
  </si>
  <si>
    <t>BANDITS ROOST</t>
  </si>
  <si>
    <t>Silberman-Sais; Cori; (New York, NY); Sais; Michael; (New York, NY)</t>
  </si>
  <si>
    <t>G06F 16/24575 20190101;  G06Q 30/0252 20130101;  G06Q 30/0207 20130101;  G06Q 30/0267 20130101;  G06Q 30/0261 20130101;  G06Q 20/0457 20130101</t>
  </si>
  <si>
    <t>A system for facilitating transactions at a venue, the system comprising     a processor and a memory having executable instructions stored thereon     that when executed by the processor cause the processor to determine a     location of a client device based on location sensor data received from     the client device, select an offer based on the location of the client     device and an event at a venue a user of the client device is attending,     and generate a message to the client device based on the offer.</t>
  </si>
  <si>
    <t>US20220044188</t>
  </si>
  <si>
    <t>METHODS, SYSTEMS, AND DEVICES FOR PORTABLE ENVIRONMENT CONTROLLED     CONTAINERS</t>
  </si>
  <si>
    <t>17/393445</t>
  </si>
  <si>
    <t>PAVEL &amp; SPRAUVE LLC</t>
  </si>
  <si>
    <t>PAVEL SPRAUVE</t>
  </si>
  <si>
    <t>ESCOBAR; Steven S.; (San Jose, CA); SPRAUVE; Michael; (San Jose, CA); Pavel; Michael; (San Francisco, CA)</t>
  </si>
  <si>
    <t>Disclosed are portable containers for delivering food products from a     central location to a remote location. More specifically, the disclosure     relates to portable containers for delivering food products operable to     maintain an environment for the food product during the delivery process.</t>
  </si>
  <si>
    <t>US20220044164</t>
  </si>
  <si>
    <t>SOCIALLY DISTANT ENTERTAINMENT VENUE</t>
  </si>
  <si>
    <t>17/027805</t>
  </si>
  <si>
    <t>GIAMMANCO, VINCENT LEONARD</t>
  </si>
  <si>
    <t>GIAMMANCO VINCENT</t>
  </si>
  <si>
    <t>GIAMMANCO; VINCENT LEONARD; (Ventura, CA)</t>
  </si>
  <si>
    <t>A 360 degree viewing stage for viewing an event or concert outdoors that     provides for socially distant viewing for vehicles The venue with the     stage provides a socially distant entertainment venue that provides a     safe environment for both the performers and the audience while still     providing an experience for the viewer that they experienced prior to the     pandemic.</t>
  </si>
  <si>
    <t>US20220043840</t>
  </si>
  <si>
    <t>METHOD AND SYSTEM FOR SELF-AGGREGATION OF PERSONAL DATA AND CONTROL     THEREOF</t>
  </si>
  <si>
    <t>17/507457</t>
  </si>
  <si>
    <t>WILSHINSKY MURRAY B</t>
  </si>
  <si>
    <t>WILSHINSKY MURRAY</t>
  </si>
  <si>
    <t>Wilshinsky; Murray B.; (Battle Ground, WA)</t>
  </si>
  <si>
    <t>G06F 16/285 20190101;  G06F 9/547 20130101;  G06F 9/451 20180201;  G06F 21/6254 20130101;  G06F 16/2237 20190101</t>
  </si>
  <si>
    <t>A method includes receiving, by a logic layer processor, over a     communication network, from a plurality of electronic resources, initial     user personal identifiable information (PII) of a user of a plurality of     users. The user PII includes a plurality of data elements. The plurality     of data elements of the initial PII of the user are classified to     populate a profile map data structure having a standardized predefined     data schema of a plurality of vector elements so as to form a     user-specific profile map data structure of the user. Additional user     personal identifiable information (PII) of the user is iteratively     received from the plurality of electronic resources. The additional user     PII of the user is iteratively classified to update the user-specific     profile map data structure of the user. A plurality of user-specific data     management software functions is enabled based on the user-specific     profile map data structure.</t>
  </si>
  <si>
    <t>US20220043619</t>
  </si>
  <si>
    <t>METHOD AND ELECTRONIC DEVICE FOR PROJECTING EVENT INFORMATION ON REFLECTOR     DEVICE CONNECTED TO ELECTRONIC DEVICE</t>
  </si>
  <si>
    <t>17/397445</t>
  </si>
  <si>
    <t>Deshbhratar; Anand; (Noida, IN); Meghawat; Mayank; (Noida, IN); Kumar; Vijayanand; (Noida, IN); Chaudhary; Vidushi; (Noida, IN)</t>
  </si>
  <si>
    <t>G06V 40/10 20220101;  G06F 3/14 20130101;  G06V 30/274 20220101;  H04N 5/232 20130101;  G06T 7/70 20170101;  G06T 2207/30196 20130101</t>
  </si>
  <si>
    <t>A method for operating an electronic device includes: based on detection     of an event, activating at least one reflector device connected to the     electronic device; controlling the at least one reflector device to have     an angle with respect to the electronic device such that a view position     of a user is placed on the at least one reflector device; and controlling     to display, on a display of the electronic device, event information     associated with the detected event to be reflected to the at least one     reflector device.</t>
  </si>
  <si>
    <t>US20220043263</t>
  </si>
  <si>
    <t>SYSTEM AND METHOD FOR DISTANCED INTERACTIVE EXPERIENCES</t>
  </si>
  <si>
    <t>17/507945</t>
  </si>
  <si>
    <t>WIECZOREK, MARK D.</t>
  </si>
  <si>
    <t>WIECZOREK MARK</t>
  </si>
  <si>
    <t>Wieczorek; Mark D.; (San Diego, CA)</t>
  </si>
  <si>
    <t>G02B 27/017 20130101;  G02B 2027/0141 20130101;  A63F 13/00 20130101;  G02B 2027/0138 20130101</t>
  </si>
  <si>
    <t>Systems and methods according to present principles allow social     distancing within themed attractions such as haunted attractions in order     to allow the enjoyment of the same in various circumstances. These     circumstances include times of pandemic, for customers that are afraid to     congregate in large groups, for customers that desire to control aspects     of the experience, and so on.</t>
  </si>
  <si>
    <t>US20220043000</t>
  </si>
  <si>
    <t>METHODS AND KITS FOR DETECTING SARS-COV-2 PROTEIN IN A SAMPLE</t>
  </si>
  <si>
    <t>17/393824</t>
  </si>
  <si>
    <t>Abbott Laboratories</t>
  </si>
  <si>
    <t>ABBOTT LABORATORIES</t>
  </si>
  <si>
    <t>Muerhoff; A. Scott; (Abbott Park, IL); Yoshimura; Toru; (Tokyo, JP); Hemken; Philip M.; (Abbott Park, IL); Israeli; Eitan; (Abbott Park, IL); Chiba; Ryotaro; (Matsudo, JP); Morikawa; Takamitsu; (Matsudo, JP); Wang; Dong; (Matsudo, JP); Yanagihara; Fusamitsu; (Matsudo, JP)</t>
  </si>
  <si>
    <t>Disclosed herein are methods, kits, and systems relates for detecting the     presence or determining the amount of SARS-CoV-2 nucleocapsid protein in     one or more samples obtained from a subject.</t>
  </si>
  <si>
    <t>US20220042992</t>
  </si>
  <si>
    <t>COMPOSITIONS AND METHODS FOR DETECTION AND TREATMENT OF CORONAVIRUS     INFECTION</t>
  </si>
  <si>
    <t>17/395330</t>
  </si>
  <si>
    <t>Altin; John; (Flagstaff, AZ); Ladner; Jason; (Flagstaff, AZ)</t>
  </si>
  <si>
    <t>C12N 7/00 20130101;  C12N 2770/20034 20130101;  G01N 33/56983 20130101;  G01N 2333/165 20130101;  A61K 39/215 20130101</t>
  </si>
  <si>
    <t>The present disclosure includes a multiplexed peptide assay to generate     an epitope-resolved view of antibody reactivity across all human     coronaviruses (CoVs). PepSeq accurately classifies SARS-CoV-2 exposure     status and reveals epitopes across the Spike and Nucleocapsid proteins.     Two of these represent recurrent reactivities to conserved,     functionally-important sites in the S2 subunit of Spike, regions that we     show are also targeted for the endemic CoVs in pre-pandemic controls. At     one of these sites, we demonstrate that the SARS-CoV-2 response strongly     and recurrently cross-reacts with the endemic virus hCoV-OC43. The     disclosed epitope-resolved analysis reveals new CoV targets for the     development of diagnostics, vaccines and therapeutics, including a site     that may have broad neutralizing potential.</t>
  </si>
  <si>
    <t>US20220042987</t>
  </si>
  <si>
    <t>SEVERE ACUTE RESPIRATORY SYNDROME (SARS) - ASSOCIATED CORONAVIRUS     DIAGNOSTICS</t>
  </si>
  <si>
    <t>17/166741</t>
  </si>
  <si>
    <t>INSTITUT PASTEUR</t>
  </si>
  <si>
    <t>VAN DER WERF; Sylvie; (Paris, FR); ESCRIOU; Nicolas; (Paris, FR); DEMERET; Caroline; (Paris, FR); PETRES; Stephane; (Paris, FR); LAFAYE; Pierre; (Paris, FR); BELLALOU; Jacques; (Paris, FR)</t>
  </si>
  <si>
    <t>The invention relates to the diagnosis of a SARS-associated coronavirus,     such as a SARS CoV-2 infection and SARS-CoV infection, using the SARS-CoV     and SARS-CoV-2 nucleocapsid proteins and antibodies binding to these     proteins. The invention encompasses reagents, methods and kits for the     detection of a SARS-associated coronavirus.</t>
  </si>
  <si>
    <t>US20220042985</t>
  </si>
  <si>
    <t>SARS-CoV-2 IgG/IgM ANTI-BODY DETECTION KIT</t>
  </si>
  <si>
    <t>16/987049</t>
  </si>
  <si>
    <t>TIANJIN BERONI BIOTECHNOLOGY CO LTD</t>
  </si>
  <si>
    <t>TIANJIN BERONI BIOTECHNOLOGY</t>
  </si>
  <si>
    <t>Zhang; Boqing; (Tianjin City, CN); Jia; Zhenghu; (Tianjin City, CN)</t>
  </si>
  <si>
    <t>Disclosed is a SARS-CoV-2 IgG/IgM detection kit. The kit includes a     disposable test cassette and the disposable test cassette includes a base     plate, a sample pad, a reaction pad and an absorbent pad. The sample pad,     the reaction pad and the absorbent pad are sequentially connected and are     provided on the base plate. The sample pad is coated with a colloidal     gold-labeled recombinant SARS-CoV-2 S-RBD protein. The reaction pad is     provided with a test line and a quality control line. The test line is     coated with a mouse anti-human IgG and a mouse anti-human IgM and the     quality control line is coated with a goat anti-mouse IgG. The kit     provided herein can be used for rapid test of SARS-CoV-2 IgG/IgM, and has     high accuracy, good stability and strong anti-interference performance.</t>
  </si>
  <si>
    <t>US20220042984</t>
  </si>
  <si>
    <t>Lateral Flow Assay Device for Detection of Analytes and Method of     Detection Thereof</t>
  </si>
  <si>
    <t>17/394380</t>
  </si>
  <si>
    <t>VANGALA RAJANIKANTH</t>
  </si>
  <si>
    <t>Vangala; Rajanikanth; (BANGALORE, IN)</t>
  </si>
  <si>
    <t>G01N 33/54346 20130101;  G01N 33/54388 20210801;  G01N 33/56983 20130101;  G01N 2800/26 20130101;  G01N 2333/165 20130101</t>
  </si>
  <si>
    <t>The present invention relates to a lateral flow assay device for     detection of an analyte in a sample and a method of detection thereof.     The present invention provides a quantitative assay for detection of an     analyte in a sample. The present invention also provides a conjugate. The     present invention provides a method of diagnosing COVID 19 in a patient.</t>
  </si>
  <si>
    <t>US20220042946</t>
  </si>
  <si>
    <t>USING ELECTROPHORESIS FOR DISEASE DETECTION BASED ON CONTROLLED MOLECULAR     CHARGE</t>
  </si>
  <si>
    <t>17/504363</t>
  </si>
  <si>
    <t>HEMEX HEALTH, INC.</t>
  </si>
  <si>
    <t>HEMEX HEALTH</t>
  </si>
  <si>
    <t>GALEN; Peter; (Portland, OR); ERICKSON; Ariane Elizabeth; (Portland, OR); BELL; David Richard; (Issaquah, WA); LIND; Matthew Christian; (Portland, OR); WITTE; Tyler; (Portland, OR); GURKAN; Umut Atakan; (Shaker Heights, OH)</t>
  </si>
  <si>
    <t>Electrophoresis is used to identify presence of a target compound in a     patient sample based on a charge state of the compound and a label. The     charge state of the compound correlates to a total net charge of a binder     conjugated to the compound. The bound complex or "bound complex" with the     label is then applied to the electrophoresis substrate. An electric     potential is applied to the substrate for a time period and causes the     labeled bound complex to migrate toward the electrode with opposite     charge of the labeled bound complex at a migration velocity to form a     migration pattern over the time period. At some time during or at the end     of the time period, the labeled bound complex produces a bound complex     band as a result of its migration across the substrate. The presence of     the compound is identified based on the labeled bound complex band and     one or both of the migration pattern and the migration velocity.</t>
  </si>
  <si>
    <t>US20220042944</t>
  </si>
  <si>
    <t>NANOCHANNEL SYSTEMS AND METHODS FOR DETECTING PATHOGENS USING SAME</t>
  </si>
  <si>
    <t>17/378167</t>
  </si>
  <si>
    <t>PALOGEN INC</t>
  </si>
  <si>
    <t>PALOGEN</t>
  </si>
  <si>
    <t>Karimirad; Bita; (Seoul, KR); Han; Kyung Joon; (Palo Alto, CA); Parveen; Nazia; (Islamabad, PK); You; Dongwon; (Seoul, KR)</t>
  </si>
  <si>
    <t>G01N 27/4473 20130101;  G01N 27/44791 20130101;  G01N 27/44773 20130101</t>
  </si>
  <si>
    <t>A method of detecting a pathogen uses a 3D nanochannel device having top     and bottom chambers, and a plurality of nanochannels. The method also     includes functionalizing a nanochannel by coupling an oligonucleotide     probe to an inner surface thereof. The method further includes adding a     lysis buffer and patient sample to the top chamber. Moreover, the method     includes extracting an oligonucleotide from the patient sample. In     addition, the method includes placing top and bottom electrodes in the     top and bottom chambers respectively and applying an electrophoretic bias     therethrough. The method also includes applying a selection bias across     first and second gating nanoelectrodes to direct flow of the     oligonucleotide through the nanochannel. Moreover, the method includes     applying a sensing bias through a sensing nanoelectrode. In addition, the     method includes detecting an output current from the sensing     nanoelectrode, and analyzing the output current from the sensing     nanoelectrode to detect the oligonucleotide.</t>
  </si>
  <si>
    <t>US20220042692</t>
  </si>
  <si>
    <t>METHOD, APPARATUS AND SYSTEM FOR DISINFECTING AIR AND/OR SURFACES</t>
  </si>
  <si>
    <t>17/398159</t>
  </si>
  <si>
    <t>OJI EUROPE GMBH</t>
  </si>
  <si>
    <t>OJI EUROPE</t>
  </si>
  <si>
    <t>BONE-WINKEL; THOMAS; (NAUEN, DE); SINGH; GUNDEEP; (NAUEN, DE); BOECKER; DIRK; (NAUEN, DE); KATHURIA; SATVIK SINGH; (NAUEN, DE)</t>
  </si>
  <si>
    <t>To provide a method for disinfecting air and surfaces which provides a     continuous protection of people and/or animals from pathogens a given     volume, in particular for essentially 24 hours a day, and which can be     conducted with people and animals present, a method for disinfecting air     and surfaces is proposed, wherein a disinfectant is dispersed into a     volume to be disinfected, wherein the disinfectant comprises electrolyzed     and/or sterilized water containing hypochlorous acid, and wherein a     dispersion rate of the disinfectant is adjusted such, that a     concentration of the hypochlorous acid in the volume is continuously     between 0.05 mg/m.sup.3 and 10.0 mg/m.sup.3.</t>
  </si>
  <si>
    <t>US20220042118</t>
  </si>
  <si>
    <t>METHOD FOR THE RAPID DIAGNOSIS OF COVID-19 USING A MOBILE GENETIC TESTING     LABORATORY</t>
  </si>
  <si>
    <t>17/395242</t>
  </si>
  <si>
    <t>MACHAON DIAGNOSTICS, INC.</t>
  </si>
  <si>
    <t>MACHAON DIAGNOSTICS</t>
  </si>
  <si>
    <t>Kain; James S.; (Oakland, CA); Ero; Michael P.; (Oakland, CA); Tran; Frances; (Oakland, CA)</t>
  </si>
  <si>
    <t>The present invention is directed to a method of diagnosing infection     with SARS-CoV-2. The method involves first obtaining a sample from a     patient, followed by the use of a mobile testing laboratory to test the     sample for SARS-CoV-2 nucleic acid. The sample is tested by extracting     the RNA from the patient sample, amplifying the nucleic acid using     reverse transcription loop-mediated isothermal amplification (RT-LAMP),     and measuring the results. Results from the RT-LAMP are obtained within     60 minutes after sample collection, where a positive result is indication     of infection with SARS-CoV-2.</t>
  </si>
  <si>
    <t>US20220042117</t>
  </si>
  <si>
    <t>COMPOSITIONS AND METHODS FOR THE SIMULTANEOUS DETECTION OF INFLUENZA A,     INFLUENZA B, AND SEVERE ACUTE RESPIRATORY SYNDROME CORONAVIRUS 2     (SARS-CoV-2)</t>
  </si>
  <si>
    <t>17/393742</t>
  </si>
  <si>
    <t>Huang; Renjian; (Belmont, MA); Sun; Jingtao; (San Ramon, CA)</t>
  </si>
  <si>
    <t>Methods for the rapid detection of the presence or absence of SARS-CoV-2     in biological or non-biological samples are described. These methods are     adapted to be performed rapidly in a point-of-care setting. The methods     can include performing an amplifying step, a hybridizing step, and a     detecting step. Specifically, primers and probes targeting SARS-CoV-2 are     provided that are designed for the detection of this target.     Additionally, kits and reaction vessels containing primers and probes     targeting SARS-CoV-2 are provided. Additionally, methods, kits and     reaction vessels for the simultaneous rapid detection of the presence or     absence of SARS-CoV-2, influenza A, and influenza B in biological or     non-biological samples are described.</t>
  </si>
  <si>
    <t>US20220042116</t>
  </si>
  <si>
    <t>METHODS FOR ASSESSING VIRAL CLEARANCE</t>
  </si>
  <si>
    <t>17/390252</t>
  </si>
  <si>
    <t>SHUBER ANTHONY P</t>
  </si>
  <si>
    <t>SHUBER ANTHONY</t>
  </si>
  <si>
    <t>Shuber; Anthony P.; (Northbridge, MA)</t>
  </si>
  <si>
    <t>C12Q 1/70 20130101</t>
  </si>
  <si>
    <t>The invention provides methods for diagnosing viral infections and     determining a status of the infection, including transmissibility of the     infection.</t>
  </si>
  <si>
    <t>US20220042084</t>
  </si>
  <si>
    <t>SPATIAL SEQUENCING</t>
  </si>
  <si>
    <t>17/396579</t>
  </si>
  <si>
    <t>SINGULAR GENOMICS SYSTEMS, INC.</t>
  </si>
  <si>
    <t>SINGULAR GENOMICS SYSTEMS</t>
  </si>
  <si>
    <t>GLEZER; Eli N.; (Del Mar, CA)</t>
  </si>
  <si>
    <t>C12Q 1/6841 20130101</t>
  </si>
  <si>
    <t>Disclosed herein, inter alia, are compositions and methods of use thereof     for interrogating a sample comprising a cell.</t>
  </si>
  <si>
    <t>US20220042083</t>
  </si>
  <si>
    <t>METHODS FOR IN SITU TRANSCRIPTOMICS AND PROTEOMICS</t>
  </si>
  <si>
    <t>17/396575</t>
  </si>
  <si>
    <t>GLEZER; Eli N.; (Del Mar, CA); CANG; Hu; (San Diego, CA); HONG; Zhenmin; (San Diego, CA)</t>
  </si>
  <si>
    <t>G01N 33/5308 20130101;  G01N 33/53 20130101;  C12Q 1/6841 20130101;  C12Q 1/6804 20130101</t>
  </si>
  <si>
    <t>Disclosed herein, inter alia, are compositions and methods of use thereof     for interrogating a cell.</t>
  </si>
  <si>
    <t>US20220042048</t>
  </si>
  <si>
    <t>Platform; Prevention</t>
  </si>
  <si>
    <t>NONVIRAL GENERATION OF GENOME EDITED CHIMERIC ANTIGEN RECEPTOR T CELLS</t>
  </si>
  <si>
    <t>17/407606</t>
  </si>
  <si>
    <t>Saha; Krishanu; (Middleton, WI); Capitini; Christian Matthew; (Madison, WI); Mueller; Katherine Paige; (Madison, WI); Piscopo; Nicole Jenine; (Madison, WI); Das; Amritava; (Madison, WI); Forsberg; Matthew Hull; (Madison, WI); Saraspe; Louise Armie; (Madison, WI)</t>
  </si>
  <si>
    <t>C12N 2501/599 20130101;  C12N 2800/80 20130101;  A61K 35/17 20130101;  C12N 15/11 20130101;  C12N 9/22 20130101;  C12N 2310/20 20170501;  C12N 15/907 20130101;  C12N 5/0636 20130101</t>
  </si>
  <si>
    <t>Described herein are non-viral, ex vivo methods of site-specifically     inserting a transgene containing a chimeric antigen receptor (CAR) gene     into a T cell genome by introducing into a population of unmodified T     cells a Cas9 ribonucleoprotein (RNP) and a non-viral double-stranded     homology-directed repair (HDR) template, to provide genome-edited T     cells. The Cas9 ribonucleoprotein includes a Cas9 protein and a guide RNA     that directs double stranded DNA cleavage of a cleavage site in a T cell     expressed gene. The non-viral double-stranded HDR template comprises the     synthetic DNA sequence flanked by homology arms that are complementary to     sequences on both sides of the cleavage site in the T cell expressed     gene. The transgene is specifically integrated into the cleavage site of     the T cell expressed gene created by the Cas9 RNP in the genome-edited T     cells, and the cells are then cultured.</t>
  </si>
  <si>
    <t>US20220041742</t>
  </si>
  <si>
    <t>Methods for Treating Multiple Myeloma</t>
  </si>
  <si>
    <t>17/317789</t>
  </si>
  <si>
    <t>JANSSEN PHARMACEUTICALS, INC</t>
  </si>
  <si>
    <t>JANSSEN PHARMACEUTICALS</t>
  </si>
  <si>
    <t>Adams; Homer; (Glenside, PA); Banerjee; Arnob; (Baltimore, MD); Girgis; Suzette; (Spring House, PA); Goldberg; Jenna; (Spring House, PA); Stephenson; Tara; (Spring House, PA); Verona; Raluca; (Spring House, PA); Wang lin; Shun xin; (Spring House, PA)</t>
  </si>
  <si>
    <t>Methods of treating cancers using a BCMA.times.CD3 bispecific antibody     are described.</t>
  </si>
  <si>
    <t>US20220041715</t>
  </si>
  <si>
    <t>RECOMBINANT POLYCLONAL PROTEINS TARGETING COVID-19 AND METHODS OF USE     THEREOF</t>
  </si>
  <si>
    <t>17/386504</t>
  </si>
  <si>
    <t>Provided herein are compositions comprising recombinant polyclonal     proteins (RPPs) derived from mammalian plasma cells and plasmablasts.     Also provided are methods of using the RPPs.</t>
  </si>
  <si>
    <t>US20220041694</t>
  </si>
  <si>
    <t>SARS-COV-2 ANTIBODIES FOR TREATMENT AND PREVENTION OF COVID-19</t>
  </si>
  <si>
    <t>17/397203</t>
  </si>
  <si>
    <t>ASTRAZENECA UK LIMITED</t>
  </si>
  <si>
    <t>ASTRAZENECA</t>
  </si>
  <si>
    <t>GASSER; Robert; (Gaithersburg, MD); ESSER; Mark; (Gaithersburg, MD); MCTAMNEY, II; Patrick; (Gaithersburg, MD); LOO; Yueh-Ming; (Gaithersburg, MD); VARKEY; Reena M.; (Gaithersburg, MD); DU; Qun; (Gaithersburg, MD); STEINHARDT; James; (Gaithersburg, MD); RAJAN; Saravanan; (Gaithersburg, MD)</t>
  </si>
  <si>
    <t>The present disclosure provides antibodies and antigen-binding fragments     thereof that specifically bind to the spike protein of SARS-CoV-2 and     methods of using such antibodies and antigen-binding fragments thereof     for the prevention and treatment of Coronavirus Disease 2019 (COVID-19)     in a subject.</t>
  </si>
  <si>
    <t>US20220041660</t>
  </si>
  <si>
    <t>COMPOSITIONS AND METHODS FOR SEQUESTERING VIRAL PARTICLES IN RESPIRATORY     TRACT</t>
  </si>
  <si>
    <t>17/396006</t>
  </si>
  <si>
    <t>UNIVERSITY OF DELAWARE THE;   A NOT-FOR-PROFIT CORP. OF DE.</t>
  </si>
  <si>
    <t>UNIVERSITY DELAWARE THE; NOT-FOR-PROFIT OF</t>
  </si>
  <si>
    <t>Gleghorn; Jason P.; (Lincoln University, PA); Fromen; Catherine A.; (Wilmington, DE); Nelson; Katherine M.; (Elkton, MD)</t>
  </si>
  <si>
    <t>A composition for sequestering a pathogen, for example, viral particles     of a target virus in the respiratory tract of a subject is provided. The     composition comprises an effective amount of sequestering particles     having a protein binding agent on the surface of the sequestering     particles. The protein binding agent binds a pathogenic surface protein,     for example, capsid protein on the surface of the viral particles. The     sequestering particles and the target pathogen, for example, viral     particles, form aggregates. Also provided is the use of the composition     for sequestering a target pathogen, for example, viral particles of a     target virus, in the respiratory tract of a subject.</t>
  </si>
  <si>
    <t>US20220041585</t>
  </si>
  <si>
    <t>BROMOPHENOL-PYRAZOLINE COMPOUND AND SYNTHESIS METHOD AND USE THEREOF</t>
  </si>
  <si>
    <t>17/375635</t>
  </si>
  <si>
    <t>LEAD HIGH TECHNOLOGY (QINGDAO) CO.,LTD</t>
  </si>
  <si>
    <t>LEAD HIGH</t>
  </si>
  <si>
    <t>SHI; Dayong; (Qingdao City, CN); LI; Xiangqian; (Qingdao City, CN); WANG; Xin; (Qingdao City, CN); YANG; Jinbo; (Qingdao City, CN)</t>
  </si>
  <si>
    <t>A61P 31/14 20180101;  C07D 231/06 20130101;  C07D 417/04 20130101</t>
  </si>
  <si>
    <t>The present invention relates to a compound, and in particular to a     bromophenol-pyrazoline compound and a synthesis method and use thereof.     The bromophenol-pyrazoline compound is represented by a general     structural formula below:  ##STR00001## The bromophenol-pyrazoline compound provided in the present invention has     efficient inhibitory activity against the main protease M.sup.pro, and     interferes with the replication of coronavirus in cells, indicating that     the compound has the effect of treating coronavirus pneumonia and thus     has a broad prospect of application in the preparation of drugs for     treating coronavirus pneumonia.</t>
  </si>
  <si>
    <t>US20220041288</t>
  </si>
  <si>
    <t>AIRCRAFT SEATS WITH AIR VENTS</t>
  </si>
  <si>
    <t>17/332078</t>
  </si>
  <si>
    <t>GOODRICH AEROSPACE SERVICES PRIVATE LIMITED</t>
  </si>
  <si>
    <t>GOODRICH AEROSPACE PRIVATE</t>
  </si>
  <si>
    <t>Palanisamy; Jai Ganesh; (Bangalore, IN)</t>
  </si>
  <si>
    <t>B64D 2013/0651 20130101;  B64D 2013/0688 20130101;  B64D 13/06 20130101;  B64D 11/0606 20141201</t>
  </si>
  <si>
    <t>An aircraft passenger seat ventilation system is disclosed. The     ventilation system comprises one or more passenger seats, one or more     partitions at a respective armrest portion of the one or more passenger     seats, one or more vents along one or more sides of the one or more     partitions comprising a plurality of holes, and a suction source     configured to suction air from the one or more vents to an air filtration     system. The ventilation system provides hygienic travel experiences for     passengers and crew members by minimizing the spread of viruses and/or     bacteria within the aircraft cabin caused by turbulent air flow.</t>
  </si>
  <si>
    <t>US20220041287</t>
  </si>
  <si>
    <t>APPARATUS AND METHOD FOR AIRFLOW MODIFICATION IN VEHICLES</t>
  </si>
  <si>
    <t>17/232895</t>
  </si>
  <si>
    <t>PEXCO AEROSPACE, INC.</t>
  </si>
  <si>
    <t>PEXCO AEROSPACE</t>
  </si>
  <si>
    <t>Taylor; Shelby P.; (Yakima, WA); Shobe; Brandon M.; (Richland, WA); Howard; Christopher E.; (Yakima, WA)</t>
  </si>
  <si>
    <t>B64D 13/00 20130101;  B64D 2013/003 20130101</t>
  </si>
  <si>
    <t>Provided is an air-diverter apparatus configured to modify the     directional airflow in an aircraft cabin. A nozzle may be provided that     includes a body having a longitudinal axis, an inlet configured to be     connected to a source of air, a flow passage in communication with the     inlet and extending through the body, and an outlet in communication with     the flow passage, wherein the outlet is angled relative to the     longitudinal axis.</t>
  </si>
  <si>
    <t>US20220041100</t>
  </si>
  <si>
    <t>LIGTHING SYSTEM AND METHOD</t>
  </si>
  <si>
    <t>17/395383</t>
  </si>
  <si>
    <t>SSR LIGHTING TECH LLC</t>
  </si>
  <si>
    <t>SSR LIGHTING TECH</t>
  </si>
  <si>
    <t>Grady; Daryl; (Crown Point, US); Grady; Scott; (St. Johns, US)</t>
  </si>
  <si>
    <t>F21V 23/06 20130101;  G02B 6/0046 20130101;  B60Q 3/53 20170201;  B60Q 3/62 20170201;  H02J 7/0042 20130101;  F21V 23/001 20130101;  F21Y 2115/10 20160801;  F21V 23/0471 20130101;  F21S 9/02 20130101;  B60Q 3/88 20170201;  B60Q 3/30 20170201</t>
  </si>
  <si>
    <t>A system (100) and method (900) for illuminating the interior space (90)     of a trailer (84). The system (100) can utilize a power box (200) to draw     and store electricity from a tractor (82) and use that electricity to     activate LED assemblies (300) within the trailer (84) is untethered from     the tractor (82). The lights (310) can be activated by a motion sensor     (340) associated with the location of the lights (310) being activated.</t>
  </si>
  <si>
    <t>US20220041092</t>
  </si>
  <si>
    <t>Recreational vehicle drinking water supply systems</t>
  </si>
  <si>
    <t>16/873930</t>
  </si>
  <si>
    <t>JAYCOR</t>
  </si>
  <si>
    <t>Barth; Christopher J.; (Bristol, IN); Hostetler; Mervin L.; (Stursis, MI); Miller; Ernest S.; (Middlebury, IN)</t>
  </si>
  <si>
    <t>F25D 2323/122 20130101;  B60P 3/2265 20130101;  B60P 3/34 20130101;  B60P 3/2295 20130101;  F25D 23/126 20130101;  B60P 3/225 20130101</t>
  </si>
  <si>
    <t>A drinking water supply arrangement is provided for a RV, which uses     fluid conduits separate from the other fresh water supply lines of the     RV, separates the pump from the living RV compartment, provides     independent pump controls, and stores conventional containers of drinking     water in an exteriorly accessible, temperature controlled compartment,     isolated from the living compartment.</t>
  </si>
  <si>
    <t>US20220040699</t>
  </si>
  <si>
    <t>TEMPERATURE PROFILE ENCODING FOR DIAGNOSTIC TESTS</t>
  </si>
  <si>
    <t>17/397517</t>
  </si>
  <si>
    <t>Rothberg; Jonathan M.; (Miami Beach, FL); Rosenbluth; Benjamin; (Hamden, CT); Roswech; Todd; (Ivoryton, CT)</t>
  </si>
  <si>
    <t>B01L 2300/0816 20130101;  B01L 2300/0663 20130101;  B01L 2300/025 20130101;  B01L 3/50825 20130101;  B01L 2300/021 20130101;  B01L 2300/042 20130101;  B01L 7/52 20130101;  B01L 2200/147 20130101;  B01L 2300/023 20130101;  B01L 2300/18 20130101</t>
  </si>
  <si>
    <t>Provided herein, in some embodiments, are rapid diagnostic tests to     detect one or more target nucleic acid sequences (e.g., a nucleic acid     sequence of one or more pathogens). In some embodiments, the pathogens     are viral, bacterial, fungal, parasitic, or protozoan pathogens, such as     SARS-CoV-2 or an influenza virus. In one embodiment, a diagnostic system     is provided comprising a control device configured to control one or more     parameters and/or actions of a diagnostic test, and a test kit component     comprising a physical encoding of control information for the control     device. In one embodiment, the control device is configured to receive     the control information of the physical encoding and perform one or more     actions based at least in part on the control information. In one     embodiment, the control device can control one or more temperatures at     which a biological sample is to be processed as part of the diagnostic     test.</t>
  </si>
  <si>
    <t>US20220040615</t>
  </si>
  <si>
    <t>17/392946</t>
  </si>
  <si>
    <t>COOPER CHRISTOPHER H</t>
  </si>
  <si>
    <t>COOPER CHRISTOPHER</t>
  </si>
  <si>
    <t>Cooper; Christopher H.; (Santa Fe, NM)</t>
  </si>
  <si>
    <t>A face mask containing a network of conductive activated carbon     meso-fibers crosslinked with a crosslinking agent bonded to a insulative     polymeric micro-fiber based purification element. The purification     element is captured between two ridged porous elements and contacted to     the face by a biocompatible flexible polymeric seal. Optionally the front     cover attaches to a main frame of the mask through a system of sliding     locks that are coupled with bayonet latch mechanisms. The face mask     attaches to the head of a wearer through a harness that couples with the     sliding locks or alternatively with a biocompatible adhesive.</t>
  </si>
  <si>
    <t>US20220040506</t>
  </si>
  <si>
    <t>Mask Device with Improved Comfort, Airflow, Humidity, and Temperature     Characteristics and Providing a Means for Conducting Facial Exercises</t>
  </si>
  <si>
    <t>17/444596</t>
  </si>
  <si>
    <t>ANSARI KAMRAN</t>
  </si>
  <si>
    <t>Ansari; Kamran; (Tustin, CA)</t>
  </si>
  <si>
    <t>The present application describes a mask, configured to be worn on a face     of an individual, that has a porous mask frame made of a polymer, one or     more fans positioned on the porous mask frame, a mask covering made of     one or more layers of non-woven fabric, an energy source in electrical     communication with the one or more fans and positioned on at least one of     the mask frame or the mask covering. Alternatively, there one or more     fans may be positioned on the masking covering without the aid of the     mask frame.</t>
  </si>
  <si>
    <t>US20220040497</t>
  </si>
  <si>
    <t>INTERNAL ULTRAVIOLET THERAPY</t>
  </si>
  <si>
    <t>17/507343</t>
  </si>
  <si>
    <t>Rezaie; Ali; (West Hollywood, CA); Pimentel; Mark; (Los Angeles, CA); Melmed; Gil Y.; (Los Angeles, CA); Mathur; Ruchi; (Los Angeles, CA); Leite; Gabriela Guimaraes Sousa; (Porter Ranch, CA)</t>
  </si>
  <si>
    <t>A61N 5/0603 20130101;  A61N 5/0624 20130101;  A61N 2005/0651 20130101;  A61N 2005/0661 20130101;  A61N 2005/0604 20130101</t>
  </si>
  <si>
    <t>A UV light delivery device for performing intra-corporeal ultraviolet     therapy is provided. The device includes an elongated body separated by a     proximal end and a distal end. The device also includes a UV light source     configured to be received at the receiving space. In some examples, the     UV light source is configured to emit light with wavelengths with     significant intensity between 320 nm and 410 nm and is utilized in     conjunction with an endotracheal tube or a nasopharyngeal airway.</t>
  </si>
  <si>
    <t>US20220040434</t>
  </si>
  <si>
    <t>Fresh Air/Oxygen Portable Breathing Device With or Without Aromas and     Methods of Use</t>
  </si>
  <si>
    <t>16/984759</t>
  </si>
  <si>
    <t>Jho, Hae Dong</t>
  </si>
  <si>
    <t>JHO HAE</t>
  </si>
  <si>
    <t>Jho; Hae Dong; (Wexford, PA)</t>
  </si>
  <si>
    <t>A61M 16/0605 20140204;  A61M 16/0672 20140204;  A61M 16/20 20130101;  A61M 16/1005 20140204;  A61M 16/16 20130101;  A61M 2202/0208 20130101</t>
  </si>
  <si>
    <t>The present invention provides a portable, light-weight, breathing device     and methods of use for delivering pristine, fresh air or varying high     concentrations of oxygen with or without aroma, i.e., essential oils for     stimulating appetite, boosting mood or decreasing stress and anxiety. The     breathing device comprises an air container having a breathing air bag     therein which contains the fresh air or the varying concentrations of     oxygen optionally with the one or more essential oils, tubing for     delivering the fresh air or oxygen to a breathing mask, and a plurality     of movable valves included in the mask which directs air or oxygen into     or out of the mask depending on whether the user is inhaling or exhaling.     The breathing device also comprises the use of a can of compressed fresh     air or oxygen with or without aroma to be used with an air reservoir or     with an expandable air bag.</t>
  </si>
  <si>
    <t>US20220040429</t>
  </si>
  <si>
    <t>AIRWAY MANAGEMENT SYSTEM WITH SELECTIVELY PRESSURIZED VALVE</t>
  </si>
  <si>
    <t>17/397703</t>
  </si>
  <si>
    <t>Zayed; Mohamed; (St. Louis, MO); Iqbal; Zahid; (St. Louis, MO); Lee; Jin Vivian; (St. Louis, MO)</t>
  </si>
  <si>
    <t>Devices, systems, and methods of facilitating airway management with     reduced risk of release of droplets and aerosolized pathogens from the     lungs of a patient are disclosed, including a bronchoscope adapter for an     endotracheal tube, an endotracheal tube with integral bronchoscope     adapter, an endotracheal intubation mask system, a laryngeal mask     airway-specific mask system, and a quick-seal laryngeal mask     airway-specific mask system.</t>
  </si>
  <si>
    <t>US20220040365</t>
  </si>
  <si>
    <t>AIR DISINFECTION CHAMBER</t>
  </si>
  <si>
    <t>17/508425</t>
  </si>
  <si>
    <t>CRYSTAL INTERNATIONAL (GROUP), INC.</t>
  </si>
  <si>
    <t>CRYSTAL</t>
  </si>
  <si>
    <t>Schowalter; Leo J.; (Latham, NY); Davis; James; (Green Island, NY)</t>
  </si>
  <si>
    <t>A61L 2209/14 20130101;  A61L 2209/12 20130101;  B01D 46/0028 20130101;  A61L 9/20 20130101;  B01D 46/0005 20130101;  B01D 2279/50 20130101</t>
  </si>
  <si>
    <t>A system disinfects air. The system includes an elongated chamber having     an inlet configured for air to flow into the chamber. The chamber also     has an outlet configured for air to flow out of the chamber, and a     sidewall formed from a material that is at least 90% UVC reflective. The     chamber defines a longitudinal axis. A LED is positioned to emit UVC     radiation in a direction substantially perpendicular to the longitudinal     axis of the chamber. A filter is configured to trap pathogens. The filter     is formed of a material that is UVC reflective and UVC transmissive.</t>
  </si>
  <si>
    <t>US20220040362</t>
  </si>
  <si>
    <t>DUAL-MODE SANITZER</t>
  </si>
  <si>
    <t>17/386924</t>
  </si>
  <si>
    <t>NEON, LLC</t>
  </si>
  <si>
    <t>NEON</t>
  </si>
  <si>
    <t>Kulick; Nicholas L.; (Catharpin, VA); Kulick; Michael J.; (Catharpin, VA); Kulick; Kathryn A.; (Catharpin, VA)</t>
  </si>
  <si>
    <t>A sanitizer may operate in two modes and in its primary mode include a     UVC lamp, enclosed by a base with electronic components, a shroud with     fan and filter attached, to cover the UVC lamp. The shroud may have inlet     holes at one end thereof. When the fan is turned on, air may be drawn in     from the exterior through the inlet holes of the shroud. The fan may     continue to direct the drawn in air through the filter, across the UVC     lamp, and then back to the exterior of the sanitizer. Thus, the air may     be filtered of ozone and cleansed of pathogens, even when in the presence     of room occupants. To operate in its secondary mode, the sanitizer would     have the above-described shroud removed to emit UVC light directly to     sanitize both air and surfaces simultaneously in a space without     occupants.</t>
  </si>
  <si>
    <t>US20220040360</t>
  </si>
  <si>
    <t>PORTABLE AIR STERILIZER WITH OXYGEN GENERATOR</t>
  </si>
  <si>
    <t>17/235882</t>
  </si>
  <si>
    <t>CARTER VANDETTE B</t>
  </si>
  <si>
    <t>CARTER VANDETTE</t>
  </si>
  <si>
    <t>CARTER; Vandette B.; (Yorktown Heights, NY)</t>
  </si>
  <si>
    <t>A62B 7/10 20130101;  A61L 2209/14 20130101;  A61L 9/20 20130101;  A61L 2209/15 20130101;  A62B 9/00 20130101;  A61L 2209/12 20130101</t>
  </si>
  <si>
    <t>A personal protective wearable air sterilizing apparatus is comprised of     a series of looped internal conduits, designed in such a way to allow     total internal reflection of UV light, and the simultaneous sterilization     of atmospheric air. The apparatus has oxygen generator using electrolysis     of water and neutralizes hydrogen gas derived from the process to an     inert compound such as hydrogen peroxide; or reuses the hydrogen to     generate electricity.</t>
  </si>
  <si>
    <t>US20220040354</t>
  </si>
  <si>
    <t>CORONAVIRUS (COVID-19) AIR SANITIZATION/ISOLATION SYSTEM WITH ANTI-VIRUS     CURTAIN WALLS</t>
  </si>
  <si>
    <t>17/392395</t>
  </si>
  <si>
    <t>A61L 2209/213 20130101;  A61L 9/22 20130101;  A61L 9/037 20130101;  A61L 9/032 20130101;  A61G 10/005 20130101;  A61L 2209/134 20130101;  A61L 9/20 20130101;  A61L 2209/14 20130101</t>
  </si>
  <si>
    <t>Various embodiments are directed to a coronavirus air     sanitization/isolation system with anti-virus curtain. The system may     include a group of anti-virus strips with attached separation magnets     coupled to an air inlet housing mounted above (e.g., in an attic ceiling)     in an enclosed space. The anti-virus strips may be coated with a saline     and soap solution that attracts airborne droplets contaminated with the     coronavirus and dissolves a fatty layer of coronavirus cell membranes to     prevent cell replication of the coronavirus, thereby destroying the     coronavirus. The air inlet housing may include exhaust ventilation fans,     salt filters, a wick saturated with the saline and soap solution, an     electro-static air filter, and a distribution air duct. The fans may be     utilized to circulate an airstream containing the coronavirus through the     anti-virus strips, the filters, the saturated wick, and the distribution     air duct to remove the coronavirus while protecting occupants with     uncontaminated air.</t>
  </si>
  <si>
    <t>US20220040350</t>
  </si>
  <si>
    <t>Instrument disinfection</t>
  </si>
  <si>
    <t>17/392001</t>
  </si>
  <si>
    <t>LEPORE LORENZO</t>
  </si>
  <si>
    <t>Lepore; Lorenzo; (Medford, MA)</t>
  </si>
  <si>
    <t>Instrument disinfecting apparatus and method. The instrument disinfecting     apparatus includes a first nozzle sized to be positioned with respect to     an instrument to at least partially disinfect the instrument, a first     hose configured to operably connect with the first nozzle, and a     disinfectant generator. The disinfectant generator is configured to     operably connect with the first hose and emit a disinfectant agent into     the first hose so that the disinfectant agent travels through the first     hose and exits the first nozzle to at least partially disinfectant the     instrument.</t>
  </si>
  <si>
    <t>US20220040343</t>
  </si>
  <si>
    <t>ULTRAVIOLET LED LIGHT SANITIZER AND DEVICES SANITIZED THEREBY</t>
  </si>
  <si>
    <t>16/985625</t>
  </si>
  <si>
    <t>STILLMAN RICHARD I</t>
  </si>
  <si>
    <t>STILLMAN RICHARD</t>
  </si>
  <si>
    <t>Stillman; Richard I.; (Mountain Lakes, NJ)</t>
  </si>
  <si>
    <t>A portable sanitizing system for rapidly dispensing reusable finger     coverings for handling contaminated surfaces in a sanitary fashion. A     battery operated ultraviolet LED system sanitizes finger coverings which     are customized for use with the sanitizing device. The sanitary finger     coverings can be rapidly applied to the user's hand without     contamination, using a single hand. Repeated sanitization and utilization     are similarly rapid and easy. The sanitizer can be carried by the user or     attached to their uniform. The reusable finger covers can be custom fit     to a variety of hand sizes and are optimally designed to work with the     sanitizing device. The implement aids in grasping surfaces securely     without touching the surface with the user's bare fingers.</t>
  </si>
  <si>
    <t>US20220040293</t>
  </si>
  <si>
    <t>HCoV VACCINE FOR IMPROVING IMMUNITY AGAINST SARS-COV-2 INFECTION</t>
  </si>
  <si>
    <t>17/329104</t>
  </si>
  <si>
    <t>Moore, Timothy S.; Moore, Cullen Thomas</t>
  </si>
  <si>
    <t>MOORE TIMOTHY</t>
  </si>
  <si>
    <t>Moore; Timothy S.; (Newtown, CT); Moore; Cullen Thomas; (Newtown, CT)</t>
  </si>
  <si>
    <t>Embodiments include a method of using inactivated human cold     coronaviruses (HCoVs) particularly HCoV-299E, HCoV-OC43, HCoV-NL63 and     HCoV-HKU1, alone or as a booster, for the immunization against SARS-CoV-2     infections. Vaccine embodiments further comprise HCoV virus envelope     subunits which may be in the form of virus-like spheroids (VLS).</t>
  </si>
  <si>
    <t>US20220040291</t>
  </si>
  <si>
    <t>16/989796</t>
  </si>
  <si>
    <t>A61K 2039/5158 20130101;  A61K 33/34 20130101;  A61K 39/215 20130101;  C12N 15/86 20130101;  A61P 31/14 20180101</t>
  </si>
  <si>
    <t>US20220040265</t>
  </si>
  <si>
    <t>COMPOSITIONS AND METHODS FOR PREVENTING AND/OR INHIBITING VIRAL INFECTION     AND SPREAD</t>
  </si>
  <si>
    <t>17/394854</t>
  </si>
  <si>
    <t>CARROLL PETER G</t>
  </si>
  <si>
    <t>CARROLL PETER</t>
  </si>
  <si>
    <t>Carroll; Peter G.; (Canton, MA)</t>
  </si>
  <si>
    <t>Use of an interferon (INF), whether Type I (e.g. interferon-alpha,     interferon-beta, etc.), Type II (e.g. interferon-gamma) and/or Type III     (e.g. interferon-lamda), for inhibiting and/or preventing coronavirus     infection in people, including but not limited to those people at risk of     exposure to COVID 19 and/or variants thereof.</t>
  </si>
  <si>
    <t>US20220040228</t>
  </si>
  <si>
    <t>MATERIALS AND METHODS FOR STOPPING RESPIRATORY VIRUS INFECTIONS</t>
  </si>
  <si>
    <t>17/444809</t>
  </si>
  <si>
    <t>GAERTNER FRANK</t>
  </si>
  <si>
    <t>Gaertner; Frank; (San Diego, CA)</t>
  </si>
  <si>
    <t>The subject invention pertains to the use of zinc, zinc ionophore, one or     more vitamins, folate, selenium, garlic, and/or Echinacea as a treatment     of viral infections, and the training needed for subjects to recognize     such symptoms to be able to stop respiratory viral infections including     colds flu and coronavirus, or to prevent respiratory virus infections,     such as SARS-CoV-2 infections. The subject invention further pertains to     pharmaceutical compositions, packaged dosage formulations, and kits for     stopping respiratory virus infections, or for preventing respiratory     virus infections in contact subjects that might have such infections.</t>
  </si>
  <si>
    <t>US20220040227</t>
  </si>
  <si>
    <t>METHOD AND COMPOSITION FOR TREATING CORONA VIRUS, INFLUENZA, AND ACUTE     RESPIRATORY DISTRESS SYNDROME</t>
  </si>
  <si>
    <t>17/398156</t>
  </si>
  <si>
    <t>REVERSPAH LLC</t>
  </si>
  <si>
    <t>REVERSPAH</t>
  </si>
  <si>
    <t>VOELKEL; Norbert F.; (Denver, CO); MAGOLSKE; Charles; (Denver, CO)</t>
  </si>
  <si>
    <t>A method of treating a Corona Virus, e.g., COVID 19, Influenza and ARDS,     is provided. A copper chelator including a tetrathiomolybdate salt is     administered with a 5-lipoxygenase enzyme inhibitor, e.g.,     Diethylcarbamazine or Zileuton. Baicalin, Bufalin, Quercetin, Curcumin,     inhibitors of NF-kappaB, the Applied Therapeutics Aldose Reductase     inhibitor AT-001, Sulforaphane or Fluvoxamine can be additional drugs.     This is an intervention treatment of a Corona Virus, e.g., COVID 19,     ideally in the second phase of the disease, in the Pulmonary Phase,     preferably prior to the Hyper-Inflammation Phase, as a preventive therapy     to reduce the need for a ventilator and increase the survival of     hospitalized patients. The two-drug treatment combination aims at     preventing ARDS and other organ damage caused by COVID 19 infection by     targeting the intravascular disease component. Tetrathiomolybdate in oral     and Intravenous forms combined with the other drugs in intravenous or     inhaled forms are designed to treat advanced forms of these diseases.</t>
  </si>
  <si>
    <t>US20220040065</t>
  </si>
  <si>
    <t>COMPOSITIONS AND METHODS FOR PREVENTION OF VIRAL INFECTIONS AND ASSOCIATED     DISEASES</t>
  </si>
  <si>
    <t>17/377103</t>
  </si>
  <si>
    <t>MICROPURE, INC.</t>
  </si>
  <si>
    <t>MICROPURE</t>
  </si>
  <si>
    <t>Shewale; Jaiprakash G.; (Scottsdale, AZ); Ratcliff; James L.; (Scottsdale, AZ)</t>
  </si>
  <si>
    <t>A61Q 11/00 20130101;  A61Q 17/005 20130101;  A61K 8/20 20130101</t>
  </si>
  <si>
    <t>Described herein are single-phase multi-component compositions and     methods for their use reducing the viral load of infectious viruses on     host organisms, including but not limited to Influenza A, Rhinovirus Type     14, Adenovirus Type 5, Herpes Simplex Virus Type 1, Herpes Simplex Virus     Type 2, Severe Acute Respiratory Syndrome Coronavirus-2 (SARS-CoV-2;     COVID-19 virus), Severe Acute Respiratory Syndrome Coronavirus     (SARS-CoV), and Human coronavirus 229E. The compositions described herein     comprise a combination of an oxidative compound and a buffering system.     The methods of use of these compositions as antiviral agents when applied     to the oral, nasal, ocular, aural, anal, and urogenital cavities are     described. Data shows the compositions to be effective in reducing     influenza A and the human coronaviruses. In that regard, the single-phase     multi-component compositions and methods for its antiviral use disclosed     herein may be offer a single, effective product to combat multiple,     concurrent pandemics.</t>
  </si>
  <si>
    <t>US20220039627</t>
  </si>
  <si>
    <t>SANITIZING OR DISINFECTING MITT</t>
  </si>
  <si>
    <t>17/086706</t>
  </si>
  <si>
    <t>Vlahos, Troy; Smith, Christopher</t>
  </si>
  <si>
    <t>VLAHOS TROY</t>
  </si>
  <si>
    <t>Vlahos; Troy; (Philadelphia, PA); Smith; Christopher; (Wayne, PA)</t>
  </si>
  <si>
    <t>A sanitizing mitt includes an impervious inner layer provided with a     permeable outer layer provided with a sanitizing material.</t>
  </si>
  <si>
    <t>US20220039533</t>
  </si>
  <si>
    <t>CADDY SYSTEM FOR BARBER AND SALON SERVICES</t>
  </si>
  <si>
    <t>17/396658</t>
  </si>
  <si>
    <t>Siler, Antonio M; Culver, II, Robert E</t>
  </si>
  <si>
    <t>SILER ANTONIO</t>
  </si>
  <si>
    <t>Siler; Antonio M; (Akron, OH); Culver, II; Robert E; (Akron, OH)</t>
  </si>
  <si>
    <t>A caddy system comprising multiple stations constructed therein which     enable barber tools (e.g., clippers, shavers, combs, etc.) to be placed,     retrieved, for normal use, and cleaned during normal use and/or at other     times. The caddy system functions can include the sanitizing and/or     lubricating of barber tools when placed into the caddy. A jet nozzle     system flushes the tool heads with at least sanitizing fluid. The caddy     system can be so constructed to store in barber cabinets and attach to     barber chairs for convenient use.</t>
  </si>
  <si>
    <t>US20220039491</t>
  </si>
  <si>
    <t>SYSTEMS AND METHODS FOR MOLDABLE AND CASTABLE PERSONAL PROTECTIVE FACE     MASKS</t>
  </si>
  <si>
    <t>17/394229</t>
  </si>
  <si>
    <t>Weibel; Nadir; (La Jolla, CA); Sharkey; Thomas; (San Diego, CA)</t>
  </si>
  <si>
    <t>Systems and methods for protecting a user from external contamination     with a mask. Exemplary embodiments may include a mask including an open     threaded portion couplable to a filter; one or more extrusions on a front     of the unibody mask to mount straps to the unibody mask; wherein the mask     is made of silicone, and wherein the unibody mask presses against a face     such that the unibody mask seals an interior of the unibody mask from an     exterior of the unibody mask.</t>
  </si>
  <si>
    <t>US20220039489</t>
  </si>
  <si>
    <t>Mask with ePTFE Membrane</t>
  </si>
  <si>
    <t>17/443214</t>
  </si>
  <si>
    <t>EVIT GLOBAL CO., LTD.</t>
  </si>
  <si>
    <t>EVIT GLOBAL</t>
  </si>
  <si>
    <t>Park; Evit; (Seoul, KR)</t>
  </si>
  <si>
    <t>Disclosed herein is a mask with an ePTFE membrane including: a mask sheet     for covering a wearer's nose and mouth; and a mask string which is     connected to both ends of the mask sheet and is held to the wearer's     ears, wherein the mask sheet includes an ePTFE membrane. The mask sheet     includes: an inner layer located toward the wearer's face; an outer layer     located on the opposite side of the inner layer which faces the wearer's     face; and the ePTFE membrane located between the inner layer and the     outer layer. Furthermore, both ends of the outer layer, both ends of the     ePTFE membrane and both ends of the inner layer are bonded mutually.</t>
  </si>
  <si>
    <t>US20220039392</t>
  </si>
  <si>
    <t>Antiviral Antimicrobial Article</t>
  </si>
  <si>
    <t>17/392833</t>
  </si>
  <si>
    <t>DEMPSEY JAMES F</t>
  </si>
  <si>
    <t>DEMPSEY JAMES</t>
  </si>
  <si>
    <t>Dempsey; James F.; (North Olmsted, OH)</t>
  </si>
  <si>
    <t>An article used in a fitness activity such as the practice of yoga that     may be exposed to a corona virus, such as COVID-19, the article including     a substrate having at least one contact surface, wherein the substrate     includes an antiviral material in an effective amount to reduce the life     span of the virus, wherein the antiviral material is at least partially     exposed on the contact surface of the substrate.</t>
  </si>
  <si>
    <t>US20220039362</t>
  </si>
  <si>
    <t>HUMANIZED MOUSE MODEL SUSCEPTIBLE TO EMERGING CORONAVIRUSES</t>
  </si>
  <si>
    <t>17/409265</t>
  </si>
  <si>
    <t>LOUISIANA STATE UNIVERSITY</t>
  </si>
  <si>
    <t>LU; Xiaohong; (Shreveport, LA); TIAN; Xinli; (Shreveport, US)</t>
  </si>
  <si>
    <t>C12N 2015/8581 20130101;  A01K 2217/072 20130101;  C12N 15/8509 20130101;  A01K 67/0276 20130101;  A01K 2217/206 20130101;  A01K 2207/15 20130101;  A01K 2267/0337 20130101;  A01K 2227/105 20130101;  A01K 67/0278 20130101</t>
  </si>
  <si>
    <t>A genetically modified non-human animal comprising a genome containing an     endogenous non-human ACE2 locus genetically modified to encode a complete     human ACE2 gene. According to a further embodiment the genome is     genetically modified to encode a second, a third, and a fourth complete     human ACE2 gene, the human ACE2 gene is at least 85 percent identical to     SEQ ID No: 1, the animal of is a mouse, the human ACE2 gene encodes six     protein variants, an endogenous Tmprss2 gene is unmodified, a LoxP gene     flanks each of a 5' and a 3' end of a nucleic acid sequence of the human     ACE2 gene, and the human ACE2 gene is expressed in a lung, kidney,     spleen, stomach, liver, intestine, heart, and skeletal muscle of the     animal, and a cortex, striatum, middle brain, hippocampus, olfactory     bulb, and cerebellum of a brain of the animal.</t>
  </si>
  <si>
    <t>US20220039354</t>
  </si>
  <si>
    <t>VIRAL SENSOR DETECTION METHODS, METHODS OF TRAINING CANINES FOR VIRAL     SENSOR DETECTION AND METHODS OF SCREENING CANINES FOR VIRAL SENSOR     DETECTION</t>
  </si>
  <si>
    <t>17/394651</t>
  </si>
  <si>
    <t>VIRAL LOGIC LLC</t>
  </si>
  <si>
    <t>VIRAL LOGIC</t>
  </si>
  <si>
    <t>MARJAMAA-CHOWDHARY; Leigh; (Reston, VA); SCHEMBRE; Frank; (Helotes, TX); BARBINE; Michael; (San Antonio, TX); HAYTER; Daniel Warren; (Sommerset, TX); HAYTER; Daniel Glenn; (Sommerset, TX); BUNKER; Paul; (San Antonio, TX)</t>
  </si>
  <si>
    <t>Provided are methods of detecting a biological pathogen, that include     conditioning a canine to search for and passively indicate a specific     odor indicating presence of the pathogen; permitting the canine trained     to detect the pathogen using canine olfaction, to roam a room or other     area to search for the virus; and determining from a passive reaction of     the canine, whether the pathogen is present in a location or whether an     individual is infected with or carrying the pathogen. The canine is     conditioned to search for and passively indicate a specific odor     indicating presence of the pathogen using one or more biomarkers selected     from the group consisting of sweat, saliva and a pathogen. The sweat may     be from human tissue. Also provided are methods of training a canine for     biological pathogen detection.</t>
  </si>
  <si>
    <t>US20220035479</t>
  </si>
  <si>
    <t>Methods, System, and Apparatus for Touchless Terminal Interface     Interaction</t>
  </si>
  <si>
    <t>16/947392</t>
  </si>
  <si>
    <t>Lasater; Zachary Taylor; (Atlanta, GA); Bennett; Gina Torcivia; (Lawrenceville, GA); Morgan; Kip Oliver; (Atlanta, GA); Sreeraman; Meenakshi; (Waxhaw, NC)</t>
  </si>
  <si>
    <t>G06T 2207/10016 20130101;  G06F 3/016 20130101;  G06F 9/543 20130101;  G06T 7/50 20170101;  G06F 3/0425 20130101;  G06F 3/0488 20130101;  G06F 3/0482 20130101;  G06F 3/0485 20130101;  G06F 3/167 20130101;  G06F 2203/04108 20130101;  G06F 3/017 20130101;  G06F 3/0428 20130101;  G06Q 20/18 20130101;  G06T 2207/30196 20130101</t>
  </si>
  <si>
    <t>A touch field is created around a touchscreen display, the field is in     front of a touch surface of the display and the field maps to locations     on the display. An operator of a terminal during a transaction is     presented with transaction interface screens that are visually rendered     on the display. The operator makes interface options selections, performs     screen navigation, and provides date entry field inputs by placing the     operator's hand within the field without touching the touch surface of     the display and making hand poses, hand movements, and/or hand gestures.     The poses, movements, and/or gestures are translated into touch actions     and touch inputs recognized by the transaction interface and processed as     operator-provided input during the transaction.</t>
  </si>
  <si>
    <t>US20220034904</t>
  </si>
  <si>
    <t>IMMUNOASSAY FOR SARS-CoV-2 ANTIBODIES</t>
  </si>
  <si>
    <t>17/468419</t>
  </si>
  <si>
    <t>Vashist; Sandeep Kumar; (Aachen, DE); Guiffo Djoko; Lionel Gilles; (Auckland, NZ); Govind; Bhavesh; (Auckland, NZ); Janeczko; Richard; (Glendale, CA)</t>
  </si>
  <si>
    <t>G01N 33/6854 20130101;  C12Q 1/70 20130101;  G01N 2333/165 20130101;  G01N 2469/20 20130101</t>
  </si>
  <si>
    <t>US20220034886</t>
  </si>
  <si>
    <t>IMMUNOASSAY FOR SARS-CoV-2 ANTIGEN AND ANTIBODIES</t>
  </si>
  <si>
    <t>17/396263</t>
  </si>
  <si>
    <t>Vashist; Sandeep Kumar; (Auckland, NZ); Guiffo Djoko; Lionel Gilles; (Auckland, NZ); Govind; Bhavesh; (Auckland, NZ)</t>
  </si>
  <si>
    <t>G01N 33/6854 20130101;  G01N 33/56983 20130101;  G01N 2800/26 20130101;  G01N 2333/165 20130101</t>
  </si>
  <si>
    <t>US20220034885</t>
  </si>
  <si>
    <t>COMPOSITIONS AND METHODS FOR DETERMINING CORONAVIRUS NEUTRALIZATION TITERS</t>
  </si>
  <si>
    <t>17/391990</t>
  </si>
  <si>
    <t>ADMA BIOMANUFACTURING, LLC</t>
  </si>
  <si>
    <t>ADMA BIOMANUFACTURING</t>
  </si>
  <si>
    <t>Mond; James; (Silver Spring, MD); Leinert, SR.; William Pat; (Fenton, MO); Gibson; Andy; (Fenton, MO)</t>
  </si>
  <si>
    <t>G01N 33/6854 20130101;  G01N 2500/02 20130101;  G01N 2469/20 20130101;  G01N 2333/908 20130101;  G01N 2800/12 20130101;  G01N 2333/165 20130101;  G01N 33/56983 20130101;  G01N 33/581 20130101</t>
  </si>
  <si>
    <t>The disclosure is directed to methods and kits for detecting neutralizing     antibodies against a coronavirus (e.g., SARS-CoV-2) in a sample, such as     a plasma sample or pooled plasma composition. The methods utilize a panel     of SARS-CoV-2 neutralizing antibodies as a positive control. The kit may     be a rapid detection kit that measures neutralizing antibodies using the     provided methods.</t>
  </si>
  <si>
    <t>US20220034531</t>
  </si>
  <si>
    <t>AIR SANITIZER WITH BOUNDLESSLY-EXTENDED SANITIZING CHAMBER AND METHOD OF     USING SAME</t>
  </si>
  <si>
    <t>17/390386</t>
  </si>
  <si>
    <t>DDD Technology Corp.</t>
  </si>
  <si>
    <t>DDD</t>
  </si>
  <si>
    <t>LEVIT; EYAL KONSTANTINE; (Brooklyn, NY); OSADCHUK; OLEG; (Moscow, RU); BOURE; EUGENE; (Brooklyn, NY)</t>
  </si>
  <si>
    <t>Device and method for a UV air sanitizer with boundlessly-extended     sanitizing chamber are provided. The device comprises an enclosure with     an inlet emitter area with directional louvers. The inlet emitter area     optimized for drawing in outside air stream, while simultaneously     emitting ultraviolet germicidal radiation into said outside air stream.     The device further comprises a fan and a disinfection unit with at least     one UV lamp. The UV lamp is uniquely positioned and directed inside the     enclosure, so as to simultaneously irradiate: air moving inside the     enclosure, air entering through the inlet emitter area, as well as a     moving stream of air, said air located outside of the enclosure and drawn     toward the inlet area by the fan. The method includes the steps required     to use the device for creation of one or multiple germicidally-protective     defensive air curtains.</t>
  </si>
  <si>
    <t>US20220033444</t>
  </si>
  <si>
    <t>Cyclic Peptides, Methods of Synthesis, and Methods of Treatment</t>
  </si>
  <si>
    <t>17/390383</t>
  </si>
  <si>
    <t>Kreutzer; Adam G.; (Irvine, CA); Nowick; James S.; (Irvine, CA)</t>
  </si>
  <si>
    <t>Cyclic peptide compounds and methods of their synthesis are provided.     Formulations and medicaments are also provided that are directed to the     treatment of coronavirus. Therapeutics are also provided containing a     therapeutically effective dose of one or more cyclic peptide compounds,     present either as pharmaceutically effective salt or in pure form,     including, but not limited to, formulations for oral, intravenous, or     pulmonary administration.</t>
  </si>
  <si>
    <t>US20220033400</t>
  </si>
  <si>
    <t>ALKYL CHAIN MODIFIED IMIDAZOQUINOLINE TLR7/8 AGONIST COMPOUNDS AND USES     THEREOF</t>
  </si>
  <si>
    <t>17/403312</t>
  </si>
  <si>
    <t>DYNAVAX TECHNOLOGIES CORPORATION</t>
  </si>
  <si>
    <t>DYNAVAX</t>
  </si>
  <si>
    <t>CHIPMAN; Stewart D.; (Bainbridge Island, WA); KIWAN; Radwan; (Richmond, CA); KACHURA; Melissa A.; (Berkeley, CA); COFFMAN; Robert; (Portola Valley, CA)</t>
  </si>
  <si>
    <t>C07D 471/04 20130101;  A61P 31/00 20180101;  A61P 35/00 20180101</t>
  </si>
  <si>
    <t>Disclosed are alkyl chain modified 1H-imidazoquinoline compounds,     derivatives and analogs thereof, as Toll-like receptor-7 and -8 agonists     for enhancing immune responses. Also provided are methods of making     pharmaceutical compositions containing these compounds. The present     disclosure also describes methods of use for the alkyl chain modified     1H-imidazoquinoline compounds, derivatives and analogs thereof, and     pharmaceutical compositions containing these compounds for the treatment     of disease in a subject.</t>
  </si>
  <si>
    <t>US20220032096</t>
  </si>
  <si>
    <t>FACEMASK FILTER ASSEMBLY</t>
  </si>
  <si>
    <t>17/079015</t>
  </si>
  <si>
    <t>AUGUSTINE BIOMEDICAL AND DESIGN, LLC</t>
  </si>
  <si>
    <t>AUGUSTINE BIOMEDICAL AND DESIGN</t>
  </si>
  <si>
    <t>Augustine; Scott D.; (Deephaven, MN); Grewe; Dan Fredrick; (Falcon Heights, MN); Augustine; Garrett J.; (Deephaven, MN); Augustine; Brent M.; (Savage, MN); Arnold; Randall C.; (Minnetonka, MN)</t>
  </si>
  <si>
    <t>B01D 2239/065 20130101;  B01D 2239/0618 20130101;  B01D 2239/0622 20130101;  B01D 2271/02 20130101;  B01D 46/0032 20130101;  B01D 2239/0435 20130101;  B01D 2239/0627 20130101;  A62B 18/025 20130101;  B01D 39/1623 20130101;  A62B 23/025 20130101;  B01D 46/10 20130101;  A41D 13/1107 20130101</t>
  </si>
  <si>
    <t>A facemask filter assembly including a layer of air filter material     configured to fit inside of a surgical-type facemask. The filter assembly     further including a strip of compressible foam that is coupled to the     layer of air filter material near the edge (e.g., perimeter, periphery)     of the layer of air filter material. The strip of compressible foam can     extend around the entire perimeter of the layer of air filter material     except for a gap at the midline of the upper edge of the layer of air     filter material where the strip of compressible foam is absent creating a     space to accommodate the nose of the user.</t>
  </si>
  <si>
    <t>US20220032091</t>
  </si>
  <si>
    <t>FILTER MASK WITH ACCESSORY BELT</t>
  </si>
  <si>
    <t>17/352226</t>
  </si>
  <si>
    <t>GIFTEDNESS AND CREATIVITY COMPANY</t>
  </si>
  <si>
    <t>GIFTEDNESS AND CREATIVITY</t>
  </si>
  <si>
    <t>AL-JAFAR; HASSAN A A A; (SAFAT, KW)</t>
  </si>
  <si>
    <t>A62B 7/10 20130101;  A61L 2202/16 20130101;  A62B 9/00 20130101;  A62B 18/08 20130101;  A62B 18/006 20130101;  A61F 9/02 20130101;  A62B 23/02 20130101;  A61L 2/26 20130101;  A62B 18/084 20130101;  A41D 13/11 20130101;  A62B 18/025 20130101</t>
  </si>
  <si>
    <t>The filter mask with accessory belt combines a filter mask with powered     exhaust fans and an accessory belt for carrying protective and/or medical     equipment, as well as a power source for the exhaust fans. The filter     mask includes a rigid mask body having opposed outer and inner faces and     at least one exhaust vent formed therein. An inhalation port is formed     through the mask body, and a filter covers the inhalation port. At least     one exhaust fan is mounted on the inner face of the mask body adjacent     the at least one exhaust vent. At least one head securement strap is     attached to the mask body. The accessory belt includes at least one     pocket. A power supply is received within the at least one pocket of the     accessory belt. The power supply is in electrical communication with the     at least one exhaust fan for providing power thereto.</t>
  </si>
  <si>
    <t>US20220031988</t>
  </si>
  <si>
    <t>Anti-virus bi-directional UV respirator</t>
  </si>
  <si>
    <t>16/945875</t>
  </si>
  <si>
    <t>KONOVALOV, Sergey Anatoly</t>
  </si>
  <si>
    <t>KONOVALOV SERGEY</t>
  </si>
  <si>
    <t>KONOVALOV; Sergey Anatoly; (Nesher, IL)</t>
  </si>
  <si>
    <t>A61M 2202/206 20130101;  A41D 13/11 20130101;  A61B 90/05 20160201;  A61M 2202/203 20130101;  A61M 16/0616 20140204;  A41D 13/1184 20130101;  A61L 2209/12 20130101;  A61L 9/20 20130101</t>
  </si>
  <si>
    <t>The present invention relates to health protection systems in general and     to respiratory protection systems for both the user and the environment     of his people from infections he himself has, having a headgear that a     person wears and protects a person from infections and dangers     transmitted by the air, and also purifies the air He exhales into the     environment.</t>
  </si>
  <si>
    <t>US20220031967</t>
  </si>
  <si>
    <t>COVID-19 Respiratory THERAPY Device</t>
  </si>
  <si>
    <t>16/941536</t>
  </si>
  <si>
    <t>Park, Tae Yang</t>
  </si>
  <si>
    <t>PARK TAE</t>
  </si>
  <si>
    <t>Park; Tae Yang; (Seoul, KR)</t>
  </si>
  <si>
    <t>A61M 2210/0618 20130101;  A61M 2202/206 20130101;  A61M 11/005 20130101;  A61M 2205/3368 20130101;  A61M 11/044 20140204;  A61M 11/02 20130101</t>
  </si>
  <si>
    <t>Provided is a COVID-19 respiratory therapy device, including: a main body     (10) defining a predetermined interior space; a container (111) provided     on an upper portion of the main body (10); an inhalation nozzle (50)     installed on an upper portion of the container (111); a water tank (13)     installed in the container (111) and having an open top; a vapor space     defined by the container (111) and the inhalation nozzle (50); a     vaporizer (20) installed in the water tank (13) and evaporating water in     the water tank (13); a controller (30) provided in the interior space and     controlling the vaporizer (20); and a discharge hole (53) provided on an     upper portion of the inhalation nozzle (50).</t>
  </si>
  <si>
    <t>US20220031921</t>
  </si>
  <si>
    <t>Method and System for Controlled Hyperthermia</t>
  </si>
  <si>
    <t>17/404956</t>
  </si>
  <si>
    <t>VERTHERMIA ACQUISITION INC</t>
  </si>
  <si>
    <t>VERTHERMIA ACQUISITION</t>
  </si>
  <si>
    <t>Vertrees; Roger; (Bertram, TX); Winetz; Jan; (Incline Village, NV)</t>
  </si>
  <si>
    <t>An improved system and methods for treatment of cancer and other diseases     including complications from late-stage viral infections by inducing     hyperthermia in a patient relying on withdrawing blood from the patient     and returning the withdrawn blood to the patient to establish an     extracorporeal flow circuit. Blood is heated by passing through the     extracorporeal circuit at a controlled rate until a target body core     temperature in is achieved. Usually, the blood will be subjected to a     continuously re-circulating dialysis to balance electrolytes.     Additionally, the blood will be subjected to a continuously recirculating     regeneration through a carbon sorbent column where toxins and     contaminants are removed. The blood temperature is maintained at the     target blood temperature for a treatment period, and the blood is cooled     after the treatment period has been completed. The method can also be     effective in treating rheumatoid arthritis, scleroderma, hepatitis,     sepsis, the Epstein-Barr virus, and patients with life threatening     complications from other viruses, including the COVID-19 virus. A method     for removing viruses from the blood supply in an external circuit is also     presented. An adjunct of the present invention is enhanced production of     stem cells as a result of employing the HEATT process. A further adjunct     is production of transgenic swine with extant viral infections.</t>
  </si>
  <si>
    <t>US20220031906</t>
  </si>
  <si>
    <t>AIR SANITATION DEVICES AND SYSTEMS</t>
  </si>
  <si>
    <t>17/394827</t>
  </si>
  <si>
    <t>RHEEM MANUFACTURING COMPANY</t>
  </si>
  <si>
    <t>RHEEM MANUFACTURING</t>
  </si>
  <si>
    <t>Shellenberger; Timothy J.; (Tyrone, GA); Trant; Troy E.; (Montgomery, AL); Manay; Atilhan; (Roswell, GA); Srivastava; Shubham; (Montgomery, AL)</t>
  </si>
  <si>
    <t>A61L 2209/111 20130101;  A61L 9/20 20130101;  A61L 2209/12 20130101</t>
  </si>
  <si>
    <t>An air sanitation device is disclosed. The air sanitation device can     include a base section, a body section, and an air movement device     configured to move air through at least a portion of the air sanitation     device. The air sanitation device can move air from an inlet of the air     sanitation device, and past an ultraviolet (UV) light source, and out an     outlet of the air sanitation device. The air sanitation device can be     configured to draw in air from within or below a breathing zone. The air     sanitation device can be configured to draw in air from below the     breathing zone and output sanitized air. The sanitized air can be     outputted at an angle such that the sanitized air flows in a generally     downward direction.</t>
  </si>
  <si>
    <t>US20220031902</t>
  </si>
  <si>
    <t>Dental/medical operatory ventilation system</t>
  </si>
  <si>
    <t>17/300492</t>
  </si>
  <si>
    <t>COHN BRADLEY EVAN</t>
  </si>
  <si>
    <t>Cohn; Bradley Evan; (Pepper Pike, OH)</t>
  </si>
  <si>
    <t>A ventilation system for removal of aerosols including bacteria and     viruses such as the COVID-19 Coronavirus, and airborne debris from     dental/medical operatories is provided. This ventilation system is     comprised of (1) a stationary hood, secured at a specific distance above     a patient that pulls contaminated air from the operatory, (2) ducting     that carries the contaminated air away from the operatory, (3) a UV     Ozonator that treats the air and cleans it of viral and bacterial     aerosols and airborne debris before (4) expelling it to the outside     through a specified length of terminal duct. The combination of certain     embodiments in this invention create an effective means of aerosol and     airborne debris removal in dental/medical operatories or other indoor     spaces.</t>
  </si>
  <si>
    <t>US20220031892</t>
  </si>
  <si>
    <t>PORTABLE DISINFECTOR STERILIZING SPRAYER</t>
  </si>
  <si>
    <t>17/079488</t>
  </si>
  <si>
    <t>LABS HOLDING APS</t>
  </si>
  <si>
    <t>Chornovol; Volodymyr; (Zhytomyr, UA); Yatsenko; Oleksandr; (Dnipro City, UA)</t>
  </si>
  <si>
    <t>A61L 2202/16 20130101;  A61L 2202/11 20130101;  A61L 2/22 20130101;  A61L 2202/15 20130101</t>
  </si>
  <si>
    <t>A portable sterilizing sprayer includes a gripper shaped shell, and a     nozzle on the front surface of the shell. The back part of the shell     includes a clamping device which can be clamped on the waist belt. The     inner part of the shell presents a cavity to hold a disinfectant     solution. The front end of the shell is provided with a pressing part for     pressing the thumb, and when the pressing part is pressed, the     disinfection in the liquid storage cavity is carried out. When it is     used, it does not need to be removed, and the palm is pressed near the     thumb and pressed with the thumb. The disinfecting liquid can be sprayed     on the palm of the palm and can be sterilized at any time, so the     portable disinfector is convenient to carry and to use it at any time.</t>
  </si>
  <si>
    <t>US20220031890</t>
  </si>
  <si>
    <t>SANITIZING DEVICE OF A VEHICLE</t>
  </si>
  <si>
    <t>17/390972</t>
  </si>
  <si>
    <t>TEXA S.P.A.</t>
  </si>
  <si>
    <t>TEXA</t>
  </si>
  <si>
    <t>VIANELLO; Bruno; (Monastier di Treviso, IT)</t>
  </si>
  <si>
    <t>A sanitizing device for a vehicle (20) which, when in use, is adapted to     deliver chemical agents and/or gases for sanitizing the interior of a     vehicle (10). Additionally, the sanitizing device (20) integrally     comprises a pressure sensor (30) adapted to monitor the pressure inside     the vehicle (10) when the sanitizing device (20) is in use. In     particular, when the door (11) is opened, the sensor (30) detects a     pressure gradient, thus interrupting the delivery of the chemical agents     and/or gases inside the vehicle (10).</t>
  </si>
  <si>
    <t>US20220031889</t>
  </si>
  <si>
    <t>SYSTEM FOR VEHICLE STERILIZATION</t>
  </si>
  <si>
    <t>17/389168</t>
  </si>
  <si>
    <t>OUR SHIELDS, LLC</t>
  </si>
  <si>
    <t>OUR SHIELDS</t>
  </si>
  <si>
    <t>Hanna; Kirk D.; (Portland, OR); Hanna; Derek J.; (Milwaukie, OR)</t>
  </si>
  <si>
    <t>A system for sanitizing the interior of vehicles that provides an     integrated computer system, a body that contains the components of the     system, devices for transferring ozone to a vehicle, and a sterilizer for     removing ozone from the vehicle.</t>
  </si>
  <si>
    <t>US20220031887</t>
  </si>
  <si>
    <t>Active Materials, Surfaces, Surface Treatments And Methods Using Inclusion     Complex Formers For Pathogen Reduction</t>
  </si>
  <si>
    <t>17/318915</t>
  </si>
  <si>
    <t>MI2 HOLDINGS LLC</t>
  </si>
  <si>
    <t>MI2</t>
  </si>
  <si>
    <t>Hopkins; Andrew; (Houston, TX); Hopkins; Thomas; (Sylvania, OH); Land; Mark; (Houston, TX)</t>
  </si>
  <si>
    <t>A complex or composition of a photosensitizer associated with an     inclusion complex former for use in forming active surfaces and active     materials to kill or render inactive pathogens. A composition having     photosensitizer associated with an inclusion complex former, a     nanoparticle and liquid. Treating a material, such as a fabric, fiber,     product, surface, woven, and non-woven with a photosensitizer and     nanoparticle whereby treated material is an active surface that kills or     renders inactive pathogens upon illumination with sufficient light.</t>
  </si>
  <si>
    <t>US20220031875</t>
  </si>
  <si>
    <t>SHOPPING CART SANITIZATION DEVICE</t>
  </si>
  <si>
    <t>16/945704</t>
  </si>
  <si>
    <t>Ibrahim, Nazih; Ibrahim, Sami; Gnadinger, Errin</t>
  </si>
  <si>
    <t>IBRAHIM NAZIH</t>
  </si>
  <si>
    <t>Ibrahim; Nazih; (Boca Raton, FL); Ibrahim; Sami; (Boca Raton, FL); Gnadinger; Errin; (Boca Raton, FL)</t>
  </si>
  <si>
    <t>A shopping cart sanitization device, including a main body to receive at     a first end at least one shopping cart therein, and a primary     sanitization unit disposed within at least at least one portion of an     interior of the main body, the primary sanitization unit including a     sanitization body to automatically move from a second end of the main     body to the first end of the main body in response to the main body     receiving the at least one shopping cart, and at least one illumination     unit disposed on at least at least one portion of the sanitization body     to automatically illuminate UV light on the at least one shopping cart in     response to the main body receiving the at least one shopping cart, such     that the at least one illumination unit eliminates a pathogen.</t>
  </si>
  <si>
    <t>US20220031874</t>
  </si>
  <si>
    <t>16/945681</t>
  </si>
  <si>
    <t>A61L 2/26 20130101;  A61L 2202/11 20130101;  A47F 10/04 20130101;  A61L 2202/14 20130101;  A61L 2/10 20130101</t>
  </si>
  <si>
    <t>A shopping cart sanitization device, including a main body to receive at     least one shopping cart therein, and a plurality of sanitization units,     each of the plurality of sanitization units including a top illumination     unit disposed on at least a portion of a top of the main body to     illuminate a first UV light on the at least one shopping cart from above,     such that the top illumination unit is oriented toward a ground surface,     a first side illumination unit disposed on at least a portion of a first     side of the main body to illuminate a second UV light on a first side of     the at least one shopping cart, and a second side illumination unit     disposed on at least a portion of a second side of the main body opposite     with respect to the first side to illuminate a third UV light on a second     side of the at least one shopping cart.</t>
  </si>
  <si>
    <t>US20220031835</t>
  </si>
  <si>
    <t>NANOPARTICLE VACCINES WITH NOVEL STRUCTURAL COMPONENTS</t>
  </si>
  <si>
    <t>17/386289</t>
  </si>
  <si>
    <t>Scripps Research Institute</t>
  </si>
  <si>
    <t>SCRIPPS RESEARCH INSTITUTE</t>
  </si>
  <si>
    <t>He; Linling; (San Diego, CA); Zhu; Jiang; (San Diego, CA)</t>
  </si>
  <si>
    <t>A61K 2039/55516 20130101;  A61P 33/06 20180101;  B82Y 30/00 20130101;  C12N 2760/18534 20130101;  A61K 9/51 20130101;  A61K 47/6929 20170801;  C12N 2770/20034 20130101;  Y02A 50/30 20180101;  A61K 39/015 20130101;  C12N 2770/24134 20130101;  B82Y 5/00 20130101;  A61P 31/14 20180101;  C12N 2740/16111 20130101;  C12N 2760/14134 20130101;  B82Y 40/00 20130101;  A61K 47/6425 20170801;  C12N 15/86 20130101;  A61K 2039/55555 20130101;  C12N 2760/10034 20130101;  C12N 2770/24234 20130101;  A61P 31/18 20180101;  C12N 2740/16034 20130101;  A61K 39/21 20130101;  A61K 39/0005 20130101;  A61K 39/12 20130101</t>
  </si>
  <si>
    <t>The present invention provides novel nanoparticle presented vaccine     compositions that are stabilized with a locking domain. Various     immunogens can be employed in the preparation of the vaccine     compositions, including viral immunogens such as HIV-1 and Ebola viral     immunogens, and non-viral immunogens such as immunogens derived from     bacteria, parasites and mammalian species. The invention also provides     methods of using such vaccine compositions in various therapeutic     applications, e.g., for preventing or treating viral infections.</t>
  </si>
  <si>
    <t>US20220031792</t>
  </si>
  <si>
    <t>COMPOSITION AND METHOD TO HELP MANAGE THE LINGERING EFFECTS OF COVID-19 IN     PATIENTS AFTER RECOVERY</t>
  </si>
  <si>
    <t>17/347859</t>
  </si>
  <si>
    <t>ARJUNA NATURAL PRIVATE LIMITED</t>
  </si>
  <si>
    <t>ARJUNA NATURAL PRIVATE</t>
  </si>
  <si>
    <t>Lelah; Michael; (Chicago, IL)</t>
  </si>
  <si>
    <t>A61K 9/20 20130101;  A61K 9/48 20130101;  A61K 9/0053 20130101;  A61K 36/81 20130101;  A23L 33/105 20160801</t>
  </si>
  <si>
    <t>The present disclosure relates to compositions and methods for helping to     manage the lingering symptoms and effects of COVID-19 after recovery.     Specifically, the present disclosure relates to sustained release dietary     and nutritional supplement compositions and methods to provide ongoing     support and symptom management for individuals exposed to SARS-CoV-2 who     contacted COVID-19 and later recovered but continue to experience     after-effects or lingering symptoms. Specifically, the composition is     based on a sustained release ashwagandha extract, alone in a     therapeutically effective amount, or in combination with other     ingredients.</t>
  </si>
  <si>
    <t>US20220031682</t>
  </si>
  <si>
    <t>SPHINGOSINE KINASE 2 INHIBITOR FOR TREATING CORONAVIRUS INFECTION</t>
  </si>
  <si>
    <t>17/502932</t>
  </si>
  <si>
    <t>US20220031669</t>
  </si>
  <si>
    <t>Compositions for Broad Spectrum Topical Antimicrobials</t>
  </si>
  <si>
    <t>17/389259</t>
  </si>
  <si>
    <t>HIRSH, Allen Gene; Ricard, Cynthia S.</t>
  </si>
  <si>
    <t>HIRSH ALLEN</t>
  </si>
  <si>
    <t>HIRSH; Allen Gene; (Chevy Chase, MD); Ricard; Cynthia S.; (Gaithersburg, MD)</t>
  </si>
  <si>
    <t>In response to the threat of global pandemics and bacterial species     becoming increasingly resistant to antibiotic attack, this invention     provides systems and methods for reducing the infectivity of bacteria and     viruses in the human body by introducing onto the human body or into the     human body or onto personal protective equipment or any combination     thereof aqueous solutions containing a combination of solutes that     simultaneously chemically modify bacterial and viral proteins so as to     disrupt their normal function and disrupt the physical integrity of     bacterial and viral lipid membranes by providing destabilizing pH,     disulfide bond reduction capability, lipid membrane disruption     (detergent) capability, hyperosmotic stress and interference with the     binding of viral or bacterial proteins to cellular surface proteins.</t>
  </si>
  <si>
    <t>US20220031642</t>
  </si>
  <si>
    <t>Niclosamide Formulations and Methods of Use</t>
  </si>
  <si>
    <t>17/503036</t>
  </si>
  <si>
    <t>NEUROBO PHARMACEUTICALS INC</t>
  </si>
  <si>
    <t>NEUROBO PHARMACEUTICALS</t>
  </si>
  <si>
    <t>BAKSHI; Akash; (Foster City, CA); MANNOWETZ; Nadja; (Foster City, CA); BARTYNSKI; Andrew; (Foster City, CA)</t>
  </si>
  <si>
    <t>A61K 9/4858 20130101;  A61K 9/16 20130101;  A61K 31/167 20130101;  A61P 31/14 20180101;  A61K 9/485 20130101;  A61K 9/4866 20130101</t>
  </si>
  <si>
    <t>Disclosed are niclosamide formulations for use in the treatment and     prevention of viral infection. In some embodiments, the infection is     transduced by a coronavirus, including a SARS-Cov-2 virus.</t>
  </si>
  <si>
    <t>US20220031635</t>
  </si>
  <si>
    <t>Treating COVID 19 by using a mixture of cannabinoids in micellized form to     lower levels of pro-inflammatory cytokines and reduce risk of cytokine     storm</t>
  </si>
  <si>
    <t>17/388061</t>
  </si>
  <si>
    <t>WSMEF LLC</t>
  </si>
  <si>
    <t>WSMEF</t>
  </si>
  <si>
    <t>Sorensen; Clint; (St. George, UT); Montgomery; Melanie; (Wickenburg, AZ); Smith; Matt; (Highland, UT)</t>
  </si>
  <si>
    <t>This disclosure provides a technology for managing elevated cytokine     levels and the risk of cytokine storm in viral infection, exemplified by     SARS-CoV-2, the virus that causes COVID-19. A special mixture of     cannabidiol (CBD), tetrahydrocannabivarin (THCV), and cannabidivarin     (CBDV) is extracted from the flowers and leaves of Cannabis sativa     (industrial hemp). The purified oil is packed with a surfactant into     small micelles, which considerably increases absorption by the     gastrointestinal tract, resulting in higher potency and a more rapid     onset of action. Daily treatment of patients infected with SARS-CoV-2     reduces the circulating level of the pro-inflammatory cytokines tumor     necrosis factor alpha (TNF.alpha.) and interleukin 6 (IL-6) by 25 to 50%     or more. The level of circulating markers of ongoing inflammation, such     as C reactive protein (CRP) and/or erythrocyte sedimentation rate (EST)     are also reduced. This lowers the risk that the treated patient will     suffer the adverse consequences of a cytokine storm, potentially helping     the patient to clear the virus and return to good health.</t>
  </si>
  <si>
    <t>US20220030982</t>
  </si>
  <si>
    <t>ANTI-MICROBIAL, DISINFECTION CHAMBER RESPIRATORY FACE MASK/SHIELD</t>
  </si>
  <si>
    <t>17/503153</t>
  </si>
  <si>
    <t>Keene, Sharon A.; Davenport, Benjamin J.</t>
  </si>
  <si>
    <t>KEENE SHARON</t>
  </si>
  <si>
    <t>Keene; Sharon A.; (Tucson, AZ); Davenport; Benjamin J.; (Chaparral, NM)</t>
  </si>
  <si>
    <t>A self-sterilizing, face mask, respirator, open or enclosed face shield     employs germicidal, far UV-C light safe for direct human exposure,     mitigating risk of acquisition or transmission of respiratory pathogens,     such as COVID 19. Device attachments or special lenses direct far UV-C     light into the respiratory chamber and/or reservoir areas of infection     including nasal, oropharyngeal or ocular areas to reduce or eliminate     pathogens, serving also as a treatment modality. In a preferred     embodiment the face shield has a removable front section, which can be     exchanged or replaced with sections that include various functional     attributes while maintaining germicidal protections and avoiding need to     remove PPE during these activities including consumption of liquids, oral     medications or food, as well as providing antimicrobial absorbent sneeze     or cough guard or rhinorrhea secretion absorption, or a communication     device to address communication deficiencies caused by respiratory     protection barriers.</t>
  </si>
  <si>
    <t>US20220030981</t>
  </si>
  <si>
    <t>17/503151</t>
  </si>
  <si>
    <t>US20220030980</t>
  </si>
  <si>
    <t>COATED SUBSTRATES AND ARTICLES WITH ANTI-VIRAL PROPERTIES, AND FABRICATION     PROCESSES</t>
  </si>
  <si>
    <t>17/336169</t>
  </si>
  <si>
    <t>FXI, INC.</t>
  </si>
  <si>
    <t>FXI</t>
  </si>
  <si>
    <t>BARRON; Andrew R.; (Swansea, GB); POWNER; Iain; (Newcastle Under Lyme, GB); AL-SHATTY; Wafaa; (London, GB); HILL; Donald A.; (London, GB); KIANI; Sajad; (Swansea, GB); STANULIS; Andrius; (Swansea, GB); TRETHEWAY; Lee; (Newcastle Under Lyme, GB); ALEXANDER; Shirin; (London, GB); WINSTON; Steve; (London, GB)</t>
  </si>
  <si>
    <t>A01N 25/34 20130101;  A01N 59/16 20130101;  A41D 13/1192 20130101;  A62B 23/025 20130101;  A01N 25/08 20130101</t>
  </si>
  <si>
    <t>Embodiments of the present disclosure generally relate to coated     substrates having, e.g., anti-viral properties, to articles including the     coated substrates, and to processes for making such coated substrates and     articles. In an embodiment, a mask for preventing infection by a virus is     provided. The mask includes a coated substrate having a breathing     resistance (95 L/min, EN 149:2001) of about 6 mbar or less and a water     droplet absorption time of less than about 5 seconds. The coated     substrate includes a non-woven fabric having a weight of about 120     g/m.sup.2 or less according to ASTM D3776, and mineral oxide particles,     iron oxide particles, or both, coupled to at least a portion of the     non-woven fabric.</t>
  </si>
  <si>
    <t>US20220030971</t>
  </si>
  <si>
    <t>HANDHELD DEMI-FACE SHIELD DEVICE</t>
  </si>
  <si>
    <t>17/367545</t>
  </si>
  <si>
    <t>ROWE CHARLES ANNA</t>
  </si>
  <si>
    <t>Rowe; Charles Anna; (Durham, NC)</t>
  </si>
  <si>
    <t>A handheld demi-face shield device is easy to use, and can be easily     attached and removed from a user's face. The handheld demi-face shield     device includes a demi-shield comprising an outer edge, a handle end, a     left edge, a right edge, a block end, a bottom portion, and a top     portion; a nose bridge, a dowel adapter; and a dowel handle. The nose     bridge is removably affixed to demi-shield and the dowel adapter includes     a slideable clip, a receiving portion, a face, plurality of dowel holes,     a dowel cuff; there is also a dowel handle.</t>
  </si>
  <si>
    <t>US20220030970</t>
  </si>
  <si>
    <t>FACE COVERING</t>
  </si>
  <si>
    <t>17/073548</t>
  </si>
  <si>
    <t>THE FACELET LTD</t>
  </si>
  <si>
    <t>THE FACELET</t>
  </si>
  <si>
    <t>Pole; Jolene; (Loughborough, GB)</t>
  </si>
  <si>
    <t>A face covering comprising a head attachment means, and a mouth and nose     covering, wherein the mouth and nose covering includes a first internal     face arranged in use to proximate the mouth and nose, and a second     opposing external face arranged in use to be facing away from the mouth     and nose, wherein the face covering is arranged to move from a first     usage position to a second storage and transport position, characterised     in that the head attachment means is arranged to secure onto the second     face in the second position through a securement means.</t>
  </si>
  <si>
    <t>US20220030966</t>
  </si>
  <si>
    <t>Composite Material For Use In A Face Mask, and A Face Mask Formed Thereof</t>
  </si>
  <si>
    <t>17/197117</t>
  </si>
  <si>
    <t>JULADORE LIMITED</t>
  </si>
  <si>
    <t>JULADORE</t>
  </si>
  <si>
    <t>Lam; Hiu Ying; (Taipo, HK)</t>
  </si>
  <si>
    <t>B32B 5/024 20130101;  B32B 2262/0276 20130101;  B32B 27/40 20130101;  B32B 5/24 20130101;  A41D 2500/20 20130101;  B32B 2255/205 20130101;  B32B 2571/00 20130101;  B32B 2255/02 20130101;  A41D 13/11 20130101</t>
  </si>
  <si>
    <t>The invention relates to a composite material for use in a face mask. The     composite material comprises at least one fabric layer comprising a     metallic fiber material; and at least one polymer layer laminated with     the at least one fabric layer to form a single composite layer; wherein     the at least one polymer layer is of substantially the same shape and     size as the at least one fabric layer, such that any air stream passing     through the composite layer will be effectively filtered by both the at     least one fabric layer and the at least one polymer layer.</t>
  </si>
  <si>
    <t>US20220027601</t>
  </si>
  <si>
    <t>METHODS AND SYSTEMS FOR MAINTAINING HYGIENIC CONDITIONS IN AUTOMATIC     TELLER MACHINES</t>
  </si>
  <si>
    <t>16/937520</t>
  </si>
  <si>
    <t>BHARDWAJ; Shekhar; (McLean, VA); YOCCA; Andrew; (McLean, VA); GOODMAN; Kelvin; (McLean, VA); McVAY; Christopher; (McLean, VA); ZHANG; Dong; (McLean, VA); PANDYA; Neer; (McLean, VA)</t>
  </si>
  <si>
    <t>G06V 40/171 20220101;  A61L 2202/11 20130101;  G07F 19/20 20130101;  A61L 2202/14 20130101;  G06N 3/08 20130101;  A61L 2/10 20130101;  G06V 40/165 20220101;  G06V 20/10 20220101;  A61L 2/24 20130101;  G06F 3/14 20130101</t>
  </si>
  <si>
    <t>Methods and systems are described for maintaining hygienic conditions in     automatic teller machines by detecting whether or not a user is not in     compliance with a hygienic standard. If a user is not in compliance, then     the automatic teller machine may execute a hygienic action to cleanse the     automatic teller machine. For example, the hygienic action may comprise     automatically cleansing the automatic teller machine, disabling the     automatic teller machine from service, transmitting a sanitation service     request to an automatic teller machine provide, and/or initiating an     alternative control scheme (e.g., voice controls, gesture-based controls,     etc.) for the automatic teller machine.</t>
  </si>
  <si>
    <t>US20220027587</t>
  </si>
  <si>
    <t>COMPUTER VISION METHOD FOR IMPROVED AUTOMATED IMAGE CAPTURE AND ANALYSIS     OF RAPID DIAGNOSTIC TEST DEVICES</t>
  </si>
  <si>
    <t>17/381063</t>
  </si>
  <si>
    <t>NEUROGANICS DIAGNOSTICS LLC</t>
  </si>
  <si>
    <t>NEUROGANICS DIAGNOSTICS</t>
  </si>
  <si>
    <t>Cooper; Donald Channing; (Boulder, CO)</t>
  </si>
  <si>
    <t>G06K 7/1417 20130101;  G06V 20/10 20220101;  G06K 7/10722 20130101;  G01N 33/54387 20210801</t>
  </si>
  <si>
    <t>The disclosed embodiments are generally directed to improving feature     detection of rapidly acquired images using camera-enabled mobile devices     involving a 2-D decal code, such as a QR code, for improving the reading     accuracy of a rapid diagnostic antigen or antibody or enzymatic     colorimetric directed test, such as for COVID-19 diagnosis. One primary     issue with evaluating a Covid-19 rapid test is detecting and quantifying     positive test lines from sampled test strips based on digital images of     the test strip. Aspects of the present invention contemplate masking a QR     code to improve the sample image resolution and contrast. Other aspects     of the present invention contemplate methods and techniques to evaluate a     test line on the sample image by enhancing an intensity curve along the     test line and control line containing area by way of calculating the     instantaneous change in pixel intensity and evaluating the position and     intensity of those signals.</t>
  </si>
  <si>
    <t>US20220026428</t>
  </si>
  <si>
    <t>DETECTION OF ANTIBODIES TO SARSR-COV</t>
  </si>
  <si>
    <t>17/444223</t>
  </si>
  <si>
    <t>NATIONAL UNIVERSITY OF SINGAPORE</t>
  </si>
  <si>
    <t>NATIONAL UNIVERSITY SINGAPORE</t>
  </si>
  <si>
    <t>WANG; Linfa; (Singapore, SG)</t>
  </si>
  <si>
    <t>A kit, composition and method for detection of antibodies to severe acute     respiratory syndrome related coronavirus (SARSr-CoV), and for diagnosis     of SARSr-CoV infection.</t>
  </si>
  <si>
    <t>US20220026367</t>
  </si>
  <si>
    <t>PATHOGEN SCREENING USING OPTICAL EMISSION SPECTROSCOPY (OES)</t>
  </si>
  <si>
    <t>17/380270</t>
  </si>
  <si>
    <t>MAZUMDER JYOTIRMOY</t>
  </si>
  <si>
    <t>Mazumder; Jyotirmoy; (Ann Arbor, MI)</t>
  </si>
  <si>
    <t>G01N 21/67 20130101;  G01N 21/31 20130101;  G01N 2201/08 20130101;  G01N 33/487 20130101</t>
  </si>
  <si>
    <t>Apparatus and methods provide discreet and inexpensive screening for     pathogens including Covid-19. A sample of bodily fluid such as saliva is     energized to generate a plasma, and the optical emission spectra from the     plasma is collected and analyzed used a smart optical monitoring system     (SOMS) to determine the presence or increase of a protein indicative of a     pathogen. The plasma may be generated with a spark, and light may be     collected with a smartphone for remote analysis. In particular, in     patients with Covid-19 serum concentrations of acute phase proteins     (APPs), such as C-reactive protein (CRP) and ferritin, are increased in     the cases that develop more severe disease. In addition, increases in     serum of several interleukins (IL), such as IL-6 and IL-10, have been     described in Covid-19 patients, and these cytokines are known to be     mediators of the APPs response.</t>
  </si>
  <si>
    <t>US20220025665</t>
  </si>
  <si>
    <t>Drive-In Motel</t>
  </si>
  <si>
    <t>16/937646</t>
  </si>
  <si>
    <t>Basson, Kent Eugene</t>
  </si>
  <si>
    <t>BASSON KENT</t>
  </si>
  <si>
    <t>Basson; Kent Eugene; (Leesburg, VA)</t>
  </si>
  <si>
    <t>E03D 9/002 20130101;  E04H 6/02 20130101;  B60S 3/047 20130101;  E04H 3/02 20130101</t>
  </si>
  <si>
    <t>A motel room capable of admitting a car inside may be automatically     washed, rinsed, and sanitized in sequential fashion over impermeable wall     and floor surfaces, and over bathroom fixtures using one or more headers     having nozzles. Wash, rinse, and sanitizing fluids from appropriate     reservoirs may be provided in reservoirs fluidly connected to the header     and spray nozzles. The header may also be fluidly connected to a source     of drying air. The system may also contain a system for recycling water     used in the wash, rinse, and sanitizing steps.</t>
  </si>
  <si>
    <t>US20220025218</t>
  </si>
  <si>
    <t>ANTIMICROBIAL METALLIZED THIN FILMS FOR REFURBISHING COMMUNAL CONTACT     SURFACES</t>
  </si>
  <si>
    <t>16/936665</t>
  </si>
  <si>
    <t>FLEX LTD.</t>
  </si>
  <si>
    <t>FLEX</t>
  </si>
  <si>
    <t>Olson; Bruce D.; (Northfield, MN)</t>
  </si>
  <si>
    <t>B32B 2255/10 20130101;  B32B 38/0004 20130101;  A61L 2/238 20130101;  A61L 2101/30 20200801;  C09J 7/22 20180101;  C09J 7/405 20180101;  B32B 37/12 20130101;  B32B 27/06 20130101;  C09J 2483/005 20130101;  C09J 7/38 20180101;  B32B 7/12 20130101;  C09J 5/00 20130101;  C22C 9/04 20130101;  B32B 2405/00 20130101;  C09J 2400/163 20130101;  B32B 2255/205 20130101</t>
  </si>
  <si>
    <t>An antimicrobial metallized thin film is provided that can be quickly and     easily attached to surfaces of objects. This film includes a polymer     substrate onto which a metallized layer is formed. The metallized layer     comprises an exposed antimicrobial metal physical contact surface. Ions     from this physical contact surface destroy the viral coating and     ribonucleic acid of contacting viruses rendering the viruses inactive and     noninfectious. The film can be attached via an adhesive layer disposed     between and in contact with the polymer substrate and the communal     surface. This arrangement allows the film to economically refurbish     communal surfaces with a film overlay rather than completely replacing     communal surfaces with antimicrobial materials. The film mitigates the     likelihood of viruses such as coronaviruses, noroviruses, rhinoviruses,     and the like from spreading due to contact with the refurbished communal     surfaces.</t>
  </si>
  <si>
    <t>US20220025064</t>
  </si>
  <si>
    <t>ANTIBODY THERAPEUTICS THAT BIND CD137</t>
  </si>
  <si>
    <t>17/499127</t>
  </si>
  <si>
    <t>GRAY; John Dixon; (San Diego, CA); ZHOU; Heyue; (San Diego, CA)</t>
  </si>
  <si>
    <t>A61P 31/12 20180101;  A61P 15/00 20180101;  C07K 2317/56 20130101;  C07K 2317/75 20130101;  A61P 43/00 20180101;  A61P 37/04 20180101;  C07K 16/2878 20130101;  C07K 2317/70 20130101;  C07K 2317/92 20130101;  A61P 37/06 20180101;  A61P 11/00 20180101;  A61P 17/00 20180101;  A61P 13/12 20180101;  A61P 1/04 20180101;  A61P 35/00 20180101;  C07K 2317/33 20130101;  A61P 1/16 20180101;  C07K 2317/21 20130101</t>
  </si>
  <si>
    <t>There is disclosed compositions and methods relating to or derived from     anti-CD137 antibodies. More specifically, there is disclosed fully human     antibodies that bind CD137, CD137-antibody binding fragments and     derivatives of such antibodies, and CD137-binding polypeptides comprising     such fragments. Further still, there is disclosed nucleic acids encoding     such antibodies, antibody fragments and derivatives and polypeptides,     cells comprising such polynucleotides, methods of making such antibodies,     antibody fragments and derivatives and polypeptides, and methods of using     such antibodies, antibody fragments and derivatives and polypeptides,     including methods of treating a disease requiring either stimulation of     immune responses or suppression. Diseases amenable to treatment is     selected from the group consisting of cancers, autoimmune diseases and     viral infections.</t>
  </si>
  <si>
    <t>US20220024988</t>
  </si>
  <si>
    <t>Peptides for Covid-19 Prevention and Treatment</t>
  </si>
  <si>
    <t>17/393328</t>
  </si>
  <si>
    <t>SOTIRA COVID LLC</t>
  </si>
  <si>
    <t>SOTIRA COVID</t>
  </si>
  <si>
    <t>Roy; Avik; (Phoenix, AZ); Gottschalk; Carl Gunnar; (Phoenix, AZ)</t>
  </si>
  <si>
    <t>C12N 2770/20022 20130101;  A61K 38/00 20130101;  C07K 14/005 20130101;  C12N 2770/20033 20130101</t>
  </si>
  <si>
    <t>Embodiments include therapeutic peptides for preventing or reducing the     transmission of a coronavirus such as SARS-CoV2. Also included are     methods of using therapeutic peptides for reducing or preventing     transmission of a coronavirus such as SARS-CoV2. The therapeutic peptides     can prevent a region of the surface glycoprotein "spike" on SARS-CoV2     from interacting with angiotensin converting enzyme-2 (ACE-2) of host     cells.</t>
  </si>
  <si>
    <t>US20220023682</t>
  </si>
  <si>
    <t>DUAL PURPOSE ELASTIC BAND STRUCTURE FOR POSITIONING A REUSABLE WOVEN     FABRIC FACE COVERING AND MASKS HAVING THE SAME</t>
  </si>
  <si>
    <t>17/382206</t>
  </si>
  <si>
    <t>LEE, VELMA TOY HUNG</t>
  </si>
  <si>
    <t>LEE VELMA</t>
  </si>
  <si>
    <t>LEE; VELMA TOY HUNG; (POTOMAC, MD)</t>
  </si>
  <si>
    <t>A62B 23/025 20130101;  A41D 13/1161 20130101;  A62B 18/084 20130101</t>
  </si>
  <si>
    <t>A reusable woven fabric face covering mask that includes a woven fabric     face covering that has elastic ear loops on each side and an elastic     connecting band has two distal ends each of which include a loop     surrounding one of the ear loop. Additionally, a tented mask construction     achieved from a simple two-layer face covering through the use of folding     and structural seams.</t>
  </si>
  <si>
    <t>US20220023577</t>
  </si>
  <si>
    <t>BIOBURDEN REDUCTION SURGICAL MASKS/RESPIRATORS WITH USE IN PROTECTION     AGAINST SARS-CoV-2 INFECTIONS</t>
  </si>
  <si>
    <t>16/940313</t>
  </si>
  <si>
    <t>MOORE, CULLEN THOMAS; MOORE, TIMOTHY S.</t>
  </si>
  <si>
    <t>MOORE CULLEN</t>
  </si>
  <si>
    <t>MOORE; CULLEN THOMAS; (Newtown, CT); MOORE; TIMOTHY S.; (NEWTOWN, CT)</t>
  </si>
  <si>
    <t>The present invention in an embodiment relates generally to     mask/respirator having a filter assembly detachable therefrom.</t>
  </si>
  <si>
    <t>US20220023573</t>
  </si>
  <si>
    <t>DROPLET ISOLATION ENDOSCOPY MASK</t>
  </si>
  <si>
    <t>17/383753</t>
  </si>
  <si>
    <t>Resto; Vicente A.; (Galveston, TX); Kerr; Kathleen M.; (Friendswood, TX)</t>
  </si>
  <si>
    <t>The present disclosure describes an improved endoscopy scope mask and     related methods. One such endoscopy mask comprises a mask body defining     an interior cavity that fits over a nose and mouth of a patient, in which     the mask body comprises a nasal port in fluidic communication with the     interior cavity having a silicone membrane that allows for insertion of     an endoscopic instrument; an oral port in fluidic communication with the     interior cavity having a soft silicone membrane that allows for insertion     of the endoscopic instrument; an oxygen port in fluidic communication     with the interior cavity; one or more filtered exhalation ports in     fluidic communication with the interior cavity; and a suction port in     fluidic communication with the interior cavity, the suction port having a     connector for attachment to a suction tool. Other embodiments are also     provided.</t>
  </si>
  <si>
    <t>US20220023472</t>
  </si>
  <si>
    <t>OZONE DISINFECTING SYSTEM AND DEVICES CONFIGURED TO CONVERT WATER INTO     OZONE FOR DISINFECTING, CLEANING, OR SANITIZING</t>
  </si>
  <si>
    <t>17/137867</t>
  </si>
  <si>
    <t>BLUE PENNY LLC</t>
  </si>
  <si>
    <t>BLUE PENNY</t>
  </si>
  <si>
    <t>CLAUSSNER; Mark; (Cornelius, NC); KAZMER; John; (Mooresville, NC)</t>
  </si>
  <si>
    <t>An ozone disinfecting system includes a water holding tank configured to     hold water for use by the ozone disinfecting system. An ozone generator     machine is configured to convert the water into an ozone cleaner agent.     An ozone holding tank is configured to hold the ozone cleaner agent     created by the ozone generator machine. A drain is configured to drain     fluid from the ozone holding tank to the water holding tank. A pump is     configured to cycle the fluid from the water holding tank to the ozone     generator machine and into the ozone holding tank. A controller is     configured to control the pump, the ozone generator machine, and the     drain. Wherein, the controller controls the pump, the ozone generator     machine and the drain to create the ozone cleaner agent from the water     and cycle it between the water holding tank and the ozone holding tank at     a specified cycle time.</t>
  </si>
  <si>
    <t>US20220023461</t>
  </si>
  <si>
    <t>STERILIZATION DEVICE WITH DOSE FUNCTION</t>
  </si>
  <si>
    <t>17/090156</t>
  </si>
  <si>
    <t>Industrial Technology Research Instititute Cywee Group Ltd.</t>
  </si>
  <si>
    <t>INDUSTRIAL RESEARCH INSTITITUTE CYWEE</t>
  </si>
  <si>
    <t>LEE; Meng-Hsuan; (Huatan Township, TW); LI; Shou-Nan; (Caotun Township, TW); NIEN; I-Ling; (Zhubei City, TW); SHIH; Hui-Ya; (Nantou City, TW); XIE; Wen-An; (New Taipei City, TW); KUO; Chia-Yen; (Taipei City, TW); CHENG; Jui-Hsiang; (Hsinchu City, TW); CHANG; Chuan-Lin; (Taichung City, TW); CHENG; Jian-Wei; (Taichung City, TW)</t>
  </si>
  <si>
    <t>A sterilization device with dose function is provided. The sterilization     device includes a sterilization container, an ultraviolet sterilization     module, an ozone sensing module, a sterilization time counter, a dose     controller and an ozone removal module. The ultraviolet sterilization     module is disposed in the sterilization container to sterilize an article     by emitting an ultraviolet light. The ozone sensing module is used to     sense an ozone concentration of the sterilization container. The     sterilization time counter is used to calculate a sterilization time. The     dose controller is used to receive a sensing signal of the ozone     concentration and a counting signal of the sterilization time to obtain     an ozone dose. The ozone removal module is disposed in the sterilization     container to remove or purify the ozone and reduce the ozone     concentration in the sterilization container.</t>
  </si>
  <si>
    <t>US20220023456</t>
  </si>
  <si>
    <t>UV SANITIZING LIGHT MODULE AND CONTAINER SYSTEM</t>
  </si>
  <si>
    <t>16/938270</t>
  </si>
  <si>
    <t>OWL ROCK CAPITAL CORPORATION</t>
  </si>
  <si>
    <t>OWL ROCK CAPITAL</t>
  </si>
  <si>
    <t>WOJCZAK; SOPHIA; (HARRISON, NY); CARRUBBA; PAUL JAMES; (BALDWIN, NY); BISHOP; DANIEL; (MONROE, CT)</t>
  </si>
  <si>
    <t>A sanitizing module includes a housing having an open end, and at least     one ultraviolet light emitting element within the housing and being     configured to emit ultraviolet light out of the housing through the open     end. The housing is configured for removable connection to a container     having an interior receiving space such that connection of the housing to     the container encloses the interior receiving space of the container.</t>
  </si>
  <si>
    <t>US20220023415</t>
  </si>
  <si>
    <t>ANTI COVID-19 THERAPIES USING NUCLEOCAPSID AND SPIKE PROTEINS</t>
  </si>
  <si>
    <t>17/448033</t>
  </si>
  <si>
    <t>GLOBEIMMUNE, INC.</t>
  </si>
  <si>
    <t>GLOBEIMMUNE</t>
  </si>
  <si>
    <t>King; Thomas H.; (Culver City, CA)</t>
  </si>
  <si>
    <t>Compositions and methods are presented for prevention and/or treatment of     a coronavirus disease wherein the composition comprises a recombinant     entity. The recombinant entity comprises a nucleic acid that encodes a     nucleocapsid protein of coronavirus 2 (CoV2); and/or wherein the     recombinant entity encodes a spike protein of CoV2.</t>
  </si>
  <si>
    <t>US20220023345</t>
  </si>
  <si>
    <t>Compositions Comprising CD34+ Cells and Methods for Repairing a Lung     Injury After Severe Virus Infection</t>
  </si>
  <si>
    <t>17/377922</t>
  </si>
  <si>
    <t>CALADRIUS BIOSCIENCES, INC.</t>
  </si>
  <si>
    <t>CALADRIUS BIOSCIENCES</t>
  </si>
  <si>
    <t>Losordo; Douglas; (Scarsdale, NY)</t>
  </si>
  <si>
    <t>The described invention provides a method for treating a subject at risk     for a lung injury derived from a severe virus infection. The steps of the     method include (a) receiving a subcutaneous injection of a bone marrow     stimulant to mobilize CD34+ cells into the peripheral blood; (b)     harvesting CD34+ cells from the peripheral blood by apheresis; (c)     selecting CD34+ cells by positive selection; (d) formulating a CLBS119     cell product by suspending the selected CD34+ cells in an isotonic     solution with serum ranging from 5% to 40%, inclusive and human serum     albumin ranging from 0.5%-10%, inclusive, to form a pharmaceutical     composition; and (e) administering the cell product to the subject. The     sterile pharmaceutical composition contains a therapeutic amount of a     mobilized nonexpanded, isolated population of autologous mononuclear     cells enriched for CD34+ cells with a purity ranging from 55% to 100%,     inclusive, which further contains a subpopulation of potent CD34+/CXCR4+     cells. The mobilized nonexpanded, isolated population of autologous     mononuclear cells enriched for CD34+ cells with a purity ranging from 55%     to 100%, inclusive, which further contains a subpopulation of potent     CD34+/CXCR4+ cells when tested in vitro after passage through an infusion     catheter after acquisition: (i) has CXCR-4 mediated chemotactic activity     and moves in response to SDF-1; (ii) can form hematopoietic colonies; and     (iii) is at least 80% viable. According to some embodiments, the severe     virus infection is caused by influenza or a human coronavirus.</t>
  </si>
  <si>
    <t>US20220023237</t>
  </si>
  <si>
    <t>ADDITIVE AND/OR SYNERGISTIC COMBINATIONS OF METFORMIN WITH NUTRACEUTICALS     FOR THE PREVENTION, INHIBITION AND TREATMENT OF SARS-COV-2 AND ASSOCIATED     COVID-19</t>
  </si>
  <si>
    <t>17/383269</t>
  </si>
  <si>
    <t>Disclosed are compositions of matter, treatments and protocols useful for     prevention of SARS-CoV-2 infection, as well as inhibition of viral     propagation and acceleration of viral cure. In some embodiments the     invention teaches the administration of a therapeutic combination of     ingredients comprising of metformin, pterostilbene, nigella sativa,     sulforaphane, and epigallocatechin-3-gallate (EGCG) to a mammal at risk     of infection with SARS-CoV-2. In another embodiment, the invention     teaches administration of said therapeutic combination to a mammal     infected with said SARS-CoV-2. In some embodiments dosage of said     therapeutic combination is based on inflammatory and/or immunological     parameters observed in patients with COVID-19.</t>
  </si>
  <si>
    <t>US20220023118</t>
  </si>
  <si>
    <t>MOBILE MEDICAL CARE SYSTEM</t>
  </si>
  <si>
    <t>17/383360</t>
  </si>
  <si>
    <t>AARDVARK EVENT LOGISTICS</t>
  </si>
  <si>
    <t>BORDEN; Lawrence W.; (Conshohocken, PA)</t>
  </si>
  <si>
    <t>A medical care system having one or more clinician rooms, and one or more     patient areas. The clinician rooms and patient areas are separate from     one another to prevent an infectious virus (such as COVID-19) from     spreading from one room or area to another room or area. A dividing wall     is provided between each clinician room and the respective patient area.     A glass partition is located in the dividing wall and one or more gloves     are provided in the glass partition. Thus, a clinician located in a     clinician room can interact with a patient located in the patient area to     conduct a physical medical examination, such as for example to take the     temperature of the patient or test for a virus.</t>
  </si>
  <si>
    <t>US20220023093</t>
  </si>
  <si>
    <t>DUAL USE INTERORAL PROTECTION MASK</t>
  </si>
  <si>
    <t>17/362833</t>
  </si>
  <si>
    <t>SPNY HOLDINGS, INC.</t>
  </si>
  <si>
    <t>SPNY</t>
  </si>
  <si>
    <t>Hosogai; Toshio; (Torrance, CA)</t>
  </si>
  <si>
    <t>A61F 2006/042 20130101;  A61F 6/04 20130101</t>
  </si>
  <si>
    <t>A protective oral sex face mask is described herein that protects a first     wearer and second user during sexual activity. The mask performs as a     prophylactic against STDs and other infectious agents. The face mask     includes a body portion bounded by a top boundary, a bottom boundary, a     first side boundary, and an opposing side boundary. The body portion     further includes an interior surface touchable by the first user's     tongue, and an exterior surface touchable by a second user. The mask     includes a snug tongue pouch maintaining sensory perception of the first     wearer while performing oral sex.</t>
  </si>
  <si>
    <t>US20220022829</t>
  </si>
  <si>
    <t>PROTECTIVE SHIELD FOR RADIOLOGY SCANNERS</t>
  </si>
  <si>
    <t>17/378860</t>
  </si>
  <si>
    <t>Oakes; Terrence R.; (Middleton, WI); Ahmed; Azam Syed; (Madison, WI); Kiel; Joseph A.; (Newport, MN); Henry; Jordan; (Oregon, WI); Culp; Andrew; (Madison, WI)</t>
  </si>
  <si>
    <t>A61B 46/10 20160201;  A61B 46/40 20160201;  A61B 6/4423 20130101</t>
  </si>
  <si>
    <t>A shield for the bore of radiology scanners provides a resilient sheet     material that can be compressed against the inner surface of the bore by     a circumference expander greatly simplifying installation.</t>
  </si>
  <si>
    <t>US20220022818</t>
  </si>
  <si>
    <t>ASSESSMENT OF ABNORMALITY PATTERNS ASSOCIATED WITH COVID-19 FROM X-RAY     IMAGES</t>
  </si>
  <si>
    <t>16/947149</t>
  </si>
  <si>
    <t>Siemens</t>
  </si>
  <si>
    <t>SIEMENS</t>
  </si>
  <si>
    <t>Ghesu; Florin-Cristian; (Princeton, NJ); Liu; Siqi; (Princeton, NJ); Mansoor; Awais; (Potomac, MD); Grbic; Sasa; (Plainsboro, NJ); Vogt; Sebastian; (Monument, CO); Comaniciu; Dorin; (Princeton Junction, NJ); Sa; Ruhan; (Monmouth Junction, NJ); Xu; Zhoubing; (Plainsboro, NJ)</t>
  </si>
  <si>
    <t>Systems and methods for assessing a disease are provided. An input     medical image in a first modality is received. Lungs are segmented from     the input medical image using a trained lung segmentation network and     abnormality patterns associated with the disease are segmented from the     input medical image using a trained abnormality pattern segmentation     network. The trained lung segmentation network and the trained     abnormality pattern segmentation network are trained based on 1)     synthesized images in the first modality generated from training images     in a second modality and 2) target segmentation masks for the synthesized     images generated from training segmentation masks for the training     images. An assessment of the disease is determined based on the segmented     lungs and the segmented abnormality patterns.</t>
  </si>
  <si>
    <t>US20220022747</t>
  </si>
  <si>
    <t>PERSONAL THERMAL DATA COLLECTION AND AGGREGATION SYSTEM AND METHOD</t>
  </si>
  <si>
    <t>16/939023</t>
  </si>
  <si>
    <t>MALFAVON VIDAL</t>
  </si>
  <si>
    <t>Malfavon; Vidal; (Norwalk, CA)</t>
  </si>
  <si>
    <t>A thermal image data acquisition device is described herein, comprising:     at least one wireless transceiver device, adapted to transmit and receive     digital data; at least one infrared camera device, adapted to acquire one     or more thermal images of an owner of the thermal image data acquisition     device, wherein each of the one or more thermal images records an     internal body temperature of the owner; a processor communicatively     coupled to the at least one wireless transceiver device and the at least     one infrared camera device; and a memory operatively connected to the     processor, wherein the memory stores computer-executable instructions     that, when executed by the processor, causes the at least one processor     to execute a method that comprises: acquiring, via the at least one     infrared camera device, the one or more thermal images within a thermal     imaging application executing on the processor; and processing the     acquired one or more thermal images in accordance with one or more     processing instructions, wherein the one or more processing instructions     generates one or more processed thermal image files; transmitting each of     the one or more processed thermal image files of the owner; and making a     determination as to whether a pandemic situation exists within a specific     geographical area based on the recorded internal body temperature of the     owner as stored in the one or more processed thermal data image files of     the owner.</t>
  </si>
  <si>
    <t>US20220022615</t>
  </si>
  <si>
    <t>Mask Case</t>
  </si>
  <si>
    <t>16/952299</t>
  </si>
  <si>
    <t>COKELEY ERIN</t>
  </si>
  <si>
    <t>Cokeley; Erin; (Chicago, IL)</t>
  </si>
  <si>
    <t>A storage container for retaining personal protective equipment. The     storage container is a case comprising a pair of compartments connected     along one side by a hinge. Each compartment has a rigid exterior     protecting an interior cavity dimensioned to retain and protect a bottle     of hand sanitizer, a reusable facemask, disposable gloves, or a     combination thereof. Each compartment is lined with an antimicrobial     layer to protect the encapsulated personal protective equipment. At least     one compartment comprises a retaining element to further secure the     personal protective equipment within the case. The compartments open and     close like a clam shell with a securing clasp opposite the hinge. The     case is attachable to an external attachment point, such as a backpack or     a belt loop via a clip or carabiner attached to the case by an attachment     point on the exterior of the case.</t>
  </si>
  <si>
    <t>US20220022573</t>
  </si>
  <si>
    <t>EXTENDED USE MASK HAT AND METHOD FOR CONTROLLING SPREAD OF INFECTION</t>
  </si>
  <si>
    <t>17/144636</t>
  </si>
  <si>
    <t>HERNANDEZ ALEXANDER LUIS</t>
  </si>
  <si>
    <t>Hernandez; Alexander Luis; (Thousand Oaks, CA)</t>
  </si>
  <si>
    <t>A62B 23/025 20130101;  A41D 31/18 20190201;  A42B 1/24 20130101;  A41D 13/1184 20130101;  A41D 13/1161 20130101</t>
  </si>
  <si>
    <t>Disclosed here is an extended use mask hat. The principal components are     a hat member, a mask member and an attachment means. Under conditions     where there is no desire for protection, the mask member can be easily     stored against the interior surface of the hat member. When there is a     desire for protection, the mask member can be easily and quickly donned.     The service period of the mask hat is extendable by washing. Several     technological problems are overcome, including, individual and community     protection from the airborne spread of infectious disease in a manner     that is effective, not noxious to human sensibility and not overly     bearing.</t>
  </si>
  <si>
    <t>US20220022571</t>
  </si>
  <si>
    <t>16/937197</t>
  </si>
  <si>
    <t>APPAREL SOLUTIONS LLC</t>
  </si>
  <si>
    <t>APPAREL SOLUTIONS</t>
  </si>
  <si>
    <t>Araujo; Roberta; (North Redington Bch, FL)</t>
  </si>
  <si>
    <t>A face mask may include a main body that has a rear, a front, a bottom, a     top, and a pair of opposing side portions extending between the top and     the bottom. The face mask may also include an opening formed through the     front and the rear of the main body and an opening cover member moveable     between an opened position and a closed position. The face mask may     further include a first fastener member connected to the main body and     positioned to surround the opening and a second fastener member connected     to an inner portion of the opening cover member and adapted to engage the     first fastener member to secure the opening cover member to the main     body.</t>
  </si>
  <si>
    <t>US20220022458</t>
  </si>
  <si>
    <t>COMPOSITION AND METHOD FOR REDUCING THE INFECTIVITY AND VIRUCIDAL ACTIVITY     OF SARS-COV-2</t>
  </si>
  <si>
    <t>17/384629</t>
  </si>
  <si>
    <t>STRATEGIA PROJECT MAN LLC AN ILLINOIS LIMITED LIABILITY COMPANY</t>
  </si>
  <si>
    <t>STRATEGIA PROJECT MAN ILLINOIS LIABILITY</t>
  </si>
  <si>
    <t>LO; Erwin; (Spring, TX)</t>
  </si>
  <si>
    <t>A01P 1/00 20210801;  A01N 59/00 20130101;  A01N 33/12 20130101</t>
  </si>
  <si>
    <t>Formulations for treating and coating surfaces resulting in reduced     infectivity of SARS-Cov-2 and reduced virucidal activity. Of three     different formulations, a first composition is microSURE.RTM. HS     sanitizer and is a benzalkonium chloride-based formulation. A second     composition is microSURE.RTM. SP sanitizer and is a quaternary ammonium     ("Quat Ammonia") based formulation. A third composition is a     microSURE.RTM. silica-based sanitizing formulation containing a silica     dilution of 1-to-30 in diH.sub.2O without any chemical additives. In use,     the appropriate formulation is applied to a surface desired to be     protected, such as plastic, and forms a coating thereon. The coating has     the effect of reducing the titer of SARS-Cov-2 after a period of as     little as 30 minutes.</t>
  </si>
  <si>
    <t>US20220022452</t>
  </si>
  <si>
    <t>COMPOSITIONS COMPRISING PROTOCATECHUIC ACID AND METHODS OF USE</t>
  </si>
  <si>
    <t>16/947256</t>
  </si>
  <si>
    <t>Johnson; Lanny L.; (Frankfort, MI)</t>
  </si>
  <si>
    <t>This disclosure is directed to methods of using compositions comprising     protocatechuic acid (PCA) to kill virus including a Covid-19 virus. The     compositions generally comprise protocatechuic acid, a liquid vehicle,     and a stabilizer. In embodiments, the liquid vehicle comprises an alcohol     and/or water. In preferred embodiments, the oil is an essential oil. In     embodiments, the compositions may comprise principally protocatechuic     acid, liquid vehicle, and stabilizer as the main ingredients. The     compositions may be sprayed onto various products and articles of     manufacture, and mammalian and human skin, to kill virus including a     Covid-19 virus and to further protect the product or human skin for a     period of time up to 24 hours or more. In preferred embodiments, an     alcohol component kills virus on contact, and after drying, the residual     surface PCA coating provides a continuing anti-viral function.</t>
  </si>
  <si>
    <t>US20220020503</t>
  </si>
  <si>
    <t>PREDICTING EFFICACY OF PREVENTATIVE MEASURES TO MITIGATE SPREAD OF A     PATHOGEN AND ILLNESSES CAUSED THEREFROM USING MACHINE LEARNING MODELS</t>
  </si>
  <si>
    <t>17/207485</t>
  </si>
  <si>
    <t>GENERAL GENOMICS, INC.</t>
  </si>
  <si>
    <t>GENERAL GENOMICS</t>
  </si>
  <si>
    <t>GIECK; Warren Dennis; (Calgary, CA); ROSENTHAL; Aronjol David; (Midland, TX)</t>
  </si>
  <si>
    <t>Embodiments of the present disclosure generally relate to methods for     analyzing the effectiveness of preventative measures on the spread of     illnesses, such as COVID-19, on living organisms. More particularly,     embodiments of the present disclosure relate to methods for identifying     the effectiveness of preventative measures, processes, equipment and     other available data, and providing indicators and methods of     visualization the effectiveness of preventative measures on the spread of     an illness.</t>
  </si>
  <si>
    <t>US20220020236</t>
  </si>
  <si>
    <t>DIGITAL PASS VERIFICATION SYSTEMS AND METHODS</t>
  </si>
  <si>
    <t>17/208754</t>
  </si>
  <si>
    <t>Luthra; Nitesh; (Abbott Park, IL); Frayman; Lev F.; (Abbott Park, IL); Finch; Terry; (Abbott Park, IL); Schullian; John; (Abbott Park, IL); Wager; Douglas; (Abbott Park, IL); Wood; Nicholas Alexander Robertson; (Libertyville, IL)</t>
  </si>
  <si>
    <t>G16H 10/65 20180101;  G16H 40/63 20180101;  G06Q 50/265 20130101;  G16H 15/00 20180101;  G06K 19/06037 20130101;  G16H 10/40 20180101;  G07C 9/25 20200101;  G16H 50/80 20180101;  G07C 9/29 20200101;  G06K 7/1417 20130101;  G07C 9/22 20200101</t>
  </si>
  <si>
    <t>Digital pass verification systems and methods are disclosed herein. An     apparatus disclosed herein includes memory including instructions that,     when executed, cause processor circuitry to: access a result of a     diagnostic test associated with a test kit identification; associate the     result of the diagnostic test with a user identification; and transmit     the result of the diagnostic test and the test kit identification to a     first device to cause the first device to generate a machine-readable     pass on a display of the first device.</t>
  </si>
  <si>
    <t>US20220020229</t>
  </si>
  <si>
    <t>SYSTEM AND METHOD FOR MOBILE TOLL CALCULATION AND PAYMENT</t>
  </si>
  <si>
    <t>17/374557</t>
  </si>
  <si>
    <t>TRANSURBAN MOBILE LLC</t>
  </si>
  <si>
    <t>TRANSURBAN MOBILE</t>
  </si>
  <si>
    <t>HIGGINS; Christopher T.; (Alexandria, VA); MAYVILLE; William; (Alexandria, VA); MANLEY; Christine; (Alexandria, VA)</t>
  </si>
  <si>
    <t>G06Q 30/0284 20130101;  G06Q 20/326 20200501;  G16H 50/80 20180101;  H04L 67/306 20130101;  G06Q 20/3224 20130101;  G06F 16/29 20190101;  H04L 67/18 20130101;  H04W 4/021 20130101;  G06Q 20/4015 20200501;  G07B 15/063 20130101;  G01S 19/51 20130101</t>
  </si>
  <si>
    <t>A mobile tolling application and system for allowing users to pay tolls     through the mobile application running on a user mobile device are     described. In particular, a mobile application running on a mobile device     having a GPS, GLONASS, satellite, or other location receiver receives     information regarding the location of the mobile device, compares the     location information to known map way points, and sends the location and     applicable travel information to a remote server. The remote server forms     a route traveled by the vehicle based on received information from the     mobile application, retrieves pricing information for tolls on the formed     route, and provides calculated tolling information to the mobile     application. Users can then select to pay the tolls through the mobile     application.</t>
  </si>
  <si>
    <t>US20220020145</t>
  </si>
  <si>
    <t>REAL-TIME ESTIMATION OF LOCAL CARDIAC TISSUE PROPERTIES AND UNCERTAINTIES     BASED ON IMAGING AND ELECTRO-ANATOMICAL MAPS</t>
  </si>
  <si>
    <t>17/305631</t>
  </si>
  <si>
    <t>Meister; Felix; (Erlangen, DE); Passerini; Tiziano; (Plainsboro, NJ); Mansi; Tommaso; (Plainsboro, NJ); Lluch Alvarez; Eric; (Nurnberg, DE); Audigier; Chloe; (Bern, CH); Mihalef; Viorel; (North Brunswick, NJ)</t>
  </si>
  <si>
    <t>Systems and methods for automatically detecting a disease in medical     images are provided. Input medical images are received. A plurality of     metrics for a disease is computed for each of the input medical images.     The input medical images are clustered into a plurality of clusters based     on one or more of the plurality of metrics to classify the input medical     images. The plurality of clusters comprise a cluster of one or more of     the input medical images associated with the disease and one or more     clusters of one or more of the input medical images not associated with     the disease. In one embodiment, the disease is COVID-19 (coronavirus     disease 2019).</t>
  </si>
  <si>
    <t>US20220018850</t>
  </si>
  <si>
    <t>COMPOSITIONS AND METHODS FOR ASSAYING NEUTRALIZING ANTIBODIES</t>
  </si>
  <si>
    <t>17/376058</t>
  </si>
  <si>
    <t>DIAZYME LABORATORIES, INC.</t>
  </si>
  <si>
    <t>DIAZYME LABORATORIES</t>
  </si>
  <si>
    <t>Yuan; Chong-Sheng; (San Diego, CA); Saida; Fakhri B.; (San Diego, CA); Datta; Abhijit; (San Diego, CA); Dou; Chao; (San Diego, CA)</t>
  </si>
  <si>
    <t>G01N 33/54326 20130101;  G01N 2333/165 20130101;  G01N 2333/948 20130101;  G01N 33/6854 20130101</t>
  </si>
  <si>
    <t>Provided herein are compositions and methods for analyzing neutralizing     antibodies to SARS-CoV-2, for example, in a sample from a subject     suspected of having, having, or having had (e.g., having recovered from)     a SARS-CoV-2 infection, or a subject having received a prophylactic     and/or therapeutic intervention for a coronavirus infection.</t>
  </si>
  <si>
    <t>US20220018797</t>
  </si>
  <si>
    <t>RAPID AIRBORNE VIRAL SENSOR AND METHODS RELATED THERETO</t>
  </si>
  <si>
    <t>17/373515</t>
  </si>
  <si>
    <t>TEXAS TECH UNIVERSITY SYSTEM</t>
  </si>
  <si>
    <t>Botte; Gerardine G.; (Lubbock, TX); Ramanujam; Ashwin; (Lubbock, TX)</t>
  </si>
  <si>
    <t>The present invention provides for a device and method for the rapid     detection (within seconds) of viruses and virions (proteins and nucleic     acids) found in novel coronavirus (SARS-CoV-2) and other viruses through     testing of an air sample. The device can be used at front line,     hospitals, clinical laboratories, airports, groceries, homes, and the     like. The device can be used as a single probe for single use or home use     for fast detection of multiple samples simultaneously. The present     invention would facilitate multiple testing at times of pandemics caused     by airborne viruses when a large number of samples have to be tested in     short periods of time.</t>
  </si>
  <si>
    <t>US20220018715</t>
  </si>
  <si>
    <t>SYSTEMS AND METHODS FOR MONITORING BODY TEMPERATURE</t>
  </si>
  <si>
    <t>17/330178</t>
  </si>
  <si>
    <t>TEMPERATURE SAFENET, INC.</t>
  </si>
  <si>
    <t>TEMPERATURE SAFENET</t>
  </si>
  <si>
    <t>Moton, JR.; Jerrod Edward; (Washington, DC)</t>
  </si>
  <si>
    <t>An autonomous vehicle control system includes at least one processor. The     at least one processor is configured to cause a first device to monitor a     body temperature of a first person, determine, responsive to the     monitoring, as a first determination result, whether the monitored body     temperature exceeds a predetermined threshold, perform image processing     on an image of the first person, determine, based on a result of the     image processing, as a second determination result, whether the first     person wears a face mask, and control a second device based on at least     one of the first determination result or the second determination result.</t>
  </si>
  <si>
    <t>US20220018051</t>
  </si>
  <si>
    <t>SYSTEM AND METHOD FOR PROVIDING SANITARY TOWELS FOR RESTAURANTS AND BARS</t>
  </si>
  <si>
    <t>17/375716</t>
  </si>
  <si>
    <t>RECINE THOMAS</t>
  </si>
  <si>
    <t>Recine; Thomas; (Las Vegas, NV)</t>
  </si>
  <si>
    <t>D06F 33/37 20200201;  D06F 33/40 20200201;  D06F 33/36 20200201;  D06F 33/34 20200201;  D06F 37/12 20130101;  D06F 33/44 20200201;  D06F 2103/22 20200201;  D06F 2103/16 20200201;  D06F 34/24 20200201;  D06F 2103/18 20200201</t>
  </si>
  <si>
    <t>An automated system and method for providing sanitary towels in     restaurants and bars includes a tank assembly, a perforated drum     assembly, a drive motor and drive gear assembly, a sanitizer solution     source, a water source, a heating unit, one or more solenoid valves     capable of governing the introduction and release of water and sanitizer     solution into and from the tank assembly, one or more sensors capable of     measuring solution temperature and sanitizer concentration, and a     controller unit having at least one processor and memory. A method of use     involves the programmable steps of filling the tank assembly, measuring     the concentration of sanitizer, adjusting the concentration of sanitizer,     measuring the temperature of the water and sanitizer solution, adjusting     the temperature, agitating towels, and draining the water and sanitizer     solution after a preferred amount of time.</t>
  </si>
  <si>
    <t>US20220017604</t>
  </si>
  <si>
    <t>ANTI-SARS-CoV-2 MONOCLONAL ANTIBODIES</t>
  </si>
  <si>
    <t>17/232796</t>
  </si>
  <si>
    <t>Ellebedy; Ali; (St. Louis, MO); Schmitz; Aaron; (St. Louis, MO); Turner; Jackson; (St. Louis, MO); Al Soussi; Wafaa; (St. Louis, MO); Diamond; Michael; (St. Louis, MO); Fremont; Daved; (St. Louis, MO); Case; James Brett; (St. Louis, MO); Zhao; Haiyan; (St. Louis, MO); Boon; Adrianus; (St. Louis, MO); Whelan; Sean; (St. Louis, MO); McCluskey; Andrew; (Holden, MA); Negron; Christopher; (Worcester, MA)</t>
  </si>
  <si>
    <t>The present invention relates to antibodies or antigen-binding fragments     that are useful for treating coronavirus infections (e.g., COVID-19     caused by SARS-CoV-2). The present invention also relates to various     pharmaceutical compositions and methods of treating coronavirus using the     antibodies or antigen-binding fragments.</t>
  </si>
  <si>
    <t>US20220017548</t>
  </si>
  <si>
    <t>Compounds and Methods for the Treatment of COVID-19</t>
  </si>
  <si>
    <t>17/365213</t>
  </si>
  <si>
    <t>Kania; Robert Steven; (Del Mar, CA); Bezawada; Padmavani; (Vernon Hills, IL); Hawking; Emma Louise; (Deal, Kent, GB); Jaini; Rohit; (Chicago, IL); Kulkarni; Samir; (East Lyme, CT); O'Brien Laramy; Matthew Nathan; (Evanston, IL); Lillis; Jonathan Richard; (Ramsgate, Kent, GB); Luthra; Suman; (Westford, MA); Owen; Dafydd Rhys; (Concord, MA); Pencheva; Klimentina Dimitrova; (Ramsgate, Kent, GB); Pettersson; Martin Youngjin; (Littleton, MA); Rane; Anil Mahadeo; (Mystic, CT); Sammons; Matthew Forrest; (Quincy, MA); Sullivan; Bradley Paul; (Gurnee, IL); Thiel; Andrew John; (Gurnee, IL); Ticehurst; Martyn David; (Kent, GB); Tuttle; Jamison Bryce; (Marblehead, MA); Hoffman; Robert Louis; (San Diego, CA)</t>
  </si>
  <si>
    <t>The invention relates to compounds of formula I  ##STR00001## wherein R.sup.1, R.sup.2 and - - - - - are as defined herein,     pharmaceutical compositions comprising the compounds and methods of     treating COVID-19 in a patient by administering therapeutically effective     amounts of the compounds and methods of inhibiting or preventing     replication of SARS-CoV-2 with the compounds.</t>
  </si>
  <si>
    <t>US20220016453</t>
  </si>
  <si>
    <t>ANTIVIRAL FACE MASKS AND AIR FILTERS</t>
  </si>
  <si>
    <t>17/377028</t>
  </si>
  <si>
    <t>CALGON CARBON CORPORATION</t>
  </si>
  <si>
    <t>CALGON CARBON</t>
  </si>
  <si>
    <t>BROWN; Robert; (Hougton le Spring, GB); CURTIS; Paul; (Hougton le Spring, GB)</t>
  </si>
  <si>
    <t>Air filters and masks containing activated carbon cloth material,     optionally with silver included, are described that are effective at     removing virus from the air, immobilizing, and inactivating. The filters     and masks can immobilize and inactivate a virus. The filters and masks     are useful for protecting a user against coronavirus such as SARS-CoV-2.</t>
  </si>
  <si>
    <t>US20220016437</t>
  </si>
  <si>
    <t>SYSTEMS AND METHODS FOR LIGHT GENERATION AND USE THEREOF</t>
  </si>
  <si>
    <t>16/932710</t>
  </si>
  <si>
    <t>JARAUSCH KONRAD</t>
  </si>
  <si>
    <t>Jarausch; Konrad; (Albany, CA)</t>
  </si>
  <si>
    <t>A61L 2202/14 20130101;  A61N 2005/0642 20130101;  A61L 2/10 20130101;  A61N 5/0618 20130101;  A61N 2005/0661 20130101;  A61N 2005/0626 20130101;  A61N 5/0616 20130101;  A61L 2202/11 20130101;  A61L 2/24 20130101</t>
  </si>
  <si>
    <t>System and methods to generate and control light for use in therapeutic,     aesthetic, disinfection, and other light-related applications in settings     where a significant portion of skin is exposed to light (e.g., shower,     sauna, locker-room). Characteristics of the light are controlled to     simulate specific spectra of natural sunlight and unnatural light and     deliver targeted doses of UV light (e.g., for vitamin-D synthesis,     boosting the immune system, tanning), UV-C light (e.g., to kill bacteria,     viruses, and fungi), visible light (e.g., to anchor a circadian rhythm to     improve mood, metabolism, cognitive functions, physical performance, and     sleep), and red or infrared light (e.g., for skin rejuvenation, wound     healing, tissue repair, blood-flow, muscle recovery, circulation) while,     at the same time, minimizing negative impacts of light exposure. Various     embodiments may further create the experience of an outdoor shower.</t>
  </si>
  <si>
    <t>US20220016297</t>
  </si>
  <si>
    <t>UV-C LED DISINFECTING APPARATUSES, SYSTEMS, AND METHODS</t>
  </si>
  <si>
    <t>16/947682</t>
  </si>
  <si>
    <t>A-one Technology, LTD</t>
  </si>
  <si>
    <t>A-ONE</t>
  </si>
  <si>
    <t>Huang; Yonglin; (Irvine, CA); Huang; Andy P.; (Irvine, CA); Wang; Liang; (Irvine, CA); Huang; Yongxing; (Tangjiwan, CN); Shi; Xiangdong; (Zhuhai, CN)</t>
  </si>
  <si>
    <t>A61L 2202/14 20130101;  A61L 2202/122 20130101;  A41D 13/1138 20130101;  A61L 2202/121 20130101;  A41D 13/1161 20130101;  A61L 2/10 20130101;  A61L 2202/11 20130101;  A61L 2209/111 20130101;  A61L 2209/12 20130101;  A61L 2209/15 20130101;  A61L 2/24 20130101;  A61L 9/20 20130101;  A61L 2209/14 20130101</t>
  </si>
  <si>
    <t>An ultraviolet (UV) germicidal irradiation system comprising: a light     emitting diode (LED) disinfecting face mask comprising: a flexible mask     body having a front surface and a back surface; a flexible printed     circuitry (FPC) sheet disposed within the flexible mask body, the FPC     sheet having a plurality of LEDs adapted to emit UV light, the plurality     of LEDs facing the front surface; a vibration sensor electrically     connected to the FPC sheet, the vibration sensor being adapted to detect     vibrations; a UV-reflective layer disposed behind the FPC sheet, the     UV-reflective layer being adapted to reflect the UV light; and a light     diffusion layer disposed in front of the FPC sheet, the light diffusion     layer being adapted to scatter the UV light; and a control module     comprising: a central processing unit (CPU), an LED driver, and a power     source; the CPU being in electrical communication with the LED driver and     the vibration sensor.</t>
  </si>
  <si>
    <t>US20220016291</t>
  </si>
  <si>
    <t>Transactional Currency Sanitizer</t>
  </si>
  <si>
    <t>17/140554</t>
  </si>
  <si>
    <t>Poole, David Alan</t>
  </si>
  <si>
    <t>POOLE DAVID</t>
  </si>
  <si>
    <t>Poole; David Alan; (Qualicum Beach, CA)</t>
  </si>
  <si>
    <t>A transactional currency sanitizer which includes an enclosure, a deposit     device on the enclosure for depositing the currency into said enclosure,     an ultraviolet radiation-producing (UV) device with at least two     spaced-apart UV light emitters, and a retrieval device on the enclosure     for retrieving the currency from said enclosure. The deposit device is     configured to receive the currency and pass the currency between the at     least two spaced-apart UV light emitters to sanitize both sides of the     currency and the retrieval device is configured to accept the sanitized     currency from between said device at least two spaced-apart UV light     emitters and to provide the sanitized currency for retrieval from said     enclosure.</t>
  </si>
  <si>
    <t>US20220016266</t>
  </si>
  <si>
    <t>SENSE INDICATOR COMPOSITION</t>
  </si>
  <si>
    <t>17/375591</t>
  </si>
  <si>
    <t>CONTEMPORARY HEALTH SYSTEMS, LLC</t>
  </si>
  <si>
    <t>CONTEMPORARY HEALTH SYSTEMS</t>
  </si>
  <si>
    <t>Schneider; Ira; (Palm Beach, FL)</t>
  </si>
  <si>
    <t>Compositions, kits, and methods for indicating a symptom of a disease.     The composition may include one or more components having a taste or     smell property as an indicator of a symptom of a disease. When applied to     a user's tongue or mouth, detection or lack of detection of the taste or     smell property may indicate a person has temporarily lost his/her sense     of smell or taste as a result of a disease, particularly COVID-19     infection or exposure.</t>
  </si>
  <si>
    <t>US20220016235</t>
  </si>
  <si>
    <t>CORONAVIRUS VACCINE COMPOSITIONS, METHODS, AND USES THEREOF</t>
  </si>
  <si>
    <t>17/489572</t>
  </si>
  <si>
    <t>SICHUAN CLOVER BIOPHARMACEUTICALS, INC.</t>
  </si>
  <si>
    <t>SICHUAN CLOVER BIOPHARMACEUTICALS</t>
  </si>
  <si>
    <t>LIANG; Peng; (Chengdu, CN); LIANG; Joshua; (Chengdu, CN)</t>
  </si>
  <si>
    <t>The present disclosure relates in some aspects to immunogenic     compositions including recombinant peptides and proteins comprising     coronavirus viral antigens and immunogens, e.g., coronavirus S protein     peptides. In some aspects, the immunogenic composition comprises a     secreted fusion protein comprising a soluble coronavirus viral antigen     joined by in-frame fusion to a C-terminal portion of a collagen which is     capable of self-trimerization to form a disulfide bond-linked trimeric     fusion protein. In some aspects, the immunogenic compositions provided     herein are useful for generating an immune response, e.g., for treating     or preventing a coronavirus infection. In some aspects, the immunogenic     compositions provided herein may be used in a vaccine composition, e.g.,     as part of a prophylactic and/or therapeutic vaccine. Also provided     herein are methods for producing the recombinant peptides and proteins,     prophylactic, therapeutic, and/or diagnostic methods, and related kits.</t>
  </si>
  <si>
    <t>US20220016234</t>
  </si>
  <si>
    <t>17/405393</t>
  </si>
  <si>
    <t>IMMUNITYBIO, INC.</t>
  </si>
  <si>
    <t>IMMUNITYBIO</t>
  </si>
  <si>
    <t>Rice; Adrian; (Culver City, CA); Verma; Mohit; (Culver City, CA)</t>
  </si>
  <si>
    <t>Disclosed herein are methods for inducing immunity against a severe acute     respiratory syndrome (SARS) coronavirus 2 (SARS-CoV2) in a patient in     need thereof. The method comprises administering a vaccine composition     comprising a self-adjuvanted SARS-CoV2 Spike (S) RNA-based vaccine     (AAHI-SC2), followed by administering a replication defective adenovirus     (hAd5) vaccine composition, wherein the adenovirus comprises an E1 gene     region deletion and an E2b gene region deletion.</t>
  </si>
  <si>
    <t>US20220016233</t>
  </si>
  <si>
    <t>IDENTIFYING PATIENT POPULATIONS VULNERABLE TO VIRAL INFECTION AND METHODS     OF INDUCING HETEROLOGOUS IMMUNITY IN SAME</t>
  </si>
  <si>
    <t>17/371555</t>
  </si>
  <si>
    <t>PAWLOWSKI; COLIN; (Boston, MA); Soundararajan; Venkataramanan; (Andover, MA); Puranik; Arjun; (San Jose, CA); Aravamudan; Murali; (Andover, MA)</t>
  </si>
  <si>
    <t>This application relates to methods for assessing patient populations and     determining subpopulations vulnerable to viral infection, methods of     reducing the risk of infection and/or inducing heterologous immunity to     said viral infection.</t>
  </si>
  <si>
    <t>US20220016222</t>
  </si>
  <si>
    <t>SPHINGOID COMPOUNDS FOR PROPHYLAXIS AND/OR THERAPY OF CORONAVIRIDAE     INFECTION</t>
  </si>
  <si>
    <t>17/030524</t>
  </si>
  <si>
    <t>HARBINS RUHR BIOSCIENCE, INC.</t>
  </si>
  <si>
    <t>HARBINS RUHR BIOSCIENCE</t>
  </si>
  <si>
    <t>Gulbins; Erich; (Essen, DE)</t>
  </si>
  <si>
    <t>Provided are processes for the prevention or treatment of infection by     SARS-CoV-2. Some aspects provide administration of a sphingoid compound,     optionally sphingosine, an active ingredient that activates generation of     a sphingoid base, optionally of sphingosine; or an active agent that     inhibits the degradation of a sphingoid base, optionally of sphingosine,     to a subject such as a human. By increasing the local concentration of     sphingosine in a subject or an area of a subject to which the composition     is administered such as the airways, nose or interior of the nose or     portion thereof, the ability or SARS-CoV-2 to infect the subject or cells     thereof is reduced thereby treating of preventing infection by the virus.</t>
  </si>
  <si>
    <t>US20220016163</t>
  </si>
  <si>
    <t>DENDRITIC HUMAN UNIVERSAL NON-ANTIGEN EDUCAP VACCINE</t>
  </si>
  <si>
    <t>16/948930</t>
  </si>
  <si>
    <t>Deagle, William Richard</t>
  </si>
  <si>
    <t>DEAGLE WILLIAM</t>
  </si>
  <si>
    <t>Deagle; William Richard; (Vista, CA)</t>
  </si>
  <si>
    <t>A61K 35/15 20130101;  A61K 2039/542 20130101;  A61K 2039/58 20130101;  A61K 39/215 20130101;  C12N 2770/20034 20130101;  C12N 5/0639 20130101;  A61P 31/14 20180101</t>
  </si>
  <si>
    <t>A non-antigenic microRNA exosomal vaccination that includes     dendritic-derived exosomes resulting from the incubation of dendritic     cells with Spike Protein of a COVID-19 virus so that the dendritic cells     process the Spike Protein of the COVID-19 virus to enable education of     naive T-cells. The exosomes so-derived are then harvested and     encapsulated for delayed release oral capsule delivery to selectively     reach intestinal antigen-presenting cells in the terminal ileum for     stimulating an acquired immune response to the Spike Protein of the     COVID-19 virus. The intestinal antigen-presenting cells incorporate the     dendritic-derived exosomes, and thereby learn to recognize the Spike     Protein as a threat, even though no dangerous antigens, RNA, or DNA     modifications of the antigen or Spike Protein of the COVID-19 virus were     introduced by the non-antigenic microRNA exosomal vaccine, thereby     avoiding creation of new pandemic viral emergencies, cytokine storms,     mitochondrial aerobic failure, serious illnesses, and death via mutated     strains of the COVID-19 virus.</t>
  </si>
  <si>
    <t>US20220016129</t>
  </si>
  <si>
    <t>USE OF HOMOHARRINGTONINE IN PREPARATION OF BETACORONAVIRUS REPLICATION     INHIBITOR IN HUMAN</t>
  </si>
  <si>
    <t>17/407689</t>
  </si>
  <si>
    <t>HANGZHOU MINSHENG PHARMACEUTICAL CO., LTD.</t>
  </si>
  <si>
    <t>HANGZHOU MINSHENG PHARMACEUTICAL</t>
  </si>
  <si>
    <t>Wu; ChungI; (Guangzhou City, CN); Wen; Haijun; (Guangzhou City, CN)</t>
  </si>
  <si>
    <t>Disclosed is a use of homoharringtonine (HHT) in preparation of a drug     against betacoronavirus infection, a use of homoharringtonine in     preparation of a betacoronavirus replication inhibitor in human, and a     formulation and a method for treating a disease caused by     betacoronavirus. Through research, the HHT is found to not only have a     good inhibitory effect on the first step of protein synthesis, but also     have an unexpected inhibitory effect on each step of protein synthesis     elongation, and can better inhibit the synthesis of long proteins.     Because betacoronaviruses have longer ORFs and are more sensitive to the     HHT, the HHT has a better replication inhibition effect on the     betacoronaviruses, thus providing a feasible solution for controlling the     replication of coronaviruses. The effects of the HHT on treating diseases     caused by the betacoronaviruses including SARS-CoV-2 are confirmed for     the first time by cell experiments and animal models.</t>
  </si>
  <si>
    <t>US20220016053</t>
  </si>
  <si>
    <t>METHOD OF TREATING PATIENTS INFECTED WITH SEVERE ACUTE RESPIRATORY     SYNDROME CORONAVIRUS 2 (SARS-CoV-2)</t>
  </si>
  <si>
    <t>17/357388</t>
  </si>
  <si>
    <t>ZOGENIX INTERNATIONAL LIMITED</t>
  </si>
  <si>
    <t>ZOGENIX</t>
  </si>
  <si>
    <t>Galer; Bradley S.; (West Chester, PA)</t>
  </si>
  <si>
    <t>Provided is a method of treating a patient infected with severe acute     respiratory syndrome coronavirus 2 (SARS-CoV-2), comprising: determining     the patient has been infected with SARS-CoV-2; and administering to the     patient a therapeutically effective dose of fenfluramine.</t>
  </si>
  <si>
    <t>US20220015700</t>
  </si>
  <si>
    <t>Eyewear system for detecting and indicating presence of coronavirus</t>
  </si>
  <si>
    <t>17/381058</t>
  </si>
  <si>
    <t>123IV, INC.</t>
  </si>
  <si>
    <t>123IV</t>
  </si>
  <si>
    <t>Chefitz; Allen B.; (New Rochelle, NY)</t>
  </si>
  <si>
    <t>A61B 5/1477 20130101;  A61B 5/14546 20130101;  G01N 33/54388 20210801;  A61B 5/14507 20130101;  G02C 11/00 20130101;  G02C 5/12 20130101;  A61B 5/6803 20130101;  G01N 2800/26 20130101;  G01N 33/56983 20130101;  A61B 2010/0067 20130101;  G02C 7/16 20130101;  G01N 2469/10 20130101</t>
  </si>
  <si>
    <t>An article of manufacture comprises an optical shade configured for     removable attachment to eyewear, e.g., eyeglasses that are retrofitted to     include a micro-fluidic tear collector in a nose pad. The optical shade     comprises a lens having a lateral flow assay comprising an antibody     having an associated fluorescent tag. The fluorescent tag is configured     to fluoresce and change a color of the lens upon detection by the flow     assay of an antigen that matches the antibody. The antigen comprises     viral constituents, such as SARS-CoV-2. The color change of the lens is     visible and indicates presence of Covid-19 infection.</t>
  </si>
  <si>
    <t>US20220015637</t>
  </si>
  <si>
    <t>Self-administered, non-invasive, transcutaneous viral detector</t>
  </si>
  <si>
    <t>17/079649</t>
  </si>
  <si>
    <t>Chefitz; Allen B.; (New Rochelle, NY); Singh; Rohit; (Newton, MA)</t>
  </si>
  <si>
    <t>A non-invasive, transcutaneous, real-time viral detection device that is     configured for self-administration, e.g., at a user's home. In one     embodiment, and after positioning the device relative to the human body     part (e.g., the user's finger), light sources in the device are activated     (excited), and resulting data captured. In particular, a set of Raman     spectra are collected from a configured set of emitters and detectors in     the device and delivered to a nearby receiver, preferably wirelessly. The     receiver filters and de-convolves the Raman spectra producing a data set     representative of the constituent elements in the user's tissue of     interest. The data set is applied against a statistical classifier, e.g.,     a neural network that has been trained to recognize and distinguish the     absence or presence of viral components, e.g., C-19, or its associated     blood-borne acute phase reactants. The classifier outputs an appropriate     indicator, preferably in real-time, providing the user with an immediate     indication of whether C-19 (or other virus of interest) is present.</t>
  </si>
  <si>
    <t>US20220015619</t>
  </si>
  <si>
    <t>PROTECTIVE SHIELD FOR MEDICAL PROCEDURES</t>
  </si>
  <si>
    <t>17/221800</t>
  </si>
  <si>
    <t>Ernst, Maurice Moshe</t>
  </si>
  <si>
    <t>ERNST MAURICE</t>
  </si>
  <si>
    <t>Ernst; Maurice Moshe; (Jerusalem, IL)</t>
  </si>
  <si>
    <t>A mask for covering the nose and mouth of a patient which supports a     camera with a field of view into the oral cavity, and includes apertures     for allowing for the passage of instrumentation into the oral cavity. The     camera transmits images to a display, for example, in real time, through     which the practitioner can see the area in the oral cavity where the     procedure is being performed.</t>
  </si>
  <si>
    <t>US20220015583</t>
  </si>
  <si>
    <t>WRIST-WORN SANITIZER DISPENSER</t>
  </si>
  <si>
    <t>17/407386</t>
  </si>
  <si>
    <t>Winn, George Joseph</t>
  </si>
  <si>
    <t>WINN GEORGE</t>
  </si>
  <si>
    <t>WINN; George Joseph; (Falls Church, VA)</t>
  </si>
  <si>
    <t>A wrist-worn hand sanitizer dispenser packet includes a bladder having     two-ply welded plastic or blow molded plastic, a valve unified at a first     end thereof with the bladder, a fluid recharge opening in the bladder on     an opposite side of the valve, the fluid recharge opening to permit     refilling a fluid cavity in the bladder, wherein the bladder is prepared     for sealing by applying at least one folded layer at the fluid recharge     opening, and a tubular structure having a channel extending along the     length thereof and acute flares formed at ends of the channel, the     tubular structure configured to retain the at least one folded layer of     the bladder.</t>
  </si>
  <si>
    <t>US20220015474</t>
  </si>
  <si>
    <t>ANTI-BACTERIAL AND ANTI-VIRAL, SMART FACEMASK</t>
  </si>
  <si>
    <t>17/378363</t>
  </si>
  <si>
    <t>YE; Ruquan; (Kowloon, HK); HUANG; Libei; (Kowloon, HK)</t>
  </si>
  <si>
    <t>A61L 9/22 20130101;  A41D 2500/50 20130101;  A41D 13/1146 20130101;  A41D 2500/20 20130101;  A41D 2500/40 20130101;  A41D 13/1192 20130101;  A61L 9/20 20130101</t>
  </si>
  <si>
    <t>A facemask having a graphene layer providing antibacterial and antiviral     properties. The facemask is also able to generate electricity from the     wearer's breath. The graphene is a three dimensional graphene produced in     situ the facemask by burning a suitable material in the facemask with a     laser, i.e. laser induced graphene (LIG). Typically, the graphene     comprises hydrophilic graphene, in such a way that the graphene is more     hydrophilic towards one side of the substrate and less hydrophilic     towards the other side of the substrate, which provides the possibility     of generating an electrical potential difference using human breath.</t>
  </si>
  <si>
    <t>US20220015473</t>
  </si>
  <si>
    <t>Face Shield</t>
  </si>
  <si>
    <t>17/381183</t>
  </si>
  <si>
    <t>Akyea-Djamson, Ayim</t>
  </si>
  <si>
    <t>AKYEA-DJAMSON AYIM</t>
  </si>
  <si>
    <t>Akyea-Djamson; Ayim; (Clarksville, MD)</t>
  </si>
  <si>
    <t>A face shield apparatus suited for medical laboratory practices or in any     other application that requires face protection is presented. The face     shield apparatus contains a headband, a first shield portion, a second     shield portion, and a connection element. The first shield portion is     connected adjacent to the headband. The second shield portion is     connected adjacent to the first shield portion, opposite to the headband     through a connection element. The second shield portion is removably     attached to the first shield portion through the connection element,     allowing the user to use the face shield apparatus in a whole     configuration or halved configuration, where the whole configuration     utilizes both the first shield portion and the second shield portion     while the halved configuration utilizes only the first shield portion.</t>
  </si>
  <si>
    <t>US20220015472</t>
  </si>
  <si>
    <t>INTEGRAL FACE SHIELD</t>
  </si>
  <si>
    <t>16/928236</t>
  </si>
  <si>
    <t>ENTREPRENEER GROUP, LLC</t>
  </si>
  <si>
    <t>ENTREPRENEER</t>
  </si>
  <si>
    <t>Boza; Juan Manuel; (Katy, TX)</t>
  </si>
  <si>
    <t>An integral face shield formed from a single sheet of material. The face     shield can have a clear portion adapted to shield a face of a user, a     first adjusting strip, a second adjusting strip, and at least one slot     disposed upon the second adjusting strip adapted to receive the first     adjusting strip. The face shield can be manufactured flat for storage and     shipping. The user can also flatten the shield for storage after use.</t>
  </si>
  <si>
    <t>US20220015468</t>
  </si>
  <si>
    <t>PROTECTIVE FACE MASK FOR INVASIVE MEDICAL PROCEDURES THROUGH MOUTH OR NOSE</t>
  </si>
  <si>
    <t>16/933352</t>
  </si>
  <si>
    <t>EHK MEDICAL, LLC</t>
  </si>
  <si>
    <t>EHK MEDICAL</t>
  </si>
  <si>
    <t>Espinal; Eric A.; (Akron, OH); Hagarty; Robert Alan; (Akron, OH); Khalil; Phillip Labib; (Medina, OH)</t>
  </si>
  <si>
    <t>A41D 13/1138 20130101;  A41D 13/1161 20130101;  A61M 39/04 20130101;  A61M 16/20 20130101;  A61B 1/00147 20130101</t>
  </si>
  <si>
    <t>A medical device for use with an associated tube inserted into a     respiratory outlet of a patient is disclosed. The medical device includes     a mask with an opening sized to receive and allow movement of the     associated tube, and a valve operatively connected with the opening of     the mask. The valve includes a main body, and an opening formed in a     portion of the main body in which the opening is sized and dimensioned to     accommodate the associated tube.</t>
  </si>
  <si>
    <t>US20220014876</t>
  </si>
  <si>
    <t>DISTRIBUTED TYPE TRAFFIC LINE TRACING APPARATUS, AND METHOD USING THE SAME</t>
  </si>
  <si>
    <t>17/231458</t>
  </si>
  <si>
    <t>G08B 21/0415 20130101;  G10L 15/22 20130101;  G08B 21/0492 20130101;  G16H 50/20 20180101;  G16H 50/30 20180101;  G06V 40/67 20220101;  G16H 50/70 20180101;  G10L 2015/223 20130101;  G06V 40/1365 20220101;  H04W 4/029 20180201;  G06T 11/00 20130101;  H04N 5/33 20130101</t>
  </si>
  <si>
    <t>A distributed type traffic line tracing apparatus of the present     disclosure is personally installed in a residence of a tracing target     person, to automatically verify whether a traffic line of the tracing     target person coincides with a traffic line of a confirmed person and     automatically report a result to a disease management authority only when     the traffic lines coincide with each other in an emergency situation such     as an infectious disease pandemic, so that a quarantining target person     is discovered and found early while protecting a privacy of an individual     much more when compared to a centralized type, thereby rapidly     establishing an infectious disease management system for patients with     suspected diseases and efficiently managing the patients from the spread     of infectious diseases.</t>
  </si>
  <si>
    <t>US20220013241</t>
  </si>
  <si>
    <t>AI Based Optimized Decision Making For Epidemiological Modeling</t>
  </si>
  <si>
    <t>17/355971</t>
  </si>
  <si>
    <t>COGNIZANT TECHNOLOGY SOLUTIONS INDIA PVT. LTD.</t>
  </si>
  <si>
    <t>COGNIZANT SOLUTIONS INDIA</t>
  </si>
  <si>
    <t>Meyerson; Elliot; (San Francisco, CA); Francon; Olivier; (Sainte-Foy-Ies-Lyon, FR)</t>
  </si>
  <si>
    <t>The present invention relates to an ESP decision optimization system for     epidemiological modeling. ESP based modeling approach is used to predict     how non-pharmaceutical interventions (NPIs) affect a given pandemic, and     then automatically discover effective NPI strategies as control measures.     The ESP decision optimization system comprises of a data-driven     predictor, a supervised machine learning model, trained with historical     data on how given actions in given contexts led to specific outcomes. The     Predictor is then used as a surrogate in order to evolve prescriptor,     i.e. neural networks that implement decision policies (i.e. NPIs)     resulting in best possible outcomes. Using the data-driven LSTM model as     the Predictor, a Prescriptor is evolved in a multi-objective setting to     minimize the pandemic impact.</t>
  </si>
  <si>
    <t>US20220013236</t>
  </si>
  <si>
    <t>SYSTEMS AND METHODS FOR DETECTING EARLY INDICATIONS OF ILLNESSES</t>
  </si>
  <si>
    <t>17/485027</t>
  </si>
  <si>
    <t>ELYSIAN LABS INC</t>
  </si>
  <si>
    <t>ELYSIAN LABS</t>
  </si>
  <si>
    <t>Lo; Joanne Chung-Yan; (Oakland, CA)</t>
  </si>
  <si>
    <t>A method for addressing tactical situations via tactical devices may     include (i) identifying at least one wearable device that monitors at     least one biomarker of a user wearing the at least one wearable device     during a span of time while carrying out daily activities, (ii)     receiving, by a server, information about activity of the at least one     biomarker monitored by the at least one wearable device during the span     of time, (iii) determining that the activity of the at least one     biomarker during the span of time includes an early indication of an     illness, and (iv) transmitting an alert about the early indication of the     illness detected by the at least one wearable device. Various other     systems, and methods are also disclosed.</t>
  </si>
  <si>
    <t>US20220013200</t>
  </si>
  <si>
    <t>Influenza Status Registry</t>
  </si>
  <si>
    <t>17/347522</t>
  </si>
  <si>
    <t>MARZ KEITH</t>
  </si>
  <si>
    <t>Marz; Keith; (Sherman Oaks, CA)</t>
  </si>
  <si>
    <t>G06Q 30/0185 20130101;  G06Q 50/265 20130101;  G16H 40/67 20180101;  G06Q 50/01 20130101;  G16H 10/40 20180101;  G16H 10/20 20180101;  G16H 40/20 20180101;  G06F 8/61 20130101;  G16H 10/60 20180101;  G16H 50/80 20180101</t>
  </si>
  <si>
    <t>An influenza Status Registry (ISR) that provides a method of acquiring,     storing and displaying a person's status regarding influenza,     particularly the COVID-19 coronavirus, as well as vaccination     information. The ISR uses a software program that operates on a computer     or a wireless device such as a smart phone or tablet computer. A person     will have an influenza/COVID-19 test performed by a medical professional.     The test results, which show the person's status, are then displayed on     the computer or wireless device. Any business or other entity where     multiple people congregate in a limited space then uses the ISR to     determine if it is safe to allow each person to enter the location. The     status will be displayed as never had, previously had or currently has     influenza/COVID-19, and appropriate action can be taken based on the test     results. Additionally, the ISR will display information pertaining to a     person's vaccination status.</t>
  </si>
  <si>
    <t>US20220011309</t>
  </si>
  <si>
    <t>METHOD FOR THE RAPID IDENTIFICATION OF COVID-19 INFECTION</t>
  </si>
  <si>
    <t>17/370514</t>
  </si>
  <si>
    <t>Chen; Qiang; (Chandler, AZ); Felder; Mitchell S.; (Hermitage, PA)</t>
  </si>
  <si>
    <t>An embodiment provides a method for identifying Covid-19 in a body fluid     of a patient, including: removing the body fluid from a patient; applying     a treatment to the body fluid, wherein the treatment comprises an     antibody that joins with a Covid-19 targeted antigen (TA) in the body     fluid to form an antibody-TA complex, wherein the antibody comprises a     light functional antibody; identifying the antibody-TA complex, using a     spectroscopic technique, from the body fluid using a light source; and     returning the body fluid to the patient. Other aspects are described and     claimed.</t>
  </si>
  <si>
    <t>US20220011293</t>
  </si>
  <si>
    <t>17/324085</t>
  </si>
  <si>
    <t>Hummer, Matthew; Hummer, Gregory J.</t>
  </si>
  <si>
    <t>HUMMER MATTHEW</t>
  </si>
  <si>
    <t>Hummer; Matthew; (Shaker Heights, OH); Hummer; Gregory J.; (Shaker Heights, OH)</t>
  </si>
  <si>
    <t>The embodiments disclose a method including functionalizing a biosensor     with a biologic analytical target prior to installation into a detection     cartridge, depositing a test subject bodily fluid test sample onto the     biosensor surface, inserting the detection cartridge into a portable     detection cartridge reader, measuring the electrical impedance of the     bodily fluid test sample across biosensor energized electrodes, providing     algorithms for analyzing measured electrical impedance data of the bodily     fluid test sample obtained in the detection cartridge, identifying and     determining the presence of biologic analytical target molecules in the     bodily fluid test sample, and transmitting results of the test results to     the test subject.</t>
  </si>
  <si>
    <t>US20220011224</t>
  </si>
  <si>
    <t>DISEASE DIAGNOSIS USING SPECTROSCOPY AND MACHINE LEARNING</t>
  </si>
  <si>
    <t>17/368793</t>
  </si>
  <si>
    <t>Massachusetts Institute of Technology; Mohammed VI Polytechnic University; Laboratoire Anoual</t>
  </si>
  <si>
    <t>MASSACHUSETTS INSTITUTE TECHNOLOGY; MOHAMMED POLYTECHNIC UNIVERSITY; LABORATOIRE ANOUAL</t>
  </si>
  <si>
    <t>Bertsimas; Dimitris; (Belmont, MA); Lahlou Kitane; Driss; (Somerville, MA); Azami; Nawfel; (Rabat, MA); Fekkak; Jamal; (Casablanca, MA); Benhida; Rachid; (Nice, FR); Loukman; Salma; (Rabat, MA); Marchoudi; Nabila; (Casablance, MA)</t>
  </si>
  <si>
    <t>G01N 33/6848 20130101;  G01N 2021/3595 20130101;  G01N 2201/129 20130101;  G01N 21/3577 20130101;  G01N 21/3563 20130101;  A61B 5/0075 20130101</t>
  </si>
  <si>
    <t>Aspects of the present application relate to techniques of diagnosing     whether a pathogen (e.g., SARS-CoV-2) is present in a subject using     infrared (IR) spectroscopy and machine learning techniques. The     techniques use spectral data obtained from performing IR spectroscopy on     a biological sample (e.g., saliva or nasal sample, or genetic material     extracted therefrom) to generate a set of feature values. The feature     values are provided as input to a machine learning model to obtain output     indicating whether the pathogen is present in the biological sample. The     output of the machine learning model may be used to determine a diagnosis     result for a subject.</t>
  </si>
  <si>
    <t>US20220011219</t>
  </si>
  <si>
    <t>17/368803</t>
  </si>
  <si>
    <t>Bertsimas; Dimitris; (Belmont, MA); Lahlou Kitane; Driss; (Somerville, MA); Azami; Nawfel; (Rabat, MA); Fekkak; Jamal; (Casablanca, MA); Benhida; Rachid; (Nice, FR); Loukman; Salma; (Rabat, MA); Marchoudi; Nabila; (Casablanca, MA)</t>
  </si>
  <si>
    <t>US20220011013</t>
  </si>
  <si>
    <t>DISPLACEMENT INDUCTION ENVIRONMENTAL SANITIZING CONTROL SYSTEM</t>
  </si>
  <si>
    <t>17/370212</t>
  </si>
  <si>
    <t>CARSON DESIGN AND MANUFACTURING INC.</t>
  </si>
  <si>
    <t>CARSON DESIGN AND MANUFACTURING</t>
  </si>
  <si>
    <t>Carson; Christopher Michael; (Dawsonville, GA); Riemenschneider; Bret; (Orono, MN); Muhlstein; Mark Lee; (Maple Grove, MN)</t>
  </si>
  <si>
    <t>F24F 2221/34 20130101;  F24D 19/0087 20130101;  F24F 13/06 20130101;  F24F 1/01 20130101;  F24F 3/16 20130101;  F24F 13/28 20130101;  F24F 13/26 20130101</t>
  </si>
  <si>
    <t>In one or more embodiments, a displacement induction environmental     sanitizing control system for controlling the environment in a room is     provided. The system includes a housing having a supply air intake     configured to receive a supply of pressurized outside air, a room air     intake configured to receive air into the housing from the room, and a     conditioned air outlet configured to output conditioned sanitized air     into the room from the housing. The housing has an airflow path from the     room air intake and the supply air intake to the conditioned air outlet.     A conditioning element is configured to adjust temperature of air in the     airflow path. A sanitation element is configured to sanitize air in the     airflow path.</t>
  </si>
  <si>
    <t>US20220010994</t>
  </si>
  <si>
    <t>Cashier Station Vertical Air Curtain Attachment</t>
  </si>
  <si>
    <t>17/144236</t>
  </si>
  <si>
    <t>F24F 2009/007 20130101;  F24F 9/00 20130101</t>
  </si>
  <si>
    <t>Provided is a cashier station attachment for creating a vertical air     curtain between a retailer and a customer. The device includes a     substantially planar body with an internal chamber and an open side with     a diffuser, an attachment means for attaching the device to a cashier     station, and a means for forcing air into the internal chamber and out of     the diffuser. The forced air from the chamber creates an air curtain,     which is an invisible barrier between a retailer and a customer. The air     curtain prevents the spread of contaminants, pathogens, and the like that     are expelled from the mouth or nose of a person on one side of the air     curtain from contacting a person on the other side. The device can be     retrofitted onto any preexisting cashier station and can be readily     removed as desired.</t>
  </si>
  <si>
    <t>US20220010989</t>
  </si>
  <si>
    <t>VENTILATION PARTITIONS AND SYSTEMS</t>
  </si>
  <si>
    <t>17/360106</t>
  </si>
  <si>
    <t>3FLOW INC</t>
  </si>
  <si>
    <t>3FLOW</t>
  </si>
  <si>
    <t>SMITH; Thomas C.; (Raleigh, NC)</t>
  </si>
  <si>
    <t>A ventilation system for a space includes an air supply partition     configured to cause filtered air to flow into an area of the space, and     an air exhaust partition in spaced-apart relationship with the air supply     partition and configured to cause air to be drawn in and filtered from     the area. The air supply partition and the air exhaust partition create a     "push-pull" air flow across the area. A ventilation partition includes     air inlets in a first portion of the housing, air outlets in a second     portion of the housing, a filter, and a fan configured to draw air in     through the air inlets, through the filter, and out through the air     outlets. The partition is a portable, free-standing structure configured     to be supported by a surface, such as a floor of a room in which the     partition is located.</t>
  </si>
  <si>
    <t>US20220010988</t>
  </si>
  <si>
    <t>Modular recycling air curtain device to replace personal protection     equipment (PPE) for reduction in the spread of viruses such as Covid-19.</t>
  </si>
  <si>
    <t>16/923681</t>
  </si>
  <si>
    <t>CASH JAMES T</t>
  </si>
  <si>
    <t>CASH JAMES</t>
  </si>
  <si>
    <t>Cash; James T.; (Hackettstown, NJ); Cash; Olivia Z.; (Hackettstown, NJ)</t>
  </si>
  <si>
    <t>F24F 8/22 20210101;  F24F 3/163 20210101;  F24F 3/14 20130101</t>
  </si>
  <si>
    <t>A module air curtain and recirculation system that can be incorporated     into various tables and workstations that provides 1) an effective air     curtain between individuals, 2) a reduction of harmful viruses and 3) the     ability for two or more people to be in close proximity without having to     wear personal protective equipment such as face masks.</t>
  </si>
  <si>
    <t>US20220010002</t>
  </si>
  <si>
    <t>17/405246</t>
  </si>
  <si>
    <t>INVIVYD, INC.</t>
  </si>
  <si>
    <t>INVIVYD</t>
  </si>
  <si>
    <t>C07K 2317/565 20130101;  C07K 2317/55 20130101;  C07K 16/10 20130101;  C07K 2317/76 20130101;  C07K 2317/54 20130101;  C07K 2317/622 20130101;  C07K 2317/92 20130101</t>
  </si>
  <si>
    <t>US20220009971</t>
  </si>
  <si>
    <t>Foot and Mouth Disease Virus (FMDV) Consensus Proteins, Coding Sequences     Therefor and Vaccines Made Therefrom</t>
  </si>
  <si>
    <t>17/474732</t>
  </si>
  <si>
    <t>University of Pennsylvania</t>
  </si>
  <si>
    <t>University Pennsylvania</t>
  </si>
  <si>
    <t>Weiner; David B.; (Merion, PA); Ferraro; Bernadette; (La Jolla, CA); Yan; Jian; (Wallingford, PA); Brown; Patricia A.; (Magnolia, TX); Bowling; Rodney A.; (Austin, TX); Kern; Douglas R.; (The Woodlands, TX); Ramanathan; Mathura P.; (Ardmore, PA); Sardesai; Niranjan Y.; (Blue Bell, PA); Muthumani; Karuppiah; (Cherry Hill, NJ)</t>
  </si>
  <si>
    <t>A61M 37/00 20130101;  A61K 39/39 20130101;  A61N 1/327 20130101;  A61P 31/14 20180101;  G01N 2469/20 20130101;  A61K 2039/523 20130101;  G01N 2333/09 20130101;  A61K 2039/552 20130101;  A61K 39/12 20130101;  A61K 2039/53 20130101;  A61P 37/04 20180101;  G01N 33/56983 20130101;  C07K 14/005 20130101;  C12N 2770/32134 20130101;  A61K 39/135 20130101;  C12N 7/00 20130101;  C12N 2770/32122 20130101</t>
  </si>
  <si>
    <t>Provided herein is a nucleic acid comprising consensus amino acid     sequence of foot-and-mouth disease FMDV VP1-4 coat proteins of FMDV     subtypes A, Asia 1, C, O, SAT1, SAT2, and SAT3 as well as plasmids and     vaccines expressing the sequences. Also provided herein is methods for     generating an immune response against one or more FMDV subtypes using the     vaccine as described above as well as methods for deciphering between     vaccinated mammals with the vaccine and those that are infected with     FMDV.</t>
  </si>
  <si>
    <t>US20220009903</t>
  </si>
  <si>
    <t>ANTI-VIRAL COMPOUNDS</t>
  </si>
  <si>
    <t>17/303815</t>
  </si>
  <si>
    <t>KATHOLIEKE UNIVERSITEIT LEUVEN R&amp;D, K.U. LEUVEN R&amp;D</t>
  </si>
  <si>
    <t>KATHOLIEKE UNIVERSITEIT LEUVEN</t>
  </si>
  <si>
    <t>Vandyck; Koen; (Paal, BE); Raboisson; Pierre Jean-Marie Bernard; (Wavre, BE); Beigelman; Leonid; (San Mateo, CA); Serebryany; Vladimir; (Burlingame, CA); Stoycheva; Antitsa Dimitrova; (Half Moon Bay, CA); Bardiot; Dorothee Alice Marie-Eve; (Leuven, BE); Boland; Sandro; (Leuven, BE); Marchand; Arnaud Didier Marie; (Leuven, BE)</t>
  </si>
  <si>
    <t>Provided herein are compounds of Formula (I), or pharmaceutically     acceptable salts thereof, pharmaceutical compositions that include a     compound described herein (including pharmaceutically acceptable salts of     a compound described herein) and methods of synthesizing the same. Also     provided herein are methods of treating diseases and/or conditions with a     compound of Formula (I), or a pharmaceutically acceptable salt thereof.</t>
  </si>
  <si>
    <t>US20220008763</t>
  </si>
  <si>
    <t>SMART FACE PROTECTIVE DEVICE AND SYSTEM FOR INFECTION CONTROL</t>
  </si>
  <si>
    <t>17/373226</t>
  </si>
  <si>
    <t>SALEH; Ahmad; (Dubai, AE); Saleh; Ryan; (Dubai, AE)</t>
  </si>
  <si>
    <t>A61F 9/029 20130101;  H04W 4/38 20180201;  A41D 13/11 20130101;  A62B 18/08 20130101;  A62B 18/04 20130101</t>
  </si>
  <si>
    <t>There is provided a smart face protective device, preferably as part of a     helmet or another head held device, to be used by a user for preventing     or reducing spread of infectious droplets through a portal portion of the     user's face, where the face protective device is configured to be     automatically adjusted while being in use between a secured position and     an unsecured position based on an electric signal associated to a     monitored health and safety condition of the user. There is also provided     a system, a network and a method for allocating smart face protective     devices to members of a community and managing these devices and data     collected thereby for preventing or reducing risks of virus contamination     and spread, namely COVID-19, between the members of the community.</t>
  </si>
  <si>
    <t>US20220008762</t>
  </si>
  <si>
    <t>Antibacterial and Cellphone Radiation-proof Face Mask</t>
  </si>
  <si>
    <t>17/372170</t>
  </si>
  <si>
    <t>RUBIN, IDAN</t>
  </si>
  <si>
    <t>RUBIN IDAN</t>
  </si>
  <si>
    <t>Rubin; Dana; (Calabasas, CA)</t>
  </si>
  <si>
    <t>The multilayer protective face covering device is intended to provide a     dual-purpose face mask that is suitable for daily use. In other words,     the device is a face mask that is capable of creating an electromagnetic     barrier between a cell phone and a wearer in addition to providing an     effective barrier against multiple airborne pollutants such as allergens,     bacteria and viruses. To accomplish this, the device includes a plurality     of layers, each being devoted to a specific function. Further, the device     covers the ears and the temporal region of a user, thereby protecting     vital and sensitive areas of the user's face. Furthermore, the ear and     temporal region cover may be detachably attached to any existing     facemask, which makes the device multifunctional and universal.     Additionally, the device may include multiple fastening means for     attaching to the user's face. Thus, the device is simple, efficient,     inexpensive to manufacture, and easy to use.</t>
  </si>
  <si>
    <t>US20220008761</t>
  </si>
  <si>
    <t>17/300299</t>
  </si>
  <si>
    <t>A smart mask includes a face-covering, an attachment element, one or more     power source(s), an air circulation system, an exhaust system, and a     controller. The face-covering is configured to cover a face area of a     wearer. The attachment element is configured to attach the face-covering     onto the face area of the wearer. The air circulation system is powered     by at least one of the one or more power source(s) and configured to     filter outside air and draw the filtered outside air into the face area.     The exhaust system is placed below the air circulation system and     configured to purge exhaled air out of the face area. The controller is     configured to control the air circulation system.</t>
  </si>
  <si>
    <t>US20220008757</t>
  </si>
  <si>
    <t>Portable air purifier</t>
  </si>
  <si>
    <t>17/369455</t>
  </si>
  <si>
    <t>LAWLOR THOMAS</t>
  </si>
  <si>
    <t>Lawlor; Thomas; (Lake Worth, FL)</t>
  </si>
  <si>
    <t>A41D 13/1184 20130101;  B01D 46/0049 20130101;  A62B 7/10 20130101;  A62B 18/086 20130101;  A62B 9/00 20130101;  A62B 7/12 20130101;  B01D 46/4227 20130101;  A62B 18/006 20130101;  B01D 46/4245 20130101;  A62B 23/02 20130101;  A62B 18/084 20130101;  B01D 2273/30 20130101</t>
  </si>
  <si>
    <t>A face mask having a positive air flow by use of an attached portable air     purification unit. The device is used to filter and purify inhaled air,     making it easier for individuals to comfortably wear a face mask for     public health and safety. An outtake filter inhibits contaminated air     from being expelled by the mask wearer. The portable air purifier is     powered by means of rechargeable battery power using a USB connector,     allowing static or dynamic use.</t>
  </si>
  <si>
    <t>US20220008756</t>
  </si>
  <si>
    <t>PERSONAL PROTECTIVE EQUIPMENT SYSTEM FOR SAFE AIR, TRAIN OR BUS TRAVEL     PROTECTING AGAINST INFECTIOUS AGENTS INCLUDING NOVEL CORONAVIRUS -     COVID-19</t>
  </si>
  <si>
    <t>17/334963</t>
  </si>
  <si>
    <t>LANG NOAH</t>
  </si>
  <si>
    <t>Lang; Noah; (Franconia, NH)</t>
  </si>
  <si>
    <t>A62B 9/02 20130101;  A62B 7/10 20130101;  A41D 13/11 20130101;  A62B 23/02 20130101;  A62B 18/025 20130101;  A62B 18/006 20130101</t>
  </si>
  <si>
    <t>Aspects of the invention relate to personal protection systems against     COVID-19 including face masks and methods, systems or devices of     managing, regulating and/or filtering airflow during travel on an     aircraft, train, or bus.</t>
  </si>
  <si>
    <t>US20220008668</t>
  </si>
  <si>
    <t>COMPRESSOR SYSTEMS FOR BAG VALVE MASKS</t>
  </si>
  <si>
    <t>17/374026</t>
  </si>
  <si>
    <t>SV SWISSVORTEX AG</t>
  </si>
  <si>
    <t>SV SWISSVORTEX</t>
  </si>
  <si>
    <t>GUIDOTTI; Andrea; (Zurich, CH); ARDUINI; Mattia; (Chevry, FR); GOZZOLI; Pietro; (Zurich, CH); VICENTINI; Luca; (Zurich, CH)</t>
  </si>
  <si>
    <t>A61M 16/0063 20140204;  A61M 16/0084 20140204</t>
  </si>
  <si>
    <t>A mechanical compressor system is provided for actuating a bag of a bag     valve mask. Rotatable track supports are shaped so as to define     respective non-circular closed-loop tracks. Each of one or more     mechanical compressors includes two pins that protrude from two sides of     the mechanical compressor and engage one of the closed-loop tracks. The     mechanical compressors are slidingly coupled to one or more vertical     sliders configured to limit the movement of the mechanical compressors to     a vertical translational pattern. A bag-coupler is configured to couple     the bag to the mechanical compressor system in contact with the     mechanical compressors. A motor or a manual crank is arranged to rotate     the rotatable track supports, such that the pins move along the     closed-loop tracks, causing vertical motion of the mechanical compressors     along the one or more vertical sliders, which controls a volume of the     bag. Other embodiments are also described.</t>
  </si>
  <si>
    <t>US20220008606</t>
  </si>
  <si>
    <t>SYSTEM AND METHOD FOR INDOOR AIR PURIFICATION</t>
  </si>
  <si>
    <t>17/366876</t>
  </si>
  <si>
    <t>BANCROFT HOLDING CORP</t>
  </si>
  <si>
    <t>BANCROFT HOLDING</t>
  </si>
  <si>
    <t>Jenkins; Paul; (Chicago, IL); Lasarsky; Phil; (Mount Prospect, IL); Lasarsky; Lane; (Mount Prospect, IL)</t>
  </si>
  <si>
    <t>A system and method for sanitizing air is disclosed. Atmospheric air is     drawn into the system by a fan. The air is passed through a series of     baffles to mix the air and reduce speed. The air is exposed to an     emitter, such as UV-C light, to sanitize contaminants and then exhausted.     The sanitized air drawn into the system and exhausted to the atmosphere     without exposing UV-C light to the atmosphere.</t>
  </si>
  <si>
    <t>US20220008598</t>
  </si>
  <si>
    <t>Antibacterial &amp; Antiviral Decontamination System</t>
  </si>
  <si>
    <t>17/124828</t>
  </si>
  <si>
    <t>KOHRING GARY</t>
  </si>
  <si>
    <t>Kohring; Gary; (Phoenix, AZ)</t>
  </si>
  <si>
    <t>The present disclosure relates to a unique and novel antibacterial and     antiviral decontamination system that can be integrated into an existing     HVAC system in a vehicle, and that can be used to decontaminate and     sanitize the interior of the vehicle in a safe, efficient and thorough     manner. The system may be controlled manually via a switch within the     cabin of the vehicle, or remotely via, for example, a smart device. The     system comprises a replaceable and refillable cartridge that contains an     antibacterial, antiviral, sanitizing solution, and a vaporizer that is     used to vaporize the solution into a fine mist that is then dispersed     throughout the interior of the vehicle via the existing HVAC system.</t>
  </si>
  <si>
    <t>US20220008596</t>
  </si>
  <si>
    <t>ULTRAVIOLET PATHOGEN DISINFECTION SYSTEM</t>
  </si>
  <si>
    <t>17/240953</t>
  </si>
  <si>
    <t>LUV SYSTEMS, INC.</t>
  </si>
  <si>
    <t>LUV SYSTEMS</t>
  </si>
  <si>
    <t>Sood; Anurag; (Rancho Palos Verdes, CA); Chaudhary; Neeraj R.; (Fremont, CA); Seth; Sandeep; (Houston, TX); Khatri; Danish S.; (Redondo Beach, CA)</t>
  </si>
  <si>
    <t>A61L 2209/111 20130101;  A61L 2209/14 20130101;  A61L 9/032 20130101;  A61L 9/20 20130101;  A61L 2209/15 20130101</t>
  </si>
  <si>
    <t>An air treatment system includes a lower cowling configured to be     suspended from a ceiling, the lower cowling defining an interior lower     cowling surface and configured to be disposable radially outward from and     around a fan configured to induce airflow. Further, the air treatment     system includes an upper cowling configured to be disposed vertically     above the lower cowling and define an interior upper cowling surface. A     gap between the interior upper cowling surface and the interior lower     cowling surface forms a fluid passageway comprising an intake opening, an     exhaust opening, and a chamber. The fluid passageway is contoured to     receive airflow from the fan via the intake opening and direct the     airflow through the chamber to exit the exhaust opening. Moreover, the     air treatment system includes at least one air treatment device secured     within the chamber, the air treatment device configured to treat air     passing through the chamber.</t>
  </si>
  <si>
    <t>US20220008594</t>
  </si>
  <si>
    <t>ADDITIVE COMPOSITIONS FOR PIGMENTED DISINFECTION AND METHODS THEREOF</t>
  </si>
  <si>
    <t>17/380468</t>
  </si>
  <si>
    <t>KINNOS INC.</t>
  </si>
  <si>
    <t>KINNOS</t>
  </si>
  <si>
    <t>Kang; Jason; (Brooklyn, NY); Tyan; Kevin; (Brooklyn, NY); Jin; Katherine; (Brooklyn, NY)</t>
  </si>
  <si>
    <t>The invention provides to a powdered composition of additives and a     method of use thereof for increasing the visibility, potency and coverage     of disinfectant solutions, such as bleach.</t>
  </si>
  <si>
    <t>US20220008585</t>
  </si>
  <si>
    <t>COVID-19 DISINFECTANT HAND-HELD PORTABLE MISTING SPRAYER SYSTEM METHOD AND     DEVICES</t>
  </si>
  <si>
    <t>17/016348</t>
  </si>
  <si>
    <t>Yamashiro, Steven B.; Alabata, Enrique Prenda</t>
  </si>
  <si>
    <t>YAMASHIRO STEVEN</t>
  </si>
  <si>
    <t>Yamashiro; Steven B.; (Rancho Dominguez, CA); Alabata; Enrique Prenda; (Rancho Dominguez, CA)</t>
  </si>
  <si>
    <t>A61L 2202/14 20130101;  A61L 2/24 20130101;  A61L 2202/16 20130101;  A61L 2202/15 20130101;  A61L 2/26 20130101;  A61L 2202/25 20130101;  A61L 2101/20 20200801;  A61L 2/22 20130101</t>
  </si>
  <si>
    <t>The embodiments disclose a method including providing a hand-held     portable misting sprayer for applying HOCL to surfaces of objects for     destroying airborne and surface contacted COVID-19 SARS-CoV-2 virus and     other viruses, coupling a portable rechargeable battery to the hand-held     portable misting sprayer for supplying power to operate elements of the     hand-held portable misting sprayer, coupling a reservoir to the hand-held     portable misting sprayer for containing a volume of HOCL for processing     in spraying operations, coupling a motor to the hand-held portable     misting sprayer for pressurizing HOCL through a spray nozzle for creating     a mist, coupling electronic processing and communication modules to the     hand-held portable misting sprayer and components for gathering,     recording, processing data gathered, and transmitting the data to     external digital devices wirelessly, and providing a hand-held/portable     misting sprayer app for use on user digital devices for receiving and     processing data transmitted from the hand-held portable misting sprayer.</t>
  </si>
  <si>
    <t>US20220008579</t>
  </si>
  <si>
    <t>SCALABLE DISINFECTION SYSTEM</t>
  </si>
  <si>
    <t>17/339304</t>
  </si>
  <si>
    <t>HERMTAC LLC</t>
  </si>
  <si>
    <t>HERMTAC</t>
  </si>
  <si>
    <t>Patel; Kevin; (Garland, TX); Sanadi; Thun; (Irving, TX); Rawlins; Caitlin; (Clyde, NC); Morin; Steve; (Bloomington, MN); Fowler; Christopher; (Saint Peterburg, FL)</t>
  </si>
  <si>
    <t>A disinfection panel for disinfecting an article facing the disinfection     panel is provided. The disinfection panel comprises an interior surface,     an exterior surface, a disinfecting member disposed on the interior     surface, a first side comprising a first coupling member and a second     side comprising a second coupling member. The disinfecting member is     configured to disinfect the article facing the disinfection panel. The     disinfecting member is any one or more of an ultraviolet (UV) light     emitter, an ionizing or non-ionizing radiator, a chemical sprayer, an     ozone sprayer, or a heat emitter.</t>
  </si>
  <si>
    <t>US20220008572</t>
  </si>
  <si>
    <t>Frequency Selective Viral Inactivation through Bond Breaking</t>
  </si>
  <si>
    <t>17/319951</t>
  </si>
  <si>
    <t>Graham, Jr., James Arthur; Heidari-Bateni, Ghobad; Braden, Stanton C; Gregersen, Craig Martin</t>
  </si>
  <si>
    <t>GRAHAM</t>
  </si>
  <si>
    <t>Graham, JR.; James Arthur; (Chicago, IL); Heidari-Bateni; Ghobad; (San Diego, CA); Braden; Stanton C.; (San Diego, CA); Gregersen; Craig Martin; (Apple Valley, MN)</t>
  </si>
  <si>
    <t>An apparatus is provided for delivering IR and/or UV radiation, to an     area or a surface in which virions, such as SARS-CoV-2 (the virus that     causes the disease, COVID-19), may exist, wherein the IR radiation is     intended to degrade the viral envelope of the virions and wherein the UV     radiation is intended to break specific molecular bonds in order to     degrade the RNA of the virion contained within a viral envelope.</t>
  </si>
  <si>
    <t>US20220008531</t>
  </si>
  <si>
    <t>INTRANASAL MERS-CoV VACCINE</t>
  </si>
  <si>
    <t>17/484648</t>
  </si>
  <si>
    <t>A61P 31/14 20180101;  C07K 14/70575 20130101;  A61K 39/215 20130101;  C12N 15/62 20130101</t>
  </si>
  <si>
    <t>US20220008530</t>
  </si>
  <si>
    <t>MERS-CoV VACCINE COMPOSITION</t>
  </si>
  <si>
    <t>17/484557</t>
  </si>
  <si>
    <t>US20220008519</t>
  </si>
  <si>
    <t>TREATMENT OF SEVERE ACUTE RESPIRATORY SYNDROME-RELATED CORONAVIRUS     INFECTION WITH KLOTHO</t>
  </si>
  <si>
    <t>17/073685</t>
  </si>
  <si>
    <t>COSTA RICAN SOCIAL SECURITY FUND / CAJA COSTARRICENSE DE SEGURO SOCIAL (CCSS)</t>
  </si>
  <si>
    <t>COSTA RICAN SOCIAL SECURITY FUND CAJA COSTARRICENSE SEGURO SOCIAL</t>
  </si>
  <si>
    <t>Macaya Hayes; Roman Federico; (Escazu, CR)</t>
  </si>
  <si>
    <t>A61K 31/155 20130101;  A61K 9/0019 20130101;  A61P 31/14 20180101;  A61K 38/47 20130101</t>
  </si>
  <si>
    <t>Methods and compositions for treating a severe acute respiratory     syndrome-related coronavirus (SARS-CoV) infection in a subject in need     are provided. In some aspects, a therapeutically effective amount of a     Klotho polypeptide and/or a Klotho polynucleotide encoding a Klotho     polypeptide is administered to the subject. In some other aspects, the     subject is treated with a first therapy when the subject has diminished     Klotho activity, and with a second therapy when the subject does not have     diminished Klotho activity. Diminished Klotho activity is determined by     comparing the amount of Klotho protein in a blood sample from the subject     to a predetermined threshold. In particular, methods and compositions for     treating SARS-CoV-2 infection are provided.</t>
  </si>
  <si>
    <t>US20220008517</t>
  </si>
  <si>
    <t>METHODS FOR TREATING DISEASES ASSOCIATED WITH RESPIRATORY VIRUSES</t>
  </si>
  <si>
    <t>17/482144</t>
  </si>
  <si>
    <t>AMPIO PHARMACEUTICALS, INC.</t>
  </si>
  <si>
    <t>AMPIO PHARMACEUTICALS</t>
  </si>
  <si>
    <t>Bar-Or; David; (Englewood, CO); Cherevka; Holli; (Highlands Ranch, CO)</t>
  </si>
  <si>
    <t>A61K 31/405 20130101;  A61K 31/20 20130101;  A61P 31/14 20180101;  A61P 11/00 20180101;  A61K 9/0078 20130101;  A61K 38/385 20130101;  A61K 31/495 20130101</t>
  </si>
  <si>
    <t>The present disclosure provides a method of treating a disease associated     with a respiratory virus. The method comprises administering an effective     amount of a pharmaceutical composition prepared by removing albumin from     a solution of a human serum albumin composition and/or comprising a     diketopiperazine with amino acid side chains of aspartic acid and alanine     (DA-DKP), such as a low molecular weight fraction of human serum albumin.     The present disclosure also provides a pharmaceutical product as well as     a kit comprising DA-DKP.</t>
  </si>
  <si>
    <t>US20220008507</t>
  </si>
  <si>
    <t>METHODS AND COMPOSITIONS FOR TREATMENT OF CORONAVIRUS INFECTION AND     ASSOCIATED COAGULOPATHY</t>
  </si>
  <si>
    <t>17/487099</t>
  </si>
  <si>
    <t>UNIVERSITÄTSMEDIZIN DER JOHANNES GUTENBERGUNIVERSITÄT MAINZ</t>
  </si>
  <si>
    <t>RUF; Wolfram; (Mainz, DE); LACKNER; Karl; (Mainz, DE); MULLER-CALLEJA; Nadine; (Lorzweiler, DE)</t>
  </si>
  <si>
    <t>The current disclosure provides methods and compositions for treatment of     SARS-CoV-2 infection and associated conditions, including COVID-19     Associated Coagulopathy. Certain aspects of the disclosure are directed     to methods for treatment of SARS-CoV-2 infection comprising administering     a composition comprising a therapeutically effective amount of NAPc2.     Further aspects include pharmaceutical compositions comprising NAPc2 and,     in some cases, one or more additional anticoagulants.</t>
  </si>
  <si>
    <t>US20220008488</t>
  </si>
  <si>
    <t>PROBIOTICS FOR USE IN THE PREVENTION OR TREATMENT OF ILLNESS AND/OR     SYMPTOMS ASSOCIATED WITH CORONAVIRUSES</t>
  </si>
  <si>
    <t>17/240433</t>
  </si>
  <si>
    <t>INTERNATIONAL N&amp;H DENMARK APS</t>
  </si>
  <si>
    <t>GUERY; SEBASTIEN; (MUNICH, DE); LEHTINEN; MARKUS; (VANTAA, FI); LATVALA; SINIKKA ANNELI; (HELSINKI, FI); LEHTORANTA; LIISA; (SUNDSBERG, FI); Zabel; BRYAN-JAMES; (MADISON, WI); MOROVIC; WESLEY WILLIAM; (EDGERTON, WI); BUDINOFF; CHARLES; (OREGON, WI); POWER; SCOTT D.; (WOODSIDE, CA)</t>
  </si>
  <si>
    <t>A61P 31/14 20180101;  A61K 35/744 20130101;  A61K 35/745 20130101</t>
  </si>
  <si>
    <t>This invention relates to bacterial strains, compositions comprising     bacterial strains as well as methods and uses of said strains and     compositions for preventing or treating illness and/or symptoms     associated with a coronavirus in a subject in need thereof.</t>
  </si>
  <si>
    <t>US20220008438</t>
  </si>
  <si>
    <t>TMA-PHT Complex (Olive Triterpenic and Polyphenolic Compounds) and Their     Combinations, As A Group of Phytochemical Drug Compositions and/or     Pharmaceutical Products for The Treatment of COVID-19 and Other Human and     Animal Diseases and Conditions</t>
  </si>
  <si>
    <t>17/370768</t>
  </si>
  <si>
    <t>SARMENTERO ALBERTO</t>
  </si>
  <si>
    <t>Sarmentero; Alberto; (Arlington, VA); Prados Osuna; Jose; (Granada, ES)</t>
  </si>
  <si>
    <t>TMA-PHT complex (olive triterpenic and polyphenolic compounds) and their     combinations are used for preventing, alleviating, treating, or curing     abnormal and/or pathological conditions of the living body, by such means     as: (a) protecting the good health conditions of a living body by     attracting, disabling, inhibiting, killing, modifying, repelling and/or     retarding a virus or micro-organism in the case of preventing an     infection (b) destroying a virus or a parasitic organism; (c) limiting     the affecting of the disease by altering the physiology of the virus or     parasite. In accordance with various embodiments, the present subject     matter pertains to pharmaceutical drug compositions targeting various     therapeutic objectives and their methods for preventing or treating     Covid19 and/or other diseases and certain health conditions including the     ones associated with inflammation and/or oxidative stress.</t>
  </si>
  <si>
    <t>US20220008404</t>
  </si>
  <si>
    <t>TREATMENT FOR SEVERE ACUTE RESPIRATORY ILLNESS ASSOCIATED WITH CORONAVIRUS</t>
  </si>
  <si>
    <t>17/372129</t>
  </si>
  <si>
    <t>DOWNING SEAN</t>
  </si>
  <si>
    <t>Downing; Sean; (Sarasota, FL)</t>
  </si>
  <si>
    <t>A61K 31/192 20130101;  A61K 31/165 20130101;  A61K 31/47 20130101;  A61P 31/14 20180101</t>
  </si>
  <si>
    <t>A method is provided for identifying a patient having a respiratory     illness and administering to the patient a combination of an     anti-inflammatory agent and a leukotriene inhibitor. The method may     include treating respiratory illness associated with a coronavirus, and     may it may further include reducing or preventing an inflammatory     response or cytokine storm for those patients without impairing their     immune response against the underlying pathogen.</t>
  </si>
  <si>
    <t>US20220008380</t>
  </si>
  <si>
    <t>METHODS OF TREATING COVID-19 PATHOGENESIS</t>
  </si>
  <si>
    <t>17/368911</t>
  </si>
  <si>
    <t>Jacobson; Daniel A.; (Oak Ridge, TN); Prates; Erica Teixeira; (Oak Ridge, TN); Miller; John I.; (Oak Ridge, TN); Garvin; Michael R.; (Oak Ridge, TN)</t>
  </si>
  <si>
    <t>This disclosure provides methods for treating a SARS-CoV-2 infection in a     subject comprising administering to the subject an effective amount of an     inhibitor of COVID-induced RAS imbalance, that downregulates, for     example, the Bradykinin system, the Renin-Angiotensin system, the     hyaluronan synthesis pathway, or the fibrinogenesis pathway.</t>
  </si>
  <si>
    <t>US20220008373</t>
  </si>
  <si>
    <t>COMPOSITIONS FOR TREATMENT OF VIRAL INFECTIONS</t>
  </si>
  <si>
    <t>17/372158</t>
  </si>
  <si>
    <t>Loveless, Mark; Comer, William</t>
  </si>
  <si>
    <t>LOVELESS MARK</t>
  </si>
  <si>
    <t>Loveless; Mark; (Portland, OR); Comer; William; (Beaverton, OR)</t>
  </si>
  <si>
    <t>The present invention is directed to compositions, methods for     preventing, treating and/or curing respiratory infections, such as     infections caused by a coronavirus.</t>
  </si>
  <si>
    <t>US20220008276</t>
  </si>
  <si>
    <t>Pressure Differential-, Ultrasound-, and Magnetic-Based Methods for     Treating Viral Infections and other Pathogenic Diseases, Sterilizing     Medical Equipment, and Enhancing Fatty Tissue Reduction</t>
  </si>
  <si>
    <t>17/369803</t>
  </si>
  <si>
    <t>Curiel, Gabriel; Waggett, Gordon G.; Klug, John R.</t>
  </si>
  <si>
    <t>CURIEL GABRIEL</t>
  </si>
  <si>
    <t>Curiel; Gabriel; (Torre, MX); Waggett; Gordon G.; (Houston, TX); Klug; John R.; (Denver, CO)</t>
  </si>
  <si>
    <t>A61B 17/22004 20130101;  A61L 2/02 20130101;  A61M 2202/0007 20130101;  A61G 2220/10 20130101;  A61M 2202/02 20130101;  A61B 2017/22007 20130101;  A61G 10/026 20130101;  A61N 2/004 20130101;  A61L 2202/24 20130101;  A61M 15/00 20130101;  A61G 2200/10 20130101</t>
  </si>
  <si>
    <t>The present disclosure is directed to methods of treating subject     patients (such as humans, animals, plants) suffering from a pathogenic     disease such as COVID-19 in humans, via the administration of pressure     changes in the patient sufficient to cause a pressure differential to be     created between the inside and outside of the outer membrane or envelope     of the pathogen thereby destroying or disabling the pathogen. In one     embodiment, a hyperbaric chamber is used to administer pressure increases     and/or pressure decreases to create such pressure differential. The     hyperbaric chamber could comprise a single user or multi-user unit, a     pressurized body suit, or the pressurizable fuselage of an aircraft. In     another embodiment, patients are placed in an aircraft, and the cabin     pressure, while on the ground, or in flight, is adjusted upwardly or     downwardly to create such pressure differential. The pressure     differential methods can also include the use of external gases to enter     the patient's body and/or lungs to facilitate disruption of the pathogen     outer membrane as well as application of variations in temperature and/or     humidity. A mobile treatment unit is also disclosed. Also disclosed are     methods of using ultrasonic cavitation or MRI (or other sonic or magnetic     field forces sufficient to disrupt the functionality of the pathogen), or     a combination of ultrasound and MRI on the exterior of a patient in a     desired anatomical region of the patient to assist with the destruction     or disabling of a pathogen infecting that anatomical region of the     patient, e.g., the patient's lungs, said method being employed at ambient     pressures or in an increased or decreased pressure environment created     within a hyperbaric chamber. The ultrasound and/or MRI methodologies     could also be used to treat other pathogenically afflicted areas of the     patient's body. Additionally, a pressure-differential method of     sterilization of medical equipment is disclosed employing a hyperbaric or     other pressure or vacuum chamber. Also disclosed is an enhanced method of     nonsurgical fat reduction in humans by employing ultrasonic cavitation     within a hyperbaric chamber, including the use of HBOT therapies.     Furthermore, the use of these methodologies and systems have application     in treatment of patients post-infection and in other areas of medicine     and health, such as for example, treating wounds, the effects of aging,     inflammation, and the effects of other maladies.</t>
  </si>
  <si>
    <t>US20220007775</t>
  </si>
  <si>
    <t>Safety helmet with lift-able touch-less visor for social distancing</t>
  </si>
  <si>
    <t>17/245968</t>
  </si>
  <si>
    <t>MATULIS VISVYDAS</t>
  </si>
  <si>
    <t>Matulis; Visvydas; (Vilnius, LT)</t>
  </si>
  <si>
    <t>A42B 3/225 20130101;  A42B 3/222 20130101;  A42B 3/224 20130101</t>
  </si>
  <si>
    <t>The present invention is a safety helmet with two rounded safety visors.     The back visor is fixed, the front visor--movable up and down. This new     safety helmet with lift-able front visor and fixed back visor enables     people to socialize, while reducing risk of getting infected by Covid-19     virus or other airborne viruses. The lifting of the front visor could be     achieved with a help of a handle or other means.</t>
  </si>
  <si>
    <t>US20220007764</t>
  </si>
  <si>
    <t>TRANSPARENT MEDICAL FACEMASK COMPOSITE AND FACEMASKS FORMED THEREBY</t>
  </si>
  <si>
    <t>17/374165</t>
  </si>
  <si>
    <t>Loew, Randolph Julian</t>
  </si>
  <si>
    <t>LOEW RANDOLPH</t>
  </si>
  <si>
    <t>Loew; Randolph Julian; (Odenton, NJ)</t>
  </si>
  <si>
    <t>A41D 13/1192 20130101</t>
  </si>
  <si>
    <t>A facemask includes a transparent, clear film, about 0.5 to 3 mils in     thickness which is breathable and having micro-perforations therein; an     anti-biological coating on at least one side of the transparent, clear     film; and at least one fabric layer coupled via an adhesive layer to the     clear film. The facemasks provides a transparent mask for the user that     will minimize adverse skin reactions of the wearer due to the use of the     fabric layer adjacent the skin.</t>
  </si>
  <si>
    <t>US20220007763</t>
  </si>
  <si>
    <t>SYSTEM AND METHOD FOR CLOSED-LOOP ACTIVE SENSING AND PROTECTION AGAINST     AIRBORNE PATHOGENS</t>
  </si>
  <si>
    <t>17/369283</t>
  </si>
  <si>
    <t>MASNA; Naren Vikram Raj; (Gainesville, FL); BHUNIA; Swarup; (Gainesville, FL); MANDAL; Soumyajit; (Gainesville, FL); BHUNIAROY; Anamika; (Gainesville, FL); Kalavakonda; Rohan Reddy; (Gainesville, FL)</t>
  </si>
  <si>
    <t>A61B 5/4836 20130101;  A61B 2562/0233 20130101;  A61L 2209/111 20130101;  A41D 13/1192 20130101;  A61B 5/7267 20130101;  A61B 2562/029 20130101;  A61L 9/14 20130101;  A61B 2562/0271 20130101;  A61L 9/20 20130101;  A61B 5/082 20130101;  A61B 5/097 20130101;  A61B 5/6803 20130101;  A61B 5/0082 20130101</t>
  </si>
  <si>
    <t>A mask apparatus that is configured to prevent airborne pathogens from     reaching an individual by actively mitigating airborne droplets that have     a pathogen. In one example, the mask apparatus comprises a sensor device,     a mitigator device, and a controller. The sensor device comprises an     aerosol detector that is configured to perform a light measurement of an     airborne aerosol droplet in an area proximate to the wearable apparatus.     The mitigator device is configured to initiate a mitigation action     directed at the airborne aerosol droplet. The controller is data     communication with the sensor device and the mitigator device. The     controller is configured to determine that the airborne aerosol droplet     has a pathogen based at least in part on the light measurement captured     by the sensor device and cause the mitigator device to initiate the     mitigation action based on the airborne aerosol droplet having the     pathogen.</t>
  </si>
  <si>
    <t>US20220007762</t>
  </si>
  <si>
    <t>Personal Shield</t>
  </si>
  <si>
    <t>16/926667</t>
  </si>
  <si>
    <t>RUBIO ART</t>
  </si>
  <si>
    <t>Rubio; Art; (Laguna Niguel, CA)</t>
  </si>
  <si>
    <t>A completely planar, translucent, hand held protective shield to be held     in front of one's face to eliminate saliva and antigen transmission from     person to person when in close contact. when social distancing. The     handle is copper clad to kill antigens including viruses. The material of     construction is plexiglass so it is dishwasher safe. Anti-glare,     anti-foging and anti reflective surface treatments may be applied to one     or both of the planar faces of the body. Optional visual alignment marks     may also be incorporated on the face/s of the shield.</t>
  </si>
  <si>
    <t>US20220007759</t>
  </si>
  <si>
    <t>17/061107</t>
  </si>
  <si>
    <t>YARAM LLC</t>
  </si>
  <si>
    <t>YARAM</t>
  </si>
  <si>
    <t>US20220006813</t>
  </si>
  <si>
    <t>SYSTEMS, METHODS, AND APPARATUS FOR ENHANCED HEADSETS</t>
  </si>
  <si>
    <t>17/478021</t>
  </si>
  <si>
    <t>SCIENCE HOUSE LLC</t>
  </si>
  <si>
    <t>SCIENCE HOUSE</t>
  </si>
  <si>
    <t>Jorasch; James; (New York, NY); Capobianco; Christopher; (Hastings-on-Hudson, NY); Hock; Issac W.; (Chicago, IL); Werner; Michael; (Germantown, TN); Gelman; Geoffrey; (New York, NY); Rendino; Gennaro; (Horseheads, NY)</t>
  </si>
  <si>
    <t>A61B 5/271 20210101;  A61B 2560/0242 20130101;  G06K 9/6201 20130101;  G10L 15/22 20130101;  A61B 5/749 20130101;  H04N 5/232 20130101;  G06F 3/017 20130101;  G06T 7/70 20170101;  G10L 17/00 20130101;  A61B 5/6803 20130101;  G10L 2015/225 20130101;  H04L 63/0861 20130101;  H04N 5/23222 20130101;  G06F 21/32 20130101;  H04L 63/102 20130101;  G07C 9/38 20200101;  G16H 20/70 20180101;  Y02A 90/10 20180101;  G06Q 50/01 20130101;  G06V 20/20 20220101;  G16H 50/30 20180101;  H04N 5/247 20130101;  A61B 5/7405 20130101;  G06F 3/012 20130101;  A61B 5/291 20210101;  A61B 2562/0204 20130101;  G06F 3/03543 20130101;  H04W 12/08 20130101;  A61B 5/0077 20130101;  G06F 2203/0336 20130101;  G06Q 50/205 20130101;  G06V 20/10 20220101;  G07C 9/37 20200101;  G06F 3/0395 20130101;  G06F 3/015 20130101;  G06F 1/163 20130101;  G06F 3/0346 20130101;  G16H 80/00 20180101;  G16H 40/67 20180101;  G06Q 10/101 20130101;  A61B 5/117 20130101;  A61B 5/7203 20130101;  A61B 2562/0219 20130101;  G07C 9/257 20200101;  H04W 12/33 20210101;  A61B 5/369 20210101;  G06F 3/021 20130101</t>
  </si>
  <si>
    <t>In accordance with some embodiments, systems, apparatus, interfaces,     methods, and articles of manufacture are provided for ascertaining     aspects of a user, such as the user's identity, competence, health, and     state of mind. In various embodiment, data is captured about a user via a     headset worn by the user. Based on the data, a determination may be made     about an aspect of the user, and the user may accordingly be granted or     denied access to a resource.</t>
  </si>
  <si>
    <t>US20220005298</t>
  </si>
  <si>
    <t>16/929296</t>
  </si>
  <si>
    <t>US20220003766</t>
  </si>
  <si>
    <t>METHODS AND KITS FOR VIRUS DETECTION</t>
  </si>
  <si>
    <t>17/246360</t>
  </si>
  <si>
    <t>MESO SCALE TECHNOLOGIES, LLC.</t>
  </si>
  <si>
    <t>MESO SCALE</t>
  </si>
  <si>
    <t>WOHLSTADTER; Jacob N.; (Potomac, MD); SIGAL; George; (Rockville, MD); MATHEW; Anu; (North Potomac, MD); AKSYUK; Anastasia; (Rockville, MD); ROUTENBERG; David; (Gaithersburg, MD); STENGELIN; Martin; (Gaithersburg, MD); KENTEN; John; (Boyds, MD); BREAK; Timothy J.; (Clarksburg, MD); HARKINS; Seth B.; (Bethesda, MD); TSIONSKY; Michael; (Derwood, MD)</t>
  </si>
  <si>
    <t>C12Q 1/701 20130101;  G01N 33/56983 20130101;  G01N 2333/165 20130101</t>
  </si>
  <si>
    <t>The invention relates to methods and kits for detecting a virus, e.g., a     respiratory virus such as a coronavirus, in a biological sample. The     invention also relates to methods and kits for detecting and/or     quantifying biomarkers, e.g., antibody biomarkers against a viral     antigen; inflammatory and/or tissue damage response biomarkers; and/or     extracellular vesicles in response to a viral infection.</t>
  </si>
  <si>
    <t>US20220003670</t>
  </si>
  <si>
    <t>APPARATUSES, SYSTEMS, AND METHODS FOR SAMPLE TESTING</t>
  </si>
  <si>
    <t>17/447998</t>
  </si>
  <si>
    <t>MCBRADY; Adam Dewey; (Dallas, TX); FENG; Chen; (Mount Laurel, NJ); SHAFAI; Moin; (Plano, TX); VENKATARAYALU; Suresh; (Waxhaw, NC)</t>
  </si>
  <si>
    <t>Methods, apparatuses, and systems associated with a sample testing device     are provided. For example, an example sample testing device may include a     substrate layer defining a bottom surface of the sample testing device,     as well as a waveguide disposed on the substrate layer and includes at     least one reference channel and at least one sample channel.</t>
  </si>
  <si>
    <t>US20220003669</t>
  </si>
  <si>
    <t>17/447996</t>
  </si>
  <si>
    <t>FENG; Chen; (Mount Laurel, NJ); VENKATARAYALU; Suresh; (Waxhaw, NC); KESTER; Robert Timothy; (Friendswood, TX)</t>
  </si>
  <si>
    <t>G01N 2021/4166 20130101;  G01N 21/45 20130101;  G02B 6/4204 20130101;  G01N 2201/0846 20130101</t>
  </si>
  <si>
    <t>US20220003668</t>
  </si>
  <si>
    <t>17/447995</t>
  </si>
  <si>
    <t>Methods, apparatuses, and systems associated with a sample testing device     are provided. For example, an example sample testing device may include a     substrate layer defining a bottom surface of the sample testing device,     as well as a waveguide disposed on the substate layer and includes at     least one reference channel and at least one sample channel.</t>
  </si>
  <si>
    <t>US20220003667</t>
  </si>
  <si>
    <t>17/447994</t>
  </si>
  <si>
    <t>FENG; Chen; (Mount Laurel, NJ); SHAFAI; Moin; (Plano, TX); VENKATARAYALU; Suresh; (Waxhaw, NC)</t>
  </si>
  <si>
    <t>US20220002823</t>
  </si>
  <si>
    <t>INFECTIOUS DISEASE SCREENING DEVICE</t>
  </si>
  <si>
    <t>17/466906</t>
  </si>
  <si>
    <t>SHAHEEN INNOVATIONS HOLDING LIMITED</t>
  </si>
  <si>
    <t>SHAHEEN INNOVATIONS HOLDING</t>
  </si>
  <si>
    <t>Lahoud; Imad; (Abu Dhabi, AE); Alshaiba Saleh Ghannam Almazrouei; Mohammed; (Abu Dhabi, AE); Bhatti; Sajid; (Abu Dhabi, AE); Machovec; Jeff; (Abu Dhabi, AE); Lamoureux; Clement; (Abu Dhabi, AE)</t>
  </si>
  <si>
    <t>A disease screening device (100) comprising a substrate (101) and a     sonication chamber (102) formed on the substrate (101). The sonication     chamber (102) is provided with an ultrasonic transducer (105) which     generates ultrasonic waves to lyse cells in a sample fluid within the     sonication chamber (102). The device (100) comprises a reagent chamber     (111) formed on the substrate (101) for receiving a liquid PCR reagent.     The device (100) comprises a controller (23) which controls the     ultrasonic transducer (105) and a heating arrangement (128) which is     provided on the substrate (101). The device (100) further comprises a     detection apparatus which detects the presence of an infectious disease,     such as COVID-19 disease.</t>
  </si>
  <si>
    <t>US20220002701</t>
  </si>
  <si>
    <t>HIGH-AFFINITY HUMAN ACE2 CONSTRUCT FOR USE IN DIAGNOSING AND TREATING     CORONAVIRUSES</t>
  </si>
  <si>
    <t>17/324585</t>
  </si>
  <si>
    <t>Childrens Medical Center Corporation</t>
  </si>
  <si>
    <t>CHILDRENS MEDICAL CENTER</t>
  </si>
  <si>
    <t>Chen; Bing; (Westwood, MA); Xiao; Tianshu; (Boston, MA); Cai; Yongfei; (Boston, MA); Zhang; Jun; (Boston, MA)</t>
  </si>
  <si>
    <t>Provided herein, in some aspects, are polypeptide monomers comprising an     angiotensin-converting enzyme 2 (ACE2) ectodomain and an oligomerization     domain. Also provided herein are oligomeric complexes comprising ACE2     monomers. Methods of using such to monomers and oligomeric complexes for     the diagnosis, prevention, and treatment of viral infections such as the     coronavirus are also provided.</t>
  </si>
  <si>
    <t>US20220002675</t>
  </si>
  <si>
    <t>NOVEL CONSTRUCTS FOR CHIMERIC ANTIGEN RECEPTORS</t>
  </si>
  <si>
    <t>17/477486</t>
  </si>
  <si>
    <t>CARISMA THERAPEUTICS INC.</t>
  </si>
  <si>
    <t>CARISMA THERAPEUTICS</t>
  </si>
  <si>
    <t>Klichinsky; Michael; (Philadelphia, PA); Minutolo; Nicholas G.; (Philadelphia, PA); Anderson; Nicholas R.; (Philadelphia, PA)</t>
  </si>
  <si>
    <t>C07K 14/70517 20130101;  C07K 2317/76 20130101;  C07K 14/7051 20130101;  C07K 16/2896 20130101;  A61K 2039/5158 20130101;  A61P 35/00 20180101;  C12N 5/0645 20130101;  A61K 35/15 20130101;  C07K 14/70521 20130101;  C12N 2740/15043 20130101;  A61K 2039/5156 20130101;  A61K 38/00 20130101;  C07K 2319/02 20130101;  C07K 2317/73 20130101;  C07K 2319/30 20130101;  C12N 15/86 20130101;  C07K 14/70596 20130101;  C07K 16/32 20130101;  C07K 14/70535 20130101;  C07K 2319/33 20130101;  C12N 2510/00 20130101;  C12N 2501/52 20130101;  C07K 2317/622 20130101;  C07K 2317/53 20130101;  C07K 2319/03 20130101;  C12N 2501/24 20130101</t>
  </si>
  <si>
    <t>The present disclosure pertains to immune cells comprising chimeric     antigen receptors (CARs) and methods of using immune cells comprising     CARs.</t>
  </si>
  <si>
    <t>US20220001989</t>
  </si>
  <si>
    <t>GALLEY ISOLATION PANELS</t>
  </si>
  <si>
    <t>17/368452</t>
  </si>
  <si>
    <t>Peat; Caroline; (Northampton, GB)</t>
  </si>
  <si>
    <t>An isolation system for a galley monument includes a galley monument wall     including a pocket and defining at least one entry-way. At least one     panel is movably received in the pocket. The panel is configured and     adapted to move relative to the pocket between at least one of open     position and or closed position.</t>
  </si>
  <si>
    <t>US20220001988</t>
  </si>
  <si>
    <t>AIRCRAFT GALLEY PATHOGEN TEST KIT</t>
  </si>
  <si>
    <t>17/368422</t>
  </si>
  <si>
    <t>Grocott; Edward; (Winston-Salem, NC)</t>
  </si>
  <si>
    <t>A61L 2/10 20130101;  A61L 2/26 20130101;  B64D 47/02 20130101;  B64D 11/04 20130101;  A61L 2202/11 20130101;  A61L 2202/24 20130101</t>
  </si>
  <si>
    <t>A galley monument for a cabin area of an aircraft including a first     monument stack, a second monument stack adjacent to the first monument     stack, a tray within the second monument stack to secure a rapid pathogen     tester, a slidably moveable support located below the tray to secure a     plurality of tools to use along with the rapid pathogen tester, and at     least one light within the tray to irradiate the tools placed within the     support.</t>
  </si>
  <si>
    <t>US20220001987</t>
  </si>
  <si>
    <t>AIRCRAFT GALLEY WASTE COMPARTMENT BIN LINERS</t>
  </si>
  <si>
    <t>17/364183</t>
  </si>
  <si>
    <t>Burd; Peter; (Burry Port, GB); Hough; Ray; (Winston-Salem, NC)</t>
  </si>
  <si>
    <t>B65F 1/068 20130101;  B64D 11/04 20130101;  B64D 11/02 20130101</t>
  </si>
  <si>
    <t>A liner for an aircraft waste bin includes at least one polyimide film     welded to form an interior space with an opening defined at one end of     the interior space configured for passage of waste into the interior     space. A system for aircraft waste can include an aircraft waste bin     defining a bin interior with a bin opening in one end, and a liner as     described above can be included, wherein the liner is seated in the bin     interior with the liner opening aligned with the bin opening for receipt     of waste. A method of disposing of waste in an aircraft interior includes     collecting waste into a liner within a system for aircraft waste. The     method includes removing the liner from the system for aircraft waste.</t>
  </si>
  <si>
    <t>US20220001069</t>
  </si>
  <si>
    <t>ULTRAVIOLET LIGHT DISINFECTION SYSTEM AND METHOD</t>
  </si>
  <si>
    <t>17/475973</t>
  </si>
  <si>
    <t>CURRENT LIGHTING SOLUTIONS, LLC F/K/A GE LIGHTING SOLUTIONS, LLC</t>
  </si>
  <si>
    <t>CURRENT LIGHTING SOLUTIONS</t>
  </si>
  <si>
    <t>Allen; Gary R.; (Euclid, OH); Benner; Kevin J.; (Solon, OH); Glaudel; Stephen P.; (Hatfield, PA)</t>
  </si>
  <si>
    <t>A61L 2202/25 20130101;  A61L 2209/11 20130101;  A61L 2209/12 20130101;  A61L 9/20 20130101;  A61L 2202/14 20130101;  A61L 2/10 20130101;  A61L 2/24 20130101;  A61L 2209/111 20130101;  A61L 2202/11 20130101</t>
  </si>
  <si>
    <t>A multispectral light source for disinfection is disclosed, including a     plurality of light sources with different disinfection peak wavelengths     and electronics. Each disinfection peak wavelength is effective for     disinfection, and the electronics are configured to drive the plurality     of light sources to emit light at the different disinfection peak     wavelengths. In a specific embodiment, multispectral light source     includes one or more UV-C light sources emitting ultraviolet light in a     UV-C range, and one or more UV-A light sources emitting ultraviolet light     in a UV-A range. The multispectral light source optionally may further     include one or more white light sources emitting white light providing     illumination. In a disinfection method, light in the UV-C range is     emitted into an occupied space, and light outside of the UV-C range that     is effective for inactivating at least one target pathogen is also     emitted, optionally simultaneously, into the occupied space.</t>
  </si>
  <si>
    <t>US20220001049</t>
  </si>
  <si>
    <t>VEHICLE DOOR EPIDEMIC PREVENTION DEVICE APPLIED TO PUBLIC TRANSPORTATION     VEHICLE</t>
  </si>
  <si>
    <t>17/013611</t>
  </si>
  <si>
    <t>SUNNDER TECH CO LTD</t>
  </si>
  <si>
    <t>SUNNDER TECH</t>
  </si>
  <si>
    <t>CHANG; CHENG-HSIEN; (NANTOU COUNTY, TW)</t>
  </si>
  <si>
    <t>B61D 19/02 20130101;  A61L 2202/25 20130101;  B05B 9/035 20130101;  A61L 2202/16 20130101;  B05B 1/205 20130101;  B05B 12/122 20130101;  A61L 2/18 20130101;  A61L 2/24 20130101;  A61L 2/10 20130101;  B05B 12/002 20130101;  A61L 2202/15 20130101;  A61L 2/26 20130101;  A61L 2202/11 20130101;  A61L 2202/14 20130101;  A61L 2/22 20130101</t>
  </si>
  <si>
    <t>A vehicle door epidemic prevention device applied to a public     transportation vehicle is disposed on the public transportation vehicle,     especially a bus. The public transportation vehicle has at least one     door. The door has a doorway for passengers to enter and exit. The     doorway is provided with at least one door panel. The door panel is     provided with at least one disinfection unit. The disinfection unit faces     the doorway when the door panel is in an open position. The disinfection     unit is connected with a control unit for activating the disinfection     unit to disinfect the passengers passing through the doorway when the     door panel is in the open position, so as to achieve the purpose of     epidemic prevention.</t>
  </si>
  <si>
    <t>US20220001048</t>
  </si>
  <si>
    <t>MATERIALS AND METHODS FOR PHOTOTHERMALLY SELF-DISINFECTING RESPIRATORS</t>
  </si>
  <si>
    <t>17/366440</t>
  </si>
  <si>
    <t>Jun; Young-Shin; (St. Louis, MO); Singamaneni; Srikanth; (St. Louis, MO)</t>
  </si>
  <si>
    <t>Self-sterilizing filtration materials are disclosed that include at least     one polydopamine-functionalized layer. The at least one     polydopamine-functionalized layer is configured to heat to a     sterilization temperature when illuminated by light with a light     intensity. The self-sterilizing filtration materials may be included in a     filtering respirator mask. Methods of sterilizing filtration materials     and filtering respirator masks containing at least one     polydopamine-functionalized layer by exposing to sunlight are also     disclosed. In addition, methods of producing a self-sterilizing filtering     respirator mask by polydopamine-functionalizing at least one layer of the     filtration material in an existing filtering respirator mask.</t>
  </si>
  <si>
    <t>US20220001045</t>
  </si>
  <si>
    <t>NON-CONTACT FLUID DISPENSER</t>
  </si>
  <si>
    <t>17/239657</t>
  </si>
  <si>
    <t>Al-Jazaeri, Ayman H.</t>
  </si>
  <si>
    <t>AL-JAZAERI AYMAN</t>
  </si>
  <si>
    <t>Al-Jazaeri; Ayman H.; (Riyadh, SA)</t>
  </si>
  <si>
    <t>A61L 2202/16 20130101;  A47K 5/1201 20130101;  A61L 2202/15 20130101;  A61L 2/0088 20130101</t>
  </si>
  <si>
    <t>A wearable non-contact fluid dispenser is provided. An arm band fastened     to a user's arm having receptacle configured to hold a compressible     pouch, the pouch retaining a volume of sanitation fluid. A flexible     elastic tube extends from the pouch to an outlet positioned approximately     to the user's palm. A hands-free valve may release sanitation fluid from     the pouch to the user's palm enabling the user to sanitize their hands.     The flow rate of the sanitation fluid may be controlled by the user.</t>
  </si>
  <si>
    <t>US20220001044</t>
  </si>
  <si>
    <t>SANITATION SYSTEMS FOR AIRCRAFT</t>
  </si>
  <si>
    <t>17/364503</t>
  </si>
  <si>
    <t>Burd; Peter; (Burry Port, GB)</t>
  </si>
  <si>
    <t>A sanitization system can include a housing defining an interior volume,     and one or more FAR-UVC light sources disposed within the housing and     configured to irradiate at least a portion of the interior volume. The     interior volume can be configured to receive one or more user hands or     portions thereof to sanitize the one or more user hands and/or portions     thereof.</t>
  </si>
  <si>
    <t>US20220001014</t>
  </si>
  <si>
    <t>COMPOSITIONS AND METHODS FOR INDUCING BIOLOGICAL MIMICRY IN A MAMMAL FOR     THE PREVENTION AND/OR TREATMENT OF COVID-19 AND OTHER DISEASES</t>
  </si>
  <si>
    <t>17/366007</t>
  </si>
  <si>
    <t>GHADERI LIDA</t>
  </si>
  <si>
    <t>Ghaderi; Lida; (Santa Monica, CA)</t>
  </si>
  <si>
    <t>The present invention is directed to compositions and methods for     inducing artificial biological mimicry in a mammal to mimic the favorable     immune advantages present in a bat in another mammal, particularly a     human subject, and thereby prevent and/or treat COVID-19 and other     diseases by administering to the subject a combination of active agents     comprising two or more active agents comprising an inhibitor of     inflammasome NLRP3, an inhibitor of one or more priming or activation     signals of inflammasome NLRP3, and/or an activator of the inhibitor of     one or more priming or activation signals of inflammasome NLRP3 alone or     in combination with one or more modulators of Kallikrein-Kinin System     (KKS) dysregulation, one or more modulators of Renin Aldosterone     Angiotensin System (RAAS) dysregulation, one or more modulators of     protease dysregulation, and/or one or more modulators of cytokine     dysregulation. Pharmaceutical compositions, methods of treatment, methods     of genetic testing, and packaged kits are provided.</t>
  </si>
  <si>
    <t>US20220000993</t>
  </si>
  <si>
    <t>DRUG FOR USE AGAINST THE NOVEL CORONAVIRUS DISEASE, COVID-19</t>
  </si>
  <si>
    <t>17/367962</t>
  </si>
  <si>
    <t>TORVALD RANTA FORETAGSJURIDIK AB</t>
  </si>
  <si>
    <t>TORVALD RANTA FORETAGSJURIDIK</t>
  </si>
  <si>
    <t>Khanykov; Alexandr Vladimirovich; (Moskow, RU)</t>
  </si>
  <si>
    <t>The invention concerns a medicinal drug effective for the treatment of     COVID-19 disease caused by the SARS-Cov-2 virus and preventing the     development of its dangerous complications associated with pulmonary     edema. For this purpose, a drug is proposed comprising aprotinin as a     pharmaceutically active component in the form of a dry powder aerosol     with a particle size of less than 1.0 .mu.m. Such a drug provides the     possibility of targeted delivery of aprotinin to the lower respiratory     tract and alveoli, which makes it possible to influence both the etiology     (due to the antiviral effect of aprotinin) and the pathogenesis of     COVID-19 disease (due to the anti-inflammatory effect of aprotinin)     directly in the focus of the pathologic pathway.</t>
  </si>
  <si>
    <t>US20220000958</t>
  </si>
  <si>
    <t>IMMUNOMODULATORY COMPOSITION TO TREAT AND/OR PREVENT COVID-19 ILLNESS</t>
  </si>
  <si>
    <t>16/920961</t>
  </si>
  <si>
    <t>COVIMMUNE PHARMA LLC</t>
  </si>
  <si>
    <t>COVIMMUNE PHARMA</t>
  </si>
  <si>
    <t>Al Jasim; Nedaa Abdul-Ghani Nasif; (Lynnwood, WA); Ahmed; Noor Z.; (Lynnwood, WA)</t>
  </si>
  <si>
    <t>A61K 2236/333 20130101;  A61K 36/71 20130101;  A61P 31/14 20180101</t>
  </si>
  <si>
    <t>A novel process for extraction of the bioactive phytochemicals from herbs     to provide a composition that boost antiviral innate immune response and     induce interferon secretion in a host affected by COVID-19 illness and in     need for such immunomodulatory treatment.</t>
  </si>
  <si>
    <t>US20220000919</t>
  </si>
  <si>
    <t>PLACENTAL DERIVED NATURAL KILLER CELLS FOR TREATMENT OF CORONAVIRUS     INFECTIONS</t>
  </si>
  <si>
    <t>17/163316</t>
  </si>
  <si>
    <t>CELULARITY, INC.</t>
  </si>
  <si>
    <t>CELULARITY</t>
  </si>
  <si>
    <t>KANG; Lin; (Basking Ridge, NJ); VAN DER TOUW; William; (Hoboken, NJ); VOSKINARIAN-BERSE; Vanesssa; (Millington, NJ); GUO; Xuan; (Whitehouse Station, NJ); HARIRI; Robert J.; (Bernardsville, NJ); ZHANG; Xiaokui; (Martinsville, NJ); BALINT; Catherine; (Lake Hopatcong, NJ); HABBOUBI; Nassir; (Short Hills, NJ); HERB; Stacy; (Mountaintop, PA); KOPPISETTI; Sharmila; (Parsippany, NJ); MAHLAKOIV; Tanel; (Morristown, NJ); STOUT; Bhavani; (Lebanon, NJ); ZHU; Junhong; (Pine Brook, NJ); CASPER; Corey; (Seattle, WA); HE; Shuyang; (Martinsville, NJ)</t>
  </si>
  <si>
    <t>A61K 35/17 20130101;  C12N 5/0646 20130101</t>
  </si>
  <si>
    <t>Provided herein are methods of using populations of natural killer (NK)     cells and/or ILC3 cells derived from a population of hematopoietic stem     or progenitor cells in methods for treating a viral infection, e.g., a     coronavirus infection.</t>
  </si>
  <si>
    <t>US20220000918</t>
  </si>
  <si>
    <t>17/477494</t>
  </si>
  <si>
    <t>C07K 14/4703 20130101;  C12N 15/86 20130101;  A61K 35/15 20130101;  A61P 35/00 20180101</t>
  </si>
  <si>
    <t>US20220000917</t>
  </si>
  <si>
    <t>17/477491</t>
  </si>
  <si>
    <t>US20220000904</t>
  </si>
  <si>
    <t>ANTIVIRAL AGENTS FOR TREATMENT OF CORONAVIRUSES</t>
  </si>
  <si>
    <t>17/244272</t>
  </si>
  <si>
    <t>MEHARRY MEDICAL COLLEGE</t>
  </si>
  <si>
    <t>ALCENDOR; Donald J.; (Hermitage, TN)</t>
  </si>
  <si>
    <t>An antiviral agent is provided, having a phosphorodiamidate morpholino     oligomer with an antisense sequence to a portion of a genome of a strain     of a coronavirus. The coronavirus may be SARS-CoV-2 or another .beta.CoV.     The antiviral agent finds many uses, such as in a pharmaceutical     composition, a method of treating coronavirus-mediated disease, a method     of preventing coronavirus-mediated disease, a method of reducing or     preventing the replication of coronavirus in a host cell, a method of     controlling the spread of coronavirus in donated tissue, a treated tissue     sample, and in the manufacture of a medicament for the treatment or     prevention or coronavirus-mediated disease.</t>
  </si>
  <si>
    <t>US20220000827</t>
  </si>
  <si>
    <t>COMPOSITION AND METHOD FOR TREATING INFECTIONS</t>
  </si>
  <si>
    <t>17/366668</t>
  </si>
  <si>
    <t>ECOPLANET ENVIRONMENTAL LLC</t>
  </si>
  <si>
    <t>ECOPLANET ENVIRONMENTAL</t>
  </si>
  <si>
    <t>STROBEL; Gary A.; (Bozeman, MT); BLATT; Bryan; (Manhattan, MT)</t>
  </si>
  <si>
    <t>The composition for treating infections may be used for treating a wide     variety of different infection and conditions, including viral     infections, such as coronavirus disease 2019 (COVID-19) and influenza.     The composition includes isoamyl hexanoates and at least one acid. The at     least one acid may be lactic acid, propanoic acid, isobutyric acid,     butyric acid, lactic acid, formic acid, acetic acid, citric acid, oxalic     acid, uric acid, malic acid, tartaric acid, or combinations thereof. The     composition may be provided in any suitable form, including, but not     limited to, a cream, an ointment, a rinse, an oil, a scrub, a spray, a     shampoo, a gel, a plaster, a paste, a solution, a suspension, a dip, a     salve, an ear rinse, a powder, an eyewash, mouthwash, a nail lacquer, a     gas or an orally administered treatment. The composition may also be used     as a feed or feed supplement, or a waste treatment.</t>
  </si>
  <si>
    <t>US20220000808</t>
  </si>
  <si>
    <t>Cysteamine for the Treatment, Mitigation and Prevention of Coronaviral,     e.g., SARS-CoV-2, Infections</t>
  </si>
  <si>
    <t>17/476192</t>
  </si>
  <si>
    <t>Regents Of The University Of Michigan</t>
  </si>
  <si>
    <t>REGENTS UNIVERSITY MICHIGAN</t>
  </si>
  <si>
    <t>THOENE; Jess; (Ann Arbor, MI); GAVIN; Robert; (Ann Arbor, MI)</t>
  </si>
  <si>
    <t>Provided herein are methods for the treatment, mitigation, and prevention     of viral infections (e.g., coronavirus infections (e.g., severe acute     respiratory syndrome coronavirus 2 (SARS-CoV-2), etc.), etc.) and     diseases (e.g., Coronavirus disease 2019 (COVID-19)) associated therewith     by the administration of cysteamine or derivatives thereof to a subject.</t>
  </si>
  <si>
    <t>US20220000581</t>
  </si>
  <si>
    <t>ANTI-AEROSOLIZING TENT</t>
  </si>
  <si>
    <t>16/921597</t>
  </si>
  <si>
    <t>NOVER, Jonathan; OLSHANSKY, Michael; SMALDONE, James</t>
  </si>
  <si>
    <t>NOVER JONATHAN</t>
  </si>
  <si>
    <t>NOVER; Jonathan; (Brooklyn, NY); OLSHANSKY; Michael; (Brooklyn, NY); SMALDONE; James; (Westfield, NJ)</t>
  </si>
  <si>
    <t>A61B 2217/005 20130101;  A61B 90/40 20160201;  A61B 2090/571 20160201</t>
  </si>
  <si>
    <t>A shielding device movable between a folded configuration, in which the     shielding device is stored, and an expanded configuration, in which the     shielding device is configured to be positioned over a patient to prevent     a spread of aerosolized particles. The shielding device includes a     flexible material configured to be movable between the folded     configuration and the expanded configuration to form a tent portion, a     wall of the tent portion defining an interior space within which the     patient is received in an operative configuration and a tensile frame     including a plurality of struts, each connected to a portion of the     flexible material and biased toward the expanded configuration, in which     each of the struts provide a tension across the portion of the flexible     material to which it is connected, the struts being deformable toward the     folded configuration so that portions of the flexible material may be     folded against itself.</t>
  </si>
  <si>
    <t>US20220000575</t>
  </si>
  <si>
    <t>FILTERING FACEPIECE RESPIRATOR</t>
  </si>
  <si>
    <t>17/188846</t>
  </si>
  <si>
    <t>UGBEYE TOSAN A</t>
  </si>
  <si>
    <t>UGBEYE TOSAN</t>
  </si>
  <si>
    <t>Ugbeye; Tosan A.; (Brunswick, OH)</t>
  </si>
  <si>
    <t>B01D 2239/065 20130101;  A61M 16/105 20130101;  A61M 16/0816 20130101;  A62B 7/10 20130101;  A61B 90/05 20160201;  A62B 9/00 20130101;  A62B 7/02 20130101;  A41D 13/11 20130101;  B01D 2239/0241 20130101;  A62B 23/02 20130101;  A61M 2202/0208 20130101;  A62B 18/08 20130101;  B01D 39/1623 20130101</t>
  </si>
  <si>
    <t>Provided is a filtering facepiece respirator. The respirator includes a     mask body having an anterior side portion, a posterior side portion, a     middle portion, a first side portion, a second side portion, a top side     portion, a bottom side portion and outer edge portions. The respirator     further includes a primary port positioned at the anterior middle portion     of the mask body and a detachable primary port adapter which is     positioned over and engages the primary port. The respirator may further     include an oxygen port and oxygen port adapter and a luer port and luer     port adapter.</t>
  </si>
  <si>
    <t>US20220000196</t>
  </si>
  <si>
    <t>Multifunctional Face Mask</t>
  </si>
  <si>
    <t>17/367146</t>
  </si>
  <si>
    <t>WOLF ROCK DESIGN LLC</t>
  </si>
  <si>
    <t>WOLF ROCK DESIGN</t>
  </si>
  <si>
    <t>Trebino; Andrew; (Carlisle, MA)</t>
  </si>
  <si>
    <t>The multifunctional facemask is intended to improve on conventional     facemask devices through an innovative facemask design that is designed     to provide a convenient means of carrying while incorporating other     problem-solving features. In other words, the device is designed to be     rolled up, folded, or carried in a compact form, so as to be worn on the     user's wrist as a fancy handkerchief or snap bracelet, when not being     used as a facemask. To accomplish this, the device preferably uses     buttons to secure the mask device to the wrist. More specifically, the     device includes a flexible mask member and a face attachment member. The     device further includes one or more fastening elements that can engage     with the face attachment member, so as to enable the user to carry the     facemask on the user's wrist or elbow. Thus, the multifunctional facemask     is a user-friendly face mask device with improved functionality.</t>
  </si>
  <si>
    <t>US20210409899</t>
  </si>
  <si>
    <t>METHOD OF AND DEVICE FOR PERFORMING A TOUCHLESS HANDSHAKE BETWEEN TWO OR     MORE MOBILE DEVICE USERS</t>
  </si>
  <si>
    <t>17/355003</t>
  </si>
  <si>
    <t>Stachowski, JR., Barbara Carey</t>
  </si>
  <si>
    <t>STACHOWSKI</t>
  </si>
  <si>
    <t>Stachowski, JR.; Barbara Carey; (Forestville, CA)</t>
  </si>
  <si>
    <t>H04W 4/023 20130101;  G06N 20/00 20190101;  H04W 12/02 20130101;  H04W 4/30 20180201;  H04W 4/70 20180201</t>
  </si>
  <si>
    <t>To prevent the spread of Covid-19 and other contagious diseases, a     touchless handshake is able to be implemented using mobile devices. The     touchless handshake is able to be performed by sending an ultrasonic     signal from one device to another (or to multiple devices) which triggers     the device to vibrate to simulate a handshake. Additionally, mobile     devices are able to be used to send and/or display a wave.</t>
  </si>
  <si>
    <t>US20210407689</t>
  </si>
  <si>
    <t>UNIFIED PROCESS FOR TRANSMISSIBLE VIRAL PATHOGENS RADIAL PROXIMITY     REAL-TIME VIRTUAL GLOBAL POSITIONING PLOTTING AND SOCIAL DISTANCING     COMPUTERIZED ADVANCED ADVISORY REGISTRY DRIVEN PLATFORM MEDICAL SERVICE</t>
  </si>
  <si>
    <t>16/914433</t>
  </si>
  <si>
    <t>Coghlan, Robert George</t>
  </si>
  <si>
    <t>COGHLAN ROBERT</t>
  </si>
  <si>
    <t>Coghlan; Robert George; (Hialeah, FL)</t>
  </si>
  <si>
    <t>G16H 10/60 20180101;  G16H 50/20 20180101;  G06F 16/9035 20190101;  G16H 50/80 20180101;  G16H 50/30 20180101;  G16H 70/60 20180101;  H04W 4/029 20180201;  G16H 40/67 20180101</t>
  </si>
  <si>
    <t>Unified process for transmissible viral pathogen radial proximity     real-time virtual global positioning plotting and social distancing     computerized advanced advisory registry driven platform medical service     in the field of endeavor in the technological arts of providing a means     to mitigate a transmission of a viral pathogen, such as though not     limited to, Covid19, and providing a registry and a platform medical     service for advising a primary individual of secondary individuals in a     radial proximity to the primary individual of a health status of a     secondary individual within a radial proximity of the primary individual     by the means of a real-time virtual global positioning plotting and     social distancing computerized advanced advisory registry driven platform     medical service.</t>
  </si>
  <si>
    <t>US20210407683</t>
  </si>
  <si>
    <t>METHOD AND SYSTEM FOR REMOTE HEALTH MONITORING, ANALYZING, AND RESPONSE</t>
  </si>
  <si>
    <t>16/916946</t>
  </si>
  <si>
    <t xml:space="preserve">Verizon </t>
  </si>
  <si>
    <t>VERIZON</t>
  </si>
  <si>
    <t>Khasnabish; Bhumip; (Lexington, MA); Saraf; Rohit Shirish; (Nashua, NH)</t>
  </si>
  <si>
    <t>G16H 50/20 20180101;  G16H 40/67 20180101;  G16H 50/30 20180101;  A61B 5/02055 20130101</t>
  </si>
  <si>
    <t>A method, a system, and a non-transitory storage medium are described in     which a health monitoring, analyzing, and response service is provided.     The service may ingest monitoring information from end devices. The     service may assign an adaptive weight value to each instance of     monitoring information based on profile information pertaining to the end     device. The profile information may include operational characteristics     information and rating information. The service may aggregate the     monitoring information based on the adaptive weight values to produce a     weighted health or state value. The service may analyze and determine a     health or condition of a person or object. The service may also generate     response information reactive to the determined health or condition.</t>
  </si>
  <si>
    <t>US20210407626</t>
  </si>
  <si>
    <t>COMPUTATIONAL REDUCTION VACCINE FOR COVID-19 BIN75</t>
  </si>
  <si>
    <t>17/139287</t>
  </si>
  <si>
    <t>Hanson, Matthew Vernon</t>
  </si>
  <si>
    <t>HANSON MATTHEW</t>
  </si>
  <si>
    <t>Hanson; Matthew Vernon; (Cambridge, MA)</t>
  </si>
  <si>
    <t>G16B 50/00 20190201;  A61K 39/00 20130101;  C12N 2770/20034 20130101;  G16B 35/10 20190201</t>
  </si>
  <si>
    <t>A system for the rapid development of vaccines or anti-bacterial drugs is     required when working with pandemics. The easiest way to formulate these     new vaccines is through computational reduction of existing organisms via     statistical models. Once vaccine candidates are arrived at through this     method, "Super Organisms" containing all of the computationally reducible     fragments can then be taken through a Crispr reduction process wherein     those computationally reducible fragments are removed. The result is a     vaccine candidate which has possible problematic function partially or     fully removed. The "neutered" version of the virus can be tested in a lab     and in clinical trials for efficacy. This patent covers a vaccine     candidate utilizing computationally reducible fragments 75 to 99 base     pairs in length; those fragments removed from future Covid-19 Super     Organisms either collectively (as in this patent) or individually; as     well as the RNA transcripts of those fragments.</t>
  </si>
  <si>
    <t>US20210407278</t>
  </si>
  <si>
    <t>SYSTEM AND METHOD FOR INSURING HAND-HYGIENE COMPLIANCE</t>
  </si>
  <si>
    <t>17/353990</t>
  </si>
  <si>
    <t>BEMO CORPORATION</t>
  </si>
  <si>
    <t>BEMO</t>
  </si>
  <si>
    <t>Houghtaling; Daren; (West Palm Beach, FL); Ruhl; Gregory; (West Palm Beach, FL); Kennedy; Christopher; (West Palm Beach, FL)</t>
  </si>
  <si>
    <t>G08B 21/245 20130101;  G08B 25/10 20130101;  G06F 1/163 20130101;  G08B 7/06 20130101</t>
  </si>
  <si>
    <t>The present invention relates to hardware, systems and software methods     to insure compliance of personnel in jobs where sanitized hands are     dependent on washing according to time intervals. The system includes a     hand-hygiene station, a sanitizing dispensing device, a computer and a     communication channel. A wearable vibration and visual alert device     communicates, illuminates and vibrates dependent on timing between hand     washing utilizing sensors positioned both adjacent to a hand washing     station and installed in un-sanitized areas. Each of the plurality of     sensors may be configured to provide a corresponding sensor output signal     that is indicative of whether a person has washed their hands at a hand     washing station.</t>
  </si>
  <si>
    <t>US20210405689</t>
  </si>
  <si>
    <t>SMART WEARABLES AND NON-WEARABLE DEVICES WITH EMBEDDED NFC (NEAR FIELD     COMMUNICATION), VITAL HEALTH SENSORS, ULTRA VIOLET GERMICIDAL IRRADIATION     (UVGI) AND ARTIFICIAL INTELLIGENCE/MOBILE/CLOUD BASED VIRTUAL ASSISTANT     PLATFORM/TECHNOLOGIES</t>
  </si>
  <si>
    <t>17/474090</t>
  </si>
  <si>
    <t>KARIGUDDAIAH ABIJITH</t>
  </si>
  <si>
    <t>Kariguddaiah; Abijith; (Contra Costa County, CA)</t>
  </si>
  <si>
    <t>G16H 10/20 20180101;  H04W 4/80 20180201;  A61L 2202/14 20130101;  G06F 1/1652 20130101;  G16H 40/67 20180101;  A61L 2/0047 20130101;  G06N 20/00 20190101;  A61L 2202/16 20130101;  G06F 3/0488 20130101;  G06F 1/163 20130101;  A61L 2/24 20130101</t>
  </si>
  <si>
    <t>A system with plurality of smart wearable and non-wearable having     embedded NFC (Near Field Communication) tags, vital health sensors and     UV-C germicidal irradiation sources; a computer mobile/cloud implemented     platform with an artificial intelligence or machine learning powered     virtual assistant; and a central cloud server is provided for prevention     of spread of pathogens and for monitoring and/prediction of infection and     timely intervention assistance for better health outcomes to the user,     taking into account the underlying conditions of the user. The system     includes a plurality of body wearables including, but not limited to, a     hand glove, a footwear, a vest, a full body suit, a face mask, a footwear     cover or a smart portables and at least one non-wearable portable smart     device, and all of them with re-programmable NFC tags and UVGI source     embedded within them, to dis-infect any surface the user desire, and to     avoid touching any surfaces, and the same--each device of which having a     plethora of various body health and viral monitoring sensors, embedded     within them to transmit and upload data to mobile/cloud platform, to     predict probability of infection and take necessary actions to provide     better personalized health outcomes.</t>
  </si>
  <si>
    <t>US20210405366</t>
  </si>
  <si>
    <t>17/389798</t>
  </si>
  <si>
    <t>A63F 13/212 20140902;  G02B 27/017 20130101;  G02B 2027/0138 20130101;  A63F 2300/8082 20130101;  A63F 13/25 20140902;  A63F 13/00 20130101;  A63F 13/5255 20140902;  A63F 13/428 20140902;  A63F 13/211 20140902;  A63F 13/26 20140902;  A63F 13/795 20140902;  A63F 13/35 20140902;  A63F 13/28 20140902</t>
  </si>
  <si>
    <t>US20210405051</t>
  </si>
  <si>
    <t>METHOD AND APPARATUS FOR RAPID DETECTION OF SARS-COV-2</t>
  </si>
  <si>
    <t>17/338640</t>
  </si>
  <si>
    <t>NEIL KEMPTON STONE REVOCABLE LIVING TRUST</t>
  </si>
  <si>
    <t>Rose; Karce Daniel; (Healdsburg, CA); Rose; Seth David; (Tempe, AZ); Stone; Neil Kempton; (Healdsburg, CA)</t>
  </si>
  <si>
    <t>G01N 2333/165 20130101;  G01N 21/6428 20130101;  G01N 2021/6439 20130101;  G01N 33/56983 20130101</t>
  </si>
  <si>
    <t>A method and apparatus for comfortably, rapidly, and inexpensively     collecting a sample from one or more test subjects and analyzing it,     singly or pooled with other samples, for presence of SARS-CoV-2. Saliva,     nasal drainage, or other body fluids may be collected from one or more     test subjects and examined by means of fluorimetry. Mass rapid screening     for SARS-CoV-2 is a valuable public health tool to reduce the     transmission of COVID-19 while permitting business activity to resume.</t>
  </si>
  <si>
    <t>US20210404023</t>
  </si>
  <si>
    <t>NOVEL CORONAVIRUS DUPLEX DETECTION KIT</t>
  </si>
  <si>
    <t>16/760945</t>
  </si>
  <si>
    <t>DAAN GENE CO LTD</t>
  </si>
  <si>
    <t>DAAN GENE</t>
  </si>
  <si>
    <t>JIANG; Xiwen; (Guangzhou, Guangdong, CN); FAN; Jian; (Guangzhou, Guangdong, CN); PENG; Hailong; (Guangzhou, Guangdong, CN); PENG; Rongyu; (Guangzhou, Guangdong, CN)</t>
  </si>
  <si>
    <t>C12Q 1/701 20130101;  C12Q 2600/16 20130101</t>
  </si>
  <si>
    <t>The present invention provides a novel coronavirus duplex detection kit.     Specifically, the present invention discloses a kit and method for     multiplex detection of novel coronavirus 2019-nCoV nucleic acid, which     can simultaneously detect two nucleic acid targets of the novel     coronavirus 2019-nCoV and possess extremely high sensitivity and     specificity, and significantly improve the accuracy of virus     identification.</t>
  </si>
  <si>
    <t>US20210403880</t>
  </si>
  <si>
    <t>COMPUTATIONAL REDUCTION VACCINE FOR COVID-19 BIN100</t>
  </si>
  <si>
    <t>17/138065</t>
  </si>
  <si>
    <t>C12N 2770/20021 20130101;  C12N 2770/20034 20130101;  C12N 7/00 20130101;  C12N 2770/20022 20130101</t>
  </si>
  <si>
    <t>A system for the rapid development of vaccines or anti-bacterial drugs is     required when working with pandemics. The easiest way to formulate these     new vaccines is through computational reduction of existing organisms via     statistical models. Once vaccine candidates are arrived at through this     method, "Super Organisms" containing all of the computationally reducible     fragments can then be taken through a Crispr reduction process wherein     those computationally reducible fragments are removed. The result is a     vaccine candidate which has possible problematic function partially or     fully removed. The "neutered" version of the virus can be tested in a lab     and in clinical trials for efficacy. This patent covers a vaccine     candidate utilizing computationally reducible fragments 100 base pairs or     greater in length; those fragments removed from future Covid-19 Super     Organisms either collectively (as in this patent) or individually; as     well as the RNA transcripts of those fragments.</t>
  </si>
  <si>
    <t>US20210403537</t>
  </si>
  <si>
    <t>BINDING AGENTS TO PRE-FUSION STATE SARS-COV-2 SPIKE PROTEIN</t>
  </si>
  <si>
    <t>17/024392</t>
  </si>
  <si>
    <t>G01N 2333/165 20130101;  G01N 2800/26 20130101;  C12N 9/22 20130101;  C12N 2310/20 20170501;  C12N 15/85 20130101;  C12N 15/113 20130101;  C07K 14/165 20130101;  G01N 33/6854 20130101;  C07K 16/10 20130101;  C12N 5/0686 20130101</t>
  </si>
  <si>
    <t>US20210402392</t>
  </si>
  <si>
    <t>APPARATUS AND METHOD FOR POINT  OF CARE, RAPID, FIELD-DEPLOYABLE     DIAGNOSTIC TESTING OF COVID-19, VIRUSES, ANTIBODIES AND MARKERS, AUTOLAB     20</t>
  </si>
  <si>
    <t>17/083113</t>
  </si>
  <si>
    <t>AUTONOMOUS MEDICAL DEVICES INC</t>
  </si>
  <si>
    <t>AUTONOMOUS MEDICAL DEVICES</t>
  </si>
  <si>
    <t>Shachar; Josh; (Santa Monica, CA); Kornberg; Roger; (Atherton, CA); Shamloo; Ehsan; (Marina Del Rey, CA); Kido; Horacio; (Lake Forest, CA); Roberts; Adam; (San Francisco, CA); Munoz; Hector; (Los Angeles, CA)</t>
  </si>
  <si>
    <t>B01L 3/502715 20130101;  G16B 50/30 20190201;  B01L 2300/0819 20130101;  B01L 2300/0861 20130101;  G01N 33/6854 20130101</t>
  </si>
  <si>
    <t>An automated system communicated to a remote server for diagnostically     field testing a sample taken from a patient using an automated portable     handheld instrument to determine the presence of Covid-19 and/or     antibodies thereto includes microfluidic circuits defined in a rotatable     disk for performing a bioassay using a microarray to generate an     electrical signal indicative of a bioassay measurement; the microarray     operationally positioned in the microfluidic circuit; one or more lasers;     one or more positionable valves in the microfluidic circuit; and a     backbone unit for rotating the disk according to a protocol to perform     the bioassay, for controlling the lasers to selectively open the     positionable valves in the microfluidic disk, for operating the     microarray to generate a digital image as a bioassay measurement; for     communicating the bioassay measurement to the remote server, and for     associating the performed bioassay and its corresponding bioassay     measurement to the patient.</t>
  </si>
  <si>
    <t>US20210402230</t>
  </si>
  <si>
    <t>RAPIDLY DEPLOYABLE, COUGH AND SNEEZE, AEROSOL CONTAINMENT APPARATUS</t>
  </si>
  <si>
    <t>17/341352</t>
  </si>
  <si>
    <t>CAYCEDO CLAUDIO H</t>
  </si>
  <si>
    <t>CAYCEDO CLAUDIO</t>
  </si>
  <si>
    <t>CAYCEDO; CLAUDIO H; (Lubbock, TX)</t>
  </si>
  <si>
    <t>A62B 23/02 20130101;  B01D 46/0005 20130101;  A62B 18/084 20130101;  B01D 46/10 20130101;  A41D 13/1107 20130101;  B01D 2275/10 20130101;  B01D 46/0004 20130101;  A45F 2005/006 20130101;  A45F 5/021 20130101</t>
  </si>
  <si>
    <t>A rapidly deployable, pressure sealed, cough and sneeze aerosol,     containment apparatus to substantially eradicate the cold, the flu, and     Covid-19.</t>
  </si>
  <si>
    <t>US20210402228</t>
  </si>
  <si>
    <t>Strap-Free Disposable Face Mask</t>
  </si>
  <si>
    <t>17/326656</t>
  </si>
  <si>
    <t>HARRON SUSAN</t>
  </si>
  <si>
    <t>Harron; Susan; (Racine, WI)</t>
  </si>
  <si>
    <t>A41D 13/1176 20130101;  A62B 18/084 20130101</t>
  </si>
  <si>
    <t>A single-use face mask for protectively covering a user's respiratory     breathing openings includes a face-covering material dimensioned to cover     the user's breathing openings and extending therefrom to an annular     marginal edge portion for positioning over the user's face at positions     beyond the breathing openings, an annular strip of medical-grade adhesive     on the inner surface positioned at a marginal edge portion near and along     the annular edge, the medical-grade adhesive selected to hold the     face-covering material in substantially fixed position on the user's     face, the adhesive-bearing marginal edge portion being recessed     sufficiently from the annular edge of the material to facilitate gripping     of the material along the annular edge for conveniently peeling the     single-use mask from the user's face.</t>
  </si>
  <si>
    <t>US20210402225</t>
  </si>
  <si>
    <t>PROTECTIVE HEAD COVERING</t>
  </si>
  <si>
    <t>16/910287</t>
  </si>
  <si>
    <t>HOSSAIN MARINA</t>
  </si>
  <si>
    <t>Hossain; Marina; (Surrey, CA)</t>
  </si>
  <si>
    <t>A62B 7/02 20130101;  A62B 23/02 20130101;  A62B 18/04 20130101;  A62B 9/003 20130101;  A42B 3/20 20130101</t>
  </si>
  <si>
    <t>A protective mask is provided. A protective head covering for reducing     exposure to contamination and infection for a user, comprising a fabric     affixed to a perimeter of a frame such that the frame and the fabric     enclose the user's face. A face shield housed in the frame. An adjustment     apparatus affixed to the frame such that the frame may be reshaped. One     or more exterior pores affixed to an exterior of the frame and a     filtering mechanism housed within the one or more exterior pores.</t>
  </si>
  <si>
    <t>US20210402224</t>
  </si>
  <si>
    <t>Quick Fit Face Respirator Mask</t>
  </si>
  <si>
    <t>17/352345</t>
  </si>
  <si>
    <t>CISNEROS CHRISTOPHER JOHN</t>
  </si>
  <si>
    <t>Cisneros; Christopher John; (Palmdale, CA)</t>
  </si>
  <si>
    <t>A62B 18/025 20130101;  A62B 18/08 20130101;  A62B 23/025 20130101;  A62B 18/084 20130101</t>
  </si>
  <si>
    <t>A mask comprising a mask frame, a nose mount, a removable filter stand     off support arm, a plurality of removable temple support arms, where each     temple support arm has an attachment mechanism to easily attach or detach     one or more of the temple support arms to or from the mask frame, a     filter rim for attaching a filter to the interior, exterior or both the     interior and exterior of the mask frame, and a plurality of removable     filter clips for attaching the filter to the filter rim.</t>
  </si>
  <si>
    <t>US20210402218</t>
  </si>
  <si>
    <t>METHOD AND APPARATUS FOR PERFORMANCE OF THERMAL BRONCHIOPLASTY TO REDUCE     COVID-19-INDUCED RESPIRATORY DISTRESS AND TREAT COVID-19-DAMAGED DISTAL     LUNG REGIONS</t>
  </si>
  <si>
    <t>17/242557</t>
  </si>
  <si>
    <t>AERWAVE MEDICAL, INC.</t>
  </si>
  <si>
    <t>AERWAVE MEDICAL</t>
  </si>
  <si>
    <t>Warnking; Reinhard J.; (COLOGNE, DE)</t>
  </si>
  <si>
    <t>A61B 2018/0022 20130101;  A61B 2018/0212 20130101;  A61N 2007/0004 20130101;  A61B 1/07 20130101;  A61B 2018/00994 20130101;  A61B 18/0206 20130101;  A61N 7/02 20130101;  A61B 18/1492 20130101;  A61B 2018/00541 20130101;  A61B 1/2676 20130101;  A61B 2018/00982 20130101</t>
  </si>
  <si>
    <t>Apparatus and methods for deactivating pulmonary nerves extending along     the main bronchi of a mammalian subject to reduce ARDS effects by     advancing an ultrasound transducer into the right and subsequently left     main bronchus. The ultrasound transducer emits circumferential ultrasound     so as to heat a circumferential tissue volume encompassing the right and     left main bronchus. The energy of &amp;lt;10 W acoustic for &amp;lt;5 sec will     not be sufficient to cause tissue necrosis but sufficient to inactivate     nerve conduction. This treatment can be performed without locating or     focusing on individual pulmonary nerves.</t>
  </si>
  <si>
    <t>US20210402043</t>
  </si>
  <si>
    <t>Sterilization and Disinfection Lamp</t>
  </si>
  <si>
    <t>16/934622</t>
  </si>
  <si>
    <t>CE LIGHTING LTD</t>
  </si>
  <si>
    <t>CE LIGHTING</t>
  </si>
  <si>
    <t>KE; Ping; (Shenzhen, CN); YANG; Dangwei; (Shenzhen, CN)</t>
  </si>
  <si>
    <t>A61L 2209/12 20130101;  A61L 2209/134 20130101;  A61L 9/20 20130101;  A61L 2209/14 20130101</t>
  </si>
  <si>
    <t>The present invention discloses a sterilizing lamp, wherein the     sterilizing lamp comprises a lamp body module; the lamp body module is     provided with an air inlet (10) and an air outlet (20) at the top and     bottom of the lamp body module respectively, and internally provided with     a circuit board module (3), an ultraviolet light emitting device (4), a     fan (5) and a filter screen bracket (7); the filter screen bracket (7)     wraps and covers the ultraviolet light emitting device (4); an airflow     channel opening (70) is arranged on the filter screen bracket (7); an air     filtering device (8) is wrapped on the filter screen bracket (7) to cover     the airflow channel opening (70); the circuit board module (3) is     electrically connected to the ultraviolet light emitting device (4) and     the fan (5) respectively; and the fan (5) is used for sucking outside air     from the air inlet (10) into an inner cavity of the filter screen bracket     (7), which passes the airflow channel opening (70), is filtered by the     air filtering device (8) and then is discharged from the air outlet (20).     When the air passes through the air filtering device (8), viruses,     bacteria and fine particulate matter are filtered and retained by the air     filtering device (8), and are irradiated for sterilization in the     ultraviolet light emitting device (4).</t>
  </si>
  <si>
    <t>US20210402031</t>
  </si>
  <si>
    <t>PORTABLE SANITIZING CONTAINER</t>
  </si>
  <si>
    <t>17/169418</t>
  </si>
  <si>
    <t>DeCarlo, Theodore; Sweeney, Christopher</t>
  </si>
  <si>
    <t>DECARLO THEODORE</t>
  </si>
  <si>
    <t>DeCarlo; Theodore; (Fort Lauderdale, FL); Sweeney; Christopher; (Fort Lauderdale, FL)</t>
  </si>
  <si>
    <t>A61L 2/18 20130101;  A61L 2/26 20130101;  B65D 43/16 20130101;  B65D 2251/0093 20130101;  B65D 51/18 20130101;  A61L 2202/122 20130101;  B65D 25/2897 20130101;  A61L 2202/121 20130101;  B65D 2251/0021 20130101;  A61L 2202/16 20130101;  A61L 2101/02 20200801;  A61L 2/186 20130101;  A61L 2101/34 20200801</t>
  </si>
  <si>
    <t>A portable sanitizing container; the portable sanitizing container     includes a container having a body, a lid having an aperture, a rubber     flap covering the aperture and having a series of slits, and an inner     volume housing an elongated sponge impregnated with a liquid     disinfectant. The elongated sponge is configured to disperse the liquid     disinfectant along an outer surface of an item to substantially disinfect     an outer surface of the item. The container is configured to receive an     item such as a handheld utensil through the aperture, the rubber flap,     and the elongated sponge respectively and sanitize the item as the at     least one item is inserted and removed from the container. The portable     sanitizing container may be beneficial for use by a user to eliminate     pathogens, germs and harmful bacteria on shared utensils.</t>
  </si>
  <si>
    <t>US20210402024</t>
  </si>
  <si>
    <t>UVC-LED light technology integrated for use in cell phone and tablets.</t>
  </si>
  <si>
    <t>17/349062</t>
  </si>
  <si>
    <t>PAWSON ROGER</t>
  </si>
  <si>
    <t>Pawson; Roger; (San Diego, CA)</t>
  </si>
  <si>
    <t>A61L 2202/11 20130101;  A61L 2/26 20130101;  A61L 2202/16 20130101;  A61L 2/10 20130101;  H04M 1/0264 20130101;  H04M 1/72466 20210101;  H04M 1/026 20130101</t>
  </si>
  <si>
    <t>A handheld device with a UCV-LED light incorporated into its body is     taught. The light can be used to sanitize and disinfect an area in front     of the user. The light is powered by the handheld device's battery and is     controlled by the touchscreen of the device. The UCV-LED light both kills     bacteria and disables viruses through the emission of UVC rays of light,     with an optimal range of 256-284 nanometers. The light can be located     next to the device's flashlight and is secured in a housing similar to     that which secures a flashlight. It optionally has an indicator light     that indicates the area to be sanitized and disinfected.</t>
  </si>
  <si>
    <t>US20210402022</t>
  </si>
  <si>
    <t>Ultraviolet light pod</t>
  </si>
  <si>
    <t>17/333055</t>
  </si>
  <si>
    <t>Nevitt; Michael; (Garland, TX); Wade; Eric L.; (Garland, TX); Early; John; (Garland, TX)</t>
  </si>
  <si>
    <t>A61L 2/10 20130101;  A61L 2202/11 20130101;  A61L 2209/111 20130101;  A61L 2209/15 20130101;  A61L 2209/12 20130101;  A61L 2202/14 20130101;  A61L 9/20 20130101;  A61L 2202/25 20130101</t>
  </si>
  <si>
    <t>Devices, systems, and methods for disinfecting and/or sanitizing an area     using multiple ultraviolet (UV) lights or panels. The devices and systems     may include a fixed or movable UV light pod configured to maximize the     photometric overlay of ultraviolet (UV) light delivered to a surface or     area. This UV light pod is configured to expose the surface/area to a     maximum amount of UV light, thus decreasing the amount of UV light     exposure time applied to the surface/area to properly sanitize the area     or surface.</t>
  </si>
  <si>
    <t>US20210402021</t>
  </si>
  <si>
    <t>Ultraviolet light equipment rack</t>
  </si>
  <si>
    <t>17/320609</t>
  </si>
  <si>
    <t>A61L 2202/122 20130101;  A61L 2/10 20130101;  A61L 2202/11 20130101;  A61L 2202/16 20130101;  A61L 2202/14 20130101</t>
  </si>
  <si>
    <t>A portable ultraviolet (UV) light rack for use in preventing microbial or     pathogen growth within or on various types of equipment, such as sports     equipment. The UV light equipment rack is configured to disinfect     multiple pieces of equipment, such as basketballs, football helmets, or     non-sport equipment, such as masks. The UV light equipment rack may     include an upper frame, a lower frame, a first side frame, and a second     side frame. The interior portion of the UV light equipment rack is     configured to receive and hold or secure the equipment to be disinfected     via UV light, and to provide one or more disinfecting systems, such as UV     light systems. The UV light equipment rack may include one or more     equipment holding assemblies and one or more UV light panels.</t>
  </si>
  <si>
    <t>US20210402001</t>
  </si>
  <si>
    <t>Zinc Porters, and their Monoclonal Antibody Conjugates, for the Prevention     and Treatment of COVID-19 (SARS-CoV-2), Other Infections, and Cancers</t>
  </si>
  <si>
    <t>17/189918</t>
  </si>
  <si>
    <t>COHEN DAVID I</t>
  </si>
  <si>
    <t>COHEN DAVID</t>
  </si>
  <si>
    <t>Cohen; David I.; (Mount Vernon, NY)</t>
  </si>
  <si>
    <t>A61K 38/1729 20130101;  A61K 47/6841 20170801;  A61K 47/6855 20170801;  A61P 35/00 20180101;  A61P 31/14 20180101;  A61K 39/39 20130101;  A61P 31/16 20180101;  A61K 47/52 20170801;  A61K 47/6811 20170801</t>
  </si>
  <si>
    <t>The present invention describes how a MAb specific to a viral or cancer     antigen can be linked to a novel Zn porting peptide that is engineered to     load ionic Zn absent requirement for biological catalysis, carry Zn     stably through the circulation, release payload proximal to diseased     cells, deliver its Zn cargo intracellularly due to ionophore activity,     and release Zn intracellularly. As specifically designed for COVID-19,     the payload can be released by furin cleavage, and the Zn released     intracellularly by cleavage at a 3CL major COVID protease site replacing     sequences naturally found in alpha defensin-5, as one example, or by many     other variations encompassing this design. The peptide's entry and     intracellular Zn release can be further facilitated by the insertion of     an arginine-lysine rich membrane translocation sequence at its amino or     carboxyl terminus. The design provides a novel unifying strategy for     preventing and treating COVID-19 (SARS-CoV-2) infection, other     coronaviral infections, influenza infections, and many cancers.</t>
  </si>
  <si>
    <t>US20210401972</t>
  </si>
  <si>
    <t>MERS-CoV Vaccine</t>
  </si>
  <si>
    <t>17/472003</t>
  </si>
  <si>
    <t>Weiner; David; (Merion, PA); Muthumani; Karuppiah; (Cherry Hill, NJ); Sardesai; Niranjan Y.; (Blue Bell, PA)</t>
  </si>
  <si>
    <t>A61K 2039/53 20130101;  C12N 7/00 20130101;  A61K 39/215 20130101;  A61K 39/12 20130101;  C12N 2770/20034 20130101</t>
  </si>
  <si>
    <t>Disclosed herein is a vaccine comprising a Middle East Respiratory     Syndrome coronavirus (MERS-CoV) antigen. The antigen can be a consensus     antigen. The consensus antigen can be a consensus spike antigen. Also     disclosed herein is a method of treating a subject in need thereof, by     administering the vaccine to the subject.</t>
  </si>
  <si>
    <t>US20210401971</t>
  </si>
  <si>
    <t>MERS CORONAVIRUS VACCINE</t>
  </si>
  <si>
    <t>17/467632</t>
  </si>
  <si>
    <t>RAUCH; Susanne; (Tubingen, DE)</t>
  </si>
  <si>
    <t>A61K 39/215 20130101;  C12N 2770/20011 20130101;  C12N 15/86 20130101;  A61K 2039/53 20130101;  C07K 14/165 20130101</t>
  </si>
  <si>
    <t>The present invention relates to mRNAs suitable for use as mRNA-based     vaccines against infections with MERS coronaviruses. Additionally, the     present invention relates to a composition comprising the mRNAs and the     use of the mRNAs or the composition for the preparation of a     pharmaceutical composition, especially a vaccine, e.g. for use in the     prophylaxis or treatment of MERS coronavirus infections. The present     invention further describes a method of treatment or prophylaxis of     infections with MERS coronavirus using the mRNA sequences.</t>
  </si>
  <si>
    <t>US20210401898</t>
  </si>
  <si>
    <t>USE OF IMMORTALIZED PLACENTAL STEM CELLS IPSC/EXTRACELLULAR VESICLES TO     ENHANCE THERAPEUTIC RECOVERY FROM TISSUE DAMAGE AND ISCHEMIA-REPERFUSION     INJURY AND DELAYED ORGAN FUNCTION</t>
  </si>
  <si>
    <t>17/228276</t>
  </si>
  <si>
    <t>ALEXANDER; Johnathan Steven; (Shreveport, LA); BARZEGAR; Mansoureh; (Lafayette, LA); WANG; Yuping; (Shreveport, LA); ORR; Anthony Wayne; (Benton, LA); ALFAIDI; Mabruka; (Shreveport, LA)</t>
  </si>
  <si>
    <t>C12N 5/0668 20130101;  A61K 35/50 20130101</t>
  </si>
  <si>
    <t>Therapeutics and methods for treating a stroke in a human comprising     administering a therapeutic to the patient, wherein the therapeutic     comprises one of immortalized human placenta mesenchymal stem cells     (hPMSCs) and a product from the immortalized hPMSCs. Methods and     therapeutic products comprising extracellular vesicles (EVs) isolated     from of immortalized hPMSCs. Therapeutics and methods of treating     COVID-19 disease vascular injury comprising administering a therapeutic     to the patient, wherein the therapeutic comprises one of hPMSCs and a     product from the hPMSCs.</t>
  </si>
  <si>
    <t>US20210401876</t>
  </si>
  <si>
    <t>PHARMACEUTICAL COMPOSITION OF CHLORINE FOR TREATMENT OF RESPIRATORY VIRAL     INFECTION</t>
  </si>
  <si>
    <t>17/275086</t>
  </si>
  <si>
    <t>LIFEACTIVUS PRIVATE LTD</t>
  </si>
  <si>
    <t>LIFEACTIVUS PRIVATE</t>
  </si>
  <si>
    <t>DEO; Keshav; (Hyderabad, IN); PANCHASARA; Dinesh R.; (Gujarat, IN)</t>
  </si>
  <si>
    <t>A61K 47/02 20130101;  A61P 31/14 20180101;  A61K 9/0073 20130101;  A61K 33/00 20130101</t>
  </si>
  <si>
    <t>The present invention relates to a pharmaceutical composition of chlorine     for treatment of respiratory viral infection. More particularly, the     invention relates to the pharmaceutical composition of chlorine     administered by inhalation for the treatment of viral infection     associated with COVID and viral morbidities.</t>
  </si>
  <si>
    <t>US20210401773</t>
  </si>
  <si>
    <t>ye-COVIDICIN Botanical and Traditional Medicine to Treatment for COVID-19</t>
  </si>
  <si>
    <t>16/857479</t>
  </si>
  <si>
    <t>ETIENNE YVON</t>
  </si>
  <si>
    <t>Etienne; Yvon; (Coral Springs, FL)</t>
  </si>
  <si>
    <t>A61K 36/752 20130101;  A61K 31/122 20130101;  A61M 16/109 20140204;  A61F 7/08 20130101</t>
  </si>
  <si>
    <t>The main objective of this study was to evaluate the effects of heat,     Momordicilin and antibiotics on Coronavirus. This study selected 12     individuals tested positive for COVID-19 which included two healthcare     providers, one friend, a Massachusetts' family, and six family members in     Florida including the inventor. All individuals were testing positive for     COVID-19 excluding two individuals and inventor who didn't test. They had     fever, mild headache, chest pain, cough and loss of appetite. All     individuals were taking facial steaming(vapor) between 5-15 minutes for     four consecutive days, a cup of Cerasee Tea with     lime/lemon(Extracted-Momordicilin) three times a day for seven days and     with or without any antibiotic as prescribed by their physicians. All     patients felt relief immediately after taking the first dose of heat and     Asosi Tea or antibiotic. All symptoms were gone in five days. After seven     days, all individuals had no symptoms and re-tested. The results came     negative for COVID-19. These results indicate that combination of heat,     momordicilin and with or without antibiotic treat COVID-19.</t>
  </si>
  <si>
    <t>US20210401732</t>
  </si>
  <si>
    <t>16/946572</t>
  </si>
  <si>
    <t>A61K 47/186 20130101;  A61K 9/0078 20130101;  A61K 9/0075 20130101;  A61K 47/14 20130101;  A61K 9/008 20130101;  A61K 31/133 20130101</t>
  </si>
  <si>
    <t>US20210401691</t>
  </si>
  <si>
    <t>Topical Lotion having Sanitizing Properties</t>
  </si>
  <si>
    <t>17/361230</t>
  </si>
  <si>
    <t>SHEAR KERSHMAN LABORATORIES, INC</t>
  </si>
  <si>
    <t>SHEAR KERSHMAN LABORATORIES</t>
  </si>
  <si>
    <t>Kershman; Alvin; (Chesterfield, MO); Shear; Jeff; (Bonita Springs, FL); Linze; Doreen; (Labadie, MO); Lewis; Linda L.; (Pacific, MO)</t>
  </si>
  <si>
    <t>A61K 8/042 20130101;  A61K 8/92 20130101;  A61K 8/9789 20170801;  A61K 8/20 20130101;  A61Q 17/005 20130101;  A61K 8/416 20130101;  A61K 2800/48 20130101;  A61K 8/22 20130101;  A61K 8/735 20130101;  A61K 8/361 20130101;  A61K 8/345 20130101;  A61K 8/375 20130101;  A61K 2800/49 20130101;  A61K 8/678 20130101</t>
  </si>
  <si>
    <t>An alcohol-free lotion for the topical application having sanitizing     properties is made by combining an aqueous phase comprising water, a     water soluble preservative, an antimicrobial active, and at least one     humectant with an oil phase, wherein the at least one humectant is     present in the aqueous phase in the range of from 5 to 30 wt. %, wherein     the oil phase comprises an oil soluble preservative, at least one     surfactant, and at least one oil, wherein the surfactant is present in     the oil phase in the range of from about 20 to 60 wt. %, and wherein the     aqueous phase to oil phase ratio is from about 12:1 to 1:2.</t>
  </si>
  <si>
    <t>US20210401105</t>
  </si>
  <si>
    <t>ANTIVIRUS HELMET</t>
  </si>
  <si>
    <t>17/354165</t>
  </si>
  <si>
    <t>MORBPAC S R L</t>
  </si>
  <si>
    <t>MORBPAC R</t>
  </si>
  <si>
    <t>Pachao Morbitzer; Nelson Mario; (Dina Huapi, AR); Ortiz Uriburu; Gustavo Sergio; (San Carlos de Bariloche, AR)</t>
  </si>
  <si>
    <t>A42B 3/283 20130101;  A42B 3/105 20130101;  A42B 3/288 20130101</t>
  </si>
  <si>
    <t>Antivirus helmets and techniques to manufacture the antivirus helmets are     provided. The antivirus helmets can protect subjects from viruses,     bacteria, or other types of pathogens. The antivirus helmets can be     modular and can isolate a subject wearing the antivirus helmets from the     surrounding environment. The antivirus helmets can be deformable and can     be worn during extended periods while protecting a subject wearing the     antivirus helmet and other subjects in the environment surrounding the     subject.</t>
  </si>
  <si>
    <t>US20210401091</t>
  </si>
  <si>
    <t>MEDICAL ISOLATION GOWN WITH IMPROVED DONNING AND DOFFING FEATURES AND     METHOD THEREFOR</t>
  </si>
  <si>
    <t>17/357432</t>
  </si>
  <si>
    <t>CIVITAS THERAPEUTICS, INC.</t>
  </si>
  <si>
    <t>CIVITAS THERAPEUTICS</t>
  </si>
  <si>
    <t>WILFONG; Harry; (Hartsville, SC); KELLEY; Jim; (Okeana, OH)</t>
  </si>
  <si>
    <t>A41D 13/1209 20130101;  A41D 2400/44 20130101</t>
  </si>
  <si>
    <t>A medical gown constructed by heat sealing a tube made by a blown film     process. The medical gown having a front panel and a rear panel, a     vertical perforation running along the rear panel centerline, two sleeves     for covering the arms of a wearer, a sleeve perforation for enabling the     wearer to penetrate a portion of their hand therethrough. Each sleeve of     the medical gown having an upper seal portion and a lower seal portion, a     neck opening between the upper seal portions of the two sleeves, a gap     between the lower sealed portions of the two sleeves for accommodating     the body of the wearer. An underarm perforation below each sleeve     facilitates severing of each of the sleeves from the gown material.     Supplemental perforations on either side of the gown are also provided     for yielding a pair of straps that can be tied at the rear of the gown.</t>
  </si>
  <si>
    <t>US20210401090</t>
  </si>
  <si>
    <t>Transmission</t>
  </si>
  <si>
    <t>Shoulder-Supported Microbe Protective Shield</t>
  </si>
  <si>
    <t>17/144795</t>
  </si>
  <si>
    <t>Swart, Mark Andrew; Badeau, Francois; Li, Ding</t>
  </si>
  <si>
    <t>SWART MARK</t>
  </si>
  <si>
    <t>Swart; Mark Andrew; (Villa Park, CA); Badeau; Francois; (Newport Beach, CA); Li; Ding; (Changsha, CN)</t>
  </si>
  <si>
    <t>A shoulder-supported protective microbe shield is provided that has a     transparent and flexible protective shield connected to a shoulder     support piece. In one example, the shoulder support piece may be     comfortably placed around the neck such that it is fully supported at the     back of the wearer's neck, across the shoulders, and rests on the chest.     The shoulder support piece is generally U-shaped with a magnet at the top     of each leg of the U. In this way, the magnets are spaced apart and     positioned approximately at the wearer's sternum. With the shoulder     support piece in place, the shield can be removably coupled to the     magnets. More particularly, the shield connects to a support bar at its     bottom perimeter, and the bar has metal plates that cooperate with the     magnets in the shoulder support piece. As a result, the shield may be     easily connected to the shoulder support piece, and me can be positioned     or rotated into the proper, safe, and comfortable position.</t>
  </si>
  <si>
    <t>US20210401089</t>
  </si>
  <si>
    <t>CONVERTIBLE HEAD GARMENT</t>
  </si>
  <si>
    <t>16/913239</t>
  </si>
  <si>
    <t>Florida International University</t>
  </si>
  <si>
    <t>FLORIDA INTERNATIONAL UNIVERSITY</t>
  </si>
  <si>
    <t>Cloyd; Travis; (Miami, FL)</t>
  </si>
  <si>
    <t>A41D 13/1192 20130101;  A42B 1/02 20130101;  A41D 2300/30 20130101</t>
  </si>
  <si>
    <t>Caps that are capable of being converted into protective face masks are     provided. A cap can include a crown that can be placed over the face and     that can be at least partially disconnected to provide a viewing     aperture, and overlapping layers that cover the mouth and nose. The     headband of the cap can be converted to straps for securing around the     head. A visor can be configured to shade the eyes in both the cap     configuration and the face mask configuration. A one-way breathing valve     can be included in the crown to assist with breathing when the face mask     is worn.</t>
  </si>
  <si>
    <t>US20210401088</t>
  </si>
  <si>
    <t>FACE SHIELD FOR ATTACHMENT TO GOGGLES OR EYEGLASSES</t>
  </si>
  <si>
    <t>17/018325</t>
  </si>
  <si>
    <t>LAMONCHA MARK</t>
  </si>
  <si>
    <t>Lamoncha; Mark; (Columbiana, OH)</t>
  </si>
  <si>
    <t>A41D 13/1184 20130101</t>
  </si>
  <si>
    <t>Systems and methods for a face shield for attachment to goggles or     eyeglasses are disclosed. An attachment portion secures a shield to said     googles or eyeglasses. The attachment portion includes an outer band     secured to and extending along an upper portion of the shield. An inner     band extends along an upper portion of the goggles or eyeglasses. At     least one clip removably secures the attachment portion to the goggles or     eyeglasses.</t>
  </si>
  <si>
    <t>US20210401087</t>
  </si>
  <si>
    <t>DOUBLE-PROTECTION MEDICAL MASK, PREFERABLY FOR FILTERING DUST, SMOG,     AEROSOL, PATHOGENIC AGENTS, VIRUSES AND THE LIKE</t>
  </si>
  <si>
    <t>17/339423</t>
  </si>
  <si>
    <t>GENT S.R.L.</t>
  </si>
  <si>
    <t>GENT</t>
  </si>
  <si>
    <t>SIMEONE; DEBORA; (MONTESCUDAIO, IT); VINCHESI; ELENA; (CECINA, IT); VINCHESI; GAIA; (CECINA, IT); VINCHESI; LEONARDO; (CECINA, IT); VINCHESI; MASSIMO; (CECINA, IT); VINCHESI; TOMMASO; (CECINA, IT)</t>
  </si>
  <si>
    <t>A41D 31/102 20190201;  A62B 23/025 20130101;  A41D 31/30 20190201;  A41D 13/113 20130101;  A41D 13/1176 20130101</t>
  </si>
  <si>
    <t>Described is a double-protection medical mask (1, 101), preferably for     filtering dust, smog, aerosol, pathogenic agents, viruses and the like,     which comprises a portion (2, 102) covering at least of the area of the     nose, mouth and chin, provided with filtration means and designed to be     hermetically and removably fixed to the face of the user (9) by adhesion     means.</t>
  </si>
  <si>
    <t>US20210401086</t>
  </si>
  <si>
    <t>PROTECTIVE MASK</t>
  </si>
  <si>
    <t>17/362619</t>
  </si>
  <si>
    <t>INTELLISAFE LLC</t>
  </si>
  <si>
    <t>INTELLISAFE</t>
  </si>
  <si>
    <t>Chandler; Trevor; (Thornton, CO); Brown; Michael; (Golden, CO); Eng-Morris; Joshua; (Denver, CO); Goetz; Joshua K.; (Denver, CO)</t>
  </si>
  <si>
    <t>A61L 2209/133 20130101;  A41D 13/1161 20130101;  A61L 9/20 20130101;  A61L 2209/14 20130101;  A61L 2209/12 20130101;  A41D 2300/33 20130101</t>
  </si>
  <si>
    <t>The present disclosure relates to a protective mask to deactivate     damaging agents. In some examples, the mask includes a filter element     that traps particles of the damaging agent. A sanitizing emitter     permeates the filter element with a sanitizing agent to deactivate the     damaging agent. In some examples, the sanitizing agent is ultraviolet     light configured to deactivate a virus such as SARS-CoV-2.</t>
  </si>
  <si>
    <t>US20210401084</t>
  </si>
  <si>
    <t>PROTECTIVE FACE MASK FOR ATTACHMENT TO PROTECTIVE EYE-WARE</t>
  </si>
  <si>
    <t>17/018354</t>
  </si>
  <si>
    <t>A strapless, personal protective face mask that includes glasses, a     nosepiece, and a mouth covering is described. The glasses are configured     to be worn by a user and includes a bridge. The face mask may include a     nosepiece having a curved body, an attachment portion disposed along the     top of the body, and an attachment feature configured to securely attach     the nosepiece to, for example, the bridge of the glasses. The mouth     covering extends from the bottom of the body and covers at least a     majority of the user's mouth. An embodiment having a transparent shield     over the zone about a user's mouth is also described.</t>
  </si>
  <si>
    <t>US20210401080</t>
  </si>
  <si>
    <t>TRANSPARENT FACIAL MASKS AND OTHER PROTECTIVE GEAR</t>
  </si>
  <si>
    <t>17/360105</t>
  </si>
  <si>
    <t>RAJASEKARAN AYYAPPAN K</t>
  </si>
  <si>
    <t>RAJASEKARAN AYYAPPAN</t>
  </si>
  <si>
    <t>RAJASEKARAN; Ayyappan K.; (Glen Mills, PA)</t>
  </si>
  <si>
    <t>A62B 23/025 20130101;  A41D 13/1115 20130101;  A41D 13/1209 20130101;  A41D 13/1161 20130101;  A41D 31/08 20190201</t>
  </si>
  <si>
    <t>Transparent facial masks of regenerated cellulose and other personal     protective gear such as gowns, booties, surgical caps, surgical drapes,     gloves and eyewear are provided.</t>
  </si>
  <si>
    <t>US20210400453</t>
  </si>
  <si>
    <t>Graphic-Link Interaction: A System and Modality for Verified Contact     Information Sharing</t>
  </si>
  <si>
    <t>16/904537</t>
  </si>
  <si>
    <t>DAVILA EZEQUIEL</t>
  </si>
  <si>
    <t>Davila; Ezequiel; (Lawrence, MA)</t>
  </si>
  <si>
    <t>G06F 3/017 20130101;  H04M 1/72427 20210101;  H04M 1/72412 20210101;  H04W 4/80 20180201;  H04W 8/22 20130101;  H04W 4/02 20130101</t>
  </si>
  <si>
    <t>It is my privilege and honor to disclose the current invention as an     affordable public health utility which supports widely enforced social     distancing standards during the Covid-19 Pandemic. The contained disclosure enables smart device users to engage one     another, in conjunction, and according to their environments confidently,     conveniently, and efficiently via low energy peripheral wireless     connectivity potentials (currently standard) within the relevant     technical field. The contained disclosure enables a universal lexicon and modality for     smart device users to share and receive infinite and dynamic contact     information. The invention disclosed is so vastly applicable, due to its     physical convenience, that it may, if accepted, shape communications and     consumer culture(s) globally into the future.</t>
  </si>
  <si>
    <t>US20210399873</t>
  </si>
  <si>
    <t>PRIVACY ENHANCED PROXIMITY TRACKER</t>
  </si>
  <si>
    <t>17/337935</t>
  </si>
  <si>
    <t>DUALITY TECHNOLOGIES, INC.</t>
  </si>
  <si>
    <t>DUALITY</t>
  </si>
  <si>
    <t>Duchin; Zohar; (Hertzeliya, IL)</t>
  </si>
  <si>
    <t>H04L 63/0421 20130101;  H04L 9/006 20130101;  H04L 9/008 20130101</t>
  </si>
  <si>
    <t>A device, system and method for privacy enhanced proximity detection by     secure collaboration between a first party without access to user     locations and a second party without access to a target user identifier.     The second party may receive from the first party a homomorphic     encryption public key and homomorphic encrypted target user identifier or     masked target location, and may determine an associated homomorphic     encrypted target user location. The second party may search a     homomorphically encrypt database of user locations and associated user     identifiers for homomorphic encrypted proximate user identifiers     associated with homomorphic encrypted user locations proximate to the     homomorphic encrypted target user location. The second party may send the     first user the search result of homomorphic encrypted proximate user     identifiers to be decrypted by the first party with a private key to     identify proximate user identifiers without knowing their locations.</t>
  </si>
  <si>
    <t>US20210398691</t>
  </si>
  <si>
    <t>METHODS AND SYSTEMS FOR REDUCING A RISK OF SPREAD OF DISEASE AMONG PEOPLE     IN A SPACE</t>
  </si>
  <si>
    <t>17/328356</t>
  </si>
  <si>
    <t>DHAMIJA; VIJAY; (Cumming, GA); ESWARA; LALITHA M.; (Bangalore, IN); SHAIK; ISMAIEL; (Bangalore, IN); BALASUBRAMANIAN; MOURIAN; (Bangalore, IN); JAIN; ABHISEKH; (Madurai, IN); SONKAMBLE; SIDDHARTH; (Mumbai, IN); CHAURASIA; JITENDRA; (Bengaluru, IN); THOMAS; MANU; (Pandalam, IN)</t>
  </si>
  <si>
    <t>G06K 9/00718 20130101;  G16H 50/80 20180101;  G06K 9/00335 20130101;  G06K 9/00778 20130101;  G06K 2009/00738 20130101;  G16H 40/20 20180101</t>
  </si>
  <si>
    <t>Methods and systems for location tracking or maintaining a count of     people in a building or space. An illustrative method may include storing     a background image of a field of view of a video camera and receiving a     video stream from the video camera. Background subtraction may be     performed to identify one or more blobs in the field of view of the video     camera. The size of the one or more blobs may be compared to an expected     size of the blob at a similar distance from the camera. When the size of     the blob is greater than the expected size of a person at the determined     distance of the corresponding blob by more than a predetermined threshold     the blob may be counted as two or more people.</t>
  </si>
  <si>
    <t>US20210398690</t>
  </si>
  <si>
    <t>DEVICES, SYSTEMS, AND METHODS FOR ASSESSING FACILITY COMPLIANCE WITH     INFECTIOUS DISEASE GUIDANCE</t>
  </si>
  <si>
    <t>17/314565</t>
  </si>
  <si>
    <t>Gibson; Adam Robert; (Brunswick, AU); Palanivel; Rajkumar; (Eden Prairie, MN); Ranjan; Prabhat; (Bangalore, IN); Towler; Kelvin Paul; (Barnham, GB); Paix; Kendall; (Cherrybrook, AU); Salgar; Mayur Sidram; (Bangalore, IN); Karmakar; Sheeladitya; (Bangalore, IN); Sharma; Manish; (Alpharetta, GA)</t>
  </si>
  <si>
    <t>G16H 50/30 20180101;  G16H 50/80 20180101;  G16H 20/00 20180101</t>
  </si>
  <si>
    <t>Devices, methods, and systems for monitoring and/or assessing compliance     with infectious disease guidance for reducing infectious disease     transmissions are described herein. The systems may include sensing     devices at or within a facility and computing devices to compare data     based on outputs from the sensing devices with guidance and/or     recommendations for mitigating infectious disease transmission. Various     compliance parameters may be identified as being relevant to the     guidelines and measurable with outputs from the sensing devices. Various     compliance parameters may be identified as being relevant to the     guidelines, but not measurable with outputs from the sensing devices. The     compliance parameters may be individually scored or scored in groups,     including the compliance parameters not measureable with outputs from the     sensing devices, and a score relative to a facility or group of     facilities may be provided. The scores may be presented to via a     dashboard.</t>
  </si>
  <si>
    <t>US20210398680</t>
  </si>
  <si>
    <t>COVID-19 SCREENING SYSTEM, APPARATUS, METHOD, AND GRAPHICAL USER INTERFACE</t>
  </si>
  <si>
    <t>17/360991</t>
  </si>
  <si>
    <t>Luminar Technologies</t>
  </si>
  <si>
    <t>LUMINAR</t>
  </si>
  <si>
    <t>Velamuri; Narasimheswara Sarma; (Houston, TX)</t>
  </si>
  <si>
    <t>G16H 50/20 20180101;  G16H 40/67 20180101;  G16H 50/30 20180101</t>
  </si>
  <si>
    <t>Disclosed is a computer-implemented method and system for screening     people for COVID-19. The method entails receiving data relating to a     person in a computing system including a processor and memory coupled to     the processor. The memory stores programmable instructions executable by     the processor. The presence of COVID-19 is determined based on the data.     The data is received using a graphical user interface.</t>
  </si>
  <si>
    <t>US20210398659</t>
  </si>
  <si>
    <t>METHODS AND SYSTEMS FOR CONTACT TRACING OF OCCUPANTS OF A FACILITY</t>
  </si>
  <si>
    <t>17/304217</t>
  </si>
  <si>
    <t>Sharma; Rajeev; (Charlotte, NC); Grewal; Amit; (Charlotte, NC); Eswara; Lalitha M; (Charlotte, NC); Rajamanickam; Dinesh Babu; (Charlotte, NC); Madhusuthanan; Sunil; (Charlotte, NC)</t>
  </si>
  <si>
    <t>G16H 40/20 20180101</t>
  </si>
  <si>
    <t>A contact tracing system and method identifies which persons at a     facility may have been exposed to a possibly contagious person. In some     examples, multiple sensors, such as access card readers and cameras with     video and thermographic imaging, monitor individuals at the facility. For     each person, the system collects data pertaining to an individual's     location and/or temperature at discrete points in time. In addition to     collecting data throughout the day, data is also collected over an     extended period of days or weeks. Based on data recorded during the     extended periods, the system determines each person's typical schedule     and travel pattern through the facility. When one or more sensors detect     a possibly contagious person by sensing a fever, or even a gradually     rising body temperature, the system searches for person's whose typical     schedule and travel patterns overlap with those of the contagious person.     The system then automatically notifies people accordingly.</t>
  </si>
  <si>
    <t>US20210398654</t>
  </si>
  <si>
    <t>AUTOMATIC DETECTION OF COVID-19 IN CHEST CT IMAGES</t>
  </si>
  <si>
    <t>16/946435</t>
  </si>
  <si>
    <t>Chaganti; Shikha; (Princeton, NJ); Grbic; Sasa; (Plainsboro, NJ); Georgescu; Bogdan; (Princeton, NJ); Chabin; Guillaume; (Paris, FR); Re; Thomas; (Monroe, NJ); Yoo; Youngjin; (Princeton, NJ); Flohr; Thomas; (Braunschweig, DE); Ziebandt; Valentin; (Nuremberg, DE); Comaniciu; Dorin; (Princeton Junction, NJ)</t>
  </si>
  <si>
    <t>G16H 30/40 20180101;  G06T 2207/30061 20130101;  G16H 50/70 20180101;  G06K 9/6219 20130101;  G06N 20/00 20190101;  G06T 7/0014 20130101;  G06T 7/174 20170101;  G06N 5/003 20130101;  G06T 2207/10081 20130101;  G06T 2207/20216 20130101;  G06N 7/005 20130101;  G06K 9/6215 20130101;  G06K 9/6277 20130101</t>
  </si>
  <si>
    <t>US20210398230</t>
  </si>
  <si>
    <t>SYSTEMS AND METHODS FOR REDUCING RISK OF PATHOGEN EXPOSURE WITHIN A SPACE</t>
  </si>
  <si>
    <t>16/907018</t>
  </si>
  <si>
    <t>Gupta; Bhavesh; (Niantic, CT); Ranjan; Prabhat; (Bangalore, IN)</t>
  </si>
  <si>
    <t>G06Q 50/163 20130101;  A61L 2209/111 20130101;  G16H 50/20 20180101;  A61L 2/24 20130101;  G06Q 10/06312 20130101;  G16H 40/67 20180101;  G16H 50/30 20180101;  F24F 2110/50 20180101;  G07C 9/00 20130101;  A61L 2209/16 20130101;  F24F 11/00 20130101;  A61L 9/20 20130101;  G16H 50/80 20180101;  A61L 2/26 20130101;  G06Q 50/12 20130101;  G16H 40/20 20180101;  G05B 13/0265 20130101;  A61L 2202/11 20130101;  A61L 2202/25 20130101;  A61L 2202/14 20130101;  G06Q 10/0635 20130101;  A61L 2/10 20130101</t>
  </si>
  <si>
    <t>A system reduces risk of pathogen exposure within a space that is located     within a facility having a plurality of spaces that periodically have one     or more people within the space. The system includes one or more     occupancy sensors that are configured to provide an indication of when     the space is occupied and when the space is not occupied. A sanitizer is     configured to sanitize surfaces within the space when activated. A     controller is operably coupled with the one or more occupancy sensors and     the sanitizer. The controller is configured to determine a designated     time to sanitize the space based at least in part upon information     received from the one or more occupancy sensors and to automatically     instruct the sanitizer to sanitize surfaces within the space at the     designated time.</t>
  </si>
  <si>
    <t>US20210397213</t>
  </si>
  <si>
    <t>SMARTWEARABLES WITH EMBEDDED NFC (NEAR FIELD COMMUNICATION) AND VITAL     HEALTH SENSORS WITH MOBILE/CLOUD DATA AND ULTRA VIOLET GERMICIDAL     IRRADIATION (UVGI) TECHNOLOGIES</t>
  </si>
  <si>
    <t>16/904996</t>
  </si>
  <si>
    <t>Kariguddaiah; Abijith; (Danville, CA)</t>
  </si>
  <si>
    <t>A61L 2/10 20130101;  G06F 1/163 20130101;  A61B 5/02438 20130101;  A61B 5/6804 20130101;  H04W 4/80 20180201;  H04W 4/38 20180201;  A61L 9/20 20130101</t>
  </si>
  <si>
    <t>The smart wearable with embedded NFC (Near Field Communication) tags,     vital health sensors and UV-C germicidal irradiation sources is provided     for Prevention of spread of pathogens. The smart wearables is any of a     hand glove, a footwear, a vest, a full body suit, a face mask, a footwear     cover or a smart portables where all the smart wearables includes a     plurality of re-programmable tags to facilitate touch less activities,     and a plurality of body health monitoring sensors to monitor health of     the wearer in real time for early warning health mechanisms, an     Ultraviolet Germicidal Irradiation (UVGI) source to disinfect the     surfaces coming in contact with the smart wearables with maximum efficacy     and spread prevention. Further, the inner layer of the smart wearables     which makes contact with the skin of the wearer is made of a Celliant     synthetic polymer fabric material that traps the body's infrared energy     and cycle it back to improve oxygenation and resolve minor aches and     pains.</t>
  </si>
  <si>
    <t>US20210396755</t>
  </si>
  <si>
    <t>RAPID MULTIPLEXED SEROLOGICAL TEST</t>
  </si>
  <si>
    <t>17/220888</t>
  </si>
  <si>
    <t>GENALYTE, INC.</t>
  </si>
  <si>
    <t>GENALYTE</t>
  </si>
  <si>
    <t>Gunn, III; Lawrence Cary; (Encinitas, CA); Hockett, JR.; Richard Deane; (Carlsbad, CA); Mudumba; Sasi; (San Diego, CA)</t>
  </si>
  <si>
    <t>B01L 2300/0883 20130101;  B01L 2200/0689 20130101;  G06N 20/00 20190101;  G01N 2800/362 20130101;  B01L 2300/0819 20130101;  G01N 21/39 20130101;  B01L 2200/16 20130101;  G02B 6/2934 20130101;  G01N 2800/26 20130101;  B01L 3/502715 20130101;  B01L 2300/0663 20130101;  G01N 33/56983 20130101</t>
  </si>
  <si>
    <t>Disclosed herein are methods of performing multiplexed serological     immunoassays to detect multiple antigens in parallel to determine if a     patient has an infection or an immune disorder. Use of multiple antigens     in parallel increases specificity and/or sensitivity towards assaying the     infection or immune disorder. The infection may be a viral infection such     as a SARS-CoV-2 viral infection, a variant of a SARS-CoV-2 viral     infection, or a non-SARS-CoV-2 coronavirus infection. Also disclosed     herein are methods of performing the multiplexed serological immunoassays     on an optical ring resonator substrate. Also disclosed herein are methods     of detecting antibodies specific for an antigen that belong to more than     one immunoglobulin type.</t>
  </si>
  <si>
    <t>US20210396635</t>
  </si>
  <si>
    <t>INFECTIOUS DISEASE SCREENING SYSTEM</t>
  </si>
  <si>
    <t>17/466877</t>
  </si>
  <si>
    <t>A24F 40/50 20200101;  G01N 1/4077 20130101;  A61M 11/005 20130101;  C12Q 1/70 20130101;  C12Q 1/6806 20130101;  G01N 2001/4094 20130101</t>
  </si>
  <si>
    <t>An infectious disease screening system (1) for screening for infectious     diseases, such as COVID-19 disease. The system comprises an ultrasonic     transducer (49) for generating ultrasonic waves to lyse cells in a     biological sample. The system (1) comprises a controller which controls     the ultrasonic transducer (49) to oscillate at an optimum frequency for     cell lysis, a PCR apparatus (16) which receives and amplifies the DNA     from the sample; and a detection apparatus (70) which detects the     presence of an infectious disease in the amplified DNA and provides an     output which is indicative of whether or not the detection arrangement     (70) detects the presence of an infectious disease in the amplified DNA.</t>
  </si>
  <si>
    <t>US20210395810</t>
  </si>
  <si>
    <t>Processes to Detect Coronaviruses</t>
  </si>
  <si>
    <t>16/996154</t>
  </si>
  <si>
    <t>BENNER, STEVEN</t>
  </si>
  <si>
    <t>BENNER STEVEN</t>
  </si>
  <si>
    <t>BENNER; Steven A; (Gainesville, FL); Yaren; Ozlem; (Gainesville, FL)</t>
  </si>
  <si>
    <t>C12Q 2521/107 20130101;  C12Q 1/6853 20130101;  C12Q 2565/60 20130101;  C12Q 2563/107 20130101;  C12Q 1/6876 20130101</t>
  </si>
  <si>
    <t>Processes and devices are disclosed that detect RNA and DNA in a sample,     including without limitation RNA from coronaviruses, with said processes     generating a fluorescent signal if a segment of a specific RNA molecule     is present in a sample.</t>
  </si>
  <si>
    <t>US20210395744</t>
  </si>
  <si>
    <t>17/350114</t>
  </si>
  <si>
    <t>C12N 2320/32 20130101;  A61K 31/198 20130101;  C12N 2310/322 20130101;  A61P 31/14 20180101;  C12N 2310/3517 20130101;  C12Y 304/17023 20130101;  A61K 31/4415 20130101;  C12N 15/86 20130101;  C12N 2750/14143 20130101;  A61K 31/375 20130101;  A23V 2002/00 20130101;  C12N 15/1131 20130101;  A61K 31/593 20130101;  C12N 2310/14 20130101;  A61K 36/534 20130101;  A61K 31/714 20130101;  A61K 33/30 20130101;  A61K 38/4813 20130101;  A61K 31/7088 20130101;  A61K 48/00 20130101;  A23L 33/18 20160801;  C12N 2310/321 20130101</t>
  </si>
  <si>
    <t>US20210395652</t>
  </si>
  <si>
    <t>TEXTILE TREATMENT COMPOSITIONS</t>
  </si>
  <si>
    <t>17/347537</t>
  </si>
  <si>
    <t>ANGRES, ISAAC, PHD</t>
  </si>
  <si>
    <t>ANGRES ISAAC</t>
  </si>
  <si>
    <t>Smyth; Bruce; (Byron Bay, AU); Bralkowski; Michael; (Lexington, NC)</t>
  </si>
  <si>
    <t>A61L 2300/404 20130101;  A61L 2300/208 20130101;  A61L 15/44 20130101;  C11D 11/0017 20130101;  C11D 3/0015 20130101;  C11D 3/48 20130101;  A01N 55/00 20130101;  A01N 25/10 20130101;  C11D 3/30 20130101;  C11D 3/32 20130101;  A62B 23/025 20130101;  A01N 25/08 20130101</t>
  </si>
  <si>
    <t>A novel liquid composition that provides antimicrobial and antiviral     disinfection containing a quaternary ammonium salt fabric softener and a     quaternary silicon compound which can be applied in a washing machine     during the rinse cycle. The mixture is efficacious against most bacteria,     virus and micro-organism. The dispensing in the wash cycle and machine     drying sets the mixture into the fabric for residual efficacy. The     compounds provide for softening and deodorizing of textiles garments. In     addition, the compounds provide for sanitizing and extended residual     sanitized efficacy for textiles garments. The compounds provide efficacy     against many common virus, bacteria, including MRSA.</t>
  </si>
  <si>
    <t>US20210395345</t>
  </si>
  <si>
    <t>Methods for Treating or Preventing SARS-CoV-2 Infections and COVID-19 with     Anti-SARS-CoV-2 Spike Glycoprotein Antibodies</t>
  </si>
  <si>
    <t>17/337396</t>
  </si>
  <si>
    <t>Ganguly; Samit; (Elmsford, NY); Hamilton; Jennifer; (Ridgefield, CT); Herman; Gary; (Princeton, NJ); Hooper; Andrea; (Port Chester, NY); Isa; Flonza; (Yonkers, NY); O'Brien; Meagan; (New York, NY); Sivapalasingam; Sumathi; (Brooklyn, NY); Turner; Kenneth; (Ridgefield, CT); Forleo Neto; Eduardo; (Greenwich, CT)</t>
  </si>
  <si>
    <t>A61K 2039/54 20130101;  A61K 39/42 20130101;  C07K 2317/33 20130101;  A61P 31/14 20180101;  C07K 16/10 20130101;  C07K 2317/565 20130101;  A61K 31/706 20130101;  C07K 16/2866 20130101;  A61K 9/0019 20130101;  C07K 2317/76 20130101;  A61K 45/06 20130101;  A61K 2039/507 20130101</t>
  </si>
  <si>
    <t>The present invention provides methods for preventing and treating     SARS-CoV-2 infections, COVID-19, or symptoms thereof. The methods of the     invention feature the administration of one or more antigen-binding     molecules (e.g., antibodies) that bind a surface protein of SARS-CoV-2     (e.g., spike protein).</t>
  </si>
  <si>
    <t>US20210393996</t>
  </si>
  <si>
    <t>PROTECTIVE FACE COVERINGS</t>
  </si>
  <si>
    <t>17/102601</t>
  </si>
  <si>
    <t>SLEEVZ INC.</t>
  </si>
  <si>
    <t>SLEEVZ</t>
  </si>
  <si>
    <t>Bernstein; Julianne; (Birmingham, AL); Bernstein; Scott Joseph; (Birmingham, AL)</t>
  </si>
  <si>
    <t>A41D 31/30 20190201;  A41D 13/1107 20130101;  A62B 23/02 20130101;  A62B 7/10 20130101;  A62B 18/084 20130101;  A41D 13/1161 20130101;  A62B 18/025 20130101</t>
  </si>
  <si>
    <t>Face coverings that protect the facial T-Zone region (i.e., eyes, nose,     and mouth) from airborne transmission of infectious and other harmful     particles are disclosed. The face coverings disclosed herein are designed     to attach to the temples, frames, and/or the bridge of eyewear, which     provides protection for the eyes of the wearer and dispenses of the need     to adjust straps traditionally found on face masks. The face coverings     may be converted to different configurations depending on the amount of     protection and comfort desired by the wearer. For example, the face     coverings disclosed herein can convert from a free-hanging position to a     more protective configuration in which the mask conforms closely to the     face of the wearer.</t>
  </si>
  <si>
    <t>US20210393769</t>
  </si>
  <si>
    <t>CORONAVIRUS VACCINE AND METHODS OF USE THEREOF</t>
  </si>
  <si>
    <t>17/341928</t>
  </si>
  <si>
    <t>GILL DAVINDER</t>
  </si>
  <si>
    <t>Gill; Davinder; (Andover, MA)</t>
  </si>
  <si>
    <t>C12N 7/00 20130101;  C12N 2730/10123 20130101;  C12N 2730/10134 20130101;  C12N 2770/20023 20130101;  C12N 2770/20034 20130101;  A61K 2039/5258 20130101;  A61K 39/215 20130101;  A61P 31/14 20180101</t>
  </si>
  <si>
    <t>An immunogenic composition effective for eliciting an immune response     against cells that present coronavirus S protein and/or coronavirus M     protein derived antigens on a virus-like-particle (VLP) system. In a     method embodiment, the antigen presenting VLP is administered to a     mammal, such as a human, to elicit an immune response against coronavirus     S protein and/or coronavirus M protein. A preferred method embodiment may     include at least one additional dose of immunogenic composition to     enhance the immune response effectiveness of the coronavirus vaccine.</t>
  </si>
  <si>
    <t>US20210393743</t>
  </si>
  <si>
    <t>Use of IL13 for prevention and treatment of COVID19</t>
  </si>
  <si>
    <t>17/334746</t>
  </si>
  <si>
    <t>DESAI KETAN</t>
  </si>
  <si>
    <t>Desai; Ketan; (Easton, PA)</t>
  </si>
  <si>
    <t>A61P 31/14 20180101;  A61K 47/6911 20170801;  A61K 47/6951 20170801;  A61K 45/06 20130101;  A61K 38/2086 20130101;  A61K 47/62 20170801;  A61K 48/00 20130101;  A61K 35/16 20130101</t>
  </si>
  <si>
    <t>A method of use for prevention and treatment of COVID-19 using IL13 is     described.</t>
  </si>
  <si>
    <t>US20210393663</t>
  </si>
  <si>
    <t>PHARMACEUTICAL FORMULATION CONTAINING ACTIVE METABOLITES OF REMDESIVIR OR     ITS ANALOG FOR INHALATION</t>
  </si>
  <si>
    <t>17/354702</t>
  </si>
  <si>
    <t>ANOVENT PHARMACEUTICAL (U.S.), LLC</t>
  </si>
  <si>
    <t>ANOVENT PHARMACEUTICAL</t>
  </si>
  <si>
    <t>Huang; Cai Gu; (Shrewsbury, MA); He; Ning; (Shanghai, CN)</t>
  </si>
  <si>
    <t>A61K 47/40 20130101;  A61K 9/08 20130101;  A61K 31/7064 20130101;  A61K 47/186 20130101;  A61K 9/0078 20130101;  A61K 47/02 20130101</t>
  </si>
  <si>
    <t>The present invention relates to a liquid pharmaceutical formulation and     a method for administering the pharmaceutical formulation by nebulizing     the pharmaceutical formulation with an inhaler. The propellant-free     pharmaceutical formulation comprises: (a) an active substance selected     from the group consisting of alanine metabolite, nucleoside     monophosphate, nucleoside triphosphate, and GS-441524; (b) a solvent; (c)     a pharmacologically acceptable solubilizing agent; (d) a     pharmacologically acceptable preservative; and (e) a pharmacologically     acceptable stabilizer.</t>
  </si>
  <si>
    <t>US20210393659</t>
  </si>
  <si>
    <t>METHODS FOR TREATING ARENAVIRIDAE AND CORONAVIRIDAE VIRUS INFECTIONS</t>
  </si>
  <si>
    <t>17/222066</t>
  </si>
  <si>
    <t>Clarke; Michael O`Neil Hanrahan; (Redwood City, CA); Feng; Joy Yang; (Hillsborough, CA); Jordan; Robert; (Foster City, CA); Mackman; Richard L.; (Millbrae, CA); Ray; Adrian S.; (Burlingame, CA); Siegel; Dustin; (Half Moon Bay, CA)</t>
  </si>
  <si>
    <t>A61K 31/706 20130101;  A61K 31/7056 20130101</t>
  </si>
  <si>
    <t>Provided are methods for treating Arenaviridae and Coronaviridae virus     infections by administering nucleosides and prodrugs thereof, of Formula     I:  ##STR00001## wherein the 1' position of the nucleoside sugar is substituted. The     compounds, compositions, and methods provided are particularly useful for     the treatment of Lassa virus and Junin virus infections.</t>
  </si>
  <si>
    <t>US20210393653</t>
  </si>
  <si>
    <t>REMDESIVIR TREATMENT METHODS</t>
  </si>
  <si>
    <t>17/333389</t>
  </si>
  <si>
    <t>Cihlar; Tomas; (Burlingame, CA)</t>
  </si>
  <si>
    <t>A61K 31/675 20130101;  A61P 31/14 20180101</t>
  </si>
  <si>
    <t>Provided herein are methods of treating or preventing a viral infection     in a subject comprising administering a compound of Formula I, Formula     Ia, or Formula Ib, or a pharmaceutically acceptable salt thereof, wherein     the subject is not being treated with chloroquine, or an analog or salt     thereof.</t>
  </si>
  <si>
    <t>US20210393580</t>
  </si>
  <si>
    <t>PROCYANIDINS FOR THE TREATMENT OF ENDOTHELIAL DYSFUNCTION TRIGGERED BY     COVID-19</t>
  </si>
  <si>
    <t>17/347879</t>
  </si>
  <si>
    <t>HORPHAG RESEARCH LIMITED</t>
  </si>
  <si>
    <t>HORPHAG RESEARCH</t>
  </si>
  <si>
    <t>FERRARI; Victor; (Cointrin, CH); BURKI; Carolina; (Cointrin, CH); WEICHMANN; Franziska; (Cointrin, CH)</t>
  </si>
  <si>
    <t>A61K 31/192 20130101;  A61K 36/87 20130101;  A61P 31/14 20180101;  A61K 36/15 20130101;  A61K 36/45 20130101;  A61K 36/185 20130101;  A61K 36/73 20130101;  A61K 31/365 20130101;  A61K 9/0053 20130101;  A61K 31/353 20130101</t>
  </si>
  <si>
    <t>A composition that includes procyanidins for use in the prevention or     treatment of endothelial inflammation and/or endothelial systemic     dysfunction triggered by Corona virus disease 2019 (COVID-19) including     for use in treating symptomatic post-COVID-19 subjects recovering from     COVID-19.</t>
  </si>
  <si>
    <t>US20210393564</t>
  </si>
  <si>
    <t>METHODS OF USING PROBENECID FOR TREATMENT OF CORONAVIRUS INFECTIONS</t>
  </si>
  <si>
    <t>17/465932</t>
  </si>
  <si>
    <t>Tripp; Ralph A.; (Watkinsville, GA); Murray; Jackelyn; (Monroe, GA); Hogan; Robert Jeff; (Watkinsville, GA)</t>
  </si>
  <si>
    <t>A61P 31/14 20180101;  A61K 31/195 20130101;  A61K 9/0019 20130101;  A61K 9/0053 20130101</t>
  </si>
  <si>
    <t>Compositions and methods of treating a subject for a coronavirus     infection are provided. The methods typically include administering the     subject an effective amount of probenecid, a metabolite or analog     thereof, or a pharmaceutically acceptable salt thereof. The methods can     by therapeutic and/or prophylactic. The amount of probenecid or a     pharmaceutically acceptable salt thereof can be effective to, for     example, reduce viral replication, reduce one or more symptoms of     disease, disorder, or illness associated with virus, or a combination     thereof. In preferred embodiments, the virus is a Severe acute     respiratory syndrome-related coronavirus such as SARS-CoV-2 or SARS-CoV,     a Middle East respiratory syndrome-related coronavirus such as MERS-CoV,     or a coronavirus that causes the common cold.</t>
  </si>
  <si>
    <t>US20210393129</t>
  </si>
  <si>
    <t>SYSTEMS AND METHODS FOR DETERMINING FACILITY EXPOSURE TO A SOURCE     CONDITION</t>
  </si>
  <si>
    <t>16/906173</t>
  </si>
  <si>
    <t>Clevenger; Nathan J.; (Burnsville, MN); Olson; Scott R.; (St. Paul, MN); Gregorich; Dino O.; (Alexandria, VA); Kowalski; Matthew Louis; (Merrick, NY)</t>
  </si>
  <si>
    <t>A61B 5/0022 20130101;  H04W 4/38 20180201;  G16H 50/80 20180101;  H04L 9/00 20130101;  H04W 4/029 20180201;  A61B 5/1122 20130101;  A61B 5/7275 20130101;  H04W 4/80 20180201;  A61B 2503/12 20130101;  G06F 16/00 20190101;  A61B 5/002 20130101;  H04W 12/00 20130101;  H04W 64/003 20130101;  A61B 5/1113 20130101;  G16H 40/67 20180101;  A61B 5/6898 20130101;  A61B 2503/20 20130101</t>
  </si>
  <si>
    <t>A method includes: obtaining, at a server, a diagnosis key published by a     tracing service, the diagnosis key associated with a source device;     identifying one or more detected proximity identifiers associated with     the diagnosis key; identifying one or more affected network detection     devices associated with the one or more detected proximity identifiers;     retrieving, from a repository, device data for the one or more affected     network devices, the device data identifying a facility of the one or     more affected network devices; and generating facility exposure data for     the facility, the facility exposure data defining exposure associated     with the source device at the facility.</t>
  </si>
  <si>
    <t>US20210393016</t>
  </si>
  <si>
    <t>PERSONAL-CARE-PRODUCT DISPENSING CONTAINER</t>
  </si>
  <si>
    <t>17/347120</t>
  </si>
  <si>
    <t>Down, Ann Marie; Echeverria, Carlos Alfredo Arias</t>
  </si>
  <si>
    <t>DOWN ANN</t>
  </si>
  <si>
    <t>Down; Ann Marie; (Lynnwood, WA); Echeverria; Carlos Alfredo Arias; (Lynnwood, WA)</t>
  </si>
  <si>
    <t>A45D 2200/055 20130101;  A45D 2034/007 20130101;  A45D 34/04 20130101;  A47K 5/1205 20130101</t>
  </si>
  <si>
    <t>The current document is directed to personal-care-product dispensing     containers that are space-efficient and convenient to use, particularly     in automobiles and other vehicles. In one implementation, a     hand-sanitizer dispensing container is incorporated into a cup holder     that can be inserted into a standard cup holder within an automobile or     other vehicle. In this way, the hand-sanitizer dispensing container is     well anchored and available for convenient use, but does not occupy the     cup holder in a way that prevents its use for holding cups, takes up very     little space, and does not contribute to clutter or represent a     management problem. Additional implementations include multiple     dispensing containers incorporated within a single cup holder that can be     used to contain and dispense various different types of lotions,     solutions, liquids, and gels.</t>
  </si>
  <si>
    <t>US20210391089</t>
  </si>
  <si>
    <t>METHODS AND SYSTEMS FOR REDUCING A RISK OF SPREAD OF AN ILLNESS IN A     BUILDING</t>
  </si>
  <si>
    <t>17/328276</t>
  </si>
  <si>
    <t>Eswara; Lalitha M.; (Bangalore, IN); Shaik; Ismaiel; (Bangalore, IN); Hanumegowda; Bhavya; (Bangalore, IN); Venugopalan; Sunil; (Bangalore, IN); Chaurasia; Jitendra; (Bengaluru, IN); Balasubramanian; Mourian; (Bangalore, IN); Dhayalan; Sivasanthanam; (Bangalore, IN); Periyasamy; Thiyagarajan; (Charlotte, NC)</t>
  </si>
  <si>
    <t>G06K 9/00718 20130101;  G16H 50/30 20180101;  G06K 2009/00738 20130101;  G16H 50/80 20180101;  G06K 9/00778 20130101;  G16H 40/20 20180101</t>
  </si>
  <si>
    <t>Methods and systems for reducing a risk of spread of an illness in a     building. In one example, a method for monitoring a risk of spread of an     illness in a building may comprise capturing video of a surveilled area     in the building, identifying individuals in the captured video and     performing behavior analytics on the individuals identified in the     captured video. The behavior analytics may include determining a risky     behavior metric that identifies a measure of risky behavior of the     individuals identified in the captured video that is based at least in     part on a distance between two of the individuals identified in the     captured video and a time that the distance between the two of the     individuals is below a predetermined distance threshold. An alert may be     issued when the risky behavior metric exceeds a risk threshold.</t>
  </si>
  <si>
    <t>US20210390836</t>
  </si>
  <si>
    <t>BASE FOR TABLE TOP SANITIZER DISPENSING BOTTLES AND DISPENSER BOTTLES</t>
  </si>
  <si>
    <t>17/344452</t>
  </si>
  <si>
    <t>GOJO INDUSTRIES, INC.</t>
  </si>
  <si>
    <t>GOJO INDUSTRIES</t>
  </si>
  <si>
    <t>Marshall; Aaron D.; (Silver Lake, OH); Smith; Mark T.; (Canton, OH); Brown; Paul J.; (Independence, OH); Reynolds; Aaron R.; (North Canton, OH); Kanfer; Joseph S.; (Richfield, OH); Buell; Shelby Jay; (Medina, OH); Ray; Eugene W.; (Akron, OH)</t>
  </si>
  <si>
    <t>A47K 2005/1218 20130101;  G08B 7/06 20130101;  A47K 5/1208 20130101</t>
  </si>
  <si>
    <t>Table top sanitizer dispenser bottle bases are disclosed herein. An     exemplary table top sanitizer dispenser bottle base includes a movable     upper housing, the upper moveable housing has a floor with an aperture     located therein and a peripheral wall. The top sanitizer dispenser bottle     includes a lower stationary housing. The upper movable housing is     connected to the lower stationary housing and is configured to move     linearly upward and downward with respect to lower stationary. One or     more biasing members bias the upper movable housing upward. A switch is     included and the upper movable housing has an engagement member or     surface for actuating the switch upon downward movement of the upper     movable housing. At least one of a visual indicator and an audible     indicator are also included. Control circuitry is provided for activating     the one or more of a visual indicator and audible indicator when the     engagement member actuates the switch.</t>
  </si>
  <si>
    <t>US20210390812</t>
  </si>
  <si>
    <t>METHODS AND SYSTEMS FOR MAINTAINING A HEALTHY BUILDING</t>
  </si>
  <si>
    <t>17/336985</t>
  </si>
  <si>
    <t>Chaurasia; Jitendra Sitaram; (Bengaluru, IN); Kalirajan; ArunManikanda; (Madurai, IN); Balasubramanian; Mourian; (Bangalore, IN); Pham; Hai; (Eden Prairie, MN); Jahagirdar; Manik; (Edina, MN); Eswara; Lalitha M.; (Bangalore, IN); Shaik; Ismaiel; (Bangalore, IN); Dhayalan; Sivasanthanam; (Bangalore, IN); Hanumegowda; Bhavya; (Bangalore, IN); KC; Govindaraju; (Bangalore, IN); Salgar; Mayur; (Charlotte, NC); Karmakar; Sheeladitya; (Bangalore, IN); Dhamija; Vijay; (Cummings, GA)</t>
  </si>
  <si>
    <t>G07C 9/22 20200101;  G01J 5/0025 20130101;  G07C 9/28 20200101;  G07C 9/27 20200101;  G06K 9/00778 20130101;  G16H 50/30 20180101</t>
  </si>
  <si>
    <t>Methods and systems for maintaining a healthy building. In one example,     an access card reader for controlling access to a secure area may     comprise a card reader for reading an access card identifier from an     access card presented by a user, a touchless thermal sensor for sensing a     skin temperature of the user, a memory, and a controller operatively     coupled to the card reader, the touchless thermal sensor and the memory.     In response to a user presenting an access card to the card reader, the     controller may be configured to store in the memory the access card     identifier read by the card reader along with a corresponding skin     temperature of the user. In another example, a system may be configured     to perform contact tracing when an occupant has been identified as     displaying signs of an illness</t>
  </si>
  <si>
    <t>US20210390807</t>
  </si>
  <si>
    <t>OCCUPANT HEALTH MONITORING FOR BUILDINGS</t>
  </si>
  <si>
    <t>17/308471</t>
  </si>
  <si>
    <t>Chaurasia; Jitendra; (Bengaluru, IN); Balasubramanian; Mourian; (Bangalore, IN); Jain; Abhisekh; (Madurai, IN); Selvaraj; Ganeshkumar; (Bangalore, IN); Rajamanickam; Dinesh babu; (Thanjavur, IN); Madhusuthanan; Sunil; (Nagercoil, IN)</t>
  </si>
  <si>
    <t>G07C 9/00563 20130101;  G16H 40/20 20180101;  G16H 50/80 20180101</t>
  </si>
  <si>
    <t>Methods and systems for monitoring occupant health within a building. An     illustrative method may include storing one or more illness behavioral     models, capturing and storing over time a history of behaviors for each     of a plurality of occupants of the building, identifying one or more     current behaviors of a particular one of the plurality of occupants,     determining whether the current behaviors of the occupant match one or     more of the behaviors defined in the one or more illness behavioral     models, determining whether the current behaviors of the occupant deviate     from behaviors captured and stored in the history of behaviors for the     occupant, and issuing an alert directing that the occupant undergo     additional health screening when the current behaviors of the occupant     match one or more of the behaviors defined in the illness behavioral     models or deviate from behaviors captured and stored in the history of     behaviors for the occupant.</t>
  </si>
  <si>
    <t>US20210390804</t>
  </si>
  <si>
    <t>METHODS AND SYSTEMS FOR TEMPERATURE SCREENING USING A MOBILE DEVICE</t>
  </si>
  <si>
    <t>17/314731</t>
  </si>
  <si>
    <t>Rajamanickam; Dinesh babu; (Thanjavur, IN); Madhusuthanan; Sunil; (Nagercoil, IN)</t>
  </si>
  <si>
    <t>G07C 9/00182 20130101;  A61B 5/746 20130101;  G01J 5/0025 20130101;  A61B 5/015 20130101;  A61B 5/0013 20130101;  A61B 5/742 20130101;  G01J 2005/0077 20130101;  A61B 5/7405 20130101;  A61B 5/0077 20130101</t>
  </si>
  <si>
    <t>Methods and systems for temperature screening using a mobile device. In     one example, a mobile temperature screening system may comprise a mobile     device including a display, a memory, a processor, a thermal imaging     camera, a visible light imaging camera, and a wireless communication     capability. The processor may be configured to obtain a thermal image of     a person and a visible light image of the person, determine a body     temperature of the person based at least in part on the thermal image,     and classify the person as having a normal body temperature when the body     temperature of the person is below a threshold temperature. When the body     temperature of the person exceeds the threshold temperature the processor     may be configured to classify the person as having an elevated body     temperature, generate a visual alert, and transmit the thermal image, the     visible light image and the classification to a remote device.</t>
  </si>
  <si>
    <t>US20210390508</t>
  </si>
  <si>
    <t>System For Controlling The Spread Of Infectious Diseases</t>
  </si>
  <si>
    <t>17/345711</t>
  </si>
  <si>
    <t>KOLLURI BIPIN</t>
  </si>
  <si>
    <t>KOLLURI; Bipin; (Fairview, TX)</t>
  </si>
  <si>
    <t>A61B 5/6887 20130101;  G06Q 10/105 20130101;  G16H 50/20 20180101;  A61B 2503/20 20130101;  G16H 50/80 20180101;  G16H 40/20 20180101;  G16H 10/40 20180101</t>
  </si>
  <si>
    <t>This invention relates to systems and methods for controlling the spread     of microorganism infections or infectious disease. Present invention is     particularly directed to providing systems and methods that allow secure     distribution of self-expiring health badges to the subjects free of     Severe acute respiratory syndrome coronavirus 2 (SARS-CoV-2) infection.     Individuals desirious of reducing the risks of infection and preventing     the spread of such diseases participate in the testing program whereby     regular periodic screening tests are performed to indicate the infection     status of each such individual. The self-expiring badge given to     infection-free individuals uses a time indicator and provides a clear     indication of expiration of the badge after a predetermined period of     time interval. Furthermore, the individuals may be employees of a     business entity and testing all employees periodically can provide an     infection-free work environment.</t>
  </si>
  <si>
    <t>US20210389322</t>
  </si>
  <si>
    <t>ASSAYS, SENSING PLATFORMS, AND METHODS FOR DIAGNOSIS OF CORONAVIRUS     INFECTION AND RE-INFECTION</t>
  </si>
  <si>
    <t>17/348665</t>
  </si>
  <si>
    <t>NIRMIDAS BIOTECH INC</t>
  </si>
  <si>
    <t>NIRMIDAS BIOTECH</t>
  </si>
  <si>
    <t>TANG; Meijie; (Cupertino, CA); DAI; Hongjie; (Cupertino, CA); LIU; Tiancheng; (Union City, CA); HSIUNG; Jessica; (Livermore, CA); KOST; Jessica; (Santa Clara, CA); SREEDHAR; Deepika; (San Jose, CA); ZHAO; Su; (Santa Clara, CA)</t>
  </si>
  <si>
    <t>G01N 2469/20 20130101;  G01N 2800/52 20130101;  G01N 2800/26 20130101;  G01N 21/6428 20130101;  G01N 2021/6439 20130101;  G01N 33/553 20130101;  G01N 33/56983 20130101</t>
  </si>
  <si>
    <t>Disclosed herein are methods for diagnosing or prognosticating SARS-CoV-2     infection and/or COVID-19 in a subject. The methods set forth improved     immunoassays, sensing platforms, and methods for detecting SARS-CoV-2     infection and re-infection.</t>
  </si>
  <si>
    <t>US20210388455</t>
  </si>
  <si>
    <t>Kobophenol A for the treatment of Corona Virus 2 (SARS-CoV-2) infection</t>
  </si>
  <si>
    <t>17/347261</t>
  </si>
  <si>
    <t>Gangadevi, Suresh; Na, Yin; Ke, Wang; Badavath, Vishnu Nayak</t>
  </si>
  <si>
    <t>GANGADEVI SURESH</t>
  </si>
  <si>
    <t>Gangadevi; Suresh; (Balayapalli Mandal, IN); Na; Yin; (Bengbu, CN); Ke; Wang; (Bengbu, CN); Badavath; Vishnu Nayak; (Indalwai Mandal, IN)</t>
  </si>
  <si>
    <t>The present disclosure relates to an in-silico analysis for inhibitors of     Severe Acute Respiratory Syndrome Corona Virus 2 (SARS-CoV-2). The     in-silico screening of Kobophenol A confirmed the effective binding at     two positions, firstly at ACE2/Spike interface and secondly at the     hydrophobic pocket by destabilizing the complex formation. Kobophenol A     inhibited the cell death caused by viral infection without inducing cell     toxicity in the absence of viral infection. The molecular dynamics of     Kobophenol A indicated the stability of binding of Kobophenol A through     hydrogen bond and stabilized at Y495 and K353 with an average distance of     2.95 .ANG.. The binding affinity of Kobophenol A to the ACE2/Spike     interface region and the ACE2 hydrophobic pocket is computed to be     -19.0.+-.4.3 and -24.9.+-.6.9 kcal/mol respectively. Kobophenol A is     useful as a potential drug for treatment of COVID-19.</t>
  </si>
  <si>
    <t>US20210388067</t>
  </si>
  <si>
    <t>17/405650</t>
  </si>
  <si>
    <t>Walker; Laura; (Lebanon, NH); Deveau; Laura; (Levanon, NH); Belk; Jonathan; (Lebanon, NH); Wec; Anna; (Lebanon, NH); Rappazzo; C. Garrett; (Lebanon, NH)</t>
  </si>
  <si>
    <t>C07K 2317/565 20130101;  C07K 2317/55 20130101;  C07K 16/10 20130101;  C07K 2317/76 20130101;  C07K 2317/622 20130101;  C07K 2317/54 20130101;  C07K 2317/92 20130101</t>
  </si>
  <si>
    <t>US20210388066</t>
  </si>
  <si>
    <t>Anti-Coronavirus Antibodies and Methods of Use</t>
  </si>
  <si>
    <t>17/354434</t>
  </si>
  <si>
    <t>WESTENDORF; Kathryn; (Vancouver, CA); ZENTELIS; Stefanie; (Vancouver, CA); MUTHURAMAN; Krithika; (Toronto, CA); JEPSON; Kevin; (Vancouver, CA); FALCONER; Ester; (Vancouver, CA); MASCOLA; John; (Bethesda, MD); GRAHAM; Barney; (Bethesda, MD); CORBETT; Kizzmekia; (Bethesda, MD); LEDGERWOOD; Julie; (Bethesda, MD); WANG; Lingshu; (Bethesda, MD); ABIONA; Olubukola; (Bethesda, MD); SHI; Wei; (Bethesda, MD); KONG; Wing-pui; (Bethesda, MD); ZHANG; Yi; (Bethesda, MD); JONES; Bryan Edward; (San Diego, CA); FOSTER; Denisa; (San Diego, CA); DAVIES; Julian; (La Jolla, CA); CHAI; Qing; (San Diego, CA); FRYE; Christopher Carl; (Bargersville, IN); GOPALRATHNAM; Ganapathy; (Fishers, IN); HENDLE; Jorg; (San Diego, CA); SAUDER; John Michael; (Carlsbad, CA); BOYLES; Jeffrey Streetman; (Indianapolis, IN); PUSTILNIK; Anna; (San Diego, CA)</t>
  </si>
  <si>
    <t>G01N 33/5091 20130101;  A61K 47/6801 20170801;  A61K 2039/505 20130101;  A61K 39/215 20130101;  C07K 16/10 20130101</t>
  </si>
  <si>
    <t>Antibodies that bind SARS-CoV spike protein, SARS-CoV-2 spike protein,     and methods of using same for treating or preventing conditions     associated with SARS or COVID-19 and for detecting SARS-CoV or     SARS-CoV-2.</t>
  </si>
  <si>
    <t>US20210388065</t>
  </si>
  <si>
    <t>ANTIBODIES TO SARS-CORONAVIRUS (COVID-19) S1 SPIKE PROTEIN</t>
  </si>
  <si>
    <t>17/053008</t>
  </si>
  <si>
    <t>ACTIVE MOTIF SHANGHAI LIMITED; SHANGHAI PUBLIC HEALTH CLINICAL CENTER; FUDAN UNIVERSITY; SHANGHAI PUBLIC HEALTH CLINICAL CENTER</t>
  </si>
  <si>
    <t>LU; Yanan; (Shanghai, CN); LAN; Fei; (Shanghai, CN); XU; Jianqing; (Shanghai, CN); ZHAO; Xi; (Shanghai, CN); DING; Longfei; (Shanghai, CN); WANG; Yongheng; (Shanghai, CN); WAN; Jinkai; (Shanghai, CN); XING; Shenghui; (Shanghai, CN); FERNANDEZ; Joseph; (Carlsbad, CA)</t>
  </si>
  <si>
    <t>C07K 2317/565 20130101;  G01N 33/56983 20130101;  C07K 16/10 20130101;  C07K 2317/34 20130101</t>
  </si>
  <si>
    <t>The present invention provides recombinant monoclonal antibodies that     bind to the Severe Acute Respiratory Syndrome-Coronavirus-2 (SARS-CoV-2     or COVID-19) spike protein, and methods of use. In various embodiments of     the invention, the antibodies are fully human antibodies that bind to     SARS-CoV-2 spike protein. In some embodiments, the antibodies of the     invention are useful for inhibiting or neutralizing SARS-CoV-2 activity,     thus providing a means of treating or preventing COVID-19 infection in     humans. In some embodiments, the invention provides for a combination of     one or more antibodies that bind to the SARS-CoV-2 spike protein for use     in treating COVID-19 infection. In certain embodiments, the one or more     antibodies bind to distinct non-competing epitopes comprised in the     receptor binding domain of the SARS-CoV-2 spike protein. In certain     embodiments, the antibodies of the invention can be used to make an in     vitro diagnostic for detection of COVID-19 in human and non-human animal     samples In still other embodiments the antibodies of the present     invention can be used to remove virus from patient plasma via     plasmapheresis.</t>
  </si>
  <si>
    <t>US20210388033</t>
  </si>
  <si>
    <t>Ebola</t>
  </si>
  <si>
    <t>Filovirus Consensus Antigens, Nucleic Acid Constructs and Vaccines Made     Therefrom, and Methods of Using Same</t>
  </si>
  <si>
    <t>17/404143</t>
  </si>
  <si>
    <t>Weiner; David B.; (Merion, PA); Patel; Ami; (Philadelphia, PA); Yan; Jian; (Wallingford, PA)</t>
  </si>
  <si>
    <t>A61K 2039/70 20130101;  A61K 2039/53 20130101;  A61K 38/00 20130101;  A61K 2039/55538 20130101;  A61K 2039/58 20130101;  A61K 39/39 20130101;  C07K 2319/02 20130101;  A61P 31/12 20180101;  C07K 14/54 20130101;  C12N 2760/14122 20130101;  A61K 39/12 20130101;  C07K 14/5434 20130101;  A61K 2039/55527 20130101;  C07K 14/5443 20130101;  C12N 2760/14134 20130101;  A61K 2039/545 20130101;  A61K 9/0009 20130101;  C07K 14/005 20130101;  A61K 2039/54 20130101</t>
  </si>
  <si>
    <t>Nucleic acid molecules and compositions comprising one or more nucleic     acid sequences that encode a consensus Ebolavirus glycoproteinimmunogens     are disclosed. The coding sequences optionally include operable linked     coding sequence that encode a signal peptide. Immunomodulatory methods     and methods of inducing an immune response against Ebolavirus are     disclosed. Method of preventing Ebolavirus and methods of treating     individuals infected with Ebolavirus are disclosed. Consensus Ebolavirus     proteins are disclosed.</t>
  </si>
  <si>
    <t>US20210388032</t>
  </si>
  <si>
    <t>COMPOSITIONS AND METHODS FOR PREVENTING AND TREATING CORONAVIRUS INFECTION     - SARS-COV-2 VACCINES</t>
  </si>
  <si>
    <t>17/387105</t>
  </si>
  <si>
    <t>JANSSEN PHARMACEUTICALS INC; BETH ISRAEL DEACONESS MEDICAL CT INC</t>
  </si>
  <si>
    <t>JANSSEN PHARMACEUTICALS INC; BETH ISRAEL DEACONESS MEDICAL</t>
  </si>
  <si>
    <t>LANGEDIJK; Johannes Petrus Maria; (Amsterdam, NL); RUTTEN; Lucy; (Rijnsburg, NL); BAKKERS; Mark Johannes Gerardus; (Haarsteeg, NL); BOS; Rinke; (Oegstgeest, NL); WEGMANN; Frank; (Leiden, NL); ZUIJDGEEST; David Adrianus Thedorus Maria; (Den Haag, NL); BAROUCH; Dan H.; (Newton, MA); VANDEBOSCH; An; (Herentals, BE); le GARS; Mathieu Claude Michel; (Antwerp, BE); SADOFF; Jerald C.; (Washington, DC)</t>
  </si>
  <si>
    <t>C12N 7/00 20130101;  A61K 2039/5256 20130101;  A61P 31/14 20180101;  C12N 2770/20034 20130101;  C12N 15/86 20130101;  C12N 2750/14143 20130101;  A61K 2039/53 20130101;  C12N 2750/14151 20130101;  C12N 2770/20022 20130101;  A61K 2039/545 20130101;  C12N 2750/14171 20130101;  C07K 14/005 20130101;  C12N 2770/20071 20130101;  A61K 39/215 20130101</t>
  </si>
  <si>
    <t>The invention relates to immunogenic compositions and vaccines containing     a coronavirus (e.g., Wuhan coronavirus (2019-nCoV; also referred to as     SARS-CoV-2)) protein or a polynucleotide encoding a coronavirus (e.g.,     Wuhan coronavirus (2019-nCoV; SARS-CoV-2)) protein and uses thereof. The     invention also provides methods of treating and/or preventing a     coronavirus (e.g., Wuhan coronavirus (2019-nCoV; SARS-CoV-2)) infection     by administering an immunogenic composition or vaccine to a subject     (e.g., a human). The invention also provides methods of detecting and/or     monitoring a protective anti-coronavirus (e.g., Wuhan coronavirus     (2019-nCoV; SARS-CoV-2)) antibody response (e.g., anti-coronavirus     antibody response, e.g., anti-2019-nCoV antibody response, e.g.,     anti-Spike antibody response, e.g., anti-Spike neutralizing antibody     response). The present invention relates to isolated nucleic and/or     recombinant nucleic acid encoding a coronavirus S protein, in particular     a SARS-CoV-2 S protein, and to the coronavirus S proteins, as well as to     the use of the nucleic acids and/or proteins thereof in vaccines.</t>
  </si>
  <si>
    <t>US20210388031</t>
  </si>
  <si>
    <t>Designer Peptide Opsonins</t>
  </si>
  <si>
    <t>17/348994</t>
  </si>
  <si>
    <t>Kumar; Dr. Vivek A.; (Newark, NJ)</t>
  </si>
  <si>
    <t>C07K 2319/735 20130101;  C07K 14/005 20130101;  G16B 15/00 20190201</t>
  </si>
  <si>
    <t>Disclosed is a new strategy, composition, and method for a     self-assembling peptides (SAP) that will self-assemble atop COVID-19 for     immune destruction and act as a functional COVID-19 opsonin. The designed     self-assembling peptides bind and assemble atop SARS-CoV-2--providing a     new mechanism of infection abrogation. One benefit is avoidance of side     effects that other formulations or repurposed drugs contain. Other     feature of this technology include: (a) (SAP) are composed of L-amino     acids that are highly biocompatible sub-Q, IM and IV (no adverse reaction     for 10% blood volume replacement with 1 w % peptide in mice or rats); (b)     Highly targeted approach that binds to viral particles preventing side     effects; (c) SAP are intrinsically biodegradable and endocytosed; (d) SAP     bound COVID-19 may promote engulfment, clearance, and antigen     presentation (for immunity development); and (e) targeting the spike     protein with SAP may allow treatment of other coronaviruses.</t>
  </si>
  <si>
    <t>US20210388019</t>
  </si>
  <si>
    <t>ANTI-VIRAL COMPOUNDS AND METHODS OF USE</t>
  </si>
  <si>
    <t>17/399445</t>
  </si>
  <si>
    <t>METROBIOTECH, LLC</t>
  </si>
  <si>
    <t>METROBIOTECH</t>
  </si>
  <si>
    <t>Baevsky; Matthew; (Worcester, MA); Szczepankiewicz; Bruce; (Worcester, MA); Lavery; Karen; (Worcester, MA); Livingston; David J.; (Worcester, MA)</t>
  </si>
  <si>
    <t>A61P 31/14 20180101;  C07H 19/048 20130101;  A61K 9/0053 20130101</t>
  </si>
  <si>
    <t>The present disclosure relates to compounds and compositions for use in     treating disease, such as viral infection. As disclosed herein, the     compounds include an "NMN-like" moiety linked to another moiety with     biological activity upon administration. In some cases, the disease to be     treated is infection with viruses. Such viruses include coronaviruses,     such as SARS, MERS, or COVID-19, HIV, and viruses associated with     hepatitis. Further, the invention relates to methods of using such     compounds or compositions to promote the increase of intracellular levels     of nicotinamide adenine dinucleotide (NAD) in cells and tissues for     treating diseases and/or improving cell and tissue survival.</t>
  </si>
  <si>
    <t>US20210387795</t>
  </si>
  <si>
    <t>Reusable Mask Storage and Donning &amp; Doffing Device</t>
  </si>
  <si>
    <t>17/327693</t>
  </si>
  <si>
    <t>Miles, Mamta Mehta</t>
  </si>
  <si>
    <t>MILES MAMTA</t>
  </si>
  <si>
    <t>Miles; Mamta Mehta; (Falls Church, VA)</t>
  </si>
  <si>
    <t>B65D 85/18 20130101;  B65D 43/16 20130101;  A62B 18/084 20130101</t>
  </si>
  <si>
    <t>A container for storing a face mask that allows the user to don and doff     the mask while making minimal contact with the mask. The outside of the     receptacle portion of the container includes a mask strap guide that     holds the face mask straps in place while they are stretched over the     mask strap retention structures which are also incorporated into the     outside of the receptacle portion of the container. By retaining the face     mask straps on the outside of the receptacle portion of the container the     mask is held in place and can be donned or doffed while only touching the     face mask straps. The container includes a lid attached via a hinge to     cover the receptacle portion of the container. The outside of the     receptacle portion of the container includes a port allowing for the     infusion of sanitizing agents into the receptacle containing the mask.</t>
  </si>
  <si>
    <t>US20210387794</t>
  </si>
  <si>
    <t>Medical Facemask Dispenser</t>
  </si>
  <si>
    <t>17/328319</t>
  </si>
  <si>
    <t>Glazer; Joshua; (Madison, WI); McNeilly; Adam; (Madison, WI)</t>
  </si>
  <si>
    <t>A61L 2/10 20130101;  B65D 2583/082 20130101;  B65D 83/0829 20130101;  A61B 2050/3013 20160201;  A61L 2202/26 20130101;  A61B 50/30 20160201;  A61L 2202/122 20130101;  B65D 83/0817 20130101</t>
  </si>
  <si>
    <t>An automatic mask dispenser handles procedure masks of a type having     filtration material inside ear loops by use of a high engagement material     on a movable surface that can selectively remove the lowermost mask. In     one embodiment opposed moving surfaces are provided to fold the mask     hygienically about its inner surface for dispensing to the user.</t>
  </si>
  <si>
    <t>US20210387785</t>
  </si>
  <si>
    <t>Wearable Pressure Controlled Release Dispenser Device and Method</t>
  </si>
  <si>
    <t>17/341241</t>
  </si>
  <si>
    <t>Jackson, Lorris Joseph</t>
  </si>
  <si>
    <t>JACKSON LORRIS</t>
  </si>
  <si>
    <t>Jackson; Lorris Joseph; (Larose, LA)</t>
  </si>
  <si>
    <t>B65D 75/5811 20130101;  B65D 75/367 20130101</t>
  </si>
  <si>
    <t>The present invention is a pressure-controlled release dispenser. More     particularly, the present invention relates to a blister pack with     individual compartments that can contain a fluid, e.g., hand sanitizer,     with a piercing mechanism within an individual compartment that enables     pressure-controlled release of single use portions of the fluid contained     therein. A blister pack of the present invention can also contain single     use portions of dry flowable materials or solid materials.</t>
  </si>
  <si>
    <t>US20210387509</t>
  </si>
  <si>
    <t>THREE STAGE AIR PURIFICATION FOR RAIL VEHICLES</t>
  </si>
  <si>
    <t>17/347794</t>
  </si>
  <si>
    <t>KNORR BRAKE COMPANY, LLC</t>
  </si>
  <si>
    <t>KNORR BRAKE</t>
  </si>
  <si>
    <t>Stelmach; Richard; (Hanover, PA); Jones; Justin; (Thurmont, MD); Bowie; Tyler; (Westminster, MD)</t>
  </si>
  <si>
    <t>A61L 9/22 20130101;  A61L 2209/16 20130101;  B60H 3/0078 20130101;  B60H 3/0608 20130101;  A61L 9/20 20130101</t>
  </si>
  <si>
    <t>An air purification system for use with rail car HVAC system to remove or     destroy harmful pathogens in the air. The air purification system has a     housing with an inlet, an outlet, and a passageway extending between the     inlet and the outlet. An intense field generator and filter is used to     charge any particles in the air and remove them from the air flow. An     ultraviolet radiation source is positioned to direct ultraviolet     illumination into the passageway. Finally, a dielectric barrier discharge     unit having a high voltage electrode coupled to a dielectric barrier and     a ground electrode spaced apart from the high voltage electrode is used     to form a low temperature plasma chamber is in communication with the     passageway so that the ions created in the plasma chamber will attach to     and destroy any remaining particles in the air flow.</t>
  </si>
  <si>
    <t>US20210386891</t>
  </si>
  <si>
    <t>Disinfecting System</t>
  </si>
  <si>
    <t>17/034038</t>
  </si>
  <si>
    <t>CAMPBELL VIVIENNE</t>
  </si>
  <si>
    <t>Campbell; Vivienne; (Riverside, CT)</t>
  </si>
  <si>
    <t>A61L 2/24 20130101;  A61L 2/22 20130101;  A61L 2202/14 20130101;  A61L 2/26 20130101;  A61L 2202/15 20130101</t>
  </si>
  <si>
    <t>A disinfectant dispensing system for automatically cleaning a     high-traffic surface. The automatic disinfectant dispensing system is     configured to spray a disinfecting or sanitizing solution on a     high-traffic surface for a predetermined time long enough to clean the     surface after the surface has been touched and potentially contaminated.     A liquid disinfecting or sanitizing solution is retained in a fluid     storage component. The solution is dispensed to a plurality of fluid     dispensing components via distribution tubing in fluid communication with     the fluid storage component. Each of the fluid dispensing components is     positioned near a high-traffic surface, such as a doorknob. A motion     sensing element in each fluid dispensing components detects the presence     of an external object, such as a hand, and activates a fluid dispersal     element to dispense the disinfecting or sanitizing solution a period of     time after the motion is no longer detected.</t>
  </si>
  <si>
    <t>US20210386887</t>
  </si>
  <si>
    <t>17/446430</t>
  </si>
  <si>
    <t>Colvin; David; (Las Vegas, NV); Colvin; Eric D.; (Las Vegas, NV)</t>
  </si>
  <si>
    <t>A61L 2/10 20130101;  A61L 2/24 20130101;  A61L 2202/14 20130101;  G07F 17/3216 20130101;  G07F 17/3209 20130101;  A61L 2202/11 20130101</t>
  </si>
  <si>
    <t>US20210386852</t>
  </si>
  <si>
    <t>MEASLES VIRUS VACCINE EXPRESSING SARS-COV-2 PROTEIN(S)</t>
  </si>
  <si>
    <t>17/143740</t>
  </si>
  <si>
    <t>Duprex; William Paul; (Pittsburgh, PA)</t>
  </si>
  <si>
    <t>C07K 14/005 20130101;  C12N 2760/18434 20130101;  C12N 7/00 20130101;  A61K 2039/575 20130101;  C12N 2770/20034 20130101;  A61K 39/215 20130101;  C12N 2760/18443 20130101;  A61K 2039/5256 20130101</t>
  </si>
  <si>
    <t>A recombinant measles viral vector comprising a nucleic acid sequence     encoding a Severe Acute Respiratory Syndrome Coronavirus 2 (SARS-CoV-2)     spike glycoprotein is provided. Polypeptides comprising the SARS-CoV-2     spike glycoprotein also are provided, as well as related nucleic acids,     vectors, and compositions. The polypeptides, nucleic acids, vectors, and     compositions can be used in methods of preventing, inhibiting, reducing,     eliminating, protecting, or delaying the onset of an infection or an     infectious clinical condition caused by coronavirus and methods for     inducing an immune response against a coronavirus.</t>
  </si>
  <si>
    <t>US20210386821</t>
  </si>
  <si>
    <t>THERAPEUTIC COMPOSITION FOR USE IN THE TREATMENT OF COVID-19 AND OTHER     CYTOKINE STORM ASSOCIATED DISORDERS</t>
  </si>
  <si>
    <t>16/898378</t>
  </si>
  <si>
    <t>KELSIUS LABORATORIES LLC</t>
  </si>
  <si>
    <t>KELSIUS LABORATORIES</t>
  </si>
  <si>
    <t>BARANYI; Lajos; (Gaithersburg, MD)</t>
  </si>
  <si>
    <t>C12Y 304/17002 20130101;  A61K 38/1709 20130101;  A61K 45/06 20130101;  A61K 38/1875 20130101;  A61K 38/4813 20130101;  C12N 15/86 20130101</t>
  </si>
  <si>
    <t>It is disclosed a therapeutic composition for use in the treatment of     COVID-19 and other cytokine storm associated disorders, wherein the     therapeutic composition comprises at least one active agent being     selected from the following active agent groups a) to e):   a) complement     factor 3-targeting inhibitor of complement activation cascade b)     carboxypeptidase B enzyme c) complement factor 5a receptor-targeting     inhibitor of complement activation cascade d) endothelin A     receptor-targeting inhibitor of extravasation e) bone morphogenic     protein. It is further disclosed a method of treating COVID-19 and other cytokine     storm associated disorders, wherein said method comprises administering     an effective amount of at least one active agent being selected from the     above mentioned active agent groups a) to e).</t>
  </si>
  <si>
    <t>US20210386779</t>
  </si>
  <si>
    <t>COMPOSITIONS AND METHODS FOR DIETARY ENHANCEMENT OF IMMUNE SYSTEM FUNCTION</t>
  </si>
  <si>
    <t>17/245415</t>
  </si>
  <si>
    <t>MARGOLIN LEON</t>
  </si>
  <si>
    <t>Margolin; Leon; (Beachwood, OH)</t>
  </si>
  <si>
    <t>A61P 31/12 20180101;  A61K 31/352 20130101;  A61K 31/12 20130101;  A61K 31/375 20130101;  A61K 31/355 20130101;  A61K 31/593 20130101;  A61K 31/49 20130101;  A61K 33/30 20130101;  A61K 31/198 20130101;  A61K 9/0053 20130101</t>
  </si>
  <si>
    <t>Compositions and methods for dietary enhancement of immune system     function. The compositions may include zinc(+2) and a zinc ionophore. The     compositions may include zinc(+2), a first zinc ionophore and a second     zinc ionophore different from the first zinc ionophore. The zinc     ionophore may include quercetin. The zinc ionophore may include a quinine     compound. The compositions may include one or more of l-lysine, vitamin     C, vitamin D, vitamin E, curcumin and epigallocatechin gallate. The     compositions may be manufactured as dietary supplements. The methods may     include dosing quantities of components of the compositions. The dosing     quantities have been recommended by multi-month clinical experience     during the COVID-19 pandemic.</t>
  </si>
  <si>
    <t>US20210386726</t>
  </si>
  <si>
    <t>METHOD FOR INHIBITING CORONAVIRUS INFECTION AND REPLICATION</t>
  </si>
  <si>
    <t>17/006169</t>
  </si>
  <si>
    <t>SHIH; Shin-Ru; (New Taipei City, TW); KUNG; Yu-An; (Taoyuan City, TW); CHIANG; Huan-Jung; (Taoyuan City, TW); HUNG; Chuan-Tien; (Taichung City, TW); GONG; Yu-Nong; (Taoyuan City, TW); CHIU; Hsin-Ping; (Taoyuan City, TW); HUANG; Chiung-Guei; (Taoyuan City, TW); HUANG; Peng-Nien; (Taoyuan City, TW); HUANG; Sheng-Yu; (Taoyuan City, TW)</t>
  </si>
  <si>
    <t>A61P 31/16 20180101;  A61K 9/0053 20130101;  A61K 31/4439 20130101</t>
  </si>
  <si>
    <t>Disclosed herein is a method for inhibiting coronavirus infection,     including administering to a subject in need thereof an effective amount     of rosiglitazone or a pharmaceutically acceptable salt thereof. Also     disclosed is a method for inhibiting coronavirus replication, including     contacting a coronavirus with rosiglitazone or a pharmaceutically     acceptable salt thereof.</t>
  </si>
  <si>
    <t>US20210386725</t>
  </si>
  <si>
    <t>17/006103</t>
  </si>
  <si>
    <t>A61P 31/16 20180101;  A61K 9/0053 20130101;  A61K 31/4436 20130101</t>
  </si>
  <si>
    <t>Disclosed herein is a method for inhibiting coronavirus infection,     including administering to a subject in need thereof an effective amount     of pioglitazone or a pharmaceutically acceptable salt thereof. Also     disclosed is a method for inhibiting coronavirus replication, including     contacting a coronavirus with pioglitazone or a pharmaceutically     acceptable salt thereof.</t>
  </si>
  <si>
    <t>US20210386722</t>
  </si>
  <si>
    <t>Treatment of Covid-19 with Nitroxides</t>
  </si>
  <si>
    <t>17/354068</t>
  </si>
  <si>
    <t>Proctor, Peter Herbert</t>
  </si>
  <si>
    <t>PROCTOR PETER</t>
  </si>
  <si>
    <t>Proctor; Peter Herbert; (Houston, TX)</t>
  </si>
  <si>
    <t>A61K 31/445 20130101;  A61P 31/14 20180101</t>
  </si>
  <si>
    <t>Nitrone, nitroso, and nitroxide drugs and their corresponding     hydroxylamine reduction products are claimed for the acute and chronic     treatment of Covid-19 and its variants.</t>
  </si>
  <si>
    <t>US20210386712</t>
  </si>
  <si>
    <t>NEW USE OF ANGIOTENSIN II TYPE 2 RECEPTOR AGONIST</t>
  </si>
  <si>
    <t>17/458886</t>
  </si>
  <si>
    <t>VICORE PHARMA AB</t>
  </si>
  <si>
    <t>VICORE PHARMA</t>
  </si>
  <si>
    <t>Dalsgaard; Carl-Johan; (Stockholm, SE); Raud; Johan; (Stockholm, SE); Batta; Rohit; (Stockholm, SE)</t>
  </si>
  <si>
    <t>A61K 38/215 20130101;  A61K 31/16 20130101;  A61K 31/7056 20130101;  A61P 31/14 20180101;  A61K 31/573 20130101;  A61K 31/513 20130101;  A61K 45/06 20130101;  A61K 31/4178 20130101;  A61K 31/706 20130101</t>
  </si>
  <si>
    <t>There is provided     N-butyloxycarbonyl-3-(4-imidazol-1-ylmethylphenyl)-5-isobutyl-thiophene-2-    -sulfonamide, or a pharmaceutically-acceptable salt thereof, for use in a     method of treatment of respiratory virus-induced tissue damage. Such     damage may be caused by coronaviruses, including severe acute respiratory     syndrome coronavirus and severe acute respiratory syndrome coronavirus.     N-Butyloxycarbonyl-3-(4-imidazol-1-ylmethylphenyl)-5-isobutylthiophene-2--    sulfonamide alleviate symptoms of diseases caused by those viruses     (including coronavirus disease 2019 or COVID-19), such as cough, dyspnea,     pneumonia, respiratory distress, respiratory failure and/or fibrosis of     organs such as the lungs, the heart or the kidneys, and may thus prevent     respiratory virus-induced morbidity and/or mortality. In particular, it     has been found in a clinical study that the proportion of patients with     COVID-19 needing oxygen treatment was significantly lower for patients     that were administered     N-butyloxycarbonyl-3-(4-imidazol-1-ylmethylphenyl)-5-iso-butylthiophene-2-    -sulfonamide compared to placebo.</t>
  </si>
  <si>
    <t>US20210386667</t>
  </si>
  <si>
    <t>NOVEL PREVENTIVE AND THERAPEUTIC TREATMENT FOR COVID 19 AND ANY OTHER     DISEASE CAUSED BY SARS COV 2</t>
  </si>
  <si>
    <t>17/321729</t>
  </si>
  <si>
    <t>A61K 9/0043 20130101;  A61K 31/047 20130101;  A61K 9/08 20130101;  A61K 47/10 20130101;  A61K 47/02 20130101;  A61K 9/0078 20130101;  A61K 31/731 20130101</t>
  </si>
  <si>
    <t>Novel preventive treatment for COVID 19 and therapeutic treatment for     early stages of COVID 19 or any other disease caused by SARS CoV 2.     Pharmaceutical formulations and devices are disclosed to be able to     implement these treatments. These treatments to prevent and alleviate the     symptoms at early stages of COVID 19, the pandemic disease caused by SARS     CoV 2. These treatments are based on the administration the nasal cavity     and/or the lungs of solutions containing iota Carrageenan with or without     the addition of xylitol as antiviral drug substances.</t>
  </si>
  <si>
    <t>US20210386590</t>
  </si>
  <si>
    <t>DISPOSABLE SINGLE USE EYE SHIELD</t>
  </si>
  <si>
    <t>16/946246</t>
  </si>
  <si>
    <t>SUESS, Christine Josephine</t>
  </si>
  <si>
    <t>SUESS CHRISTINE</t>
  </si>
  <si>
    <t>SUESS; Christine Josephine; (Cornwall, CA)</t>
  </si>
  <si>
    <t>A61F 9/04 20130101;  A61B 3/024 20130101</t>
  </si>
  <si>
    <t>Single use, disposable eye shields will eliminate potential transmission     of an infectious agent such as COVID to another patient or a technician,     nurse or doctor. The product can be made with inexpensive materials     readily available--card stock or translucent pliable plastic and elastic     thread. An elastic thread can be used to secure the eye shield in place     and thereby allow the eye shield to fit all head sizes. All components of     the eye shields may be made from biodegradable components. This eye     shield does not have any adhesive, so it can be used for the other eye     when performing visual field testing for each eye separately. The     translucent version has the added benefit of preventing the patient from     dark adapting during the visual field test.</t>
  </si>
  <si>
    <t>US20210386142</t>
  </si>
  <si>
    <t>SYSTEM FOR MOLECULAR IMPRINTED PROTECTIVE FACE MASK</t>
  </si>
  <si>
    <t>16/917469</t>
  </si>
  <si>
    <t>UTAH VALLEY UNIVERSITY</t>
  </si>
  <si>
    <t>Doyle; Timothy Edwin; (Orem, UT)</t>
  </si>
  <si>
    <t>A61L 2/10 20130101;  A61M 2205/3303 20130101;  A62B 23/02 20130101;  A61L 2/03 20130101;  A41D 13/1192 20130101;  A62B 18/02 20130101;  A61L 2/26 20130101</t>
  </si>
  <si>
    <t>Disclosed herein is a molecular imprinted protective face mask comprising     a supportive structure, a surface material that receives and retains a     molecular imprint and that is positioned to contact airborne molecules     during use, a molecular imprint of a bioactive molecule wherein an     imprinted cavity is at least one of a bioactive molecule with a molecular     configuration that captures a specific airborne and/or microdroplet-borne     molecule and a protein with a binding site that captures a specific     molecule.</t>
  </si>
  <si>
    <t>US20210386141</t>
  </si>
  <si>
    <t>Transparent flexible self-attaching face mask</t>
  </si>
  <si>
    <t>17/321547</t>
  </si>
  <si>
    <t>CHUN ALICE M</t>
  </si>
  <si>
    <t>CHUN ALICE</t>
  </si>
  <si>
    <t>Chun; Alice M.; (New York, NY)</t>
  </si>
  <si>
    <t>A62B 18/08 20130101;  A62B 23/02 20130101;  A41D 13/1176 20130101;  A62B 18/10 20130101;  A62B 18/084 20130101</t>
  </si>
  <si>
    <t>A reusable transparent flexible silicone mask has a border coated with     hydrogel or non-toxic emulsion adhesive that adheres directly to a     wearer's face by hydrogel emulsion adhesion, without ear elastics or ties     around the back of the head. The mask protects against breathing     pathogens. The mask has a half-face version that covers the wearer's nose     and mouth, a goggles version, and a full-face version. The mask may     include one or more of a removable air filter cartridge, a breathing     valve, a headlamp, a glasses gate, and a headband for keeping the mask on     the wearer's body even when the mask is not affixed to the face.</t>
  </si>
  <si>
    <t>US20210386140</t>
  </si>
  <si>
    <t>MULTIPLE USE FACE SEAL MASK</t>
  </si>
  <si>
    <t>17/070230</t>
  </si>
  <si>
    <t>ZMASK INC</t>
  </si>
  <si>
    <t>ZMASK</t>
  </si>
  <si>
    <t>BROWN; Wendell; (Henderson, NV); GELLIS; Alec; (Henderson, NV)</t>
  </si>
  <si>
    <t>A41D 13/1176 20130101</t>
  </si>
  <si>
    <t>A facial mask completely seals a part of the face over which the facial     mask is secured by an adhesive around a periphery of the facial mask. The     facial mask may cover the mouth or both the mouth and nose of a user. The     facial mask may have a filter.</t>
  </si>
  <si>
    <t>US20210386139</t>
  </si>
  <si>
    <t>SINGLE USE FACE SEAL MASK</t>
  </si>
  <si>
    <t>17/069546</t>
  </si>
  <si>
    <t>A62B 23/02 20130101;  A41D 13/1176 20130101;  A62B 18/025 20130101</t>
  </si>
  <si>
    <t>US20210386134</t>
  </si>
  <si>
    <t>17/087866</t>
  </si>
  <si>
    <t>Plank; Kevin; (Baltimore, MD); Blakely; Kyle; (Baltimore, MD); Holmes; Ella May; (Baltimore, MD); Dunbar; Jami; (Baltimore, MD); Jarvis; Casey; (Baltimore, MD)</t>
  </si>
  <si>
    <t>A41D 13/113 20130101;  A62B 23/025 20130101;  A41D 13/1161 20130101;  A41D 2500/10 20130101;  A41D 13/1192 20130101</t>
  </si>
  <si>
    <t>A face mask face mask is configured to be worn on a human head and     includes a face shield and at least one mounting strap. The face shield     includes a multi-layer body portion comprising an outer layer, a middle     layer and an inner layer. The outer layer is provided by a stitched     fabric spacer, the middle layer provided by an open cell foam, and the     inner layer provided a stretch fabric. The at least one mounting strap is     an ear loop provided by a free-cut piece of fabric defined by an     elongated narrow center portion positioned between an enlarged first end     and an enlarged second end opposite the first end.</t>
  </si>
  <si>
    <t>US20210386133</t>
  </si>
  <si>
    <t>APPARATUS FOR A MOLECULAR IMPRINTED PROTECTIVE FACE MASK</t>
  </si>
  <si>
    <t>16/900682</t>
  </si>
  <si>
    <t>A61M 15/0001 20140204;  A61M 2205/18 20130101;  A61M 2205/7536 20130101;  A61M 2205/0294 20130101;  A41D 2500/20 20130101;  A41D 2500/30 20130101;  A41D 13/11 20130101;  A61M 2205/0244 20130101;  A61M 2205/3303 20130101</t>
  </si>
  <si>
    <t>US20210385934</t>
  </si>
  <si>
    <t>TREATMENT OF INFECTIOUS DISEASES USING NON-THERMAL PLASMA</t>
  </si>
  <si>
    <t>17/409563</t>
  </si>
  <si>
    <t>CHISCAN HOLDINGS, L.L.C.</t>
  </si>
  <si>
    <t>CHISCAN</t>
  </si>
  <si>
    <t>Eckert; Bradley N.; (Chandler, AZ); Truong; Huan; (Chandler, AZ); Eckert; Bryon K.; (Chandler, AZ)</t>
  </si>
  <si>
    <t>A61B 18/042 20130101;  H05H 1/47 20210501;  H05H 2240/20 20130101;  H05H 1/2406 20130101</t>
  </si>
  <si>
    <t>An array of non-thermal plasma emitters is controlled to emit plasma     based on application of an electric current at desired frequencies and a     controlled power level. A power supply for an array controller includes a     transformer that operates at the resonant frequency of the combined     capacitance of the array and the cable connecting the array to the power     supply. The power into the array is monitored by the controller and can     be adjusted by the user. The controller monitors reflected power     characteristics, such as harmonics of the alternating current, to     determine initiation voltage of the plasma and/or resonant frequency     plasma emitters. The array of non-thermal plasma emitters may be used in     therapeutic, diagnostic, and/or medical sanitization applications,     including for treatment of infectious diseases using the disclosed     protocols.</t>
  </si>
  <si>
    <t>US20210385614</t>
  </si>
  <si>
    <t>APPARATUS AND METHOD FOR MINIMIZING DIRECT AND INDIRECT     CROSS-CONTAMINATION OF PATHOGENS BETWEEN PERSONNEL WITHIN A WORKPLACE</t>
  </si>
  <si>
    <t>17/039170</t>
  </si>
  <si>
    <t>INNOVETX L.L.C.</t>
  </si>
  <si>
    <t>INNOVETX</t>
  </si>
  <si>
    <t>Millius; Peter; (Atlantic Beach, NY); White; James A.; (Voorschoten, NL)</t>
  </si>
  <si>
    <t>H04W 4/029 20180201;  H04W 4/023 20130101;  H04W 4/80 20180201;  G06K 7/1417 20130101;  H04W 4/33 20180201;  G08B 21/02 20130101</t>
  </si>
  <si>
    <t>An apparatus and method of minimizing pathogen cross-contamination and     enhancing infection mitigation at a workplace includes placing tags at     selected locations, requiring at least some workplace personnel to carry     mobile devices, and logging interactions between the mobile devices and     tags as tapping events. Tags can be powered or unpowered. Tapping can     include RF or Bluetooth communication, and/or indicia scanning. Tapping     events can be wirelessly directed to a server by the tags and/or mobile     devices. The logged tapping can be used to identify high risk locations,     record user movements, monitor user compliance with assigned schedules     and locations, and monitor compliance with specified sanitation     schedules. During mitigation of an infection event, the logged tapping     can be used to identify persons at high risk of direct     cross-contamination due to proximity to an infected person and/or     surface-mitigated cross-contamination due to occupation of a location     shortly after occupation thereof by the infected person.</t>
  </si>
  <si>
    <t>US20210383935</t>
  </si>
  <si>
    <t>DETECTING INFECTION USING SURROGATES</t>
  </si>
  <si>
    <t>17/406598</t>
  </si>
  <si>
    <t>GEORGETOWN UNIVERSITY</t>
  </si>
  <si>
    <t>Federoff; Howard; (Irvine, CA); Frieder; Ophir; (Chevy Chase, MD)</t>
  </si>
  <si>
    <t>G16H 50/80 20180101;  G16H 50/30 20180101;  G16H 40/67 20180101;  G10L 25/66 20130101</t>
  </si>
  <si>
    <t>A triage system that determines whether a user is likely to have     contracted a disease based on sensor data received from a user device     (e.g., a smartphone or activity tracker). Each symptom is identified by     comparing sensor data to a predetermined baseline and comparing the     difference to a predetermined symptom threshold. Because direct     measurement of symptoms using the sensors available to the user may not     be feasible or sufficiently accurate, the triage system also uses     surrogates the identify certain symptoms. For example, a fever may be     identified using heart data, a cough or shortness of breath may be     identified by analyzing recorded sound, fatigue may be identified by     analyzing the movement of the user device, and loss of smell or taste may     be identified by recording sound and using speech detection algorithms to     identify phrases in the recorded sound indicative of loss of smell or     taste.</t>
  </si>
  <si>
    <t>US20210383934</t>
  </si>
  <si>
    <t>SYSTEM, METHOD AND APPARATUS FOR REAL-TIME SCREENING, VALIDATING AND     TRACKING INFECTIOUS DISEASE AT PORT OF ENTRY</t>
  </si>
  <si>
    <t>17/340686</t>
  </si>
  <si>
    <t>KIM, SUNG-HYUN</t>
  </si>
  <si>
    <t>KIM SUNG</t>
  </si>
  <si>
    <t>KIM; Sung Oog; (Seoul, KR); LY; Tung Thanh; (Ho Chi Minh City, VN); LY; Benjamin Tam Thanh; (Mount Waverley, AU); KIM; Ki Uk; (Bucheon-si, KR)</t>
  </si>
  <si>
    <t>G16H 50/80 20180101;  G06F 21/602 20130101;  G06F 21/6245 20130101;  A61B 5/6801 20130101;  G16H 10/40 20180101;  G06Q 30/018 20130101;  G16H 10/65 20180101;  G06Q 50/14 20130101;  G06K 19/06037 20130101;  G06Q 50/26 20130101;  G16H 40/67 20180101;  A61B 5/0002 20130101</t>
  </si>
  <si>
    <t>The present technology is directed to real-time screening, validating,     and tracking infectious diseases including Coronavirus (COVID-19) and the     like at port of entry including airports, seaports, ferries, and any     international border controls. The present technology can identify a     personal identification code with a mobile device of a traveler upon     arrival of the traveler at an international border, wherein the mobile     device is equipped with wireless network connection; obtain     traveler-specific information to associate with the personal     identification code of the traveler; receive a diagnostic test result of     the traveler to determine whether the traveler is infected; determine     whether the traveler is subject to quarantine based on the     traveler-specific information and the diagnostic test result; enable a     location tracking system and a notification service during a quarantine     period; and terminate the location tracking system and the notification     service and deleting the traveler-specific information when the     quarantine period is over.</t>
  </si>
  <si>
    <t>US20210383899</t>
  </si>
  <si>
    <t>Medical Screening System and Method</t>
  </si>
  <si>
    <t>16/892090</t>
  </si>
  <si>
    <t>PRIME MEDICAL LLC</t>
  </si>
  <si>
    <t>PRIME MEDICAL</t>
  </si>
  <si>
    <t>Connor; Sean H.; (Baton Rouge, LA); Lee; Luke P.; (Baton Rouge, LA)</t>
  </si>
  <si>
    <t>G16H 40/20 20180101;  G16H 10/20 20180101;  G16H 10/60 20180101;  G16H 70/20 20180101;  G06Q 10/105 20130101;  G06Q 50/265 20130101;  G16H 50/20 20180101;  G06F 3/048 20130101</t>
  </si>
  <si>
    <t>A medical screening system and method for screening potential entrants to     a facility for medical conditions prior to entry. The medical screening     system and method generally includes an evaluation system and an     interface. The interface resides on a portable electronic device and the     evaluation system may reside on the same device or comprise a remote     centralized system. The evaluation system automatically selects an     appropriate questionnaire eliciting information regarding the medical     condition of a potential entrant from a plurality of questionnaires and     provides it to the interface for display. The potential entrant provides     responses to the questionnaire, and the evaluation system automatically     evaluates the responses, generates an entry decision, and sends an     indication to the interface. The interface provides an entry decision     presentation comprising one or more perceptible elements and entry to the     facility by the potential entrant is controlled based on the entry     decision presentation.</t>
  </si>
  <si>
    <t>US20210382003</t>
  </si>
  <si>
    <t>16/894316</t>
  </si>
  <si>
    <t>GUZMAN; Norberto A.; (PRINCETON, NJ)</t>
  </si>
  <si>
    <t>G01N 27/44743 20130101;  G01N 33/561 20130101;  G01N 33/543 20130101;  G01N 1/405 20130101;  G01N 27/44756 20130101;  G01N 27/44708 20130101</t>
  </si>
  <si>
    <t>US20210381939</t>
  </si>
  <si>
    <t>17/334461</t>
  </si>
  <si>
    <t>G01N 2001/4094 20130101;  G01N 1/4077 20130101;  C12Q 1/6806 20130101;  C12Q 1/70 20130101</t>
  </si>
  <si>
    <t>US20210381264</t>
  </si>
  <si>
    <t>SMART TUNNEL HAVING REGULAR QUARANTINE AND DISINFECTION FUNCTION FOR     PREVENTING PROLIFERATION OF INFECTIOUS DISEASE</t>
  </si>
  <si>
    <t>17/288943</t>
  </si>
  <si>
    <t>KOREA INSTITUTE OF CIVIL ENGINEERING AND BUILDING TECHNOLOGY</t>
  </si>
  <si>
    <t>KOREA INSTITUTE CIVIL ENGINEERING AND BUILDING</t>
  </si>
  <si>
    <t>KOO; Hyun-Bon; (Goyang-si, KR); PARK; Jung-Jun; (Paju-si, KR); KWARK; Jong-Won; (Goyang-si, KR); KWAHK; Im-Jong; (Paju-si, KR); KIM; Seong-Jun; (Goyang-si, KR)</t>
  </si>
  <si>
    <t>F24F 8/20 20210101;  G16H 50/80 20180101;  E04H 1/1277 20130101;  A61B 5/1176 20130101;  H04N 7/18 20130101;  G06K 9/00335 20130101;  G16H 50/30 20180101;  A61L 2209/16 20130101;  G06K 9/00255 20130101;  A61L 9/00 20130101</t>
  </si>
  <si>
    <t>The present disclosure relates to a smart tunnel having a tunnel     structure having a quarantine section and a disinfection section, which     is capable of regularly performing a quarantine function for determining     whether an infectious disease is introduced and a disinfection function     for preventing spread of an infectious disease.</t>
  </si>
  <si>
    <t>US20210381067</t>
  </si>
  <si>
    <t>NUCLEIC ACID AMPLIFICATION AND DETECTION WITH ATTENUAITING PROBE</t>
  </si>
  <si>
    <t>16/930426</t>
  </si>
  <si>
    <t>AMPLIWISE INC.</t>
  </si>
  <si>
    <t>AMPLIWISE</t>
  </si>
  <si>
    <t>SU; Xing; (Cupertino, CA); WU; Kai; (Mountain View, CA)</t>
  </si>
  <si>
    <t>C12Q 1/6844 20130101;  C12Q 1/6853 20130101;  C12Q 1/686 20130101;  C12Q 1/701 20130101</t>
  </si>
  <si>
    <t>An embodiment relates to a method comprising assembling a reaction     mixture comprising: a target molecule comprising a nucleic acid sequence     of interest; a set of oligonucleotides comprising: a 1.sup.st SW     (selective wobble) primer comprising a 1.sup.st SW site; a 2.sup.nd SW     primer comprising a 2.sup.nd SW site; at least a third primer; a probe     comprising: (i) an attenuating site, (ii) a first label in a non 3' site     and (iii) a second label at the 3' end; a polymerase with 3'-5'     exonuclease activity; conducting an amplification reaction of the target     molecule comprising the nucleic acid sequence of interest using the     reaction mixture; detecting or amplifying the target molecule comprising     the nucleic acid sequence of interest or variants thereof present in the     target molecule, wherein the SW sites are configured to enable     non-disrupted nested amplification and quantification of the target     molecule comprising the nucleic acid sequence of interest. The nucleic     acid sequence of interest comprises a SARS-CoV-2 sequence.</t>
  </si>
  <si>
    <t>US20210381034</t>
  </si>
  <si>
    <t>METHOD OF DETECTING RNA</t>
  </si>
  <si>
    <t>17/136793</t>
  </si>
  <si>
    <t>XENOHELIX CO., LTD</t>
  </si>
  <si>
    <t>XENOHELIX</t>
  </si>
  <si>
    <t>CHO; Seok Keun; (Incheon, KR)</t>
  </si>
  <si>
    <t>C12Q 1/6855 20130101;  C12Q 1/6825 20130101;  C12Q 2563/179 20130101;  C12Q 2563/185 20130101</t>
  </si>
  <si>
    <t>The present invention relates to a method of analyzing and detecting RNA.     In particular, the present invention is capable of analyzing RNA with     short base sequences while quantitatively detecting RNA with high     sensitivity and accuracy, and thus can be widely used for diagnosis of     various diseases such as infectious diseases and cancer.</t>
  </si>
  <si>
    <t>US20210381023</t>
  </si>
  <si>
    <t>PERSONAL PROTECTION AND MONITORING</t>
  </si>
  <si>
    <t>16/894058</t>
  </si>
  <si>
    <t>TRAN BICH Q</t>
  </si>
  <si>
    <t>TRAN BICH</t>
  </si>
  <si>
    <t>Tran; Bich Q; (Saratoga, CA)</t>
  </si>
  <si>
    <t>A62B 18/025 20130101;  A62B 23/06 20130101;  C12Q 1/04 20130101</t>
  </si>
  <si>
    <t>A personal protection device includes one or two elongate members for     engaging into the nostrils of the nose of a user. The elongate members     each includes gridded ports for allowing air to pass through the elongate     member when breathing in and for allowing air to exit via the elongate     member when breathing out. Sensors are placed in the air flow pathway to     detect pathogen presence, and the primary air filter is positioned in the     elongate member. In yet other embodiments, a disposable version is     disclosed. The eyewear can also be used as part of an extended reality     system, and when game playing, particularized scents can be rendered to     the nose to enhance the gaming experience. In another aspect, systems and     methods protect against pathogen by sampling an environment of a travel     path with a plurality of pathogen detectors along the travel path to     detect a presence of one or more pathogens, wherein at least one detector     includes a nano-sensor with receptacles to bind to the pathogens and     wherein the nano-sensor changes resistivity, inductance or capacitance     upon pathogen binding; directing air towards said pathogen detectors;     contact tracing a user mobile device having a mobile identification (ID)     carried by each user, wherein the mobile device comprises a memory     storing mobile IDs of all devices within a predetermined radius of the     user mobile device; and performing deep learning with a neural network     receiving data from the pathogen detectors and to the user mobile device     to detect a presence of one or more pathogens.</t>
  </si>
  <si>
    <t>US20210380986</t>
  </si>
  <si>
    <t>RNA DRUGS AND METHOD OF TREATING AGE-RELATED DISEASE</t>
  </si>
  <si>
    <t>17/306908</t>
  </si>
  <si>
    <t>CUTLER RICHELLE GAYLE</t>
  </si>
  <si>
    <t>Cutler; Richelle Gayle; (Oro Valley, AZ)</t>
  </si>
  <si>
    <t>C12N 2310/3231 20130101;  C12N 2310/3515 20130101;  C12N 2310/11 20130101;  C12N 2310/322 20130101;  C12N 15/1137 20130101;  C12N 2310/315 20130101;  C12N 2310/321 20130101;  C12N 2310/3513 20130101</t>
  </si>
  <si>
    <t>Mouse models show that decreasing the expression of pregnancy-associated     plasma protein-A (PAPP-A) can reduce age-related muscle atrophy, cancer,     atherosclerosis, and increase immune function and longevity. The     invention describes RNA agents designed to reduce the expression of     pregnancy-associated plasma protein-A. The invention further describes     delivering these RNA agents to subjects in vivo as a method of preventing     age-related disease and thymic atrophy.</t>
  </si>
  <si>
    <t>US20210380518</t>
  </si>
  <si>
    <t>COMPOUNDS AND METHODS OF USING COMPOUNDS FOR TREATMENT OF RESPIRATORY     DISEASES</t>
  </si>
  <si>
    <t>17/342148</t>
  </si>
  <si>
    <t>SHEKDAR KAMBIZ</t>
  </si>
  <si>
    <t>Shekdar; Kambiz; (Brooklyn, NY)</t>
  </si>
  <si>
    <t>A61K 45/06 20130101;  A61P 31/14 20180101;  C07C 50/34 20130101</t>
  </si>
  <si>
    <t>Provided herein are compositions and methods of using compositions for     treating respiratory diseases in a subject in need of such treatment. In     particular, provided herein are compositions and methods of using     compositions for the treatment of SARS-CoV-2 (Covid-19). More     particularly, provided herein are compositions comprising ENaC agonists     for treating SARS-CoV-2 (Covid-19).</t>
  </si>
  <si>
    <t>US20210380062</t>
  </si>
  <si>
    <t>DRIVER BARRIER</t>
  </si>
  <si>
    <t>17/338251</t>
  </si>
  <si>
    <t>Matijevich, Mark; Matijevich, Tony</t>
  </si>
  <si>
    <t>MATIJEVICH MARK</t>
  </si>
  <si>
    <t>Matijevich; Mark; (Chino, CA); Matijevich; Tony; (Chino, CA)</t>
  </si>
  <si>
    <t>B60R 21/12 20130101;  B60R 21/026 20130101;  B60R 2021/0067 20130101</t>
  </si>
  <si>
    <t>An apparatus and methods for a driver barrier to isolate public transit     vehicle operators, such as bus drivers or coach operators, from passenger     seating areas. The driver side barrier includes a driver side barrier     mounted behind a driver cockpit and a door coupled with the driver side     barrier. In a closed configuration, the driver side barrier and door     provide a barrier between the driver cockpit and a passenger seating area     of the vehicle. The door may be rotated forward to provide a protective     shield around the driver cockpit while allowing passengers to enter and     exit the passenger seating area. In some embodiments, the door may be     extended across an aisle of the passenger seating area to a curbside     barrier, thereby partitioning the driver cockpit and passenger seating     areas. When not in use, the door may be stowed behind the driver cockpit.</t>
  </si>
  <si>
    <t>US20210379587</t>
  </si>
  <si>
    <t>Device And Method For Accelerated Material Extraction And Detection</t>
  </si>
  <si>
    <t>16/894273</t>
  </si>
  <si>
    <t>Beebe; David J.; (Monona, WI); Juang; Duane S.; (Madison, WI); Juang; Terry D.; (Madison, WI); Friedrich; Thomas C.; (Madison, WI); O'Connor; David H.; (Madison, WI)</t>
  </si>
  <si>
    <t>G01N 35/1072 20130101;  B01L 2200/0647 20130101;  B01L 3/502715 20130101;  G01N 2035/00277 20130101;  B01L 3/5021 20130101;  B01L 2200/0631 20130101;  B01L 2200/028 20130101;  B01L 3/523 20130101</t>
  </si>
  <si>
    <t>A method and device are provided for detecting a target in a biological     sample. The target binds to a solid phase substrate. First and second     cavities in a plate are filled with an oil. The first and second cavities     are in fluid communication with each other. The solid phase substrate is     magnetically drawn sequentially from a drop of the biological sample in     the first cavity, through the oil, into a drop of the reaction solution     in the second cavity. A change in a parameter of the drop of the reaction     solution indicates the presence of the target.</t>
  </si>
  <si>
    <t>US20210379580</t>
  </si>
  <si>
    <t>EASILY DEPLOYED LATERAL FLOW TEST INSTRUMENT AND MANAGEMENT SYSTEM FOR     ANTIGEN DETECTION IN HIGH THROUGHPUT TEST CENTERS</t>
  </si>
  <si>
    <t>17/340067</t>
  </si>
  <si>
    <t>Xtrava Inc</t>
  </si>
  <si>
    <t>XTRAVA</t>
  </si>
  <si>
    <t>Sarhan; Sameh; (Santa Clara, CA); Sadreddin; Mohammad Iman; (Union City, CA)</t>
  </si>
  <si>
    <t>B01L 2300/0825 20130101;  B01L 2200/027 20130101;  B01L 3/5023 20130101;  G01N 33/54386 20130101</t>
  </si>
  <si>
    <t>A low-cost immunoassay apparatus and system that facilitates the     operation of efficient high-volume microbial disease testing centers is     described. Included is a highly accurate and sensitive lateral flow assay     instrument, complete with internal environmentally controlled chamber, a     through-sample spectrographic reader, and cloud-connected flexible pre-     and post-test calibration and data analysis. Also included is a highly     integrated cloud-connected smartphone application that manages the flow     and procedure of each patient before and during his visit to a testing     center.</t>
  </si>
  <si>
    <t>US20210379425</t>
  </si>
  <si>
    <t>16/894040</t>
  </si>
  <si>
    <t>Tran; Bich Q.; (Saratoga, CA)</t>
  </si>
  <si>
    <t>A62B 23/06 20130101;  A62B 9/006 20130101</t>
  </si>
  <si>
    <t>US20210379318</t>
  </si>
  <si>
    <t>DEVICE AND METHOD FOR DEACTIVATING AIRBORNE PATHOGENS</t>
  </si>
  <si>
    <t>16/896809</t>
  </si>
  <si>
    <t>ADVANCED IMAGING RESEARCH, INC.</t>
  </si>
  <si>
    <t>ADVANCED IMAGING RESEARCH</t>
  </si>
  <si>
    <t>Srinivasan; Ravi; (Beachwood, OH); Srinivasan; Swathi R; (Beachwood, OH)</t>
  </si>
  <si>
    <t>A61M 16/208 20130101;  A61M 16/1075 20130101;  A61M 16/107 20140204;  A61M 16/0605 20140204;  A61M 2202/203 20130101;  A61M 2205/3673 20130101;  A61M 16/1055 20130101;  A61M 16/0003 20140204;  A61M 2205/3368 20130101;  A61M 2205/8206 20130101;  A61M 2202/206 20130101</t>
  </si>
  <si>
    <t>A breathing apparatus includes a first air pathway for receiving ambient     air and channeling the air through a portion of the breathing apparatus,     a heating section operatively coupled to the first air pathway and     configured to elevate a temperature of the ambient air in the first air     pathway to a first prescribed temperature, and a cooling section     operatively coupled to the first air pathway and configured to reduce the     temperature of the ambient air heated by the heating section to a second     prescribed temperature, the second prescribed temperature lower than the     first prescribed temperature. A breathing circuit is coupled to the first     air pathway and configured to provide the cooled air to a user.</t>
  </si>
  <si>
    <t>US20210379235</t>
  </si>
  <si>
    <t>UV SYSTEMS FOR PATHOGEN MITIGATION IN HVAC</t>
  </si>
  <si>
    <t>17/339109</t>
  </si>
  <si>
    <t>KONINKLIJKE FABRIEK INVENTUM B.V.</t>
  </si>
  <si>
    <t>KONINKLIJKE FABRIEK INVENTUM</t>
  </si>
  <si>
    <t>Vermeulen; Timothy; (Nieuwegein, NL)</t>
  </si>
  <si>
    <t>A61L 9/205 20130101;  A61L 2209/21 20130101;  A61L 2209/16 20130101;  A61L 2209/12 20130101</t>
  </si>
  <si>
    <t>A system includes an air duct and an ultra-violet (UV) photocatalysis     system in fluid communication with the air duct for reduction of airborne     pathogens in air flow through the air duct. An HVAC system can is fluid     communication with the air duct, where the HVAC system is upstream and/or     downstream of the air duct. The UV photocatalysis system can include at     least one vacuum UV (VUV) illuminator positioned in the air duct to     illuminate at least one photocatalyst body. The photocatalyst body can be     configured to catalyze ionization of pathogens in airflow through the air     duct under illumination from the VUV illuminator.</t>
  </si>
  <si>
    <t>US20210379233</t>
  </si>
  <si>
    <t>CLOSE PROXIMITY AIR SANITATION</t>
  </si>
  <si>
    <t>17/397950</t>
  </si>
  <si>
    <t>BOSKI CORP</t>
  </si>
  <si>
    <t>BOSKI</t>
  </si>
  <si>
    <t>BANAEI; Esmaeil; (Orlando, FL); BOGA; Justin; (Orlando, FL); MOYLE; Andrew; (Orlando, FL)</t>
  </si>
  <si>
    <t>A61L 2209/14 20130101;  A61L 9/20 20130101;  A61L 2209/134 20130101</t>
  </si>
  <si>
    <t>An air sanitation device may be utilized for sanitizing air particularly     in environments where individuals may be in close proximity to one     another. The device may include an internal chamber with an air inlet, an     air outlet, and an air flow path defined between the inlet and the     outlet. The chamber may be pressurized, for instances through an     adjustable vacuum. The chamber may include one or more sources of     sanitizing radiation, which may be a UV light emitter. Reflective coating     may be provided around the internal chamber to improve the coverage of UV     light, or other sanitizing radiation. The air flow path may follow a     channel whose internal surface may include the reflective coating.</t>
  </si>
  <si>
    <t>US20210379219</t>
  </si>
  <si>
    <t>PORTABLE SANITIZING ARRANGEMENT</t>
  </si>
  <si>
    <t>17/338622</t>
  </si>
  <si>
    <t>SAFER PLACE, LTD.</t>
  </si>
  <si>
    <t>SAFER PLACE</t>
  </si>
  <si>
    <t>Hariri; Abdi; (Hillsborough, CA); Mora; Marco; (Millbrae, CA); Brooks; Jeffrey; (Escondido, CA)</t>
  </si>
  <si>
    <t>A61L 2/26 20130101;  A61L 2202/16 20130101;  A61L 2/10 20130101;  A61L 2202/20 20130101</t>
  </si>
  <si>
    <t>A portable sanitizing arrangement is disclosed comprising essentially a     protective case for a mobile productivity device such as a smartphone     together with an ultraviolet light source for convenient disinfecting of     high-touch objects and surfaces. The arrangement further comprises user     controls and interfaces to enable the ultraviolet light source to safely     emit light at wavelengths known to kill and destroy bacterial and viral     species among other potentially harmful microorganisms. The sanitizing     arrangement may irradiate the mobile productivity device itself as well     as commonly encountered objects and surfaces in work, travel,     entertainment and home environments with substantially greater ease and     convenience and at potentially lower cost than with known sanitizing     devices and methods.</t>
  </si>
  <si>
    <t>US20210379216</t>
  </si>
  <si>
    <t>APPARATUS AND METHODS FOR INFECTIOUS VIRUS MITIGATION</t>
  </si>
  <si>
    <t>17/012861</t>
  </si>
  <si>
    <t>Bushong, JR., James H.</t>
  </si>
  <si>
    <t>BUSHONG</t>
  </si>
  <si>
    <t>Bushong, JR.; James H.; (Skillman, NJ)</t>
  </si>
  <si>
    <t>A61L 2/0082 20130101;  A61L 2/0029 20130101;  A61L 2/0017 20130101</t>
  </si>
  <si>
    <t>The present invention offers infectious virus mitigation apparatus that     utilize one or more 3-dimensional porous metal substrate that impart     virus mitigation effect. Fluid that contains or may contain infectious     virus traverses through said substrate to achieve virus mitigation     effect. Additional virus mitigation effect can be achieved by subjecting     said virus mitigation apparatus to suitable wavelength(s) of light that     enhance total virus mitigation effect and/or utilizing contoured cover     glazing to induce fluid dynamics that can enhance total virus mitigation     effect per pass of said fluid through said apparatus. The utility     includes a wide variety of practical uses such as filtration of air,     water, blood, and other fluids that contain or may contain infectious     virus such as coronavirus.</t>
  </si>
  <si>
    <t>US20210379181</t>
  </si>
  <si>
    <t>17/231261</t>
  </si>
  <si>
    <t>C12N 2770/20034 20130101;  A61K 39/215 20130101;  C12N 2770/20031 20130101;  A61K 47/26 20130101;  C12N 7/00 20130101;  A61K 47/6933 20170801;  A61K 2039/53 20130101</t>
  </si>
  <si>
    <t>US20210379091</t>
  </si>
  <si>
    <t>USE OF CATIONIC STEROIDAL ANTIMICROBIAL COMPOUNDS TO DEACTIVATE     CORONAVIRUS</t>
  </si>
  <si>
    <t>17/340413</t>
  </si>
  <si>
    <t>BRIGHAM YOUNG UNIVERSITY</t>
  </si>
  <si>
    <t>Savage; Paul B.; (Mapleton, UT); Moore; Michael C.; (Chandler, AZ)</t>
  </si>
  <si>
    <t>A61K 31/695 20130101;  A61K 31/575 20130101;  A61K 31/69 20130101;  A61K 31/58 20130101</t>
  </si>
  <si>
    <t>The present disclosure describes compositions and methods for     deactivating coronavirus. A method includes providing a deactivation     composition including one or more CSA compounds and a carrier,     administering the deactivation composition to a subject, and the     deactivation composition deactivating coronavirus virions in the subject     or coming into contact with the subject. The method can thereby prevent,     decrease, or inhibit a coronavirus infection, such as COVID-19, of the     subject.</t>
  </si>
  <si>
    <t>US20210379090</t>
  </si>
  <si>
    <t>REMDESIVIR ORAL DELIVERY SYSTEM</t>
  </si>
  <si>
    <t>17/340862</t>
  </si>
  <si>
    <t>ABON PHARMACEUTICALS, LLC</t>
  </si>
  <si>
    <t>ABON PHARMACEUTICALS</t>
  </si>
  <si>
    <t>AHMED; Salah U.; (New City, NY); ZU; Yanming; (Tenafly, NJ); PRAJAPATI; Hetalben; (Dumont, NJ); SYED; Mohammed I.; (Dumont, NJ); CHOWDHURY; Tahseen A.; (Township Of Washington, NJ)</t>
  </si>
  <si>
    <t>A61K 31/675 20130101;  A61K 9/0053 20130101;  A61K 9/4866 20130101;  A61K 9/4833 20130101;  A61K 9/4858 20130101;  A61K 9/4891 20130101</t>
  </si>
  <si>
    <t>The present disclosure provides a remdesivir oral delivery system     bypassing the first pass hepatic metabolism. More specifically, the     disclosure relates to an oral dosage form of remdesivir comprising a     lipid based vehicle in an enteric capsule designed to be delivered at     intestine to be absorbed by lymphatic pathway, therefore minimizing the     first pass hepatic metabolism and improving the oral bioavailability. In     some embodiments, the disclosure provides an oral dosage form comprising:     (a) remdesivir; (b) a lipid-based vehicle comprising a lipophilic     vehicle, an amphiphilic vehicle, a none-aqueous hydrophilic vehicle, or     combinations thereof; and (c) an enteric capsule; wherein the remdesivir     is dissolved or dispersed in the lipid-based vehicle; and, wherein the     remdesivir and the lipid-based vehicle are in the enteric capsule. It     also relates to methods of designing and making this dosage form, and     methods of usage of this dosage form in the early treatment and     prophylaxis of coronavirus infections, e.g., COVID-19.</t>
  </si>
  <si>
    <t>US20210379058</t>
  </si>
  <si>
    <t>Arylamide Compounds For Treatment And Prevention Of Viral Infections</t>
  </si>
  <si>
    <t>17/339230</t>
  </si>
  <si>
    <t>INNOVATION PHARMACEUTICALS INC.</t>
  </si>
  <si>
    <t>INNOVATION PHARMACEUTICALS</t>
  </si>
  <si>
    <t>Harness; Jane A.; (Wakefield, MA); Ehrlich; Leo; (Wakefield, MA); Weston; Warren Kyle; (Salt Lake City, UT)</t>
  </si>
  <si>
    <t>A61K 39/215 20130101;  A61P 31/12 20180101;  A61K 31/496 20130101</t>
  </si>
  <si>
    <t>The present disclosure provides methods for treating or preventing a     viral infection with one or more arylamide compounds, or pharmaceutically     acceptable salts thereof, or compositions comprising the same, and     pharmaceutical compositions comprising one or more arylamide compounds     and at least one antiviral agent.</t>
  </si>
  <si>
    <t>US20210379025</t>
  </si>
  <si>
    <t>COMPOSITIONS AND METHODS FOR BLOCKING THE CYTOKINE STORM OF CORONAVIRUS     AND OTHER MEDICAL CONDITIONS</t>
  </si>
  <si>
    <t>16/946105</t>
  </si>
  <si>
    <t>WINSTON THOMAS</t>
  </si>
  <si>
    <t>Winston; Thomas; (Stillwell, KS)</t>
  </si>
  <si>
    <t>A61K 31/436 20130101;  A61K 31/155 20130101;  A61K 31/05 20130101;  A61K 31/232 20130101;  A61K 45/06 20130101</t>
  </si>
  <si>
    <t>Disclosed herein are pharmaceutical compositions for the treatment of     cytokine storm syndrome, and methods of administering such compositions     for the treatment of acute respiratory distress syndrome, and the     prevention of multiple organ failure in patients with cytokine storm     syndrome and/or acute respiratory distress syndrome, comprising an     effective amount of one or more mTor inhibitors.</t>
  </si>
  <si>
    <t>US20210379016</t>
  </si>
  <si>
    <t>THERAPEUTICS AND METHODS OF TREATMENT OF ANGIOTENSIN-CONVERTING ENZYME 2     ASSOCIATED CONDITIONS</t>
  </si>
  <si>
    <t>17/341249</t>
  </si>
  <si>
    <t>BHUIYAN; Shenuarin; (Shreveport, LA); KEVIL; Christopher; (Shreveport, LA); ORR; Anthony Wayne; (Benton, LA); ABDULLAH; Chowdhury S; (Shreveport, LA); Aishwarya; Richa; (Shreveport, LA)</t>
  </si>
  <si>
    <t>A61K 31/57 20130101;  A61K 31/445 20130101;  A61K 31/4015 20130101;  A61K 31/55 20130101;  A61K 45/06 20130101;  A61K 31/341 20130101;  A61K 31/5375 20130101</t>
  </si>
  <si>
    <t>Therapeutics and methods of treating one of an angiotensin-converting     enzyme 2 (ACE2) associated condition and an ACE2 associated pre-condition     patient comprising administering to the patient a pharmaceutically     therapeutic dose of a therapeutic, wherein the therapeutic includes     either a Sigmar1 antagonist or any pharmaceutically acceptable salt,     solvate, or prodrug thereof, or a Sigmar1 enhancer, or any     pharmaceutically acceptable salt, solvate, or prodrug thereof. A method     of treating coronavirus disease 2019 (COVID-19) patient comprising     administering to the patient a pharmaceutically therapeutic dose of a     therapeutic, wherein the therapeutic includes a Sigmar1 enhancer, or any     pharmaceutically acceptable salt, solvate, or prodrug thereof.</t>
  </si>
  <si>
    <t>US20210378778</t>
  </si>
  <si>
    <t>AEROSOL REDUCTION SYSTEMS AND METHODS</t>
  </si>
  <si>
    <t>17/230209</t>
  </si>
  <si>
    <t>PERIO DOME INC</t>
  </si>
  <si>
    <t>PERIO DOME</t>
  </si>
  <si>
    <t>Ryan; Lara L.; (Belton, MO)</t>
  </si>
  <si>
    <t>A61C 17/06 20190501;  A61M 1/80 20210501;  A61M 2205/7536 20130101;  A61B 90/05 20160201;  A61B 90/50 20160201</t>
  </si>
  <si>
    <t>A system for reducing aerosols emitted from a patient on which a medical     procedure is being performed. The system comprises a transparent dome and     an adapter assembly configured to releasably support the dome. The system     additionally comprises a support assembly configured to support the     adapter assembly and the dome. The support assembly is adjustable such     that the dome can be selectively positioned over an intended body area of     the patient and block aerosols emitted from the intended body area.</t>
  </si>
  <si>
    <t>US20210378643</t>
  </si>
  <si>
    <t>BREAKABLE SAMPLE COLLECTION SWAB</t>
  </si>
  <si>
    <t>17/338469</t>
  </si>
  <si>
    <t>Roswech; Todd; (Ivoryton, CT); Rothberg; Jonathan M.; (Guilford, CT); Glantz; Spencer; (West Hartford, CT); Rosenbluth; Benjamin; (Hamden, CT)</t>
  </si>
  <si>
    <t>C12Q 1/6844 20130101;  B01L 3/5029 20130101;  A61B 10/0051 20130101;  C12Q 1/70 20130101</t>
  </si>
  <si>
    <t>Provided herein, in some embodiments, are breakable swabs for sample     collection. In some embodiments, the swabs may be used in rapid     diagnostic tests to detect one or more target nucleic acid sequences     (e.g., a nucleic acid sequence of one or more pathogens). In some     embodiments, the pathogens are viral, bacterial, fungal, parasitic, or     protozoan pathogens, such as SARS-CoV-2 or an influenza virus. The swab     may include a stem portion for handling and a head portion for collecting     and/or holding a sample. After sample collection, the head portion may be     inserted into a reaction tube or any other sample-receiving device. The     stem portion of the swab may then be separated or detached from the head     portion along a breakable portion.</t>
  </si>
  <si>
    <t>US20210378639</t>
  </si>
  <si>
    <t>Method for detecting antigens or antibodies to the antigens using EBC and     EBC collection device</t>
  </si>
  <si>
    <t>17/338736</t>
  </si>
  <si>
    <t>DR. COLLIN GMBH</t>
  </si>
  <si>
    <t>COLLIN</t>
  </si>
  <si>
    <t>COLLINS; T. Que; (Los Angeles, CA); REID; Christopher Brian; (Los Angeles, CA)</t>
  </si>
  <si>
    <t>G01N 33/54386 20130101;  A61B 2010/0087 20130101;  A61B 10/00 20130101</t>
  </si>
  <si>
    <t>An exhaled breath condensate (EBC) collection device comprising two     adjacent parts foldable together and apart from each other, a     condensation zone to condense exhaled breath from a subject, the     condensation zone being a third part provided between the two adjacent     parts and connectable to cooling means arranged in each of the two parts     being in cooling relationship with the condensation zone. There is also     provided a method for detecting antigens or antibodies to the antigens,     the method comprising collecting EBC from a subject using the EBC     collection device, performing immunochromatographic testing (ICT) of the     collected exhaled breath condensate, and interpreting the     immunochromatographic testing results as follows: if the     immunochromatographic testing results are positive, the antigens or     antibodies to the antigens are detected, or if the immunochromatographic     testing results are negative, the antigens or antibodies to the antigens     are not detected.</t>
  </si>
  <si>
    <t>US20210378548</t>
  </si>
  <si>
    <t>SYSTEMS AND METHODS FOR VERIFIED BIOMEASUREMENTS</t>
  </si>
  <si>
    <t>17/393172</t>
  </si>
  <si>
    <t>MEDF LLC</t>
  </si>
  <si>
    <t>MEDF</t>
  </si>
  <si>
    <t>Emalfarb; Michael Evan; (Chicago, IL)</t>
  </si>
  <si>
    <t>G01G 19/50 20130101;  G01G 23/42 20130101;  G01G 19/44 20130101;  A61B 5/1072 20130101;  G01G 23/3735 20130101;  G01G 23/3728 20130101;  A47G 2200/226 20130101;  A61B 5/1176 20130101;  G06K 9/00885 20130101;  A61B 5/1079 20130101;  G01G 21/283 20130101</t>
  </si>
  <si>
    <t>A method includes generating, via a camera, image data that is     reproducible as an image of at least a portion of a subject. The method     also includes receiving, via a sensor, first biomeasurement data     associated with the subject, the first biomeasurement data including a     first biomeasurement of the subject. The method also includes verifying     the first biomeasurement of the subject based at least in part on a     comparison between at least a portion of the image data and at least a     portion of the first biomeasurement data.</t>
  </si>
  <si>
    <t>US20210378540</t>
  </si>
  <si>
    <t>PHYSICAL METHODS FOR LIVING TISSUE INACTIVATION AND DETECTION, AND     PHYSICAL METHODS IN USE FOR THE DETECTION AND INACTIVATION OF LIVING     BODIES (LIKE EBOLA AND 2019 CORONAVIRUS) IN LIVING SYSTEMS AND NON-LIVING     SYSTEMS THEREOF</t>
  </si>
  <si>
    <t>17/405112</t>
  </si>
  <si>
    <t>ARAD DORIT</t>
  </si>
  <si>
    <t>ARAD; Dorit; (Tel Aviv, IL)</t>
  </si>
  <si>
    <t>A61B 5/4836 20130101;  A61B 2560/04 20130101;  A61B 10/0051 20130101;  A61L 2/0029 20130101;  A61B 5/746 20130101;  A61B 5/0531 20130101;  A61B 2560/02 20130101</t>
  </si>
  <si>
    <t>A system for detecting presence of coronavirus in a subject, the system     including a first pad for placing a first hand, the pad including a     contact to measure conductance of the subject's body, a conductance meter     connected to the contact, a second pad for placing a second hand, a     source of electromagnetic radiation for irradiating the second pad. A system for detecting presence of coronavirus in a subject, the system     including a chip with a plurality of wires disposed on or in the chip, a     conductance meter arranged to measure conductance between the wires, and     biological material associated with the coronavirus disposed on or in the     chip. Related apparatus and methods are also described.</t>
  </si>
  <si>
    <t>US20210378346</t>
  </si>
  <si>
    <t>INVISIBLE FACE MASK</t>
  </si>
  <si>
    <t>16/942035</t>
  </si>
  <si>
    <t>ABGHARI HARRY</t>
  </si>
  <si>
    <t>Abghari; Harry; (San Juan Capistrano, CA)</t>
  </si>
  <si>
    <t>A62B 23/02 20130101;  A61F 9/045 20130101;  A42B 3/30 20130101;  A42B 3/286 20130101;  A41D 13/1184 20130101</t>
  </si>
  <si>
    <t>The inventive Invisible Face Mask apparatus comprises a headgear or     headwear such as a cap, helmet, strap or a visor, which is equipped with     an air purifying mechanism, such as an air filter, that filters ambient     air, and an air blower which generates an airflow pushing the purified     air in a downward direction in front of and adjacent to the user's face.</t>
  </si>
  <si>
    <t>US20210377130</t>
  </si>
  <si>
    <t>MACHINE LEARNING BASED PREDICTIVE MODELING AND ANALYSIS OF     TELECOMMUNICATIONS BROADBAND ACCESS IN UNSERVED AND UNDERSERVED LOCATIONS</t>
  </si>
  <si>
    <t>17/404296</t>
  </si>
  <si>
    <t>TOUSI ALLEN</t>
  </si>
  <si>
    <t>Tousi; Allen; (Rockville, MD)</t>
  </si>
  <si>
    <t>H04L 41/145 20130101;  G06Q 30/0205 20130101;  G06Q 30/0201 20130101</t>
  </si>
  <si>
    <t>A method, and corresponding system, employs machine learning to predict a     plurality of output targets corresponding to a plurality of input     attributes for nodes on a telecommunications network. Each node     represents a user with no or limited Internet access desiring broadband     communications. The target can be set to a measure of the likelihood of     broadband access being provided for a particular node. The method and     corresponding system includes steps and apparatus for: defining the     attributes in relation to telecommunications broadband service for a     node, each node having associated informational content; defining the     targets as predictive outcomes relating to telecommunications broadband     service for a node; assigning each attribute a value based on     interpretation of informational content extracted from a node;     determining targets corresponding to the attributes using a machine     learning algorithm; and reporting the targets in response to queries. In     an exemplary environment, a decision tree analysis is used, where each     node is represented by a plurality of attributes, and each attribute is     used to recursively effect a split of informational content pertaining to     it, until a measure of gain as between the nodes is optimized. The target     value for each node is thereby determined. The list of input attributes     includes geographical factors, a socio-economic factors, political     factors, educational factors, technology factors, external factors and     telecommunications factors.</t>
  </si>
  <si>
    <t>US20210375485</t>
  </si>
  <si>
    <t>APPLICATION FOR TRACKING INFECTIOUS DISEASE</t>
  </si>
  <si>
    <t>17/333999</t>
  </si>
  <si>
    <t>OPTIMDOSING, LLC</t>
  </si>
  <si>
    <t>OPTIMDOSING</t>
  </si>
  <si>
    <t>KOHN; Kenneth I.; (West Bloomfield, MI); INWALD; David; (Berkley, MI); BROWN; Caitlin Joline; (Ashburn, VA)</t>
  </si>
  <si>
    <t>G06N 20/10 20190101;  G16H 80/00 20180101;  G16H 40/67 20180101;  G16H 10/60 20180101;  G16H 50/20 20180101;  G16H 50/80 20180101;  G16H 10/20 20180101;  G16H 50/30 20180101</t>
  </si>
  <si>
    <t>An application for tracking infectious disease including an input module     for inputting variables from a user in electronic communication with an     output variable module, an analysis module for analyzing input variables     and output variables, and an output module for presenting results to the     user. A method of tracking infectious disease, by a user inputting data     about symptoms of infectious disease and user defined metrics in an     application, performing an analysis on the data, and outputting a result     from the data tracking symptom progression, tracking geolocation of     symptoms and outbreaks, and tracking trends among individuals without     symptoms and individuals with different diseases. A method of monitoring     the health of employees and students.</t>
  </si>
  <si>
    <t>US20210375484</t>
  </si>
  <si>
    <t>OBJECT-BASED CONTACT TRACING</t>
  </si>
  <si>
    <t>17/333123</t>
  </si>
  <si>
    <t>PAVILION PAYMENTS GAMING SERVICES, INC.</t>
  </si>
  <si>
    <t>PAVILION PAYMENTS GAMING</t>
  </si>
  <si>
    <t>Schwartz; Andrew J.; (Las Vegas, NV)</t>
  </si>
  <si>
    <t>H04W 4/80 20180201;  G16H 50/80 20180101;  H04W 4/029 20180201</t>
  </si>
  <si>
    <t>A contact-tracing (CT) device associated with an inanimate object or     location receives a wireless message from a first mobile device     indicating that a first user of the first mobile device had previously     been exposed to a communicable disease (e.g., Covid). In response, the CT     device begins to broadcast tokens indicating that exposure. A second     mobile device receiving such a token identifies that exposure to a second     user of the second mobile device, thereby enabling the second user to     leave the location of the CT device. In some implementations, the CT     device informs a backend CT server about the exposure, and the second     mobile device queries the CT server about that exposure, thereby enabling     the second user to avoid the location of the CT device.</t>
  </si>
  <si>
    <t>US20210375483</t>
  </si>
  <si>
    <t>Systems and Methods for Using Acoustic Communications for Contact Tracing     Within Administrative Boundaries</t>
  </si>
  <si>
    <t>17/332502</t>
  </si>
  <si>
    <t>RAMALHO MICHAEL A</t>
  </si>
  <si>
    <t>RAMALHO MICHAEL</t>
  </si>
  <si>
    <t>Ramalho; Michael A.; (Lakewood Ranch, FL); Karaman; Gail W.; (Lakewood Ranch, FL)</t>
  </si>
  <si>
    <t>G16H 50/80 20180101;  H04B 11/00 20130101</t>
  </si>
  <si>
    <t>Systems, computer-implemented methods, and non-transitory     computer-readable media are provided for performing contact tracing using     acoustic communications within or across administrative domains. A     computer-implemented method may include obtaining information associated     with one or more acoustic tokens from a first user device of a first user     where the one or more acoustic tokens were broadcast from an emitter     device in an acoustic volume via an audio communication channel,     obtaining information associated with one or more acoustic tokens     broadcast from the emitter device from a second user device of a second     user, determining whether the second user was exposed to a disease     associated with the first user in the acoustic volume based on analyzing     the information associated with the acoustic tokens from the first user     device and the information associated with the acoustic tokens from the     second user device, and providing information indicating whether the     second user was exposed to the disease.</t>
  </si>
  <si>
    <t>US20210375482</t>
  </si>
  <si>
    <t>PREDICTIVE DEEP LEARNING FOR ENHANCEMENT OF SPECIMEN WORKFLOW</t>
  </si>
  <si>
    <t>17/322582</t>
  </si>
  <si>
    <t>Kelly, Sean; Kelly, Kevin M.</t>
  </si>
  <si>
    <t>KELLY SEAN</t>
  </si>
  <si>
    <t>KELLY; Sean; (Yorba Linda, CA); KELLY; Kevin M.; (Chesterton, IN)</t>
  </si>
  <si>
    <t>G06Q 10/0635 20130101;  G16H 50/80 20180101;  G06Q 50/22 20130101</t>
  </si>
  <si>
    <t>The present disclosure provides methods for screening subjects at a     subordinate location within a geographic region, or a subordinate space     within the subordinate location for an infectious agent. Such methods may     comprise assigning a risk score to each of the one or more subordinate     locations or subordinate spaces based on an amount of infectious agent in     pooled environmental samples and pooled biological samples in a     subordinate location or subordinate space as compared to each other     subordinate location or subordinate space, and then screening biological     samples from subordinate locations or subordinate spaces that have a     higher risk score before screening biological samples from subordinate     locations or subordinate spaces that have a lower risk score. Methods for     determining a risk of a viral infection in one or more geographic regions     are also provided.</t>
  </si>
  <si>
    <t>US20210375481</t>
  </si>
  <si>
    <t>TRACING CONTACTS AMONG A GROUP OF INDIVIDUALS</t>
  </si>
  <si>
    <t>16/886234</t>
  </si>
  <si>
    <t>INFORMIX SOFTWARE, INC.</t>
  </si>
  <si>
    <t>INFORMIX SOFTWARE</t>
  </si>
  <si>
    <t>Weiler; Adrian; (Aachen, DE)</t>
  </si>
  <si>
    <t>G16H 10/65 20180101;  G06Q 10/105 20130101;  H04W 4/023 20130101;  G16H 50/80 20180101;  H04W 12/02 20130101</t>
  </si>
  <si>
    <t>Tracing device for tracing contacts among a group of individuals in order     to contain the spreading of an infectious disease, wherein the tracing     device s configured to: a) transmit a respective individual identifier, b) receive the individual identifiers from other tracing devices in     reach, and c) store individual identifiers received in b) in a log, and wherein the log of the tracing device can be read by a reading     device.</t>
  </si>
  <si>
    <t>US20210375469</t>
  </si>
  <si>
    <t>APPARATUS AND METHOD FOR INDIVIDUAL HEALTH CERTIFICATION</t>
  </si>
  <si>
    <t>17/332759</t>
  </si>
  <si>
    <t>INCODE TECHNOLOGIES, INC.</t>
  </si>
  <si>
    <t>INCODE</t>
  </si>
  <si>
    <t>AMPER; Ricardo; (San Francisco, CA); RUIZ; Jes s; (Polanco, MX); JOVANOVIC; Jovan; (Belgrade, RS); KESIC; Sonja; (Belgrade, RS); GOLUNOV; Alexey; (Vologda, RU); ZIVANOVIC; Nikola; (Belgrade, RS)</t>
  </si>
  <si>
    <t>G16H 10/20 20180101;  G16H 50/30 20180101</t>
  </si>
  <si>
    <t>A non-transitory computer readable storage medium has instructions     executed by a processor to prompt a user for personal information. The     user is prompted to take a self-image. The user is prompted to take an     image of a user identification card. Correspondence between the     self-image and a user identification card image is validated. The user     record is finalized. Health test results are obtained. A digital health     certificate is created if the health test results are verified. A user     image from on premise location is received. Health certification criteria     for the user is applied to alternately establish a criteria met state and     a criteria fail state. Premise access denied messages are sent in     response to the criteria fail state. A safety certification is supplied     in response to the criteria met state.</t>
  </si>
  <si>
    <t>US20210375462</t>
  </si>
  <si>
    <t>SYSTEM AND METHOD UTILIZING SOFTWARE-ENABLED ARTIFICIAL INTELLIGENCE FOR     HEALTH MONITORING AND MEDICAL DIAGNOSTICS</t>
  </si>
  <si>
    <t>17/337142</t>
  </si>
  <si>
    <t>Rayos, Jonathan C.; D'Orazio, Michael Angelo</t>
  </si>
  <si>
    <t>RAYOS JONATHAN</t>
  </si>
  <si>
    <t>Rayos; Jonathan C.; (Sterling Heights, MI); D'Orazio; Michael Angelo; (Farmington Hills, MI)</t>
  </si>
  <si>
    <t>G09B 5/02 20130101;  G06F 8/30 20130101;  A61B 5/02055 20130101;  A61B 5/024 20130101;  A61B 5/1128 20130101;  A61B 5/7275 20130101;  G16H 50/20 20180101;  G16H 50/30 20180101;  G16H 40/67 20180101;  A61B 5/015 20130101;  G06N 20/00 20190101;  A61B 5/7264 20130101;  G06F 21/32 20130101;  A61B 5/021 20130101;  A61B 5/0816 20130101</t>
  </si>
  <si>
    <t>The disclosed inventive concept provides a system and method     incorporating extended reality, augmented reality, virtual reality, and     artificial intelligence. The disclosed system and method utilizes these     technologies to provide solutions to both the need for real-time medical     diagnosis. Through the utilization of real-time 3D imaging, extended     reality data, augmented reality data, and artificial intelligence, an     actual real-time emergency or non-emergency medical response to an     emergent or non-emergent medical condition provides immediate diagnostic     information through predictive analytics from collective data to     emergency medical services and hospital medical personnel. Through the     utilization of real-time imaging through the use of telematics and high     fidelity video cameras to help generate extended reality data, augmented     reality data, artificial intelligence, and related software, an actual     real-time medical response to both emergent and non-emergent situations     is made possible by providing immediate diagnostic information through     predictive analytics from collective data to emergency medical services     and hospital medical personnel.</t>
  </si>
  <si>
    <t>US20210375451</t>
  </si>
  <si>
    <t>17/325921</t>
  </si>
  <si>
    <t>H04B 11/00 20130101;  G16H 40/67 20180101</t>
  </si>
  <si>
    <t>Systems, computer-implemented methods, and tangible non-transitory     computer-readable media are provided for performing contact tracing using     acoustic communications. For example, a computer-implemented method may     include allocating an acoustic token for broadcasting via an audio     communication channel, obtaining information associated with the acoustic     token received from a first device of a first user based on the     broadcasting of the acoustic token where the first user is associated     with a disease, determining whether the information associated with the     acoustic token from the first device relates to information associated     with the acoustic token received from a second device of a second user,     and providing information that indicates whether the second user was     exposed to the disease based on whether the information associated with     the acoustic token from the first device relates to the information     associated with the acoustic token from the second device.</t>
  </si>
  <si>
    <t>US20210375268</t>
  </si>
  <si>
    <t>Multi-Purpose Protective Face Mask</t>
  </si>
  <si>
    <t>17/332751</t>
  </si>
  <si>
    <t>LACY ERIC</t>
  </si>
  <si>
    <t>Lacy; Eric; (Calabasas, CA)</t>
  </si>
  <si>
    <t>G10L 15/08 20130101;  H04R 2430/01 20130101;  H04W 4/80 20180201;  H04R 1/025 20130101;  H04R 2420/07 20130101;  G06F 40/58 20200101</t>
  </si>
  <si>
    <t>A protective face mask implemented with a pocket located on a front     surface of the mask. A removable amplifier unit configured to be placed     into the pocket, the removable amplifier unit comprising: a     micro-processor configured to process voice data; a rechargeable battery     coupled to the micro-processor; a Bluetooth device coupled to the     micro-processor; a microphone coupled to the micro-processor and     configured to provide the voice data to the micro-processor; and a     speaker unit configured to output the voice data processed by the     micro-processor.</t>
  </si>
  <si>
    <t>US20210374631</t>
  </si>
  <si>
    <t>PROCESS FOR WORKPLACE DISEASE MANAGEMENT</t>
  </si>
  <si>
    <t>17/326163</t>
  </si>
  <si>
    <t>THE MODERN GROUP, LTD.</t>
  </si>
  <si>
    <t>MODERN</t>
  </si>
  <si>
    <t>LUKE; Robert; (Youngesville, LA)</t>
  </si>
  <si>
    <t>G06Q 10/105 20130101;  G16H 10/65 20180101;  G06Q 10/0635 20130101;  G16H 50/20 20180101;  G16H 50/30 20180101;  G16H 10/40 20180101;  G16H 50/80 20180101;  G06Q 10/1091 20130101;  G16H 40/20 20180101;  G06K 9/628 20130101;  G16H 10/20 20180101;  G07C 9/38 20200101</t>
  </si>
  <si>
    <t>A method for workplace disease management may include determining     employer criteria, screening employees, classifying employees into risk     groups, identifying symptomatic employees, establishing work paths and     work areas, and monitoring employee compliance with work paths and work     areas.</t>
  </si>
  <si>
    <t>US20210373850</t>
  </si>
  <si>
    <t>Multi-Modal Input Capture And Output Presentation System For Enhancing     Communications Using Face Coverings</t>
  </si>
  <si>
    <t>17/329857</t>
  </si>
  <si>
    <t>OPEN I NETWORKS LLC</t>
  </si>
  <si>
    <t>OPEN NETWORKS</t>
  </si>
  <si>
    <t>Shah; Nita Nitin; (Cupertino, CA); Shah; Nitin Jayant; (Cupertino, CA)</t>
  </si>
  <si>
    <t>G06F 2203/0381 20130101;  G06F 3/167 20130101;  H04R 1/083 20130101;  H04R 1/46 20130101</t>
  </si>
  <si>
    <t>Communications involving one or more people wearing face coverings are     enhanced over one or more modalities using sensor integrations. In one     particular example, a face covering device according to the     implementations of this disclosure may include one or more microphones     and one or more cameras which capture input directly from the wearer of     the face covering device. The input is processed to produce output     representing the input in the same modality or in a different modality,     and in particular is scaled to, for example, increase a volume of audio     and introduce a visual representation of an expression of the wearer's     face which is at least partially obscured by the face covering device.</t>
  </si>
  <si>
    <t>US20210373519</t>
  </si>
  <si>
    <t>HVAC SYSTEM WITH BUILDING INFECTION CONTROL</t>
  </si>
  <si>
    <t>17/403669</t>
  </si>
  <si>
    <t>Risbeck; Michael J.; (Madison, WI); Drees; Kirk H.; (Cedarburg, WI); Douglas; Jonathan D.; (Mequon, WI)</t>
  </si>
  <si>
    <t>F24F 2110/10 20180101;  F24F 11/70 20180101;  F24F 8/22 20210101;  F24F 11/52 20180101;  F24F 2120/20 20180101;  G05B 19/04 20130101;  G06F 30/20 20200101;  F24F 11/64 20180101;  F24F 2110/20 20180101;  G05B 2219/2614 20130101;  G05B 19/042 20130101;  F24F 11/47 20180101;  G05B 15/02 20130101;  F24F 2140/60 20180101;  F24F 8/10 20210101</t>
  </si>
  <si>
    <t>A heating, ventilation, or air conditioning (HVAC) system for one or more     building zones includes airside HVAC equipment that provide air to the     one or more building zones and a controller. The controller obtains     predictive models to predict values of a first control objective and a     second control objective for the one or more building zones as a function     of control decision variables for the airside HVAC equipment. The     controller performs a Pareto optimization for a time period using the one     or more predictive models to determine multiple sets of Pareto optimal     values of the control decision variables and corresponding sets of Pareto     optimal values of the first control objective and the second control     objective for the time period. The controller operates the airside HVAC     equipment to provide the air to the one or more building zones in     accordance with a selected set of the Pareto optimal values.</t>
  </si>
  <si>
    <t>US20210373034</t>
  </si>
  <si>
    <t>Methods of Assigning a COVID Pathological Type and Compositions for     Practicing the Same, and Methods of Treating a Subject for Chronic     COVID-19</t>
  </si>
  <si>
    <t>17/351055</t>
  </si>
  <si>
    <t>INCELLDX, INC.</t>
  </si>
  <si>
    <t>INCELLDX</t>
  </si>
  <si>
    <t>Patterson; Bruce K.; (Menlo Park, CA); Francisco; Edgar B.; (San Carlos, CA); Pise; Amruta; (San Carlos, CA); Long; Emily; (San Carlos, CA)</t>
  </si>
  <si>
    <t>A61K 31/46 20130101;  A61K 38/195 20130101;  A61K 45/06 20130101;  G01N 2333/521 20130101;  G01N 33/6893 20130101;  C07K 2317/24 20130101;  A61K 31/506 20130101;  C07K 16/2866 20130101;  G01N 2800/52 20130101;  A61K 31/4178 20130101</t>
  </si>
  <si>
    <t>Methods of assigning a COVID pathological type for a subject suffering     from COVID-19 are provided. Aspects of the methods include assigning a     COVID pathological type for the subject based on a determined     quantitative, multiplex cytokine/chemokine panel in a test sample from     the subject. Also provided are methods of treating a subject (e.g., a     long hauler subject) for chronic COVID-19. Aspects of such methods     include administering to the long hauler subject a CCR5/CCL5 interaction     inhibitor to treat the long hauler subject. Also provided are     compositions for use in practicing the methods. The methods and     compositions find use in a variety of applications, including patient     stratification, treatment and therapy determination and therapy response     assessment.</t>
  </si>
  <si>
    <t>US20210373020</t>
  </si>
  <si>
    <t>SYSTEMS AND PROCESSES TO SCREEN FOR SEVERE ACUTE RESPIRATORY SYNDROME     CORONAVIRUS 2 (SARS-CoV-2) OF 2019 (COVID-19)</t>
  </si>
  <si>
    <t>17/337022</t>
  </si>
  <si>
    <t>Gainey; Melicia R.; (Columbus, OH); Natour; Dalia; (Columbus, OH)</t>
  </si>
  <si>
    <t>G01N 33/56983 20130101;  G01N 2333/165 20130101</t>
  </si>
  <si>
    <t>Alternative antibodies to screen for SARS-CoV-2 are disclosed. One     alternative antibody is Mouse Species Coronavirus (COVID-19, MERS, and     SARS-CoV NP) Antibody, Catalog Number HM1056 ("E3-Antibody" or "E3"),     from EastCoast Bio, Inc., PO Box 489, North Berwick, Me. 03906, USA     ("EastCoast Bio"). Another alternative antibody is a combination of the     E3-Antibody and Mouse Species Coronavirus (COVID-19, MERS, and SARS-CoV     NP) Antibody, Catalog Number HM1057 ("E1-Antibody" or "E1"), from     EastCoast Bio (the combination of the E1-Antibody and the E3-Antibody is     designated as "E1/E3-Antibody" or simply "E1/E3"). Yet another     alternative antibody is a combination of Mouse Species Anti-SARS-CoV-2 NP     mAb, clone 4B21, Catalog Number CABT-CS027 ("C4-Antibody" or "C4"), from     Creative Diagnostics, 45-1 Ramsey Road, Shirley, N.Y. 11967, USA     ("Creative Diagnostics"), and Mouse Species Anti-SARS-CoV-2 NP mAb, clone     7G21, Catalog Number CABT-CS026 ("C5-Antibody" or "C5"), also from     Creative Diagnostics (the combination of the C4-Antibody and the     C5-Antibody is designated as "C4/C5-Antibody" or simply "C4/C5").</t>
  </si>
  <si>
    <t>US20210373019</t>
  </si>
  <si>
    <t>17/336443</t>
  </si>
  <si>
    <t>G01N 33/543 20130101;  C07K 16/10 20130101;  C07K 2317/20 20130101;  G01N 33/56983 20130101;  C12N 5/0686 20130101;  C12N 2523/00 20130101</t>
  </si>
  <si>
    <t>Systems and processes to screen for SARS-CoV-2, which includes a process     that uses an alternative antibody for ELISA. The alternative antibody is     an alternative to a mouse antibody, thereby expanding the ability to test     for COVID-19 using non-human antibodies.</t>
  </si>
  <si>
    <t>US20210373018</t>
  </si>
  <si>
    <t>LATERAL FLOW DETECTION DEVICE FOR DETECTING A CORONAVIRUS BY IMMUNOASSAY</t>
  </si>
  <si>
    <t>17/244129</t>
  </si>
  <si>
    <t>HANGZHOU BIOTEST BIOTECH CO., LTD.</t>
  </si>
  <si>
    <t>HANGZHOU BIOTEST BIOTECH</t>
  </si>
  <si>
    <t>Ye; Chunsheng; (Hangzhou, CN); Zhang; Zhenxing; (Hangzhou, CN); Wang; Zhenyu; (Hangzhou, CN); Hou; Luna; (Hangzhou, CN)</t>
  </si>
  <si>
    <t>The present invention provides a lateral flow test device for detecting a     coronavirus antibody by immunoassay; the test device includes three     lateral flow test strips; a first test strip is directed to the antibody     detection of a N full-length protein and/or an S full-length protein     antigens/antigen; and a second test strip is directed to the antibody     detection of an S-RBD-site protein antigen, and both of the first strip     and the second strip are combined to detect novel coronavirus IgG and IgM     antibodies, which can practically reduce the possibility of missing     detection and wrong detection; further, a third test strip is directed to     the detection of a neutralizing antibody at an S-RBD site to rapidly     detect the neutralizing antibody having protection effect, thus further     helping the prevention of missing detection and helping patients to     perform self-detection and judge the situations of recovery, or vaccine     immunity.</t>
  </si>
  <si>
    <t>US20210373009</t>
  </si>
  <si>
    <t>PLASMONIC META-SURFACE BASED MOLECULAR SENSORS AND METHODS FOR MAKING AND     USING THEM</t>
  </si>
  <si>
    <t>17/334171</t>
  </si>
  <si>
    <t>Neogi; Arup; (Denton, TX); Ashalley; Eric; (Cape Coast, GH)</t>
  </si>
  <si>
    <t>G01N 21/31 20130101;  G01N 2201/0636 20130101;  G01N 2333/165 20130101;  G01N 33/54373 20130101;  G06N 3/04 20130101;  C12Q 1/70 20130101;  G01N 33/56983 20130101</t>
  </si>
  <si>
    <t>A chiral metamaterial absorber modeled after the yin-yang symbol     comprising: a top yin-yang shaped Au nanoparticles (YNPs); a PMMA layer;     an Au backreflector; and a bottom glass layer. In alternative     embodiments, provided are devices acting as sensors for detecting a     nucleotide such as a cDNA and/or a protein such as a protein from a     pathogen such as a bacteria or a virus, wherein the cDNA or protein can     be derived from a Coronavirus, for example, a SARS CoV-2 or COVID-19     virus. In alternative embodiments, devices acting as sensors as provided     herein can also be used to detect any protein for diagnostic or     therapeutic purposes, wherein the protein can be derived from a blood or     plasma sample, or a tissue sample, for example, a biopsy, from an     individual in need thereof, for example, a human or an animal.</t>
  </si>
  <si>
    <t>US20210372657</t>
  </si>
  <si>
    <t>Airflow Appliance for Mitigating Spread of Infectious Disease</t>
  </si>
  <si>
    <t>17/334756</t>
  </si>
  <si>
    <t>PACELLI ANDREA</t>
  </si>
  <si>
    <t>Pacelli; Andrea; (New York, NY)</t>
  </si>
  <si>
    <t>F24F 8/95 20210101;  F24F 2013/205 20130101;  F24F 13/20 20130101</t>
  </si>
  <si>
    <t>An airflow appliance for mitigating spread of infectious disease. The     appliance may include an elongated body configured for being disposed     across the top surface of a table, first and second side surfaces of the     body respectively facing first and second sides of the table; at least     one air intake disposed along at least one of top or side surfaces of the     body; at least one air exhaust disposed along at least one of bottom or     end surfaces of the body; at least one fan disposed in the body, the at     least one fan drawing air from the at least one air intake and expelling     air from the at least one air exhaust; wherein the at least one air     intake is configured to draw air from at least one of the first and     second sides of the table; and wherein the at least one air exhaust is     configured to blow air away from at least one of the first and second     sides of the table.</t>
  </si>
  <si>
    <t>US20210372637</t>
  </si>
  <si>
    <t>Methods and Systems for Air Management to Reduce or Block Exposure to     Airborne Pathogens</t>
  </si>
  <si>
    <t>17/336896</t>
  </si>
  <si>
    <t>Sharma, Virender K.; Sharma, Kunal M.</t>
  </si>
  <si>
    <t>SHARMA VIRENDER</t>
  </si>
  <si>
    <t>Sharma; Virender K.; (Paradise Valley, AZ); Sharma; Kunal M.; (Paradise Valley, AZ)</t>
  </si>
  <si>
    <t>B01D 46/10 20130101;  F24F 3/16 20130101;  B01D 2273/30 20130101;  F24F 8/22 20210101</t>
  </si>
  <si>
    <t>The present specification described a room air management system for     reducing or preventing exposure to and inhalation of infected aerosol to     individuals in a room, which employs filtration, purification, and     sterilization techniques using physical filtration, UV sterilization,     and/or photocatalytic filtration. In embodiments, the systems of the     present specification may be of different sizes to accommodate     differently-sized rooms. In embodiments, the system of the present     specification is a stand-alone unit. In embodiments, the system of the     present specification is a wall mountable air handler unit. In     embodiments, the system of the present specification provides UV-C     exposure to air and is capable of killing virus particles. The system of     the present specification is designed such that it is user-friendly and     easy to operate.</t>
  </si>
  <si>
    <t>US20210371941</t>
  </si>
  <si>
    <t>SYSTEMS AND METHODS FOR DETECTION OF LOW-COPY NUMBER NUCLEIC ACIDS</t>
  </si>
  <si>
    <t>16/890596</t>
  </si>
  <si>
    <t>DIMSOSKI PERO</t>
  </si>
  <si>
    <t>Dimsoski; Pero; (Brentwood, TN)</t>
  </si>
  <si>
    <t>Disclosed are compositions, methods, and systems for genetic     identification and detection of low-copy number nucleic acids, and     provides method, compositions, and kits useful for this purpose. The     methods of the invention can be used to detect in a given sample the     presence of low-copy number of nucleic acids (e.g., DNA or RNA) of     various microorganisms, including SARS-COV-2.</t>
  </si>
  <si>
    <t>US20210371939</t>
  </si>
  <si>
    <t>MECHANICAL LYSIS AND EXPOSURE BY HOMOGENIZATION FOR DIRECT VIRAL NUCLEIC     ACID AMPLIFICATION</t>
  </si>
  <si>
    <t>17/330928</t>
  </si>
  <si>
    <t>OMNI AI, INC.</t>
  </si>
  <si>
    <t>OMNI</t>
  </si>
  <si>
    <t>MOREHOUSE; Zachary; (Tampa, FL); Proctor; Caleb; (Acworth, GA); Nash; Rodney; (Tucker, GA)</t>
  </si>
  <si>
    <t>C12Q 1/6806 20130101;  C12Q 1/6888 20130101;  C12Q 1/686 20130101</t>
  </si>
  <si>
    <t>Methods and systems of analyzing a biological sample to detect the     presence of a virus are disclosed, that include mechanically homogenizing     the biological sample, wherein the biological sample is unprocessed, to     lyse the unprocessed biological sample to produce a homogenized sample;     amplifying the viral nucleic acids in the homogenized sample, where such     amplification occurs without any isolation, separation, purification, or     extraction of the viral nucleic acids in the homogenized sample; and     analyzing the amplified viral nucleic acids to detect the presence of the     virus.</t>
  </si>
  <si>
    <t>US20210371905</t>
  </si>
  <si>
    <t>SURVEILLANCE METHOD TO SCREEN ASYMPTOMATIC ESSENTIAL WORKERS FOR     EXHALATION OF SARS-COV-2</t>
  </si>
  <si>
    <t>17/331151</t>
  </si>
  <si>
    <t>UNIV VANDERBILT</t>
  </si>
  <si>
    <t>Haselton; Frederick R.; (Nashville, TN)</t>
  </si>
  <si>
    <t>C12Q 1/686 20130101;  C12Q 1/70 20130101;  A41D 13/11 20130101;  A41D 2300/20 20130101</t>
  </si>
  <si>
    <t>Disclosed herein is a COVID-19 surveillance method for detecting exhaled     virions trapped within used face masks. This is a surveillance and     warning system for identifying asymptomatic and pre-symptomatic     individuals, particularly essential workers required to wear masks while     at work. This can include healthcare workers, first responders, nursing     home personnel, postal workers, or employees at meat packing and other     production facilities. A piece of filter paper can be added to the inside     of a standard face mask, which can be removed at the end of a shift. Mask     inserts from a group of employees can be pooled and tested using standard     RT-PCR for virions collected during normal exhalation over the time the     mask is worn. As envisioned, if the group test is positive, additional     follow-up or contact tracing could be initiated to identify the     individual or individuals requiring treatment or quarantine.</t>
  </si>
  <si>
    <t>US20210371902</t>
  </si>
  <si>
    <t>SYSTEMS AND DEVICES FOR INFECTIOUS DISEASE SCREENING</t>
  </si>
  <si>
    <t>16/889667</t>
  </si>
  <si>
    <t>Alshaiba Saleh Ghannam Almazrouei; Mohammed; (Abu Dhabi, AE); Lahoud; Imad; (Abu Dhabi, AE); Bhatti; Sajid; (Abu Dhabi, AE); Machovec; Jeff; (Abu Dhabi, AE); Divakaran; Dinil; (Abu Dhabi, AE)</t>
  </si>
  <si>
    <t>C12Q 1/686 20130101;  B01L 2300/0627 20130101;  B01L 2300/185 20130101;  B01L 3/502715 20130101;  C12Q 2563/107 20130101;  B01L 3/502761 20130101;  B01L 7/5255 20130101</t>
  </si>
  <si>
    <t>A system (1) for infectious disease screening. The system is for use with     an assay device (2) which incorporates an ultrasonic transducer for     generating ultrasonic waves to lyse cells in a biological sample. The     system (1) comprises a frequency control module which is configured to     control the ultrasonic transducer (49) to oscillate at an optimum     frequency for cell lysis, a PCR arrangement (16) which is configured to     receive and amplify the DNA from the sample; and a detection arrangement     (70) which is configured to detect the presence of an infectious disease     in the amplified DNA and to provide an output which is indicative of     whether or not the detection arrangement (70) detects the presence of an     infectious disease in the amplified DNA.</t>
  </si>
  <si>
    <t>US20210371841</t>
  </si>
  <si>
    <t>SOLUBLE ACE2 VARIANTS AND USES THEREFOR</t>
  </si>
  <si>
    <t>17/187502</t>
  </si>
  <si>
    <t>Northwestern University</t>
  </si>
  <si>
    <t>NORTHWESTERN UNIVERSITY</t>
  </si>
  <si>
    <t>Batlle; Daniel; (Evanston, IL); Wysocki; Jan; (Chicago, IL)</t>
  </si>
  <si>
    <t>C07K 2319/31 20130101;  C12N 9/96 20130101;  C12Y 304/17023 20130101;  A61K 38/4813 20130101;  A61K 47/60 20170801;  A61P 31/14 20180101;  C12N 9/48 20130101;  C07K 2319/30 20130101</t>
  </si>
  <si>
    <t>The present disclosure provides various insights relating to treatment of     viral infection with soluble ACE2 variants, specifically including     soluble human ACE2 (hACE2) variants. For example, the present disclosure     teaches that decoy activity, which may intercept virus-receptor     interactions, and ACE2 enzymatic activity can provide separate     contributions to therapeutic efficacy; among other things, the present     disclosure provides particular therapeutic regimens (e.g., relating to     treatment of particular patient populations and/or to dosing regimens,     combination therapies, etc.) for certain soluble ACE2 variants. Still     further, the present disclosure provides certain particular ACE2 variants     and methods of making and/or using them, including in accordance with     particular therapeutic regimens.</t>
  </si>
  <si>
    <t>US20210371822</t>
  </si>
  <si>
    <t>METHODS FOR EXPANDING SARS-COV2-ANTIGEN-SPECIFIC T CELLS, COMPOSITIONS AND     USES RELATED THERETO</t>
  </si>
  <si>
    <t>17/333005</t>
  </si>
  <si>
    <t>University of Southern California</t>
  </si>
  <si>
    <t>SOUTHERN CALIFORNIA</t>
  </si>
  <si>
    <t>Chaudhary; Preet; (Toluca Lake, CA)</t>
  </si>
  <si>
    <t>C12N 5/0638 20130101;  A61K 35/17 20130101;  C12N 2740/15043 20130101;  C12N 2501/515 20130101;  C12N 2502/99 20130101;  C12N 15/86 20130101;  C12N 2510/00 20130101;  C12N 2502/1114 20130101</t>
  </si>
  <si>
    <t>Provided herein are methods for preparing and characterizing SARS-co2     antigen specific immune cell cultures and preparations and methods of     using the same in adoptive immunotherapy for cancer, infections and     immune disorders. Also, provided are compositions and methods for     generating immune cells expressing synthetic antigen binding receptors     targeting SARS-cov2 and methods of use of these cells for the treatment     and prevention of COVID-19. Also provided are compositions and methods     for determining immune response to SARs-cov2 in a subject, detecting     SARS-cov2, measuring cytotoxicity induced by SARS-cov2, and detecting the     expression and cytotoxicity of synthetic antigen binding receptors     targeting SARS-cov2.</t>
  </si>
  <si>
    <t>US20210371533</t>
  </si>
  <si>
    <t>METHODS OF TREATING INFLAMMATORY DISEASES BY BLOCKING GALECTIN-3</t>
  </si>
  <si>
    <t>17/303268</t>
  </si>
  <si>
    <t>TRUEBINDING INC</t>
  </si>
  <si>
    <t>TRUEBINDING</t>
  </si>
  <si>
    <t>Sun; Dongxu; (Los Altos, CA); Gordon; Catherine A.; (Fremont, CA); Shchors; Ksenya; (San Mateo, CA); Wang; Yan; (Concord, CA); Tsai; Tsung-Huang; (San Carlos, CA); Leong; Yew Ann; (San Francisco, CA)</t>
  </si>
  <si>
    <t>A61P 37/06 20180101;  C07K 2317/565 20130101;  C07K 16/2851 20130101;  A61P 31/14 20180101;  C07K 2317/56 20130101;  A61P 19/04 20180101</t>
  </si>
  <si>
    <t>Disclosed herein are methods, antibodies, and compositions for disrupting     an interaction between Galectin-3 (Gal3) and viral proteins, such as     proteins of the SARS-CoV-2 virus or other coronaviruses, or     viral-associated host proteins. Further disclosed herein are methods,     medicaments, and compositions for the treatment of a disease or a     disorder in a subject, such as the treatment of a viral infection, or     treatment of a fibrosis, such as lung fibrosis, that develop as a sequela     of a viral infection, or cytokine release syndrome. Further disclosed     herein are methods, medicaments, and compositions for the treatment of an     inflammatory disease or disorder, such as inflammation of the lungs or     systemic lupus erythematosus, which may be associated with neutrophil     activity, in a subject. Also disclosed herein are pharmaceutical antibody     formulations for the treatment of a disease, such as a coronavirus     infection.</t>
  </si>
  <si>
    <t>US20210371504</t>
  </si>
  <si>
    <t>ANTIBODIES AGAINST SARS-COV-2 AND METHODS OF USING THE SAME</t>
  </si>
  <si>
    <t>17/384665</t>
  </si>
  <si>
    <t>CORTI; Davide; (Bellinzona, CH); FINK; Katja; (Bellinzona, CH); BELTRAMELLO; Martina; (Bellinzona, CH); CAMERONI; Elisabetta; (Bellinzona, CH); PINTO; Dora; (Bellinzona, CH); SNELL; Gyorgy; (San Francisco, CA); LEMPP; Florian A.; (San Francisco, CA); TELENTI; Amalio; (San Francisco, CA)</t>
  </si>
  <si>
    <t>C07K 2317/565 20130101;  C07K 2317/522 20130101;  C07K 2317/76 20130101;  C07K 2317/526 20130101;  C07K 16/10 20130101</t>
  </si>
  <si>
    <t>The instant disclosure provides antibodies and antigen-binding fragments     thereof that can bind to a SARS-CoV-2 antigen and, in certain     embodiments, are capable of neutralizing a SARS-CoV-2 infection. Also     provided are polynucleotides that encode an antibody or antigen-binding     fragment, vectors and host cells that comprise a polynucleotide,     pharmaceutical compositions, and methods of using the presently disclosed     antibodies, antigen-binding fragments, polynucleotides, vectors, host     cells, and compositions to treat or diagnose a SARS-CoV-2 infection.</t>
  </si>
  <si>
    <t>US20210371503</t>
  </si>
  <si>
    <t>NEUTRALIZING ANTIBODIES AGAINST SARS-RELATED CORONAVIRUS</t>
  </si>
  <si>
    <t>17/333795</t>
  </si>
  <si>
    <t>UNIV OF COLOGNE; PHILIPPS UNIV MARBURG</t>
  </si>
  <si>
    <t>UNIV COLOGNE; PHILIPPS UNIV MARBURG</t>
  </si>
  <si>
    <t>Becker; Stephan; (Marburg, DE); Grull; Henning; (Koln, DE); Klein; Florian; (Koln, DE); Kreer; Christoph; (Koln, DE); Zehner; Matthias; (Bonn, DE)</t>
  </si>
  <si>
    <t>A61K 2039/505 20130101;  C07K 2317/565 20130101;  C07K 2317/76 20130101;  A61K 2039/545 20130101;  C07K 16/10 20130101</t>
  </si>
  <si>
    <t>The present invention relates to antibodies or antigen-binding fragments     thereof against SARS-related coronavirus, a pharmaceutical composition     comprising such antibodies or antigen-binding fragments thereof, a kit     comprising such antibodies or antigen-binding fragments thereof. The     present invention also relates to the antibodies or antigen-binding     fragments thereof, the pharmaceutical composition, and the kit, for use     as a medicament, and in the treatment or prevention of a disease caused     by SARS-related coronavirus.</t>
  </si>
  <si>
    <t>US20210370291</t>
  </si>
  <si>
    <t>16/917725</t>
  </si>
  <si>
    <t>Al Shaiba Saleh Ghannam Al Mazrouei; Mohammed; (Abu Dhabi, AE); Lahoud; lmad; (Abu Dhabi, AE); Bhatti; Sajid; (Abu Dhabi, AE); Machovec; Jeff; (Abu Dhabi, AE); Divakaran; Dinil; (Abu Dhabi, AE)</t>
  </si>
  <si>
    <t>B01L 2200/10 20130101;  B01L 2400/0439 20130101;  C12Q 1/6806 20130101;  B01L 3/50851 20130101;  A61B 10/0051 20130101</t>
  </si>
  <si>
    <t>US20210370085</t>
  </si>
  <si>
    <t>ELECTROMAGNETIC METHOD FOR IN-VIVO DISRUPTION OF VIRAL INSULTS</t>
  </si>
  <si>
    <t>17/443878</t>
  </si>
  <si>
    <t>Ko, Harvey Wayne</t>
  </si>
  <si>
    <t>KO HARVEY</t>
  </si>
  <si>
    <t>Ko; Harvey Wayne; (Ellicott City, MD)</t>
  </si>
  <si>
    <t>A61N 2/06 20130101;  A61N 2/004 20130101;  A61N 2/002 20130101;  C12N 13/00 20130101</t>
  </si>
  <si>
    <t>A therapeutic method of reducing or eliminating viral infections in vivo     includes subjecting a virally infected patient to one of a variety of     strong magnetic fields. A static magnetic field has a magnetic field     intensity of at least about 5 nanoTesla sufficient to be effective to     disrupt viral metabolism. An alternating magnetic field has a magnetic     field intensity of at least 0.1 nanoTesla sufficient to be effective to     disrupt viral metabolism. A method of disrupting viral metabolism     includes subjecting an infected patient or a mixture of live host cells     and virus to the alternating magnetic field. A virus disruption apparatus     includes a magnetic field generator of static or alternating magnetic     fields. The magnetic field generator is selected from a Magnetic     Resonance Imaging device, at least one permanent magnet, at least one     superconducting magnet, at least one solenoid, and any combination     thereof.</t>
  </si>
  <si>
    <t>US20210369903</t>
  </si>
  <si>
    <t>MEMS-Based Virus Treatment</t>
  </si>
  <si>
    <t>17/337403</t>
  </si>
  <si>
    <t>PETROVIC SLOBODAN</t>
  </si>
  <si>
    <t>Petrovic; Slobodan; (Rescue, CA)</t>
  </si>
  <si>
    <t>A61M 31/00 20130101;  A61L 2/04 20130101;  A61L 2/10 20130101;  A61L 2/03 20130101;  A61M 2205/0244 20130101;  A61M 2202/0466 20130101;  A61L 2/26 20130101;  A61M 2210/0625 20130101;  A61L 2202/11 20130101;  A61M 1/77 20210501</t>
  </si>
  <si>
    <t>A microelectromechanical device utilizing one or more micropumps embedded     in a mouthguard for treatment and detection of viruses in a person's     mouth. The micropump pumps saliva through the device where it can, for     example, be treated with heat to destroy viruses in the saliva. In     another embodiment the device can be used to detect the presence of virus     in the saliva utilizing DNA PCR or chronoamperometry.</t>
  </si>
  <si>
    <t>US20210369894</t>
  </si>
  <si>
    <t>STERILIZATION MODULE AND STERILIZATION DEVICE INCLUDING THEREOF</t>
  </si>
  <si>
    <t>17/335785</t>
  </si>
  <si>
    <t>Seoul Viosys</t>
  </si>
  <si>
    <t>SEOUL VIOSYS</t>
  </si>
  <si>
    <t>LEE; Chung Hoon; (Gyeonggi-do, KR); KIM; Ji Won; (Gyeonggi-do, KR); JEONG; Jae Hak; (Gyeonggi-do, KR)</t>
  </si>
  <si>
    <t>A61L 2202/14 20130101;  A61L 2/10 20130101;  A61L 2202/25 20130101;  A61L 2202/11 20130101;  A61L 2202/16 20130101</t>
  </si>
  <si>
    <t>A sterilization apparatus includes a support member and multiple     germicidal light sources. The multiple germicidal light sources are     mounted on the support member and emit germicidal light which is light     having a wavelength capable of inactivating microorganisms. In addition,     respective light exit surfaces of the multiple germicidal light sources     face in different directions from one another. Further, an irradiance of     the germicidal light delivered to a sterilization target is greater than     a minimum irradiance required for sterilization.</t>
  </si>
  <si>
    <t>US20210369835</t>
  </si>
  <si>
    <t>Coronavirus; Influenza</t>
  </si>
  <si>
    <t>Method of Vaccination for SARS Virus</t>
  </si>
  <si>
    <t>17/022475</t>
  </si>
  <si>
    <t>FORREST SHAWNE</t>
  </si>
  <si>
    <t>Forrest; Shawne; (Dallas, TX)</t>
  </si>
  <si>
    <t>A61K 39/145 20130101;  C12N 2770/20034 20130101;  A61K 2039/5254 20130101;  C12N 15/1131 20130101;  C12N 2770/20022 20130101;  A61K 39/215 20130101</t>
  </si>
  <si>
    <t>A method of vaccination for severe acute respiratory syndrome (SARS)     disease caused by at least one of SARS-CoV-1 virus and SARS-CoV-2 virus     is achieved in inoculating a human with a specific vaccine composition.     The vaccine composition includes a solution of salt water (H.sub.2O and     NaCl), ascorbic acid (Vitamin C) and/or a ascorbic acid salt and/or     citric acid and/or a citric acid salt and a source of the at least one of     SARS-CoV-1 virus and SARS-CoV-2 virus. The vaccine composition is     introduced into at least one of a lymph node, a hair follicle, and an ear     canal of the human for purposes of vaccination for SARS disease.</t>
  </si>
  <si>
    <t>US20210369811</t>
  </si>
  <si>
    <t>Integrated COVID-19 Strategies</t>
  </si>
  <si>
    <t>17/332683</t>
  </si>
  <si>
    <t>Manyak; David M.; (Burgess, VA)</t>
  </si>
  <si>
    <t>A61K 38/1732 20130101;  C12Q 1/6827 20130101;  A61K 45/06 20130101</t>
  </si>
  <si>
    <t>This disclosure provides for the application of a multi-disciplinary     analysis of information sources to draw novel conclusions that result in     new methods to diagnose, prevent or treat COVID-19. COVID-19 appears to     be an extremely complex disease, encompassing three critical aspects at     least: a viral infection, an immune system disorder, and a     cardiovascular/pulmonary/renal disease with significant coagulation     system dysregulation. This disclosure principally focuses on modes and     sites of infection of the SARS COV-2 virus and the role of lectins, the     lectin complement pathway, coagulation system dysfunction, related     genetic polymorphisms, trypsin-like serine proteases, interferon     stimulation of the innate immune system, and other factors in the disease     process. Corresponding methods to address the COVID-19 pandemic are     provided.</t>
  </si>
  <si>
    <t>US20210369806</t>
  </si>
  <si>
    <t>HERBAL MIXTURE FOR VIRAL DISEASE SYMPTOMS</t>
  </si>
  <si>
    <t>17/302142</t>
  </si>
  <si>
    <t>Jaiyeola, Ganiyu Ayinla</t>
  </si>
  <si>
    <t>JAIYEOLA GANIYU</t>
  </si>
  <si>
    <t>Jaiyeola; Ganiyu Ayinla; (Grand Rapids, MI)</t>
  </si>
  <si>
    <t>A61K 9/0095 20130101;  A23L 2/52 20130101;  A61K 36/9068 20130101;  A61K 36/38 20130101;  A61K 36/88 20130101;  A61K 36/752 20130101;  A61K 35/644 20130101;  A61M 11/04 20130101;  A23V 2002/00 20130101;  A23L 33/105 20160801;  A61K 36/9066 20130101;  A61K 9/0043 20130101</t>
  </si>
  <si>
    <t>This invention pertains to an herbal paste comprising a mixture     comprising 15 to 25 parts by weight ginger root, 15 to 25 parts by weight     turmeric root, 15 to 25 parts by weight garlic 15 to 25 parts by weight     lime fruit, 15 to 25 parts by weight lemon fruit, 0.5 to 1.5 parts by     weight bitter kola nut, 15 to 25 parts by weight natural honey and B.     optionally up to 50 parts water per 100 parts of Mixture A. Also claimed     is a drink from the herbal mixture and a method of using the herbal     mixture for active inhalation.</t>
  </si>
  <si>
    <t>US20210369801</t>
  </si>
  <si>
    <t>Botanicals; Nutriceuticals</t>
  </si>
  <si>
    <t>COMPOSITIONS AND METHODS FOR TREATING COVID-119 INFECTIONS</t>
  </si>
  <si>
    <t>17/332778</t>
  </si>
  <si>
    <t>APIQUESTUSA INC</t>
  </si>
  <si>
    <t>APIQUESTUSA</t>
  </si>
  <si>
    <t>Agon; Achidi Valentin; (Houeyiho, BJ)</t>
  </si>
  <si>
    <t>A23L 33/40 20160801;  A23V 2002/00 20130101;  A61K 36/48 20130101;  A61K 9/0056 20130101;  A23L 33/105 20160801</t>
  </si>
  <si>
    <t>The present disclosure relates to compositions and methods for treating a     subject having a COVID-19 infection. The present disclosure relates to     the use of Dichrostachys glomerata extract as a medicament for the     treatment of COVID-19 infections.</t>
  </si>
  <si>
    <t>US20210369770</t>
  </si>
  <si>
    <t>Therapeutic Agents for Treatment of Coronavirus Infection</t>
  </si>
  <si>
    <t>17/181597</t>
  </si>
  <si>
    <t>GAO XUEYUN</t>
  </si>
  <si>
    <t>Gao; Xueyun; (Beijing, CN)</t>
  </si>
  <si>
    <t>A61K 47/645 20170801;  A61K 33/242 20190101;  A61K 31/7135 20130101;  A61K 31/80 20130101;  A61P 31/14 20180101</t>
  </si>
  <si>
    <t>A therapeutic composition for treatment of coronavirus infections. The     therapeutic composition contains a gold compound effective for Rheumatoid     Arthritis treatment that both generates gold-S bonds at the active     pockets of the main protease of the virus and suppresses the virus     induced inflammations in the body.</t>
  </si>
  <si>
    <t>US20210369767</t>
  </si>
  <si>
    <t>Method of treating and/or preventing viral infections</t>
  </si>
  <si>
    <t>17/403813</t>
  </si>
  <si>
    <t>Oks, Vladimir; Oks, Andrey</t>
  </si>
  <si>
    <t>OKS VLADIMIR</t>
  </si>
  <si>
    <t>Oks; Vladimir; (Medford, MA); Oks; Andrey; (Freehold, NJ)</t>
  </si>
  <si>
    <t>A61K 33/00 20130101;  A61P 31/14 20180101;  A61P 31/16 20180101</t>
  </si>
  <si>
    <t>A method of treating and/or preventing viral infections caused by common     cold, influenza, and coronaviruses with or without symptoms is based on a     fact that virus's survival time depends on the temperature and relative     humidity, and an assumption based on scientific tests that a virus can be     inactivated/killed or its ability to penetrate and replicate copies     inside living cells can be weakened in high temperature environment by     heat exposure to the virus. Creating high temperature environment in the     upper respiratory and gastrointestinal (GI) tracts and preventing spread     of the virus into the lower part of the respiratory tract using     continuous and prolonged hot water exposure on the virus prevents     development of pneumonia and expedite recovery.</t>
  </si>
  <si>
    <t>US20210369741</t>
  </si>
  <si>
    <t>VITAMIN D AS AN IMMUNE MODULATOR TO PREVENT IMMUNE-RELATED COMPLICATION     FROM COVID-19 INFECTION</t>
  </si>
  <si>
    <t>17/303330</t>
  </si>
  <si>
    <t>Lu; Kurt Q.; (Chicago, IL); Veress; Livia A.; (Denver, CO); Cooper; Kevin D.; (Moreland Hills, OH); Wallia; Amisha; (Chicago, IL)</t>
  </si>
  <si>
    <t>A61K 31/585 20130101;  A61K 45/06 20130101;  A61P 11/00 20180101;  A61K 31/593 20130101;  A61P 31/14 20180101</t>
  </si>
  <si>
    <t>Disclosed herein are methods and compositions useful in reducing     inflammation, reducing inflammatory exudates, enhancing epithelial tissue     generation or regeneration, and/or reducing mean pulmonary artery     pressure in the lungs of a subject in need thereof. In particular, the     compositions comprise vitamin D, an analog, or metabolite thereof, and     the methods include administering the composition to a subject in need     thereof. In some embodiments, the subject is suffering from an infection,     such as a viral infection, which affects the lungs. In some embodiments,     the viral infection comprises SARS-CoV-2.</t>
  </si>
  <si>
    <t>US20210369730</t>
  </si>
  <si>
    <t>17/333857</t>
  </si>
  <si>
    <t>A method of treating a subject in need of anti-Coronavirus treatment     comprising prophylactic or therapeutic treatment, with an antiviral     effective amount of an Azelastine compound, wherein the antiviral     effective amount is 0.1-500 .mu.g per dose; use of an Azelastine compound     as an antiviral substance in a medicinal product for treating a     biological surface to prevent from Coronavirus infection and/or     Coronavirus spread, and use of an Azelastine compound as viral     disinfectant.</t>
  </si>
  <si>
    <t>US20210369719</t>
  </si>
  <si>
    <t>Accelerated Treatment of COVID-19 and SAR's Type Viruses</t>
  </si>
  <si>
    <t>16/883115</t>
  </si>
  <si>
    <t>Cohen, Binyomin A.; Jones, Monicka C.</t>
  </si>
  <si>
    <t>COHEN BINYOMIN</t>
  </si>
  <si>
    <t>Cohen; Binyomin A.; (Brooklyn, NY); Jones; Monicka C.; (Brooklyn, NY)</t>
  </si>
  <si>
    <t>A61K 31/522 20130101;  A61K 9/0019 20130101;  A61P 31/14 20180101;  A61K 9/0073 20130101</t>
  </si>
  <si>
    <t>The present invention provides a solution mixture of 1.8 to 3.7%     hypertonic saline, 70 to 85% ethanol as solvent alternating with 10     milliliters 50 to 90% of 75 to 110 mg theobromine in a nebulized aerosol     for inhalation by COVID-19 and SARS patients. Alternatively, theobromine     may be infused alternating with inhaled nebulized exogenous pulmonary     surfactant as replacement. For advanced COVID-19, SARS patients, the     inhalation described above may be alternated with an intravenous solution     of 1.8% to 2.2% hypertonic solution of theobromine as 450 mg to 650 mg in     ethanol, twice daily.</t>
  </si>
  <si>
    <t>US20210369696</t>
  </si>
  <si>
    <t>Use of an N-substituted pyridyl benzisoselazolone compound</t>
  </si>
  <si>
    <t>17/402006</t>
  </si>
  <si>
    <t>SHANGHAITECH UNIVERSITY</t>
  </si>
  <si>
    <t>YANG; Haitao; (Shanghai, CN); JIN; Zhenming; (Shanghai, CN); YANG; Xiuna; (Shanghai, CN); ZHAO; Yao; (Shanghai, CN); RAO; Zihe; (Shanghai, CN)</t>
  </si>
  <si>
    <t>A61K 31/41 20130101;  A61P 31/14 20180101;  A61K 31/4439 20130101</t>
  </si>
  <si>
    <t>Disclosed is a use of an N-substituted pyridyl benzisoselazolone     compound. The use is particularly a use in the preparation of a     medicament for treating and/or preventing a disease caused by     coronavirus. The present disclosure surprisingly found that the     N-substituted pyridyl benzisoselazolone compound, such as ebselen, can     significantly inhibit the activity of the main protease of a coronavirus     and the intracellular replication capability of SARS-CoV-2, which can be     used for treating a disease caused by coronavirus.</t>
  </si>
  <si>
    <t>US20210369680</t>
  </si>
  <si>
    <t>METHODS OF TREATING DISEASES AND DISORDERS RESULTING FROM BETA CORONAVIRUS     INFECTION</t>
  </si>
  <si>
    <t>17/244226</t>
  </si>
  <si>
    <t>T3D THERAPEUTICS, INC.</t>
  </si>
  <si>
    <t>T3D THERAPEUTICS</t>
  </si>
  <si>
    <t>CHAMBERLAIN; Stanley D.; (Wilson, WY); DIDSBURY; John; (Raleigh, NC)</t>
  </si>
  <si>
    <t>A61K 31/155 20130101;  A61K 31/4178 20130101;  A61K 39/3955 20130101;  A61P 31/14 20180101;  A61K 31/245 20130101;  A61K 31/4965 20130101;  A61K 31/421 20130101;  A61K 31/675 20130101;  A61K 31/519 20130101;  A61K 31/167 20130101</t>
  </si>
  <si>
    <t>This disclosure describes the use of indane acetic acid derivatives which     are PPAR agonists, including PPAR delta, PPAR gamma, and dual PPAR delta     and gamma agonists, and which penetrate the blood brain barrier to     achieve effective brain to plasma drug levels at non-toxic doses, for the     treatment of betacoronavirus diseases, such as COVID-19 and COVID-19     related co-morbid diseases, including Acute Respiratory Distress and CNS     disorders, such as delirium and cognitive impairment.</t>
  </si>
  <si>
    <t>US20210369661</t>
  </si>
  <si>
    <t>METHODS AND COMPOSITIONS FOR TREATING AND RECOVERING FROM VIRAL INFECTIONS</t>
  </si>
  <si>
    <t>17/332857</t>
  </si>
  <si>
    <t>IMMUNOFLEX THERAPEUTICS INC.</t>
  </si>
  <si>
    <t>IMMUNOFLEX THERAPEUTICS</t>
  </si>
  <si>
    <t>OI; VERNON TOSHIAKI; (Kamuela, HI); WAGNER; CHRISTOPHER WILLIAM; (West Vancouver, CA); COTTRELL; TIMOTHY ROBERT; (Honolulu, HI); MACDONALD; IAN DAVID; (Surrey, CA)</t>
  </si>
  <si>
    <t>A61K 36/28 20130101;  A61K 31/198 20130101;  A61K 31/05 20130101;  A61K 31/27 20130101;  A61K 31/352 20130101;  A61K 31/12 20130101;  A61P 37/04 20180101</t>
  </si>
  <si>
    <t>The described invention provides compositions and methods for improving     or restoring immune system health in a susceptible subject and/or a     subject infected with a respiratory virus that impacts the immune system     by reducing functional diversity of T cells and promoting T cell     exhaustion, compared to a control.</t>
  </si>
  <si>
    <t>US20210369619</t>
  </si>
  <si>
    <t>TRANSMUCOSAL PHARMACEUTICAL COMPOSITIONS OF ANTIVIRAL DRUGS</t>
  </si>
  <si>
    <t>17/303272</t>
  </si>
  <si>
    <t>JUBILANT GENERICS LIMITED</t>
  </si>
  <si>
    <t>JUBILANT GENERICS</t>
  </si>
  <si>
    <t>Nandi; Indranil; (Yardley, PA); Mukherjee; Tusharmouli; (Yardley, PA); Kumar; Dinesh; (Noida, IN); Jain; Anil; (Noida, IN); Soni; Pankaj; (Noida, IN); Mistry; Gaurav Navinbhai; (Noida, IN); Jaiswal; Nilesh; (Noida, IN)</t>
  </si>
  <si>
    <t>A61K 31/7068 20130101;  A61K 9/2018 20130101;  A61K 9/2063 20130101;  A61K 47/22 20130101;  A61K 9/2095 20130101;  A61K 31/675 20130101;  A61K 31/706 20130101;  A61K 9/006 20130101</t>
  </si>
  <si>
    <t>The present invention relates to the transmucosal dosage forms like     sublingual pharmaceutical compositions comprising antiviral molecules     like favipiravir, remdesivir, baloxavir marboxil, molnupiravir,     besifovir, raltegravir, GS-441524, ravidasvir, and other antiviral drugs.     The present invention also relates to methods for preparing these     transmucosal pharmaceutical compositions. Compositions prepared as per     the present invention are able to increase bioavailability by avoiding     first-pass metabolism. The compositions prepared as per the present     invention exhibit desired pharmaceutical technical attributes such as pH,     assay, related substance, disintegration, and dissolution. The     compositions prepared as per the present invention are useful in the     treatment of viral infections including coronavirus infection (COVID-19).</t>
  </si>
  <si>
    <t>US20210369399</t>
  </si>
  <si>
    <t>NEGATIVE PRESSURE AEROSOL CONTAINMENT UNIT</t>
  </si>
  <si>
    <t>17/334183</t>
  </si>
  <si>
    <t>KIM, Tony; CALDERARA, Mario</t>
  </si>
  <si>
    <t>KIM TONY</t>
  </si>
  <si>
    <t>KIM; Tony; (Houston, TX); CALDERARA; Mario; (The Woodlands, TX)</t>
  </si>
  <si>
    <t>A61B 2090/401 20160201;  A61B 90/40 20160201;  A61B 46/00 20160201</t>
  </si>
  <si>
    <t>A device is disclosed for use by clinicians in medical and dental     procedures to contain aerosols generated by patients with known or     suspected respiratory pathogen (e.g., a virus such as COVID-19). The     device of the invention (a negative pressure aerosol containment unit)     may be in the form of a box with an opening at the bottom, the box     configured to receive an attached HEPA filter and HVAC unit that creates     a localized negative pressure area within the box. The device also may be     in a non-rectilinear configuration.</t>
  </si>
  <si>
    <t>US20210369397</t>
  </si>
  <si>
    <t>DEVICE AND METHOD TO PROTECT MEDICAL PROFESSIONALS FROM     PATHOGEN-CONTAINING DROPLETS WHILE ATTENDING TO PATIENTS</t>
  </si>
  <si>
    <t>16/884606</t>
  </si>
  <si>
    <t>Slim, Robbie; Franco, Christian</t>
  </si>
  <si>
    <t>SLIM ROBBIE</t>
  </si>
  <si>
    <t>Slim; Robbie; (Fontana, CA); Franco; Christian; (Lake Elsinore, CA)</t>
  </si>
  <si>
    <t>A61B 90/40 20160201;  A61B 2560/04 20130101</t>
  </si>
  <si>
    <t>A shield and method for using the shield to protect medical professionals     from pathogen-containing droplets that are being released from a     patient's respiratory system while the patient is resting on a gurney     mattress. The shield includes a shield frame. An attachment structure is     connected to the shield frame. The attachment structure is for connecting     the shield frame to the gurney mattress. A transparent cover is draped     over the shield frame and is for preventing patient generated     pathogen-containing droplets from being inhaled by medical professionals.     The transparent covering has access holes for allowing medical     professionals to access the patient.</t>
  </si>
  <si>
    <t>US20210369383</t>
  </si>
  <si>
    <t>Face Shield Protection Device</t>
  </si>
  <si>
    <t>17/333430</t>
  </si>
  <si>
    <t>Pawlowicz, Jason; Pawlowicz, III, John</t>
  </si>
  <si>
    <t>PAWLOWICZ JASON</t>
  </si>
  <si>
    <t>Pawlowicz; Jason; (Lyndora, PA); Pawlowicz, III; John; (Lyndora, PA)</t>
  </si>
  <si>
    <t>A61B 2090/571 20160201;  A61B 90/05 20160201</t>
  </si>
  <si>
    <t>A face shield protection device including a shield assembly having a     frame defining an opening and a transparent shield removably attached to     the frame and substantially covering the opening, and a suspension arm     attached to the shield assembly. The transparent shield is attached to a     first side of the frame in a first receiving engagement and is attached     to an opposite second side of the frame in a second receiving engagement,     and one or both of the first receiving engagement and the second     receiving engagement locks the transparent shield with a portion of the     frame. The face shield protection device may further comprise at least     one nozzle extending beneath a bottom surface of the transparent shield,     wherein suction provided through the at least one nozzle pulls atmosphere     from beneath the transparent shield creating negative pressure beneath     the transparent shield.</t>
  </si>
  <si>
    <t>US20210369382</t>
  </si>
  <si>
    <t>Barrier Shield</t>
  </si>
  <si>
    <t>16/886351</t>
  </si>
  <si>
    <t>Del Core, Brian</t>
  </si>
  <si>
    <t>DEL CORE</t>
  </si>
  <si>
    <t>Del Core; Brian; (Aptos, CA)</t>
  </si>
  <si>
    <t>A61B 90/50 20160201;  A61B 2217/005 20130101;  A61B 90/05 20160201</t>
  </si>
  <si>
    <t>A shield assembly has a transparent shield element, having an open first     end, a second end, and downward curving sides, a mounting plate shaped in     the curvature of the shield joined by an upper surface of the mounting     plate to the shield element at the second end, a vacuum casing with a     first closed end and a second open end wider than the first end joined to     a lower surface of the mounting plate within the elongated shield element     between the downward curving sides, a vacuum hose connected from a vacuum     pump by a quick coupling through the first closed end to inside the     vacuum casing, and a medical grade filter covering the second open end of     the vacuum casing. Operating the vacuum pump causes air to be drawn under     the elongated shield element through the filter into the vacuum casing     and through the vacuum hose and the vacuum pump.</t>
  </si>
  <si>
    <t>US20210369213</t>
  </si>
  <si>
    <t>SYSTEM FOR GENERATING AN ALERT FOR A SYSTEMIC INFECTION</t>
  </si>
  <si>
    <t>17/328037</t>
  </si>
  <si>
    <t>BIOTRONIK SE &amp; CO. KG</t>
  </si>
  <si>
    <t>BIOTRONIK</t>
  </si>
  <si>
    <t>Doerr; Thomas; (Berlin, DE); Muessig; Dirk; (West Linn, OR); Reddy; Ravi Kiran Kondama; (Portland, OR); Whittington; R. Hollis; (Portland, OR); Diem; Bjoern Henrik; (Berlin, DE)</t>
  </si>
  <si>
    <t>A61B 5/02055 20130101;  A61B 5/746 20130101;  A61B 5/0031 20130101;  A61B 5/0004 20130101;  A61B 5/686 20130101</t>
  </si>
  <si>
    <t>A system for generating an alert for a systemic infection of a patient     comprises an implantable medical device configured to measure a     measurement parameter indicative of the heart rate at rest of the     patient, and a remote monitoring system configured to receive information     from the implantable medical device. A module is configured to analyze     information relating to said measurement parameter indicative of the     heart rate at rest of the patient to generate an alert signal for a     systemic infection of the patient based on a state of the heart rate at     rest.</t>
  </si>
  <si>
    <t>US20210369144</t>
  </si>
  <si>
    <t>Device Administered Tests and Adaptive Interactions</t>
  </si>
  <si>
    <t>17/401660</t>
  </si>
  <si>
    <t>Kaib; Thomas E.; (Irwin, PA); Hresko; Patrick; (Mount Pleasant, PA); Owens; Grace; (Cincinnati, OH); Biel; Trisha A.; (Glenshaw, PA); Clark; John; (Pittsburgh, PA); Smith; Melissa; (Pittsburgh, PA); Roberto; Mark F.; (Pittsburgh, PA)</t>
  </si>
  <si>
    <t>A61B 5/6831 20130101;  A61N 1/3968 20130101;  A61B 2560/045 20130101;  A61N 1/37247 20130101;  A61B 5/123 20130101;  A61N 1/00 20130101;  G16H 50/80 20180101;  A61B 5/225 20130101;  A61N 1/36031 20170801;  G16H 50/20 20180101;  A61B 5/6805 20130101;  A61B 5/0205 20130101;  A61B 5/02055 20130101;  G16H 15/00 20180101;  A61B 5/1101 20130101;  A61B 5/0022 20130101;  A61B 5/7275 20130101;  A61B 5/35 20210101;  A61B 5/282 20210101;  A61B 5/4088 20130101;  A61B 5/1125 20130101;  A61B 5/1118 20130101;  G16H 40/63 20180101;  G16H 40/67 20180101;  A61B 5/746 20130101</t>
  </si>
  <si>
    <t>An external medical device includes monitoring circuitry configured to     monitor a cardiac condition of a patient using the external medical     device; and a controller configured to: receive at least one of patient     input and non-patient user input of a patient's ability; determine a     patient interaction mode of the external medical device based on the at     least one of the patient input and the non-patient user input; and adapt     the patient interaction mode of the external medical device over time     based on the at least one of the patient input and the non-patient user     input.</t>
  </si>
  <si>
    <t>US20210369139</t>
  </si>
  <si>
    <t>ACTIVE MEDICAL DEVICE CAPABLE OF IDENTIFYING COUGHING</t>
  </si>
  <si>
    <t>17/329861</t>
  </si>
  <si>
    <t>Muessig; Dirk; (West Linn, OR); Reddy; Ravi Kiran Kondama; (Portland, OR); Whittington; R. Hollis; (Portland, OR); Doerr; Thomas; (Berlin, DE); Guhaniyogi; Shayan; (Portland, OR)</t>
  </si>
  <si>
    <t>A61B 2562/0219 20130101;  A61B 2560/0219 20130101;  A61B 5/686 20130101;  A61B 5/0823 20130101;  A61B 5/0538 20130101</t>
  </si>
  <si>
    <t>An active medical device, comprising a processor, a memory unit, and at     least one of an accelerometer and a detection unit configured to detect a     body impedance. During operation, the active medical device carries out     the following steps a) measuring a body impedance of a patient with the     detection unit during a first period of time to obtain time-dependent     impedance data and calculating a power spectral density of the impedance     data; b) alternatively or additionally, to step a), measuring an     acceleration of a body of the patient with the accelerometer during the     first period of time to obtain time-dependent acceleration data and     calculating a power spectral density of the acceleration data; c)     identifying coughing of the patient on the basis of the calculated power     spectral density if at least 1% of all values of the power spectral     density have a frequency of at least 1 Hz.</t>
  </si>
  <si>
    <t>US20210369137</t>
  </si>
  <si>
    <t>REAL-TIME MONITORING OF COVID-19 PROGRESS USING MAGNETIC SENSING AND     MACHINE LEARNING</t>
  </si>
  <si>
    <t>17/331761</t>
  </si>
  <si>
    <t>University Of South Florida</t>
  </si>
  <si>
    <t>UNIVERSITY SOUTH FLORIDA</t>
  </si>
  <si>
    <t>Phan; Manh-Huong; (Tampa, FL); Hwang; Kee Young; (Wesley Chapel, FL); Ortiz Jimenez; Valery; (Tampa, FL); Muchharla; Baleeswaraiah; (Tampa, FL)</t>
  </si>
  <si>
    <t>G16H 50/50 20180101;  A61B 5/7267 20130101;  G16H 50/20 20180101;  G01N 27/74 20130101;  G16H 40/67 20180101;  G01N 33/497 20130101;  G06N 20/00 20190101;  G16H 50/70 20180101;  A61B 5/7282 20130101;  G01N 2033/4975 20130101;  A61B 5/0809 20130101;  G16H 70/60 20180101;  G16H 10/60 20180101;  A61B 5/4842 20130101;  A61B 5/05 20130101</t>
  </si>
  <si>
    <t>A breathing monitor that includes a contactless sensor that uses     magneto-LC resonance technology is provided. The breathing monitor     collects breathing data from a patient that indicates a breathing pattern     of the patient. A model trained using machine learning using breathing     patterns collected from patients known to have different stages of     COVID-19 is used to process the collected breathing data and to determine     whether the patient has COVID-19. The model further determines the stage     of COVID-19. The breathing monitor can identify likely COVID-19     infections faster than existing tests and requires no contact between the     patient and a medical professional, which is an improvement over existing     COVID-19 detection technologies.</t>
  </si>
  <si>
    <t>US20210369136</t>
  </si>
  <si>
    <t>System &amp; Method for Measurement of Respiratory Rate and Tidal Volume     Through Feature Analysis of Breath Sounds to Detect Disease State</t>
  </si>
  <si>
    <t>17/320748</t>
  </si>
  <si>
    <t>FLORIDA INSTITUTE FOR HUMAN &amp; MACHINE COGNITION</t>
  </si>
  <si>
    <t>FLORIDA INSTITUTE FOR HUMAN MACHINE COGNITION</t>
  </si>
  <si>
    <t>Phillips; Jeffrey Brooks; (Pensacola, FL); Raj; Anil; (Pensacola, FL); Dorr; Bonnie; (Pensacola, FL); Carff; Roger; (Pensacola, FL); Perera; Ian; (Pensacola, FL); Mahyari; Arash Golibagh; (Pensacola, FL); Sciarini; Michelle; (Pensacola, FL); Moucheboeuf; Adrien; (Pensacola, FL); Bhatia; Archna; (Pensacola, FL)</t>
  </si>
  <si>
    <t>A61B 5/6898 20130101;  A61B 5/0803 20130101;  A61B 5/097 20130101;  A61B 5/742 20130101;  A61B 5/0816 20130101</t>
  </si>
  <si>
    <t>A system and method using a microphone to collect sound data produced by     a potential patient's respiration and speech. The system preferably uses     a microphone on a portable electronic device--such as a smart phone. The     analysis of the collected data is preferably performed locally--such as     by a software application running on the smartphone. The software is used     to analyze the data and therefore determine and track useful parameters     such as respiration rate and respiratory tidal volume. The software also     analyzes phonation patterns. Using the parameters, the inventive system     can detect the onset of respiratory distress.</t>
  </si>
  <si>
    <t>US20210369102</t>
  </si>
  <si>
    <t>REMOTE/AT-HOME VISION TESTING SYSTEM AND METHOD</t>
  </si>
  <si>
    <t>17/333513</t>
  </si>
  <si>
    <t>THE HILSINGER COMPANY PARENT LLC</t>
  </si>
  <si>
    <t>THE HILSINGER PARENT</t>
  </si>
  <si>
    <t>Butler; Kevin A.; (Downers Grove, IL); Spencer; Michael; (Hoffman Estates, IL); Marino; Joseph A.; (Alpine, WY)</t>
  </si>
  <si>
    <t>G01B 21/16 20130101;  G06T 3/40 20130101;  A61B 5/7405 20130101;  G16H 50/30 20180101;  G01B 11/026 20130101;  G01B 17/00 20130101;  A61B 3/032 20130101;  A61B 5/742 20130101;  G16H 40/67 20180101</t>
  </si>
  <si>
    <t>A vision testing system is provided that tests the vision of an     associated patient. A display of the vision testing unit includes a first     surface for displaying a vision test thereon. A processing unit is     operatively associated with the display and selectively displays     optotypes on the first surface. A monitoring system senses a distance     between the associated patient and the display, and operationally     interfaces with the processing unit to provide data representative of the     distance of the associated patient from the display. A cue may be     provided to the associated patient in response to the sensed distance. In     addition, ambient lighting conditions may be sensed at the display and     brightness of the display altered in response to the ambient light.</t>
  </si>
  <si>
    <t>US20210369015</t>
  </si>
  <si>
    <t>Ultraviolet light cart sanitization system</t>
  </si>
  <si>
    <t>17/326915</t>
  </si>
  <si>
    <t>B62B 3/1436 20130101;  B62B 2202/404 20130101;  B62B 3/1404 20130101;  A61L 2/14 20130101;  A47F 10/04 20130101;  A61L 2/10 20130101</t>
  </si>
  <si>
    <t>Devices, systems, and methods for use in preventing microbial or pathogen     growth on objects related to shopping, including shopping carts or     commercial shipping packages/parcels. The UV light based cart     sanitization device may include a housing, a track for one or more     shopping carts, disinfecting and/or sanitizing source(s), such as UV     light source(s), and a control box. The UV light based cart sanitization     device cart may include an internal package/parcel track for exposing     packages or parcels to UV light.</t>
  </si>
  <si>
    <t>US20210368890</t>
  </si>
  <si>
    <t>Antiviral Face Mask</t>
  </si>
  <si>
    <t>16/890674</t>
  </si>
  <si>
    <t>ARGENTUM MEDICAL, LLC</t>
  </si>
  <si>
    <t>ARGENTUM MEDICAL</t>
  </si>
  <si>
    <t>BRIZUELA; Raul; (St. Charles, IL)</t>
  </si>
  <si>
    <t>B32B 5/024 20130101;  B32B 2311/08 20130101;  B32B 2571/00 20130101;  A41D 31/305 20190201;  B32B 5/26 20130101;  A41D 13/1192 20130101</t>
  </si>
  <si>
    <t>Disclosed herein are washable, reusable, antimicrobial and antiviral face     masks and methods of their use for the reduction of transmission of     infectious pathogens. Exemplary face masks are made of silver-coated     material wherein activation of the silver from moisture in a user's     breath kills pathogens. The disclosed face masks are useful in reducing,     inhibiting or killing pathogens, such as SARS-CoV-2, that contact the     face mask within 2 hours of continuous contact.</t>
  </si>
  <si>
    <t>US20210368879</t>
  </si>
  <si>
    <t>16/935463</t>
  </si>
  <si>
    <t>XCALIBER SCIENCES, INC.</t>
  </si>
  <si>
    <t>XCALIBER SCIENCES</t>
  </si>
  <si>
    <t>Motadel; Arta; (San Diego, CA); Curry; Scott; (San Diego, CA)</t>
  </si>
  <si>
    <t>A41D 13/1107 20130101;  A41D 13/1161 20130101</t>
  </si>
  <si>
    <t>A face shield for covering the eyes, nose and mouth of a user is     disclosed. The face shield includes a face shield body that has a     transparent surface having a first side edge, a second side edge, and a     top edge. The first and second side edges include a first and second     anchor/barb, respectively, both of which define a line. A spacer is     attached at or near the line, and the spacer extends away from the face     shield body. An elastic strap with a first slot and a second slot     receives the first and second anchor/barbs. When the user wears the face     shield, the elastic strap is in a stretched configuration that pulls on     the first and second anchor/barbs, and in this configuration the first     slot is detachably affixed to the first anchor/barb, and the second slot     is detachably affixed to the second anchor/barb.</t>
  </si>
  <si>
    <t>US20210368873</t>
  </si>
  <si>
    <t>Disposable Highly-Protective Oral-Nasal Mask</t>
  </si>
  <si>
    <t>17/104075</t>
  </si>
  <si>
    <t>HENAN UNIVERSITY</t>
  </si>
  <si>
    <t>Fan; Yuanyuan; (Kaifeng City, CN); Meng; Jianghui; (Kaifeng City, CN); Jiang; Enshe; (Kaifeng City, CN); Zhang; Xiaonan; (Kaifeng City, CN); Liu; Jing; (Kaifeng City, CN); Jiang; Weifeng; (Kaifeng City, CN)</t>
  </si>
  <si>
    <t>A41D 2300/328 20130101;  A41D 2600/00 20130101;  A41D 13/11 20130101;  A41D 2500/30 20130101</t>
  </si>
  <si>
    <t>A disposable highly-protective oral-nasal mask comprises a fixing part. A     notch is formed in the portion, corresponding to an oral cavity, of the     fixing part. An oral cavity coverage part is arranged at the notch,     corresponding to the oral cavity, of the fixing part, and is detachably     connected to the fixing part. A first fold part with upward external     folds is further arranged on the oral cavity coverage part. A second fold     part with downward external folds is arranged on a nasal cavity coverage     part. Two easily deformed components are located in accommodating     cavities which are formed in the fixing part in one-to-one correspondence     with the easily deformed components. Both accommodating cavities are     arranged in the length direction of the fixing part. One accommodating     cavity is located between the oral cavity coverage part and the nasal     cavity coverage part, and the other accommodating cavity is located above     the nasal cavity coverage part. As a result, air circulation parts of the     oral cavity and a nasal cavity are separated to reduce the air     circulation between the oral cavity and the nasal cavity.</t>
  </si>
  <si>
    <t>US20210368141</t>
  </si>
  <si>
    <t>SYSTEM AND METHOD FOR MULTI-SENSOR THREAT DETECTION PLATFORM</t>
  </si>
  <si>
    <t>17/329822</t>
  </si>
  <si>
    <t>PatriotOne Technologies</t>
  </si>
  <si>
    <t>PATRIOTONE</t>
  </si>
  <si>
    <t>STEWART; James Ashley; (Saint John, CA); MITCHELL; Shawn; (Saint John, CA); CARLE; Matthew Aaron Rogers; (Fredericton, CA)</t>
  </si>
  <si>
    <t>A61B 5/01 20130101;  G08B 13/00 20130101;  H04N 7/183 20130101;  G16H 50/30 20180101;  G08B 13/19645 20130101;  G16H 50/80 20180101;  G16H 50/20 20180101;  A61B 5/0002 20130101;  A61B 5/7275 20130101;  G16H 40/67 20180101;  H04N 7/181 20130101</t>
  </si>
  <si>
    <t>Embodiments described herein relate to a threat detection system and     platform. This platform may use multi-sensors and radar technologies, in     conjunction with an artificial intelligence system, to detect concealed     and visible weapons such as guns and knives. The system may also detect     health risk-based threats, through sensing of factors such as the absence     of face masks, the presence of fever, or non-compliance with social     distancing rules. Systems for violence detection, facilities support,     tactical support and support of other industries are disclosed.</t>
  </si>
  <si>
    <t>US20210366622</t>
  </si>
  <si>
    <t>METHODS FOR CONTROL OF PANDEMICS BY WIDESPREAD GATHERED DATA FROM     ACCESSIBLE TOOLS</t>
  </si>
  <si>
    <t>17/329440</t>
  </si>
  <si>
    <t>THERMOGUARD LTD</t>
  </si>
  <si>
    <t>THERMOGUARD</t>
  </si>
  <si>
    <t>ZAKAY; Nir; (Kiryat Ono, IL); ZAKAY; Liat; (Givataim, IL); REMEZ; Offir; (Ramat Gan, IL)</t>
  </si>
  <si>
    <t>A61B 5/0008 20130101;  G16H 50/20 20180101;  G16H 50/80 20180101;  G16H 50/70 20180101;  G16H 10/40 20180101;  G01S 19/42 20130101</t>
  </si>
  <si>
    <t>The invention is a method to analyze and control the spread of viral,     bacterial, fungal or other infections in the form of a pandemic by     collecting and analyzing data from different wide spread sources. The use     of communications, a high number of sensors, the ability to geolocate and     geotag measurements, and tools for trend analysis and prediction of large     data amounts, allows to detect trends, green-light areas that are not     infected, contain infected areas, generate recommendations, analyze the     time that it takes to develop symptoms in different demographics and     more.</t>
  </si>
  <si>
    <t>US20210366621</t>
  </si>
  <si>
    <t>Personal Pandemic Proximity Index System and Method</t>
  </si>
  <si>
    <t>17/327259</t>
  </si>
  <si>
    <t>PARKLAND CENTER FOR CLINICAL INNOVATION</t>
  </si>
  <si>
    <t>Miff; Steve; (Dallas, TX); Arora; Akshay; (Irving, TX); Kukreja; Mansi; (Dallas, TX); Karam; Albert; (Garland, TX); Julka; Manjula; (Plano, TX); Oliver; George; (Southlake, TX)</t>
  </si>
  <si>
    <t>G06F 40/20 20200101;  G16H 50/80 20180101;  G06N 20/00 20190101;  G16H 50/30 20180101</t>
  </si>
  <si>
    <t>The personal pandemic proximity index system and method include a data     ingestion pipeline configured to receive location data associated with     disease-positive cases, a data processing module configured to clean and     process the received data, a personal pandemic proximity module     configured to determine a numerical personal pandemic proximity index     value associated with an individual having an interaction at an address     relative to the location data, and a graphical user interface configured     to present, to a patient care team, the numerical personal pandemic     proximity index value, which may include a modified workflow to limit the     spread of disease.</t>
  </si>
  <si>
    <t>US20210366619</t>
  </si>
  <si>
    <t>RECOVERY PROFILE CLUSTERING TO DETERMINE TREATMENT PROTOCOL AND PREDICT     RESOURCING NEEDS</t>
  </si>
  <si>
    <t>17/218316</t>
  </si>
  <si>
    <t>Philips</t>
  </si>
  <si>
    <t>Philips Electronics</t>
  </si>
  <si>
    <t>CHEN; Xia; (Lorton, VA); TRIVEDI; Gaurav; (Pittsburgh, PA); KASEMAN; Evan Joel; (Monroeville, PA); VON HOLLEN; Dirk Ernest; (Clark, NJ); KRON; Sara; (Pittsburgh, PA)</t>
  </si>
  <si>
    <t>A61B 5/4836 20130101;  A61B 5/7275 20130101;  G16H 50/80 20180101;  G16H 20/10 20180101;  G16H 10/60 20180101;  G16H 50/30 20180101</t>
  </si>
  <si>
    <t>An apparatus and method involve not just comparing a patient's recovery     but improving predications by grouping the patient into a phenotype to     trend the patient's rate of progress compared to existing phenotype     clusters to predict, based on a comparison of rate of progress of     decline, and assess in order to benefit in the improvement of allocation     and timing of future resource needs, including the economic impact.</t>
  </si>
  <si>
    <t>US20210366608</t>
  </si>
  <si>
    <t>METHODS AND SYSTEMS FOR SECURELY COMMUNICATING OVER NETWORKS, IN REAL     TIME, AND UTILIZING BIOMETRIC DATA</t>
  </si>
  <si>
    <t>17/325101</t>
  </si>
  <si>
    <t>HEARTCLOUD, INC.</t>
  </si>
  <si>
    <t>HEARTCLOUD</t>
  </si>
  <si>
    <t>Podobas; Alexander Michael; (Los Angeles, CA); Cook; Ian Ainsworth; (Los Angeles, CA); Bollens; Ross John; (Los Angeles, CA); Podobas; Derek Dariusz; (Los Angeles, CA)</t>
  </si>
  <si>
    <t>G16H 80/00 20180101;  G16H 10/60 20180101;  G06F 3/0483 20130101;  G16H 40/67 20180101</t>
  </si>
  <si>
    <t>Systems and methods described herein facilitate biometric, health, and     activity data aggregation and visualization in order to provide improved     physical performance tracking and medical monitoring. In some examples,     the system can providing real time access to healthcare providers during     telehealth sessions. In some examples, the system can include infectious     disease monitoring, enabling a healthcare provider to monitor and provide     healthcare to a group of patients outside of a clinical setting.</t>
  </si>
  <si>
    <t>US20210366607</t>
  </si>
  <si>
    <t>HEALTH SCREENING KIOSK</t>
  </si>
  <si>
    <t>17/325035</t>
  </si>
  <si>
    <t>G16H 40/67 20180101;  G16H 50/30 20180101;  G06Q 20/18 20130101;  A61B 5/150854 20130101;  G06Q 20/209 20130101</t>
  </si>
  <si>
    <t>This invention relates to systems and methods for identifying subjects     infected by viruses. Present invention is particularly directed to     providing systems and methods that allow secure distribution of     self-expiring health badges through a kiosk to the subjects free of     Severe acute respiratory syndrome coronavirus 2 (SARS-CoV-2) infection.     The kiosk includes a customer interface which comprises (a) a computer     system; (b) a finger slot for collecting subject's blood sample and rapid     testing, and (c) a badge/card printer and an output slot. The kiosk is     located at a plurality sites and includes a camera to capture an image of     the subject and attaches the image to self-expiring badge after the     subjects are tested negative for SARS-CoV-2 infections. The self-expiring     badge uses a time indicator and provides a clear indication of expiration     of the badge after a predetermined period interval. Furthermore, the     badge acts to prevent unauthorized usage and are re-usable.</t>
  </si>
  <si>
    <t>US20210366606</t>
  </si>
  <si>
    <t>SYSTEM, METHOD AND COMPUTER PROGRAM PRODUCT FOR REMOTE MEASUREMENT OF     VITAL SIGNS</t>
  </si>
  <si>
    <t>17/235335</t>
  </si>
  <si>
    <t>Elta Systems Ltd.</t>
  </si>
  <si>
    <t>ELTA SYSTEMS</t>
  </si>
  <si>
    <t>SHAHADI; Avi Abraham; (Kiryat Ono, IL); MIZRAHI; Ohad; (Ramat Gan, IL); HUBER-SHALEM; Revital; (Petach Tikva, IL); ZIMILIS; Sagi; (Petah Tikva, IL)</t>
  </si>
  <si>
    <t>G01S 13/89 20130101;  A61B 5/02055 20130101;  G01S 13/48 20130101;  A61B 5/02416 20130101;  G16H 40/67 20180101;  G16H 50/20 20180101;  G01S 13/282 20130101</t>
  </si>
  <si>
    <t>A system for measuring medical data characterizing a subject to be     monitored, the system including radar sensor/s and/or electro-optical     sensor/s. The medical data, which may include pulse and/or respiratory     rate and/or temperature of the subject to be monitored, are measured     remotely, thereby providing standoff detection and reducing risk of     infection to medical personnel.</t>
  </si>
  <si>
    <t>US20210365585</t>
  </si>
  <si>
    <t>PRIVACY-PRESERVING CONTACT TRACING</t>
  </si>
  <si>
    <t>17/326498</t>
  </si>
  <si>
    <t>Ratliff; Zachary; (Somerville, MA); Khoury; Joud; (Boston, MA)</t>
  </si>
  <si>
    <t>H04L 9/0643 20130101;  H04L 9/3218 20130101;  G06F 21/6245 20130101;  G16H 10/60 20180101;  H04L 9/3247 20130101</t>
  </si>
  <si>
    <t>Techniques for privacy-preserving contact tracing are disclosed,     including: generating, by a first user device, a first proximity token     for contact tracing; receiving, by the first user device, a second     proximity token from a second user device; generating, by the first user     device, a hash based on the first proximity token and the second     proximity token; generating, by the first user device using a prover     function of a preprocessing zero knowledge succinct non-interactive     argument of knowledge (pp-zk-SNARK), a cryptographic proof attesting that     an individual associated with the first user device tested positive for a     pathogen; and transmitting, by the first user device, publicly verifiable     exposure data including at least the cryptographic proof and the hash to     a public registry.</t>
  </si>
  <si>
    <t>US20210365445</t>
  </si>
  <si>
    <t>TECHNOLOGIES FOR COLLECTING, MANAGING, AND PROVIDING CONTACT TRACING     INFORMATION FOR INFECTIOUS DISEASE RESPONSE AND MITIGATION</t>
  </si>
  <si>
    <t>17/330196</t>
  </si>
  <si>
    <t>FORTIOR SOLUTIONS LLC</t>
  </si>
  <si>
    <t>FORTIOR SOLUTIONS</t>
  </si>
  <si>
    <t>ROBELL; James Frederick; (Beaverton, OR); HOANG; Qui Quoc; (Portland, OR); HOANG; Viet Quoc; (Portland, OR); NGUYEN; Maria thanh; (Portland, OR); HANG; Erin Maria; (Portland, OR)</t>
  </si>
  <si>
    <t>H04L 67/22 20130101;  G06K 19/06028 20130101;  G06K 19/06037 20130101;  G06F 16/245 20190101</t>
  </si>
  <si>
    <t>Disclosed embodiments are related to technologies for the provision of     contact tracing services (CTS) in an affordable and non-intrusive means     for individuals to check in and check out of gathering places so that     their contact information can be stored and made available to contact     tracers. A gathering place operator scans a machine-readable element     (MRE) of a contact tracing participant that enters or exits the gathering     place. The MRE encodes a unique identifier (UID) generated by the CTS for     the participant, and the scan captures the UID along with a location and     a timestamp at entry or exit of the gathering place. The UID, location,     and timestamp are provided to the CTS for storage in a contact tracing     database, which is used for providing contact tracing information to     contact tracers. Other embodiments may be described and/or claimed.</t>
  </si>
  <si>
    <t>US20210364536</t>
  </si>
  <si>
    <t>LATERAL FLOW IMMUNOASSAY TEST READER AND METHOD OF USE</t>
  </si>
  <si>
    <t>16/898748</t>
  </si>
  <si>
    <t>THERMOGENESIS GROUP, INC.</t>
  </si>
  <si>
    <t>THERMOGENESIS</t>
  </si>
  <si>
    <t>BUSA; William; (Bahama, NC); COELHO; Phillip H.; (Sacramento, CA); GETCHEL; Paul; (El Dorado Hills, CA)</t>
  </si>
  <si>
    <t>G01S 19/01 20130101;  G01N 2035/00891 20130101;  G01N 35/00871 20130101;  G01N 2035/00108 20130101;  G01N 21/78 20130101;  G01N 2333/165 20130101;  G01N 35/00029 20130101;  G01N 33/56983 20130101;  G01N 2201/06113 20130101</t>
  </si>
  <si>
    <t>A reader for a lateral flow test device includes a tray or drawer,     extendable from the reader, which receives the test device. The tray     includes a calibration test pattern affixed or printed thereon placed     proximate to the test device and in alignment with the axis of the test     device. As the tray is closed and the test device is inserted to the     reader, the calibration test pattern is first read by an optics unit     including a photodiode. The resulting photodiode output provides a     calibration curve S that the reader then uses to correct for any     non-linear response of the reader's optical or electronic systems, thus     insuring that every reader will yield the same readout for a given test     cartridge, despite reader-to-reader variations or reader degradation with     time. One use of the reader is for detection of SARS-CoV-2 infection.</t>
  </si>
  <si>
    <t>US20210364531</t>
  </si>
  <si>
    <t>Methods and Systems for Quantitative Detection of Antibodies</t>
  </si>
  <si>
    <t>17/324856</t>
  </si>
  <si>
    <t>Chun; Kelly Y.; (Burlington, NC)</t>
  </si>
  <si>
    <t>G01N 33/6854 20130101;  G01N 2469/20 20130101;  G01N 33/56983 20130101;  G01N 2333/165 20130101;  G01N 33/54306 20130101</t>
  </si>
  <si>
    <t>The present disclosure relates to methods, systems, kits, and     computer-program products for the quantification of antibodies. In an     embodiment of the disclosure, the method comprises generating a standard     curve and subsequently utilizing the standard curve to quantitate an     antibody of interest. Also disclosed are systems, kits, and     computer-program products for the quantitative detection of an antibody     of interest in a sample using the methods described herein. In certain     embodiments, the standard curve is developed using an immunoglobulin     (e.g., IgG) that does not specifically recognize the antigen(s)     recognized by the antibody of interest but is of the same immunoglobulin     class as the antibody of interest (IgG). In this way, an applicable     standard curve may be generated for various isolates of the antibody of     interest.</t>
  </si>
  <si>
    <t>US20210364517</t>
  </si>
  <si>
    <t>METHODS AND SYSTEMS FOR EARLY DETECTION OF VIRAL DISEASES</t>
  </si>
  <si>
    <t>17/327151</t>
  </si>
  <si>
    <t>ROTKIN; Vyacheslav V.; (State College, PA); ZHENG; Ming; (Rockville, MD); IGNATOVA; Tetyana; (Whitsett, NC); HAYES; Daniel; (University Park, PA); KUCHIPUDI; Suresh; (State College, PA)</t>
  </si>
  <si>
    <t>G01N 33/54326 20130101;  G01N 2333/948 20130101;  G01N 33/56983 20130101;  G01N 2333/165 20130101;  G01N 33/5302 20130101;  G01N 33/582 20130101</t>
  </si>
  <si>
    <t>The invention is directed to methods and systems for early detection of     viral diseases, and more specifically to systems and methods for early     detection of viral diseases that are capable of detecting very low viral     loads, such as for example and not limitation, SARS-CoV-2 loads.</t>
  </si>
  <si>
    <t>US20210364516</t>
  </si>
  <si>
    <t>ULTRA-SENSITIVE, FAST, PLASMONIC-FLUOR ENHANCED ASSAY FOR SARS-COV-2     IMMUNE RESPONSE</t>
  </si>
  <si>
    <t>17/303063</t>
  </si>
  <si>
    <t>Morrissey; Jeremiah; (St. Louis, MO); Singamaneni; Srikanth; (St. Louis, MO); Wang; Zheyu; (St. Louis, MO)</t>
  </si>
  <si>
    <t>G01N 2800/26 20130101;  G01N 2333/165 20130101;  G01N 21/6428 20130101;  G01N 33/56983 20130101;  G01N 2021/6439 20130101</t>
  </si>
  <si>
    <t>The present disclosure is directed to assays for detecting at least one     of a SARS-CoV-2 specific antibody, a SARS-COV-2 specific immunoglobulin,     and a monoclonal response to single linear neutralizing epitopes within     SARS-CoV-2 spike protein, wherein the assay includes a plasmonic-fluor.     The assays include multiplexed and ultrafast assays.</t>
  </si>
  <si>
    <t>US20210364508</t>
  </si>
  <si>
    <t>ASSAYS FOR THE DETECTION OF A BLOCKING ANALYTE</t>
  </si>
  <si>
    <t>17/325681</t>
  </si>
  <si>
    <t>NOVODIAX, INC.</t>
  </si>
  <si>
    <t>NOVODIAX</t>
  </si>
  <si>
    <t>Wang; Jianfu; (Union City, CA); Zhang; Nan; (Pleasanton, CA); Chen; Shuo; (Milpitas, CA); Wu; Jin Vale; (Union City, CA)</t>
  </si>
  <si>
    <t>B01L 2400/0406 20130101;  G01N 33/54388 20210801;  G01N 33/6854 20130101;  B01L 3/5023 20130101;  G01N 33/585 20130101;  G01N 33/6842 20130101;  G01N 33/581 20130101;  G01N 33/54306 20130101;  B01L 2300/0825 20130101;  G01N 33/54387 20210801</t>
  </si>
  <si>
    <t>The present disclosure provides assays, such as lateral flow assays, and     components thereof for detection of an analyte, e.g., a neutralizing     antibody, that blocks binding of a first molecular component and a second     molecular component of a molecular binding pair. In some embodiments, the     disclosed assays and components thereof enable the rapid detection of a     SARS-CoV-2 neutralizing antibody in a sample from an individual. Also     provided in other aspects of the disclosure are devices, methods of     making and using, and kits of the assays described herein.</t>
  </si>
  <si>
    <t>US20210364419</t>
  </si>
  <si>
    <t>SYSTEM AND METHOD FOR IDENTIFYING A VIRAL COMPOUND</t>
  </si>
  <si>
    <t>17/325806</t>
  </si>
  <si>
    <t>SIMMONDS PRECISION PRODUCTS, INC.</t>
  </si>
  <si>
    <t>SIMMONDS PRECISION PRODUCTS</t>
  </si>
  <si>
    <t>Allred; Charles Jeff; (Shelburne, VT); Zanoni; Raymond; (Cedar Rapids, IA)</t>
  </si>
  <si>
    <t>G01N 2021/4797 20130101;  G01N 33/569 20130101;  G01N 21/1702 20130101;  G01N 2021/1725 20130101</t>
  </si>
  <si>
    <t>A method of identifying a viral compound, which includes modulating a     narrow linewidth laser over a range of frequencies to provide a modulated     optical signal that includes a single optical sideband, optically     focusing the modulated optical signal with the single optical sideband at     a viral sample to excite the viral sample and stimulate an emission of     photons therefrom, and detecting amplification of the optical sideband     emanating from the viral sample indicating an emission of photons at an     acoustic resonance of the viral sample.</t>
  </si>
  <si>
    <t>US20210363661</t>
  </si>
  <si>
    <t>CELL-STORED BARCODED DEEP MUTATIONAL SCANNING LIBRARIES AND USES OF THE     SAME</t>
  </si>
  <si>
    <t>17/281540</t>
  </si>
  <si>
    <t>FRED HUTCHINSON CANCER CENTER</t>
  </si>
  <si>
    <t>Bloom; Jesse; (Seattle, WA); Dingens; Adam S.; (Seattle, WA); Dusenbury; Katharine; (Seattle, WA); Radford; Caelan; (Seattle, WA)</t>
  </si>
  <si>
    <t>C40B 40/10 20130101;  C12N 2740/15051 20130101;  C12N 7/00 20130101;  G16B 45/00 20190201;  C40B 50/06 20130101;  C12N 2760/20222 20130101;  C12N 2740/15043 20130101</t>
  </si>
  <si>
    <t>Cell-stored barcoded viral protein deep mutational scanning libraries are     described. The libraries can be used to map resistance mutations to     therapeutic treatments. The libraries can be used to predict viruses that     become resistant to therapeutic compounds and/or may more easily evolve     to infect new species. The libraries can also be used to more safely     study dangerous viruses that normally require high safety biocontainment     facilities. The libraries include features that allow efficient     collection and assessment of informative data, obviating many bottlenecks     of previous approaches.</t>
  </si>
  <si>
    <t>US20210363602</t>
  </si>
  <si>
    <t>Method and diagnostic kit for multiple detection of viruses of the     Coronaviridae family: SARS-CoV-2, SARS-CoV, HCoV and MERS-CoV</t>
  </si>
  <si>
    <t>17/034407</t>
  </si>
  <si>
    <t>UNIVERSITY PHAN CHAU TRINH</t>
  </si>
  <si>
    <t>INCHINGOLO; FRANCESCO; (BARI (BA), IT); BALLINI; ANDREA; (BARI (BA), IT); ISACCO; CIRO GARGIULO; (BARI (BA), IT); DIPALMA; GIANNA; (BARI (BA), IT); INCHINGOLO; ALESSIO DANILO; (BARI (BA), IT); INCHINGOLO; ANGELO MICHELE; (BARI (BA), IT); NGUYEN; CAO DIEM KIEU; (BARI (BA), IT); PHAM; HUNG VAN; (Ho Chi Minh City, VN)</t>
  </si>
  <si>
    <t>The invention relates to a diagnostic kit for multiple detection of 4     viruses of the Family Coronaviridae: HCoV, SARS-CoV, MERS-CoV and the     SARS-CoV-2 viral strain that has caused a pandemic of the disease known     as COVID-19. The kit uses a "One-Step" approach with quantitative gene     amplification after backward transcription of the viral genome (rRT-PCR). In order to avoid potential false negatives, the invention contains a     double control using Porcine Epidemic Diarrhoea Virus (PEDV-CoV) and     Ribonuclease P (RNase P-RP).</t>
  </si>
  <si>
    <t>US20210363517</t>
  </si>
  <si>
    <t>HIGH THROUGHPUT AMPLIFICATION AND DETECTION OF SHORT RNA FRAGMENTS</t>
  </si>
  <si>
    <t>17/195613</t>
  </si>
  <si>
    <t>PARAGON GENOMICS, INC.</t>
  </si>
  <si>
    <t>PARAGON GENOMICS</t>
  </si>
  <si>
    <t>LIU; Zhitong; (Foster City, CA); LI; Chenyu; (Hayward, CA); DEBRUYNE; David; (Foster City, CA); LIU; Guoying; (San Ramon, CA); SPENCER; Julia; (Hayward, CA); LEE; Lucie; (Union City, CA)</t>
  </si>
  <si>
    <t>C12N 15/1065 20130101;  C12Q 1/6806 20130101;  C12Q 1/6853 20130101</t>
  </si>
  <si>
    <t>High throughput methods and compositions (e.g., kits) for the     amplification of RNA fragments, including in particular, for the     detection of fusion mutations in a high volume of samples, e.g., by high     throughput sequencing method. These methods may include barcoding cDNA     preparations with template switching reactions, indexing pools of     libraries and intensive use of automatic liquid handling, and providing a     ready-to-sequence library mix.</t>
  </si>
  <si>
    <t>US20210363512</t>
  </si>
  <si>
    <t>ACE2 fusion proteins and uses thereof</t>
  </si>
  <si>
    <t>17/327081</t>
  </si>
  <si>
    <t>FORMYCON AG</t>
  </si>
  <si>
    <t>FORMYCON</t>
  </si>
  <si>
    <t>Reiter; Alwin; (Munchen, DE); Brockmeyer; Carsten; (Marzling, DE); Wolschin; Florian; (Munchen, DE)</t>
  </si>
  <si>
    <t>A61K 45/06 20130101;  C12Y 304/17023 20130101;  C12N 9/485 20130101;  C07K 2319/30 20130101;  C12N 15/62 20130101;  A61K 38/00 20130101</t>
  </si>
  <si>
    <t>The present invention relates to fusion proteins of ACE2 with IgG Fc and     the medical use of these fusion proteins, in particular in the prevention     or treatment of infections with coronaviruses such as SARS-CoV-2.</t>
  </si>
  <si>
    <t>US20210362925</t>
  </si>
  <si>
    <t>COVID Safe Cooling Systems</t>
  </si>
  <si>
    <t>17/323091</t>
  </si>
  <si>
    <t>KEANE SCOTT K</t>
  </si>
  <si>
    <t>KEANE SCOTT</t>
  </si>
  <si>
    <t>Keane; Scott K; (Lake Worth, FL)</t>
  </si>
  <si>
    <t>B65D 2501/24936 20130101;  B65D 43/166 20130101;  B65D 2501/24929 20130101;  F25D 3/08 20130101;  B65D 71/0003 20130101;  B65D 81/18 20130101;  F25D 2303/081 20130101</t>
  </si>
  <si>
    <t>A covid protection cooler system is provided. The system includes a     five-panel sided box structure. The box structure includes a back,     bottom, front, left and right panels. The system also includes a top     panel with back and side hinges. The back hinges allow the top panel to     swivel between open and closed positions and the side hinges maintain the     top panel in an open position for replenishing ice. The top panel     includes a plurality of openings. The system includes a lock hasp     positionable on the front panel and the top panel. The system includes a     plurality of cylindrical container holders affixed to a top surface of     the bottom panel. The exterior surfaces of the container holders and the     interior surfaces of the five-panel box structure form an interior ice     chamber. The system includes a water barrier liner on an interior surface     of the ice chamber. System includes a drain plug.</t>
  </si>
  <si>
    <t>US20210362320</t>
  </si>
  <si>
    <t>MOBILE EPIDEMIC PREVENTION AND DISINFECTION ROBOT AND ITS WORKING METHOD</t>
  </si>
  <si>
    <t>16/882294</t>
  </si>
  <si>
    <t>HON HAI PRECISION INDUSTRY CO., LTD.</t>
  </si>
  <si>
    <t>HON HAI PRECISION INDUSTRY</t>
  </si>
  <si>
    <t>YANG; FU-HSIUNG; (New Taipei, TW)</t>
  </si>
  <si>
    <t>G05D 1/0255 20130101;  G05D 1/0212 20130101;  B25J 5/00 20130101;  G05B 2219/45098 20130101;  G05B 19/4155 20130101;  B25J 9/1694 20130101;  B25J 11/0085 20130101;  B25J 9/0087 20130101</t>
  </si>
  <si>
    <t>A mobile epidemic prevention and disinfection robot includes a body and a     control system installed on the body. The body includes a mobile base, a     dust collection module, a disinfection system, a temperature detection     system, and a delivery system. The delivery system includes two robot     arms and a storage box. The control system includes a control module, a     path planning module, and an obstacle dodge module. The control module is     used to control the movement of the mobile epidemic prevention and     disinfection robot, and the two robot arms to perform corresponding     actions. The path planning module plans the optimal movement information     of the mobile epidemic prevention and disinfection robot from the current     position to a destination according to a three-dimensional map. The     obstacle dodge module controls the mobile epidemic prevention and     disinfection robot to dodge obstacles.</t>
  </si>
  <si>
    <t>US20210362082</t>
  </si>
  <si>
    <t>FACE MASK WITH FILTER MEDIUM FROM MULTICOMPONENT FILAMENTS</t>
  </si>
  <si>
    <t>17/322924</t>
  </si>
  <si>
    <t>CARL FREUDENBERG KG</t>
  </si>
  <si>
    <t>CARL FREUDENBERG</t>
  </si>
  <si>
    <t>Khedimi; Achraf; (Colmar, FR); Goedicke; Birgit; (Kaiserslautern, DE); Kerhault; Jean-Francois; (Kaiserslautern, DE)</t>
  </si>
  <si>
    <t>D10B 2401/10 20130101;  B01D 39/1623 20130101;  B01D 2239/1258 20130101;  B32B 2262/0284 20130101;  B32B 2250/24 20130101;  B01D 2239/0618 20130101;  B01D 2239/0654 20130101;  D10B 2505/04 20130101;  B01D 2239/1291 20130101;  B32B 2262/124 20210501;  D04H 1/43825 20200501;  B01D 2239/0627 20130101;  B32B 2307/724 20130101;  D04H 1/492 20130101;  B01D 2239/0216 20130101;  B32B 5/267 20210501;  A62B 23/025 20130101;  B32B 2262/0261 20130101;  D10B 2501/042 20130101;  B32B 2571/00 20130101;  D04H 1/724 20130101;  B32B 2307/72 20130101;  B32B 5/022 20130101;  B32B 2250/20 20130101</t>
  </si>
  <si>
    <t>A face mask for protection against infectious agents includes: a filter     medium from spun nonwoven, which has multicomponent filaments, which are     split at least partially into elementary filaments. In an embodiment, the     filter medium includes at least two layers of spun nonwoven. In an     embodiment, each layer of spun nonwoven has a basis weight of 10 to 100     g/m.sup.2.</t>
  </si>
  <si>
    <t>US20210361791</t>
  </si>
  <si>
    <t>AIRCRAFT SANITIZATION SYSTEMS AND DEVICES</t>
  </si>
  <si>
    <t>16/879935</t>
  </si>
  <si>
    <t>HCL AMERICA, INC.</t>
  </si>
  <si>
    <t>HCL AMERICA</t>
  </si>
  <si>
    <t>Irmen; Greg; (LAGUNA NIGUEL, CA); SWARO; SAMARESH; (Sunnyvale, CA)</t>
  </si>
  <si>
    <t>A61L 2/10 20130101;  A61L 2202/23 20130101;  B64D 11/062 20141201;  A61L 2202/26 20130101;  A61L 2202/25 20130101;  A61L 2202/11 20130101</t>
  </si>
  <si>
    <t>An aircraft sanitization system is disclosed. The aircraft sanitization     system includes a frame. The aircraft sanitization system further     includes a tray operatively coupled to at least first two corners of the     frame and is rotatable about a pivot axis. The tray is configured to be     in one of a locked state and an unlocked state based on rotation about     the pivot axis. In the unlocked state the tray is at an angle greater     than zero with respect to the frame and in the locked state the tray is     at an angle equal to zero with respect to the frame. The aircraft     sanitization system further includes a set of Ultraviolet (UV) Light     Emitting Diodes (LEDs) attached on an exposed surface of the frame,     wherein the set of UV LEDs is configured to sanitize the tray when the     tray is in the locked state.</t>
  </si>
  <si>
    <t>US20210361733</t>
  </si>
  <si>
    <t>Prevention and Treatment of SARS-CoV-2 Infection by Mentha piperita and     Flos chrysanthemi Extracts alone, and their Combination</t>
  </si>
  <si>
    <t>17/395491</t>
  </si>
  <si>
    <t>Rahman, Atta-ur-; Choudhary, Muhammad Iqbal; Farooq, Saba; Wahab, Atia-tul-</t>
  </si>
  <si>
    <t>RAHMAN ATTA</t>
  </si>
  <si>
    <t>Rahman; Atta-ur-; (Karachi, PK); Choudhary; Muhammad Iqbal; (Karachi, PK); Farooq; Saba; (Karachi, PK); Wahab; Atia-tul-; (Karachi, PK)</t>
  </si>
  <si>
    <t>A61P 31/14 20180101;  A61K 36/534 20130101;  A61K 36/287 20130101</t>
  </si>
  <si>
    <t>Due to the SARS-CoV-2 pandemic, the development and screening of novel     antiviral agents are urgently required. Herein, we developed herbal     extracts with promising antiviral activity against SARS-CoV-2. Antiviral     effects of Mentha piperita, and Flos chrysanthemi extracts alone, in     combination and their fractions were found to decrease viral load. To     determine which step of the virus is inhibited by the treatment, the     extracts were administered at different time points of treatment, namely     prophylactic (Full-time), pre-adsorption (Entry), and post adsorption     (Post-entry). Most of the fractions, exhibited high efficacy upon     prophylactic administration. The viral load was lower in     prophylactic-treated cells than in non-treated cells. Administration of     combinations, following 2:1 molar ratio of Mentha piperita, and Flos     chrysanthemi significantly reduced the viral load by increasing the Cq     values. Ethyl acetate extract of Mentha piperita and hexanes extract of     Flos chrysanthemi were found to be most effective at all treatment     points.</t>
  </si>
  <si>
    <t>US20210361700</t>
  </si>
  <si>
    <t>NUTRITIONAL SUPPLEMENT TO COMBAT COVID-19 AND AID VACCINATION</t>
  </si>
  <si>
    <t>17/326830</t>
  </si>
  <si>
    <t>Tufts University</t>
  </si>
  <si>
    <t>TUFTS</t>
  </si>
  <si>
    <t>Meydani; Simin Nikbin; (Newton, MA); Mozaffarian; Dariush; (Waban, MA)</t>
  </si>
  <si>
    <t>A61K 31/355 20130101;  A23L 33/15 20160801;  A61K 33/30 20130101;  A23L 33/30 20160801;  A23L 29/035 20160801</t>
  </si>
  <si>
    <t>The present invention provides compositions and methods for the treatment     and prevention of COVID-19. The disclosed compositions comprise a     combination of the natural compounds zinc, quercetin, vitamin E, and     epigallocatechin gallate (EGCG), and are formulated for use in treating     COVID-19, reducing the severity of disease, and enhancing the immune     response to vaccination for COVID-19.</t>
  </si>
  <si>
    <t>US20210361688</t>
  </si>
  <si>
    <t>SYSTEM, METHOD AND USE OF A CERTAIN MEDICATION FOR REDUCING VIRAL     REPLICATION IN THE AIRWAYS MUCOSAE</t>
  </si>
  <si>
    <t>17/327306</t>
  </si>
  <si>
    <t>RIVEROS, Carlos Alberto</t>
  </si>
  <si>
    <t>RIVEROS CARLOS</t>
  </si>
  <si>
    <t>RIVEROS; Carlos Alberto; (Coral Gabels, FL)</t>
  </si>
  <si>
    <t>A61K 31/573 20130101;  A61K 31/7048 20130101;  A61K 9/0078 20130101;  A61P 31/14 20180101</t>
  </si>
  <si>
    <t>A system, method, use, combination and kits useful in the administration     of a certain medication for reducing viral replication of certain viruses     during the early stage of transmission or as a prophylaxis when high risk     of exposure to a virus is detected or predicted, administering     efficiently a high local concentration of the certain medication while     minimizing systemic exposure. Specifically it refers to a system, a     method, a use, pharmaceutical combination and pharmaceutical kits of a     certain nebulized medication to reduce viral replication. The development     uses inhalers or nebulizers to deliver at least one certain medication     directly into the upper and lower airways mucosae.</t>
  </si>
  <si>
    <t>US20210361673</t>
  </si>
  <si>
    <t>COMPOSITIONS AND METHODS OF TREATING VIRAL INFECTIONS</t>
  </si>
  <si>
    <t>16/875979</t>
  </si>
  <si>
    <t>LIPOCINE INC.</t>
  </si>
  <si>
    <t>LIPOCINE</t>
  </si>
  <si>
    <t>Papangkorn; Kongnara; (Sandy, UT); Patel; Mahesh V.; (Salt Lake City, UT); Chidambaram; Nachiappan; (Sandy, UT); Kim; Kilyoung; (West Jordan, UT); Bruno; Ben; (Salt Lake City, UT)</t>
  </si>
  <si>
    <t>A61K 9/0053 20130101;  A61K 31/568 20130101</t>
  </si>
  <si>
    <t>The present disclosure is drawn to a methods of treating viral infections     using androgen receptor agonists and compositions and dosages suitable     therefor.</t>
  </si>
  <si>
    <t>US20210361650</t>
  </si>
  <si>
    <t>COMPOSITIONS AND METHODS FOR TREATING LUNG INJURIES ASSOCIATED WITH     SARS-COV-2 INFECTIONS</t>
  </si>
  <si>
    <t>17/325968</t>
  </si>
  <si>
    <t>Wu; Dianqing; (New Haven, CT); Lo; Ho Yin; (Bethel, CT)</t>
  </si>
  <si>
    <t>A61K 31/496 20130101;  A61P 31/14 20180101;  A61P 11/00 20180101;  A61K 31/506 20130101;  A61K 31/675 20130101</t>
  </si>
  <si>
    <t>The present invention provides methods and compositions for treating and     preventing lung injuries due to or associated with coronavirus infections     that cause Severe Acute Respiratory Syndrome, including COVID-19. More     specifically the present invention provides methods for treating or     preventing the lung injuries associated with SARS-CoV-2 infections, such     as acute lung injury (ALI), lung fibrosis, and acute respiratory distress     syndrome (ARDS). The methods comprise administering a therapeutically     effective amount of a pharmaceutical composition comprising a protein     kinase inhibitor compound having MAP3K2/MAP3K3 inhibition activity, such     as pazopanib or nintedanib, or a pharmaceutically acceptable salt,     solvate, or prodrug thereof, to a patient in need thereof. The present     invention also provides devices for administering the compositions.</t>
  </si>
  <si>
    <t>US20210361619</t>
  </si>
  <si>
    <t>COMPOSITION FOR PREVENTING OR TREATING SARS CORONAVIRUS 2 INFECTION     DISEASE</t>
  </si>
  <si>
    <t>17/205809</t>
  </si>
  <si>
    <t>SYNTEKABIO, INC.</t>
  </si>
  <si>
    <t>SYNTEKABIO</t>
  </si>
  <si>
    <t>Jung; Jong Sun; (Daejeon, KR); Hong; Jong Hui; (Seoul, KR); Kim; Dong Myung; (Daejeon, KR); Park; Bong Hwan; (Gyeonggi-do, KR); Ryu; Young Bae; (Daejeon, KR); Kwon; Hyung Jun; (Daejeon, KR); Lee; In Chul; (Daejeon, KR); Park; Ji Young; (Daejeon, KR)</t>
  </si>
  <si>
    <t>A61K 9/0073 20130101;  A61K 9/0043 20130101;  A61K 31/4152 20130101;  A61K 31/404 20130101;  A61K 9/0053 20130101;  A61P 31/14 20180101</t>
  </si>
  <si>
    <t>Disclosed is a pharmaceutical composition for preventing or treating     severe acute respiratory syndrome coronavirus 2 infection disease, the     composition comprising a compound represented by a Chemical Formula 1, or     a pharmaceutically acceptable salt thereof, as an active ingredient.</t>
  </si>
  <si>
    <t>US20210361371</t>
  </si>
  <si>
    <t>FLEXIBLE ISOLATION SYSTEM AND METHOD OF USE</t>
  </si>
  <si>
    <t>17/301698</t>
  </si>
  <si>
    <t>PREP TECH, L.L.C.</t>
  </si>
  <si>
    <t>PREP TECH</t>
  </si>
  <si>
    <t>Moore; Mark R.; (Westlake, LA); Prados; Peter; (Lafayette, LA)</t>
  </si>
  <si>
    <t>A61B 2017/00902 20130101;  A61B 46/23 20160201;  A61B 2046/201 20160201;  A61B 17/1322 20130101</t>
  </si>
  <si>
    <t>An isolette comprising an array of support structures is provided,     covered by sheeting, and a drape. The arrays provide vertical or     peripheral wire frame supports which are easily assembled and attached to     the flexible sheeting. Access ports allow patient access. A component     access panel is provided. The drape includes an optional sealing ring     held in position by a strap or medical tape. The access ports can include     iris diaphragms, covering flaps, integrated gloves, and removable gloves.</t>
  </si>
  <si>
    <t>US20210361240</t>
  </si>
  <si>
    <t>RATI-FI EMPLOYEE MONITORING SYSTEM</t>
  </si>
  <si>
    <t>16/879001</t>
  </si>
  <si>
    <t>RATIONAL SURGICAL SOLUTIONS, LLC</t>
  </si>
  <si>
    <t>RATIONAL SURGICAL SOLUTIONS</t>
  </si>
  <si>
    <t>Fialkov; Jonathan; (Urbandale, IA)</t>
  </si>
  <si>
    <t>A61B 5/6898 20130101;  A61B 2503/20 20130101;  G16H 50/80 20180101;  G16H 10/20 20180101;  G16H 10/60 20180101;  G16H 50/30 20180101</t>
  </si>
  <si>
    <t>The present invention comprises a health screening and recording tool for     use in tracking certain health metrics in a population for the purpose of     evaluating the health of individuals in the population, as well as the     metrics of the population, and for use in decision making regarding     activities.</t>
  </si>
  <si>
    <t>US20210361175</t>
  </si>
  <si>
    <t>SLEEP-BASED BIOMETRIC TO PREDICT AND TRACK VIRAL INFECTION PHASES</t>
  </si>
  <si>
    <t>17/218234</t>
  </si>
  <si>
    <t>GARCIA MOLINA; Gary Nelson; (Madison, WI); CHEN; Xia; (Lorton, VA); MOKASHI; Yash Parag; (Pittsburgh, PA)</t>
  </si>
  <si>
    <t>A61B 5/7278 20130101;  A61B 5/08 20130101;  A61B 5/02055 20130101;  A61B 5/05 20130101;  A61B 5/4809 20130101;  A61B 5/02405 20130101;  A61B 5/4812 20130101;  A61B 5/1118 20130101;  A61B 5/7264 20130101;  A61B 5/1102 20130101;  A61B 5/02416 20130101;  A61B 5/369 20210101;  A61B 5/7275 20130101</t>
  </si>
  <si>
    <t>An apparatus and method involve leveraging unobtrusive sleep monitoring     technologies, even consumer ones, to predict the phase of a viral     infection and is usable for guiding patient treatment and tracking     treatment effectiveness. An apparatus and method determine a phase of a     viral infection based at least in part upon a data set that is input to     an algorithm.</t>
  </si>
  <si>
    <t>US20210361087</t>
  </si>
  <si>
    <t>Apparatus to Facilitate Physical Distancing</t>
  </si>
  <si>
    <t>17/104795</t>
  </si>
  <si>
    <t>KEANE LONDON, STEPHANIE VAN</t>
  </si>
  <si>
    <t>KEANE LONDON</t>
  </si>
  <si>
    <t>Keane London; Stephanie Van; (Boise, ID); London; John Michael; (Boise, ID); Howard; Willet Christopher; (Star, ID); Kelley; David Michael; (Boise, ID); Pearen; Christopher John; (Brampton, CA)</t>
  </si>
  <si>
    <t>A47F 2010/065 20130101;  A47F 10/06 20130101</t>
  </si>
  <si>
    <t>Embodiments of the invention include a barrier assembly including a frame     to hold a barrier member. A bracket defines a track and the bracket can     be attached to a support surface such that a first branch of the bracket     resides on a first side of the support surface and a second branch of the     bracket resides on a second side of the support surface. An articulating     connector couples the frame to track, the articulating connector enables     the frame to move in at least two degrees of freedom relative to the     track. The frame and connector can move along the track from a first     position in which the frame resides above the support surface to a second     position in which the frame resides below the support surface.</t>
  </si>
  <si>
    <t>US20210361005</t>
  </si>
  <si>
    <t>17/324543</t>
  </si>
  <si>
    <t>CURIAN HEALTH LLC</t>
  </si>
  <si>
    <t>CURIAN HEALTH</t>
  </si>
  <si>
    <t>SHERMAN; TREVOR; (NEW YORK, NY); TRICOMI; EDWARD; (NEW YORK, NY)</t>
  </si>
  <si>
    <t>A protective face mask comprises (a) a covering portion having first and     second opposing sides, first and second opposing side edges, and opposing     top and bottom edges, (b) a first adhesive strip affix affixed to the     first side adjacent to the first edge, and (c) a second adhesive strip     affixed to the first side adjacent to the second edge. The protective     face mask may comprise a first selectively removable protective backing     covering the first adhesive strip and a second selectively removable     protective backing covering the second adhesive strip. The protective     face mask may not comprise a retention strap adapted to secure the     protective face mask around a user's head or ears.</t>
  </si>
  <si>
    <t>US20210360366</t>
  </si>
  <si>
    <t>PROXIMITY-BASED CONTACT TRACING SYSTEM</t>
  </si>
  <si>
    <t>17/320163</t>
  </si>
  <si>
    <t>HUBBELL INCORPORATED, 584 DERBY MILFORD ROAD, NEW HAVEN, CONNECTICUT A CORP. OF CT</t>
  </si>
  <si>
    <t>HUBBELL</t>
  </si>
  <si>
    <t>Bailey; Christopher Lane; (Shelton, CT); Willis; Timothy Eugene; (Shelton, CT); Clark; Adam Joseph; (Greenville, SC); Bretzer; Walter Lawrence; (Shelton, CT)</t>
  </si>
  <si>
    <t>H04W 4/023 20130101;  H04W 88/08 20130101;  H04W 4/027 20130101;  G08B 7/06 20130101;  H04W 4/80 20180201</t>
  </si>
  <si>
    <t>The present disclosure provides embodiments of mobile devices designed to     be worn by a person and configured to detect when another mobile device     is within a predefined distance and to provide the wearer with an     indication that another mobile device is within the predefined distance.     The mobile device includes a sealed housing, a clip member, a UWB     detector and at least one indicator. The housing has a front housing     portion, a rear housing portion and at least one cavity for receiving     internal components. The clip member includes a mounting bracket used to     affix the clip member to either the front housing portion or the rear     housing portion, and a clip is used to permit mobile device to be worn by     a person. The UWB detector circuit is located within the at least one     cavity and receives signals from at least one other mobile device. The     UWB detector circuit also calculates a distance between the mobile device     and the at least one other mobile device. The at least one indicator is     used to provide at least an audible, haptic or visual indication when the     distance between the mobile device and the at least one other mobile     device is calculated to be within a predetermined distance.</t>
  </si>
  <si>
    <t>US20210358640</t>
  </si>
  <si>
    <t>MACHINE LEARNING MODELS FOR MULTI-RISK-LEVEL DISEASE SPREAD FORECASTING</t>
  </si>
  <si>
    <t>17/002232</t>
  </si>
  <si>
    <t>Chaudhary; Kartik; (Bangalore, IN); Shukla; Vineet; (Bangalore, IN); Rajdev; Pooja Mahesh; (Bangalore, IN); Ayyadevara; V Kishore; (Hyderabad, IN); Mishra; Shivam; (New Delhi, IN); Bhushan; Neelesh; (Gurugram, IN); Jolly; Sahil; (Ghaziabad, IN)</t>
  </si>
  <si>
    <t>G16H 50/80 20180101;  G06N 20/00 20190101;  G06Q 10/04 20130101;  G16H 50/20 20180101</t>
  </si>
  <si>
    <t>There is a need for more reliable and efficient disease spread     forecasting. This need can be addressed by, for example, solutions for     performing optimization-based disease spread forecasting using a     multi-risk-level disease spread forecasting machine learning model. In     one example, a method includes identifying a retrospective timeseries     data object; processing the retrospective timeseries data object to     generate a plurality of temporally dynamic parameters of the     multi-risk-level disease spread forecasting machine learning model,     wherein the plurality of temporally dynamic parameters comprise a general     susceptibility parameter, a heightened risk ratio parameter, a heightened     risk infection probability parameter, and a non-heightened risk infection     probability parameter; and subsequent to generating the plurality of     temporally dynamic parameters, enabling access to the multi-risk-level     disease spread forecasting machine learning model to generate a     prospective disease spread forecast data object and perform one or more     prediction-based actions based on the prospective disease spread forecast     data object.</t>
  </si>
  <si>
    <t>US20210358639</t>
  </si>
  <si>
    <t>Pandemic Health Risk Management System and Method to Accelerate Voluntary     Notification to Trace Contacts and to Encourage Self-Quarantine</t>
  </si>
  <si>
    <t>16/872385</t>
  </si>
  <si>
    <t>LONG MICHAEL A</t>
  </si>
  <si>
    <t>LONG MICHAEL</t>
  </si>
  <si>
    <t>Long; Michael A.; (Rolling Hills Estates, CA)</t>
  </si>
  <si>
    <t>G06Q 50/01 20130101;  G16H 40/20 20180101;  G06Q 10/109 20130101;  H04L 67/18 20130101;  G06Q 30/0633 20130101;  G16H 10/60 20180101;  G06Q 30/0185 20130101;  G16H 50/80 20180101;  H04L 2209/38 20130101;  H04L 51/046 20130101;  H04L 9/3268 20130101;  G06Q 10/083 20130101;  G06Q 50/26 20130101;  H04L 9/0637 20130101;  G06Q 40/08 20130101;  G16H 10/20 20180101</t>
  </si>
  <si>
    <t>A system to manage pandemic health risk provides a pandemic app having a     user interface that runs on a mobile device, a voluntary participant can     register to use the pandemic app, and a trace contact is identified in     the pandemic app by the participant through the user interface.</t>
  </si>
  <si>
    <t>US20210358632</t>
  </si>
  <si>
    <t>INFECTION RISK PREDICTION</t>
  </si>
  <si>
    <t>17/228331</t>
  </si>
  <si>
    <t>FAZIO; Robi; (Le Cannet, FR); SOUCHE; Christian; (Cannes, FR)</t>
  </si>
  <si>
    <t>G06F 16/7837 20190101;  G16H 50/20 20180101;  G06F 16/75 20190101;  G16H 50/30 20180101;  G06F 16/787 20190101;  G06N 3/08 20130101</t>
  </si>
  <si>
    <t>An infection risk prediction system may receive a query associated with     an infection risk assessment for a geographic location for an infectious     disease and obtain associated infectious disease data. The system detects     a plurality of objects at the geographical location and a plurality of     material categories for the plurality of objects associated. The system     determines a usage frequency indicator and spatial-temporal features for     each object and creates a risk prediction model based on the lifespan of     the virus on the plurality of material categories for each of the     plurality of objects based on the viral disease data and the     spatial-temporal features for each object. A risk assessment score for     each object is determined and an associated heat map is provided to alert     a user of potential virus exposures or to provide a routing application     to generate a route that minimizes potential pathogen exposure.</t>
  </si>
  <si>
    <t>US20210358621</t>
  </si>
  <si>
    <t>Autobot Securtiy Portal and Mobile Sanitizer</t>
  </si>
  <si>
    <t>15/931189</t>
  </si>
  <si>
    <t>CASTLE MICHAEL C</t>
  </si>
  <si>
    <t>CASTLE MICHAEL</t>
  </si>
  <si>
    <t>Castle; Michael C.; (Capitola, CA)</t>
  </si>
  <si>
    <t>A61B 5/0059 20130101;  G16H 50/20 20180101;  G16H 50/80 20180101;  A61B 5/01 20130101</t>
  </si>
  <si>
    <t>A security portal has a body having sidewalls and a top, a floor, and an     entrance passageway, a remotely operable entrance barrier at the entrance     passageway, a remotely operable exit barrier at the exit passageway,     input apparatus in the security portal, an optical temperature sensor     positioned and remotely operable to sense the subject's skin temperature,     and a computerized base station remote from the security portal. The     operative opens the entrance barrier to admit the subject, uses the input     apparatus to solicit information, performs an evaluation process     involving identity and skin temperature, and, depending on result of the     evaluation process, the operative opens the entrance barrier and asks the     subject to leave through the entrance passageway, or opens the exit     barrier and asks the subject to leave through the exit passageway into     the secured area.</t>
  </si>
  <si>
    <t>US20210358269</t>
  </si>
  <si>
    <t>SOCIAL DISTANCING IN GAMING ESTABLISHMENTS</t>
  </si>
  <si>
    <t>17/318284</t>
  </si>
  <si>
    <t>H04W 4/21 20180201;  G07F 17/3223 20130101;  G07F 17/3283 20130101;  H04W 4/80 20180201</t>
  </si>
  <si>
    <t>In certain embodiments, social distancing is implemented at a gaming     establishment (such as a casino) by disabling one or more neighboring     gaming machines from being played while a first patron is playing at a     first gaming machine. Social grouping is implemented by enabling a second     patron who is in a social group with the first patron to play at one of     the neighboring gaming machines, while the first patron is playing at the     first gaming machine. In some implementations, a gaming system of the     gaming establishment controls which gaming machines are disabled. In     other implementations, patrons' cell phones running a gaming app     communicate directly with the gaming machines to disable the neighboring     gaming machines while enabling patrons in the same social group to play     at neighboring gaming machines. In some implementations, play at a gaming     machine is prevented by temporarily disabling the gaming machine's bill     validator.</t>
  </si>
  <si>
    <t>US20210358152</t>
  </si>
  <si>
    <t>MONITORING DISTANCES BETWEEN PEOPLE</t>
  </si>
  <si>
    <t>17/302701</t>
  </si>
  <si>
    <t>CORSIS LLC</t>
  </si>
  <si>
    <t>CORSIS</t>
  </si>
  <si>
    <t>ODINAEV; Karina; (Tel Aviv, IL)</t>
  </si>
  <si>
    <t>G06T 2207/30201 20130101;  G06T 7/60 20130101;  G06K 9/6215 20130101;  G06T 2207/20081 20130101;  G06K 9/00228 20130101;  G06T 7/536 20170101;  G06T 2207/30232 20130101;  G06T 7/20 20130101;  G06K 9/00771 20130101;  G06T 7/70 20170101;  G06F 16/9535 20190101</t>
  </si>
  <si>
    <t>Systems, and method and computer readable media that store instructions     for face based distance measurements related to pandemic avoidance     instructions compliance.</t>
  </si>
  <si>
    <t>US20210358068</t>
  </si>
  <si>
    <t>METHOD FOR ISSUING A VERIFIED HEALTH PASS, USE THEREOF FOR ENTERING A     VENUE AND CONTACT TRACING METHOD</t>
  </si>
  <si>
    <t>16/874180</t>
  </si>
  <si>
    <t>BBL HEALTHCARE SOLUTIONS LTD</t>
  </si>
  <si>
    <t>BBL HEALTHCARE SOLUTIONS</t>
  </si>
  <si>
    <t>BOSZCZYK; Bronek; (High Wycombe, GB); LEE; Robert Anthony; (High Wycombe, GB); BIRCH; Nicholas Charles; (High Wycombe, GB); LEE; Robert Darren; (High Wycombe, GB)</t>
  </si>
  <si>
    <t>G06F 21/31 20130101;  H04W 4/029 20180201;  A61B 5/1176 20130101;  G07C 9/23 20200101;  G07C 9/27 20200101;  G06K 7/1417 20130101;  G06F 21/602 20130101;  G06Q 50/265 20130101;  G16H 10/65 20180101;  G06K 7/1413 20130101;  G16H 50/30 20180101;  H04W 4/30 20180201;  G16H 50/80 20180101</t>
  </si>
  <si>
    <t>The provision of a pass that may be used in the field of infectious     disease prevention and control and, more specifically, a method for the     provision of a verified health pass that is indicative for at least one     health status of an individual and can be used for allowing entry to a     venue depending on said specific health status. The verified health pass     may further be used for linking an individual's identity to an associated     proximity detection device to allow contact tracing of individuals inside     a venue while minimizing transfer of personal data.</t>
  </si>
  <si>
    <t>US20210357654</t>
  </si>
  <si>
    <t>SYSTEMS AND METHODS OF IDENTIFYING PERSONS-OF-INTEREST</t>
  </si>
  <si>
    <t>17/196698</t>
  </si>
  <si>
    <t>SENSORMATIC ELECTRONICS, LLC</t>
  </si>
  <si>
    <t>SENSORMATIC ELECTRONICS</t>
  </si>
  <si>
    <t>ADAM; Lipphei; (Nolensville, TN)</t>
  </si>
  <si>
    <t>G06N 20/00 20190101;  G06K 9/00771 20130101;  G06K 9/00288 20130101</t>
  </si>
  <si>
    <t>Disclosed herein are systems, methods, and non-transitory computer     readable mediums directed to tracing a person of interest (POI) using     video. As provided herein, images of a POI are obtained, such as from a     data store, and then the POI is identified in one or more video frames of     a monitored video feed by comparing the monitored video frames to the     images of the POI using facial recognition techniques. If the POI is     identified, additional persons within a prescribed distance threshold of     the POI are determined and identified using facial recognition     techniques. Thereafter, a list of each identified person within the     distance threshold of the POI is generated and may be transmitted to a     desired recipient.</t>
  </si>
  <si>
    <t>US20210357649</t>
  </si>
  <si>
    <t>SYSTEMS AND METHODS OF ENFORCING DISTANCING RULES</t>
  </si>
  <si>
    <t>17/196717</t>
  </si>
  <si>
    <t>G06K 9/00778 20130101;  G06K 9/6215 20130101;  G06K 9/00281 20130101;  G06T 2207/30232 20130101;  G06T 2207/10016 20130101;  G06K 9/00718 20130101;  G06T 7/593 20170101;  G06K 2209/21 20130101</t>
  </si>
  <si>
    <t>Disclosed herein are systems, methods, and non-transitory computer     readable mediums directed to identifying persons monitored on video     frames of a video feed, determining if the number of people on a     monitored video frame is above a prescribed group threshold, and if so,     calculating distances between each respective person in the monitored     video frame. The calculated distances between each respective person are     then compared to a prescribed distance threshold and alerts are generated     in response to any calculated distance not satisfying the prescribed     threshold. Identification of persons in a monitored video frame may be     performed by, for example, facial recognition software. Calculation of     distance between persons in a monitored video frame may be performed, for     example, by using bounding boxes, machine learning, or other     classification techniques.</t>
  </si>
  <si>
    <t>US20210356475</t>
  </si>
  <si>
    <t>Virus and Exosome Sample Preparation and Analysis Methods</t>
  </si>
  <si>
    <t>17/320624</t>
  </si>
  <si>
    <t>MAP IP HOLDING LIMITED</t>
  </si>
  <si>
    <t>MAP HOLDING</t>
  </si>
  <si>
    <t>ILES; Raymond Kruse; (Norfolk, GB); ILES; Jason Kruse; (Ely, GB)</t>
  </si>
  <si>
    <t>G01N 33/4875 20130101;  G01N 33/6851 20130101;  G01N 2333/005 20130101;  G01N 2458/15 20130101</t>
  </si>
  <si>
    <t>Provided are methods for preparing a biological sample for analysis for     the presence of a virus, or an exosome or other extra-cellular vesicle,     by matrix assisted laser desorption ionisation time of flight mass     spectrometry (MALDI-ToF MS). The preparation involves mixing the sample     with at least one cationic viral envelope/vesicle disruptor compound, or     at least one disulphide reducing agent, or a combination thereof; and at     least one mass spectrometry grade solvent. Also provided are methods for     analysing a biological sample for the presence of a virus, or an exosome     or other extra-cellular vesicle, using MALDI-ToF MS once prepared.</t>
  </si>
  <si>
    <t>US20210356466</t>
  </si>
  <si>
    <t>Rapid Viral Assay</t>
  </si>
  <si>
    <t>17/379370</t>
  </si>
  <si>
    <t>Barnhizer, Bret T.; Faro, Jonathan P.</t>
  </si>
  <si>
    <t>BARNHIZER BRET</t>
  </si>
  <si>
    <t>Barnhizer; Bret T.; (Poland, OH); Faro; Jonathan P.; (Bella, TX)</t>
  </si>
  <si>
    <t>G01N 2333/8103 20130101;  G01N 2333/908 20130101;  G01N 33/5304 20130101;  G01N 33/56983 20130101;  G01N 2333/165 20130101</t>
  </si>
  <si>
    <t>The present invention provides a method for rapid, highly specific and     sensitive detection and quantification of a virus by observing viral     substrate binding to its host receptor protein. The invention also     provides a method for rapid, highly specific and sensitive detection and     quantification of a virus in an individual suspected of being infected     with a virus. The invention further provides a test kit for rapid, highly     specific and sensitive point-of-care detection of a virus in an     individual. The viruses and their host receptor proteins that can rapidly     be detected include SARS-CoV-2 and its host receptor protein ACE2. The     surprisingly rapid, specific, sensitive method and kit of the invention     provide a point-of care test capable of diagnosing individuals suffering     from COVID-19 by observation of a color change in the assay, which color     change occurs in about five minutes, and which test can be completed by a     user in about 60 minutes.</t>
  </si>
  <si>
    <t>US20210356465</t>
  </si>
  <si>
    <t>NEUTRALIZING ANTIBODY TESTING AND TREATMENT</t>
  </si>
  <si>
    <t>17/319081</t>
  </si>
  <si>
    <t>SAPPHIRE BIOTECH, INC.</t>
  </si>
  <si>
    <t>SAPPHIRE BIOTECH</t>
  </si>
  <si>
    <t>Svarovsky; Sergei; (San Diego, CA); Lake; Douglas; (Scottsdale, AZ); Seit-Nebi; Alim; (San Diego, CA); Gonzalez-Moa; Maria; (San Diego, CA)</t>
  </si>
  <si>
    <t>G01N 33/56983 20130101;  G01N 33/54346 20130101;  G01N 2800/26 20130101;  G01N 2469/20 20130101;  G01N 2333/165 20130101;  G01N 33/54388 20210801</t>
  </si>
  <si>
    <t>Provided herein are diagnostic methods, devices and kits for detecting     neutralizing antibodies to SARS-CoV-2.</t>
  </si>
  <si>
    <t>US20210356464</t>
  </si>
  <si>
    <t>SEROLOGICAL ASSAYS FOR DIAGNOSING OR CONFIRMING COVID-19 VIRUS INFECTIONS</t>
  </si>
  <si>
    <t>17/308494</t>
  </si>
  <si>
    <t>CELLEX, INC.</t>
  </si>
  <si>
    <t>CELLEX</t>
  </si>
  <si>
    <t>LI; Xingxiang; (Morrisville, NC)</t>
  </si>
  <si>
    <t>G01N 33/5302 20130101;  G01N 2333/165 20130101;  G01N 33/54388 20210801;  G01N 33/56983 20130101</t>
  </si>
  <si>
    <t>Inventions herein described relate to methods, devices and kits for     detecting viral infections, particularly COVID-19 infections by the     SARs-CoV2 corona virus. Various aspects of the inventions relate to     serological antibody tests, particularly those that reduce false     positive. Additionally, various aspects relate to serological detection     of acute phase immune responses and distinguishing them from later phase     response. Additional aspects relate to detection of antibodies indicative     of natural COVID-19 virus infection even if the sample is from a     vaccinated individual.</t>
  </si>
  <si>
    <t>US20210356428</t>
  </si>
  <si>
    <t>Rapid Virus Detection</t>
  </si>
  <si>
    <t>17/321369</t>
  </si>
  <si>
    <t>Petrovic; Slobodan; (Happy Valley, OR)</t>
  </si>
  <si>
    <t>G01N 27/48 20130101</t>
  </si>
  <si>
    <t>A electrochemical detection cell for rapid detection of viruses in a     mucous sample. The detection cell has a potentiostat, a working     electrode, a counter electrode, and electrolyte. When the mucous sample     is dissolved in the electrolyte the detection cell is capable of     measuring the presence of a specific virus that was present in the mucous     sample.</t>
  </si>
  <si>
    <t>US20210355699</t>
  </si>
  <si>
    <t>SYSTEM FOR SANITIZING AND CONTROLLING PEOPLE WHO WANT TO ACCESS A ROOM</t>
  </si>
  <si>
    <t>16/911462</t>
  </si>
  <si>
    <t>FARAM TECH LAB S.R.L.</t>
  </si>
  <si>
    <t>FARAM TECH LAB</t>
  </si>
  <si>
    <t>RIGHETTO; Paolo; (Giavera del Montello, IT)</t>
  </si>
  <si>
    <t>A61L 2202/122 20130101;  E04H 1/12 20130101;  G05B 2219/45078 20130101;  G07C 9/00174 20130101;  G09F 25/00 20130101;  A61L 2202/121 20130101;  A61L 2202/15 20130101;  A61L 2/24 20130101;  G06K 9/00288 20130101;  F24F 3/16 20130101;  G09F 2025/005 20130101;  A61L 2/22 20130101;  G05B 19/4155 20130101;  A61L 2202/14 20130101</t>
  </si>
  <si>
    <t>A system for sanitizing and controlling people who want to access a room     (40), adapted to at least reduce the risk that people can bring     pathogenic contaminants into said room (40), in particular viral     pathogenic contaminants, such as for example coronavirus, comprising: a sanitizing cabin (1) having a size such that it can house     at least one person inside; a sanitizing unit (7) for sanitizing the     person present inside said cabin, and at least one controller (12) which     is operatively connected to a sanitation activating element (32, 36,     100E), said controller (12) being configured to determine a process     control command for said sanitizing unit (7) to supply a sanitizing     substance to said cabin for a predetermined time, when it receives at     least one activation signal from said sanitation activating element (32,     36, 100E).</t>
  </si>
  <si>
    <t>US20210355552</t>
  </si>
  <si>
    <t>PAPER-BASED COLORIMETRIC COVID-19/SARS-COV-2 TEST</t>
  </si>
  <si>
    <t>17/319845</t>
  </si>
  <si>
    <t>BUNDY; Bradley C.; (Provo, UT); HUNT; J. Porter; (Provo, UT)</t>
  </si>
  <si>
    <t>C12Q 1/70 20130101;  C07H 21/04 20130101;  C12Q 1/6825 20130101</t>
  </si>
  <si>
    <t>Disclosed herein are biosensors, which may be made from cell lysates,     purified enzymes, or a combination thereof, for testing for the presence     of a pathogen, such as SARS-CoV-2. The biosensor may be used in the     context of a paper-based test, such as a colorimetric COVID-19 test.     Methods of using the biosensor are also disclosed.</t>
  </si>
  <si>
    <t>US20210355551</t>
  </si>
  <si>
    <t>RT-qPCR Molecular Detection and Diagnosis of 2019 Novel Coronavirus</t>
  </si>
  <si>
    <t>16/874647</t>
  </si>
  <si>
    <t>CHEMGENES CORPORATION</t>
  </si>
  <si>
    <t>CHEMGENES</t>
  </si>
  <si>
    <t>Srivastava; Suresh C.; (Burlington, MA)</t>
  </si>
  <si>
    <t>C12Q 2600/16 20130101;  C12Q 1/70 20130101</t>
  </si>
  <si>
    <t>Provided herein are oligonucleotide probes for detecting 2019 novel     coronavirus (2019-nCoV). The probes are modified at their 5' ends with a     fluorophore (e.g., fluorescein) and at their 3' ends with a moiety     capable of quenching fluorescence from the fluorophore. The moiety is     based on the IQ-4 or IQ-2 quencher. Also provided are kits including one     or more of such oligonucleotide probes, and methods of detecting     2019-nCoV and/or diagnosing COVID-19 using the oligonucleotide probes and     kits described herein.</t>
  </si>
  <si>
    <t>US20210355533</t>
  </si>
  <si>
    <t>TCR/BCR Profiling</t>
  </si>
  <si>
    <t>17/302030</t>
  </si>
  <si>
    <t>TEMPUS LABS, INC.</t>
  </si>
  <si>
    <t>TEMPUS LABS</t>
  </si>
  <si>
    <t>Perera; Jason; (Chicago, IL); Harding; Taylor; (Chicago, IL); Mineo; Brittany; (Oak Park, IL); Khan; Aly A.; (Chicago, IL); Blidner; Richard; (Glenview, IL); Malinauskas; Jenna L.; (Chicago, IL)</t>
  </si>
  <si>
    <t>C12N 2501/515 20130101;  C12Q 1/6806 20130101;  C07K 14/7051 20130101;  C12Q 1/6881 20130101;  G01N 2800/26 20130101;  C12N 2502/1114 20130101;  C12Q 1/6869 20130101;  C12Q 1/6876 20130101;  C12Q 2600/118 20130101</t>
  </si>
  <si>
    <t>This present disclosure relates to systems, methods, and compositions     useful for profiling T cell receptor (TCR) and B cell receptor (BCR)     repertoire using next-generation sequencing (NGS) methods. The present     disclosure also relates to systems and methods for diagnosing, treating,     or predicting infection, disease, medical conditions, therapeutic     outcome, or therapeutic efficacy based on the TCR/BCR profile data from a     subject in need thereof.</t>
  </si>
  <si>
    <t>US20210355523</t>
  </si>
  <si>
    <t>RT-qPCR Molecular Detection and Diagnosis</t>
  </si>
  <si>
    <t>17/073281</t>
  </si>
  <si>
    <t>C12Q 1/70 20130101;  C12Q 2561/113 20130101;  C12Q 2600/16 20130101;  C12Q 2565/1015 20130101;  C12Q 1/6876 20130101;  C12Q 1/686 20130101</t>
  </si>
  <si>
    <t>Provided herein are oligonucleotide probes for detecting 2019 novel     coronavirus (2019-nCoV). The probes are modified at their 5' ends with a     fluorophore (e.g., fluorescein), and are also modified (e.g., at their 3'     ends) with a moiety capable of quenching fluorescence from the     fluorophore. The moiety is based on the IQ-4 or IQ-2 quencher. Also     provided are kits including one or more of such oligonucleotide probes,     and methods of detecting 2019-nCoV and/or diagnosing COVID-19 using the     oligonucleotide probes and kits described herein.</t>
  </si>
  <si>
    <t>US20210355196</t>
  </si>
  <si>
    <t>SARS-COV-2 ANTIBODIES AND METHODS OF SELECTING AND USING THE SAME</t>
  </si>
  <si>
    <t>17/322137</t>
  </si>
  <si>
    <t>ESSER; Mark; (Gaithersburg, MD); STEINHARDT; James; (Gaithersburg, MD); MCTAMNEY, II; Patrick; (Gaithersburg, MD); LOO; Yueh-Ming; (Gaithersburg, MD); VARKEY; Reena M.; (Gaithersburg, MD); DU; Qun; (Gaithersburg, MD); RAJAN; Saravanan; (Gaithersburg, MD)</t>
  </si>
  <si>
    <t>G01N 2333/165 20130101;  G01N 33/56983 20130101;  C07K 16/10 20130101;  C07K 2317/565 20130101;  C07K 2317/76 20130101</t>
  </si>
  <si>
    <t>The present disclosure provides antibodies and antigen-binding fragments     thereof that specifically bind to the spike protein of SARS-CoV-2 and     methods of making and selecting the same. The antibodies can be used, for     example, in prophylaxis, post-exposure prophylaxis, or treatment of     SARS-CoV-2 infection. The antibodies can also be used to detect     SARS-CoV-2 infection in subject.</t>
  </si>
  <si>
    <t>US20210355194</t>
  </si>
  <si>
    <t>VARIANT NUCLEIC ACID LIBRARIES FOR CORONAVIRUS</t>
  </si>
  <si>
    <t>17/242170</t>
  </si>
  <si>
    <t>TWIST BIOSCIENCE CORPORATION</t>
  </si>
  <si>
    <t>TWIST BIOSCIENCE</t>
  </si>
  <si>
    <t>SATO; Aaron; (Burlingame, CA); LIU; Qiang; (Palo Alto, CA); YUAN; Tom; (San Francisco, CA)</t>
  </si>
  <si>
    <t>C07K 2317/76 20130101;  C07K 2317/92 20130101;  C07K 16/10 20130101;  A61K 2039/505 20130101</t>
  </si>
  <si>
    <t>Provided herein are methods and compositions relating to libraries of     optimized antibodies having nucleic acids encoding for an antibody     comprising modified sequences. Libraries described herein comprise     nucleic acids encoding SARS-CoV-2 or ACE2 antibodies. Further described     herein are protein libraries generated when the nucleic acid libraries     are translated. Further described herein are cell libraries expressing     variegated nucleic acid libraries described herein.</t>
  </si>
  <si>
    <t>US20210355170</t>
  </si>
  <si>
    <t>Stabilizing Mutants of Prefusion Sars-Cov-2 (Covid-19) Spike Protein And     Improved Yeast Surface Display Engineering Platform For The Same</t>
  </si>
  <si>
    <t>17/318719</t>
  </si>
  <si>
    <t>UNIV COLORADO REGENTS</t>
  </si>
  <si>
    <t>Whitehead; Timothy; (Boulder, CO); Kirby; Monica; (Boulder, CO); Baumer; Zachary; (Boulder, CO); Bedewitz; Matthew; (Boulder, CO); Petersen; Brian; (Boulder, CO); Steiner; Paul J.; (Boulder, CO)</t>
  </si>
  <si>
    <t>C12N 2770/20022 20130101;  C12N 15/81 20130101;  C12N 2770/20034 20130101;  A61K 39/00 20130101;  C07K 14/005 20130101</t>
  </si>
  <si>
    <t>The invention relates to one or more mutations configured to stabilize     the prefusion "up" protomer trimeric Spike protein from SARS-CoV-2. The     inventive technology further relates to systems, methods, and     compositions to display one or more proteins on the surface of a yeast     cell. Specifically, in one embodiment the invention relates to systems,     methods, and compositions to display one or more Spike protein from     SARS-CoV-2 on the surface of a yeast cell, and more preferably a Spike     protein from SARS-CoV-2 stabilized in its prefusion conformation on the     surface of a yeast cell.</t>
  </si>
  <si>
    <t>US20210355111</t>
  </si>
  <si>
    <t>17/384369</t>
  </si>
  <si>
    <t>C07D 403/14 20130101;  C07D 471/04 20130101;  C07D 207/26 20130101;  C07D 403/12 20130101;  C07D 401/14 20130101;  C07D 417/14 20130101;  C07D 401/12 20130101</t>
  </si>
  <si>
    <t>The disclosure provides compounds with warheads and their use in treating     medical diseases or disorders, such as viral infections. Pharmaceutical     compositions and methods of making various compounds with warheads are     provided. The compounds are contemplated to inhibit proteases, such as     the 3C, CL- or 3CL-like protease.</t>
  </si>
  <si>
    <t>US20210355090</t>
  </si>
  <si>
    <t>METHODS FOR PREPARING FAVIPIRAVIR</t>
  </si>
  <si>
    <t>17/323910</t>
  </si>
  <si>
    <t>WEAVER LABS, LLC</t>
  </si>
  <si>
    <t>WEAVER LABS</t>
  </si>
  <si>
    <t>Weaver, III; Jimmie Dean; (Stillwater, OK); Singh; Anuradha; (Stillwater, OK)</t>
  </si>
  <si>
    <t>C07D 241/08 20130101</t>
  </si>
  <si>
    <t>The present invention provides methods for preparing Favipiravir     (6-fluoro-3-hydroxypyrazine-2-carboxamide).</t>
  </si>
  <si>
    <t>US20210354610</t>
  </si>
  <si>
    <t>SYSTEM FOR MINIMIZING RISK OF TRANSMISSION OF INFECTION</t>
  </si>
  <si>
    <t>16/943133</t>
  </si>
  <si>
    <t>Orrington, II; James L.; (Chicago, IL)</t>
  </si>
  <si>
    <t>A61F 9/045 20130101;  B60N 2/767 20180201;  B60N 2/797 20180201;  A41D 13/1184 20130101;  B60N 2/793 20180201;  A61H 2201/1604 20130101</t>
  </si>
  <si>
    <t>Disclosed herein are systems for minimizing the risk of transmission of     SARS-CoV-2 and/or other infectious diseases between individuals in close     proximity to one another. Said systems may comprise a substantially     transparent shield component, a chamber component, and a suctioning     component. The systems of the present disclosure are intended to remove     any SARS-CoV-2 virus and/or other infectious agents that may be     travelling within aerosols.</t>
  </si>
  <si>
    <t>US20210354127</t>
  </si>
  <si>
    <t>RIBONUCLEIC ACID TEST PANEL AND RIBONUCLEIC ACID TEST DEVICE</t>
  </si>
  <si>
    <t>15/931529</t>
  </si>
  <si>
    <t>KEYCORE TECHNOLOGY CORP.</t>
  </si>
  <si>
    <t>KEYCORE</t>
  </si>
  <si>
    <t>Chiang; Li-Ta; (Zhubei City, TW); Chiu; Po-Wei; (Zhubei City, TW); Fan; Hsiang-Yu; (Zhubei City, TW); Tseng; Shih-Hsiu; (Zhubei City, TW); Hsiao; Chien-Jen; (Zhubei City, TW); Chang; Li-Ying; (Zhubei City, TW)</t>
  </si>
  <si>
    <t>B01L 3/502715 20130101;  B01L 2300/0819 20130101;  B01L 2300/023 20130101;  B01L 2300/0645 20130101</t>
  </si>
  <si>
    <t>A ribonucleic acid test panel and a ribonucleic acid test device. The     ribonucleic acid test device includes a control unit and a ribonucleic     acid test panel. The ribonucleic acid test panel includes a substrate,     multiple sensation electrode layers electrically connected with the     control unit, at least one primer layer and multiple electrode wiring     layers. The multiple sensation electrode layers are disposed on a first     surface of the substrate. The at least one primer layer is disposed on     the multiple sensation electrode layers and insulated from each other.     The multiple electrode wiring layers are electrically connected with the     multiple sensation electrode layers and the control unit. By means of the     design of the ribonucleic acid test device, the test time is shortened     and the cost is lowered.</t>
  </si>
  <si>
    <t>US20210354064</t>
  </si>
  <si>
    <t>Antimicrobial and Antiviral Protective Barrier</t>
  </si>
  <si>
    <t>17/322278</t>
  </si>
  <si>
    <t>Keuchel; Kenneth Herbert; (Cuyahoga Falls, OH); Keuchel; Connor Ayrom; (Cuyahoga Falls, OH); Keuchel; Brennen Ayrom; (Cuyahoga Falls, OH); Keuchel; Destynn Ayrom; (Cuyahoga Falls, OH)</t>
  </si>
  <si>
    <t>B32B 5/022 20130101;  B01D 2239/0442 20130101;  B01D 46/0028 20130101;  B01D 39/1623 20130101;  B01D 46/521 20130101;  B32B 2307/20 20130101;  B01D 2239/065 20130101;  B32B 5/028 20130101;  B32B 2250/40 20130101;  B01D 2239/0618 20130101;  B32B 5/265 20210501;  B01D 2239/0622 20130101;  B32B 2307/7145 20130101;  B32B 2250/03 20130101;  B01D 46/0032 20130101;  B32B 2262/0253 20130101;  B32B 2307/724 20130101;  B01D 2239/0435 20130101</t>
  </si>
  <si>
    <t>A protective barrier having antimicrobial and antiviral properties. The     protective barrier comprises a filtration media structure. The filtration     media structure comprises inner melt blown nonwoven filtration media, an     outer melt blown nonwoven filtration media, and a channeling layer. The     channeling layer is sandwiched between the inner and outer filtration     media layers. The channeling layer comprises a plurality of filaments.     Each filament is constructed having a non-round cross-section. The     filaments are arranged in a three-dimensional (3D) structure configured     to disturb laminar flow through the protective barrier. The protective     barrier may further comprise an inner layer and an outer layer     encapsulating the filtration media structure.</t>
  </si>
  <si>
    <t>US20210354062</t>
  </si>
  <si>
    <t>Filtration Media</t>
  </si>
  <si>
    <t>17/319336</t>
  </si>
  <si>
    <t>BERRY GLOBAL, INC.</t>
  </si>
  <si>
    <t>BERRY GLOBAL</t>
  </si>
  <si>
    <t>Moody, III; Ralph A.; (Mooresville, NC); Bishop; Nyle; (Mooresville, NC); Sinangil; Mehmet Selcuk; (Mooresville, NC); Garcia; Robert; (Alcanar, ES); Nawroth; Rainer; (L'Aleixar, ES); Gnoatto; Victor; (Curitiba, BR); Cano; Elisabeth Torres; (Barcelona, ES)</t>
  </si>
  <si>
    <t>A62B 23/025 20130101;  A62B 18/084 20130101;  B01D 2239/0435 20130101;  B01D 2239/10 20130101;  B01D 2239/1258 20130101;  B01D 2239/0668 20130101;  B01D 2239/0622 20130101;  B01D 2239/086 20130101;  B01D 2239/0627 20130101;  B01D 39/163 20130101;  B01D 2239/0618 20130101</t>
  </si>
  <si>
    <t>A filtration media including at least a first nonwoven fabric having at     least one meltblown layer in provided. The at least one meltblown layer     includes a plurality of meltblown fibers having an average diameter from     about 1 to about 5 microns. Methods of making a filtration media are also     provided. Facemasks including such filtration media are also provided.</t>
  </si>
  <si>
    <t>US20210353979</t>
  </si>
  <si>
    <t>SECURE LIQUID CONSUMPTION FACE COVERING</t>
  </si>
  <si>
    <t>17/317373</t>
  </si>
  <si>
    <t>LEAN KATHERINE M</t>
  </si>
  <si>
    <t>LEAN KATHERINE</t>
  </si>
  <si>
    <t>Lean; Katherine M.; (Virginia, MN)</t>
  </si>
  <si>
    <t>A62B 23/025 20130101;  A62B 18/025 20130101;  A62B 18/086 20130101</t>
  </si>
  <si>
    <t>A secure liquid consumption face covering is created for the general     public that is flexible so that the user does not need to remove or open     a mask when thirsty or hungry to consume liquid. Through a tube attached     with connector(s) and lock(s) to the mask and with an optional disposable     straw unit, the wearer can drink liquid from any vessel easily without     taking the mask off or breaking the seal of the mask around the user's     nose and mouth.</t>
  </si>
  <si>
    <t>US20210353977</t>
  </si>
  <si>
    <t>INTEGRATED RESPIRATORY AND EYE PROTECTIVE SYSTEM</t>
  </si>
  <si>
    <t>17/319519</t>
  </si>
  <si>
    <t>D. Wheatley Enterprises, Inc.</t>
  </si>
  <si>
    <t>WHEATLEY</t>
  </si>
  <si>
    <t>Hulbert; Patrick; (Dallastown, PA); Hanson; David; (Street, MD); Elliott; Robert; (Bel Air, MD)</t>
  </si>
  <si>
    <t>A62B 18/084 20130101;  A62B 18/025 20130101;  A62B 18/082 20130101</t>
  </si>
  <si>
    <t>Disclosed is an integrated respiratory and eye protective system that is     light-weight and easily carried, is fast and easy to apply by a user, and     that ensures protection of a user against inhalation or ingestion of or     exposure to environmental contaminants, including for example dangerous     aerosolized chemical, biological, and radiological materials. The system     includes a mask that fits tightly over a user's nose and mouth and down     and around their neck, with two filter assemblies on either side of the     mask that filter environmental contaminants out of the air as the user     breathes in through the mask. Goggles are provided that provide a single,     continuous seal against the user's face and about the user's eyes, with     the bottom, central portion of the goggles configured to engage and     closely mate with the top, central portion of the mask.</t>
  </si>
  <si>
    <t>US20210353976</t>
  </si>
  <si>
    <t>UNIVERSAL PERSONAL PROTECTIVE MASK</t>
  </si>
  <si>
    <t>16/876817</t>
  </si>
  <si>
    <t>SEELA KRITHIK</t>
  </si>
  <si>
    <t>Seela; Krithik; (Orlando, FL)</t>
  </si>
  <si>
    <t>A62B 18/025 20130101</t>
  </si>
  <si>
    <t>A universal personal protective mask includes a main body having a front     surface, a back surface, a top edge, a bottom edge, and a pair of side     edges that define an internal pocket. An opening is formed along the main     body to permit access to the pocket, and a zipper is positioned along the     opening to secure the pocket in an open or closed position. The mask body     is constructed from a durable machine-washable fabric so as to be     reusable, and includes at least one head strap. A gasket is positioned     along the inside periphery of the mask body, and a filter insert is     removably secured within the pocket. The filter being constructed from     myriad of different materials or industry standards to prevent the     passage of particulates and harmful organisms.</t>
  </si>
  <si>
    <t>US20210353972</t>
  </si>
  <si>
    <t>FACEMASK WITH REPLACEABLE FILTER</t>
  </si>
  <si>
    <t>17/320550</t>
  </si>
  <si>
    <t>DIVERSIFIED INDUSTRIAL TECHNOLOGY, INC.</t>
  </si>
  <si>
    <t>DIVERSIFIED INDUSTRIAL</t>
  </si>
  <si>
    <t>Adam; Robert; (Kennesaw, GA); Beyer; Sayyadina; (Acworth, GA); DeYoung; Dan; (Woodstock, GA)</t>
  </si>
  <si>
    <t>B01D 46/16 20130101;  A62B 18/084 20130101;  A41D 13/1161 20130101;  B01D 46/0023 20130101;  A62B 7/10 20130101;  A62B 23/02 20130101;  A62B 9/00 20130101;  A62B 18/08 20130101;  A41D 13/1146 20130101;  B01D 46/0004 20130101;  B01D 2271/02 20130101</t>
  </si>
  <si>
    <t>A facemask assembly includes a facemask including a face seal defining a     first end and a second end, the first end at least partially defining a     filter cavity, the second end configured to form a seal with a user's     face; a filter cover coupled to the first end, the filter cover further     defining the filter cavity; and a filter assembly positioned within the     filter cavity; and a restraint coupled to the facemask, the restraint     configured to secure the facemask to the user's face.</t>
  </si>
  <si>
    <t>US20210353969</t>
  </si>
  <si>
    <t>WEARABLE AIR STERILIZER FOR EVERYDAY USE DURING COVID-19 AND IN A     POST-PANDEMIC PERIOD</t>
  </si>
  <si>
    <t>17/317113</t>
  </si>
  <si>
    <t>Leschinsky, Barbara D.; Leschinsky, Boris</t>
  </si>
  <si>
    <t>LESCHINSKY BARBARA</t>
  </si>
  <si>
    <t>Leschinsky; Barbara D.; (Mahwah, NJ); Leschinsky; Boris; (Mahwah, NJ)</t>
  </si>
  <si>
    <t>A62B 18/084 20130101;  H04M 1/725 20130101;  A42B 1/24 20130101;  A61L 2209/15 20130101;  A62B 9/00 20130101;  A61L 2209/12 20130101;  A62B 18/003 20130101;  A61L 2209/11 20130101;  A62B 7/00 20130101;  A62B 18/08 20130101;  A62B 18/006 20130101;  A61L 9/20 20130101;  A42B 3/286 20130101</t>
  </si>
  <si>
    <t>A wearable air sterilizer features an air disinfection chamber and a     slidable face shield mounted on a headwear item such as a conventional     baseball cap. The air disinfection chamber features one or more LEDs     emanating ultraviolet light at a germicidal wavelength to inactivate     airborne pathogens in the passing air and provide the user with a     personalized air supply free from COVID-19 and other viruses.</t>
  </si>
  <si>
    <t>US20210353959</t>
  </si>
  <si>
    <t>DEVICES AND METHODS FOR APPLYING THERAPEUTIC LIGHT TO REDUCE HAZARD TO     HEALTH CARE PROVIDERS OF CONTRACTING INFECTIOUS DISEASE</t>
  </si>
  <si>
    <t>17/323155</t>
  </si>
  <si>
    <t>PATHY MEDICAL, LLC</t>
  </si>
  <si>
    <t>PATHY MEDICAL</t>
  </si>
  <si>
    <t>Silver; Mikiya; (New Haven, CT); Kleyman; Gennady; (Brooklyn, NY); Pathy; Vinod V.; (Shelton, CT)</t>
  </si>
  <si>
    <t>A61N 2005/0661 20130101;  A61N 5/0624 20130101;  A61N 2005/0642 20130101;  A61N 2005/0652 20130101</t>
  </si>
  <si>
    <t>A therapeutic light assembly used for reducing a patient's viral load     including a housing containing at least one therapeutic light source     configured to emit light at air exiting the patient's airway, a power     source coupled to the at least therapeutic light source, and a tubing     attachment coupled to the housing configured to secure the housing to a     patient's tubing.</t>
  </si>
  <si>
    <t>US20210353889</t>
  </si>
  <si>
    <t>DEVICE AND METHOD FOR TREATING HYPOXIA</t>
  </si>
  <si>
    <t>17/320647</t>
  </si>
  <si>
    <t>Carroll; Kathleen; (Durham, NC); Boole; Lindsay; (Durham, NC); Que; Loretta; (Durham, NC)</t>
  </si>
  <si>
    <t>A61M 16/208 20130101;  A61M 16/06 20130101;  A61M 2230/205 20130101;  A61M 2202/0208 20130101;  A61M 16/1005 20140204;  A61M 2205/586 20130101</t>
  </si>
  <si>
    <t>A device is disclosed herein and includes a facemask, an outlet valve in     fluid communication with the facemask, a grip positioned between the     facemask and the outlet valve, and an inlet valve in fluid communication     with the facemask. The inlet valve is positioned within the grip. The     device is used in a method for treating hypoxia in a subject.</t>
  </si>
  <si>
    <t>US20210353818</t>
  </si>
  <si>
    <t>SYSTEM AND METHOD FOR PROTECTING A WORKSPACE FROM AIRBORNE CONTAMINANTS</t>
  </si>
  <si>
    <t>17/302874</t>
  </si>
  <si>
    <t>HOGHOOGHI, Mehrdad Michael; ABBASS-MOVAHEDI, Hamidreza; HOGHOOGHI, Parsa Amir-Mansour; HOGHOOGHI, Hunyeh Neda</t>
  </si>
  <si>
    <t>HOGHOOGHI MEHRDAD</t>
  </si>
  <si>
    <t>HOGHOOGHI; Mehrdad Michael; (Ellicott City, MD); ABBASS-MOVAHEDI; Hamidreza; (Hollister, CA); HOGHOOGHI; Parsa Amir-Mansour; (Ellicott City, MD); HOGHOOGHI; Hunyeh Neda; (Ellicott City, MD)</t>
  </si>
  <si>
    <t>F24F 2110/64 20180101;  B01D 46/46 20130101;  B01D 46/0028 20130101;  B01D 46/0086 20130101;  F24F 8/10 20210101;  A61L 9/14 20130101;  A61L 2209/14 20130101;  B01D 2279/50 20130101;  F24F 11/79 20180101;  B01D 46/448 20130101;  A61L 9/20 20130101;  A61L 2209/111 20130101</t>
  </si>
  <si>
    <t>A system for protecting a workspace from airborne contaminants comprises     at least one sensing capturing unit, an air transmission unit, an air     capturing unit, and a processor. The processor is configured to receive a     sensing data associated with the workspace from the at least one sensing     capturing unit and determine presence of at least one source of     transmission of the airborne contaminants. The processor is further     configured to configure a capture zone within the workspace based on the     determined at least one source of transmission of the airborne     contaminants. The processor is configured to control the air transmission     unit to direct a unidirectional flow of air over the configured capture     zone, thereby directing movement of the airborne contaminants in the     capture zone and further to control the air capturing unit to capture the     unidirectional flow of air, along with the airborne contaminants,     directed from the air transmission unit.</t>
  </si>
  <si>
    <t>US20210353798</t>
  </si>
  <si>
    <t>UNIVERSAL MASK CARRIER AND DECONTAMINATION DEVICE</t>
  </si>
  <si>
    <t>17/319737</t>
  </si>
  <si>
    <t>Spear, Charlotte Rosalind; Skiba, Jeffry; Platt, Campion Acheson</t>
  </si>
  <si>
    <t>SPEAR CHARLOTTE</t>
  </si>
  <si>
    <t>Spear; Charlotte Rosalind; (Morgantown, WV); Skiba; Jeffry; (Chandler, AZ); Platt; Campion Acheson; (West Palm Beach, FL)</t>
  </si>
  <si>
    <t>A61L 2/26 20130101;  A45F 5/021 20130101;  A61L 2/10 20130101</t>
  </si>
  <si>
    <t>A mask carrying system comprising a housing that can have a front portion     detachably coupled to a back portion, and an outer surface and an inner     surface defining an exterior and an interior of the housing. A mask     carrying system can further comprise a disinfectant to disinfect an item     on the interior of the housing to a 2-log reduction of at least one     pathogen. The disinfectant can be a plurality of ultraviolet lights     illuminating the interior of the housing. The front portion can     substantially conform to a mask shape. The connector plate can be coupled     to a power source wherein the power source supplies power to the     disinfectant.</t>
  </si>
  <si>
    <t>US20210353794</t>
  </si>
  <si>
    <t>Method and device to allow antiseptic proximity seating</t>
  </si>
  <si>
    <t>16/876337</t>
  </si>
  <si>
    <t>LAVM LLC</t>
  </si>
  <si>
    <t>LAVM</t>
  </si>
  <si>
    <t>Popa-Simil; Victor; (Los Alamos, NM); Popa-Simil; Ioana Livia; (Ann Arbor, MI); Popa-Simil; Andrei; (Albuquerque, NM); Popa-Simil; Liviu; (Los Alamos, NM); Vasilescu; Gabriel; (Ottawa, CA); Boboc; Adrian; (Tlmisoara, RO); Harangozo; Arpad; (Bucharest, RO)</t>
  </si>
  <si>
    <t>G05D 2201/0206 20130101;  A61L 2202/25 20130101;  F24H 3/002 20130101;  A61L 2202/121 20130101;  A61L 2202/15 20130101;  A61L 2/10 20130101;  G05D 1/0027 20130101;  G06K 9/00362 20130101;  B25J 9/1615 20130101;  G06K 9/00335 20130101</t>
  </si>
  <si>
    <t>With respect to pandemics, restaurants, stadiums, cafeterias, and bars     are among the most dangerous places to socialize due to the form of     interaction. Exchange of bacteria and viruses are facilitated intensively     from the mouth and nose via air transport in droplets of saliva and     bodily fluids being deposited on surfaces, foods, and in the air. The     present development creates a comfortable environment where the air-space     of each customer is separated by invisible cold-hot air and vis-UV     barriers, which take away bacteria and viruses, destroying them and     preventing recirculation while offering pleasant, clean, and sanitized     ambient conditions for a face to face meeting. An immersive experience     can be provided with surrounding screens and gas therapy that may be     customized according to the customer's preferences. Food distribution is     performed with a robotic shuttle system and when the customer departs, an     extensive cleanup is performed using chemicals and UV irradiation through     robotic systems.</t>
  </si>
  <si>
    <t>US20210353762</t>
  </si>
  <si>
    <t>DENDRIMER COMPOSITIONS AND METHODS FOR TREATMENT OF SEVERE ACUTE     RESPIRATORY DISTRESS SYNDROME</t>
  </si>
  <si>
    <t>17/240558</t>
  </si>
  <si>
    <t>ASHVATTHA THERAPEUTICS, INC.</t>
  </si>
  <si>
    <t>ASHVATTHA THERAPEUTICS</t>
  </si>
  <si>
    <t>Cleland; Jeffrey; (Redwood City, CA); Rangaramanujam; Kannan; (Baltimore, MD); Kannan; Sujatha; (Redwood City, CA); Zaveri; Jay; (Redwood City, CA)</t>
  </si>
  <si>
    <t>A61K 9/19 20130101;  A61K 9/0019 20130101;  A61K 47/60 20170801;  A61K 45/06 20130101;  A61P 29/00 20180101;  A61K 31/198 20130101</t>
  </si>
  <si>
    <t>A method for treating or preventing one or more symptoms of severe     inflammation in the lung of a subject in need thereof includes     administering to the subject a composition comprising dendrimers     complexed, covalently conjugated, or intra-molecularly dispersed or     encapsulated with one or more therapeutic or prophylactic agents, in an     amount effective to treat, alleviate or prevent one or more symptoms of     severe inflammation. The compositions and methods are useful for treating     disorders characterized by cytokine storm, for example, for treating or     preventing acute lung injury (ALI) and/or acute respiratory distress     syndrome (ARDS) results in from ventilator use or infection such as with     COVID-19, sepsis, and systemic bacterial infections in a subject in need     thereof have been established. Preferably, the dendrimers are generation     4, 5, 6, 7, or 8 poly(amidoamine) (PAMAM) dendrimers, and the therapeutic     agents are one or more anti-inflammatory and/or anti-oxidant agents such     as N-acetyl cysteine.</t>
  </si>
  <si>
    <t>US20210353743</t>
  </si>
  <si>
    <t>BIOMATERIAL-BASED COVID-19 VACCINE</t>
  </si>
  <si>
    <t>17/322054</t>
  </si>
  <si>
    <t>Northeastern University Center for Research Innovation, Northeastern Univ.</t>
  </si>
  <si>
    <t>NORTHEASTERN UNIVERSITY CENTER FOR RESEARCH INNOVATION</t>
  </si>
  <si>
    <t>Bencherif; Sidi A.; (Boston, MA); Colombani; Thibault; (Boston, MA)</t>
  </si>
  <si>
    <t>C12Y 111/01006 20130101;  A61K 38/44 20130101;  A61K 39/215 20130101;  A61K 45/06 20130101;  A61K 2039/55561 20130101</t>
  </si>
  <si>
    <t>Disclosed are compositions and methods for preventing an infection, such     as COVID-19 infection, comprising administering to the subject an     oxygen-generating cryogel, wherein the oxygen-generating cryogel     comprises an antigen, a chemoattractant for immune cells, an adjuvant,     such as toll-like receptor 9 (TLR9) ligand, and an oxygen-producing     compound. Described herein are methods of modulating the immune system in     a subject, comprising administering an effective amount of the vaccine     described herein to the subject, thereby modulating the immune system in     the subject.</t>
  </si>
  <si>
    <t>US20210353742</t>
  </si>
  <si>
    <t>IMMUNOGENIC COMPOSITION AND USE THEREOF</t>
  </si>
  <si>
    <t>17/246740</t>
  </si>
  <si>
    <t>ADIMMUNE CORPORATION</t>
  </si>
  <si>
    <t>ADIMMUNE</t>
  </si>
  <si>
    <t>LENG; CHIH-HSIANG; (Taichung City, TW); SU; PO-HSU; (Taichung City, TW); CHEN; PO-KANG; (Taichung City, TW)</t>
  </si>
  <si>
    <t>C12N 2770/20034 20130101;  A61K 39/215 20130101;  C07K 7/08 20130101;  C12N 2710/14043 20130101;  C07K 2319/30 20130101;  C07K 2319/02 20130101;  C12N 7/00 20130101</t>
  </si>
  <si>
    <t>An immunogenic composition, a SARS-CoV-2 vaccine and a vector are     introduced. The immunogenic composition has a recombinant protein having     a sequence selected from the group consisting of SEQ ID NO: 1, SEQ ID NO:     2, SEQ ID NO: 3, SEQ ID NO: 4, and any polypeptide encoded by a     polynucleotide which is at least 80% homologous with SEQ ID NO: 1-4,     wherein the recombinant protein contains an IgG1 Fc protein fragment     having a length of at least 6 amino acids; or a nucleic acid molecule     encoding the recombinant protein. The SARS-CoV-2 vaccine has the above     recombinant protein or the nucleic acid molecule encoding the above     recombinant protein. The vector has the nucleic acid molecule encoding     the above recombinant protein.</t>
  </si>
  <si>
    <t>US20210353741</t>
  </si>
  <si>
    <t>VACCINE COMPOSITIONS FOR THE TREATMENT OF CORONAVIRUS</t>
  </si>
  <si>
    <t>17/218148</t>
  </si>
  <si>
    <t>VARIATION BIOTECHNOLOGIES, INC.</t>
  </si>
  <si>
    <t>VARIATION BIOTECHNOLOGIES</t>
  </si>
  <si>
    <t>Anderson; David Evander; (Newton, MA); Fluckiger; Anne-Catherine; (Saint Genis Les Ollieres, FR)</t>
  </si>
  <si>
    <t>A61K 2039/55505 20130101;  C12N 2760/20234 20130101;  A61K 39/215 20130101;  C12N 2740/13034 20130101;  C12N 2770/20034 20130101;  C12N 7/00 20130101</t>
  </si>
  <si>
    <t>The present disclosure provides compositions and methods useful for     preventing and/or treating coronavirus infection. As described herein,     the compositions and methods are based on development of immunogenic     compositions that include virus-like particles (VLPs) which comprise one     or more Moloney Murine leukemia virus (MMLV) core proteins and include     one or more coronavirus epitopes, such as, for example, from SARS-Cov-2     spike protein.</t>
  </si>
  <si>
    <t>US20210353736</t>
  </si>
  <si>
    <t>Vaccines For Recurrent Respiratory Papillomatosis And Methods Of Using The     Same</t>
  </si>
  <si>
    <t>17/320944</t>
  </si>
  <si>
    <t>INOVIO PHARMACEUTICALS, INC.</t>
  </si>
  <si>
    <t>INOVIO PHARMACEUTICALS</t>
  </si>
  <si>
    <t>Ramos; Stephanie; (Santee, CA); Walters; Jewell; (Poway, CA); Yan; Jian; (Wallingford, PA); Slager; Anna; (Lansdale, PA); Reed; Charles; (Souderton, PA); Broderick; Kate; (San Diego, CA)</t>
  </si>
  <si>
    <t>A61K 2039/5254 20130101;  C07K 14/025 20130101;  A61K 39/12 20130101;  A61K 2039/55538 20130101;  A61K 2039/54 20130101</t>
  </si>
  <si>
    <t>Provided herein are nucleic acid molecules encoding an HPV antigen. Also     provided are vaccines against human papillomavirus (HPV) comprising the     nucleic acids, methods of inducing immune responses, and methods for     prophylactically and/or therapeutically immunizing individuals against     recurrent respiratory papillomatosis (RRP). Pharmaceutical compositions,     recombinant vaccines comprising DNA plasmid and live attenuated vaccines     are disclosed as well as methods of inducing an immune response to treat     or prevent RRP are disclosed.</t>
  </si>
  <si>
    <t>US20210353703</t>
  </si>
  <si>
    <t>COMPOSITION OF PLANT INGREDIENTS, HERBAL COMPOSITION AND PREPARATION     METHOD OF THE HERBAL COMPOSITION</t>
  </si>
  <si>
    <t>17/128234</t>
  </si>
  <si>
    <t>NATIONAL RESEARCH INSTITUTE OF CHINESE MEDICINE, MINISTRY OF HEALTH AND WELFARE</t>
  </si>
  <si>
    <t>NATIONAL RESEARCH INSTITUTE CHINESE MEDICINE</t>
  </si>
  <si>
    <t>SU; YI-CHANG; (Taipei, TW); CHIOU; WEN-HUI; (Taipei, TW); KUO; YAO-HAUR; (Taipei, TW); TSAI; KENG-CHANG; (Taipei, TW); LIAO; CHIA-CHING; (Taipei, TW); WEI; WEN-CHI; (Taipei, TW); CHIOU; CHUN-TANG; (Taipei, TW); YEH; KUO-MING; (Taipei, TW); HUANG; YI-CHIA; (Taipei, TW); LIN; CHIEN-JUNG; (Taipei, TW); LIN; JUI-SHAN; (Taipei, TW)</t>
  </si>
  <si>
    <t>A61K 36/539 20130101;  A61K 36/42 20130101;  A61K 36/534 20130101;  A61K 36/484 20130101;  A61K 36/78 20130101;  A61P 31/14 20180101;  A61K 36/238 20130101;  A61K 36/605 20130101;  A61K 2236/331 20130101;  A61K 36/31 20130101;  A61K 36/575 20130101</t>
  </si>
  <si>
    <t>A composition of plant ingredients, a herbal composition for inhibiting     coronavirus and cytokine storm, and a preparation method of the herbal     composition are introduced. The composition of plant ingredients has     Heartleaf Houttuynia, Indigowoad Root, Fineleaf Nepeta, Saposhnikovia     Root, Mulberry Leaf, Scutellaria Root, Mongolian Snakegourd Fruit,     Magnolia Bark, Peppermint Herb and Baked Liquorice Root. The herbal     composition has 1 to 20 parts by weight of Heartleaf Houttuynia,     Indigowoad Root, Fineleaf Nepeta, Saposhnikovia Root, Mulberry Leaf,     Scutellaria Root, Mongolian Snakegourd Fruit, Magnolia Bark, Peppermint     Herb and Baked Liquorice Root. The preparation method contains providing     Heartleaf Houttuynia, Indigowoad Root, Fineleaf Nepeta, Saposhnikovia     Root, Mulberry Leaf, Scutellaria Root, Mongolian Snakegourd Fruit,     Magnolia Bark, Peppermint Herb and Baked Liquorice Root; and soaking all     the herbs described above in water and boiling the water to prepare a     herbal liquid, the volume of which is about one-third of an initial     volume of the water.</t>
  </si>
  <si>
    <t>US20210353656</t>
  </si>
  <si>
    <t>COMBINATION OF NICOTINAMIDE MONONUCLEOTIDE DERIVATIVES AND HISTAMINE H2     RECEPTOR ANTAGONISTS FOR VIRAL INFECTIONS</t>
  </si>
  <si>
    <t>15/930154</t>
  </si>
  <si>
    <t>NUVAMID SA</t>
  </si>
  <si>
    <t>NUVAMID</t>
  </si>
  <si>
    <t>BERMOND; Guillaume; (Lausanne, CH); GAR ON; Laurent; (Lausanne, CH)</t>
  </si>
  <si>
    <t>A61K 31/426 20130101;  A61K 31/4706 20130101;  A61K 31/706 20130101</t>
  </si>
  <si>
    <t>The present disclosure relates to combinations of histamine H2 receptor     antagonist and Nicotinamide mononucleotide derivatives of formula (I)  ##STR00001## or a compound of formula (Ia)  ##STR00002## for use in the treatment and/or prevention of viral infections, such as     respiratory infections, preferably coronavirus infections. The present     disclosure further relates to pharmaceutical compositions comprising     compounds of formula (I) for use in the treatment and/or prevention of     viral infections.</t>
  </si>
  <si>
    <t>US20210353654</t>
  </si>
  <si>
    <t>FUCOSYLATED OLIGOSACCHARIDES FOR PREVENTION OF CORONAVIRUS INFECTION</t>
  </si>
  <si>
    <t>17/320152</t>
  </si>
  <si>
    <t>GLYCOSYNTH LIMITED</t>
  </si>
  <si>
    <t>GLYCOSYNTH</t>
  </si>
  <si>
    <t>Morrow; Ardythe L.; (Cincinnati, OH); Newburg; David S.; (Newtonville, MA); McCoy; John M.; (Reading, MA)</t>
  </si>
  <si>
    <t>A23L 33/125 20160801;  A23C 9/206 20130101;  A23V 2002/00 20130101;  A61P 31/14 20180101;  A61K 31/702 20130101</t>
  </si>
  <si>
    <t>The invention provides compositions and methods for utilizing     oligosaccharides, such as isolated human milk oligosaccharides, to     attenuate a respiratory pathogen infection and/or to promote recovery     from a respiratory pathogen infection in the respiratory system and/or     the GI tract of a subject.</t>
  </si>
  <si>
    <t>US20210353653</t>
  </si>
  <si>
    <t>2'-FUCOSYLLACTOSE FOR THE PREVENTION AND TREATMENT OF CORONAVIRUS-INDUCED     INFLAMMATION</t>
  </si>
  <si>
    <t>17/320003</t>
  </si>
  <si>
    <t>A61K 35/742 20130101;  A61K 35/747 20130101;  A61K 35/745 20130101;  A23L 33/125 20160801;  A61K 45/06 20130101;  A61K 9/0056 20130101;  A61K 31/702 20130101;  A23L 2/52 20130101;  A61K 9/0095 20130101;  A23L 33/40 20160801;  A23V 2002/00 20130101;  A61K 35/74 20130101</t>
  </si>
  <si>
    <t>The invention provides compositions and methods for utilizing     oligosaccharides, such as isolated human milk oligosaccharides, to     attenuate a respiratory pathogen infection-induced host inflammation     and/or to promote recovery from a respiratory pathogen infection-induced     host inflammation in a subject.</t>
  </si>
  <si>
    <t>US20210353650</t>
  </si>
  <si>
    <t>PHARMACEUTICAL FORMULATION CONTAINING REMDESIVIR AND ITS ACTIVE     METABOLITES FOR DRY POWDER INHALATION</t>
  </si>
  <si>
    <t>17/323109</t>
  </si>
  <si>
    <t>Huang; Cai Gu; (Shrewsbury, MA); Hussain; Abid; (Shanghai, CN)</t>
  </si>
  <si>
    <t>A61K 31/675 20130101;  A61K 47/06 20130101;  A61K 9/0075 20130101;  A61K 9/1623 20130101</t>
  </si>
  <si>
    <t>The invention provides a pharmaceutical composition for dry powder     inhalation and a preparation method thereof, wherein the composition     comprises, a carrier material, preferably lactose and micronized     remdesivir and/or its active metabolites (such as Alanine metabolite     (Ala-met), Nucleoside monophosphate, and Nucleoside Triphosphate (NTP))     and/or its analog GS-441524 and pharmaceutically acceptable salts     thereof. The active pharmaceutical ingredient may be an anti-viral, taken     as remdesivir and/or its active metabolites (such as Alanine metabolite     (Ala-met), Nucleoside monophosphate. and Nucleoside Triphosphate (NTP))     and/or its analog GS-441524. The dry powder inhalation containing     Remdesivir and/or its active metabolites and/or its analog GS-441524 as     active ingredients, further consisting of a breath-powered, dry powder     inhaler, and a cartridge for delivering a dry powder formulation deep     into the lungs for the treatment of respiratory disorders. The inhaler     and cartridge can be provided with a drug delivery formulation     comprising, for example, an active ingredient, including, small organic     molecules, including, remdesivir and/or its active metabolites (such as     Alanine metabolite (Ala-met), Nucleoside monophosphate, and Nucleoside     Triphosphate (NTP)) and/or its analog GS-441524 and pharmaceutically     acceptable salts thereof for the treatment of disease and disorders, for     example, COVID-19 and other viral respiratory infections.</t>
  </si>
  <si>
    <t>US20210353645</t>
  </si>
  <si>
    <t>METHODS OF TREATING SARS-COV-2 INFECTIONS</t>
  </si>
  <si>
    <t>17/142524</t>
  </si>
  <si>
    <t>TYME, INC.</t>
  </si>
  <si>
    <t>TYME</t>
  </si>
  <si>
    <t>Hoffman; Steven; (Mahwah, NJ); Rothman; John; (Lebanon, NJ)</t>
  </si>
  <si>
    <t>A61K 9/0053 20130101;  A61K 9/007 20130101;  A01N 45/00 20130101;  A61P 31/14 20180101;  A61K 31/575 20130101</t>
  </si>
  <si>
    <t>The disclosure is directed to methods of using TUDCA, or a     pharmaceutically acceptable salt thereof, or a derivative thereof, for     the treatment of SARS-CoV-2 infections.</t>
  </si>
  <si>
    <t>US20210353620</t>
  </si>
  <si>
    <t>METHODS AND USES OF PROTEIN DISULFIDE ISOMERASE INHIBITORY COMPOUNDS</t>
  </si>
  <si>
    <t>17/320069</t>
  </si>
  <si>
    <t>THE UNIV OF VERMONT AND STATE AGRICULTURAL COLLEGE</t>
  </si>
  <si>
    <t>THE UNIV VERMONT AND STATE AGRICULTURAL COLLEGE</t>
  </si>
  <si>
    <t>Anathy; Vikas; (Essex Junction, VT); Chamberlain; Nicolas; (Burlington, VT); Kumar; Amit; (Burlington, VT)</t>
  </si>
  <si>
    <t>A61K 31/675 20130101;  C12N 2310/14 20130101;  A61K 35/16 20130101;  A61K 31/7068 20130101;  A61K 31/7048 20130101;  G01N 33/5008 20130101;  C12N 15/1137 20130101;  A61K 31/496 20130101;  A61K 31/427 20130101;  A61K 31/381 20130101;  A61K 39/3955 20130101;  A61K 39/42 20130101;  A61P 31/14 20180101;  C07K 16/40 20130101;  A61K 31/4965 20130101</t>
  </si>
  <si>
    <t>Compositions and methods involving protein disulfide isomerase (PDI)     inhibitors, such as protein disulfide isomerase A3 (PDIA3) inhibitory     compounds, for human coronavirus, such as severe acute respiratory     syndrome (SARS) virus (e.g., SARS-CoV-2), therapies are disclosed herein.</t>
  </si>
  <si>
    <t>US20210353582</t>
  </si>
  <si>
    <t>METHOD AND COMPOUND FOR THE TREATMENT OF COVID-19</t>
  </si>
  <si>
    <t>16/945600</t>
  </si>
  <si>
    <t>Tesfazion, Amanuel; Seifu, Lydia; Bezuneh, Meried</t>
  </si>
  <si>
    <t>TESFAZION AMANUEL</t>
  </si>
  <si>
    <t>Tesfazion; Amanuel; (Washington, DC); Seifu; Lydia; (Silver Spring, MD); Bezuneh; Meried; (Alexandria, VA)</t>
  </si>
  <si>
    <t>A61K 31/235 20130101</t>
  </si>
  <si>
    <t>A method for the treatment of a coronavirus disease, including     administering to a subject in need thereof of an anti-pathogenic     compound, such that the anti-pathogenic compound is derived from an     herbal extract.</t>
  </si>
  <si>
    <t>US20210353567</t>
  </si>
  <si>
    <t>DAPSONE FORMULATIONS AND METHODS OF USING SAME</t>
  </si>
  <si>
    <t>17/386263</t>
  </si>
  <si>
    <t>PULMONEM INC.</t>
  </si>
  <si>
    <t>PULMONEM</t>
  </si>
  <si>
    <t>SEKHAVAT; Houfar; (Dieppe, CA); ASOTRA; Satish; (Dieppe, CA)</t>
  </si>
  <si>
    <t>A61K 9/14 20130101;  A61K 47/44 20130101;  A61K 9/06 20130101;  A61K 31/7052 20130101;  A61K 9/0075 20130101;  A61K 31/65 20130101;  A61K 31/145 20130101;  A61K 9/0043 20130101;  A61K 47/14 20130101</t>
  </si>
  <si>
    <t>A method for treating patients with COVID-19 and/or other respiratory     conditions include administering a dosage of 75-100 milligrams of dapsone     twice daily. A variety of dapsone formulation and delivery devices are     disclosed, including an inhaler, nasal spray, nasal gel, otic     formulation, intravenous formulation, oral solution, oral suspension,     patch and suppository.</t>
  </si>
  <si>
    <t>US20210353483</t>
  </si>
  <si>
    <t>FOLDABLE ISOLATION SYSTEM AND METHOD OF USE</t>
  </si>
  <si>
    <t>17/302232</t>
  </si>
  <si>
    <t>A61B 46/20 20160201;  A61B 90/40 20160201;  A61B 90/05 20160201;  A61G 10/005 20130101;  A61G 10/023 20130101</t>
  </si>
  <si>
    <t>A medial isolette is provided. A foldable box-type enclosure and base     rail type enclosure are provided which supplies an economical and easily     assembled isolation chamber. A flexible drape is provided to further     isolate the patient and effectively control a negative pressure     environment within the isolette. Access sports with integrated or     removable gloves are provided to access the patient when the isolette is     in use. A component access panel is provided for ducted connection of     patient gas circuits and leads.</t>
  </si>
  <si>
    <t>US20210353469</t>
  </si>
  <si>
    <t>Protective Apparatuses for Minimizing Risk of Transmission of Infection     and Associated Systems</t>
  </si>
  <si>
    <t>17/088846</t>
  </si>
  <si>
    <t>Orrington, II; James L; (Flossmoor, IL)</t>
  </si>
  <si>
    <t>A61F 9/045 20130101;  A41D 13/1184 20130101;  A61H 2201/1604 20130101</t>
  </si>
  <si>
    <t>Disclosed herein are protective apparatuses, and associated systems, for     minimizing the risk of transmission of SARS-CoV-2 and/or other infectious     diseases between individuals in close proximity to one another including,     for example, transmission through droplets projecting from the mouth or     nasal region of an infected individual. Said apparatuses may comprise a     substantially transparent shield component and a handle component     comprising a connecting aspect. The protective apparatuses may comprise     light emitting diodes and associated control means. The protective     apparatuses of the present disclosure may further comprise a camera     communicatively connected to a display screen.</t>
  </si>
  <si>
    <t>US20210353468</t>
  </si>
  <si>
    <t>METHODS FOR MINIMIZING RISK OF TRANSMISSION OF INFECTION</t>
  </si>
  <si>
    <t>16/943178</t>
  </si>
  <si>
    <t>Orrington, II; James L.; (Flossmoor, IL)</t>
  </si>
  <si>
    <t>Disclosed herein are systems and methods for minimizing the risk of     transmission of SARS-CoV-2 and/or other infectious diseases between     individuals in close proximity to one another. The systems described     herein may comprise a substantially transparent shield component, a     chamber component, and a suctioning component. The systems and associated     methods of the present disclosure are intended to remove any SARS-CoV-2     virus and/or other infectious agents that may be travelling within     aerosols.</t>
  </si>
  <si>
    <t>US20210353467</t>
  </si>
  <si>
    <t>16/924649</t>
  </si>
  <si>
    <t>US20210353162</t>
  </si>
  <si>
    <t>SYSTEM AND METHOD FOR ANALYZING A PHYSIOLOGICAL CONDITION OF A USER</t>
  </si>
  <si>
    <t>16/994084</t>
  </si>
  <si>
    <t>TAN, Geoffry Weng Leng; Yeoh, Eng Kong</t>
  </si>
  <si>
    <t>TAN GEOFFRY</t>
  </si>
  <si>
    <t>TAN; Geoffry Weng Leng; (Bukit Mertajam, MY); Yeoh; Eng Kong; (Kuala Lumpur, MY)</t>
  </si>
  <si>
    <t>A61B 5/7267 20130101;  A61B 5/02055 20130101;  A61B 2562/029 20130101;  A61B 5/0024 20130101;  A61B 5/7465 20130101;  A61B 5/746 20130101;  A61B 5/0022 20130101;  A61B 5/6831 20130101;  A61B 2562/0271 20130101;  A61B 5/7275 20130101</t>
  </si>
  <si>
    <t>A system (100) and a method for analyzing a physiological condition of a     user. The system (100) comprises one or more sensors (102a, 102b) to     measure one or more parameters including temperature and relative     humidity from the user's skin and/or a corresponding temperature and     relative humidity from the user's environment via an air gap. A signal     representative of the measured parameters is generated. The system (100)     also includes at least one transceiver (108) communicably connectable to     the sensing unit (102) via one or more communication interfaces, wherein     the transceiver (108) is configurable to analyze one or more received     signals to initiate one or more events based on the analyzed parameters     of the user. The system (100) further includes a processing unit (110) to     receive one or more signals from the transceiver (108) and uses     artificial intelligence and machine learning techniques to alert users of     an impending physiological condition.</t>
  </si>
  <si>
    <t>US20210353150</t>
  </si>
  <si>
    <t>ISOLATION DEVICES TO REDUCE CONTAMINATION DURING IMAGING OF PATIENTS</t>
  </si>
  <si>
    <t>17/323763</t>
  </si>
  <si>
    <t>L &amp; H HOLDINGS USA, INC.</t>
  </si>
  <si>
    <t>L&amp;H Holdings USA</t>
  </si>
  <si>
    <t>Wood; Bradford J.; (Bethesda, MD); Turkbey; Baris; (Bethesda, MD); Xu; Sheng; (Bethesda, MD); Turkbey; Evrim; (Bethesda, MD); An; Peng; (Bethesda, MD); Carrafiello; Gianpaolo; (Bethesda, MD); Suh; Robert; (Bethesda, MD); Amalou; Hayet; (Bethesda, MD); Amalou; Amel; (Bethesda, MD); Therme; Robin; (Bethesda, MD); Dunlap; Brad; (Bethesda, MD); Berger; Matt; (Bethesda, MD); Agrawal; Yash; (Bethesda, MD); Wagner; Geoff; (Bethesda, MD); Haupt; Kurt; (Bethesda, MD); Anderson; Shane; (Bethesda, MD); Lerardi; Anna Maria; (Bethesda, MD)</t>
  </si>
  <si>
    <t>A61B 5/7203 20130101;  A61B 5/0046 20130101;  A61B 5/6831 20130101;  A61B 5/70 20130101;  A61M 16/0666 20130101;  A61B 5/055 20130101</t>
  </si>
  <si>
    <t>Systems, devices, and methods for isolating and protecting patients     during medical imaging procedures. The devices generally related to     disposable personal protective equipment (PPE) that may be used to     isolate patients and prevent cross-contamination of infectious diseases     during medical imaging.</t>
  </si>
  <si>
    <t>US20210352984</t>
  </si>
  <si>
    <t>Antibacterial Disposable Gloves</t>
  </si>
  <si>
    <t>15/929658</t>
  </si>
  <si>
    <t>Urbieta, Vivian Josefina</t>
  </si>
  <si>
    <t>URBIETA VIVIAN</t>
  </si>
  <si>
    <t>Urbieta; Vivian Josefina; (Coral Gables, FL)</t>
  </si>
  <si>
    <t>A41D 2400/52 20130101;  A41D 31/30 20190201;  A41D 19/015 20130101</t>
  </si>
  <si>
    <t>The material for the antibacterial glove would have fibers such as     polyester, cotton, silk, wool, or other similar materials, or     biodegradable substances such as renewable wood sources, to form an     interlocking matrix of loops, or such other means as would create a     product that would absorb and maintain the antibacterial solution on it.     The fabric/material is intended to not disintegrate when the     antibacterial solution is applied to it. Four examples of antibacterial     solutions are listed in the Detailed Description of Invention above.     These examples are not intended to be exclusive options for possible     canitizing formulas. The first glove option uses the fabric capable of absorbing the     antibacterial solution on both sides of the glove/mitten, ie. for the     entire glove/mitten. The second glove option uses as a base for the glove the materials used     in disposable gloves such as ones made from vinyl, nitrile, latex, or     polyethylene. The antibacterial-absorbing fabric is attached only to the     palm side of the disposable glove. The third glove option uses     wax/parchment, or any similar type paper, for the top side of the     glove/mitten. The antibacterial-absorbing fabric is attached only to the     palm side of the glove/mitten. The aspect that is new in this invention is the application of the     antibacterial solution in an absorbent and non-disintegrating fabric as     the component of an entire glove/mitten (Option 1); applied to the palm     side of a vinyl, nitrile, latex, or polyethylene type glove/mitten     (Option 2); or applied to the palm side of a glove with wax/parchment     type paper used for the top side of the glove/mitten (Option 3). The gloves/mittens can be packaged with the antibacterial solution     pre-applied to the gloves/mittens. The gloves/mittens can also come with     a separate container with the sanitizing solution, so that the     gloves/mittens may be packaged in the "dry" form. The user would then     have the option of applying the antibacterial solution (or additional     solution) to the glove/mitten at any time.</t>
  </si>
  <si>
    <t>US20210352983</t>
  </si>
  <si>
    <t>BIOACTIVE FILTER FOR VIRAL DEACTIVATION</t>
  </si>
  <si>
    <t>16/912454</t>
  </si>
  <si>
    <t>Davidson, Daniel Francis</t>
  </si>
  <si>
    <t>DAVIDSON DANIEL</t>
  </si>
  <si>
    <t>Davidson; Daniel Francis; (Santa Clara, UT)</t>
  </si>
  <si>
    <t>C08J 5/18 20130101;  A41D 31/305 20190201;  C08J 2327/18 20130101;  C08L 27/18 20130101;  A41D 13/1192 20130101</t>
  </si>
  <si>
    <t>A bioactive filter has at least one layer comprising at least one     transitional element or compound (e.g., iron, cobalt, nickel, zinc,     etc.). The bioactive filter deactivates a virus based on the charge of     the transitional element incorporated into the filter design. The     transitional element may be found in the at least one layer in     nanoparticle form. Upon interdiction of the virus in the filter, the     transitional element mimics the charge or shape of the ACE-2 receptors     and the virus falsely attempts to infect the transitional element     contained in the at least one layer of the bioactive filter, thereby     deactivating the virus.</t>
  </si>
  <si>
    <t>US20210352981</t>
  </si>
  <si>
    <t>SUPPORTING A PERSONS HEAD WHILE PROVIDING RESPIRATORY PROTECTION</t>
  </si>
  <si>
    <t>16/875978</t>
  </si>
  <si>
    <t>PAGAN, Luis Javier</t>
  </si>
  <si>
    <t>PAGAN LUIS</t>
  </si>
  <si>
    <t>PAGAN; Luis Javier; (Dublin, OH)</t>
  </si>
  <si>
    <t>A41D 2300/322 20130101;  A47G 9/1081 20130101;  A41D 2400/422 20130101;  A41D 13/1161 20130101</t>
  </si>
  <si>
    <t>A device includes a neck pillow, a face mask, and a storage pocket for     storing an eye mask in one assembly.</t>
  </si>
  <si>
    <t>US20210350938</t>
  </si>
  <si>
    <t>CONTACT TRACING AMONG WORKERS AND EMPLOYEES</t>
  </si>
  <si>
    <t>17/244749</t>
  </si>
  <si>
    <t>NOODLE TECHNOLOGY INC.</t>
  </si>
  <si>
    <t>NOODLE</t>
  </si>
  <si>
    <t>Teissonniere; Eliott Quentin Eric; (San Francisco, CA); Loiseau; Lucien Jean Baptiste; (San Francisco, CA); Kinsman; Garrett Edward; (San Francisco, CA); Benoliel; Micha Anthenor; (San Francisco, CA)</t>
  </si>
  <si>
    <t>G16H 50/80 20180101;  H04L 9/085 20130101;  H04L 9/3006 20130101;  G06F 21/6254 20130101</t>
  </si>
  <si>
    <t>A method may include collecting from each of multiple endpoint devices a     set of anonymized interactions of the corresponding endpoint device with     other endpoint devices. Each anonymized interaction in the set of     anonymized interactions may be based on an ephemeral unique identifier of     another endpoint device involved in a corresponding anonymized     interaction with the corresponding endpoint device. The method may     include, for each endpoint device, resolving identities of the other     endpoint devices with which the corresponding endpoint device has     interacted from the corresponding set of anonymized interactions.</t>
  </si>
  <si>
    <t>US20210350929</t>
  </si>
  <si>
    <t>VISUAL IDENTIFICATION BASED ACCESS CONTROL OF A PERSON WITH SUSPECTED     SYMPTOMS</t>
  </si>
  <si>
    <t>17/302700</t>
  </si>
  <si>
    <t>Ronen; Ofer; (Tel Aviv, IL)</t>
  </si>
  <si>
    <t>G16H 50/80 20180101;  G16H 10/60 20180101;  G16H 50/20 20180101;  G06K 9/00221 20130101</t>
  </si>
  <si>
    <t>Systems, and method and computer readable media that store instructions     for thermal screening.</t>
  </si>
  <si>
    <t>US20210350883</t>
  </si>
  <si>
    <t>USER AND TEST SAMPLE IDENTIFICATION/AUTHENTICATION SYSTEM FOR CONTROL OF     INFECTIOUS DISEASE PROPAGATION</t>
  </si>
  <si>
    <t>16/868031</t>
  </si>
  <si>
    <t>J&amp;J Investments Worldwide, Ltd.</t>
  </si>
  <si>
    <t>J&amp;J INVESTMENTS WORLDWIDE</t>
  </si>
  <si>
    <t>Li; Shu; (Irvine, CA); Wu; Xiping; (Irvine, CA)</t>
  </si>
  <si>
    <t>G16H 50/80 20180101;  G06Q 50/265 20130101;  G16H 15/00 20180101;  G16H 50/20 20180101;  G06Q 30/0633 20130101;  H04L 63/0884 20130101;  G06K 7/1417 20130101;  G06K 9/00134 20130101;  G16H 10/40 20180101;  C12Q 1/6876 20130101</t>
  </si>
  <si>
    <t>A user and test sample authentication system and method for identifying     COVID-19 infected users is disclosed. An authentication platform receives     a first user profile data from a first user device to register to an     authentication service and generate a first scannable image. The platform     receives a second user profile data from the second user device for     registration and generates a second scannable image. A purchase order of     a medical kit is placed to perform one or more diagnosis procedures on     the first user to identify if the first user is infected by COVID-19. The     diagnosis data is encoded to the first scannable image to form a unique     corona ID. On scanning the unique ID, the diagnosis data and the user     profile data are displayed, whereby the presence of coronavirus infection     of the first user is determined before contacting one or more individuals     to prevent spread of the disease or infection.</t>
  </si>
  <si>
    <t>US20210350877</t>
  </si>
  <si>
    <t>PATHOGEN TESTING</t>
  </si>
  <si>
    <t>17/313707</t>
  </si>
  <si>
    <t>Spurbeck; Rachel R.; (Columbus, OH); Johnson; Christopher; (Columbus, OH); Lilly; Jacob; (Columbus, OH); Schuetter; Jared M.; (Columbus, OH); Wilson; Patrick H.; (Columbus, OH)</t>
  </si>
  <si>
    <t>B01L 2300/025 20130101;  A61B 10/0045 20130101;  A61F 13/38 20130101;  G16H 50/20 20180101;  G16B 25/00 20190201;  C12Q 1/701 20130101;  B01L 3/502715 20130101;  B01L 3/0241 20130101;  G01N 21/78 20130101;  G01N 33/18 20130101;  G16H 10/40 20180101;  G16B 50/00 20190201;  B01L 3/502784 20130101;  B01L 7/00 20130101</t>
  </si>
  <si>
    <t>A point of care device, comprises a chamber configured to contain a swab.     Once a swab is loaded, the device introduces a buffer into the chamber,     then lyses cells collected by the swab. Probes such as padlock probes     target a specified content such as a virus (e.g., SARS-CoV-2 RNA) and     will bind, splint ligate, and rapidly isothermally amplify (e.g., using     rolling circle amplification). Also described is a wastewater pathogen     tracking dashboard and schema for detecting and tracking pathogen spread     within communities by monitoring microbial and viral RNA.</t>
  </si>
  <si>
    <t>US20210350873</t>
  </si>
  <si>
    <t>GENOME SEQUENCING AND DETECTION TECHNIQUES</t>
  </si>
  <si>
    <t>17/314513</t>
  </si>
  <si>
    <t>ILLUMINA, INC.</t>
  </si>
  <si>
    <t>ILLUMINA</t>
  </si>
  <si>
    <t>Bilke; Sven; (San Diego, CA); Schlesinger; Johann Felix Wilhelm; (San Diego, CA)</t>
  </si>
  <si>
    <t>G16B 20/20 20190201;  G16B 30/00 20190201;  G16H 50/80 20180101;  G16B 30/10 20190201</t>
  </si>
  <si>
    <t>A nucleic acid sequencing technique is described. Sequence data, e.g.,     generated by a sequencing device, may be analyzed to scan k-mers of a     fixed size n in individual reads in the sequence data. Exact matches of     the k-mers in the sequence data with reference k-mers are identified. The     number of exact matches, their distribution in a reference genome, and/or     a number of sequence reads in the sequence data that map to different     target regions can be used to determine a characteristic of a sample. In     one example, the characteristic is a presence of a pathogen in the     sample.</t>
  </si>
  <si>
    <t>US20210350686</t>
  </si>
  <si>
    <t>PROXIMITY TRACKING SYSTEM FOR MONITORING SOCIAL DISTANCING</t>
  </si>
  <si>
    <t>17/316626</t>
  </si>
  <si>
    <t>EMBEDTEK LLC</t>
  </si>
  <si>
    <t>EMBEDTEK</t>
  </si>
  <si>
    <t>Tabor; Kent; (Pewaukee, WI); Rethwisch; Ryan; (Elm Grove, WI)</t>
  </si>
  <si>
    <t>G10L 25/51 20130101;  G01S 11/02 20130101;  G08B 21/02 20130101;  G08B 21/182 20130101;  G01S 1/02 20130101</t>
  </si>
  <si>
    <t>A proximity monitor includes an electronic processor, a proximity     detector, and a memory. The proximity detector is to receive a proximity     signal, and the electronic processor is to determine a time-of flight     measurement for the proximity signal, determine a proximity measure based     on the time-of-flight, identify a proximity event based on the proximity     measure, and store a leg entry for the proximity event in the memory, the     log entry identifying a first identifier associated with the proximity     monitor and a second identifier associated with a sender of the proximity     signal.</t>
  </si>
  <si>
    <t>US20210350649</t>
  </si>
  <si>
    <t>Systems And Methods For Managing Infectious Disease Dissemination</t>
  </si>
  <si>
    <t>17/320481</t>
  </si>
  <si>
    <t>AAJ COMPUTER SERVICES, INC., DBA OF OZ</t>
  </si>
  <si>
    <t>AAJ COMPUTER</t>
  </si>
  <si>
    <t>JAFRI; Amjad Shamim; (Parkland, FL)</t>
  </si>
  <si>
    <t>H04W 12/64 20210101;  G06K 19/06037 20130101;  G07C 9/10 20200101;  H04L 63/08 20130101;  H04L 9/0816 20130101;  G06Q 30/0185 20130101;  G07C 9/257 20200101;  G07C 9/27 20200101;  G06K 7/1417 20130101;  G16H 10/40 20180101;  G16H 10/60 20180101;  H04W 4/029 20180201</t>
  </si>
  <si>
    <t>System and methods for infectious disease prevention includes     transmitting, via a server, a facility credential associated with a     facility configured to identify a user operating on an application     deployed by server on a mobile computing device. The server receives a     user identification test code (UITC) associated with a status of an     infectious disease of the user. The server then generates a     two-dimensional code associated with the facility credential based on the     UITC. The server determines if the two-dimensional code is valid for     permitting access to the facility based on a vaccine indicator confirming     that the user has been vaccinated for the infectious disease. Thereafter,     the server activates the two-dimensional code on the mobile computing     device for a predetermined period of time. A gatekeeper device scans the     two-dimensional code from the mobile computing device and then permits     the user access to the facility within the predetermined period of time     based on the facility credential and the two-dimensional code.</t>
  </si>
  <si>
    <t>US20210350648</t>
  </si>
  <si>
    <t>SYSTEM AND METHOD USING OPTICAL TAGS TO CONDUCT SECURE TRANSACTIONS AND     AUTHENTICATIONS</t>
  </si>
  <si>
    <t>16/870979</t>
  </si>
  <si>
    <t>LODHA LALIT</t>
  </si>
  <si>
    <t>Lodha; Lalit; (Boston, MA); Huntington; Joshua; (Chandler, AZ)</t>
  </si>
  <si>
    <t>G06Q 20/40145 20130101;  G07C 9/27 20200101;  G07C 9/257 20200101</t>
  </si>
  <si>
    <t>A method for limiting exposure to infectious disease by controlling     access to a controlled access venue to admit individuals who have tested     non-infectious for a particular highly infectious disease or have     received a vaccination against the same comprises receiving, at a central     website operator server, consumer user identification information from     consumer users and storing that information in a consumer user database     associated with the server. A biometric identifier from the consumer     users is transmitted to the consumer user database and each associated     with its respective associated consumer user to form an enrollment     record. Identity of a presented individual is collected at a medical     certification point and an authority record is created in an accessible     authority database. At said medical certification point, an antibody test     or vaccination is administered and the same is noted in the authority     record. A biometric is collected from a venue presented consumer at a     presentation venue, compared to authority records for a match, and the     result provided to the venue.</t>
  </si>
  <si>
    <t>US20210350490</t>
  </si>
  <si>
    <t>CRUISE EMBARKATION SYSTEMS AND METHODS FOR PREVENTION OF DISEASE     TRANSMISSION</t>
  </si>
  <si>
    <t>17/307878</t>
  </si>
  <si>
    <t>Frey; Curt Joseph; (Miami, FL); Major; Derek Andrew; (Overland Park, KS); Daley; Daniel David; (Miami, FL); Altin; Daniel John; (Miami, FL)</t>
  </si>
  <si>
    <t>G16H 50/80 20180101;  G06Q 50/14 20130101;  G06Q 50/265 20130101;  G16H 15/00 20180101;  G16H 10/60 20180101;  G16H 40/67 20180101;  G16H 10/20 20180101;  G16H 10/40 20180101;  G06Q 10/10 20130101</t>
  </si>
  <si>
    <t>Embarkation systems and methods for preventing the introduction and/or     spread of infectious diseases within a cruise ship or other environment.     An embarkation system includes at least one agent computing device     located at an embarkation facility and configured to receive a     disease-negative input corresponding to a customer's test result or proof     of immunity to an infectious disease, retrieve a health status of the     customer determined based at least in part on responses to one or more     health questions provided to the customer, and to assist in controlling     embarkation based at least in part on the disease-negative input and the     health status of the customer. The at least one agent computing device     may be operated by an agent of the cruise ship and may execute an agent     app configured to display instructions and/or customer's boarding     approval status to the agent.</t>
  </si>
  <si>
    <t>US20210350119</t>
  </si>
  <si>
    <t>HAND GESTURE HABIT FORMING</t>
  </si>
  <si>
    <t>16/867651</t>
  </si>
  <si>
    <t>LEV; Tsvi; (Tel-Aviv, IL)</t>
  </si>
  <si>
    <t>G06T 7/74 20170101;  G06K 9/00355 20130101;  G06K 9/00248 20130101;  G06T 2207/30201 20130101;  G06K 9/00375 20130101</t>
  </si>
  <si>
    <t>A method of adapting a display comprises receiving a sequence of a     plurality of facial images of a face of at least one user located in     front of a display; analyzing the plurality of facial images to detect a     hand to face gesture of the user; and updating, according to the hand to     face gesture, a dataset documenting a plurality of facial touch event     frequencies of a plurality of facial touch events in a plurality of     facial locations. Each of the plurality of facial touch events is     prompted by one of a plurality of previously captured hand to face     gestures of the user. The method further comprises, based on the     plurality of facial touch event frequencies, generating a presentation on     the display. In response to detection of an impending facial touch, a     destruction event may be depicted. A presentation may be also generated     showing scoring of multiple persons.</t>
  </si>
  <si>
    <t>US20210349169</t>
  </si>
  <si>
    <t>METHODS TO FACILITATE AND GUIDE DATA ANALYSIS USING MRTEXTURE AND METHOD     OF APPLICATION OF MRTEXTURE TO DIAGNOSIS OF COVID-19 AND OTHER     MULTI-ORGAN DISEASES</t>
  </si>
  <si>
    <t>17/308266</t>
  </si>
  <si>
    <t>DOIRON, DANIEL R., DOIR</t>
  </si>
  <si>
    <t>DOIRON DANIEL</t>
  </si>
  <si>
    <t>James; Kristin; (Santa Barbara, CA); James; Timothy W.; (Santa Barbara, CA)</t>
  </si>
  <si>
    <t>A61B 5/055 20130101;  G01R 33/58 20130101;  A61B 5/7257 20130101;  A61B 5/0042 20130101;  A61B 5/4504 20130101;  A61B 5/425 20130101;  A61B 5/4244 20130101;  G01R 33/4818 20130101;  A61B 5/4381 20130101</t>
  </si>
  <si>
    <t>A method for calibration of the MR.mu.Texture method is presented wherein     a plurality of model datasets representing a continuum of structures with     a continuum of biomarker values is generated by morphing data of a 2D     structure or 3D structure of a first known disease state to a 2D     structure or a 3D structure of a second known disease state.     MR.mu.Texture is applied in silico to extract a simulation data set of     texture prevalence for a selected one of a plurality of intermediate     morphed conditions corresponding to the plurality of model datasets.</t>
  </si>
  <si>
    <t>US20210349106</t>
  </si>
  <si>
    <t>METHOD FOR DIAGNOSING SARS-COV-2 INFECTION</t>
  </si>
  <si>
    <t>17/315055</t>
  </si>
  <si>
    <t>University of Science and Technology Beijing</t>
  </si>
  <si>
    <t>UNIVERSITY SCIENCE AND BEIJING</t>
  </si>
  <si>
    <t>Jin; Tengchuan; (Anhui, CN); Ma; Huan; (Anhui, CN); Zeng; Weihong; (Anhui, CN)</t>
  </si>
  <si>
    <t>G01N 33/6854 20130101;  G01N 33/56983 20130101;  G01N 2333/165 20130101;  G01N 2469/20 20130101</t>
  </si>
  <si>
    <t>The present invention discloses a method for diagnosing SARS-CoV-2     infection by detecting SARS-CoV-2 specific IgA in saliva. The diagnosis     method can be any method capable of detecting IgA, such as ELISA,     co-immunoprecipitation, chemiluminescence and colloidal gold method. The     present invention proves that SARS-CoV-2 specific IgA exists in the     saliva of COVID-19 patients, which can be used for clinical diagnosis of     SARS-CoV-2 infection.</t>
  </si>
  <si>
    <t>US20210349105</t>
  </si>
  <si>
    <t>SARS-COV-2 IMMUNOASSAY AND MATERIALS THEREFOR</t>
  </si>
  <si>
    <t>17/314376</t>
  </si>
  <si>
    <t>WALKER; ROGER P.; (BENICIA, CA); SCHOLZ; HEIDI; (VACAVILLE, CA)</t>
  </si>
  <si>
    <t>G01N 33/533 20130101;  G01N 33/56983 20130101;  G01N 33/6854 20130101</t>
  </si>
  <si>
    <t>The present disclosure relates to the development of novel immunoassays     for the detection of SARS-CoV-2 antigens and/or SARS-CoV-2 specific     antibodies and, optionally, one or more cytokine in patient samples.</t>
  </si>
  <si>
    <t>US20210349104</t>
  </si>
  <si>
    <t>VIRAL SEROLOGY ASSAYS</t>
  </si>
  <si>
    <t>17/246364</t>
  </si>
  <si>
    <t>MESO SCALE TECHNOLOGIES LLC; US HEALTH</t>
  </si>
  <si>
    <t>MESO SCALE LLC; HEALTH</t>
  </si>
  <si>
    <t>WOHLSTADTER; Jacob N.; (Potomac, MD); SIGAL; George; (Rockville, MD); MATHEW; Anu; (North Potomac, MD); WILBUR; James; (Germantown, MD); DEBAD; Jeffery; (Ijamsville, MD); CAMPBELL; Christopher; (Columbia, MD); BIEBUYCK; Hans; (Potomac, MD); KRAI; Priscilla; (Germantown, MD); KISHBAUGH; Alan; (Rockville, MD); DZANTIEV; Leonid; (Ellicott City, MD); SHELBURNE; Christopher; (Rockville, MD); LIU; Pu; (Rockville, MD); GOODWIN; Paul; (Frederick, MD); MCDERMOTT; Adrian; (Bethesda, MD); O'CONNELL; Sarah; (Bethesda, MD); NARPALA; Sandeep; (Bethesda, MD)</t>
  </si>
  <si>
    <t>G01N 33/6854 20130101;  G01N 2333/165 20130101;  G01N 2469/20 20130101</t>
  </si>
  <si>
    <t>US20210349090</t>
  </si>
  <si>
    <t>CORONA NUCLEOCAPSID ANTIGEN FOR USE IN ANTIBODY-IMMUNOASSAYS</t>
  </si>
  <si>
    <t>16/867750</t>
  </si>
  <si>
    <t>Riedel; Alexander; (Muenchen, DE); Scholz; Christian; (Penzberg, DE); Muench; Peter; (Penzberg, DE); Benz; Juliane; (Weilheim, DE); Eckl; Markus; (Penzberg, DE); Baumkoetter; Frederik; (Bernried am Starnberger S, DE)</t>
  </si>
  <si>
    <t>C07K 14/005 20130101;  G01N 2469/20 20130101;  C12N 2770/20052 20130101;  G01N 33/56983 20130101;  G01N 2800/26 20130101;  C12N 2770/20022 20130101;  G01N 2333/165 20130101</t>
  </si>
  <si>
    <t>The present description relates to a Corona antigen having a Corona     nucleocapsid specific amino acid sequence, compositions, and reagent kits     having the same and methods of producing it. Also encompassed are methods     of detecting anti-Corona antibodies in samples using the Corona antigen,     and methods of differential diagnosis of an immune response in a patient     due to natural Corona infection or due to vaccination against Corona.</t>
  </si>
  <si>
    <t>US20210349083</t>
  </si>
  <si>
    <t>CORONAVIRUS IgG/IgM MULTIPLEXED DUAL PATH IMMUNOASSAY DEVICE</t>
  </si>
  <si>
    <t>17/316363</t>
  </si>
  <si>
    <t>CHEMBIO DIAGNOSTIC SYSTEMS, INC.</t>
  </si>
  <si>
    <t>CHEMBIO DIAGNOSTIC SYSTEMS</t>
  </si>
  <si>
    <t>Esfandiari; Javanbakhsh; (Stony Brook, NY)</t>
  </si>
  <si>
    <t>G01N 2469/20 20130101;  G01N 33/56983 20130101;  G01N 2333/165 20130101;  G01N 33/54366 20130101</t>
  </si>
  <si>
    <t>Test cells with first and second sorbent materials defining a first flow     path for a solution, a second flow path distinct from the first flow path     for a sample, and a test site with immobilized antigens or antibodies or     other ligand-binding molecules located at the junction of the sorbent     materials for identifying one or more ligands. In one embodiment, a     single highly sensitive immunoassay device is provided that detects the     presence in a body fluid sample of two or more COVID-19 (Coronavirus     disease 2019) antibodies including immunoglobulin M (IgM) and/or     immunoglobulin G (IgG) antibodies to nucleocapsid protein (NP) and spike     protein receptor binding domain (RBD), and optionally spike protein S1     subunit (S1) COVID-19 virus antigens. The immunoassay device is sensitive     in detecting early infection using IgM antibody detection and continuing     infection using IgG antibody detection. Additionally, successful     inoculation is distinguished from infection after inoculation by     comparing NP and RBD results.</t>
  </si>
  <si>
    <t>US20210349081</t>
  </si>
  <si>
    <t>DIAGNOSTICS METHOD FOR DETECTING MICROPARTICLES</t>
  </si>
  <si>
    <t>17/314799</t>
  </si>
  <si>
    <t>SHERO DIAGNOSTICS</t>
  </si>
  <si>
    <t>Gombrich; Matthew; (Underhill, VT); Javadi; Shervin; (San Jose, CA)</t>
  </si>
  <si>
    <t>G01N 33/54313 20130101;  G01N 33/56983 20130101;  G01N 2800/26 20130101;  G01N 2333/165 20130101</t>
  </si>
  <si>
    <t>The methods, compositions and systems provided herein use functionalized     beads to detect a target microparticle in a test sample, the method     comprising (a) contacting the test sample containing the target     microparticle with a plurality of functionalized beads. The size of the     target microparticle is less than 1 .mu.m. The functionalized beads     comprise beads coated with molecules of a capture agent, and at least     some molecules of the capture agent bind to the target microparticle,     thereby forming target microparticle-loaded beads comprising the     functionalized beads and the target microparticle. The method further     comprises (b) detecting the target microparticle-loaded beads using a     flow cytometer, thereby detecting the presence of the target     microparticle in the test sample, and the target microparticle-loaded the     beads are detected with the detection limit that ranges from 10     microparticles per ml to 10e4 microparticles per ml.</t>
  </si>
  <si>
    <t>US20210349035</t>
  </si>
  <si>
    <t>PATHOGEN MONITORING</t>
  </si>
  <si>
    <t>17/314834</t>
  </si>
  <si>
    <t>PLATYPUS IP, LLC</t>
  </si>
  <si>
    <t>PLATYPUS</t>
  </si>
  <si>
    <t>Bedolla Pantoja; Marco A.; (Madison, WI); Abbott; Nicholas L.; (Madison, WI)</t>
  </si>
  <si>
    <t>A62B 18/08 20130101;  G01N 2469/10 20130101;  A62B 9/006 20130101;  A41D 13/11 20130101;  G01N 2800/26 20130101;  G01N 21/78 20130101;  G01N 33/56983 20130101;  G01N 2333/165 20130101</t>
  </si>
  <si>
    <t>The present invention relates to the field of detection of analytes, and     in particular to detection of viruses, cells, bacteria, and     lipid-membrane containing organisms in respiratory droplets using a     liquid crystal detection device positioned in a breathing barrier, on the     skin or inside a device for collection of air or aerosols.</t>
  </si>
  <si>
    <t>US20210349018</t>
  </si>
  <si>
    <t>17/302536</t>
  </si>
  <si>
    <t>VENKATARAYALU; Suresh; (Waxhaw, NC); SHAFAI; Moin; (Plano, TX); FENG; Chen; (Mount Laurel, NJ); BURNETT; Jennifer; (Houston, TX); ISELLA; Giorgio Carlo; (Torrance, CA); KESTER; Robert Timothy; (Friendswood, TX); HEPPNER; Benjamin P.; (Fridley, MN); LOPAC; James A.; (Roseville, MN); LUST; Lisa M.; (Plymouth, MN); SALIT; Mary Katherine; (Plymouth, MN); PUCKETT; Matthew Wade; (Phoenix, AZ); MCGRAW; William; (Flower Mound, TX)</t>
  </si>
  <si>
    <t>US20210348784</t>
  </si>
  <si>
    <t>BREATHING ZONE VENTILLATION SYSTEM</t>
  </si>
  <si>
    <t>17/302669</t>
  </si>
  <si>
    <t>Henwood, Gerard Stephen</t>
  </si>
  <si>
    <t>HENWOOD GERARD</t>
  </si>
  <si>
    <t>Henwood; Gerard Stephen; (Berea, OH)</t>
  </si>
  <si>
    <t>F24F 2009/002 20130101;  F24F 8/108 20210101;  F24F 9/00 20130101</t>
  </si>
  <si>
    <t>A breathing zone ventilation system for providing a protective air     barrier between closely spaced individuals within a local environment.     The breathing zone ventilation system includes a plurality of seats. An     air control module has a housing defining an interior cavity, a blower,     and at least one air tray stage. The housing has an inlet in     communication with an air inlet and outlet. The blower, contained within     the housing, is configured to develop a high velocity airflow into the     air inlet, defining a downdraft air curtain. The at least one air tray     stage is disposed between the blower and the outlet and has a frame     defining an air tray enclosure. A plurality of baffles are disposed in a     spaced apart relation within the air tray enclosure to define a labyrinth     pathway between the blower and the outlet. The outlet may be configured     to vent clean air within the local environment.</t>
  </si>
  <si>
    <t>US20210348423</t>
  </si>
  <si>
    <t>Positionally Variable Foot-Operated Door Opener and Closer</t>
  </si>
  <si>
    <t>16/871998</t>
  </si>
  <si>
    <t>Brown, Vincent Stephenson</t>
  </si>
  <si>
    <t>BROWN VINCENT</t>
  </si>
  <si>
    <t>Brown; Vincent Stephenson; (Nashville, TN)</t>
  </si>
  <si>
    <t>E05B 1/0015 20130101;  E05B 53/001 20130101;  E05B 1/0038 20130101</t>
  </si>
  <si>
    <t>A foot-operated door opening/closing/latching device is disclosed,     including at least a single piece of material having a base member and an     extension member; wherein the base member is configured to be attachable     to a bottom surface of a door; wherein the extension member, which does     not protrude below the bottom surface of the door, includes at least a     first portion arcing upwardly, a second portion arcing downwardly, and a     third portion arcing upwardly, configured to be engaged by a top, bottom     or a side portion of a user's shoe such that when at least one of a     downward, upward or sideward force is applied by said portion of said     shoe, respectively, to the extension member, the door pulls open or     closed; and the door opener/closer/latch is attachable to a door in such     a manner that the door opener/closer/latch traverses one or more tracks     or grooves formed in the base member.</t>
  </si>
  <si>
    <t>US20210348243</t>
  </si>
  <si>
    <t>RAPID FIELD-DEPLOYABLE DETECTION OF SARS-CoV-2 VIRUS</t>
  </si>
  <si>
    <t>17/206020</t>
  </si>
  <si>
    <t>Ott; Melanie; (Mill Valley, CA); Fozouni; Parinaz; (San Francisco, CA); Doudna; Jennifer A.; (Oakland, CA); Fletcher; Daniel A.; (Berkeley, CA); Savage; David; (Berkeley, CA); Charles; Emeric; (Berkeley, CA); Son; Sungmin; (Oakland, CA); Kumar; Gagandeep Renuka; (San Francisco, CA); Switz; Neil; (Oakland, CA)</t>
  </si>
  <si>
    <t>C12Q 1/6825 20130101;  C12Q 1/701 20130101;  C12N 2310/20 20170501;  C12N 9/22 20130101;  C12N 15/11 20130101</t>
  </si>
  <si>
    <t>The present disclosure relates to methods using CRISPR-Cas13 enzyme,     complexed with SARS-CoV-2 crRNA guide RNAs to detect and quantify the     presence of SARS-CoV-2 RNA in a sample with enhanced specificity and     sensitivity. These methods can be used to diagnose SARS-CoV-2 infection,     quantify the concentration of SARS-CoV-2 RNA present in a sample,     identify the presence of different SARS-CoV-2 splice variants, subtypes,     or mutations, and to monitor reactivation of SARS-CoV-2 transcription.</t>
  </si>
  <si>
    <t>US20210348167</t>
  </si>
  <si>
    <t>siNA MOLECULES, METHODS OF PRODUCTION AND USES THEREOF</t>
  </si>
  <si>
    <t>17/245682</t>
  </si>
  <si>
    <t>PHYZAT BIOPHARMACEUTICALS, LDA.</t>
  </si>
  <si>
    <t>PHYZAT BIOPHARMACEUTICALS</t>
  </si>
  <si>
    <t>VIEIRA ARAUJO SOARES DA SILVA; PATRICIO MANUEL; (PORTO, PT)</t>
  </si>
  <si>
    <t>A61K 45/06 20130101;  A61P 31/14 20180101;  A61K 31/713 20130101;  C12N 15/1131 20130101;  C12N 2310/14 20130101;  C12N 2320/31 20130101</t>
  </si>
  <si>
    <t>The present disclosure relates to method of producing and using short     interfering nucleic acids (siNAs) for preventing and treating     coronavirus-inflicted infectious conditions. In particular, this     disclosure relates to the method of producing and using siNAs for     preventing and treating infections by the coronavirus SARS-CoV-2, the     causative viral agent of the novel coronavirus disease COVID-19, to     mediate gene silencing of viral proteins. The present disclosure is also     directed to interfering RNA duplexes and vectors encoding such     interfering RNA duplexes.</t>
  </si>
  <si>
    <t>US20210347860</t>
  </si>
  <si>
    <t>ANTIBODIES FOR SARS-COV-2 AND USES THEREOF</t>
  </si>
  <si>
    <t>17/315326</t>
  </si>
  <si>
    <t>AUGMENTA BIOWORKS INC</t>
  </si>
  <si>
    <t>AUGMENTA BIOWORKS</t>
  </si>
  <si>
    <t>Emig; Christopher J.; (Menlo Park, CA); Chau; Rosanna Man Wah; (San Mateo, CA); Shahi; Payam; (Santa Clara, CA); Nguyen; Kim-Xuan; (Sunnyvale, CA); Lai; YuShuan; (San Jose, CA); Emig; Robin; (Pleasanton, CA); Beaber; John; (Redwood City, CA); Henry; Steven; (San Mateo, CA); Mena; Marco Antonio; (Santa Clara, CA)</t>
  </si>
  <si>
    <t>C07K 16/10 20130101;  C07K 2317/76 20130101;  C07K 2317/92 20130101;  A61P 31/14 20180101</t>
  </si>
  <si>
    <t>The disclosure relates generally to the field of immune binding proteins     and method for obtaining immune binding proteins from genomic or other     sources. The disclosure also relates to anti-SARS-CoV-2 antibodies that     have been obtained from subjects who became immune to this coronavirus,     and to methods of using these anti-SARS-CoV-2 antibodies. Methods for     neutralizing SARS-CoV-2 are disclosed, as well treatments for SARS-COV-2     using the anti-SARS-CoV-2 antibodies.</t>
  </si>
  <si>
    <t>US20210347859</t>
  </si>
  <si>
    <t>Reduction of viral disease transmission by avian antibodies</t>
  </si>
  <si>
    <t>17/313738</t>
  </si>
  <si>
    <t>CAMAS INCORPORATED</t>
  </si>
  <si>
    <t>CAMAS</t>
  </si>
  <si>
    <t>Simplot; Scott; (Boise, ID); Mitteness; Bradley M.; (Ghent, MN); Hawkins; Michelle; (Bloomington, MN); Hull; Jason; (Wyoming, MN); Robley; Brian; (Mankato, MN); Larson; Philip; (Mankato, MN); Brielmaier; Michael; (Mankato, MN); Willaert; Benjamin; (Mankato, MN); Harkins; Vergene; (Le Center, MN)</t>
  </si>
  <si>
    <t>A61K 35/57 20130101;  C07K 16/20 20130101;  C07K 2317/76 20130101;  C07K 16/10 20130101;  C07K 16/12 20130101;  C07K 16/14 20130101</t>
  </si>
  <si>
    <t>Formulations of egg powders with avian antibodies that act as mucosal     protectants are provided. The formulations are effective for protecting     the mucosal membranes in the pharyngeal area of an individual from viral     infections. Formulations effective for reducing infections of SARS-CoV-2     in individuals are provided. Formulations are also effective for reducing     transmission of viral disease. The formulations are tablets, candies,     gummies, throat lozenges, and powders for administering to the pharyngeal     area. Methods for administering the formulations for reducing viral     disease such as Covid-19 are disclosed.</t>
  </si>
  <si>
    <t>US20210347858</t>
  </si>
  <si>
    <t>ALIMENTARY AND SYSTEMIC ANTIVIRAL THERAPEUTICS</t>
  </si>
  <si>
    <t>17/221515</t>
  </si>
  <si>
    <t>FIREBREAK, INC.</t>
  </si>
  <si>
    <t>FIREBREAK</t>
  </si>
  <si>
    <t>Starzl; Timothy W.; (Boulder, CO)</t>
  </si>
  <si>
    <t>A61K 45/06 20130101;  C12N 2800/107 20130101;  C07K 2317/11 20130101;  C07K 16/10 20130101;  C07K 2317/76 20130101;  C12N 15/85 20130101;  C07K 14/165 20130101;  C07K 2317/23 20130101;  C07K 16/40 20130101</t>
  </si>
  <si>
    <t>Methods and compositions are provided for rapid preparation of     anti-SARS-CoV-2 protein polyclonal IgY antibodies. Compositions     comprising the antibodies are useful for decreasing transmission,     duration, and/or severity of coronavirus disease 2019 (COVID-19). Lingual     and sublingual alimentary traps, oral, parenteral, and inhalable     compositions are provided for preventing and treating COVID-19. The     compositions can be rapidly tailored for seasonal or even monthly     mutations in the SARS-CoV-2 viral antigenic proteins. Improved methods of     generating IgY antibodies are also provided.</t>
  </si>
  <si>
    <t>US20210347835</t>
  </si>
  <si>
    <t>NOVEL ANKYRIN REPEAT BINDING PROTEINS AND THEIR USES</t>
  </si>
  <si>
    <t>17/313543</t>
  </si>
  <si>
    <t>MOLECULAR PARTNERS AG</t>
  </si>
  <si>
    <t>MOLECULAR PARTNERS</t>
  </si>
  <si>
    <t>AMSTUTZ; Patrick; (Kilchberg, CH); CALABRO; Valerie Perrine; (Bergdietikon, CH); WALSER; Marcel; (Winterthur, CH)</t>
  </si>
  <si>
    <t>The present invention relates to recombinant binding proteins comprising     one or more designed ankyrin repeat domains with binding specificity for     coronavirus spike proteins, nucleic acids encoding such proteins,     pharmaceutical compositions comprising such proteins or nucleic acids,     and the use of such proteins, nucleic acids or pharmaceutical     compositions in the treatment of coronavirus diseases, particularly     diseases caused by SARS-CoV-2.</t>
  </si>
  <si>
    <t>US20210347828</t>
  </si>
  <si>
    <t>RNA Replicon Encoding a Stabilized Corona Virus Spike Protein</t>
  </si>
  <si>
    <t>17/317322</t>
  </si>
  <si>
    <t>DEHART; Jason; (San Diego, CA); MAINE; Christian; (San Diego, CA); MARRO; Brett Steven; (San Diego, CA); LANGEDIJK; Johannes Petrus Maria; (Amsterdam, NL); RUTTEN; Lucy; (Gouda, NL); VOGELS; Ronald; (Linschoten, NL); VAN DER NEUT KOLFSCHOTEN; Marijn; (Amsterdam, NL); JURASZEK; Jaroslaw; (Amsterdam, NL); VIJAYAN; Aneesh; (Sassenheim, NL)</t>
  </si>
  <si>
    <t>A61K 2039/53 20130101;  C07K 14/005 20130101;  C07K 2319/50 20130101;  A61P 31/14 20180101;  C12N 2770/18022 20130101;  C12N 2750/14143 20130101;  C07K 2319/03 20130101;  C12N 2770/18034 20130101;  C12N 15/62 20130101;  A61K 39/215 20130101;  C07K 2319/01 20130101;  A61K 2039/545 20130101;  C12N 15/86 20130101</t>
  </si>
  <si>
    <t>RNA replicons encoding stabilized recombinant pre-fusion SARS CoV-2 S     proteins are described. Also described are pharmaceutical compositions     and uses of the RNA replicons.</t>
  </si>
  <si>
    <t>US20210347611</t>
  </si>
  <si>
    <t>METHOD AND SYSTEM FOR ENSURING SOCIAL DISTANCING ON AN ESCALATOR OR     TRAVELLATOR</t>
  </si>
  <si>
    <t>17/171309</t>
  </si>
  <si>
    <t>TECHDAYAFTER INC.</t>
  </si>
  <si>
    <t>TECHDAYAFTER</t>
  </si>
  <si>
    <t>Frossard; Regis; (Sherwood Park, CA); Le Coent; Benjamin; (Poissy, FR)</t>
  </si>
  <si>
    <t>B66B 29/08 20130101;  B66B 29/00 20130101;  B66B 25/003 20130101;  B66B 27/00 20130101;  B66B 25/00 20130101</t>
  </si>
  <si>
    <t>A method and system is discussed for detecting distances between     passengers walking onto escalators and moving sidewalks or travellators     and for providing alerts to the passengers when minimum social distancing     between the passengers is not being maintained.</t>
  </si>
  <si>
    <t>US20210346736</t>
  </si>
  <si>
    <t>Reusable Face Mask with Changeable Filters</t>
  </si>
  <si>
    <t>17/225979</t>
  </si>
  <si>
    <t>RAVIKUMAR VIKRAM</t>
  </si>
  <si>
    <t>Ravikumar; Vikram; (New York, NY)</t>
  </si>
  <si>
    <t>A41D 13/1107 20130101;  A62B 18/084 20130101;  A62B 23/025 20130101</t>
  </si>
  <si>
    <t>A reusable face mask including a face protector covering the user's nose,     mouth, portion of cheeks and portion of chin. The face protector having     an opening over the mouth and a raised or higher profile along the     periphery of the opening. A filter within a filter housing is connected     to the face protector over the mouth opening. The filter itself may be     changed out after use while the rest of the face mask is reusable. A     securing means is included for the reusable face mask to be secured to     the user's head. The reusable face mask has a comfortable yet tight fit     over the user's face.</t>
  </si>
  <si>
    <t>US20210346735</t>
  </si>
  <si>
    <t>Fine Cover for a Respirator Mask</t>
  </si>
  <si>
    <t>17/210504</t>
  </si>
  <si>
    <t>Coyle, Brian Michael</t>
  </si>
  <si>
    <t>COYLE BRIAN</t>
  </si>
  <si>
    <t>Coyle; Brian Michael; (Canyon, CA); Larson; Alys; (Canyon, CA)</t>
  </si>
  <si>
    <t>A62B 18/08 20130101;  A62B 23/025 20130101;  A41D 31/145 20190201;  A41D 13/1107 20130101</t>
  </si>
  <si>
    <t>A fine cover particularly for use with respirator facemasks comprises one     or more components, each defined by a perimeter, holding flexible,     breathable material. The components expand to cover part of a respirator     facemask and fold smoothly to close exposed surfaces during removal,     thereby preventing pathogen shedding. The cInstitute of Medicine, 2006     Reusability of Facemasks During an Influenza Pandemic: Facing the Flu;     losed unit is placed in a bag for cleaning, disposal, or testing. Samples     taken from fine cover can be tested to detect airborne pathogens, an     optimal airborne pathogen monitoring system in medical facilities. In     addition, the fine cover may have graphical imagery to directs an     observer's gaze in the same patterns followed when looking at an unmasked     face, thereby reducing subconscious interaction anxiety.</t>
  </si>
  <si>
    <t>US20210346734</t>
  </si>
  <si>
    <t>FILTERING FACEPIECE RESPIRATOR MASK WITH DETACHABLE FILTER CARTRIDGE</t>
  </si>
  <si>
    <t>17/344875</t>
  </si>
  <si>
    <t>D6 VR LLC</t>
  </si>
  <si>
    <t>D6</t>
  </si>
  <si>
    <t>Newson; Ryan; (Portland, OR); McGregor; Benjamin S.; (Portland, OR); Dominion; Edward C.; (Portland, OR); Troudt; Martin L.; (Portland, OR)</t>
  </si>
  <si>
    <t>A62B 9/04 20130101;  A62B 18/084 20130101;  A62B 23/02 20130101;  A62B 7/10 20130101</t>
  </si>
  <si>
    <t>A respirator mask facepiece thermoformed from a sheet of polymer material     includes an opening that is covered by a filter membrane, which may be     part of a detachable disposable filter cartridge. The polymer material of     the facepiece may be transparent to enable a wearer's lips to be seen.     The filter cartridge may include a filter membrane attached to a carrier     frame, and may be attached to the facepiece via a set of threads formed     on the carrier frame and the facepiece, which draw the cartridge and     facepiece together to form a seal therebetween. A latch, catch, or other     similar structure may be formed in the facepiece and/or carrier frame to     inhibit the cartridge from being inadvertently detached from the     facepiece.</t>
  </si>
  <si>
    <t>US20210346732</t>
  </si>
  <si>
    <t>FILTERING MASK WITH COMPARTMENT FOR REPLACEABLE FILTER</t>
  </si>
  <si>
    <t>17/039633</t>
  </si>
  <si>
    <t>EMOMO TECHNOLOGY CO., LTD.</t>
  </si>
  <si>
    <t>EMOMO</t>
  </si>
  <si>
    <t>Tu; Jiawei; (Nanping City, CN); Tang; Wenji; (Shenzhen City, CN); Partyka; Ken; (Edmond, OK)</t>
  </si>
  <si>
    <t>A62B 18/025 20130101;  A62B 23/02 20130101</t>
  </si>
  <si>
    <t>A filtering mask for use with a replaceable filter includes a mask body,     a filter passage formed through the mask body, a first filter frame     positioned within the filter passage, and a filter compartment cover,     including a ventilation hole through the filter compartment cover,     covering the filter passage. The filter passage may define in part a     filter compartment and a replaceable filter may be positioned on the     first filter frame within the filter compartment. A filter gap may be     defined between the first filter frame and the filter compartment cover,     and one or more filter frames, lights, fragrances, or other accessories     or components may be positioned within the filter gap. The filter     compartment cover may be removably lockable to the mask body, for     replacing the filter.</t>
  </si>
  <si>
    <t>US20210346715</t>
  </si>
  <si>
    <t>Light Energy Therapy for Acute Respiratory Distress Syndrome</t>
  </si>
  <si>
    <t>17/232535</t>
  </si>
  <si>
    <t>ERCHONIA CORPORATION</t>
  </si>
  <si>
    <t>ERCHONIA</t>
  </si>
  <si>
    <t>SHANKS; Steven C; (Melbourne, FL); NEIRA; Rodrigo; (Alberta, CA); NEIRA; Rod; (Alberta, CA); NEIRA; Clara; (Melbourne, FL); SAMMONS; Travis; (Melbourne, FL)</t>
  </si>
  <si>
    <t>A61N 2005/0663 20130101;  A61N 5/067 20210801;  A61N 2005/0626 20130101;  A61N 5/0613 20130101</t>
  </si>
  <si>
    <t>Methods for treating acute respiratory distress syndrome are disclosed.     Light energy is applied externally to a patient at or near targeted areas     including the lungs, the vagus nerve, and spinous process to stimulate     different neurological pathways and reduce inflammation. The wavelength     of the applied light ranges from about 400-700 nm, and in a preferred     embodiment uses two wavelengths, 405 nm and 635 nm. The applied light     energy can be applied in pulses or as a constant wave. The light energy     is applied at dosages that cause no detectable temperature rise of the     treated tissue and no macroscopically visible changes in tissue     structure. Preferably the power is 500 mW or less. The light can be     emitted from the same light emitter or from multiple emitters and is     preferably laser light.</t>
  </si>
  <si>
    <t>US20210346668</t>
  </si>
  <si>
    <t>MEDICAL INSTRUMENT PORT FOR USE WITH PROTECTIVE FACE COVERINGS</t>
  </si>
  <si>
    <t>17/308537</t>
  </si>
  <si>
    <t>MEDICAL COLLEGE OF WISCONSIN, INC.</t>
  </si>
  <si>
    <t>MEDICAL COLLEGE WISCONSIN</t>
  </si>
  <si>
    <t>Woodson; B. Tucker; (Milwaukee, WI); Poetker; David M.; (Brookfield, WI); Garcia; Guilherme; (Milwaukee, WI); Freudinger; Bonnie Patricia; (Greenfield, WI); Friedland; David R.; (Milwaukee, WI); Loehrl; Todd A.; (Delafield, WI)</t>
  </si>
  <si>
    <t>A61B 90/05 20160201;  A61M 39/04 20130101;  A41D 13/11 20130101;  A61B 1/00147 20130101</t>
  </si>
  <si>
    <t>A medical instrument port is described for use with a surgical mask or     other protective face covering. The medical instrument port provides a     sealed pathway through which a medical instrument can be passed without     exposing the clinician to aerosolized droplets expelled from the     patient's respiratory system when the medical instrument is introduced     into the patient's nasal and/or oral passages.</t>
  </si>
  <si>
    <t>US20210346638</t>
  </si>
  <si>
    <t>Shared Manifold Ventilator and Method of Use</t>
  </si>
  <si>
    <t>17/317871</t>
  </si>
  <si>
    <t>FAULKNER ROGER W</t>
  </si>
  <si>
    <t>FAULKNER ROGER</t>
  </si>
  <si>
    <t>Faulkner; Roger W; (Davidson, NC)</t>
  </si>
  <si>
    <t>A61M 2202/0266 20130101;  A61M 2202/0208 20130101;  A61M 16/0875 20130101;  A61M 16/0066 20130101;  A61M 2205/84 20130101;  A61M 16/202 20140204;  A61M 2230/205 20130101;  A61M 16/208 20130101;  A61M 2205/7509 20130101;  A61M 2016/0027 20130101;  A61M 2205/3331 20130101</t>
  </si>
  <si>
    <t>The Shared Manifold Ventilator uses low pressure breathing gas manifolds     to interface directly with patients in a hospital ward, through solenoid     valves in such a way that it achieves lower cost per patient ventilated     than prior art methods while still allowing full control of the breathing     cycle and oxygen concentration for each individual patient.</t>
  </si>
  <si>
    <t>US20210346625</t>
  </si>
  <si>
    <t>METHODS OF IMPROVING AUTONOMIC IMBALANCE OR SYMPATHETIC IMPAIRMENT BY     REGULATING THE STELLATE GANGLION</t>
  </si>
  <si>
    <t>17/313152</t>
  </si>
  <si>
    <t>WEST VIRGINIA UNIVERSITY BOARD OF GOVERNORS ON BEHALF OF WEST VIRGINIA UNIVERSITY</t>
  </si>
  <si>
    <t>WEST VIRGINIA UNIVERSITY BOARD GOVERNORS BEHALF WEST VIRGINIA UNIVERSITY</t>
  </si>
  <si>
    <t>Rezai; Ali R.; (Morgantown, WV); Deogaonkar; Milind; (Morgantown, WV); Marsh; Clay B.; (Morgantown, WV); Finomore; Victor; (Morgantown, WV)</t>
  </si>
  <si>
    <t>A61M 2202/0208 20130101;  A61M 2210/10 20130101;  A61M 16/022 20170801</t>
  </si>
  <si>
    <t>Methods of improving ARDS by regulating a stellate ganglion is provided     herein. Methods of improving a hypercoagulation state are also provided     by regulating the sympathetic nervous system.</t>
  </si>
  <si>
    <t>US20210346613</t>
  </si>
  <si>
    <t>CONTROLLED DELIVERY DEVICE FOR TREATING CORONAVIRUS INFECTIONS AND METHODS     THEREOF</t>
  </si>
  <si>
    <t>17/105992</t>
  </si>
  <si>
    <t>KHAITAN, Mahesh Kumar; KHAITAN, Rohit</t>
  </si>
  <si>
    <t>KHAITAN MAHESH</t>
  </si>
  <si>
    <t>KHAITAN; Mahesh Kumar; (Chandigarh, IN); KHAITAN; Rohit; (Chandigarh, IN)</t>
  </si>
  <si>
    <t>A61K 33/00 20130101;  A61M 16/0666 20130101;  A61M 16/16 20130101;  A61M 2205/50 20130101;  A61K 9/0078 20130101;  A61K 31/58 20130101;  A61M 16/06 20130101;  A61M 11/005 20130101;  A61M 16/0057 20130101;  A61M 16/0833 20140204</t>
  </si>
  <si>
    <t>The present disclosure provides methods of treatment of COVID-19 through     pH modulation of the respiratory tract using a controlled delivery     device. In some embodiments, the controlled delivery device includes an     aerosolizer, a microprocessor, and a syringe. The controlled delivery     device can be integrated with a humidifier or a ventilator. In some     embodiments, two agents are delivered in conjunction using the controlled     delivery device. In some embodiments, one agent is a physiologically     compatible alkalizing agent, such as an aqueous solution of sodium     bicarbonate of strength 3%-8.4% at a pH ranging from 8 to 8.6 at     20.degree. C. In some embodiments, one agent is an anti-inflammatory     agent, such as corticosteroid ciclesonide.</t>
  </si>
  <si>
    <t>US20210346564</t>
  </si>
  <si>
    <t>INLET-OUTLET MICROBE SAFETY SYSTEM</t>
  </si>
  <si>
    <t>17/202844</t>
  </si>
  <si>
    <t>Jetter, Neil Robert</t>
  </si>
  <si>
    <t>JETTER NEIL</t>
  </si>
  <si>
    <t>Jetter; Neil Robert; (Palm Beach Gardens, FL)</t>
  </si>
  <si>
    <t>A61L 9/22 20130101;  A61L 2209/12 20130101;  A41D 13/11 20130101;  A61L 9/20 20130101;  A62B 18/08 20130101</t>
  </si>
  <si>
    <t>An inlet-outlet microbe safety (IOMS) system includes a face mask     configured for being secured over at least a nose and a mouth of an     individual that is further configured to receive input gas and to output     waste gas exhaled by the individual. A breathing device assembly includes     a first microbe killer device in a path of the input gas and a second     microbe killer device in a path of the waste gas. The face mask is     coupled by tubing to the breathing device assembly.</t>
  </si>
  <si>
    <t>US20210346555</t>
  </si>
  <si>
    <t>PERSONAL PROTECTIVE EQUIPMENT</t>
  </si>
  <si>
    <t>17/073394</t>
  </si>
  <si>
    <t>BEHZADI, KAMBIZ</t>
  </si>
  <si>
    <t>BEHZADI KAMBIZ</t>
  </si>
  <si>
    <t>Behzadi; Kambiz; (Pleasanton, CA)</t>
  </si>
  <si>
    <t>A61L 2/14 20130101;  A61L 2/087 20130101;  A61L 9/18 20130101;  A41D 13/1209 20130101;  A61L 9/12 20130101;  A61L 2/10 20130101;  A61L 9/22 20130101;  A61L 2209/111 20130101;  A61L 2202/16 20130101;  A61L 2/24 20130101;  A61L 2209/12 20130101;  A61L 9/046 20130101;  A61L 2202/14 20130101;  A61L 9/16 20130101;  A61L 2/084 20130101;  A61L 2/22 20130101;  A61L 9/14 20130101;  A61L 9/20 20130101;  A61L 2202/11 20130101;  A61L 2/025 20130101;  A61L 2/202 20130101</t>
  </si>
  <si>
    <t>A system and method for adoption and use of social personal protective     equipment. A structure, such as an article of clothing or jewelry,     incorporates one or more PPE features and produces a protective,     non-physical barrier around the user that kills or degrades a targeted,     or group of, pathogenic microorganisms.</t>
  </si>
  <si>
    <t>US20210346554</t>
  </si>
  <si>
    <t>16/993066</t>
  </si>
  <si>
    <t>Behzadi; Kambiz; (Pleasanton, CA); Woods; Michael E.; (Brisbane, CA)</t>
  </si>
  <si>
    <t>A61L 2/14 20130101;  A61L 2209/212 20130101;  A61L 2/202 20130101;  A61L 9/18 20130101;  A61L 9/03 20130101;  A61L 9/22 20130101;  A61L 2/10 20130101;  A61L 2209/111 20130101;  A61L 2202/16 20130101;  A61L 2101/02 20200801;  A61L 9/046 20130101;  A61L 2202/14 20130101;  A61L 2/24 20130101;  A61L 2209/12 20130101;  A41D 31/30 20190201;  A61L 9/16 20130101;  A61L 2/22 20130101;  A61L 2/084 20130101;  A61L 9/14 20130101;  A61L 9/20 20130101;  A61L 2202/11 20130101;  A61L 2/025 20130101;  A61L 2/04 20130101</t>
  </si>
  <si>
    <t>US20210346535</t>
  </si>
  <si>
    <t>Anti-Viral Dry Cleaning Process</t>
  </si>
  <si>
    <t>17/245578</t>
  </si>
  <si>
    <t>GREENEARTH CLEANIING, LLC</t>
  </si>
  <si>
    <t>GREENEARTH CLEANIING</t>
  </si>
  <si>
    <t>Benjamin; Ronald L.; (Kansas City, MO); Lien; Andrew T.; (Kansas City, MO); Maxwell; Timothy R.; (Kansas City, MO)</t>
  </si>
  <si>
    <t>D06L 1/20 20130101;  A61L 2202/17 20130101;  A61L 2/07 20130101;  A61L 2202/26 20130101;  D06F 43/007 20130101</t>
  </si>
  <si>
    <t>Provided herein is a method of treating material that is contaminated     with a virus, comprising exposing the material to vapor, wherein the     vapor is produced by heating and/or vaporizing a dry cleaning solvent,     and wherein the method at least partially deactivates the virus.</t>
  </si>
  <si>
    <t>US20210346500</t>
  </si>
  <si>
    <t>PHOTOOXIDATIVE INACTIVATION OF PATHOGENS INCLUDING SARS-CoV-2</t>
  </si>
  <si>
    <t>17/306174</t>
  </si>
  <si>
    <t>LANG GMBH</t>
  </si>
  <si>
    <t>LANG</t>
  </si>
  <si>
    <t>Schikora; Detlef; (Beverungen, DE)</t>
  </si>
  <si>
    <t>A61L 2/0052 20130101;  C12Q 1/70 20130101;  A61K 9/06 20130101;  A61L 2/0058 20130101;  A61N 5/0603 20130101;  A61N 2005/0659 20130101;  A61N 2005/0607 20130101;  A61N 2005/0606 20130101;  A61K 9/0043 20130101;  A61P 31/14 20180101;  A61N 5/062 20130101;  A61K 9/0053 20130101;  A61L 2/0076 20130101;  A61K 41/0057 20130101;  A61L 2202/11 20130101;  A61N 2005/0651 20130101;  A61N 2005/0662 20130101;  A61N 5/067 20210801;  A61N 5/0624 20130101</t>
  </si>
  <si>
    <t>Disclosed in certain embodiments is a method of treating a pathogenic     infection comprising (i) contacting a pathogen residing in the oral     cavity and/or pharynx of a patient in need thereof with a photosensitizer     and (ii) subjecting the photosensitizer contacted pathogen to a light     source.</t>
  </si>
  <si>
    <t>US20210346493</t>
  </si>
  <si>
    <t>SARS-COV-2 Antigen Polypeptide, Recombinant Adeno-Associated Virus     Expressing the Polypeptide, and Vaccine Containing the Virus</t>
  </si>
  <si>
    <t>17/327784</t>
  </si>
  <si>
    <t>HENGDA BIOMEDICAL TECHNOLOGY CO., LTD.</t>
  </si>
  <si>
    <t>HENGDA BIOMEDICAL</t>
  </si>
  <si>
    <t>Zhou; Zexin; (Guangzhou, CN); Liu; Zhongqiu; (Guangzhou, CN); Liao; Guochao; (Guangzhou, CN); Li; Huapeng; (Guangzhou, CN); Zhang; Chao; (Guangzhou, CN); Qi; Xiaoxiao; (Guangzhou, CN); Chen; Junlin; (Guangzhou, CN); Yang; Deying; (Guangzhou, CN)</t>
  </si>
  <si>
    <t>C12N 7/00 20130101;  C07K 2319/02 20130101;  C12N 2750/14134 20130101;  C12N 2750/14151 20130101;  C12N 15/86 20130101;  A61K 39/215 20130101;  C07K 14/165 20130101;  C12N 2750/14143 20130101</t>
  </si>
  <si>
    <t>Disclosed are a SARS-COV-2 antigen polypeptide, a recombinant     adeno-associated virus (rAAV) expressing the polypeptide, and a vaccine     containing the virus. A sequence of the antigen polypeptide is shown in     SEQ NO. 1. and SEQ ID NO. 2. A method for preparing the recombinant     adeno-associated virus comprises co-incubating pHelper, pRep2Cap5, and an     expression vector, transfecting a cell in the presence of     polyethyleneimine as a transfection reagent; culturing the cell, then     collecting the cell by centrifugation, performing lysis and purification     to obtain a purified liquid comprising the recombinant adeno-associated     virus. The rAAV is delivered and expressed in vivo to produce a fusion     antigen polypeptide, induces the production of serum neutralizing     antibodies, which have a neutralizing titer to the novel SARS-COV-2     coronavirus and are expressed continuously; the rAAV composition can be     used to immunize humans against the novel coronavirus pneumonia COVID-19.</t>
  </si>
  <si>
    <t>US20210346492</t>
  </si>
  <si>
    <t>SARS-CoV-2 Vaccines</t>
  </si>
  <si>
    <t>17/317279</t>
  </si>
  <si>
    <t>DEHART; Jason; (San Diego, CA); MAINE; Christian; (San Diego, CA); MARRO; Brett Steven; (San Diego, CA); LANGEDIJK; Johannes Petrus Maria; (Amsterdam, NL); RUTTEN; Lucy; (Gouda, NL); BAKKERS; Mark Johannes Gerardus; (Haarsteeg, NL); VOGELS; Ronald; (Linschoten, NL); VAN DER NEUT KOLFSCHOTEN; Marijn; (Amsterdam, NL); VIJAYAN; Aneesh; (Sassenheim, NL)</t>
  </si>
  <si>
    <t>A61K 2039/53 20130101;  A61K 2039/545 20130101;  C07K 14/165 20130101;  A61K 39/215 20130101</t>
  </si>
  <si>
    <t>RNA replicons encoding coronavirus S proteins, in particular SARS-CoV-2 S     proteins, are described. Also described are pharmaceutical compositions     and uses of the RNA replicons.</t>
  </si>
  <si>
    <t>US20210346491</t>
  </si>
  <si>
    <t>METHOD FOR THE PROPHYLAXIS OR TREATMENT OF CORONAVIRUS INFECTION USING AN     IMMUNOMODULATOR AND VACCINE COMPOSITIONS COMPRISING THE SAME</t>
  </si>
  <si>
    <t>17/314135</t>
  </si>
  <si>
    <t>ADVAGENE BIOPHARMA CO., LTD.</t>
  </si>
  <si>
    <t>ADVAGENE BIOPHARMA</t>
  </si>
  <si>
    <t>HSU; YU-SHEN; (TAIPEI CITY, TW); KANG; SSU-WEI; (TAIPEI CITY, TW); CHANG; MING-I; (TAIPEI CITY, TW)</t>
  </si>
  <si>
    <t>A61K 2039/5252 20130101;  A61K 2039/5254 20130101;  A61K 39/215 20130101;  A61K 2039/55544 20130101</t>
  </si>
  <si>
    <t>The present disclosure provides a method for the treatment or prophylaxis     of coronavirus infection, comprising administering a therapeutically     effective amount of an immunomodulator to a subject in need thereof or at     risk of coronavirus infection. A vaccine composition comprising a     pharmaceutically effective amount of an immunomodulator is also provided.</t>
  </si>
  <si>
    <t>US20210346490</t>
  </si>
  <si>
    <t>17/226690</t>
  </si>
  <si>
    <t>A61K 2039/55588 20130101;  C12N 7/00 20130101;  A61K 2039/54 20130101;  C07K 14/165 20130101;  A61P 31/14 20180101;  A61K 39/215 20130101;  A61K 38/00 20130101</t>
  </si>
  <si>
    <t>US20210346460</t>
  </si>
  <si>
    <t>TREATMENTS FOR COVID-19-RELATED SYSTEMIC SCLEROSIS, VASCULAR     INSUFFICIENCY, DISTAL ISCHEMIA, AND RELATED DISEASE CONDITIONS</t>
  </si>
  <si>
    <t>17/313977</t>
  </si>
  <si>
    <t>COUVARAS JOHN L</t>
  </si>
  <si>
    <t>COUVARAS JOHN</t>
  </si>
  <si>
    <t>COUVARAS; John L.; (Paradise Valley, AZ)</t>
  </si>
  <si>
    <t>A61K 31/198 20130101;  A61K 38/085 20130101;  A61K 45/06 20130101</t>
  </si>
  <si>
    <t>A medical composition for treatment of a peripheral vascular disease is     provided. The medical composition may include a dosage of a GABA-a     agonist, a dosage of an Angiotensin II modulator, and a dosage of a     Direct Oral Anticoagulant. The Angiotensin II modulator may include at     least one of an ARB and an ACE Inhibitor, the ARB being an Angiotensin     II, type 1 receptor antagonist. A method for treating a patient with a     microvascular disease condition is provided. The patient may be provided,     the medical composition may be provided, and the medical composition may     be administered. The step of providing the patient may include providing     a patient with at least one of systemic sclerosis, vascular     insufficiency, distal ischemia, COVID-19 infection, and sepsis.</t>
  </si>
  <si>
    <t>US20210346459</t>
  </si>
  <si>
    <t>Application of Dalargin for the prevention of VRIs and prevention of the     development of complications during VRIs</t>
  </si>
  <si>
    <t>16/882631</t>
  </si>
  <si>
    <t>PVP LABS PTE. LTD</t>
  </si>
  <si>
    <t>PVP LABS</t>
  </si>
  <si>
    <t>Chertorizhsky; Evgeny Alexandrovich; (Obninsk, RU); Kosorukov; Vyacheslav Stanislavovich; (Podolsk, RU); Kleimenov; Aleksey Viktorovich; (Zhukov, RU); Melnikov; Gennady Dmitrievich; (Moscow, RU)</t>
  </si>
  <si>
    <t>A61K 38/08 20130101;  A61P 31/16 20180101;  A61K 9/0073 20130101</t>
  </si>
  <si>
    <t>The proposed method is related to pharmaceutics and medicine and concerns     applications of Dalargin solution and compositions based on Dalargin in a     spray form for irrigation of the oral cavity and nasopharynx and in the     inhalation form using a nebulizer for prevention of viral respiratory     infections or for the prevention of complications thereof, especially in     early stages of the disease. The method describes characteristics of the     composition of an inhalation solution having high efficiency for     inhalation therapy for prophylaxis of acute respiratory viral infections     or the prevention of complications of viral respiratory infections. A     detail description of particular techniques and examples of carrying out     the method are provided.</t>
  </si>
  <si>
    <t>US20210346453</t>
  </si>
  <si>
    <t>COMPOSITIONS AND METHODS FOR TREATMENT OF COVID-19</t>
  </si>
  <si>
    <t>17/315519</t>
  </si>
  <si>
    <t>COGNITIVE CLARITY INC.</t>
  </si>
  <si>
    <t>COGNITIVE CLARITY</t>
  </si>
  <si>
    <t>Snow; Alan D.; (Lynnwood, WA)</t>
  </si>
  <si>
    <t>A61K 45/06 20130101;  A61K 9/48 20130101;  A61K 36/74 20130101</t>
  </si>
  <si>
    <t>The present disclosure relates generally to methods for treating     coronavirus infections (e.g., SARS-CoV-2 infection or COVID-19) in a     subject in need thereof comprising administering to the subject a     therapeutically effective amount of an Uncaria tomentosa extract.</t>
  </si>
  <si>
    <t>US20210346451</t>
  </si>
  <si>
    <t>CHINESE MEDICINE COMPOSITION AND PREPARATION METHOD AND USE THEREOF</t>
  </si>
  <si>
    <t>16/870997</t>
  </si>
  <si>
    <t>WEFINE HEALTH TECHNOLOGY CORPORATION</t>
  </si>
  <si>
    <t>WEFINE HEALTH</t>
  </si>
  <si>
    <t>LIU; Jiyuan; (Changxing, CN); DONG; Huyun; (Santa Clara, CA); HU; Yili; (San Jose, CA); LIU; Xiangqiu; (Changxing, CN)</t>
  </si>
  <si>
    <t>A61K 36/481 20130101;  A61K 36/355 20130101;  A61K 36/704 20130101;  A61K 36/258 20130101;  A61K 36/074 20130101;  A61K 36/634 20130101;  A61K 36/53 20130101;  A61K 36/752 20130101;  A61K 36/236 20130101;  A61K 36/315 20130101;  A61K 36/71 20130101</t>
  </si>
  <si>
    <t>Technologies relating to Chinese medicine composition used for treatment     of protecting respiratory tract from viral infection by significantly     increasing immunity of patients are disclosed. An example composition     used for treatment of protecting respiratory tract from viral infection     by significantly increasing immunity of a patient, includes: an     Astragalus Root; a Ganoderma Spore; a Siberian Ginseng; an Underleaf     Pearl; a Honeysuckle Flower; a Chinese Globe Flower; an Isatis Leaf; an     Woad Root; a Patchouli; a Forsythia Fruit; an asiatic Pennywort; an Aged     Tangerine Peel; a Giant Knotweed; a Reed Rhizome; an Unprepared Licorice     Root; and a Fresh Ginger Rhizome.</t>
  </si>
  <si>
    <t>US20210346428</t>
  </si>
  <si>
    <t>BIOAVAILABLE MINERALS FOR THE MITIGATION OF CORONA VIRUSES (COVID 19),     MANUFACTURING METHOD AND A TREATMENT METHOD</t>
  </si>
  <si>
    <t>17/245085</t>
  </si>
  <si>
    <t>SIMPSON PAUL R</t>
  </si>
  <si>
    <t>SIMPSON PAUL</t>
  </si>
  <si>
    <t>Simpson; Paul R.; (Granite Falls, WA)</t>
  </si>
  <si>
    <t>A61K 33/04 20130101;  A61K 9/0014 20130101;  A61K 47/14 20130101;  A61K 33/26 20130101;  A61K 33/34 20130101;  A61K 47/02 20130101;  A61K 33/30 20130101;  A61K 33/32 20130101</t>
  </si>
  <si>
    <t>The present invention relates to animals including humans with mineral     deficiencies that become viable to corona virus attacks. An improved     method of treating mineral deficiencies is therefore desired. This     invention is employing bioavailable minerals in a liquid complex that are     pharmaceutically acceptable carriers including water. The composition for     use in the method may include supporting animals including human     nutrients such as botanical extracts, human hormones, vitamins, and     mineral supplements necessary for animals including human health.</t>
  </si>
  <si>
    <t>US20210346426</t>
  </si>
  <si>
    <t>COMPOSITION AND METHOD FOR THE TREATMENT OF COVID-19</t>
  </si>
  <si>
    <t>17/225053</t>
  </si>
  <si>
    <t>Uddin, Naeem; Zia, Shamail</t>
  </si>
  <si>
    <t>UDDIN NAEEM</t>
  </si>
  <si>
    <t>Uddin; Naeem; (KARACHI, PK); Zia; Shamail; (KARACHI, PK)</t>
  </si>
  <si>
    <t>A61K 33/00 20130101;  A61K 9/4808 20130101;  A61K 33/30 20130101;  A61K 31/194 20130101;  A61K 9/0053 20130101;  A61P 31/14 20180101</t>
  </si>
  <si>
    <t>A composition and method for treating COVID 19 by orally administering a     pharmacological composition comprising a pharmaceutical carrier and an     active composition consisting of about 82% to about 92% Sodium citrate,     about 8% to about 18% citric acid and an effective amount of zinc     sulfate.</t>
  </si>
  <si>
    <t>US20210346422</t>
  </si>
  <si>
    <t>SYSTEMS AND METHODS FOR USE OF ADENOSINE TRIPHOSPHATE (ATP) TO RELIEVE     SYMPTOMS OF COVID-19 AND RELATED INFECTIONS</t>
  </si>
  <si>
    <t>17/314962</t>
  </si>
  <si>
    <t>ABRAHAM EDWARD H</t>
  </si>
  <si>
    <t>ABRAHAM EDWARD</t>
  </si>
  <si>
    <t>Abraham; Edward H.; (Hanover, NH)</t>
  </si>
  <si>
    <t>A61K 31/7105 20130101;  A61P 31/14 20180101</t>
  </si>
  <si>
    <t>Treatments for SARS-CoV-2 infection, COVID-19, symptoms of COVID-19, and     similar infections. Specifically, treatments for patients identified as     having Acute Respiratory Distress Syndrome (ARDS), and specifically     COVID-19 ARDS, and/or suffering the effects of hypoxia. The treatments     include increasing a patient's naturally occurring levels of ATP,     adenosine, and/or other adenosine compounds.</t>
  </si>
  <si>
    <t>US20210346416</t>
  </si>
  <si>
    <t>Pharmaceutical Compositions and Methods for their Use in Antiviral Therapy</t>
  </si>
  <si>
    <t>17/245841</t>
  </si>
  <si>
    <t>LIPP RALPH</t>
  </si>
  <si>
    <t>Lipp; Ralph; (Palmetto Bay, FL)</t>
  </si>
  <si>
    <t>A61K 31/4045 20130101;  A61K 9/0073 20130101;  A61K 9/0043 20130101;  A61K 31/245 20130101;  A61K 31/675 20130101;  A61K 31/7048 20130101;  A61K 31/137 20130101</t>
  </si>
  <si>
    <t>Pharmaceutical compositions comprise at least one active agent and a     pharmaceutically acceptable carrier for application to the respiratory     tract. The active agents are from the area of antivirals. The     pharmaceutical compositions can be used for application to the     respiratory tract in order to treat virus infections including COVID-19.</t>
  </si>
  <si>
    <t>US20210346411</t>
  </si>
  <si>
    <t>USE OF SUBSTITUTED AMINOPROPIONATE COMPOUNDS IN TREATMENT OF SARS-COV-2     INFECTION</t>
  </si>
  <si>
    <t>17/378415</t>
  </si>
  <si>
    <t>ZHONG; Wu; (Beijing, CN); CAO; Ruiyuan; (Beijing, CN); XIAO; Gengfu; (Beijing, CN); HU; Zhihong; (Beijing, CN); WANG; Manli; (Beijing, CN); ZHANG; Leike; (Beijing, CN); LI; Wei; (Beijing, CN); LI; Yuexiang; (Beijing, CN); ZHAO; Lei; (Beijing, CN); FAN; Shiyong; (Beijing, CN); LI; Song; (Beijing, CN)</t>
  </si>
  <si>
    <t>A61K 31/685 20130101;  A61P 31/14 20180101</t>
  </si>
  <si>
    <t>The present application relates to use of a substituted aminopropionate     compound represented by Formula I, a geometric isomer, a pharmaceutically     acceptable salt, a solvate and/or a hydrate thereof, and a pharmaceutical     composition comprising the compound for the treatment of a disease or an     infection caused by a SARS-CoV-2.  ##STR00001##</t>
  </si>
  <si>
    <t>US20210346409</t>
  </si>
  <si>
    <t>COVID-19 THERAPEUTICS AND METHODS OF TREATMENT</t>
  </si>
  <si>
    <t>17/315249</t>
  </si>
  <si>
    <t>ALEXANDER; Johnathan Steven; (Shreveport, LA); KEVIL; Christopher; (Shreveport, LA); BARZEGAR; Mansoureh; (Lafayette, LA); DRAGOI; Ana Maria; (Shreveport, LA)</t>
  </si>
  <si>
    <t>A61K 31/397 20130101;  A61K 31/405 20130101;  A61K 31/4178 20130101;  A61K 31/505 20130101;  A61K 31/366 20130101;  A61K 31/4184 20130101;  A61K 31/655 20130101;  A61K 31/41 20130101;  A61K 31/22 20130101;  A61K 31/47 20130101;  A61K 31/4418 20130101;  A61K 31/40 20130101;  A61K 31/4245 20130101</t>
  </si>
  <si>
    <t>Therapeutics and methods of treating COVID-19 in a patient in need     thereof comprising administering a pharmaceutical composition containing     a pharmaceutically effective dose of a therapeutic, wherein the     therapeutic contains both an ACE2 externalizer and one or more ACE2     internalization preventors. Methods of treatment and pharmaceutical     compositions comprising an ACE2 externalizer and one or more ACE2     internalization preventors.</t>
  </si>
  <si>
    <t>US20210346403</t>
  </si>
  <si>
    <t>USE OF COMPOUNDS THAT TARGET MINERALOCORTICOID RECEPTORS FOR TREATING     COVID-19</t>
  </si>
  <si>
    <t>17/314727</t>
  </si>
  <si>
    <t>HENRY RICHARD</t>
  </si>
  <si>
    <t>HENRY; Richard; (Glenburnie, CA)</t>
  </si>
  <si>
    <t>A61K 31/585 20130101</t>
  </si>
  <si>
    <t>The present disclosure provides the use of a compound that targets     mineralocorticoid receptors to treat coronavirus disease 2019 (COVID-19).     The compound is preferably one of eplerenone and spironolactone, which     are mineralocorticoid receptor antagonists. On one hand, eplerenone may     be administered in a range between 25-100 mg twice per day, while     spironolactone is administered in a range between 25-100 mg per day. The     present disclosure also provides for a method of treatment of COVID-19     using the eplerenone and spironolactone compounds.</t>
  </si>
  <si>
    <t>US20210346402</t>
  </si>
  <si>
    <t>17/194931</t>
  </si>
  <si>
    <t>KUO; Michael David; (Scottsdale, AZ)</t>
  </si>
  <si>
    <t>A61K 31/522 20130101;  A61K 45/06 20130101;  A61K 31/381 20130101;  A61K 31/439 20130101;  A61K 31/567 20130101;  A61K 31/40 20130101;  A61K 31/167 20130101;  A61K 31/4704 20130101;  A61P 11/16 20180101;  A61K 31/137 20130101;  A61K 31/58 20130101;  A61K 31/404 20130101</t>
  </si>
  <si>
    <t>US20210346376</t>
  </si>
  <si>
    <t>USE OF FAVIPIRAVIR IN TREATMENT OF CORONAVIRUS INFECTION</t>
  </si>
  <si>
    <t>17/378361</t>
  </si>
  <si>
    <t>ZHONG; Wu; (Beijing, CN); CAO; Ruiyuan; (Beijing, CN); CAO; Cheng; (Beijing, CN); GAO; Ting; (Beijing, CN); XIAO; Gengfu; (Beijing, CN); HU; Zhihong; (Beijing, CN); WANG; Manli; (Beijing, CN); ZHANG; Leike; (Beijing, CN); LI; Song; (Beijing, CN)</t>
  </si>
  <si>
    <t>A61K 31/4965 20130101;  A61P 31/14 20180101</t>
  </si>
  <si>
    <t>The present application relates to a Favipiravir compound represented by     Formula I, a geometric isomer, a pharmaceutically acceptable salt, a     solvate and/or a hydrate thereof, and a pharmaceutical composition     comprising the compound for treating a coronavirus infection.  ##STR00001##</t>
  </si>
  <si>
    <t>US20210346357</t>
  </si>
  <si>
    <t>Method of treating a patient infected with a coronavirus with a dimethyl     amino azetidine amide compound</t>
  </si>
  <si>
    <t>17/302594</t>
  </si>
  <si>
    <t>THERAVANCE BIOPHARMA R&amp;D IP, LLC</t>
  </si>
  <si>
    <t>THERAVANCE BIOPHARMA</t>
  </si>
  <si>
    <t>Crater; Glenn Douglas; (Raleigh, NC); Moran; Edmund J.; (San Francisco, CA); Saggar; Rajeev; (Scottsdale, AZ); Pfeifer; Nathan David; (Montara, CA); Yates; Wayne Arthur; (San Mateo, CA); Kennedy; Kyla Dee-Kinnick; (Clive, IA); Budman; Joseph; (Redwood City, CA); Lo; Arthur; (San Francisco, CA)</t>
  </si>
  <si>
    <t>A61K 45/06 20130101;  A61K 9/0078 20130101;  A61K 31/437 20130101;  A61P 31/14 20180101</t>
  </si>
  <si>
    <t>Provided herein are methods of treating a patient infected with a     coronavirus comprising administering to the patient a compound of formula     1:  ##STR00001## or a pharmaceutically-acceptable salt thereof.</t>
  </si>
  <si>
    <t>US20210346339</t>
  </si>
  <si>
    <t>THERAPEUTIC FLAVONOID BASED ANTIVIRAL AGENTS</t>
  </si>
  <si>
    <t>17/210159</t>
  </si>
  <si>
    <t>Lowe, Henry C.; Toyang, Ngeh J.; Swanson, Clark</t>
  </si>
  <si>
    <t>LOWE HENRY</t>
  </si>
  <si>
    <t>Lowe; Henry C.; (Kingston 5 West Indies, JM); Toyang; Ngeh J.; (Elkridge, MD); Swanson; Clark; (Henderson, NV)</t>
  </si>
  <si>
    <t>A61P 31/14 20180101;  A61K 31/353 20130101;  A61K 41/0038 20130101</t>
  </si>
  <si>
    <t>The world is plagued with several viruses some of which have prevention     and treatment tools available, while every so often a new strain will     show up without sensitivity to existing drugs. The present invention     provides plant-based flavonoid pharmaceutical compositions for inhibition     of kinases, particularly phosphatidylinositol-4-kinases (PI4Kiii.beta.),     AAK1, BIKE, GAK and other transcription factors required for viral entry,     replication and survival, and consequent for prevention and treatment of     RNA viruses including but not limited to adenoviruses, alphaviruses,     coronaviruses, enteroviruses, flaviviruses, hepatitis, herpes, influenza     viruses, measles, picornaviruses, vesicular stomatitis and associated     disorders. A method for synthesizing the flavonoids and formulation into     therapeutic products are also disclosed.</t>
  </si>
  <si>
    <t>US20210346335</t>
  </si>
  <si>
    <t>METHODS OF USING NITRIC OXIDE DONOR COMPOUNDS FOR TREATMENT OF COVID-19     AND OTHER INFECTIOUS DISEASES</t>
  </si>
  <si>
    <t>17/211778</t>
  </si>
  <si>
    <t>COEURATIVE INC</t>
  </si>
  <si>
    <t>COEURATIVE</t>
  </si>
  <si>
    <t>Schmedtje, JR.; John F.; (Roanoke, VA)</t>
  </si>
  <si>
    <t>A61K 47/10 20130101;  A61K 9/0019 20130101;  A61K 9/0014 20130101;  A61K 9/4858 20130101;  A61K 47/12 20130101;  A61K 9/2027 20130101;  A61K 9/2018 20130101;  A61K 9/12 20130101;  A61K 31/34 20130101;  A61K 9/4866 20130101;  A61K 47/20 20130101;  A61K 47/02 20130101;  A61K 9/4825 20130101;  A61K 47/186 20130101;  A61K 9/2059 20130101;  A61K 47/183 20130101</t>
  </si>
  <si>
    <t>The present invention provides novel methods of using nitric oxide donor     compounds for treating infectious diseases, for example, COVID-19.</t>
  </si>
  <si>
    <t>US20210346324</t>
  </si>
  <si>
    <t>17/308712</t>
  </si>
  <si>
    <t>NEURO THERAPEUTICS AB</t>
  </si>
  <si>
    <t>NEURO THERAPEUTICS</t>
  </si>
  <si>
    <t>A61K 9/4858 20130101;  A61K 9/16 20130101;  A61K 9/485 20130101;  A61P 31/14 20180101;  A61K 31/167 20130101;  A61K 9/4866 20130101</t>
  </si>
  <si>
    <t>US20210346305</t>
  </si>
  <si>
    <t>ORGANOSILICON CARRIERS FOR USE IN TREATING INFECTIONS AND/OR DISEASES     CAUSED BY SARS VIRUSES</t>
  </si>
  <si>
    <t>16/871317</t>
  </si>
  <si>
    <t>SALAMA ZOSER B</t>
  </si>
  <si>
    <t>SALAMA ZOSER</t>
  </si>
  <si>
    <t>Salama; Zoser B.; (Ravensburg, DE)</t>
  </si>
  <si>
    <t>A61K 31/7004 20130101;  A61K 9/1272 20130101;  A61K 9/5123 20130101</t>
  </si>
  <si>
    <t>A method for treating, attenuating or inhibiting an infection and/or     disease associated with a SARS virus in a subject is provided that     includes administering a pharmaceutical composition to the subject. The     composition includes an organosilicone carrier with one or more active     substances that block and/or inhibit an ACE2 receptor in a host cell of     the subject, the spike protein of a SARS virus and/or internal components     of a virion of the SARS virus.</t>
  </si>
  <si>
    <t>US20210346288</t>
  </si>
  <si>
    <t>PHARMACEUTICAL FORMULATION CONTAINING ACTIVE METABOLITES OF REMDESIVIR FOR     INHALATION</t>
  </si>
  <si>
    <t>17/316933</t>
  </si>
  <si>
    <t>A61K 47/183 20130101;  A61K 47/12 20130101;  A61K 47/40 20130101;  A61K 9/0078 20130101;  A61K 9/08 20130101;  A61K 47/02 20130101;  A61K 47/186 20130101;  A61K 31/706 20130101</t>
  </si>
  <si>
    <t>The present invention relates to pharmaceutical formulations containing     one or more active metabolites of remdesivir selected from alanine     metabolite (Ala-met), nucleoside monophosphate, remdesivir monophosphate     disodium salt and nucleoside triphosphate (NTP) or their pharmaceutically     acceptable salts or solvates that are suitable for administration by soft     mist inhalation or nebulization inhalation.</t>
  </si>
  <si>
    <t>US20210346205</t>
  </si>
  <si>
    <t>FACE SHIELD</t>
  </si>
  <si>
    <t>17/316637</t>
  </si>
  <si>
    <t>PINNPACK PACKAGING, LLC</t>
  </si>
  <si>
    <t>PINNPACK PACKAGING</t>
  </si>
  <si>
    <t>Maroofian; Ira; (Oxnard, CA); Mair; Chris; (Oxnard, CA)</t>
  </si>
  <si>
    <t>A41D 13/1161 20130101;  A61F 9/029 20130101;  A61F 9/027 20130101</t>
  </si>
  <si>
    <t>A disposable face shield designed to protect the eyes and face of wearers     from various diseases, such as COVID-19. The face shield assembly     includes a transparent shield panel coupled with a front strap and back     strap. The front strap contacts the forehead and spaces the transparent     shield panel away from the face. The back strap extends around the head     and holds the transparent shield panel on the head. Each of the straps     are adjustable for different type head sizes.</t>
  </si>
  <si>
    <t>US20210346118</t>
  </si>
  <si>
    <t>FACE-MOUNTED, NEGATIVE-PRESSURE ANTECHAMBER</t>
  </si>
  <si>
    <t>17/065218</t>
  </si>
  <si>
    <t>Cornell University</t>
  </si>
  <si>
    <t>CORNELL</t>
  </si>
  <si>
    <t>Kacker; Ashutosh; (New York, NY); Lee; Mark; (New York, NY); Schwartz; Theodore; (New York, NY)</t>
  </si>
  <si>
    <t>A62B 18/02 20130101;  A61B 2090/401 20160201;  A61F 9/007 20130101;  A61C 7/00 20130101;  A41D 13/11 20130101;  A62B 23/02 20130101;  A61B 17/24 20130101;  A61B 90/40 20160201;  B33Y 80/00 20141201</t>
  </si>
  <si>
    <t>Embodiments described herein provide systems and methods for protecting     doctors and others from pathogenic microorganisms aerosolized during     surgical and other procedures on patients. The systems and methods     generally operate by forming a partially-enclosed chamber around the     patient's face during the procedure. A facial adapter and facial shield     isolate a portion of the patient's face from the surrounding environment.     The partially-enclosed chamber is connected to a vacuum source that     brings the pathogenic particles through a filter, which further decreases     the number of pathogenic particles expelled into the environment.</t>
  </si>
  <si>
    <t>US20210346114</t>
  </si>
  <si>
    <t>APPARATUS, SYSTEMS AND METHODS FOR NEGATIVE PRESSURE FACE SHIELDING</t>
  </si>
  <si>
    <t>17/317615</t>
  </si>
  <si>
    <t>Hoffman, MD; Henry; (Iowa City, IA); Walsh, MD; Jarrett; (Coralville, IA)</t>
  </si>
  <si>
    <t>A61B 2090/401 20160201;  A61B 90/05 20160201;  A61B 90/40 20160201;  A61B 2217/005 20130101;  A61B 2090/502 20160201</t>
  </si>
  <si>
    <t>The disclosed apparatus, systems and methods relate to devices, systems     and methods relating to a negative pressure face shield comprising a     housing defining a lumen, at least one anterior access port defined     within the housing, and a suction port defined within the housing.</t>
  </si>
  <si>
    <t>US20210345974</t>
  </si>
  <si>
    <t>METHOD AND SYSTEM OF CAREGIVER ALERT FOR PATIENT BREATHING STATUS DURING     SLEEP IN A HOME ENVIRONMENT TO PREVENT COVID-19 RELATED DEATH</t>
  </si>
  <si>
    <t>15/929563</t>
  </si>
  <si>
    <t>Chung, Mi Kyung</t>
  </si>
  <si>
    <t>CHUNG</t>
  </si>
  <si>
    <t>Chung; Mi Kyung; (Durham, NC)</t>
  </si>
  <si>
    <t>A61B 5/4818 20130101;  A61B 5/14552 20130101;  A61B 5/746 20130101;  A61B 5/02405 20130101;  A61B 5/0022 20130101;  A61B 5/747 20130101;  A61B 5/7455 20130101;  A61B 5/7282 20130101;  A61B 5/6826 20130101;  A61B 5/0004 20130101;  A61B 5/681 20130101</t>
  </si>
  <si>
    <t>Many people have died in their homes in their sleep while suffering from     COVID-19 infection. This invention proposes a patient and caregiver     bracelet system by which patient breathing and heart rate status declines     are monitored through pulse oximetry connected to their bracelets and     caregivers sleeping in the same house are alerted via their own caregiver     bracelets. The underlying communications signaling can be sent via     wireless digital technology and also via radio frequency.</t>
  </si>
  <si>
    <t>US20210345939</t>
  </si>
  <si>
    <t>17/096806</t>
  </si>
  <si>
    <t>H04R 9/08 20130101;  A61B 5/7267 20130101;  A61B 8/488 20130101;  A61B 2560/0257 20130101;  A61B 7/04 20130101;  H04R 9/025 20130101;  A61B 2560/0431 20130101;  A61B 2560/0214 20130101;  G10L 25/66 20130101;  G01P 15/08 20130101;  A61B 5/412 20130101;  A61B 5/277 20210101;  A61B 2562/0204 20130101;  A61B 5/0531 20130101;  H04R 1/46 20130101;  A61B 2560/0443 20130101;  A61B 5/318 20210101;  A61B 2560/0252 20130101;  H04R 9/045 20130101;  H04R 1/04 20130101;  G01P 1/00 20130101;  A61B 5/0002 20130101;  A61B 2562/0219 20130101</t>
  </si>
  <si>
    <t>A sensing system comprising a a hand-held sensing device with a     vibracoustic sensor module (VSM). The VSM comprises a voice coil     component comprising a coil holder supporting wire windings; a magnet     component comprising a magnet supported by a frame, a magnet gap     configured to receive at least a portion of the voice coil component in a     spaced and moveable manner; a connector connecting the voice coil     component to the magnet component, the connector being compliant and     permitting relative movement of the voice coil component and the magnet     component; a diaphragm configured to induce a movement of the voice coil     component in the magnet gap responsive to incident acoustic waves; a     housing for retaining the vibroacoustic sensor module having a handle end     and a sensor end, the sensor end having an opening, the VSM positioned     such that at least a portion of the diaphragm extends across the opening.</t>
  </si>
  <si>
    <t>US20210345878</t>
  </si>
  <si>
    <t>SYSTEM AND APPARATUS FOR REAL-TIME PUBLIC COMMUNICATION OF HEALTH     INFORMATION</t>
  </si>
  <si>
    <t>16/866867</t>
  </si>
  <si>
    <t>VITALBADGE CORPORATION</t>
  </si>
  <si>
    <t>VITALBADGE</t>
  </si>
  <si>
    <t>Khalil; Latif; (Bellevue, WA); Batchelder; Dennis; (Bellevue, WA)</t>
  </si>
  <si>
    <t>A61B 5/0008 20130101;  A61B 5/0006 20130101;  A61B 5/6802 20130101;  A61B 5/0022 20130101;  A61B 5/0024 20130101</t>
  </si>
  <si>
    <t>Embodiments include apparatuses, methods, and systems of a public     communication system including a sensor device, a badge device, a     collector device, a server, a smartphone, for monitoring and     communicating personal health information. A badge device includes a     receiver, a storage unit, and a controller. The receiver is configured to     receive, from a sensor device, measured health data of a wearer including     a skin temperature of the wearer. The sensor device includes a     temperature sensor to measure the skin temperature of the wearer. The     storage unit is configured to store health information of the wearer     related to the measured health data. The controller is configured to have     the health information of the wearer displayed on a display device     visible to public, or to initiate a communication to wirelessly transmit     the health information of the wearer to another device. Other embodiments     may also be described and claimed.</t>
  </si>
  <si>
    <t>US20210345770</t>
  </si>
  <si>
    <t>RETRACTABLE SELF-SANITIZING DIVIDER ASSEMBLY</t>
  </si>
  <si>
    <t>17/201861</t>
  </si>
  <si>
    <t>ISGAR CHARLES</t>
  </si>
  <si>
    <t>Isgar; Charles; (Scottsdale, AZ)</t>
  </si>
  <si>
    <t>A47B 13/08 20130101;  A47B 2200/12 20130101</t>
  </si>
  <si>
    <t>A retractable self-sanitizing divider assembly is provided. The assembly     includes a planar structure having a first surface and a second surface.     The assembly also includes a housing having an interior volume with an     opening on one side. The housing may be coupled to the planar structure.     The assembly may include a divider moveable between a retracted position     located within the housing and an extended position with a portion of the     divider is extended through the opening of the housing. The assembly may     also include a sanitization system coupled to the housing wherein the     sanitization system automatically sanitizes the divider during movement     of the divider between the retracted position and the extended position.</t>
  </si>
  <si>
    <t>US20210345710</t>
  </si>
  <si>
    <t>Mask and method for producing a mask</t>
  </si>
  <si>
    <t>17/300034</t>
  </si>
  <si>
    <t>WITT MARC S</t>
  </si>
  <si>
    <t>WITT MARC</t>
  </si>
  <si>
    <t>Witt; Marc S.; (Emeryville, CA)</t>
  </si>
  <si>
    <t>A41D 2400/70 20130101;  A61L 2/23 20130101;  A41D 2400/10 20130101;  A41D 2500/00 20130101;  A41D 13/1192 20130101;  A61L 2/22 20130101</t>
  </si>
  <si>
    <t>A method for producing an improved mask or device for killing or     deactivating pathogens, such as viruses. A mask or device produced in     accordance with the method for producing. A method for killing, or making     inviable, viruses, such as airborne viruses.</t>
  </si>
  <si>
    <t>US20210345708</t>
  </si>
  <si>
    <t>ENVIRONMENTALLY NATURAL PROTECTIVE AND THERAPEUTIC (ENPT) FACE MASK</t>
  </si>
  <si>
    <t>16/870204</t>
  </si>
  <si>
    <t>VIROTHERA PHARMACEUTICALS LLC</t>
  </si>
  <si>
    <t>VIROTHERA PHARMACEUTICALS</t>
  </si>
  <si>
    <t>Mousa; Shaker A.; (Wynantskill, NY); ElFar; Ali Hafez Ali Mohammed; (Kafr El Dawar, EG)</t>
  </si>
  <si>
    <t>A41D 2400/32 20130101;  A41D 13/1192 20130101;  A41D 2400/36 20130101</t>
  </si>
  <si>
    <t>An environmentally natural protective and therapeutic (ENPT) mask and an     associated method of forming the ENPT mask. The ENPT mask includes: a     face mask; and one or more essential oils embedded in the face mask. The     one or more essential oils are configured to destroy microbes in direct     physical contact with the one or more essential oils. The method of     forming the ENPT mask includes embedding the one or more essential oils     in the face mask.</t>
  </si>
  <si>
    <t>US20210345704</t>
  </si>
  <si>
    <t>WEARABLE PROTECTIVE APPAREL CONTAINING A PROTECTIVE MASK AND METHODS</t>
  </si>
  <si>
    <t>17/314293</t>
  </si>
  <si>
    <t>FUTUREARMUR LLC</t>
  </si>
  <si>
    <t>FUTUREARMUR</t>
  </si>
  <si>
    <t>KAMINSKI, III; Bernard F.; (Glen Burnie, MD)</t>
  </si>
  <si>
    <t>A41D 13/1161 20130101;  A41D 13/1192 20130101;  A41D 1/00 20130101;  A41D 2200/00 20130101</t>
  </si>
  <si>
    <t>Wearable protective apparel including a shirt and an integral protective     mask attached to a collar of the shirt, with the mask being adapted to     filter out biologic agents or particulate matter from air that a user may     breathe in or out. The mask is attached to only a forward-oriented     portion of the collar that is less than half a perimeter of the collar.     The mask includes an attachment component that secures the mask in an     operating position and allows the mask to cover the nose and mouth area     of a user. The mask may be formed from multiple plies of breathable     washable fabric that allow for filtering biologic agents or particulate     matter. The wearable protective apparel provides the user with convenient     and easy access to a protective mask at a moment's notice and allows the     mask to be easily and comfortably hidden.</t>
  </si>
  <si>
    <t>US20210345701</t>
  </si>
  <si>
    <t>SURGICAL FACE MASK</t>
  </si>
  <si>
    <t>16/870660</t>
  </si>
  <si>
    <t>MAMATAS NIKOLAOS</t>
  </si>
  <si>
    <t>MAMATAS; Nikolaos; (Birmingham, MI)</t>
  </si>
  <si>
    <t>A41D 13/1161 20130101;  A41D 2400/70 20130101;  A41D 13/1184 20130101;  A41D 2300/322 20130101;  A41D 2500/52 20130101;  A41D 2300/324 20130101;  A41D 13/1107 20130101;  A41D 2300/33 20130101</t>
  </si>
  <si>
    <t>A mask includes a shield portion, wherein the shield portion is a     transparent material configured to protect a face of a user, wherein the     shield portion includes at least a top edge, a first hole, and a second     hole, and a band portion, wherein the band portion includes a first end     and a second end, wherein the band portion includes a plurality of male     tabs proximate to the first end and a plurality of female portions     configured to receive the male tabs to secure the band portion to a head     of the user, wherein the band portion further includes a front rib     portion extending away from a front surface of the band portion and in     contact with the shield portion, wherein the band portion includes a     first and second tab extending away from the front surface, wherein the     first tab and second tab are configured to enter the first hole and     second hole and secure the shield portion to the band portion.</t>
  </si>
  <si>
    <t>US20210345699</t>
  </si>
  <si>
    <t>MASK WITH ONE OR MORE SELF-SEALING PORTS AND SURGICAL KITS AND SYSTEMS     ASSOCIATED THEREWITH</t>
  </si>
  <si>
    <t>17/243335</t>
  </si>
  <si>
    <t>Bush; Michael; (Jacksonville Beach, FL); Lahey; Clint; (Neptune Beach, FL); Doherty; Craig M.; (Tomball, TX); Raines; Jennifer; (Jacksonville, FL); Geiger; Michael; (Jacksonville, FL); Iturriaga; Enrique A.; (Jacksonville, FL); Carpenter; Scott; (Jacksonville, FL)</t>
  </si>
  <si>
    <t>A41D 13/1146 20130101;  A61B 1/24 20130101;  A61B 1/233 20130101</t>
  </si>
  <si>
    <t>A patient mask including a body shaped to be placed over a face of a     patient and configured to prevent the passage of viruses and/or particles     therethrough and at least one port configured to receive an endoscope, a     surgical instrument, or both and to conform to the shape of the surgical     instrument such that the port prevents the passage of viruses and/or     particles therethrough.</t>
  </si>
  <si>
    <t>US20210345695</t>
  </si>
  <si>
    <t>17/242266</t>
  </si>
  <si>
    <t>F24F 8/22 20210101;  A61L 2/10 20130101;  A41D 13/11 20130101;  A62B 9/006 20130101;  A62B 23/02 20130101;  A41D 13/0002 20130101</t>
  </si>
  <si>
    <t>A smart mask includes a face covering, an attachment member, one or more     power source(s), an air circulation subsystem, an exhaust subsystem, and     a controller. The face covering is configured to cover a face area of a     wearer. The attachment member is configured to attach the face covering     onto the face area of the wearer. The air circulation subsystem is     powered by at least one of the one or more power source(s) and configured     to filter outside air and draw the filtered outside air into the face     area. The exhaust subsystem is placed below the air circulation subsystem     and configured to purge exhaled air out of the face area. The controller     is configured to control the air circulation subsystem.</t>
  </si>
  <si>
    <t>US20210343426</t>
  </si>
  <si>
    <t>Systems and Methods for a Mask with User Health Sensors</t>
  </si>
  <si>
    <t>17/306110</t>
  </si>
  <si>
    <t>ONTARIO MANUFACTURING AND DESIGN INC.</t>
  </si>
  <si>
    <t>ONTARIO MANUFACTURING AND DESIGN</t>
  </si>
  <si>
    <t>Struthers; Robert Andrew; (Bracebridge, CA)</t>
  </si>
  <si>
    <t>G16H 50/80 20180101;  A61B 5/0008 20130101;  G16H 50/20 20180101;  A61B 5/746 20130101;  A61B 5/7405 20130101;  A61B 5/6803 20130101;  A61B 5/7475 20130101;  A61B 5/0015 20130101;  A61B 5/742 20130101</t>
  </si>
  <si>
    <t>A computer-implemented method for using a sensor incorporated into a     mask, computer program product, and mask with a computer system for     obtaining, from a sensor, data associated with a biological attribute of     a user. The data may be processed to determine whether the data is within     a threshold range. An indication of whether the data is within the     threshold range may be provided.</t>
  </si>
  <si>
    <t>US20210343425</t>
  </si>
  <si>
    <t>DETECTING INFECTION USING PERSONALIZED CRITERIA</t>
  </si>
  <si>
    <t>16/996303</t>
  </si>
  <si>
    <t>A triage system that determines whether a user is likely to have     contracted a disease based on sensor data received from a user device     (e.g., a smartphone or activity tracker). Some symptoms are identified by     comparing sensor data to a predetermined baseline and comparing the     difference to a predetermined symptom threshold. Those comparisons are     weighted to form a composite metric, which is compared to a composite     threshold to determine if the user is likely to have contracted the     disease. Because different individuals are at higher risk of contracting     certain diseases, the determined based on specific characteristics of the     user (e.g., potential comorbidities, age, gender, ethnic, racial,     cultural, or economic status, geographic location, level of interaction     with other individuals, etc.) that that have been identified in medical     literature as increasing the individual's risk.</t>
  </si>
  <si>
    <t>US20210343378</t>
  </si>
  <si>
    <t>MEDICAL STATUS PERSONAL DEVICE</t>
  </si>
  <si>
    <t>17/306088</t>
  </si>
  <si>
    <t>AXION PARTNERS LLC</t>
  </si>
  <si>
    <t>AXION PARTNERS</t>
  </si>
  <si>
    <t>DOYLE; Jonathan; (Arlington, VA); JACKMAN; Damon; (Silver Spring, MD)</t>
  </si>
  <si>
    <t>G16H 40/63 20180101;  G16H 10/65 20180101;  G06F 1/1632 20130101;  G16H 10/40 20180101;  G06K 9/00013 20130101;  G06F 21/32 20130101;  G16H 15/00 20180101</t>
  </si>
  <si>
    <t>A personal medical status device attaches to a medical testing kit to     receive a test result and status for a medical condition of a user. The     personal medical status device authenticates the user to provide the     status of the condition using a fingerprint scanner as well as other     methods. A clock display provides time related information based on the     latest test result. The clock display can show the time from the previous     test or time until the next test. A test result display provides a visual     indicator of the status of the user without compromising privacy. A     proprietary dock allows connection to the medical testing kit while being     tamper-proof.</t>
  </si>
  <si>
    <t>US20210343371</t>
  </si>
  <si>
    <t>HIGH-THROUGHPUT INFECTIOUS DISEASE DIAGNOSIS PLATFORM</t>
  </si>
  <si>
    <t>17/245006</t>
  </si>
  <si>
    <t>INTELLECT GALORE, INC.</t>
  </si>
  <si>
    <t>INTELLECT GALORE</t>
  </si>
  <si>
    <t>Jo; Eung Joon; (West New York, NJ); Ko; Chung-Kon; (Seongnam-si, KR)</t>
  </si>
  <si>
    <t>G06N 3/123 20130101;  G16B 40/00 20190201;  G16H 10/40 20180101;  G16B 50/00 20190201;  G16B 30/00 20190201</t>
  </si>
  <si>
    <t>A sample (e.g. saliva and/or blood) may be takes from a test subject     (e.g. a human patient). The sample may be processes to extract a testable     substance. The testable substance may be processed by a mass spectrometer     in order to generate a mass spectrometry profile of the sample. If the     sample includes an infectious disease, then the infectious disease may be     reflected in the mass spectrometry profile. The mass spectrometry profile     may be compared to a database of mass spectrometry profiles from samples     of test subjects whom have already be diagnoses with a particular     infectious disease. If the mass spectrometry profile of the test subject     being diagnosed is substantially similar to one or more mass spectrometry     profiles in the predetermined database, then a diagnosis of an infection     disease may be made in an accurate, efficient, and time sensitive manner.</t>
  </si>
  <si>
    <t>US20210343005</t>
  </si>
  <si>
    <t>THERMAL CAMERA, AND METHOD THEREOF FOR EARLY DIAGNOSIS OF INFECTIOUS     DISEASES</t>
  </si>
  <si>
    <t>16/865124</t>
  </si>
  <si>
    <t>KUYBEDA; Oleg; (Portland, OR); IVANOV; Igor; (Haifa, IL)</t>
  </si>
  <si>
    <t>A61B 2560/0223 20130101;  G06T 7/80 20170101;  G06T 2207/10048 20130101;  G06T 7/0012 20130101;  A61B 5/0075 20130101;  G01J 5/0025 20130101;  G06T 5/20 20130101;  G06T 5/002 20130101;  A61B 5/015 20130101;  A61B 5/742 20130101;  G01J 2005/0077 20130101;  A61B 2560/0252 20130101;  G01J 2005/0048 20130101;  G06T 11/60 20130101;  A61B 5/7203 20130101;  G06T 2207/20182 20130101</t>
  </si>
  <si>
    <t>A radiometric camera and method for obtaining accurate radiometric     readings of objects in a scene captured by a radiometric camera. The     method comprises estimating a gamma drift coefficient based on an input     thermal image, wherein the thermal image is captured by an infrared     sensor; performing, based on the gamma drift coefficient and the input     thermal image, a sensor temperature stabilization to provide an     ambient-stabilized thermal image, wherein the ambient-stabilized thermal     image is invariant to temperature changes of the infrared sensor;     performing ambient calibration to estimate a scene temperature based on     the ambient-stabilized thermal image; and measuring, based on the     estimated scene temperature and a calibrated attenuation factor, a     temperature of each of at least one object shown in the input thermal     image, where the temperature of each of the at least one object is     measured independently of the ambient temperature of the radiometric     camera.</t>
  </si>
  <si>
    <t>US20210341480</t>
  </si>
  <si>
    <t>VIRAL TESTING IN SALIVA</t>
  </si>
  <si>
    <t>17/244333</t>
  </si>
  <si>
    <t>Lu; Shi-Long; (Englewood, CO); Harry; Brian L.; (Denver, CO); Zevallos; Jose P.; (St. Louis, MO); Blomquist; Robert E.; (Boulder, CO); Yao; Xin; (Boulder, CO); Qiu; Yue; (Englewood, CO); Tharakan; Marsha T.; (Denver, CO)</t>
  </si>
  <si>
    <t>C12Q 1/686 20130101;  G01N 33/6854 20130101;  C12Q 1/70 20130101;  G01N 33/56983 20130101;  G01N 2333/165 20130101</t>
  </si>
  <si>
    <t>Saliva-based testing for viruses including SARS-CoV-2 are provided.     Simple collection methods allow for at-home collection, reducing the risk     and burden on healthcare workers using conventional testing methods.     Tests can quantitatively analyze both viral nucleic acids to assess viral     load as well as virus-specific antibodies to track disease progression     and potential immunity.</t>
  </si>
  <si>
    <t>US20210341479</t>
  </si>
  <si>
    <t>QUANTITATIVE ANTIBODY TEST</t>
  </si>
  <si>
    <t>17/243502</t>
  </si>
  <si>
    <t>Ball; Andrew; (Billerica, MA); Chang; Lei; (Billerica, MA); Fernandes; Syrena; (Billerica, MA); Johnson; Joe; (Billerica, MA); Lambert; Jeremy; (Billerica, MA); Mattoon; Dawn; (Billerica, MA); Plavina; Tatiana; (Billerica, MA); Wilson; David; (Billerica, MA)</t>
  </si>
  <si>
    <t>G01N 2469/20 20130101;  G01N 33/56983 20130101;  G01N 2333/165 20130101</t>
  </si>
  <si>
    <t>The present disclosure relates to methods and compositions, e.g., kits,     for quantitatively detecting an antibody of a subject to an infectious     organism. In some embodiments, the present disclosure provides for     methods and compositions, e.g., kits, for quantitatively detecting a     human antibody to SARS-CoV-2 polypeptide or S (spike) polypeptide.     Certain applications and uses of the present methods and compositions,     e.g., kits, are also provided.</t>
  </si>
  <si>
    <t>US20210341478</t>
  </si>
  <si>
    <t>RECOMBINANT ANTIBODIES, KITS COMPRISING THE SAME, AND USES THEREOF</t>
  </si>
  <si>
    <t>17/241355</t>
  </si>
  <si>
    <t>ANTAIMMU BIOMED CO., LTD.</t>
  </si>
  <si>
    <t>ANTAIMMU BIOMED</t>
  </si>
  <si>
    <t>SHEN; San-Tai; (Miaoli County, TW); HO; Shih-Hu; (Hsinchu City, TW); CHEN; Ing-Chien; (Hsinchu City, TW)</t>
  </si>
  <si>
    <t>C07K 2317/565 20130101;  G01N 33/563 20130101;  G01N 33/56983 20130101;  G01N 2333/165 20130101;  C07K 16/10 20130101</t>
  </si>
  <si>
    <t>Disclosed herein is a recombinant antibody against the nucleocapsid     protein of severe acute respiratory syndrome coronavirus 2 (SARS-CoV-2).     A kit containing the recombinant antibody for use in coronavirus     detection is encompassed in the present disclosure. Also disclosed herein     are in vitro methods of detecting coronavirus infection in a subject with     the aid of the recombinant antibody.</t>
  </si>
  <si>
    <t>US20210341468</t>
  </si>
  <si>
    <t>FLUORESCENCE COUNTING SYSTEM FOR QUANTIFYING VIRUSES OR ANTIBODIES ON AN     IMMOBILIZED METAL SUBSTRATE BY USING AN ANTIGEN-ANTIBODY REACTION</t>
  </si>
  <si>
    <t>17/096678</t>
  </si>
  <si>
    <t>MYTECH CORPORATION</t>
  </si>
  <si>
    <t>MYTECH</t>
  </si>
  <si>
    <t>Hasegawa; Yuki; (Kobe, JP); Hasegawa; Katsuyuki; (Kobe, JP)</t>
  </si>
  <si>
    <t>G01N 33/553 20130101;  G01N 33/56983 20130101;  G01N 2333/165 20130101;  G01N 33/54306 20130101</t>
  </si>
  <si>
    <t>The present invention relates to a system capable of performing simple     and rapid inspection of an antigen equivalent to the immune     chromatographic method with accuracy good as a PCR method. An embodiment     relates to a novel fluorescence counting system for quantifying viruses     or antibodies in an analyte which comprises an unit of providing an     antigen or antibody phase solidified substrate by an aggregation method     with quantum crystals, an unit for making a labeling liquor and labeling     a virus or an antibody to be measured in the analyte by an     antigen-antibody method, an unit of exciting the fluorescently labeled     virus or antibody by a surface plasmon excitation method, and an unit of     counting fluorescent points in an excited fluorescent screen to quantify     the virus or antibody in the analyte.</t>
  </si>
  <si>
    <t>US20210341467</t>
  </si>
  <si>
    <t>PORTABLE DEVICES AND METHODS FOR DETECTING AND IDENTIFYING COMPOUNDS IN     SALIVA</t>
  </si>
  <si>
    <t>16/933525</t>
  </si>
  <si>
    <t>MORSE, BARNES-BROWN &amp; PENDLETON, P.C.</t>
  </si>
  <si>
    <t>MORSE BARNES</t>
  </si>
  <si>
    <t>Reddy; Raj; (Burlington, CA)</t>
  </si>
  <si>
    <t>C12M 41/48 20130101;  B01L 3/5029 20130101;  G01N 33/577 20130101;  C12M 23/54 20130101;  B01L 2300/0681 20130101;  G01N 33/5438 20130101;  G01N 33/54306 20130101</t>
  </si>
  <si>
    <t>This disclosure relates to portable devices for SARS-COV-2 Antigen     (SC2A), a biomarker for the detection of Coronavirus disease 2019     (COVID19). Diagnosis of viral infections such as SARS-COV-2 can be     obtained in the early stages of a disease by detection of viral antigens     (e.g., SC2A) directly in the clinical specimen.</t>
  </si>
  <si>
    <t>US20210341464</t>
  </si>
  <si>
    <t>COLORIMETRIC SENSOR FOR DETECTING BACTERIA AND/OR VIRUSES</t>
  </si>
  <si>
    <t>17/240497</t>
  </si>
  <si>
    <t>DG GROUP S P A</t>
  </si>
  <si>
    <t>DG P</t>
  </si>
  <si>
    <t>Radice; Dino; (Milan, IT)</t>
  </si>
  <si>
    <t>G01N 33/532 20130101;  G01N 33/56911 20130101;  G01N 33/521 20130101</t>
  </si>
  <si>
    <t>A colorimetric sensor for detecting bacteria and/or includes one or more     layers having a photonic crystal structure a functional layer comprising     a nanomaterial capable of generating bacteria- and/or     viruses-bioresponsive surface plasmon overlapping the one or more layers     having the photonic crystal structure. The bacteria- and/or     viruses-bioresponsive nanomaterial of the functional layer is doped with     proteinic substances or antibodies acting as virus receptors, or the     colorimetric sensor comprises a receptor layer comprising proteinic     substances or antibodies acting as virus receptors. The functional layer     and receptor layer overlap each other. Alternatively, or in addition to,     the colorimetric sensor comprises a plasmonic nanostructured layer     comprising nanostructures such to generate plasmonic colors, overlapping     the one or more layers having the photonic crystal structure.</t>
  </si>
  <si>
    <t>US20210341460</t>
  </si>
  <si>
    <t>COVID-19 TEST</t>
  </si>
  <si>
    <t>16/866271</t>
  </si>
  <si>
    <t>OMACHRON INTELLECTUAL PROPERTY INC.</t>
  </si>
  <si>
    <t>OMACHRON INTELLECTUAL PROPERTY</t>
  </si>
  <si>
    <t>Conrad; Wayne Ernest; (Hampton, CA)</t>
  </si>
  <si>
    <t>G01N 33/497 20130101;  G01N 15/14 20130101;  G01N 2033/4975 20130101</t>
  </si>
  <si>
    <t>A COVID-19 test method, a test apparatus and a system to control entry to     an event uses particle count and spectrographic data. The present     embodiments of the invention provide testing apparatuses, systems and     methods. These embodiments may provide for an apparatus, system and     method for non-invasive respiratory testing. Also, the embodiments may     provide for a system and method for determining test sufficiency for a     non-invasive respiratory testing apparatus. Also, the embodiments may     provide for a system and method for permitting access to a venue for a     subject.</t>
  </si>
  <si>
    <t>US20210340636</t>
  </si>
  <si>
    <t>Assays for the Detection of SARS-CoV-2</t>
  </si>
  <si>
    <t>17/374333</t>
  </si>
  <si>
    <t>DIASORIN ITALIA S.P.A.</t>
  </si>
  <si>
    <t>DIASORIN ITALIA</t>
  </si>
  <si>
    <t>Brambati; Chiara; (Saluggia (Vercelli), IT); Bocchetta; Simone; (Saluggia (Vercelli), IT); Minnucci; Giulia; (Saluggai (Vercelli), IT)</t>
  </si>
  <si>
    <t>C12Q 1/701 20130101;  C12Q 2600/156 20130101</t>
  </si>
  <si>
    <t>The present invention is directed to methods for assaying for the     presence of SARS-CoV-2 in a sample, including a clinical sample, and to     oligonucleotides, reagents, and kits useful in such assays. In     particular, the present invention is directed to such assays that are     rapid, accurate and specific for the detection of SARS-CoV-2.</t>
  </si>
  <si>
    <t>US20210340635</t>
  </si>
  <si>
    <t>MATERIALS AND METHODS FOR DETECTING CORONAVIRUS</t>
  </si>
  <si>
    <t>16/906312</t>
  </si>
  <si>
    <t>Daunert; Sylvia; (Miami, FL); Deo; Sapna K.; (Miami, FL); Zingg; Jean-Marc; (Miami, FL); Dikici; Emre; (Miami, FL); Yang; Yu-Ping; (Miami, FL)</t>
  </si>
  <si>
    <t>C12Q 2600/158 20130101;  C12Q 1/701 20130101</t>
  </si>
  <si>
    <t>The disclosure relates to test kits and methods for detecting the     presence of Coronavirus polynucleotides in a biological sample.</t>
  </si>
  <si>
    <t>US20210340622</t>
  </si>
  <si>
    <t>POLYNUCLEOTIDES FOR AMPLIFICATION AND DETECTION OF SARS-COV-2</t>
  </si>
  <si>
    <t>17/325390</t>
  </si>
  <si>
    <t>TALIS BIOMEDICAL CORPORATION</t>
  </si>
  <si>
    <t>TALIS BIOMEDICAL</t>
  </si>
  <si>
    <t>Andini; Nadya; (Livermore, CA); Chiu; Kathy; (Irvine, CA); Jiang; Xuewen; (Cupertino, CA); Maamar; Hedia; (El Dorado Hills, CA)</t>
  </si>
  <si>
    <t>C12Q 2531/119 20130101;  C12Q 2521/107 20130101;  C12Q 2521/101 20130101;  C12Q 1/6813 20130101;  C12Q 1/6876 20130101;  C12Q 1/6844 20130101</t>
  </si>
  <si>
    <t>Disclosed herein are primers and probes related to the detection of     SARS-CoV-2 via nucleic acid amplification testing (NAAT), for example to     amplify and determine the presence of SARS-CoV-2 in test samples and/or     to diagnose Covid-19. Specifically, the present disclosure describes     primers and probes that bind to the N gene, ORF1ab, or E gene of     SARS-CoV-2 coronavirus for detection via loop mediated isothermal     amplification (LAMP) and molecular beacon hybridization.</t>
  </si>
  <si>
    <t>US20210340545</t>
  </si>
  <si>
    <t>METHODS AND COMPOSITIONS FOR PREVENTION AND TREATMENT OF RESPIRATORY     INFECTIONS</t>
  </si>
  <si>
    <t>17/306515</t>
  </si>
  <si>
    <t>UPRNA, LLC</t>
  </si>
  <si>
    <t>UPRNA</t>
  </si>
  <si>
    <t>DEAMER; David; (Santa Cruz, CA)</t>
  </si>
  <si>
    <t>A61K 9/127 20130101;  A61K 47/12 20130101;  A61K 31/045 20130101;  A61K 31/683 20130101;  A61K 31/685 20130101;  A61K 31/09 20130101;  C12N 15/1131 20130101;  C12N 2310/14 20130101;  A61K 31/7105 20130101;  A61K 9/0073 20130101</t>
  </si>
  <si>
    <t>This technology relates in part to methods and compositions for treatment     or prevention of infections, including but not limited to respiratory     infections. The methods and compositions can include lung surfactants,     detergents, antivirals, siRNA, and nicotinamide adenine dinucleotide     (NAD) boosting agents.</t>
  </si>
  <si>
    <t>US20210340226</t>
  </si>
  <si>
    <t>HUMAN MEDICAL PROPHYLAXIS OF CORONAVIRIDAE PATHOGENIC INFECTION BY TOPICAL     APPLICATION OF IMMUNE CORONAVIRIDAE IMMUNOGLOBULIN A</t>
  </si>
  <si>
    <t>17/236213</t>
  </si>
  <si>
    <t>Olson, Robert Scott; Simon, Michael R.</t>
  </si>
  <si>
    <t>OLSON ROBERT</t>
  </si>
  <si>
    <t>Olson; Robert Scott; (Ann Arbor, MI); Simon; Michael R.; (Ann Arbor, MI)</t>
  </si>
  <si>
    <t>C07K 16/10 20130101;  A61P 31/14 20180101</t>
  </si>
  <si>
    <t>A method of inhibiting or treating infection by Coronaviridae virus of a     susceptible host is provided that includes the administration of immune     anti-Coronaviridae secretory IgA having a recombinant secretory component     to at least one of tissue of the susceptible host. The administration     being prior to, or after the susceptible host is exposed to the     Coronaviridae virus. A composition for such administration is also     provided.</t>
  </si>
  <si>
    <t>US20210340225</t>
  </si>
  <si>
    <t>SARS-COV-2 (SARS2, COVID-19) ANTIBODIES</t>
  </si>
  <si>
    <t>17/194076</t>
  </si>
  <si>
    <t>Harbour Antibodies BV; Universiteit Utrecht Holding BV</t>
  </si>
  <si>
    <t>HARBOUR ANTIBODIES BV; UNIVERSITEIT UTRECHT HOLDING</t>
  </si>
  <si>
    <t>Grosveld; Franklin Gerardus; (Rotterdam, NL); Drabek; Dubravka; (Rotterdam, NL); van Haperen; Rien; (Rotterdam, NL); Bosch; Berend Jan; (Utrecht, NL); Fedry; Juliette; (Utrecht, NL); Hurdiss; Daniel L.; (Utrecht, NL); Kuiken; Thijs; (Rotterdam, NL); Haagmans; Batholomeus Leonardus; (Rotterdam, NL); Rockx; Barry Hubertus Gerardus; (Rotterdam, NL)</t>
  </si>
  <si>
    <t>C07K 2317/565 20130101;  C07K 2317/76 20130101;  C07K 16/10 20130101;  A61P 31/14 20180101</t>
  </si>
  <si>
    <t>The invention relates to antibodies and antigen-binding fragments thereof     that recognize SARS-Cov-2 spike proteins (SARS2-S). In some embodiments,     the antibodies bind to SARS2-S with high affinity and/or inhibit     SARS-Cov-2 infection of human cells. In some embodiments, the antibodies     provide a means of preventing, treating or ameliorating SARS2 infection.     In some embodiments, the antibodies are used in diagnostic assays (e.g.     serodiagnostic assays for SARS2).</t>
  </si>
  <si>
    <t>US20210340189</t>
  </si>
  <si>
    <t>SARS-COV-2 N PROTEIN AND METHODS OF USE</t>
  </si>
  <si>
    <t>17/245599</t>
  </si>
  <si>
    <t>University Of Minnesota</t>
  </si>
  <si>
    <t>UNIVERSITY MINNESOTA</t>
  </si>
  <si>
    <t>Liang; Yuying; (Minneapolis, MN); Ly; Hinh; (Minneapolis, MN); Di; Da; (Minneapolis, MN)</t>
  </si>
  <si>
    <t>C07K 16/10 20130101;  A61K 38/00 20130101;  C07K 1/1136 20130101;  C07K 14/165 20130101;  G01N 33/6893 20130101;  G01N 2333/165 20130101</t>
  </si>
  <si>
    <t>Provided herein is a SARS-CoV-2 coronavirus nucleocapsid (N) protein,     where the N protein is substantially free of RNA. Also provided are     methods of using the N protein including methods for inducing anti-N     protein antibody in a subject, treating an infection, and detecting the     presence or absence of anti-N protein antibody.</t>
  </si>
  <si>
    <t>US20210339296</t>
  </si>
  <si>
    <t>HOUSEHOLD ELECTRIC SANITIZING DEVICE AND METHOD</t>
  </si>
  <si>
    <t>16/865104</t>
  </si>
  <si>
    <t>Hu, Yuhong; Mulgrew, Terrance</t>
  </si>
  <si>
    <t>YUHONG</t>
  </si>
  <si>
    <t>Hu; Yuhong; (Brea, CA); Mulgrew; Terrance; (Wexford, PA)</t>
  </si>
  <si>
    <t>B08B 7/04 20130101;  A23L 3/3445 20130101;  B08B 3/02 20130101;  A23L 3/28 20130101;  A23V 2002/00 20130101;  B08B 7/0057 20130101</t>
  </si>
  <si>
    <t>An electric sanitizing device and method for cleaning an item, the     electric sanitizing device comprising: a lid having an ultraviolet lamp     disposed above a transparent glass window, a spray nozzle, and a vent     housing an activated carbon filter; a body attached below the lid, the     body comprising a cleaning chamber having a contact tank, a dispersion     stone and a water inlet, a retention plate, a filter plate sitting atop     the retention plate, a basket sitting atop the filter plate, and a     control panel; and an electronics compartment disposed below the body,     the electronics compartment comprising an ozone generator having an air     pump, a rotating motor adapted to rotate the basket, a water pump adapted     to pump water to the spray nozzle, and a controller adapted to operate     the ozone generator, the UV lamp, the rotating motor and the water pump     according to a user's commands entered via the control panel.</t>
  </si>
  <si>
    <t>US20210339184</t>
  </si>
  <si>
    <t>Mobile Purification Device Having Heated Filter for Killing Biological     Species, Including COVID-19</t>
  </si>
  <si>
    <t>16/883981</t>
  </si>
  <si>
    <t>UNIVERSITY OF HOUSTON SYSTEM</t>
  </si>
  <si>
    <t>UNIVERSITY HOUSTON SYSTEM</t>
  </si>
  <si>
    <t>Hourani; Monzer A.; (Houston, TX); Ren; Zhifeng; (Houston, TX); Yu; Luo; (Houston, TX)</t>
  </si>
  <si>
    <t>F24F 2221/125 20130101;  F24F 2221/34 20130101;  A61L 2209/111 20130101;  F24F 8/10 20210101;  A61L 2209/14 20130101;  F24F 8/22 20210101;  A61L 2209/12 20130101;  B01D 2279/50 20130101;  B01D 46/448 20130101;  A61L 9/20 20130101;  B01D 46/4245 20130101;  B01D 2279/65 20130101;  B01D 46/444 20130101;  B01D 39/2027 20130101;  B01D 46/4263 20130101;  B01D 46/0028 20130101;  B01D 46/429 20130101</t>
  </si>
  <si>
    <t>An apparatus is used with supplied power for treating air in an     environment. A housing is mobile in the environment and has an intake and     an exhaust. At least one prime mover disposed in the housing between the     intake and the exhaust is operable to move the air in the environment     through the housing from the intake to the exhaust. At least one     ultraviolet light source disposed in the housing is connected in     electrical communication with the supplied power and is configured to     generate ultraviolet radiation in at least one a portion of the housing     through which the moved air passes from the intake to the exhaust. At     least one permeable barrier disposed in the housing is configured to     impede the moved air flow therethrough up to an impedance threshold. The     at least one permeable barrier is connected in electrical communication     to the supplied power and being heated to a surface temperature.</t>
  </si>
  <si>
    <t>US20210339183</t>
  </si>
  <si>
    <t>Purification Device Having Heated Filter for Killing Biological Species,     Including COVID-19</t>
  </si>
  <si>
    <t>16/883977</t>
  </si>
  <si>
    <t>F24F 8/10 20210101;  F24F 2221/34 20130101;  F24F 8/22 20210101;  A61L 2209/15 20130101;  B01D 2279/50 20130101;  B01D 46/448 20130101;  A61L 2209/11 20130101;  B60H 3/0608 20130101;  B01D 46/4245 20130101;  B01D 2279/65 20130101;  A61L 9/20 20130101;  B01D 46/444 20130101;  B01D 39/2027 20130101;  B01D 46/4263 20130101;  B01D 46/0028 20130101;  B01D 46/429 20130101</t>
  </si>
  <si>
    <t>An apparatus is used with supplied power for treating air flow of an air     handing system of a facility. A frame has a plenum with an inlet and an     outlet. The frame is configured to position in the air flow of the air     handing system for passage of the air flow therethrough. A filter is     disposed in the plenum and is configured to filter the air flow     therethrough up to a filtration threshold. An ultraviolet light source     disposed in the plenum is connected in electrical communication with the     supplied power and is configured to generate ultraviolet radiation in the     plenum. A permeable metal barrier disposed in the plenum is configured to     impede the air flow therethrough up to an impedance threshold. The     barrier is connected in electrical communication to the supplied power     and is heated to a surface temperature.</t>
  </si>
  <si>
    <t>US20210339062</t>
  </si>
  <si>
    <t>FACE MASK WITH SMART FEATURES AND FUNCTIONS</t>
  </si>
  <si>
    <t>17/246180</t>
  </si>
  <si>
    <t>Vasudeva, Kailash C.; Singh, Satnam</t>
  </si>
  <si>
    <t>VASUDEVA KAILASH</t>
  </si>
  <si>
    <t>Vasudeva; Kailash C.; (Waterloo, CA); Singh; Satnam; (Kitchener, CA)</t>
  </si>
  <si>
    <t>A62B 18/006 20130101;  A62B 18/084 20130101;  A62B 23/02 20130101</t>
  </si>
  <si>
    <t>Masks for being worn by a person are described herein. The masks include     a shell configured to cover a nose and a mouth of the person, at least a     portion of the shell having sufficient transparency to provide for visual     observation of the mouth of the person when the person is wearing the     mask. The shell includes an inhale port configured to provide for air to     pass from an environment into a cavity defined by the shell when the     person wearing the mask inhales and an exhale port configured to provide     for air to pass from the cavity to the environment when the person     wearing the mask exhales. The masks also include a retaining element     coupled to the shell for retaining the mask on the person.</t>
  </si>
  <si>
    <t>US20210339061</t>
  </si>
  <si>
    <t>AIR MASK</t>
  </si>
  <si>
    <t>17/230893</t>
  </si>
  <si>
    <t>E2E, MFG. LLC</t>
  </si>
  <si>
    <t>E2E MFG</t>
  </si>
  <si>
    <t>FAJARDO; Iggoni; (Fremont, CA)</t>
  </si>
  <si>
    <t>A62B 7/10 20130101;  A62B 9/00 20130101;  A62B 18/08 20130101;  A62B 18/045 20130101;  A62B 18/084 20130101;  A41D 13/11 20130101;  A61L 9/20 20130101</t>
  </si>
  <si>
    <t>An air mask is applied for a user to wear and includes a wearable main     body, an airflow generator and a face shield. The wearable main body has     a front part and a rear part and includes an airflow channel, an air     inputting port disposed on the rear part, and an air outputting port     disposed on the front part. The airflow generator is coupled to the air     inputting port and configured for generating and guiding airflow to the     airflow channel. The face shield is coupled to the front part of the     wearable main body and has an air chamber communicated with the air     outputting port. When the user wears the air mask, the air inputting port     is located on rear head of the user, the air outputting port is located     on forehead of the user, and the airflow flows downward from the forehead     of the user to the air chamber.</t>
  </si>
  <si>
    <t>US20210339058</t>
  </si>
  <si>
    <t>Smart Mask with a Transparent Mouth-Covering Portion and Impellor-Driven     Air Filtration</t>
  </si>
  <si>
    <t>17/175675</t>
  </si>
  <si>
    <t>A62B 7/10 20130101;  A62B 9/00 20130101;  A62B 18/025 20130101;  A62B 18/006 20130101;  A62B 23/02 20130101;  A62B 18/08 20130101</t>
  </si>
  <si>
    <t>This invention is a smart face mask with a transparent portion which     covers a person's mouth, at least one impellor-driven air filter, and at     least one passive air filter, wherein the air filters are in fluid     communication with the space between the transparent portion and the     person's mouth. Air can be drawn into the mask through the     impellor-driven air filter primarily by the impellor, but air flows into     or out of the mask through the passive air filter due to the person's     respiration.</t>
  </si>
  <si>
    <t>US20210338973</t>
  </si>
  <si>
    <t>DEVICE, SYSTEM, AND METHOD FOR REDUCING CORONASOMNIA TO ENHANCE IMMUNITY     AND IMMUNE RESPONSE</t>
  </si>
  <si>
    <t>17/375599</t>
  </si>
  <si>
    <t>Neuroenhancement Lab, Llc dba NeuroLight</t>
  </si>
  <si>
    <t>NEUROENHANCEMENT NEUROLIGHT</t>
  </si>
  <si>
    <t>Poltorak; Alexander; (Monsey, NY)</t>
  </si>
  <si>
    <t>A61M 2021/0044 20130101;  A61M 21/02 20130101;  A61M 2230/63 20130101;  A61M 2205/502 20130101;  A61M 2230/06 20130101;  A61M 2230/10 20130101;  A61M 2021/0033 20130101;  A61M 2230/50 20130101</t>
  </si>
  <si>
    <t>A device, system, and method for facilitating a sleep cycle in a subject     during a pandemic or peri COVID vaccination period, comprising     determining a current awake or sleep stage of a person; automatically     defining a desired sleep cycle pattern, dependent on the current awake or     sleep stage of the person; generating an audio or optical stimulation     pattern by an automated processor; and entraining brainwaves of the brain     of the person with the stimulation pattern corresponding to the desired     sleep cycle pattern, to thereby induce a sleep cycle in the person     according to the sleep cycle pattern. When sleep patterns are normalized,     a SARS-Cov-2 vaccination may be administered to the person.</t>
  </si>
  <si>
    <t>US20210338964</t>
  </si>
  <si>
    <t>MODULAR PULMONARY TREATMENT SYSTEM</t>
  </si>
  <si>
    <t>17/307579</t>
  </si>
  <si>
    <t>AEON RESEARCH AND TECHNOLOGY, INC.</t>
  </si>
  <si>
    <t>AEON RESEARCH AND</t>
  </si>
  <si>
    <t>Dhuper; Sunil Kumar; (Old Westbury, NY)</t>
  </si>
  <si>
    <t>A61M 16/105 20130101;  A62B 18/02 20130101;  A61M 16/0816 20130101;  A62B 18/084 20130101;  A62B 23/02 20130101;  A61M 2205/126 20130101;  A61M 16/0683 20130101</t>
  </si>
  <si>
    <t>A protective headgear includes a main body (e.g., face mask) that is worn     over the face. The main body has an inhalation port that is for fluid     coupling to an inhalation gas source and at least one exhalation port.     The headgear includes an HME unit that has an inhalation leg that is in     fluid communication with the inhalation port and a top leg that is in     fluid communication with the inhalation leg and the at least one     exhalation port. The top leg has an open window formed therein. The HME     unit further includes an HME membrane that is disposed within the top leg     adjacent the open window such that the HME membrane completely covers the     open window.</t>
  </si>
  <si>
    <t>US20210338963</t>
  </si>
  <si>
    <t>MEDICAL DEVICE RESPIRATOR</t>
  </si>
  <si>
    <t>17/306720</t>
  </si>
  <si>
    <t>ATOR LABS, INC.</t>
  </si>
  <si>
    <t>ATOR LABS</t>
  </si>
  <si>
    <t>Moran; Robert Nickell; (Panama City Beach, FL); Whittle; Christopher; (Panama City Beach, FL); Hernandez; Francisco; (Panama City Beach, FL)</t>
  </si>
  <si>
    <t>A61M 16/0816 20130101;  A61M 16/1005 20140204;  A61M 16/06 20130101;  A61M 16/208 20130101;  A61M 16/1065 20140204</t>
  </si>
  <si>
    <t>A medical device respirator comprising a valve assembly attached to a     mask at a mask juncture; an inhale tube attached to the valve assembly     and attached to an inhale filter; an exhale tube attached to the valve     assembly; an inhale check valve disposed at an attachment juncture     between the inhale tube and the valve assembly; an exhale check valve     disposed at an attachment juncture between the valve assembly and the     exhale tube; wherein inhaled air passes through the inhale filter, the     inhale tube, the inhale check valve, the valve assembly, the mask     juncture, the mask and into the user; and exhaled air passes through the     mask, the mask juncture, the valve assembly, the exhale check valve, and     the exhale tube.</t>
  </si>
  <si>
    <t>US20210338959</t>
  </si>
  <si>
    <t>CPAP MASK WITH SIDE PORTS FOR PROVIDING CONTINUOUS POSITIVELY PRESSURIZED     AIR TO A PATIENT WITH RESPIRATORY DISTRESS AND OTHER RESPIRATORY MEDICAL     CONDITIONS</t>
  </si>
  <si>
    <t>17/133668</t>
  </si>
  <si>
    <t>STERLITE TECHNOLOGIES LIMITED</t>
  </si>
  <si>
    <t>STERLITE</t>
  </si>
  <si>
    <t>Asthana; Sonal; (Haryana, IN); Agarwal; Ankit; (Haryana, IN); S.P; Shantha Kumar; (Haryana, IN)</t>
  </si>
  <si>
    <t>A61M 16/105 20130101;  A61M 16/0622 20140204;  A61M 2205/3337 20130101</t>
  </si>
  <si>
    <t>The present disclosure provides a CPAP mask with side ports for providing     continuous positively pressurized air to a patient. The CPAP mask     includes a mask body, a plurality of strap holders, and a cushion seal.     The mask body includes a left side wall, a left port, a front face, a     right side wall, and a right port. In addition, the left side wall has a     first through-hole. Further, the left port is on the left side wall.     Furthermore, the front face of the CPAP mask is a transparent member.     Moreover, the right side wall has a second through-hole. Also, the right     port is on the right side wall. Also, the plurality of strap holders is     on the left side wall and the right side wall.</t>
  </si>
  <si>
    <t>US20210338953</t>
  </si>
  <si>
    <t>System and Method For Ventilating a Person</t>
  </si>
  <si>
    <t>17/306892</t>
  </si>
  <si>
    <t>BREATHDIRECT, INC.</t>
  </si>
  <si>
    <t>BREATHDIRECT</t>
  </si>
  <si>
    <t>Marten; Adam; (Long Beach, CA); Saravis; Darren; (Long Beach, CA)</t>
  </si>
  <si>
    <t>A61M 2016/003 20130101;  A61M 16/0072 20130101;  A61M 2016/0027 20130101;  A61M 16/024 20170801;  A61M 16/208 20130101;  A61M 2202/0208 20130101</t>
  </si>
  <si>
    <t>A ventilator is provided that dynamical adjusts the pressure, flow, and     volume of the delivered gas to a patient as the condition of the patient     changes. The ventilator adjusts the flow and mixing of gases through flow     control valves. The ventilator includes at least two banks of valves,     each bank having a plurality of valves, where each valve in the bank has     a specific orifice size that is different from at least one other valve     in the respective bank of valves. In one example, the ventilator further     includes an exhalation valve assembly having an exhalation valve housing     and exhalation valve base coupled together to retain a flexible     exhalation tube. The exhalation valve assembly including at least two     pistons extending at least partially through the exhalation valve     assembly to contact the exhalation tube and, when actuated, impart     pressure on the walls of flexible exhalation tube to restrict or     completely close the flow of air through the flexible exhalation tube.</t>
  </si>
  <si>
    <t>US20210338952</t>
  </si>
  <si>
    <t>TWO PNEUMATIC CYLINDER MEDICAL VENTILATOR, SYSTEM AND METHOD</t>
  </si>
  <si>
    <t>17/246741</t>
  </si>
  <si>
    <t>GROMAN INC</t>
  </si>
  <si>
    <t>GROMAN</t>
  </si>
  <si>
    <t>Groman; Boaz Barry; (Boca Raton, FL)</t>
  </si>
  <si>
    <t>A61M 16/0072 20130101;  A61M 16/201 20140204;  A61M 16/208 20130101</t>
  </si>
  <si>
    <t>A medical ventilator comprising two pistons moving in unison with one     another within respective two (a "first" and a "second") cylinders.     During an exhale phase of a breathing cycle, the first cylinder receives     pressurized air which causes both pistons to move (upward). In the second     cylinder, this creates a negative pressure to extract exhaled air from a     patient's lungs. During an inhale phase of the breathing cycle, a weight     acting on a link between the two pistons causes both pistons to move in     an opposite (downward) direction, whereupon (i) the first piston delivers     the pressurized air to the patient and (ii) the second piston vents the     exhaled air. The second cylinder may have a larger bore or a larger     stroke than the first cylinder, or may comprise multiple (a bank of)     smaller cylinders.</t>
  </si>
  <si>
    <t>US20210338807</t>
  </si>
  <si>
    <t>COVID19 VACCINES AND RELATED METHODS</t>
  </si>
  <si>
    <t>17/338546</t>
  </si>
  <si>
    <t>HUMANE GENOMICS INC.</t>
  </si>
  <si>
    <t>HUMANE GENOMICS</t>
  </si>
  <si>
    <t>Moles; Chad M.; (New York, NY)</t>
  </si>
  <si>
    <t>C12N 2760/20234 20130101;  C12N 7/00 20130101;  A61K 39/215 20130101;  A61K 2039/54 20130101;  C12N 2770/20034 20130101;  A61K 2039/5256 20130101</t>
  </si>
  <si>
    <t>The disclosure provides viral vaccine compositions for use in treating     COVID-19 in a subject to whom the compositions are administered, as well     as to methods of making and using the compositions.</t>
  </si>
  <si>
    <t>US20210338806</t>
  </si>
  <si>
    <t>METHODS OF GENERATING VACCINES AGAINST NOVEL CORONAVIRUS, NAMED SARS-COV-2     COMPRISING VARIABLE EPITOPE LIBRARIES (VELs) AS IMMUNOGENS</t>
  </si>
  <si>
    <t>17/245355</t>
  </si>
  <si>
    <t>VEL PARTNERS HOLDINGS LLC</t>
  </si>
  <si>
    <t>VEL PARTNERS</t>
  </si>
  <si>
    <t>Manucharyan; Karen; (Jardines En La Montana, MX)</t>
  </si>
  <si>
    <t>C12N 15/1037 20130101;  A61K 2039/545 20130101;  A61K 39/215 20130101;  A61P 31/14 20180101</t>
  </si>
  <si>
    <t>Described herein is the application of Variable Epitope Libraries (VELs)     as immunogens for the generation of vaccines against a novel coronavirus,     named SARS-CoV-2. The VELs bearing combinatorial epitope libraries target     antigenic variability of viruses such as SARS-CoV-2, and cancer, thus     representing a true alternative to traditional vaccine platforms.</t>
  </si>
  <si>
    <t>US20210338805</t>
  </si>
  <si>
    <t>DYSREGULATION OF TRAUMA REGULATION PATHWAY TREATMENT AND MONITORING     TECHNIQUES</t>
  </si>
  <si>
    <t>17/244642</t>
  </si>
  <si>
    <t>General Electric Company</t>
  </si>
  <si>
    <t>GENERAL ELECTRIC</t>
  </si>
  <si>
    <t>Puleo; Christopher Michael; (Niskayuna, NY); Cotero; Victoria Eugenia; (Troy, NY); Nelson; John Richard; (Clifton Park, NY)</t>
  </si>
  <si>
    <t>A61K 2039/53 20130101;  C12N 13/00 20130101;  A61K 39/215 20130101;  C07K 14/5412 20130101;  C12N 15/86 20130101</t>
  </si>
  <si>
    <t>The subject matter of the present disclosure generally relates to     techniques for addressing or correcting dysregulation of the trauma     regulation pathway. The dysregulation may be associated with a     physiological condition, such as a SARS-CoV-2 viral infection. In an     embodiment, the techniques include treating dysregulation based on a     renin-angiotensin pathway molecule or cell and/or a splenic pathway     molecule or cell using targeted neuromodulation. In an embodiment,     neuromodulation is used to regulate the immune system, e.g., as an     energy-based adjuvant for a vaccine.</t>
  </si>
  <si>
    <t>US20210338804</t>
  </si>
  <si>
    <t>Vaccine Compositions For Preventing Coronavirus Disease</t>
  </si>
  <si>
    <t>17/180147</t>
  </si>
  <si>
    <t>INTERNATIONAL AIDS VACCINE INITIATIVE</t>
  </si>
  <si>
    <t>Parks; Christopher Lee; (Boonton, NJ); Yuan; Maoli; (Brooklyn, NY); Feinberg; Mark; (New York, NY); Espeseth; Amy; (Chalfont, PA); Bett; Andrew J.; (West Point, PA)</t>
  </si>
  <si>
    <t>C12N 2760/20234 20130101;  C12N 7/00 20130101;  A61K 2039/542 20130101;  C12N 2760/20243 20130101;  C12N 15/86 20130101;  A61K 39/215 20130101;  C07K 14/165 20130101;  C07K 14/145 20130101</t>
  </si>
  <si>
    <t>The present disclosure provides Severe Acute Respiratory Syndrome     coronavirus 2 (SARS-CoV-2) vaccines, recombinant vesicular stomatitis     virus (VSV) vectors encoding the SARS-CoV-2 spike (S) protein or an     immunogenic variant thereof, recombinant replicable VSV particles having     a SARS-CoV-2 S protein or an immunogenic variant thereof on the surface     of the particles, and immunogenic recombinant proteins comprising a     SARS-CoV-2 S protein or a variant thereof. Immunogenic compositions     comprising the SARS-CoV-2 vaccines, the recombinant VSV vectors, the     recombinant replicable VSV particles and/or the immunogenic recombinant     proteins may be used for inducing an immune response to the SARS-CoV-2,     preventing infection by the SARS-CoV-2, vaccinating against the     SARS-CoV-2 and/or producing adaptive mutants of the recombinant     replicable VSV particles.</t>
  </si>
  <si>
    <t>US20210338803</t>
  </si>
  <si>
    <t>DUAL-MOLECULAR DNA VACCINE COMPOSED OF A VIRAL ANTIGEN AND AN IMMUNE     COSTIMULATOR</t>
  </si>
  <si>
    <t>16/874431</t>
  </si>
  <si>
    <t>SICHUAN CHENGYU BIOLOGICAL PRODUCTS INC.</t>
  </si>
  <si>
    <t>SICHUAN CHENGYU BIOLOGICAL PRODUCTS</t>
  </si>
  <si>
    <t>YU; Li; (Gaithersburg, MD); ZENG; Zhen; (Chengdu, CN); ZENG; Lian; (Chengdu, CN); ZHANG; Mei; (Chengdu, CN)</t>
  </si>
  <si>
    <t>A61K 2039/53 20130101;  A61K 2039/55516 20130101;  A61K 39/215 20130101;  C12N 2770/20034 20130101;  A61K 39/39 20130101</t>
  </si>
  <si>
    <t>The present invention discloses a dual-molecular DNA vaccine composed of     viral antigen and immunization coactivator, which relates to the     technical field of biomedicine. The said vector is a DNA plasmid; the     viral antigen is any viral immunogenic (antigen) molecule; the     immunological activator is a kind of T cell costimulators. The vaccine     disclosed in the present invention is that two gene fragments expressing     the T cell costimulator and the viral antigen molecule are constructed     into one plasmid DNA and will be co-expressed in a cell at the same time     to activate the systemic immune response through the two signalings. The     dual-molecular DNA vaccine also is a novel platform of vaccine     technology, using for development of multiple vaccines to prevention from     various infectious diseases. Especially, a dual-molecular DNA vaccine     with the SARS-CoV-2 S antigen and T cell costimulator can be constructed     through this technology platform to prevent and control global pandemic     COVID-19.</t>
  </si>
  <si>
    <t>US20210338787</t>
  </si>
  <si>
    <t>METHODS FOR TREATING CORONAVIRUS INFECTION</t>
  </si>
  <si>
    <t>17/302247</t>
  </si>
  <si>
    <t>Childrens Hospital Medical Center</t>
  </si>
  <si>
    <t>CHILDRENS HOSPITAL MEDICAL CENTER</t>
  </si>
  <si>
    <t>Rothenberg; Marc E.; (Cincinnati, OH); Azouz; Nurit P.; (Cincinnati, OH)</t>
  </si>
  <si>
    <t>A61P 31/14 20180101;  A61K 38/57 20130101;  A61K 31/245 20130101;  G01N 33/573 20130101;  G01N 33/502 20130101</t>
  </si>
  <si>
    <t>The present invention relates to methods for treating or preventing a     coronavirus infection with serine protease inhibitors targeted against     the host protease, transmembrane serine protease 2 (TMPRSS2), and related     compositions and methods.</t>
  </si>
  <si>
    <t>US20210338765</t>
  </si>
  <si>
    <t>METHODS AND COMPOUNDS FOR PREVENTING AND ARRESTING COVID-19 MORBIDITY AND     MORTALITY, VIA INHIBITION OF INTERLEUKIN-6, TNF-ALPHA, AND OTHER     CYTOKINES, AND VIA REDUCTION OF C-REACTIVE PROTEINS</t>
  </si>
  <si>
    <t>17/306937</t>
  </si>
  <si>
    <t>BIOVED PHARMACEUTICALS INC</t>
  </si>
  <si>
    <t>BIOVED PHARMACEUTICALS</t>
  </si>
  <si>
    <t>CHITRE; DEEPA; (LOS GATOS, CA); DEY; DEBENDRANATH; (FREMONT, CA); NADKARNI; SATEJ R.; (San Jose, CA)</t>
  </si>
  <si>
    <t>A61K 45/06 20130101;  A61K 31/315 20130101;  A61K 36/268 20130101;  A61K 31/25 20130101;  A61K 31/375 20130101;  A61K 36/9066 20130101;  A61K 36/324 20130101;  A61K 31/197 20130101</t>
  </si>
  <si>
    <t>Methods and compounds for preventing and arresting COVID-19 morbidity and     mortality, via inhibition of Interleukin-6, TNF-alpha, and other     cytokines, and via reduction of C-reactive proteins are provided.     Analyses of patients with COVID-19 complicated by ARDS, for example, show     highly activated cytotoxic T-cells, resulting from hyperactivation of the     immune system. A significant surge of Interleukin-6 (IL-6), TNF-.alpha.,     and other cytokines are thought to be mediators of this enhanced T-cell     activity, and runaway inflammation that are dangerous or fatal to the     patient. Example oral formulations dubbed BV-4051 and Artovid-20 provide     prophylaxis and treatment of these conditions caused by COVID-19 disease.     The example formulations contain plant extracts boosting the human immune     system and targeting the detrimental effects of the SARS-CoV-2 virus in     its various strains.</t>
  </si>
  <si>
    <t>US20210338763</t>
  </si>
  <si>
    <t>Nutraceuticals for the Prevention, Inhibition, and Treatment of SARS-Cov-2     and Associated COVID-19</t>
  </si>
  <si>
    <t>16/866430</t>
  </si>
  <si>
    <t>Ichim; Thomas E.; (Oceanside, CA); Dixon; Timothy G.; (Oceanside, CA)</t>
  </si>
  <si>
    <t>A61K 36/45 20130101;  A61K 31/26 20130101;  A61K 36/82 20130101;  A61K 36/71 20130101;  A61K 36/31 20130101;  A61K 31/122 20130101;  A61K 31/353 20130101;  A61K 31/09 20130101</t>
  </si>
  <si>
    <t>Disclosed herein are methods of treating or preventing complications     associated with a SARS-CoV-2 infection, comprising: administration of a     combination comprising: a) Green Tea and/or extract thereof; b) Blueberry     and/or extract thereof; c) Nigella sativa and/or extract thereof; and d)     broccoli and/or extract thereof in an amount and frequency sufficient to     treat or prevent complications associated with said SARS-CoV-2 infection.</t>
  </si>
  <si>
    <t>US20210338715</t>
  </si>
  <si>
    <t>PHARMACEUTICAL COMPOSITION FOR THE TREATMENT OF COVID-19</t>
  </si>
  <si>
    <t>16/927613</t>
  </si>
  <si>
    <t>RADINOR, LLC</t>
  </si>
  <si>
    <t>RADINOR</t>
  </si>
  <si>
    <t>Kalcker; Andreas Ludwig; (Sennwald, CH)</t>
  </si>
  <si>
    <t>A61L 2101/06 20200801;  A01N 59/00 20130101;  A61K 47/26 20130101;  A61K 47/20 20130101;  A61L 2209/21 20130101;  A61K 9/08 20130101;  A61K 9/0019 20130101;  A61L 9/14 20130101;  A61K 33/20 20130101;  A61K 9/0053 20130101;  A61L 2202/25 20130101;  A61L 2/18 20130101;  A61L 2/0088 20130101</t>
  </si>
  <si>
    <t>The invention relates to a pharmaceutical composition based on a chlorine     dioxide solution, for use as a therapeutic agent in the topical, oral,     and/or parenteral treatment of viral infections of the human or animal     body, caused by SARS-CoV-2 coronaviruses.</t>
  </si>
  <si>
    <t>US20210338713</t>
  </si>
  <si>
    <t>Reduction of Pulmonary Inflammation Using Therapeutic Gas Mixtures</t>
  </si>
  <si>
    <t>17/306719</t>
  </si>
  <si>
    <t>BRAIN CANCER RESEARCH INSTITUTE</t>
  </si>
  <si>
    <t>Ichim; Thomas; (San Diego, CA); Lin; Feng; (San Diego, CA); Pingle; Sandeep; (San Diego, CA); Ashili; Shashanka; (Rosemount, MN)</t>
  </si>
  <si>
    <t>A61K 9/0004 20130101;  A61K 33/00 20130101</t>
  </si>
  <si>
    <t>Disclosed are compositions of matter, protocols, and combination     therapies useful for reduction of pulmonary inflammation associated with     conditions such as acute respiratory distress syndrome (ARDS), ventilator     induced inflammation, and infectious disease induced inflammation. In one     embodiment the invention provides therapeutic gases which induce     anti-apoptotic, anti-inflammatory, and immune modulatory properties in     the pulmonary environment of a patient in need of therapy.</t>
  </si>
  <si>
    <t>US20210338711</t>
  </si>
  <si>
    <t>AQUEOUS ANTI MICROBIAL COMPOSITION USEFUL AS A THERAPEUTIC MATERIAL</t>
  </si>
  <si>
    <t>17/246887</t>
  </si>
  <si>
    <t>Carlson; Lawrence; (Oxford, MI); Atala; Anthony; (Winston Salem, NC); Scalera; Patrick A.; (Canton, MI); Yaksic; Andrew M.; (Brighton, MI)</t>
  </si>
  <si>
    <t>A61K 33/00 20130101;  A61K 47/12 20130101;  A61K 9/0078 20130101;  A61K 47/02 20130101;  A61P 31/14 20180101</t>
  </si>
  <si>
    <t>A therapeutic material active against SARS-COV 2 and other microbial     pathogens and method of administering the same.</t>
  </si>
  <si>
    <t>US20210338708</t>
  </si>
  <si>
    <t>METHOD FOR TREATMENT OF CORONAVIRUS INFECTION</t>
  </si>
  <si>
    <t>17/205521</t>
  </si>
  <si>
    <t>RENIBUS THERAPEUTICS, INC.</t>
  </si>
  <si>
    <t>RENIBUS THERAPEUTICS</t>
  </si>
  <si>
    <t>KEYSER; Donald Jeffrey; (Southlake, TX); GUILLEM; Alvaro F.; (Lantana, TX); SINGH; Bhupinder; (Phoenix, AZ); ZAGER; Richard A.; (Seattle, WA); RUIZ; Stacey; (Lantana, TX)</t>
  </si>
  <si>
    <t>A01N 55/02 20130101;  A61K 33/24 20130101;  A01N 25/34 20130101;  A61L 2209/14 20130101;  A61K 47/546 20170801;  A61K 33/30 20130101;  A61L 9/012 20130101;  A61P 31/14 20180101;  A61K 9/0043 20130101;  A01N 55/04 20130101;  A61K 31/714 20130101;  A61L 2101/44 20200801</t>
  </si>
  <si>
    <t>The present invention involves a novel method for treatment of     coronavirus infection, including SARS-COV-2. The method comprises     administering stannous protoporphyrin and/or cyanocobalamin to a human     patient at risk for developing complications from coronavirus infection.     The method is particularly useful where a patient has been diagnosed with     coronavirus infection or has been exposed to coronavirus but has not     developed symptoms of coronavirus infection.</t>
  </si>
  <si>
    <t>US20210338698</t>
  </si>
  <si>
    <t>USE OF IMINOSUGARS AS PROPHYLACTIC AND THERAPY AGAINST COVID-19 /     SARS-CoV-2</t>
  </si>
  <si>
    <t>17/241894</t>
  </si>
  <si>
    <t>THE PENNSYLVANIA STATE UNIVERSITY</t>
  </si>
  <si>
    <t>PENN STATE</t>
  </si>
  <si>
    <t>Kuchipudi; Suresh; (State College, PA)</t>
  </si>
  <si>
    <t>A61K 31/702 20130101;  A61P 31/14 20180101;  A61K 31/437 20130101;  A61K 31/445 20130101;  A61K 31/706 20130101</t>
  </si>
  <si>
    <t>Provided are methods for prophylaxis or treatment of SARS-CoV-2 by     administering a composition comprising one or more iminosugars to an     individual in need thereof. The compositions may be administered to an     individual who is at risk of becoming infected by SARS-CoV-2, or has been     diagnosed with a SARS-CoV-2 infection. The iminosugars can inhibit     SARS-CoV-2 cell entry and replication. The iminosugars potentiate     co-administered antiviral agents, such as nucleoside analogs.</t>
  </si>
  <si>
    <t>US20210338690</t>
  </si>
  <si>
    <t>COMPOUNDS AND METHODS FOR PREVENTION AND TREATMENT OF CORONAVIRUS     INFECTIONS</t>
  </si>
  <si>
    <t>17/245828</t>
  </si>
  <si>
    <t>ARJIL BIOTECH HOLDING COMPANY LIMITED</t>
  </si>
  <si>
    <t>ARJIL BIOTECH HOLDING</t>
  </si>
  <si>
    <t>LO; Jir-Mehng; (Hsinchu City, TW); HUANG; Cheng; (Taichung City, TW); WU; Yeh B; (Hsinchu City, TW); LIANG; Hui-Ju; (Taipei City, TW); LIN; Pei-Hsin; (Hsinchu City, TW); CHIANG; Hao; (Taipei City, TW); CHIOU; Wei-Chung; (Taipei City, TW)</t>
  </si>
  <si>
    <t>A61K 45/06 20130101;  A61K 31/575 20130101;  A61K 31/365 20130101;  A61P 31/14 20180101;  A61K 31/4162 20130101</t>
  </si>
  <si>
    <t>The present invention pertains to anti-coronaviral compounds. The     disclosure includes a method for preventing and/or treating a coronavirus     infection through the inhibition of a cysteine protease in a virus,     particularly SARS-COV-2. Also provided includes the     composition/pharmaceutical composition for preventing and/or treating a     coronavirus infection comprising any of the compounds, pharmaceutically     acceptable salt thereof, or its mixture, and the use of the compounds.</t>
  </si>
  <si>
    <t>US20210338683</t>
  </si>
  <si>
    <t>TREATMENT OF VIRAL INFECTIONS WITH COMBINATION OF PIKFYVE KINASE     INHIBITORS AND TMPRSS-2 INHIBITORS</t>
  </si>
  <si>
    <t>17/302438</t>
  </si>
  <si>
    <t>ACURASTEM INC</t>
  </si>
  <si>
    <t>ACURASTEM</t>
  </si>
  <si>
    <t>Ichida; Justin K.; (Monrovia, CA); Stremlau; Matthew; (Monrovia, CA); Zhou; Hongyan; (Monrovia, CA)</t>
  </si>
  <si>
    <t>A61K 31/155 20130101;  A61K 31/245 20130101;  A61K 31/5377 20130101;  A61P 31/14 20180101</t>
  </si>
  <si>
    <t>The present invention relates to methods of treating viral infections     including COVID-19 and compositions with a combination of (i) an     inhibitor of phosphatidylinositol-3-phosphate 5-kinase (PIKfyve) and (ii)     an inhibitor of transmembrane serine proteinase 2 (TMPRSS-2).</t>
  </si>
  <si>
    <t>US20210338631</t>
  </si>
  <si>
    <t>SYSTEMS AND METHODS FOR TREATING CORONAVIRUS</t>
  </si>
  <si>
    <t>17/222718</t>
  </si>
  <si>
    <t>Mong, Michael; Tran, Bao</t>
  </si>
  <si>
    <t>MONG MICHAEL</t>
  </si>
  <si>
    <t>Mong; Michael; (Grapevine, TX); Tran; Bao; (Saratoga, CA)</t>
  </si>
  <si>
    <t>C12Y 302/01035 20130101;  A61K 31/05 20130101;  A61M 16/0003 20140204;  A61K 9/0078 20130101;  A61K 31/164 20130101;  A61K 31/353 20130101;  A61K 38/47 20130101</t>
  </si>
  <si>
    <t>Provided herein are methods of treatment, including methods of treating     subjects having or at risk of having or having a viral infection, and     specifically a SARS-CoV-2 viral infection. The methods provided include     the administration of 4-methylumbelliferone (4-MU), palmitoylethanolamide     (PEA), reservatrol, fisetin, H.sub.2, nebulized hyaluronidase or     combinations thereof. Also provided herein are a respiratory assistance     device, methods of generating a customized respiratory assistance device,     methods of treating a coronavirus infection, and methods of inhibiting a     coronavirus infectivity, virulence and/or spread.</t>
  </si>
  <si>
    <t>US20210338626</t>
  </si>
  <si>
    <t>METHODS FOR TREATING OR PREVENTING A VIRAL INFECTION OR INHIBITING VIRAL     REPLICATION</t>
  </si>
  <si>
    <t>17/237777</t>
  </si>
  <si>
    <t>DALCOR PHARMA UK LTD., LEATHERHEAD, ZUG BRANCH</t>
  </si>
  <si>
    <t>DALCOR PHARMA</t>
  </si>
  <si>
    <t>NIESOR; Eric; (Zug, CH)</t>
  </si>
  <si>
    <t>A61K 45/06 20130101;  A61K 31/265 20130101;  A61P 31/14 20180101</t>
  </si>
  <si>
    <t>Provided herein are compositions and methods for the treatment or     prevention of viral infections, including coronavirus disease (COVID-19),     using dalcetrapib, an analog of dalcetrapib, or a pharmaceutically     acceptable salt, hydrate or solvate thereof.</t>
  </si>
  <si>
    <t>US20210338491</t>
  </si>
  <si>
    <t>3D PRINTED NASAL PHARYNGEAL AND ORAL SWABS</t>
  </si>
  <si>
    <t>17/246296</t>
  </si>
  <si>
    <t>SPRINTRAY, INC.</t>
  </si>
  <si>
    <t>SPRINTRAY</t>
  </si>
  <si>
    <t>Mansouri; Amir; (Los Angeles, CA); Bassir; Hossein; (Los Angeles, CA)</t>
  </si>
  <si>
    <t>A61F 13/385 20130101;  B33Y 80/00 20141201;  A61B 10/0051 20130101</t>
  </si>
  <si>
    <t>The invention is generally a nasal pharyngeal and oral swab that may be     mass-produced via three-dimensional (3D) printing. To achieve the right     materials for 3D printing the swabs, exemplary embodiments employ a set     of materials that result in a rigid structure that has bendable     properties (at least in the neck or stem region of the swab), but more     rigid and bridle properties at a breakpoint of the swab. In exemplary     embodiments, this may be achieved by constructing the device of a first     photosensitive material that is generally soft and bendable when cured,     and a second photosensitive material that is generally rigid and brittle     when cured, wherein the soft bendable material comprises of about 70% to     90% of the photosensitive composition used to 3D print the swab, and the     rigid and brittle material comprises of about 30% to 10% of the     photosensitive composition used to 3D print the swab.</t>
  </si>
  <si>
    <t>US20210338361</t>
  </si>
  <si>
    <t>PATHOGEN CONTAINMENT DEVICE</t>
  </si>
  <si>
    <t>17/241278</t>
  </si>
  <si>
    <t>Majzoub, Ibrahim; Agha, Rania</t>
  </si>
  <si>
    <t>MAJZOUB IBRAHIM</t>
  </si>
  <si>
    <t>Majzoub; Ibrahim; (Oak Brook, IL); Agha; Rania; (Oak Brook, IL)</t>
  </si>
  <si>
    <t>A61B 2090/401 20160201;  A61G 10/005 20130101;  A61M 16/0488 20130101;  A61B 46/40 20160201;  A61B 46/20 20160201;  A61B 90/05 20160201</t>
  </si>
  <si>
    <t>The present invention provides a safer way to intubate patients having     communicable diseases, such as bacterial and viral infections. It     protects health care professionals performing the intubation from bodily     fluids of the patients that might otherwise be projected directly onto     them by coughing, gagging, vomiting, or sneezing. Additionally, it traps     airborne suspensions or aerosols containing pathogens, such as bacterial,     myco-bacterial, viral, or fungal infections, originating from the patient     and keeps them from entering into the air in close proximity to the     healthcare professionals. The contaminated air can then be vented to a     location which is away from personnel, such as an outdoor containment     area. In one embodiment of this invention the contaminated air is passed     through a disinfecting solution which destroys the pathogens before the     air is recycled into the environment, such as the room where the     intubation is carried out.</t>
  </si>
  <si>
    <t>US20210338212</t>
  </si>
  <si>
    <t>Device for Detection and Treatment of Viruses</t>
  </si>
  <si>
    <t>17/342469</t>
  </si>
  <si>
    <t>G01N 33/5306 20130101;  A61B 10/0051 20130101;  A61B 2560/0214 20130101;  G01N 33/5438 20130101;  G01N 2333/165 20130101;  G01N 33/56983 20130101;  A61B 2560/0468 20130101</t>
  </si>
  <si>
    <t>Viruses, including corona viruses such as COVID-19, are often present in     the mouth or nose of a person before they infect the body. The disclosed     electrochemical device destroys or denatures viruses in the mouth or nose     rendering the viruses ineffective to cause infection by applying a low     voltage potential to the mucus. The device can being configured to detect     viruses through chronoamperomatry.</t>
  </si>
  <si>
    <t>US20210338103</t>
  </si>
  <si>
    <t>A61B 5/029 20130101;  A61B 5/7267 20130101;  A61B 5/02055 20130101;  A61B 5/02405 20130101;  A61B 5/7275 20130101;  A61B 5/4017 20130101;  G16H 50/20 20180101;  A61B 5/0823 20130101;  A61B 5/4803 20130101;  A61B 5/4011 20130101;  A61B 7/003 20130101;  A61B 5/318 20210101;  A61B 5/742 20130101;  A61B 5/082 20130101;  A61B 5/021 20130101;  A61B 5/444 20130101;  A61B 5/4824 20130101;  A61B 5/0816 20130101</t>
  </si>
  <si>
    <t>US20210338102</t>
  </si>
  <si>
    <t>SYSTEMS AND METHODS FOR SCREENING ASYMPTOMATIC VIRUS EMITTERS</t>
  </si>
  <si>
    <t>17/238052</t>
  </si>
  <si>
    <t>HYPERSPECTRAL APD LLC</t>
  </si>
  <si>
    <t>HYPERSPECTRAL APD</t>
  </si>
  <si>
    <t>Palacios; David M.; (Pasadena, CA); Hopper; Harry; (Alexandria, VA)</t>
  </si>
  <si>
    <t>G01N 21/255 20130101;  G01N 21/3504 20130101;  G01N 33/497 20130101;  A61B 10/00 20130101;  A61B 2010/0087 20130101;  A61B 5/7282 20130101;  G01J 3/45 20130101;  G01J 3/18 20130101;  G01N 2033/4975 20130101;  G01N 2201/063 20130101;  A61B 5/097 20130101;  G01N 21/359 20130101;  G01N 1/42 20130101;  A61B 5/082 20130101</t>
  </si>
  <si>
    <t>A method comprising at least one light source configured to generate a     light of at least one wavelength and project the light over an optical     path, a sample device, the device containing a sample obtained from     exhalation of a person, a vortex mask configured to receive the light     after the light passes through at least a portion of the sample device,     the vortex mask including a series of concentric circles etched in a     substrate, the vortex mask configured to provide destructive interference     of coherent light received from the at least one light source, a detector     configured to detect and measure wavelength intensities from the light in     the optical path, the wavelength intensities being impacted by the light     passing through the sample, the detector receiving the light that     remained after passing through the vortex mask, and a processor     configured to provide measurement results based on the wavelength     intensities.</t>
  </si>
  <si>
    <t>US20210338101</t>
  </si>
  <si>
    <t>17/236994</t>
  </si>
  <si>
    <t>G01N 21/255 20130101;  G01N 21/3504 20130101;  A61B 10/00 20130101;  G01N 33/497 20130101;  A61B 2010/0087 20130101;  A61B 5/7282 20130101;  G01J 3/45 20130101;  G01N 2201/063 20130101;  G01N 2033/4975 20130101;  G01J 3/18 20130101;  G01N 21/359 20130101;  A61B 5/097 20130101;  G01N 1/42 20130101;  A61B 5/082 20130101</t>
  </si>
  <si>
    <t>US20210338100</t>
  </si>
  <si>
    <t>17/061539</t>
  </si>
  <si>
    <t>G01N 21/255 20130101;  G01N 21/3504 20130101;  A61B 10/00 20130101;  G01N 33/497 20130101;  A61B 2010/0087 20130101;  A61B 5/7282 20130101;  G01J 3/45 20130101;  G01N 2033/4975 20130101;  G01N 2201/063 20130101;  G01J 3/18 20130101;  A61B 5/097 20130101;  G01N 21/359 20130101;  G01N 1/42 20130101;  A61B 5/082 20130101</t>
  </si>
  <si>
    <t>US20210337896</t>
  </si>
  <si>
    <t>Gasket for Face Mask</t>
  </si>
  <si>
    <t>16/948313</t>
  </si>
  <si>
    <t>NOLAN LAWRENCE</t>
  </si>
  <si>
    <t>Nolan; Lawrence; (North Ridgeville, OH)</t>
  </si>
  <si>
    <t>An improvement to a face mask which prevents warm water vapor from the     mask wearer's breath from traveling up toward the eyes and fogging     transparent glasses, face shield or other eye coverings. A piece of     neoprene or other airtight material attached to the top edge of the face     mask, over the bridge of the nose, fits snugly and functions as a gasket     to prevent air flow of exhaled breath from traveling towards the wearer's     eyes.</t>
  </si>
  <si>
    <t>US20210337894</t>
  </si>
  <si>
    <t>Protective Garment for the Face, Neck and Upper Body</t>
  </si>
  <si>
    <t>17/241401</t>
  </si>
  <si>
    <t>Polley-Hoffman, Lynn; Brenner, Nancy</t>
  </si>
  <si>
    <t>POLLEY-HOFFMAN LYNN</t>
  </si>
  <si>
    <t>Polley-Hoffman; Lynn; (Ponte Vedra Beach, FL); Brenner; Nancy; (Palatka, FL)</t>
  </si>
  <si>
    <t>A41D 2300/50 20130101;  A41D 13/1107 20130101;  A41D 27/24 20130101;  A41D 23/00 20130101</t>
  </si>
  <si>
    <t>An integrated face, neck, and upper body covering. The covering is made     from a vertical tube of fabric having a slit in the rear. The slit allows     the lower portion of the tube to spread outward--thereby providing an     effective covering for the chest in addition to the neck. Various     embodiments are disclosed. Some of these embodiments provide covering for     the shoulders and upper back as well.</t>
  </si>
  <si>
    <t>US20210337892</t>
  </si>
  <si>
    <t>BANDANA MASK</t>
  </si>
  <si>
    <t>16/865269</t>
  </si>
  <si>
    <t>KERN GEOFFREY</t>
  </si>
  <si>
    <t>Kern; Geoffrey; (Newport, NC)</t>
  </si>
  <si>
    <t>A41D 13/1161 20130101;  A41D 13/1192 20130101;  A41D 13/0568 20130101;  A41D 13/113 20130101</t>
  </si>
  <si>
    <t>A facemask includes a layer of material to cover a face of a person and a     pocket formed on the layer of material, the pocket including: another     layer of material that is fixed to the layer of material, and an opening     at one side of the pocket, the opening being configured to receive a     filter inserted into the pocket, where the pocket has a same size and     shape as the filter, and where the opening open or sealed and, when open,     is resealable.</t>
  </si>
  <si>
    <t>US20210337889</t>
  </si>
  <si>
    <t>MEDICAL HEATED FACE MASK</t>
  </si>
  <si>
    <t>17/242972</t>
  </si>
  <si>
    <t>SILVERBERG MARK</t>
  </si>
  <si>
    <t>SILVERBERG; Mark; (Deerfield, IL)</t>
  </si>
  <si>
    <t>A41D 13/1161 20130101;  A41D 13/0051 20130101;  A41D 13/0053 20130101;  A41D 13/1115 20130101;  A41D 13/0058 20130101</t>
  </si>
  <si>
    <t>A heated medical face mask is provided, including, a first outer layer     having an outer surface and an inner surface; a second, inner layer     having an outer surface and in inner surface; the first and second layers     being fastened together around corresponding peripheral side and bottom     edges but being open along an upper edge or side edge to form a pocket;     and a heating element being releasably located in the pocket.</t>
  </si>
  <si>
    <t>US20210337854</t>
  </si>
  <si>
    <t>BUILDING RESILIENCE TO COVID-19 AND ITS VARIANTS</t>
  </si>
  <si>
    <t>17/236990</t>
  </si>
  <si>
    <t>KUMAR KAPLESH</t>
  </si>
  <si>
    <t>Kumar; Kaplesh; (Wellesley, MA)</t>
  </si>
  <si>
    <t>A23L 33/30 20160801;  G16H 20/30 20180101</t>
  </si>
  <si>
    <t>Method of building resistance to Covid-19 disease development. The strong     link between the distribution of Covid-19 disease (CV) severity across     the United States population and that of systemic inflammation, as     indicated in the individual's C-reactive protein (CRP) level, explains     the widely varied symptomatic responses of individuals afflicted with the     virus. The data are consistent with the fewer infections and deaths     reported for the Asian countries. The disease pathologies of CV and     non-specific interstitial pneumonia (NSIP) patients bear close     similarities. Modeling the disease as a chemically reactive process     indicates that the virus catalyzes the inflammation driven reaction,     causing lung infiltration and injury, up to and including patient death.     Prevention methods involving exercise and diet successfully applied for     lung stabilization in NSIP also apply to CV mitigation, the goal of which     is to achieve pre-disease CRP levels of &amp;lt;10 mg/L, and preferably &amp;lt;3     mg/L, and more preferably &amp;lt;1 mg/L.</t>
  </si>
  <si>
    <t>US20210337802</t>
  </si>
  <si>
    <t>COMPOSITION AND PROCESS FOR RECONDITIONING RESPIRATORS AND OTHER PERSONAL     PROTECTIVE EQUIPMENT</t>
  </si>
  <si>
    <t>17/246883</t>
  </si>
  <si>
    <t>Carlson; Lawrence; (Oxford, MI)</t>
  </si>
  <si>
    <t>A01N 59/02 20130101;  A01N 25/04 20130101</t>
  </si>
  <si>
    <t>A process for sanitizing one or more target medical personal protective     equipment units, the method that includes the step of contacting the     target medical personal protective equipment unit with a charge solution     for a contact interval, the contact interval sufficient to infiltrate     surfaces located in the interior of the one or more target medical     personal protective equipment units. The charge solution includes a polar     solvent and an active compound having the chemical formula:      H x  .times.  O   (  x - 1  )  2      .times.  Z y  ##EQU00001##     wherein x is an odd integer .gtoreq.3; y is an integer between 1 and 20;     and Z is one of a monoatomic ion from Groups 14 and 17 having a charge     value between -1 and -3 or a polyatomic ion having a charge between -1     and -3.</t>
  </si>
  <si>
    <t>US20210337800</t>
  </si>
  <si>
    <t>METHOD AND SYSTEM OF IMPROVING THE PERSONAL PROTECTIVE EQUIPMENT OF     HEALTHCARE WORKERS AND THE GENERAL PUBLIC USING ANTIMICROBIAL TECHNOLOGY     ADDITIVES</t>
  </si>
  <si>
    <t>17/232350</t>
  </si>
  <si>
    <t>SOCKDOCS INC.</t>
  </si>
  <si>
    <t>SOCKDOCS</t>
  </si>
  <si>
    <t>SHAFFER; David Elliot; (Great Neck, NY); ROSA; Carlos; (Sparta, NJ)</t>
  </si>
  <si>
    <t>A01N 25/34 20130101;  A41D 13/1192 20130101;  A01N 55/00 20130101;  A61F 9/029 20130101</t>
  </si>
  <si>
    <t>Personal Protective Equipment (PPE) is treated with a solution containing     a quaternary ammonium compound bonded to a silane. The solution imparts     antimicrobial and antiviral qualities to the PPE. The method includes     soaking the PPE in the solution and drying the PPE, which imparts a     long-lasting coating of the compound to the PPE. The treatment is useful     for treating face masks, gloves, gowns, face shields, head coverings,     foot coverings, and any other objects that require antiviral treatment.</t>
  </si>
  <si>
    <t>US20210337358</t>
  </si>
  <si>
    <t>Multiple Device Intersection Using Geo-temporal Mobile Application Data</t>
  </si>
  <si>
    <t>17/240930</t>
  </si>
  <si>
    <t>BABEL STREET, INC.</t>
  </si>
  <si>
    <t>BABEL STREET</t>
  </si>
  <si>
    <t>Chapman; Jeffrey; (Landsowne, VA); Myatt; Shon; (Starkville, MS); Haynie; James B.; (New Orleans, LA)</t>
  </si>
  <si>
    <t>G16H 50/80 20180101;  G16Y 40/60 20200101;  H04W 4/029 20180201;  H04W 4/023 20130101;  H04W 4/021 20130101;  H04W 4/70 20180201</t>
  </si>
  <si>
    <t>A computer-implemented method for identifying device intersections using     application data derived from multiple mobile devices. The method     extracts the unique devices identified in a user defined area of interest     (AOI) and generates individual geospatial layers for each device. The     layers are derived from the metadata containing coordinates and     associated timestamps for all available points of the device. Combining     the individual layers will produce a convergence surface of polygonal     intersections, indicating where devices have shared additional locations     outside the initial AOI. Applying the timestamp to the resulting layer     with a user defined time interval will generate a probability matrix of     association.</t>
  </si>
  <si>
    <t>US20210335501</t>
  </si>
  <si>
    <t>SYSTEMS AND METHODS FOR MASS TESTING A POPULATION FOR A CONTAGIOUS     INFECTION VIA POOLED SAMPLE TESTING</t>
  </si>
  <si>
    <t>17/238275</t>
  </si>
  <si>
    <t>SMART TESTING, LLC</t>
  </si>
  <si>
    <t>SMART TESTING</t>
  </si>
  <si>
    <t>RAJAGOPAL; RANGASWAMY; (IOWA CITY, IA)</t>
  </si>
  <si>
    <t>G16H 10/40 20180101;  G06F 30/20 20200101;  G16H 50/80 20180101</t>
  </si>
  <si>
    <t>Disclosed herein are systems and methods for the mass testing of a     population for an infection. Pooled sampling may be used to reduce the     number of tests needed for effective community surveillance. Individual     members may be sorted into pools via a probability of infection to     minimize the tests needed to identify positive individuals. The detection     limits of testing assays may be used to help determine an appropriate     pool size. Taxonomy tables characterizing the solution space of the total     tests needed based on different variables may be generated and/or used to     make testing decisions. Simulations of mass testing schemes may be used     to facilitate testing decisions. Systems may be used to coordinate data     and/or automate one or more steps of the testing process. Long-term     community surveillance strategies may use prevalence testing, periodic     mass testing via sample pooling, and/or periodic single sample testing to     contain the spread of a contagion.</t>
  </si>
  <si>
    <t>US20210335500</t>
  </si>
  <si>
    <t>METHOD AND DEVICE FOR PREDICTING A NUMBER OF CONFIRMED CASES OF AN     INFECTIOUS DISEASE, APPARATUS, AND STORAGE MEDIUM</t>
  </si>
  <si>
    <t>16/928762</t>
  </si>
  <si>
    <t>SOUTH UNIVERSITY OF SCIENCE AND TECHNOLOGY OF CHINA</t>
  </si>
  <si>
    <t>SOUTH UNIVERSITY SCIENCE AND CHINA</t>
  </si>
  <si>
    <t>Song; Xuan; (Shenzhen, CN); Zhang; Haoran; (Shenzhen, CN); Huang; Liqiao; (Shenzhen, CN); Shibasaki; Ryosuke; (Shenzhen, CN)</t>
  </si>
  <si>
    <t>G06F 17/18 20130101;  G06F 16/951 20190101;  G06F 17/13 20130101;  G16H 50/80 20180101</t>
  </si>
  <si>
    <t>A method and device for predicting a number of confirmed cases of an     infectious disease, an apparatus, and a storage medium. The method     includes obtaining a number of historical confirmed cases corresponding     to each of multiple historical time periods adjacent to a time period to     be predicted, adding a number of historical confirmed cases corresponding     to a current historical time period with numbers of historical confirmed     cases corresponding to previous target historical time periods to     determine a historical cumulative number corresponding to each current     historical time period, determining a predicted cumulative number     corresponding to the time period to be predicted based on the historical     cumulative number corresponding to each current historical time period,     and determining a differential value between the predicted cumulative     number corresponding to the time period to be predicted and a historical     cumulative number corresponding to current target historical time period     adjacent to the time period to be predicted, and taking the differential     value as a predicted confirmed number of the time period to be predicted.</t>
  </si>
  <si>
    <t>US20210335494</t>
  </si>
  <si>
    <t>Digital Contact Tracing Through Virtual Medical Information Portfolio and     On-Ramp to Testing</t>
  </si>
  <si>
    <t>17/241416</t>
  </si>
  <si>
    <t>CAMPBELL, Stanley Victor</t>
  </si>
  <si>
    <t>CAMPBELL STANLEY</t>
  </si>
  <si>
    <t>CAMPBELL; Stanley Victor; (Vienna, VA)</t>
  </si>
  <si>
    <t>A61B 5/0205 20130101;  G16H 50/30 20180101</t>
  </si>
  <si>
    <t>The digital contact tracing through virtual medical information portfolio     and on-ramp to testing includes systems, devices, and     computer-implemented methods for monitoring health of a user. The user     receives a text message containing a QR code that directs the user to a     patient survey. The user is categorized into one of a plurality of     categories based on user data input into the patient survey.     Subsequently, the user inputs one or more physiological parameters that     allow remote monitoring of the patient. The one or more physiological     parameters are compared against respective thresholds and change     thresholds.</t>
  </si>
  <si>
    <t>US20210335458</t>
  </si>
  <si>
    <t>SELF-REPORTING SYSTEM AND METHODS FOR HEALTH SCREENING</t>
  </si>
  <si>
    <t>17/238789</t>
  </si>
  <si>
    <t>NINESQUARED81 LLC</t>
  </si>
  <si>
    <t>NINESQUARED81</t>
  </si>
  <si>
    <t>McMullen; Paul; (Grand Haven, MI)</t>
  </si>
  <si>
    <t>G07C 9/253 20200101;  G06K 19/06112 20130101;  G06K 7/1417 20130101;  G16H 10/40 20180101;  G06K 7/1095 20130101;  G06Q 50/205 20130101;  G16H 50/80 20180101;  G06Q 50/265 20130101;  G06Q 10/105 20130101;  G16H 10/65 20180101;  G06K 19/06037 20130101;  G16H 40/67 20180101;  G06Q 30/018 20130101;  G06Q 10/103 20130101;  G16H 10/20 20180101</t>
  </si>
  <si>
    <t>A system and methods are disclosed for health screening users to help     reduce the spread of a contagious disease. In one embodiment, an employee     of an organization uses a mobile device, prior to arriving at a facility     of the organization (e.g., a building, etc.), to take a "selfie" photo     while their temperature is being taken. This might be done, for example,     when the employee is at home. The employee enters the temperature reading     into an application running on the mobile device and the application     transmits the photo and temperature reading to the employee's manager for     approval to work. Embodiments of the present disclosure enable health     screening of users prior to their arrival at a facility, thereby     potentially avoiding delays at the facility entrance that may cause long     lines, as well as potentially reducing the number of staff required to     perform the screening at the entrance.</t>
  </si>
  <si>
    <t>US20210335073</t>
  </si>
  <si>
    <t>Identification and Contact Tracing System and Method</t>
  </si>
  <si>
    <t>17/301573</t>
  </si>
  <si>
    <t>PAUL K LUKER LLC</t>
  </si>
  <si>
    <t>PAUL LUKER</t>
  </si>
  <si>
    <t>Luker; Paul Kimbel; (Carthage, TX)</t>
  </si>
  <si>
    <t>G07C 9/29 20200101;  G07C 9/257 20200101;  G06K 9/00288 20130101;  G06K 9/00281 20130101;  H04N 5/33 20130101;  G16H 10/60 20180101</t>
  </si>
  <si>
    <t>Described herein is a system and method for creating a chain of trust to     determine whether to grant an individual access to a particular business,     area, venue or site. The system and method use an identification card     that is issued to an individual. The identification card may contain a     near field communication chip that can be read by a smart phone or     tablet. The smart phone or tablet also communicates with a temperature     scanner to record the individual's body temperature. The smart phone or     tablet may also contain a facial recognition module to verify an     individual's identity.</t>
  </si>
  <si>
    <t>US20210333278</t>
  </si>
  <si>
    <t>VIRAL RESPIRATORY INFECTION DETECTION DEVICE</t>
  </si>
  <si>
    <t>17/242887</t>
  </si>
  <si>
    <t>CORE DIAGNOSTICS CORPORATION</t>
  </si>
  <si>
    <t>CORE DIAGNOSTICS</t>
  </si>
  <si>
    <t>MANGAN; Wilma; (Santa Clara, CA)</t>
  </si>
  <si>
    <t>G01N 2333/165 20130101;  B01L 2300/161 20130101;  B01L 2300/0681 20130101;  B01L 2300/0825 20130101;  G01N 33/56983 20130101;  B01L 2400/0406 20130101;  B01L 3/5023 20130101;  G01N 33/54386 20130101</t>
  </si>
  <si>
    <t>The present disclosure may provide a system and method for using a viral     respiratory infection detection device, a method comprising: obtaining a     biological sample from a subject; preparing the biological sample for     testing; placing at least a portion of the prepared biological sample     into a sample port of a viral respiratory infection detection device     thereby contacting a sample pad with the prepared biological sample thus     initiating a first test strip and a second test strip, wherein the first     testing strip is formed to detect the binding of a respiratory virus to a     recombinant human receptor protein, wherein the second testing strip is     formed to detect the binding of a specific respiratory virus to a     specific recombinant spike glycoprotein; and analyzing the results of the     first test strip and the second test strip.</t>
  </si>
  <si>
    <t>US20210333277</t>
  </si>
  <si>
    <t>16/856162</t>
  </si>
  <si>
    <t>C12N 2770/20022 20130101;  C12N 7/00 20130101;  G01N 33/56983 20130101</t>
  </si>
  <si>
    <t>The present invention relates to a Corona antigen comprising a Corona     nucleocapsid specific amino acid sequence, compositions, and reagent kits     comprising the same and methods of producing it. Also encompassed are     methods of detecting anti-Corona antibodies in samples using said Corona     antigen, and methods of differential diagnosis of an immune response in a     patient due to natural Corona infection or due to vaccination against     Corona.</t>
  </si>
  <si>
    <t>US20210333275</t>
  </si>
  <si>
    <t>PAN-ISOTYPE IMMUNOGLOBULIN FINGERPRINTING</t>
  </si>
  <si>
    <t>17/208878</t>
  </si>
  <si>
    <t>CDI LABORATORIES, INC.</t>
  </si>
  <si>
    <t>CDI LABORATORIES</t>
  </si>
  <si>
    <t>HULETT; Tyler; (Portland, OR)</t>
  </si>
  <si>
    <t>G01N 33/564 20130101</t>
  </si>
  <si>
    <t>Disclosed herein are methods and compositions for classifying individual     antigen-specific antibody binding. Disclosed herein are methods and     compositions for a proteome-wide pan-isotype immunoassay. Disclosed     herein are methods and compositions for immunoglobulin fingerprinting.</t>
  </si>
  <si>
    <t>US20210333262</t>
  </si>
  <si>
    <t>RAPID TESTING MECHANISM AND METHOD FOR RESPIRATORY VIRAL PATHOGENS</t>
  </si>
  <si>
    <t>17/224076</t>
  </si>
  <si>
    <t>Heeger, Brandon; Lajmi, Ajay</t>
  </si>
  <si>
    <t>HEEGER BRANDON</t>
  </si>
  <si>
    <t>Heeger; Brandon; (Avon, IN); Lajmi; Ajay; (Pensacola, FL)</t>
  </si>
  <si>
    <t>C08B 37/0075 20130101;  G01N 33/497 20130101;  A41D 2600/00 20130101;  A41D 13/11 20130101</t>
  </si>
  <si>
    <t>A rapid testing mechanism for respiratory viral pathogens includes a     filter material positioned to capture exhaled breath particles from a     respiratory tract. A portion of the filter material is impregnated with a     pathogen binding adsorptive reagent. When the exhaled breath particles     pass through the filter material the following occurs: when the binding     adsorptive reagent reacts, a positive test for respiratory viral     pathogens is indicated by the filter material; and when pathogen binding     adsorptive reagent does not react, a negative test for respiratory viral     pathogens is indicated by the filter material.</t>
  </si>
  <si>
    <t>US20210332995</t>
  </si>
  <si>
    <t>PRODUCTS OF MANUFACTURE FOR THE TREATMENT, PREVENTION AND AMELIORATION OF     MICROBIAL INFECTIONS</t>
  </si>
  <si>
    <t>17/239570</t>
  </si>
  <si>
    <t>CENTRE FOR DIGESTIVE DISEASES</t>
  </si>
  <si>
    <t>BORODY; Thomas Julius; (Five Dock, AU)</t>
  </si>
  <si>
    <t>F24F 7/06 20130101;  A61M 15/002 20140204;  A61K 9/0075 20130101;  F24F 8/30 20210101;  A61K 45/06 20130101</t>
  </si>
  <si>
    <t>In alternative embodiments, provided are products of manufacture,     including automobiles and buildings, and multiplexed systems such as     ventilation systems, for treating, preventing, ameliorating, slowing the     progress of, decreasing the severity of or preventing a microbial     infection, such as bacterial and viral infections, including the common     respiratory viruses such as infuenza virus, respiratory syncytial virus,     parainfluenza virus, adenovirus, rhinovirus, human metapneumovirus,     hantaviruses, enterovirus, coronavirus (such as a SARS, MERS or COV1D-19     infection), or an infection caused by a virus in the subfamily     Orthocoronavirinae, or a virus in the family Coronaviridae, or a virus in     the order Nidovirales.</t>
  </si>
  <si>
    <t>US20210332446</t>
  </si>
  <si>
    <t>ENGINEERED CRISPR-CAS SYSTEMS AND METHODS FOR SENSITIVE AND SPECIFIC     DIAGNOSTICS</t>
  </si>
  <si>
    <t>17/240858</t>
  </si>
  <si>
    <t>MONTANA STATE UNIVERSITY</t>
  </si>
  <si>
    <t>WIEDENHEFT; Blake A.; (Bozeman, MT); SANTIAGO-FRANGOS; Andrew; (Bozeman, MT); NEMUDRAIA; Anna A.; (Bozeman, MT); NEMUDRYI; Artem A.; (Bozeman, MT)</t>
  </si>
  <si>
    <t>C12N 15/11 20130101;  C12N 9/22 20130101;  C12N 2800/80 20130101;  C12Q 1/701 20130101;  C12N 2310/20 20170501</t>
  </si>
  <si>
    <t>The disclosure relates to an engineered type III CRISPR-Cas system for     sensitive and sequence specific detection of nucleic acid in a sample.     For example, the engineered type III CRISPR-Cas system may be implemented     as an assay for testing SARS-CoV-2 virus (or other target nucleic acid in     the sample) that can be performed quickly, such as in one hour or less.     Nucleic acid recognition by type III systems may trigger Cas10-mediated     nuclease activity and/or polymerase activity, which may generate     pyrophosphates, protons and cyclic oligonucleotides. The nuclease     activity and/or the one or more products of the Cas10-polymerase are     detected using colorimetric, visible fluorometric, and/or instrumented     fluorometric detection.</t>
  </si>
  <si>
    <t>US20210332445</t>
  </si>
  <si>
    <t>VIRUS DETECTION PIPELINE</t>
  </si>
  <si>
    <t>17/238466</t>
  </si>
  <si>
    <t>SPRAYING SYSTEMS CO.</t>
  </si>
  <si>
    <t>SPRAYING SYSTEMS</t>
  </si>
  <si>
    <t>Sezerman; Osman Ugur; (Ottawa, CA); Ozcan; Orhan; (Ottawa, CA); Sahin; Eray; (Ottawa, CA); Sezerman; Mehmet Omur; (Kanata, CA)</t>
  </si>
  <si>
    <t>G01N 21/80 20130101;  C12Q 1/701 20130101</t>
  </si>
  <si>
    <t>Current laboratory procedures for detection of a virus using the     specimens collected from upper respiratory systems involve RNA isolation     from the specimen, cDNA synthesis via reverse transcription,     amplification of the target region via LAMP reaction, and detection. The     present invention performs alternative ways of LAMP reactions in which     every single key component in the traditional system is reorganized to     achieve operational LAMP protocols. The present invention skips the RNA     isolation and purification steps which decrease the overall cost, and the     test time by more than 20 minutes. This method can also be applicable for     analysis of other viruses and some pathogens in several fields.</t>
  </si>
  <si>
    <t>US20210332444</t>
  </si>
  <si>
    <t>SARS-CoV-2 TEST KIT FOR RT-qPCR ASSAYS</t>
  </si>
  <si>
    <t>17/233423</t>
  </si>
  <si>
    <t>Sun, Qing; Sha, Michael Y.; Ren, Hui; Li, Jonathan; Zhang, Aiguo</t>
  </si>
  <si>
    <t>SUN QING</t>
  </si>
  <si>
    <t>Sun; Qing; (Richmond, CA); Sha; Michael Y.; (Castro Valley, CA); Ren; Hui; (Richmond, CA); Li; Jonathan; (Richmond, CA); Zhang; Aiguo; (San Ramon, CA)</t>
  </si>
  <si>
    <t>C12Q 1/701 20130101;  C12Q 2600/158 20130101</t>
  </si>
  <si>
    <t>The present invention provides synthetic nucleic acid sequences     comprising 10-30 nucleotides of the N1 and N2 gene regions and/or the 3'     non-coding region of the SARS-associated coronavirus Cov-2 (SARS-CoV-2)     genome, and a synthetic nucleic acid sequence comprising 10-30     nucleotides of a nucleic acid sequence that is complementary to at least     one of those regions. Also provided are compositions comprising the     sequences, and uses of the sequences in diagnostic kits. The present     invention further provides a primer and probe set for determining the     presence or absence of SARS-associated coronavirus Cov-2 in a biological     sample, wherein the primer set comprises at least one of the synthetic     nucleic acid sequences. Also provided are a composition comprising the     primer and probe set, and use of the primer and probe set in a diagnostic     kit. Finally, the present invention provides kits and methods for     determining the presence or absence of SARS-associated coronavirus Cov-2     (SARS-CoV-2) in a biological sample.</t>
  </si>
  <si>
    <t>US20210332422</t>
  </si>
  <si>
    <t>METHODS OF PREDICTING SUSCEPTIBILITY TO INFECTIOUS DISEASE AND RELATED     METHODS OF TREATMENT</t>
  </si>
  <si>
    <t>17/240991</t>
  </si>
  <si>
    <t>MORSE BARNES-BROWN PENDLETON PC</t>
  </si>
  <si>
    <t>MORSE BARNES-BROWN PENDLETON</t>
  </si>
  <si>
    <t>Hamilton; Jonathon B.; (Littleton, MA); Viscomi; Salvatore G.; (Boston, MA); Perry; Trevor J.; (Whitinsville, MA)</t>
  </si>
  <si>
    <t>C12Q 1/6827 20130101;  A61K 39/215 20130101</t>
  </si>
  <si>
    <t>Disclosed herein are methods for predicting susceptibility to an     infection based on the observation of specific mutations in blood cells,     as well as methods for treating or reducing susceptibility to an     infection in a subject.</t>
  </si>
  <si>
    <t>US20210332364</t>
  </si>
  <si>
    <t>17/243173</t>
  </si>
  <si>
    <t>A61P 31/14 20180101;  A61K 45/06 20130101;  C12N 15/1131 20130101</t>
  </si>
  <si>
    <t>US20210332110</t>
  </si>
  <si>
    <t>Neutralizing Anti-SARS-CoV-2 Antibodies and Methods of Use Thereof</t>
  </si>
  <si>
    <t>17/242583</t>
  </si>
  <si>
    <t>Rockefeller University</t>
  </si>
  <si>
    <t>ROCKEFELLER UNIVERSITY</t>
  </si>
  <si>
    <t>Nussenzweig; Michel; (New York, NY); Robbiani; Davide F.; (New York, NY)</t>
  </si>
  <si>
    <t>G01N 2333/165 20130101;  C07K 2317/76 20130101;  C07K 2317/31 20130101;  C07K 16/10 20130101;  C07K 2317/35 20130101;  A61K 45/06 20130101;  C07K 2317/565 20130101;  C07K 2317/33 20130101;  G01N 33/56983 20130101</t>
  </si>
  <si>
    <t>This disclosure provides novel broadly neutralizing anti-SARS-CoV-2     antibodies or antigen-binding fragments thereof. The disclosed     anti-SARS-CoV-2 antibodies constitute a novel therapeutic strategy in     protection from SARS-CoV-2 infections.</t>
  </si>
  <si>
    <t>US20210332086</t>
  </si>
  <si>
    <t>MERS-COV INHIBITOR PEPTIDES</t>
  </si>
  <si>
    <t>17/199342</t>
  </si>
  <si>
    <t>KING FAISAL UNIVERSITY</t>
  </si>
  <si>
    <t>ELSAYED; MAHMOUD KANDEEL; (AL-AHSA, SA); AL-TAHER; ABDULLA YOUSEF; (AL-AHSA, SA); KWON; HYUNG-JOO; (AL-AHSA, SA); AL-NAZAWI; MOHAMMED; (AL-AHSA, SA)</t>
  </si>
  <si>
    <t>C07K 2319/00 20130101;  A61K 38/00 20130101;  C07K 14/005 20130101</t>
  </si>
  <si>
    <t>The MERS-CoV inhibitor peptides include a set of peptides designed by     modification or mutation of a wild type MERS-CoV fusion protein. The     MERS-CoV inhibitor peptides are capable of inhibition of MERS-CoV     membrane fusion, and thereby may prevent or slow the spread of MERS-CoV     infections. Thus, the MERS-CoV inhibitor peptides may be used in     pharmaceuticals to prevent and/or treat MERS-CoV infection. The     pharmaceuticals may be formulated to comprise at least one of the     MERS-CoV inhibitor peptides and a carrier, or they may include one or     more expression systems capable of promoting cellular expression of one     or more MERS-CoV inhibitor peptides. The MERS-CoV inhibitor peptides may     also be used as reagents for MERS-CoV inhibition assays as a standard or     reference inhibitors.</t>
  </si>
  <si>
    <t>US20210332085</t>
  </si>
  <si>
    <t>Adjuvant</t>
  </si>
  <si>
    <t>CoV-2 (CoV-n) antibody neutralizing and CTL vaccines using protein     scaffolds and molecular evolution</t>
  </si>
  <si>
    <t>17/191519</t>
  </si>
  <si>
    <t>Chen, Swey-Shen</t>
  </si>
  <si>
    <t>CHEN SWEY</t>
  </si>
  <si>
    <t>Chen; Swey-Shen; (San Diego, CA)</t>
  </si>
  <si>
    <t>C12N 2770/20022 20130101;  A61K 39/215 20130101;  C07K 14/005 20130101;  A61K 2039/53 20130101;  C07K 2319/00 20130101;  C07K 14/70514 20130101;  C07K 2319/30 20130101;  C12N 2770/20034 20130101;  C12N 7/00 20130101</t>
  </si>
  <si>
    <t>The embodiment of the invention is to innovate immunogenic CoV-2, CoV-n B     cell epitopes, which are selected from the loop regions constrained by     the two constraining beta strands; or between one beta strand and one     alpha-helical strand; or between two alpha-helical strands of CoV-2,     CoV-n proteins, and such selected loops replace the native loops of the     thermostable protein scaffolds, which provide thermostable constraint of     the transplanted CoV-2, CoV-n loop antigens as well as CD4 helper T cell     determinants to elicit CD4 dependent neutralizing and blocking antibodies     against viral entry, replication and viral clearance. The B cell loops     can be cleaved and processed as CD8 T cell epitopes for eliciting     cytotoxic T lymphocyte (CTL) responses against and clear viral infected     cells. MHCI viral peptide epitopes in nonamers, octamers, or decamers     will be used as peptide vaccines along with viral CD4 helper peptide     epitopes. These CTL peptides will be also inserted into the loop or     replacing the native loop of the protein scaffolds. All the above     sequences can be embodied in RNA vaccines to augment protection or     suppress cytokine storms. And the embodiment of the invention is to     employ CTL peptides and CD4 helper peptides inserted into each respective     candidate loop of the protein scaffolds as CTL vaccines. Thus, the CTL     vaccines safely eliminate infectious foci and reservoir of the offending     virus and mutant viral strains.</t>
  </si>
  <si>
    <t>US20210332033</t>
  </si>
  <si>
    <t>NICOTINAMIDE MONONUCLEOTIDE DERIVATIVES AND USE THEREOF IN THE TREATMENT     OF VIRAL INFECTIONS</t>
  </si>
  <si>
    <t>16/858447</t>
  </si>
  <si>
    <t>C07D 405/04 20130101;  A61K 45/06 20130101;  A61P 31/14 20180101</t>
  </si>
  <si>
    <t>The present disclosure relates to Nicotinamide mononucleotide derivatives     of formula (I)  ##STR00001## for use in the treatment and/or prevention of viral infections, such as     respiratory infections. The present disclosure further relates to     pharmaceutical compositions comprising compounds of formula (I) for use     in the treatment and/or prevention of viral infections.</t>
  </si>
  <si>
    <t>US20210331613</t>
  </si>
  <si>
    <t>Anti-Microbial, Partition Divider Assembly for a Cart such as a Golf Cart</t>
  </si>
  <si>
    <t>17/242934</t>
  </si>
  <si>
    <t>GLOBAL IP HOLDINGS, LLC</t>
  </si>
  <si>
    <t>GLOBAL</t>
  </si>
  <si>
    <t>Tignanelli; Joseph Richard; (Rochester Hills, MI)</t>
  </si>
  <si>
    <t>B32B 3/266 20130101;  B60N 2/91 20180201;  B32B 2307/7145 20130101;  B32B 2605/006 20130101;  B32B 2307/412 20130101;  B32B 2307/10 20130101</t>
  </si>
  <si>
    <t>An anti-microbial partition divider assembly for a cart such as a golf     cart is provided. The cart has a passenger seating area, including at     least one seat, a roof and a floor. The assembly includes a flexible or     beam-rigid partition divider having a substrate layer made of a material     which prevents airborne liquid droplets from traveling therethrough.</t>
  </si>
  <si>
    <t>US20210331150</t>
  </si>
  <si>
    <t>SARS-COV-2 SUSCEPTIBILITY DETECTION</t>
  </si>
  <si>
    <t>17/238795</t>
  </si>
  <si>
    <t>FIALKO KEVIN D</t>
  </si>
  <si>
    <t>FIALKO KEVIN</t>
  </si>
  <si>
    <t>FIALKO; Kevin D.; (La Jolla, CA)</t>
  </si>
  <si>
    <t>C07C 205/11 20130101;  B01L 1/00 20130101</t>
  </si>
  <si>
    <t>A Covid-19 susceptibility testing device including a receiving chamber     configured to receive a human bodily fluid and a reaction medium     configured to indicate Covid-19 susceptibility when concentration of an     analyte exceeds a predetermined threshold in the human bodily fluid.</t>
  </si>
  <si>
    <t>US20210331109</t>
  </si>
  <si>
    <t>AEROSOL PROTECTION SYSTEM</t>
  </si>
  <si>
    <t>16/930600</t>
  </si>
  <si>
    <t>SAHIHOLNASAB; SEYED VAHID; (RICHMOND, CA); FRANSEN; JOEL NICHOLAS; (RICHMOND, CA); ANVARI; KIOMARS; (WALNUT CREEK, CA); ZAHEDI; EDMOND; (BURNABY, CA)</t>
  </si>
  <si>
    <t>B01D 2279/40 20130101;  B01D 46/444 20130101;  B01D 2279/65 20130101;  B01D 46/0041 20130101;  B01D 2273/30 20130101;  A61C 19/00 20130101</t>
  </si>
  <si>
    <t>Hygiene regulations and social distancing are very effective in blocking     short distance infections. During the lockdown, the distance rules can     usually be adhered to, but what happens when the actual lockdown is over     and the people meet again in a confined space? Then additional effective     and efficient protection is essential to stabilize infection rates. Since     the viruses are spread by contact and droplet infection, technical     devices are required that effectively intervene in the chain of infection     and effectively block infection. An effective protection is the     respiratory mask as known since 100 years. An alternative to mask is an aerosol protection system for various     applications in environment. The protection system consists of adjustable     air sucking device and air blowing device in different form factors based     on application. The aerosol protection system uses either an air curtain     or air shield to prevent the aerosol going from one side of the curtain     or shield to the other side.</t>
  </si>
  <si>
    <t>US20210331107</t>
  </si>
  <si>
    <t>FILTRATION ARTICLE FOR PERSONAL PROTECTIVE EQUIPMENT</t>
  </si>
  <si>
    <t>17/239344</t>
  </si>
  <si>
    <t>ION DEFENSE TECHNOLOGIES LLC</t>
  </si>
  <si>
    <t>ION DEFENSE</t>
  </si>
  <si>
    <t>Holler; Mark; (Hamilton, MT); Morrow; David; (Waco, TX)</t>
  </si>
  <si>
    <t>B01D 2239/0613 20130101;  B32B 2307/724 20130101;  B01D 39/1676 20130101;  B01D 2239/0428 20130101;  B01D 2239/0407 20130101;  B32B 2307/73 20130101;  B32B 2571/00 20130101;  B01D 2239/0609 20130101;  B32B 2264/1055 20200801;  A62B 23/025 20130101;  B32B 5/022 20130101;  B01D 39/1623 20130101;  B01D 2239/0435 20130101;  B32B 5/26 20130101;  B01D 2239/065 20130101;  B01D 2239/0442 20130101;  A41D 13/1138 20130101;  B01D 2239/0618 20130101;  B32B 5/245 20130101;  B32B 5/024 20130101;  B01D 39/086 20130101;  B32B 2266/0264 20130101;  B32B 2264/1051 20200801;  B32B 2307/7145 20130101;  B32B 5/026 20130101;  B32B 2262/02 20130101;  B01D 2239/0258 20130101;  B32B 2262/106 20130101</t>
  </si>
  <si>
    <t>A filtration article for using in personal protective equipment ("PPE")     that includes one or more layers. The article has an external side for     facing side the environment and an internal side for facing the body of a     user. The article is air permeable but has a porosity sufficient to     entrap and thereby filter selected infectious agents (IAs). The one or     more layers comprise structures providing two or more of the following     functional features selected from the group of: (1) a structure with     oligodynamic materials for inactivating the selected IAs; (2) a structure     of carbon fibers or particles for moisture management and/or conductive     cooling; (3) a knit or woven structure having yarns in a denier gradient     that causes wicking of water from the internal side of the mask toward     the external side; (4) an energized or energizable structure that     subjects entrapped IAs to current, charged particles, electrostatic     discharge, resistive heating, IR heating and/or disruptive     electromagnetic energy; and (5) a hydrophobic structure forming an     external surface of the external side for repelling droplets and other     moisture from absorbing into the surface.</t>
  </si>
  <si>
    <t>US20210331005</t>
  </si>
  <si>
    <t>Cough Catching Device</t>
  </si>
  <si>
    <t>17/239539</t>
  </si>
  <si>
    <t>FARRIER MARGARET</t>
  </si>
  <si>
    <t>Farrier; Margaret; (Rochester, NY)</t>
  </si>
  <si>
    <t>A62B 25/00 20130101;  A62B 23/00 20130101</t>
  </si>
  <si>
    <t>A cough catching device is an apparatus used to limit the spread of     airborne and droplet-transmissible pathogens by providing a sanitary tool     to substantially capture a cough or sneeze. The cough catching device     utilizes at least one membrane enclosing an internal cavity, wherein an     aperture is formed into the membrane in fluid communication with the     internal cavity. At least one flexible member is integrated into the     membrane to bias the aperture closed over the internal cavity. The     flexible member may be manually deformed by a user to expand the     aperture, enabling a user to cough or sneeze into the internal cavity to     capture any droplets with the membrane.</t>
  </si>
  <si>
    <t>US20210331004</t>
  </si>
  <si>
    <t>PROTECTIVE EQUIPMENT</t>
  </si>
  <si>
    <t>17/238259</t>
  </si>
  <si>
    <t>LEVMARC LLC</t>
  </si>
  <si>
    <t>LEVMARC</t>
  </si>
  <si>
    <t>Levine; Steven Brian; (Weston, CT); Levine; Jenna M; (Weston, CT)</t>
  </si>
  <si>
    <t>B01D 2279/40 20130101;  A62B 23/025 20130101;  A62B 18/08 20130101;  A41D 13/1107 20130101;  A62B 18/02 20130101;  B01D 46/0019 20130101;  A62B 9/02 20130101</t>
  </si>
  <si>
    <t>A protective equipment includes a face shield configured for being worn     by a patient to minimize exposure of a healthcare worker to the patient's     bodily fluids, bacteria and/or viruses. The face shield includes a body     having an upper peripheral edge and a lower peripheral edge. At least one     port is formed in the body. The protective equipment may include a     barrier positioned in the port. The protective equipment may further     include an extended member secured to the lower peripheral edge of the     face shield, and configured to substantially inhibit or trap micro     aerosolized particles from traversing the extended member. The protective     equipment includes an air flow system configured to receive and filter     air from an environment external to the face shield and pull the     patient's expelled air away from the patient's face and filter or clean     the expelled air.</t>
  </si>
  <si>
    <t>US20210330999</t>
  </si>
  <si>
    <t>Sterile Body Suit Apparatus, System, and Method</t>
  </si>
  <si>
    <t>17/239213</t>
  </si>
  <si>
    <t>PRODUCTION PLUS CORP.</t>
  </si>
  <si>
    <t>PRODUCTION PLUS</t>
  </si>
  <si>
    <t>Garcia Risueno; Miguel; (Los Angeles, CA); Bermudez Lopez; Hugo; (Seville, ES); Civera Dominguez; Juan; (Zaragoza, ES); Zurita Bobis; Francisco; (Seville, ES); Johnson; Corey; (Los Angeles, CA); Srinivasan; Vivek; (Los Angeles, CA); de la Parra Ferreiro; Natalia; (Los Angeles, CA); McCarthy; Kyle; (Los Angeles, CA)</t>
  </si>
  <si>
    <t>A62B 9/003 20130101;  G06F 3/16 20130101;  A62B 18/08 20130101;  A41D 13/002 20130101;  A62B 25/00 20130101;  A62B 17/005 20130101;  A62B 17/006 20130101;  A62B 18/086 20130101;  A62B 18/04 20130101;  A62B 17/003 20130101;  A62B 9/00 20130101;  A42B 3/30 20130101;  A62B 7/10 20130101</t>
  </si>
  <si>
    <t>A sterile body suit apparatus, system, and method is provided. In certain     embodiments, the sterile body suit apparatus may comprise a helmet     member, a lower extremity member, and a control interface means. The     helmet member may comprise a respiratory means to provide uncontaminated,     breathable air to a wearer, an ingestion means for drinking, eating, and     vaping, and an audio communication means. The lower extremity may be     defined by a torso, a first arm, and a second arm, and may further     comprise an egestion means. Moreover, in some embodiments, the sterile     body suit may further comprise a temperature control means and a tactile     sensation means. The sterile body suit method may comprise the steps of:     providing one or more mobile computing devices; providing one or more     body suits at an environment having a local computing device; receiving,     at the one or more mobile computing devices, a suit selection; generating     and transmitting, at the one or more mobile computing devices, a suit     selection notification; receiving, at the local computing device, the     suit selection notification; and preparing and delivering, at the     environment, the one or more body suits to one or more wearers.</t>
  </si>
  <si>
    <t>US20210330912</t>
  </si>
  <si>
    <t>FACE MASKS WITH FILTERS, FACE PLATE FOR USE WITH FACE MASKS, AND TREATMENT     METHODS</t>
  </si>
  <si>
    <t>17/239735</t>
  </si>
  <si>
    <t>Groman; Boaz Barry; (Boca Raton, FL); Louis; Paul Pesach; (Boca Raton, FL)</t>
  </si>
  <si>
    <t>A61M 2205/7509 20130101;  A61M 16/0622 20140204;  A61M 16/208 20130101;  A61M 16/0694 20140204;  A61M 2202/0208 20130101;  A61M 2205/7518 20130101;  A61M 16/0093 20140204</t>
  </si>
  <si>
    <t>An adapter for retrofitting filters to face masks. Filters welded to the     mask. A spacer allowing a check valve to operate. A method of providing     oxygen and/or a nebulizing treatment to a patient is disclosed.     Modifications to a mask may include: adding nose cushion to increase     conformance of the mask to facial features; covering breathing ports with     viral/bacterial filters; and adding desiccant material to capture     moisture accumulation. A face plate fitted over and working in     conjunction with a mask which pushes the mask against a user's facial     features to assure a better fit. Straps are disposed on the face plate,     rather than on the mask. The face plate may provide or comprise: filter     protection from user contact, strap locking features, and a nebulizer     cutout.</t>
  </si>
  <si>
    <t>US20210330907</t>
  </si>
  <si>
    <t>GAS EVACUATING PATIENT INTERFACE</t>
  </si>
  <si>
    <t>17/204115</t>
  </si>
  <si>
    <t>HAIBACH; Richard Thomas; (VERONA, NY); SOFRANKO; Richard Andrew; (FINLEYVILLE, PA); ANDREWS; Derrick Blake; (MARKLETON, PA); HETE; Bernard F.; (KITTANNING, PA)</t>
  </si>
  <si>
    <t>A61M 16/0622 20140204;  A61M 16/0816 20130101;  A61M 16/009 20130101;  A61M 16/0683 20130101;  A61M 16/0003 20140204</t>
  </si>
  <si>
    <t>A patient interface for use in delivering a flow of a breathing gas to an     airway of a patient includes an inner mask having an inner cushion with     an inward curving inner sealing portion that is structured to sealingly     engage the face of the patient, and an outer mask coupled to the inner     mask. The outer mask has an outer cushion with an outward curving outer     sealing portion that is structured to sealingly engage the face of the     patient completely around, and outward from, the inner sealing portion of     the inner mask. The inner mask is sized and configured to define a     positive pressure cavity for receiving the flow of breathing gas and     convey the flow to the airway of the patient. The outer mask is sized and     configured to define a negative pressure cavity that encompasses the     inner mask and capture any gases escaping the inner mask.</t>
  </si>
  <si>
    <t>US20210330853</t>
  </si>
  <si>
    <t>AIR PURIFICATION APPARATUS</t>
  </si>
  <si>
    <t>17/238594</t>
  </si>
  <si>
    <t>MIZANDARI DAVID</t>
  </si>
  <si>
    <t>Mizandari; David; (Tbilisi, GE)</t>
  </si>
  <si>
    <t>A62B 23/02 20130101;  B01D 2279/40 20130101;  A62B 18/084 20130101;  B01D 46/46 20130101;  B01D 46/0028 20130101;  A62B 18/08 20130101;  A61L 9/20 20130101;  A62B 7/10 20130101;  A61L 2209/111 20130101;  A61L 2209/14 20130101;  A62B 9/00 20130101;  A61L 2209/12 20130101;  A62B 18/006 20130101;  A62B 9/02 20130101</t>
  </si>
  <si>
    <t>Disclosed is an air purification apparatus comprising an air inlet and an     air outlet; an air passage in fluid communication with the air inlet and     the air outlet comprising a filtration section comprising a HEPA filter;     and an ultraviolet (UV) light treatment section, wherein air in the     filtration section and the UV light treatment section are treated with UV     light.</t>
  </si>
  <si>
    <t>US20210330851</t>
  </si>
  <si>
    <t>FACE MASK WITH ENHANCED UV-C STERILIZATION FLOW PATH AND LOW RESISTANCE TO     INHALATION</t>
  </si>
  <si>
    <t>16/860888</t>
  </si>
  <si>
    <t>Bell, Adam Warwick</t>
  </si>
  <si>
    <t>BELL ADAM</t>
  </si>
  <si>
    <t>Bell; Adam Warwick; (San Francisco, CA)</t>
  </si>
  <si>
    <t>A61L 2209/12 20130101;  A62B 18/025 20130101;  A61L 9/20 20130101</t>
  </si>
  <si>
    <t>A face mask designed for easy breathability, incorporating a UV-C light     source, designed to have a long air flow pathway and/or a long dwell     time, designed to protect the wearer against disease-causing biological     agents.</t>
  </si>
  <si>
    <t>US20210330850</t>
  </si>
  <si>
    <t>Anti-Shadowing Ultraviolet "C" (UV-C) Virus Irradiation and Deactivation     Chamber with Ozone Re-circulation and Neutralization</t>
  </si>
  <si>
    <t>16/859088</t>
  </si>
  <si>
    <t>CATALAN ROBERTO</t>
  </si>
  <si>
    <t>Catalan; Roberto; (Woodbridge, VA)</t>
  </si>
  <si>
    <t>A61L 2209/212 20130101;  A61L 2209/14 20130101;  A61L 9/20 20130101;  A61L 9/122 20130101;  A61L 2209/134 20130101;  A61L 2101/02 20200801</t>
  </si>
  <si>
    <t>An anti-shadowing virus irradiation and deactivation device comprised of     air chambers having multiple ultraviolet "C" light sources, with a     selectable recirculation path to harness ozone gas produced, and a system     to neutralize said ozone gas upon exit.</t>
  </si>
  <si>
    <t>US20210330844</t>
  </si>
  <si>
    <t>FIELD DEPLOYABLE MODULAR DECONTAMINATION STATION</t>
  </si>
  <si>
    <t>17/243457</t>
  </si>
  <si>
    <t>MSI DEFENSE SOLUTIONS, LLC</t>
  </si>
  <si>
    <t>MSI DEFENSE SOLUTIONS</t>
  </si>
  <si>
    <t>HOLDEN; Maryn Merson; (Davidson, NC); FERGUSON, JR.; William Donald; (Charlotte, NC); HOLDEN; David John; (Davidson, NC)</t>
  </si>
  <si>
    <t>E04H 1/1277 20130101;  B05B 16/80 20180201;  A61L 2/26 20130101;  A61L 2202/15 20130101;  A61L 2202/24 20130101;  A61L 2202/122 20130101;  A61L 2/22 20130101;  A61L 2202/26 20130101;  B05B 16/40 20180201;  A61L 2202/14 20130101;  A61L 2202/16 20130101;  A61L 2/24 20130101;  A61L 2202/123 20130101;  A61L 2202/23 20130101</t>
  </si>
  <si>
    <t>A field deployable modular decontamination station includes a frame with     a plurality of sprayers. The frame includes side panels and a top panel.     The side panels and the top panel are configured to be attached together     to create the frame. The side panels and the top panel are configured to     be folded or disassembled for transportation or shipping. The plurality     of sprayers are attached on an inside of the frame. The plurality of     sprayers is configured to decontaminate a person or an object inside of     the frame.</t>
  </si>
  <si>
    <t>US20210330842</t>
  </si>
  <si>
    <t>LOW-COST RAPID THERMO-CHEMICAL DECONTAMINATION PROCESS FOR FACEMASKS OR     OTHER PERSONAL PROTECTION EQUIPMENT (PPE) AND RELATED SYSTEM AND     APPARATUS</t>
  </si>
  <si>
    <t>17/169260</t>
  </si>
  <si>
    <t>Carroll, III; Alf L.; (Marion, MA); Sar; David R.; (Marana, AZ); Crouch; David D.; (Riverside, CA); Carcone; John; (Portsmouth, RI)</t>
  </si>
  <si>
    <t>A61L 2/186 20130101;  A61L 2209/211 20130101;  A61L 2/208 20130101</t>
  </si>
  <si>
    <t>A system for decontaminating personal protection equipment includes a     microwave oven and a decontamination apparatus configured to be placed in     and heated by the microwave oven. The decontamination apparatus includes     a containment vessel having an interior space configured to be sealed.     The decontamination apparatus also includes one or more stands within the     interior space, where the one or more stands are configured to receive     and hold one or more pieces of personal protection equipment to be heated     by the microwave oven and decontaminated within the interior space. The     decontamination apparatus further includes a pressure-relief valve     configured to be opened to release a pressure within the interior space.</t>
  </si>
  <si>
    <t>US20210330841</t>
  </si>
  <si>
    <t>CONTAINMENT VESSELS FOR RAPID THERMO-CHEMICAL DECONTAMINATION OF FACEMASKS     OR OTHER PERSONAL PROTECTION EQUIPMENT (PPE)</t>
  </si>
  <si>
    <t>16/944617</t>
  </si>
  <si>
    <t>Crouch; David D.; (Riverside, CA); Carroll, III; Alf L.; (Marion, MA); Carcone; John; (Portsmouth, RI); Sar; David R.; (Marana, AZ); Feenstra; Travis B.; (Calimesa, CA)</t>
  </si>
  <si>
    <t>A61L 2/26 20130101;  A61L 2/208 20130101;  A61L 2202/11 20130101;  A61L 2202/121 20130101;  A61L 2/07 20130101;  A61L 2202/26 20130101;  A61L 2202/122 20130101</t>
  </si>
  <si>
    <t>An apparatus includes a containment vessel having an interior space     configured to be sealed. The interior space is configured to receive at     least one reservoir of liquid to be vaporized during a decontamination     process. The apparatus also includes a base configured to be inserted     into the interior space. The base is configured to receive one or more     pieces of personal protection equipment to be heated and decontaminated     within the interior space during the decontamination process. The base is     configured to hold the one or more pieces of personal protection     equipment above the at least one reservoir of liquid. The apparatus     further includes a pressure-relief valve configured to be opened to     release a pressure within the interior space. In some cases, the     apparatus may include a filter configured to filter material passing     through the pressure-relief valve.</t>
  </si>
  <si>
    <t>US20210330840</t>
  </si>
  <si>
    <t>SYSTEMS AND METHODS FOR REDUCING MICROBIAL AND/OR VIRAL LOADS ON EQUIPMENT     USING OZONE</t>
  </si>
  <si>
    <t>17/243344</t>
  </si>
  <si>
    <t>TEXAS A &amp; M UNIV SYS</t>
  </si>
  <si>
    <t>TEXAS M UNIV SYS</t>
  </si>
  <si>
    <t>Staack; David; (College Station, TX); Pillai; Suresh D.; (College Station, TX); Pharr; Matt; (College Station, TX); Rathore; Kavita; (Bryan, TX); Lassalle; John; (College Station, TX); Burnette; Matthew L.; (Bryan, TX); Huang; Min; (College Station, TX); Hassan; Md Kamrul; (College Station, TX)</t>
  </si>
  <si>
    <t>A61L 2202/15 20130101;  A61L 2/202 20130101;  A61L 2202/121 20130101</t>
  </si>
  <si>
    <t>A system for reducing a microbial and/or viral load on equipment using     ozone includes a container including having an open configuration to     provide access to an interior of the container and a closed configuration     to seal the interior from an environment external the container, and     wherein the interior includes a receptive region to receive the     equipment, a circulation fan positioned in the interior of the container,     and one or more ozone generators positioned in the interior of the     container and configured to generate ozone upon activation, wherein the     circulation fan is configured to provide an airflow including ozone     generated by the one or more ozone generators and directed along a     flowpath extending into the receptive region of the interior of the     container.</t>
  </si>
  <si>
    <t>US20210330825</t>
  </si>
  <si>
    <t>17/362179</t>
  </si>
  <si>
    <t>A61L 2/025 20130101;  A61L 2202/20 20130101;  A61L 2/12 20130101;  A61L 2202/14 20130101;  A61L 2202/16 20130101;  A61L 2202/17 20130101</t>
  </si>
  <si>
    <t>A method for sterilizing viruses comprises generating a beam having     radiating energy therein at a predetermined frequency for generating     mechanical eigen-vibrations in a spherical virus to destroy the spherical     virus and a predetermined cartesian beam intensity for imparting     transverse shear forces to an icosahedral lattice structure of the     spherical virus to destroy the icosahedral lattice structure of the     spherical virus using beam generation circuitry. A resonance frequency of     the spherical virus for inducing the mechanical eigen-vibrations in the     spherical virus is determined based upon a size, geometry, and protein     material of the spherical virus using a predetermined three-dimensional     acoustical model of mechanical vibrations within the spherical virus. The     beam generation at the predetermined frequency and the predetermined     cartesian beam intensity is controlled using a controller responsive to     the determined resonance frequency. The predetermined frequency equals     the resonance frequency of the spherical virus. The beam on is radiated a     predetermined area to destroy the spherical virus at the predetermined     area using radiating circuitry. The mechanical eigen-vibrations at the     resonance frequency of the spherical virus determined by the     predetermined three-dimensional acoustical model are induced within the     spherical virus to destroy the spherical virus responsive to the     predetermined frequency. The transverse shear forces are imparted to the     icosahedral lattice structure of the spherical virus to destroy the     icosahedral lattice structure of the spherical virus.</t>
  </si>
  <si>
    <t>US20210330806</t>
  </si>
  <si>
    <t>METHODS AND COMPOSITIONS INHIBITING ENVELOPED VIRUSES USING HIGH MOLECULAR     WEIGHT HYDROPHOBICALLY MODIFIED ALKALI SWELLABLE EMULSION POLYMERS</t>
  </si>
  <si>
    <t>16/856893</t>
  </si>
  <si>
    <t>Johnson &amp; Johnson</t>
  </si>
  <si>
    <t>JOHNSON &amp; JOHNSON</t>
  </si>
  <si>
    <t>Bruning; Elizabeth; (Skillman, NJ); Geonnotti, III; Anthony Robert; (Skillman, NJ); Ekman-Gunn; Euen Thomas; (Skillman, NJ); Walters; Russel; (Skillman, NJ); Oak; Alpana; (Skillman, NJ); Sun; Frank C.; (Skillman, NJ); Capone; Kimberly; (Skillman, NJ); Kirchner; Frank J.; (Skillman, NJ)</t>
  </si>
  <si>
    <t>A61K 47/32 20130101;  C12N 7/00 20130101;  A61K 9/06 20130101;  A61K 47/6903 20170801</t>
  </si>
  <si>
    <t>This invention relates to methods and compositions for inhibiting the     transmission of enveloped viruses, which entails applying a composition     containing a high molecular weight hydrophobically-modified polymer to an     infectable or ingestible surface that may contain viruses and wherein     said anti-viral composition is substantially free of surfactant having an     HLB greater than about 12.</t>
  </si>
  <si>
    <t>US20210330767</t>
  </si>
  <si>
    <t>COMPOSITION FOR THE TREATMENT OF COVID-19 INFECTION, AND A METHOD OF     TREATMENT</t>
  </si>
  <si>
    <t>17/365925</t>
  </si>
  <si>
    <t>Han, Qinghong; Hoffman, Robert</t>
  </si>
  <si>
    <t>HAN QINGHONG</t>
  </si>
  <si>
    <t>Han; Qinghong; (San Diego, CA); Hoffman; Robert; (San Diego, CA)</t>
  </si>
  <si>
    <t>A61K 38/51 20130101;  A61K 31/675 20130101;  C12Y 404/01011 20130101;  A61K 31/336 20130101;  A61K 31/245 20130101</t>
  </si>
  <si>
    <t>Oral composition and a method for the treatment of coronaviruses     infections in humans and animals. The method includes the steps of     administering orally a methionine cleaving-enzyme; administering orally     or parentally a protease inhibitor; and orally administering     pyridoxal-L-phosphate in a fluid.</t>
  </si>
  <si>
    <t>US20210330759</t>
  </si>
  <si>
    <t>METHODS AND COMPOSITIONS FOR TREATING CYTOKINE STORM, ARDS, AND ACUTE LUNG     INJURY USING BETA-GLUCOCEREBROSIDASE</t>
  </si>
  <si>
    <t>17/234301</t>
  </si>
  <si>
    <t>Li; Xiaoxia; (Cleveland, OH); Zhao; Junjie; (Cleveland Heights, OH); Zhang; Quanri; (Cleveland, OH)</t>
  </si>
  <si>
    <t>C12Y 302/01045 20130101;  A61K 38/47 20130101</t>
  </si>
  <si>
    <t>The present invention relates to methods and compositions for treating a     subject with a condition selected from: i) an on-going cytokine storm,     ii) acute respiratory distress syndrome (ARDS), and/or iii) acute lung     injury (ALI), using a composition comprising .beta.-glucocerebrosidase,     or a vector encoding .beta.-glucocerebrosidase. In certain embodiments,     the condition is caused by COVID-19 virus infection or other viral     infection.</t>
  </si>
  <si>
    <t>US20210330753</t>
  </si>
  <si>
    <t>METHODS OF TREATING COVID-19 MEDIATED LUNG DAMAGE USING SURFACTANTS AND     NATURAL ANTIBODIES</t>
  </si>
  <si>
    <t>17/242142</t>
  </si>
  <si>
    <t>KASSAB GHASSAN S</t>
  </si>
  <si>
    <t>KASSAB GHASSAN</t>
  </si>
  <si>
    <t>Kassab; Ghassan S; (La Jolla, CA); Labarrere; Carlos A; (San Diego, CA)</t>
  </si>
  <si>
    <t>C07K 16/42 20130101;  A61K 38/395 20130101;  A61P 31/14 20180101;  A61K 2039/505 20130101</t>
  </si>
  <si>
    <t>Disclosed is a method of treating respiratory viruses including     coronaviruses such as SARS-CoV-2 using surfactant, surfactant protein A     and/or surfactant protein D. The surfactant and surfactant protein     treatment can be used in combination with immunoglobulin M administered     intravenously. Surfactant proteins used in these embodiments, especially     surfactant protein D, can be harvested from an exogenous source such as     pigs, as they show improved resilience against viruses.</t>
  </si>
  <si>
    <t>US20210330728</t>
  </si>
  <si>
    <t>Methods of Clinical Treatment of a Mammal Experiencing a Viral Respiratory     Infection and/or Inflammation Resulting from a Viral Respiratory     Infection Using Botanical Infusion</t>
  </si>
  <si>
    <t>17/237145</t>
  </si>
  <si>
    <t>GARDNER JASMINE</t>
  </si>
  <si>
    <t>Gardner; Jasmine; (Ithaca, NY)</t>
  </si>
  <si>
    <t>A61K 9/0053 20130101;  A61K 36/534 20130101;  A61K 36/484 20130101;  A61P 11/00 20180101;  A61K 2236/37 20130101;  A61K 2236/17 20130101;  A61K 35/644 20130101;  A61K 2236/15 20130101;  A61K 36/61 20130101;  A61K 45/06 20130101;  A61K 36/481 20130101;  A61K 2236/331 20130101;  A61K 2236/333 20130101</t>
  </si>
  <si>
    <t>As described herein, the invention includes methods for the treatment of     a respiratory infection of a coronavirus and/or respiratory inflammation     resulting from a coronavirus infection in a mammalian individual. The     method includes administering to the individual an effective amount of a     water-based infusion prepared by steeping the leaves of eucalyptus     globulus Labill, the root of astragalus membranaceus, and the leaves of     mentha X piperita in a liquid for a time duration and administering to     the patient an effective amount of the infusion. Such administration may     be via an oral or an inhalable route. Also included are methods of making     a composition for use in the clinical treatment of a COVID-19     (SARS-CoV-2) infection and/or to treat inflammation resulting from an is     COVID-19 (SARS-CoV-2) infection comprising steeping in a liquid leaves of     eucalyptus globulus Labill, roots of astragalus membranaceus, and the     leaves of mentha X piperita, for a duration of time.</t>
  </si>
  <si>
    <t>US20210330705</t>
  </si>
  <si>
    <t>TOLEROGENIC DENDRITIC CELLS FOR TREATMENT OF ACUTE RESPIRATORY DISTRESS     SYNDROME</t>
  </si>
  <si>
    <t>17/237475</t>
  </si>
  <si>
    <t>A61K 35/15 20130101;  A61K 31/436 20130101</t>
  </si>
  <si>
    <t>Disclosed are compositions of matter, cells, and therapeutic protocols     useful for treatment of acute respiratory distress syndrome (ARDS). In     some embodiments the invention teaches treatment of ARDS caused by     viruses including COVID-19 through administration of an immature     population of dendritic cells at a concentration and frequency to inhibit     pulmonary inflammation, alveolar leakage, and loss of pulmonary function.     In some embodiments immature dendritic cells are generated by culture of     autologous and/or allogeneic monocytes with IL-4 and GM-CSF without a     maturation step. In other embodiments, generation of immature dendritic     cells is performed by administration on NF-kappa B inhibitors. In other     embodiments dendritic cells are utilized in an immature form to stimulate     generation of T regulatory cells.</t>
  </si>
  <si>
    <t>US20210330701</t>
  </si>
  <si>
    <t>METHODS AND COMPOSITIONS FOR INHIBITING ENVELOPED VIRUSES USING HIGH     MOLECULAR WEIGHT HYDROPHOBICALLY MODIFIED ALKALI SWELLABLE EMULSION     POLYMERS AND SURFACTANT</t>
  </si>
  <si>
    <t>16/856861</t>
  </si>
  <si>
    <t>A61P 31/18 20180101;  A61K 31/78 20130101;  A61K 31/085 20130101;  A61K 9/0014 20130101</t>
  </si>
  <si>
    <t>This invention relates to methods and compositions for inhibiting the     transmission of enveloped viruses, which entails applying a composition     containing a high molecular weight hydrophobically-modified polymer to an     infectable or ingestible surface that may contain viruses and wherein     said anti-viral composition comprises less than about 9% by weight of     surfactant having an HLB greater than about 12.</t>
  </si>
  <si>
    <t>US20210330700</t>
  </si>
  <si>
    <t>METHODS AND COMPOSITIONS FOR INHIBITING INFLUENZA VIRUSES USING LOW     MOLECULAR WEIGHT HYDROPHOBICALLY MODIFIED POLYMERS AND POLYALKYLENE     GLYCOLS</t>
  </si>
  <si>
    <t>16/856801</t>
  </si>
  <si>
    <t>Bruning; Elizabeth; (Skillman, NJ); Capone; Kimberly; (Skilllman, NJ); Gandolfi; Lisa Renee; (Skillman, NJ); Geonnotti, III; Anthony Robert; (Skillman, NJ); Ekman-Gunn; Euen Thomas; (Skillman, NJ); Johnson; Diana Roshek; (Skillman, NJ); Kirchner; Frank J.; (Skillman, NJ); Moses; Selina; (Skillman, NJ); Santora; Delores; (Skillman, NJ); Walters; Russel; (Skillman, NJ); Sun; Frank C.; (Skillman, NJ)</t>
  </si>
  <si>
    <t>A61K 9/0014 20130101;  A61P 31/16 20180101;  A61K 31/78 20130101</t>
  </si>
  <si>
    <t>This invention relates to methods and compositions for inhibiting the     transmission of influenza viruses, which entails applying a composition     containing a polyalkylene glycol compound to an infectable or ingestible     surface that may contain viruses. It further relates to methods and     compositions for inhibiting the transmission of influenza and other     enveloped viruses, which entails applying a composition containing a     polyalkylene glycol compound and a low molecular weight     hydrophobically-modified polymer to an infectable or ingestible surface     that may contain viruses.</t>
  </si>
  <si>
    <t>US20210330699</t>
  </si>
  <si>
    <t>METHODS OF INHIBITING ENVELOPED VIRUSES USING LOW MOLECULAR WEIGHT     HYDROPHOBICALLY MODIFIED POLYMERS</t>
  </si>
  <si>
    <t>16/856766</t>
  </si>
  <si>
    <t>A61K 31/78 20130101</t>
  </si>
  <si>
    <t>This invention relates to methods and compositions for inhibiting the     transmission of enveloped viruses, which entails applying a composition     containing a low molecular weight hydrophobically-modified polymer to an     infectable or ingestible surface that may contain viruses, wherein said     compositions further comprise less than about 9% by weight of surfactant     having an HLB of greater than 12.</t>
  </si>
  <si>
    <t>US20210330698</t>
  </si>
  <si>
    <t>METHODS AND COMPOSITIONS FOR INHIBITING ENVELOPED VIRUSES USING LOW     MOLECULAR WEIGHT HYDROPHOBICALLY MODIFIED POLYMERS</t>
  </si>
  <si>
    <t>16/856735</t>
  </si>
  <si>
    <t>A61P 31/18 20180101;  A61K 9/0014 20130101;  A61K 31/085 20130101;  A61P 31/20 20180101;  A61K 31/78 20130101;  A61P 31/16 20180101;  A61P 31/14 20180101</t>
  </si>
  <si>
    <t>This invention relates to methods and compositions for inhibiting the     transmission of enveloped viruses, which entails applying a composition     containing a low molecular weight hydrophobically-modified polymer to an     infectable or ingestible surface that may contain viruses and wherein     said composition is substantially free of surfactant having an HLB     greater than about 12.</t>
  </si>
  <si>
    <t>US20210330685</t>
  </si>
  <si>
    <t>INHALATION FORMULATIONS OF 1'-CYANO SUBSTITUTED CARBA-NUCLEOSIDE ANALOGS</t>
  </si>
  <si>
    <t>17/222125</t>
  </si>
  <si>
    <t>Ellis; Scott; (San Carlos, CA); Rautiola; Davin S.; (Pacifica, CA); Siegel; Dustin S.; (Half Moon Bay, CA); Toteva; Maria M.; (South San Francisco, CA); Vandersteen; Adelle A.; (San Mateo, CA)</t>
  </si>
  <si>
    <t>A61K 31/675 20130101;  A61K 31/685 20130101;  A61K 9/0078 20130101;  A61K 47/40 20130101;  A61P 31/14 20180101;  A61K 9/19 20130101;  A61K 9/0019 20130101</t>
  </si>
  <si>
    <t>The present disclosure provides pharmaceutical formulations of the     compound of Formula I, Formula Ia, or Formula Ib, or a pharmaceutically     acceptable salt thereof, and an aqueous vehicle. The pharmaceutical     formulations of the disclosure are useful in treatment and prevention of     viral infections in subjects in need thereof and are for administration     by inhalation.</t>
  </si>
  <si>
    <t>US20210330683</t>
  </si>
  <si>
    <t>17/234728</t>
  </si>
  <si>
    <t>A61K 31/4709 20130101;  A61K 31/497 20130101;  A61K 31/165 20130101;  A61K 31/675 20130101;  A61K 31/513 20130101;  A61K 31/4418 20130101;  A61K 31/40 20130101;  A61K 31/403 20130101;  A61K 31/7072 20130101;  A61K 47/44 20130101;  A61K 31/422 20130101;  A61K 31/496 20130101;  A61K 31/435 20130101;  A61K 31/536 20130101;  A61K 31/427 20130101;  A61K 47/36 20130101;  A61K 31/505 20130101;  A61K 31/575 20130101;  A61K 31/635 20130101;  A61K 31/4439 20130101;  A61K 31/551 20130101;  A61K 31/4433 20130101;  A61K 9/107 20130101;  A61K 35/413 20130101;  A61K 31/445 20130101</t>
  </si>
  <si>
    <t>US20210330663</t>
  </si>
  <si>
    <t>PRODUCTS OF MANUFACTURE AND METHODS FOR TREATING, PREVENTING, AMELIORATING     OR PREVENTING CORONAVIRUS INFECTION</t>
  </si>
  <si>
    <t>17/371009</t>
  </si>
  <si>
    <t>Topelia Australia Limited</t>
  </si>
  <si>
    <t>TOPELIA AUST</t>
  </si>
  <si>
    <t>A61K 9/0053 20130101;  A61K 31/137 20130101;  A61K 31/436 20130101;  A61K 9/0078 20130101;  A61K 9/0019 20130101;  A61M 15/0068 20140204;  A61K 31/215 20130101;  A61K 31/4409 20130101;  A61P 31/14 20180101;  A61K 39/215 20130101;  A61K 31/7052 20130101;  A61M 15/08 20130101;  A61K 31/426 20130101;  A61M 15/009 20130101;  C12N 7/00 20130101;  A61M 15/0045 20130101;  A61K 39/3955 20130101;  A61M 2202/064 20130101;  A61K 9/0075 20130101;  A61K 31/4706 20130101;  C12N 2770/20034 20130101;  A61K 38/21 20130101;  A61K 31/513 20130101</t>
  </si>
  <si>
    <t>In alternative embodiments, provided are pharmaceutical compositions     comprising combinations of drugs, including products of manufacture and     kits, and methods for using them, for treating, preventing, ameliorating,     slowing the progress of, decreasing the severity of or preventing a     coronavirus infection, or a COVID-19 or a 2019-nCoV (or so-called Wuhan     coronavirus) infection, or an infection caused by a virus in the     subfamily Orthocoronavirinae, or a virus in the family Coronaviridae, or     a virus in the order Nidovirales. In alternative embodiments,     combinations, or cocktails, of a drug or drugs as provided herein are     administered either enterally, parenterally and/or by inhalation. In     alternative embodiments, combinations, or cocktails, of drugs as provided     herein are used to block intracellular metabolic pathways and prevent     progression of the infection to clinical illness and death. In     alternative embodiments, novel aerosol or powder formulations for     inhalation are provided. In alternative embodiments, provided are     therapeutic combinations of drugs or a drug, a pharmaceutical dosage     form, a drug delivery device, or a product of manufacture, comprising:     opaganib or YELIVA.TM., or opaganib or YELIVA.TM. and oral and/or inhaled     chloroquine (or ARALEN.TM.), chloroquine phosphate, chloroquine     diphosphate and/or hydroxychloroquine (e.g., PLAQUENIL.TM.), wherein     optionally each or both of the opaganib and the chloroquine (or     ARALEN.TM.), chloroquine phosphate, chloroquine diphosphate and/or     hydroxychloroquine (e.g., PLAQUENIL.TM.) are in or formulated as a     formulation for inhalation, for example, formulated as an aerosol, liquid     or powder.</t>
  </si>
  <si>
    <t>US20210330661</t>
  </si>
  <si>
    <t>Use Of Tafenoquine, Boceprevir Or Narlaprevir For Treating Infection Of     SARS-COV-2 And Medical Composition Thereof</t>
  </si>
  <si>
    <t>17/237335</t>
  </si>
  <si>
    <t>CHINA MEDICAL UNIVERSITY</t>
  </si>
  <si>
    <t>Hung; Mien-Chie; (Taichung City, TW); Chen; Yeh; (Taichung City, TW); Yang; Wen-Hao; (Yilan County, TW); Yang; Chia-Shin; (Tuku Township, TW); Hung; Yu-Lin; (Taichung City, TW); Wang; Yu-Quan; (New Taipei City, TW); Chou; Yi-Zhen; (Taichung City, TW); Hou; Mei-Hui; (Taibao City, TW); Tsai; Chia-Ling; (Taichung City, TW); Huang; Bao-Yue; (Tainan City, TW); Hung; Chian-Fang; (Taichung City, TW)</t>
  </si>
  <si>
    <t>A61K 31/403 20130101;  A61K 31/47 20130101;  A61K 31/706 20130101</t>
  </si>
  <si>
    <t>The present disclosure relates to a method for preventing or inhibiting a     synthesis of viral RNA of SARS-CoV-2 in a cell including contacting the     cell with a sufficient concentration of tafenoquine, boceprevir or     narlaprevir and a method for inhibiting an activity of a main protease     (M.sup.pro) of SARS-CoV-2 including contacting a SARS-CoV-2 with a     sufficient concentration of tafenoquine, boceprevir or narlaprevir. A     medical composition for use in a treatment of an infection of SARS-CoV-2     including a therapeutically effective amount of tafenoquine, boceprevir     or narlaprevir is also provided.</t>
  </si>
  <si>
    <t>US20210330635</t>
  </si>
  <si>
    <t>THERAPEUTIC COMPOSITIONS, PRODUCTS OF MANUFACTURE AND METHODS FOR     AMELIORATING OR PREVENTING CORONAVIRUS INFECTION</t>
  </si>
  <si>
    <t>17/371036</t>
  </si>
  <si>
    <t>A61K 9/0053 20130101;  A61K 31/375 20130101;  A61K 9/14 20130101;  A61K 33/30 20130101;  A61K 31/47 20130101;  A61K 31/7052 20130101;  A61K 9/20 20130101;  A61K 9/0073 20130101;  A61K 31/35 20130101;  A61K 31/593 20130101</t>
  </si>
  <si>
    <t>In alternative embodiments, provided are pharmaceutical compositions     comprising combinations of drugs, including products of manufacture and     kits, and methods for using them, for treating, preventing, ameliorating,     slowing the progress of, decreasing the severity of or preventing a     coronavirus infection, or a COVID-19 or a 2019-nCoV (or so-called Wuhan     coronavirus) infection, or an infection caused by a virus in the     subfamily Orthocoronavirinae, or a virus in the family Coronaviridae, or     a virus in the order Nidovirales. In alternative embodiments,     combinations, or cocktails, of a drug or drugs as provided herein are     administered either enterally, parenterally and/or by inhalation. In     alternative embodiments, combinations, or cocktails, of drugs as provided     herein are used to block intracellular metabolic pathways and prevent     progression of the infection to clinical illness and death. In     alternative embodiments, novel aerosol, spray or mist or powder     formulations for inhalation are provided. In alternative embodiments,     provided are therapeutic combinations of drugs or a drug, a     pharmaceutical dosage form, a drug delivery device, or a product of     manufacture, comprising: opaganib or YELIVA.TM., or opaganib or     YELIVA.TM. and oral and/or inhaled chloroquine (or ARALEN.TM.)     chloroquine phosphate, chloroquine diphosphate and/or hydroxychloroquine     (optionally, PLAQUENIL.TM.), with or without azithromycin, wherein     optionally each or all of the opaganib, the chloroquine (or ARALEN.TM.),     chloroquine phosphate, chloroquine diphosphate and/or hydroxychloroquine     (optionally, PLAQUENIL.TM.) and/or azithromycin, and others, are in or     formulated as a formulation for inhalation, for example, formulated as an     aerosol, spray, mist, liquid or powder.</t>
  </si>
  <si>
    <t>US20210330631</t>
  </si>
  <si>
    <t>FORMULATION OF CALCIUM CHANNEL BLOCKERS FOR TREATMENT OF SARS-COV-2     INDUCED COVID-19 AND OTHER RESPIRATORY VIRUSES THROUGH PULMONARY DELIVERY</t>
  </si>
  <si>
    <t>17/234112</t>
  </si>
  <si>
    <t>JADHAV, MANOJ PURUSHOTTAM</t>
  </si>
  <si>
    <t>JADHAV MANOJ</t>
  </si>
  <si>
    <t>Jadhav; Manoj Purushottam; (Parsippany, NY); Devarakonda; Ramakrishna; (Ballwin, MO)</t>
  </si>
  <si>
    <t>A61K 31/277 20130101;  A61K 47/02 20130101;  A61P 31/14 20180101;  A61K 9/0078 20130101</t>
  </si>
  <si>
    <t>The invention relates to a formulation of Calcium Channel Blocker (CCB)     through pulmonary delivery using an inhaler, nebulizer or a similar     delivery system against a novel coronavirus Severe Acute Respiratory     Syndrome Coronavirus 2 (SARS-CoV-2) induced COVID-19 and other     respiratory viruses such as influenza, SARS, MERS etc. The formulation     comprises verapamil hydrochloride at a concentration between 15 mg/mL and     25 mg/mL, sodium chloride at a concentration of 6.25 mg/mL and distilled     water at a volume between q.s. to 1 mL. The formulation is administered     as pulmonary delivery through nasal spray. The calcium signaling plays an     important role in entry and replication of virus in the host cell and     hence targeting the calcium channels or pumps that mediate the mobility     of the intracellular calcium is an effective target for SARS-CoV-2     infection.</t>
  </si>
  <si>
    <t>US20210330622</t>
  </si>
  <si>
    <t>VIRAL INFECTION TREATMENT WITH 5-AMINOLEVULINIC ACID</t>
  </si>
  <si>
    <t>17/340064</t>
  </si>
  <si>
    <t>Raju, Nadimpally Satyavarahala; Attili, Venkata Satya Suresh; Varma, Nadimpally Neha; Moore, Steven Jerome; Moore, Cullen Thomas</t>
  </si>
  <si>
    <t>RAJU NADIMPALLY</t>
  </si>
  <si>
    <t>Raju; Nadimpally Satyavarahala; (Hyderabad, IN); Attili; Venkata Satya Suresh; (Hyderabad, IN); Varma; Nadimpally Neha; (Hyderabad, IN); Moore; Steven Jerome; (Newtown, CT); Moore; Cullen Thomas; (Newtown, CT)</t>
  </si>
  <si>
    <t>A61K 31/375 20130101;  A61K 31/197 20130101;  A61K 36/23 20130101;  A61K 31/315 20130101</t>
  </si>
  <si>
    <t>A method for amelioriation of, or prophylaxis against, a viral infection     comprising administering to a patient in need of treatment a     therapeutically effective amount of 5 aminolevulinic acid, optionally     with at least one of cucumarin nano, zinc, vitamin C and methylene blue,     and compositions thereof. Such compositions may be used for the treatment     of coronavirus infections, including the SARS-CoV-2 virus, and/or     rhinoviruses.</t>
  </si>
  <si>
    <t>US20210330587</t>
  </si>
  <si>
    <t>ORAL SANITIZER AND IMMUNE SUPPORT FOR VIRAL AND BACTERIAL PREVENTION</t>
  </si>
  <si>
    <t>17/243520</t>
  </si>
  <si>
    <t>COVIGUARD CORP</t>
  </si>
  <si>
    <t>COVIGUARD</t>
  </si>
  <si>
    <t>KAO; LISA MARIE; (MIAMI, FL); GARCIA-GODOY; FRANKLIN; (CORDOVA, TN)</t>
  </si>
  <si>
    <t>A61K 9/0078 20130101;  A61K 47/10 20130101;  A61K 45/06 20130101;  A61K 9/0056 20130101;  A61K 47/40 20130101;  A61K 47/02 20130101;  A61K 47/12 20130101</t>
  </si>
  <si>
    <t>An oral sanitizer composition with immune support for viral, bacterial     and COVID-19 prevention. The oral sanitizer composition formulated into a     mouthwash, a mouth rinse, a mouth strip a throat lozenge, a mouth spray,     a throat spray or a nasal spray. The oral sanitizer composition being     formulated with alcohol and without alcohol.</t>
  </si>
  <si>
    <t>US20210330534</t>
  </si>
  <si>
    <t>PROTECTIVE BARRIER SYSTEM AND METHOD OF USING SAME</t>
  </si>
  <si>
    <t>17/238379</t>
  </si>
  <si>
    <t>AER SUPPLY CONCEPTS LTD</t>
  </si>
  <si>
    <t>AER SUPPLY CONCEPTS</t>
  </si>
  <si>
    <t>QUAST; Ryan Patrick; (Vancouver, CA); CANE; Jennifer Teresa; (New Westminster, CA); GOLKAR; Babak; (North Vancouver, CA)</t>
  </si>
  <si>
    <t>A61B 90/05 20160201;  A61G 10/005 20130101</t>
  </si>
  <si>
    <t>A protective barrier system that blocks and prevents infectious aerosols     generated by or around a supine patient from escaping into a surrounding     environment and reaching and contaminating a healthcare worker treating     the patient with a patient interface device. The system includes a     flexible, fluid-impervious sheet that covers the patient and blocks and     prevents escape of the infectious aerosols into the surrounding     environment. The sheet has an aperture that is adapted to enables access     to the patient and couple to the interface device without gapping for     blocking of the infectious aerosols and operative positioning of the     system over and on the patient. A corresponding method is also disclosed.</t>
  </si>
  <si>
    <t>US20210330533</t>
  </si>
  <si>
    <t>CONVERTIBLY PREFABRICATED MODULAR INPATIENT UNIT WITH ENABLING CONTINUOUS     RECONFIGURATION AND REDEPLOYMENT</t>
  </si>
  <si>
    <t>17/237555</t>
  </si>
  <si>
    <t>FU JEN CATHOLIC UNIVERSITY HOSPITAL, FU JEN CATHOLIC UNIVERSITY</t>
  </si>
  <si>
    <t>JEN CATHOLIC UNIVERSITY HOSPITAL</t>
  </si>
  <si>
    <t>CHIANG; Han-Sun; (New Taipei City, TW); JIANG; Ching-Chuan; (New Taipei City, TW); CHAO; Heng-Tai; (New Taipei City, TW); LIU; Wei-Lun; (New Taipei City, TW); JIANG; Yi-Jen; (New Taipei City, TW); LAI; Shiau-Jiun; (New Taipei City, TW); LIN; Heng-Lang; (New Taipei City, TW); YU; Po-Jui; (New Taipei City, TW); HSIEH; Chin-Yu; (New Taipei City, TW); TSAI; Chia-Jung; (New Taipei City, TW); WU; Yu-Hsuan; (New Taipei City, TW)</t>
  </si>
  <si>
    <t>E04H 1/005 20130101;  E04H 1/12 20130101;  A61L 9/205 20130101;  A61L 2209/16 20130101;  A61G 10/005 20130101;  A61G 10/02 20130101;  A61L 2209/14 20130101</t>
  </si>
  <si>
    <t>The present invention provides an inpatient unit of modular design, built     of recycled materials and environmentally friendly materials, allowing     reconfiguration, redeployment and quick assembly, preventing indoor air     from leaking, applicable to epidemic prevention and treating special     patients, with high structural strength, lower cost and good     environmental benefit.</t>
  </si>
  <si>
    <t>US20210330418</t>
  </si>
  <si>
    <t>DEVICES, SYSTEMS, AND METHODS FOR PROTECTING HEALTHCARE WORKERS FROM     AIRBORNE PATHOGENS</t>
  </si>
  <si>
    <t>17/190028</t>
  </si>
  <si>
    <t>INQUIS MEDICAL, INC.</t>
  </si>
  <si>
    <t>INQUIS MEDICAL</t>
  </si>
  <si>
    <t>SAADAT; Mojgan; (Atherton, CA); SAADAT; Vahid; (Atherton, CA); FOX; William Jason; (San Mateo, CA); GOULD; William L.; (Santa Fe, NM); HERRON; Matthew Allison; (Hayward, CA); POUTIATINE; Andrew Ivan; (Mill Valley, CA)</t>
  </si>
  <si>
    <t>A62B 18/025 20130101;  A61B 46/20 20160201;  A61B 90/40 20160201;  A62B 18/006 20130101;  A62B 18/10 20130101;  A62B 18/08 20130101;  A61B 2090/401 20160201;  A41D 13/11 20130101</t>
  </si>
  <si>
    <t>An isolation barrier and method of using it. The isolation barrier     includes a mask with a face opening and at least one access opening in     front of the subject's nose and/or mouth and an enclosure having a first     enclosure opening attached around the access opening, a second enclosure     opening, and flexible material extending from the first enclosure opening     to the second enclosure opening and defining an enclosure interior, the     flexible material comprising at least one area through which the     enclosure interior can be viewed, the mask and enclosure interior     defining a medical procedure field extending from the subject's nose and     mouth to the second enclosure opening when the isolation barrier is in     place on the subject's face.</t>
  </si>
  <si>
    <t>US20210330413</t>
  </si>
  <si>
    <t>MEDICAL ISOLATION DEVICES AND METHODS</t>
  </si>
  <si>
    <t>17/237838</t>
  </si>
  <si>
    <t>FRESHWATER HOLDINGS, LLC</t>
  </si>
  <si>
    <t>FRESHWATER</t>
  </si>
  <si>
    <t>Feeley; Anastacia; (Traverse City, MI); Bauman; Kristin; (Traverse City, MI); Kurjan; Kristen; (Traverse City, MI); Kurjan; Aaron; (Traverse City, MI)</t>
  </si>
  <si>
    <t>A61B 2217/005 20130101;  A61B 46/23 20160201;  A61B 2562/0247 20130101</t>
  </si>
  <si>
    <t>A medical isolation device for use by a medical professional to safely     create a barrier between the medical professional and an ill patient in     need of treatment, such as intubation. The medical isolation device has a     body, a drape, a porthole, and a porthole cover. The medical isolation     device may also have ports, such as suction and oxygen ports. The body     and the drape form the medical isolation device that may be placed over     the head and neck of a patient. The body extends between a base edge and     a front side edge, formed among a first side edge, a second side edge, a     top side edge, and a back side edge.</t>
  </si>
  <si>
    <t>US20210330269</t>
  </si>
  <si>
    <t>RISK PREDICTION FOR COVID-19 PATIENT MANAGEMENT</t>
  </si>
  <si>
    <t>16/891309</t>
  </si>
  <si>
    <t>Sharma; Puneet; (Princeton Junction, NJ); Schmuecking; Ingo; (Yardley, PA); Grbic; Sasa; (Plainsboro, NJ); Comaniciu; Dorin; (Princeton Junction, NJ)</t>
  </si>
  <si>
    <t>A61B 6/032 20130101;  G16H 70/60 20180101;  A61B 5/7267 20130101;  G16H 50/50 20180101;  A61B 5/055 20130101;  G06K 9/66 20130101;  A61B 5/7275 20130101;  G06T 7/0012 20130101;  A61B 8/5223 20130101;  G16H 50/20 20180101;  G06T 2207/30061 20130101;  G16H 30/40 20180101;  G16H 50/30 20180101;  G16H 70/20 20180101;  G16H 50/70 20180101;  A61B 6/5217 20130101;  G16H 30/20 20180101;  A61B 8/08 20130101</t>
  </si>
  <si>
    <t>Systems and methods for predicting risk for a medical event associated     with evaluating or treating a patient for a disease are provided. Input     medical imaging data and patient data of a patient are received. The     input medical imaging data includes abnormality patterns associated with     a disease. Imaging features are extracted from the input medical imaging     data using a trained machine learning based feature extraction network.     One or more of the extracted imaging features are normalized. The one or     more normalized extracted imaging features and the patient data are     encoded into features using a trained machine learning based encoder     network. Risk for a medical event associated with evaluating or treating     the patient for the disease is predicted based on the encoded features.</t>
  </si>
  <si>
    <t>US20210330098</t>
  </si>
  <si>
    <t>SCREEN ATTACHMENT APPARATUS, KIT FOR QUICK DEPLOYMENT OF A SCREEN     APPARATUS THAT CAN PROVIDE BIOHAZZARD PROTECTION AND/OR PRIVACY AND     METHOD OF POSITIONING A PRIVACY SCREEN ADJACENT A WORK SURFACE</t>
  </si>
  <si>
    <t>17/240392</t>
  </si>
  <si>
    <t>KNOLL, INC.</t>
  </si>
  <si>
    <t>KNOLL</t>
  </si>
  <si>
    <t>Udagawa; Masamichi; (New York, NY); Moeslinger; Sigrid; (New York, NY); Lee; Jeffrey P.; (East Greenville, PA)</t>
  </si>
  <si>
    <t>E04B 2002/7483 20130101;  A47G 5/00 20130101;  A47B 96/20 20130101;  E04B 2/74 20130101;  A47B 2200/12 20130101;  A47B 2200/0085 20130101;  A47B 83/001 20130101</t>
  </si>
  <si>
    <t>A privacy screen attachment apparatus can include a connection mechanism     configured for attachment or releasable attachment to a bottom of a work     surface and/or a perimeter edge of the work surface for retaining a     privacy screen body at the perimeter edge of the work surface so the body     extends above the work surface. In some embodiments, the screen body can     include the connection mechanism such that a portion of the screen body     is foldable for attachment to the bottom of the work surface while a     lower portion above the foldable portion is attachable to the perimeter     edge of the work surface. In other embodiments, the connection mechanism     can be a separate element that is positioned to retain or otherwise     position a lower edge portion of the privacy screen body adjacent the     perimeter edge of the work surface and/or in contact with the perimeter     edge of the work surface.</t>
  </si>
  <si>
    <t>US20210329999</t>
  </si>
  <si>
    <t>17/302040</t>
  </si>
  <si>
    <t>ACKERMAN JEFFREY</t>
  </si>
  <si>
    <t>Ackerman; Jeffrey; (Arvada, CO)</t>
  </si>
  <si>
    <t>A41D 13/1161 20130101;  A41D 13/1184 20130101</t>
  </si>
  <si>
    <t>A face shield made of a single sheet of transparent material. An example     face shield includes a front face covering, a first side strap having a     tab, and a second side strap having at least one slot. The slot is     configured to engage with the tab on the first side strap to assemble the     first side strap to the second side strap and form a band for positioning     the face shield on a user's head. A cantilever tab is provided above the     front face covering, and a slot is formed in the front face covering. The     cantilever tab rolls back onto the front face covering and the cantilever     tab connects into the slot to form an adjustable spacer to maintain a     distance between the user's head and the front face covering when worn by     the user.</t>
  </si>
  <si>
    <t>US20210329994</t>
  </si>
  <si>
    <t>Multi-Purpose Face Mask</t>
  </si>
  <si>
    <t>16/900959</t>
  </si>
  <si>
    <t>Sun, Dominique; Sun, Rachel</t>
  </si>
  <si>
    <t>SUN DOMINIQUE</t>
  </si>
  <si>
    <t>Sun; Dominique; (Tustin, CA); Sun; Rachel; (Tustin, CA)</t>
  </si>
  <si>
    <t>A41D 31/02 20130101;  A41D 13/1161 20130101;  A41D 13/1115 20130101</t>
  </si>
  <si>
    <t>A face mask has an outer layer made of a polyester-cotton blend material,     an inner layer that is stitched or sewn to the outer layer in a manner     which defines a pocket space between the inner and outer layers, and     having a slit provided along an edge of the inner layer providing access     to the pocket space. A replaceable filter piece can be inserted into, or     removed from, the pocket space via the slit. The face mask can be     provided with straps that are adjustable.</t>
  </si>
  <si>
    <t>US20210329992</t>
  </si>
  <si>
    <t>FACE SHIELD FOR USE WITH A PHOROPTER</t>
  </si>
  <si>
    <t>17/242076</t>
  </si>
  <si>
    <t>VISIBLEBLISS LLC</t>
  </si>
  <si>
    <t>VISIBLEBLISS</t>
  </si>
  <si>
    <t>Fenton; Elvin; (Argyle, TX)</t>
  </si>
  <si>
    <t>A41D 13/1138 20130101</t>
  </si>
  <si>
    <t>A face shield for use with phoropters is described with methods for using     the same. The face shield includes a central cavity, which is defined by     a front wall and one or more sidewalls extending outwardly from a     perimeter of the front wall. The central cavity is configured for     surrounding a nasal region, an oral region, and a mental region of an     adult person's face. The face shield includes one or more attachment     features extending outwardly from the central cavity and configured for     attaching the face shield to the phoropter. A method for securing a face     shield including attachment features and a central cavity defining an     upper cavity region, a middle cavity region, and a lower cavity region to     a phoropter is described. The method includes positioning the upper     cavity region between lens housings of the phoropter and attaching the     attachment features to securing components of the phoropter.</t>
  </si>
  <si>
    <t>US20210329990</t>
  </si>
  <si>
    <t>ARTICLE FOR PERSONAL PROTECTIVE EQUIPMENT USING AN ELECTROCEUTICAL SYSTEM</t>
  </si>
  <si>
    <t>17/239355</t>
  </si>
  <si>
    <t>A41D 13/1192 20130101;  A41D 13/113 20130101;  A61L 9/22 20130101</t>
  </si>
  <si>
    <t>An electroceutical system integrated into an article of personal     protective equipment (PPE) like a face mask. The system consists of an     electrochemical cell consisting of an anodic zone capable of serving as     an anode, a cathodic zone capable of serving as a cathode and,     optionally, a selectively conductive switch zone electrically couplable     to and separating the anodic and cathodic zones and serving to switch on     and off current flow between the anodic and cathodic zones.</t>
  </si>
  <si>
    <t>US20210329987</t>
  </si>
  <si>
    <t>16/860917</t>
  </si>
  <si>
    <t>Austin, Tommye Joyce</t>
  </si>
  <si>
    <t>AUSTIN TOMMYE</t>
  </si>
  <si>
    <t>Austin; Tommye Joyce; (San Antionio, TX)</t>
  </si>
  <si>
    <t>A41D 13/11 20130101</t>
  </si>
  <si>
    <t>A face mask is made from five layers of surgical drape, synthetic     filtration material having a bacterial filtration effective of 95% and a     synthetic MERV-13 filtration material. The five layers are folded and cut     on each side at approximately 45 degrees. Front folds provide a pocket     for air exchange in the front area of the face mask. Edge folds provide a     border and hold a memory strip in place over wearer's nose. The 45 degree     sides are sewed together with a border, plus attaching ends of two bungee     strips thereto. The first bungee strip extends to the neck area below the     head of the wearer and, with a first bungee lock, pulls the face mask     into the nose. The second bungee cord strip extends to the top rear of     head of the wearer and, with a second bungee lock, pulls the mask under     the chin. By pressing the memory strip and tightening the bungee locks, a     tight fit is provided on the face mask to the wearer.</t>
  </si>
  <si>
    <t>US20210329926</t>
  </si>
  <si>
    <t>Effective Disinfectant System for Elimination of RNA Viruses</t>
  </si>
  <si>
    <t>16/858700</t>
  </si>
  <si>
    <t>WANG LIMING</t>
  </si>
  <si>
    <t>Wang; Liming; (Solon, OH)</t>
  </si>
  <si>
    <t>C12N 9/22 20130101;  A01N 63/50 20200101;  C12Y 304/21064 20130101;  C12N 9/6427 20130101;  C12N 9/6424 20130101;  C12Y 304/21004 20130101</t>
  </si>
  <si>
    <t>Pandemic COVID 19 causes global crisis in human health and economy. The     pathogen of COVID 19, like the Influenzas causing common flus, belongs to     a common type of virus called Ribonucleic Acid (RNA) virus. RNA viruses     are composed of three structural components: genomic RNA, envelop and     nuclear proteins, and bilayer lipid membrane. Targeting COVID 19 and all     RNA viruses, the present invention describes an effective disinfectant     system, which applies the combination of RNases, proteases, and     detergents, at a broad range of concentration, pH, and temperature in the     utilization, to eliminate the RNA viruses from any contaminated surfaces,     airways, and filters. The disinfectant system provides an effective,     convenient, environment friendly, and safe solution, for commercial and     customer use, to disinfect RNA virus pathogens in concern.</t>
  </si>
  <si>
    <t>US20210329585</t>
  </si>
  <si>
    <t>CONTACT TRACKING METHOD AND RELATED SERVER</t>
  </si>
  <si>
    <t>17/229881</t>
  </si>
  <si>
    <t>GROUNDHOG TECHNOLOGIES INC.</t>
  </si>
  <si>
    <t>GROUNDHOG</t>
  </si>
  <si>
    <t>Mamlet; Geoffrey Paul Bloch; (Taipei City, TW); Chiou; Ta-Gang; (Taipei City, TW); Lo; Tzu-Yi; (Taipei City, TW)</t>
  </si>
  <si>
    <t>H04B 17/318 20150115;  H04B 17/27 20150115;  H04W 64/006 20130101</t>
  </si>
  <si>
    <t>A contact tracking method and a related server are provided. In the     method, the positioning information of multiple user equipments (UEs) is     obtained. The UEs transmit wireless signals. The positioning information     is determined based on the wireless signal. The wireless signal indicates     a network provider identifier, a signal strength, or geolocation. The     travel routes of the UEs are determined. Each travel route records the     positioning information of one UE over time. The travel routes are     analyzed to determine a contact situation between a first UE and a second     UE of the UEs based on a contact criteria.</t>
  </si>
  <si>
    <t>US20210327595</t>
  </si>
  <si>
    <t>SYSTEMS AND METHODS FOR TRACKING AND MANAGING INFECTIOUS DISEASES WHILE     MAINTAINING PRIVACY, ANONYMITY AND CONFIDENTIALITY OF DATA</t>
  </si>
  <si>
    <t>17/234675</t>
  </si>
  <si>
    <t>G16H 50/80 20180101;  A61B 5/6898 20130101;  G16H 40/67 20180101;  A61B 5/7267 20130101;  G06F 21/6254 20130101;  G06N 20/00 20190101;  A61B 5/0077 20130101;  G16H 50/20 20180101</t>
  </si>
  <si>
    <t>Embodiments of the present invention provide an artificial     intelligence-enabled apparatus, such as a mobile communication device     equipped with input ports and bio sensors and executing controlling,     coordinating, managing software algorithms for reducing the spread of a     pandemic and for managing social and economic impacts to minimize     disruptions that occur due to indiscriminate and global actions such as     strict social distancing and business closures. User information is     maintained private and secure, and can be used to detect and warn about     potentially dangerous situations, such as a user being in close proximity     to potentially infected individuals.</t>
  </si>
  <si>
    <t>US20210327585</t>
  </si>
  <si>
    <t>SYSTEMS AND METHODS FOR TRANSFER-TO-TRANSFER LEARNING-BASED TRAINING OF A     MACHINE LEARNING MODEL FOR DETECTING MEDICAL CONDITIONS</t>
  </si>
  <si>
    <t>17/365113</t>
  </si>
  <si>
    <t>BLUE EYE SOFT, INC.</t>
  </si>
  <si>
    <t>BLUE EYE SOFT</t>
  </si>
  <si>
    <t>Narayanan; Barath; (Dayton, OH); Hardie; Russell; (Dayton, OH); Krishnaraja; Vignesh; (Dayton, OH); Kodeboyina; Srikanth; (Greer, SC)</t>
  </si>
  <si>
    <t>G06T 7/0012 20130101;  G16H 50/20 20180101;  G06T 2207/30061 20130101;  G06K 9/627 20130101;  G06K 9/6256 20130101;  G16H 50/70 20180101;  G06T 7/11 20170101;  G06N 20/00 20190101;  G16H 30/20 20180101;  G06N 3/08 20130101</t>
  </si>
  <si>
    <t>Systems and methods for transfer-to-transfer training using an imbalanced     training dataset include reconfiguring an imbalanced training data corpus     to a plurality of distinct class-balanced mini-corpora of training data,     wherein the reconfiguring includes: (i) partitioning the imbalanced     training data corpus into a plurality of mini-corpora of training data     samples in which each distinct mini-corpus of the plurality of     mini-corpora includes an entirety of the training data samples within the     second subset of training data samples; and (ii) allocating an equal     number of the training data samples of the first subset into each of the     plurality of mini-corpora of training data samples; and     transfer-to-transfer learning-based training a subject machine learning     algorithm to a trained machine learning model based on implementing the     transfer-to-transfer learning-based training using the plurality of     distinct class-balanced mini-corpora, wherein in use, the trained machine     learning model predicts a presence or a non-presence of COVID-19 based on     image data.</t>
  </si>
  <si>
    <t>US20210327562</t>
  </si>
  <si>
    <t>ARTIFICIAL INTELLIGENCE DRIVEN RAPID TESTING SYSTEM FOR INFECTIOUS     DISEASES</t>
  </si>
  <si>
    <t>17/235471</t>
  </si>
  <si>
    <t>PREDICTMEDIX INC</t>
  </si>
  <si>
    <t>PREDICTMEDIX</t>
  </si>
  <si>
    <t>Kushwah; Rahul; (Toronto, CA); Kales; Sheldon; (Toronto, CA); Mishra; Nandan; (Noida, IN); Singh; Himanshu Ujjawal; (Malviya Nagar, IN)</t>
  </si>
  <si>
    <t>G16H 50/80 20180101;  G06T 7/0012 20130101;  G06T 2207/10048 20130101;  G16H 50/20 20180101;  G16H 10/60 20180101;  G16H 30/20 20180101;  G06K 9/6256 20130101;  G06T 2207/10081 20130101;  G16H 30/40 20180101</t>
  </si>
  <si>
    <t>A method and system for rapid scanning, surveillance and detection of an     infectious disease in an individual is disclosed. The method and system     operate a processor to receive a set of training data comprising training     data to train one or more analytical models using artificial intelligence     algorithms. The method and system then use one or more input devices to     receive parameters related to the individual such as images, body     temperature, clinical data, CT scan data, voice data, video data and     thermal image. Each parameter is associated to one or more features. An     analytical model is selected from one or more analytical models to detect     the presence of the infectious disease in an individual. The method and     system for rapid scanning, surveillance and detection can be trained on a     wide dataset received from clinical data, CT-scan, X-ray, temperature     sensor and other data.</t>
  </si>
  <si>
    <t>US20210327548</t>
  </si>
  <si>
    <t>STORING, AUTHENTICATING, AND TRANSMITTING HEALTH DATA</t>
  </si>
  <si>
    <t>17/234491</t>
  </si>
  <si>
    <t>VACMOBILE CORPORATION</t>
  </si>
  <si>
    <t>VACMOBILE</t>
  </si>
  <si>
    <t>Sparks; Jennifer M.; (Alpharetta, GA); Sparks; William; (Alpharetta, GA); Thielens; John; (Milton, GA); Taylor; Cindy; (Marietta, GA); Cagle; Ben; (Alpharetta, GA)</t>
  </si>
  <si>
    <t>G06F 21/6245 20130101;  G06K 19/06037 20130101;  G16H 20/13 20180101;  G16H 10/60 20180101;  G06F 21/31 20130101;  G06K 7/1417 20130101;  G16H 40/20 20180101</t>
  </si>
  <si>
    <t>A computing device can authenticate a user account associated with a     user. The computing device can scan an area to determine a scannable     identifier associated with a vaccination dose. The computing device can     determine a batch number and a lot number associated with the vaccination     dose based on the scannable identifier. The computing device can     determine a location associated with the at least one computing device.     The computing device can receive a provider confirmation code     corresponding to a provider. The computing device can perform a     verification that the provider confirmation code matches an assigned     provider confirmation code corresponding to the provider. The computing     device can associate the vaccination dose with the user account in the     data store as having been given to the user.</t>
  </si>
  <si>
    <t>US20210327249</t>
  </si>
  <si>
    <t>Method and Apparatus for Social Distancing Alarm Systems</t>
  </si>
  <si>
    <t>17/233870</t>
  </si>
  <si>
    <t>LEVIN HOWARD</t>
  </si>
  <si>
    <t>Levin; Howard; (Austin, TX)</t>
  </si>
  <si>
    <t>G08B 21/182 20130101</t>
  </si>
  <si>
    <t>A system and associated equipment are provided to facilitate social     distancing. The system issues alarms when the distance between a user and     an object is at or below a social distancing threshold. The system     enables trade-offs between risk and a desire to have in-person     interaction for different activities by using one or more variable social     distancing thresholds that may be based on social distancing guidelines     and user characteristics.</t>
  </si>
  <si>
    <t>US20210327181</t>
  </si>
  <si>
    <t>17/235449</t>
  </si>
  <si>
    <t>KLEIN MARK; BROWN WENDELL; OPENCLEAR INC</t>
  </si>
  <si>
    <t>KLEIN MARK; BROWN WENDELL; OPENCLEAR</t>
  </si>
  <si>
    <t>KLEIN; Mark; (Henderson, NV); BROWN; Wendell; (Henderson, NV)</t>
  </si>
  <si>
    <t>G16H 50/80 20180101;  G07C 9/27 20200101;  G07C 9/00563 20130101;  G06Q 50/265 20130101</t>
  </si>
  <si>
    <t>US20210327055</t>
  </si>
  <si>
    <t>SYSTEMS AND METHODS FOR DETECTION OF INFECTIOUS RESPIRATORY DISEASES</t>
  </si>
  <si>
    <t>16/889412</t>
  </si>
  <si>
    <t>QURE.AI TECHNOLOGIES PRIVATE LIMITED</t>
  </si>
  <si>
    <t>QAI PRIVATE</t>
  </si>
  <si>
    <t>Putha; Preetham; (Guntur, IN); Tadepalli; Manoj; (Krishna Gudivada, IN); Reddy; Bhargava; (Hyderabad, IN); Raj; Tarun; (Vishakapatnam, IN); Jagirdar; Ammar; (Mumbai, IN); Rao; Pooja; (Pune, IN); Warier; Prashant; (Mumbai, IN)</t>
  </si>
  <si>
    <t>G06K 9/3241 20130101;  G16H 10/40 20180101;  G16H 50/80 20180101;  C12Q 1/689 20130101;  G06F 40/20 20200101;  G16H 50/50 20180101;  G06K 2209/05 20130101;  G06T 7/0012 20130101;  G06T 2207/20084 20130101;  G16H 30/40 20180101;  G16H 50/20 20180101;  G06T 2207/30061 20130101;  G06T 7/11 20170101;  A61B 6/5217 20130101;  G06K 9/6256 20130101;  G16H 50/70 20180101;  G06T 7/70 20170101;  G06K 9/628 20130101;  A61B 6/505 20130101;  G06T 2207/10116 20130101;  G06T 2207/20076 20130101;  A61B 6/503 20130101;  G06T 2207/20081 20130101</t>
  </si>
  <si>
    <t>This disclosure generally pertains to systems and methods for detection     of infectious respiratory diseases by implementation of an automated     X-rays-based triage approach alongside algorithmic clinical sample     pooling for molecular diagnosis. Certain embodiments relate to methods     for the development of deep learning algorithms that perform machine     recognition of specific features and conditions in chest X-ray imaging     data. The chest X-ray imaging data is used to guide the pooling strategy     of clinical samples for a molecular test.</t>
  </si>
  <si>
    <t>US20210327054</t>
  </si>
  <si>
    <t>MEDICAL IMAGE SYNTHESIS OF ABNORMALITY PATTERNS ASSOCIATED WITH COVID-19</t>
  </si>
  <si>
    <t>16/865266</t>
  </si>
  <si>
    <t>Liu; Siqi; (Princeton, NJ); Georgescu; Bogdan; (Princeton, NJ); Xu; Zhoubing; (Plainsboro, NJ); Yoo; Youngjin; (Princeton, NJ); Chabin; Guillaume; (Paris, FR); Chaganti; Shikha; (Princeton, NJ); Grbic; Sasa; (Plainsboro, NJ); Piat; Sebastien; (Lawrence Township, NJ); Teixeira; Brian; (Lawrence Township, NJ); Re; Thomas; (Monroe, NJ); Comaniciu; Dorin; (Princeton Junction, NJ)</t>
  </si>
  <si>
    <t>G06T 2207/20081 20130101;  G06T 17/205 20130101;  G06T 7/0012 20130101;  G06T 2207/10081 20130101;  G06T 2207/20084 20130101;  G06T 7/11 20170101;  G06T 2207/30061 20130101</t>
  </si>
  <si>
    <t>Systems and methods for generating a synthesized medical image are     provided. An input medical image is received. A synthesized segmentation     mask is generated. The input medical image is masked based on the     synthesized segmentation mask. The masked input medical image has an     unmasked portion and a masked portion. An initial synthesized medical     image is generated using a trained machine learning based generator     network. The initial synthesized medical image includes a synthesized     version of the unmasked portion of the masked input medical image and     synthesized patterns in the masked portion of the masked input medical     image. The synthesized patterns is fused with the input medical image to     generate a final synthesized medical image.</t>
  </si>
  <si>
    <t>US20210326810</t>
  </si>
  <si>
    <t>System and Method for Providing Pandemic-Free Career Employment Services</t>
  </si>
  <si>
    <t>17/232522</t>
  </si>
  <si>
    <t>TEWARY AKSHAT</t>
  </si>
  <si>
    <t>Tewary; Akshat; (Edison, NJ)</t>
  </si>
  <si>
    <t>G06Q 10/1053 20130101;  G16H 50/80 20180101</t>
  </si>
  <si>
    <t>A system, method, and program for matching pandemic-resistant job     applicants with interested employers, including the steps of: creating a     job applicant's account entered on an electronic job matching web portal;     accepting a profile of the job applicant; recording the profile;     uploading a medical certification of pandemic resistance of the job     applicant; registering the profile and the medical certification of     pandemic resistance; creating a filename, the filename includes at least     one of, a name, a contact information, and a resume of the job applicant,     the filename further includes at least one of, a submittal date, a     demographic information, and a technical information regarding the job     applicant's experience, and in which the filename further includes the     medical certification of pandemic resistance.</t>
  </si>
  <si>
    <t>US20210326787</t>
  </si>
  <si>
    <t>METHODS AND SYSTEMS OF PREDICTIVE ASSESSMENT OF FLIGHT SAFETY AND     REAL-TIME RISK MITIGATION</t>
  </si>
  <si>
    <t>17/364677</t>
  </si>
  <si>
    <t>HEALTH SOLUTIONS RESEARCH, INC.</t>
  </si>
  <si>
    <t>HEALTH SOLUTIONS RESEARCH</t>
  </si>
  <si>
    <t>Gupta; Ajay Kumar; (Potomac, MD)</t>
  </si>
  <si>
    <t>G16H 50/80 20180101;  G06Q 10/02 20130101;  G06Q 10/0635 20130101;  G06N 5/04 20130101;  G06Q 10/06375 20130101;  B64D 45/00 20130101;  G16H 50/20 20180101;  G16H 50/30 20180101;  G06Q 10/06313 20130101;  G06Q 10/06312 20130101</t>
  </si>
  <si>
    <t>A method of predictive assessment of flight safety and real-time risk     mitigation is provided. The method includes determining a layout of an     aircraft for a flight, generating a grid based on the determined layout     of the aircraft, determining a list of passengers of the flight, and     determining a transmission risk of a disease for each of the passengers     of the flight. The method also includes predictively assessing a flight     safety risk of the aircraft for the flight. The method further includes     when the flight safety risk exceeds a predetermined threshold,     rearranging the passengers to mitigate the flight safety risk, and     adjusting the flight safety risk based on the rearranged passengers.</t>
  </si>
  <si>
    <t>US20210326474</t>
  </si>
  <si>
    <t>SYSTEMS AND METHODS FOR STORING, AUTHENTICATING AND TRANSMITTING DIGITAL     HEALTH INFORMATION AND RECORDS</t>
  </si>
  <si>
    <t>16/921784</t>
  </si>
  <si>
    <t>Sparks; Jennifer M.; (Alparetta, GA); Sparks; William; (Alpharetta, GA); Thielens; John; (Milton, GA)</t>
  </si>
  <si>
    <t>G06F 21/6245 20130101;  G06Q 50/265 20130101;  G06Q 10/10 20130101;  G06K 19/06037 20130101;  G06Q 30/0185 20130101;  A61B 5/117 20130101;  G16H 10/40 20180101;  G06F 3/0482 20130101;  G16H 10/60 20180101;  G06F 40/174 20200101</t>
  </si>
  <si>
    <t>An electronic health records system that allows a user to register with     the electronic health records system by entering identification     information and medical information. The system authorizes a user to     access the electronic health records system subsequent to registering,     and allows a user to obtain, responsive to a request from the user,     electronic immunization records for the user from an immunization     registry of a first state. The system provides the user the ability to     send the certified immunization record or COVID-19 health status record     to a third-party requester that requires the record by law. The system     also provides third party requesters with the necessary back-end     enterprise software needed to receive the certified digital immunization     records from large numbers of subscribers.</t>
  </si>
  <si>
    <t>US20210325407</t>
  </si>
  <si>
    <t>SARS-COV-2 INFECTION BIOMARKERS AND USES THEREOF</t>
  </si>
  <si>
    <t>17/131871</t>
  </si>
  <si>
    <t>Huang; Gang; (Cincinnati, OH)</t>
  </si>
  <si>
    <t>A61K 45/06 20130101;  G01N 2333/56 20130101;  G01N 33/6893 20130101;  G01N 2333/57 20130101;  A61K 31/519 20130101;  G01N 2333/5421 20130101</t>
  </si>
  <si>
    <t>Disclosed herein are methods that employ the use of one or more     biomarkers for the treatment of SARS-CoV-2 infected individuals (COVID-19     patients). The methods may employ detection and measurement of one or     more cytokines, the measurement of which may be used to treat COVID-19     patients with one or more immunomodulatory therapies.</t>
  </si>
  <si>
    <t>US20210325389</t>
  </si>
  <si>
    <t>System and Method for Obtaining Post-Infection Clearance</t>
  </si>
  <si>
    <t>17/231937</t>
  </si>
  <si>
    <t>MEDICA CORPORATION</t>
  </si>
  <si>
    <t>MEDICA</t>
  </si>
  <si>
    <t>Hall; David R.; (Provo, UT); Campbell; K. Jeffrey; (Spanish Fork, UT); Pullen; Anthony E.; (Tucson, AZ); Duncan; Jeffery; (Tucson, AZ)</t>
  </si>
  <si>
    <t>G01N 2469/20 20130101;  G01N 2800/26 20130101;  G01N 33/56983 20130101;  G01N 33/5302 20130101;  G01N 2333/165 20130101</t>
  </si>
  <si>
    <t>A system for obtaining clearance comprises a mechanism to identify the     user and generate an identification signal; an analytical toilet     comprising a bowl to receive excreta from the user; an analyzer     configured to analyze the sample to detect one or more antibodies in a     sample of the excreta or sputum and to generate an analysis signal; a     processor configured to receive the identification signal and the     analysis signal; determine therefrom the status of the user with respect     to the one or more antibodies; and transmit a report to an authority, the     report comprising the identity and the status of the user with respect to     the antibodies detected. A method for obtaining clearance comprises     linking a user to an analytical toilet; receiving a sample of excreta     from the user in the analytical toilet; analyzing the sample of excreta     in an analytical toilet to detect one or more antibodies; processing     results from the analytical toilet and determining the status of the user     with respect to the antibodies detected; submitting the identity and the     status of the user with respect to the antibodies detected to an     authority.</t>
  </si>
  <si>
    <t>US20210325388</t>
  </si>
  <si>
    <t>17/230302</t>
  </si>
  <si>
    <t>The invention provides a lateral flow detection device for detecting a     coronavirus by immunoassay, wherein the detection device comprises two     lateral flow test strips, a test strip 1 is used to test an antibody to a     N full-length protein and/or a S full-length protein, while a test strip     2 is used to test an antibody to a S-RBD site protein, and a combination     of the two test strips is used to test IgG and IgM antibodies to novel     coronavirus, which further improves a detection rate of serological     antibodies and effectively reduces a possibility of missing detection and     wrong detection, thereby avoiding any missing detection.</t>
  </si>
  <si>
    <t>US20210325386</t>
  </si>
  <si>
    <t>Microfluidic Devices and Methods for Rapid Detection of     Pathogens and Other Analytes</t>
  </si>
  <si>
    <t>17/176135</t>
  </si>
  <si>
    <t>McGrath; James L.; (Fairport, NY)</t>
  </si>
  <si>
    <t>B82Y 30/00 20130101;  B01D 2325/027 20130101;  G01N 2469/00 20130101;  B01L 2400/084 20130101;  B01L 2300/0636 20130101;  B01L 2200/027 20130101;  B01D 2313/083 20130101;  B01L 3/502746 20130101;  B01L 2200/0684 20130101;  B01L 2300/0877 20130101;  B01D 39/2068 20130101;  B01L 2300/0887 20130101;  B82Y 35/00 20130101;  G01N 33/569 20130101;  B01L 2300/0896 20130101</t>
  </si>
  <si>
    <t>The invention provides devices and methods for detecting viruses,     bacteria, and other analytes of interest in a fluid sample. The fluid     sample flows through a first microfluidic channel to a nanoporous or     microporous membrane on which are disposed ligands, such as antibodies,     specific for the analyte. If the analyte of interest is captured by the     ligand, it clogs the pores of the membrane, preventing the fluid sample     from passing through the membrane and diverting the fluid into a second     channel. Detecting movement of the fluid sample in the second channel     signals the presence of the analyte in the fluid sample, while failure of     the fluid sample to move in the second channel signals absence of the     analyte in the fluid sample.</t>
  </si>
  <si>
    <t>US20210325383</t>
  </si>
  <si>
    <t>LATERAL FLOW ASSAY FOR DETECTING MULTIPLE PROTEINS OF A PATHOGEN</t>
  </si>
  <si>
    <t>17/232553</t>
  </si>
  <si>
    <t>2PI-SIGMA CORP.</t>
  </si>
  <si>
    <t>2PI-SIGMA</t>
  </si>
  <si>
    <t>Hatamian; Mehdi; (Mission Viejo, CA)</t>
  </si>
  <si>
    <t>G01N 33/54386 20130101;  G01N 2469/20 20130101</t>
  </si>
  <si>
    <t>A lateral flow assay device includes a test strip that is configured to     receive a sample fluid and detect a presence of antibodies to one or more     of a plurality of proteins of the target pathogen. The lateral flow assay     device includes a conjugate pad and a membrane. The conjugate pad     contains a plurality of the proteins of the target pathogen, each     conjugated with a label. If the sample fluid contains antibodies that are     specific to the target pathogen through any of the target pathogen's     proteins, a binding takes place between those antibodies and the     corresponding tagged protein. The membrane may include a plurality of     test lines. Each test line may contain the immobilized binding reagent to     one antibody class, resulting in the concentration of all the molecules     of that antibody class on the test line.</t>
  </si>
  <si>
    <t>US20210325382</t>
  </si>
  <si>
    <t>Using Exhaled Breath Condensate, Aerosols and Gases for Detecting     Biomarkers</t>
  </si>
  <si>
    <t>16/882447</t>
  </si>
  <si>
    <t>DANIELS JOHN J</t>
  </si>
  <si>
    <t>DANIELS JOHN</t>
  </si>
  <si>
    <t>Daniels; John J.; (Madison, CT)</t>
  </si>
  <si>
    <t>G01N 33/54386 20130101</t>
  </si>
  <si>
    <t>An apparatus for detecting a biomarker includes a particulate capturing     structure for receiving and capturing exhaled breath aerosol (EBA)     particulate from airway linings of a user, the particulate capturing     structure having an aerosol particulate testing system for receiving the     captured particulate and detecting a first biomarker, wherein the aerosol     particulate testing system includes a dissolvable EBA sample collector     film for capturing EBA particulate. The apparatus may include a droplet     harvesting structure for converting breath vapor to a fluid droplet for     forming a fluid sample and a testing system having a biomarker testing     zone for receiving the fluid sample and detecting a biomarker.</t>
  </si>
  <si>
    <t>US20210325381</t>
  </si>
  <si>
    <t>Using Exhaled Breath Condensate for Testing for a Biomarker of COVID-19</t>
  </si>
  <si>
    <t>16/876054</t>
  </si>
  <si>
    <t>DIAGMETRICS, INC.</t>
  </si>
  <si>
    <t>DIAGMETRICS</t>
  </si>
  <si>
    <t>An apparatus for detecting a biomarker comprises a droplet harvesting     structure for converting breath vapor to a fluid droplet for forming a     fluid sample and a testing system having a biomarker testing zone for     receiving the fluid sample and detecting a biomarker. The droplet     harvesting structure may include at least one of a hydrophobic field for     receiving the breath vapor and forming the fluid droplet from the     received breath vapor and hydrophilic channels for receiving the fluid     droplet and channeling the fluid droplet towards the testing system. A     fluid dam member may be provided disposed between the droplet harvesting     structure and the biomarker testing zone.</t>
  </si>
  <si>
    <t>US20210325380</t>
  </si>
  <si>
    <t>DISEASE DIAGNOSTICS USING A MULTI-CONFIGURABLE SENSING ARRAY</t>
  </si>
  <si>
    <t>17/235672</t>
  </si>
  <si>
    <t>ENLISENSE, LLC</t>
  </si>
  <si>
    <t>ENLISENSE</t>
  </si>
  <si>
    <t>Muthukumar; Sriram; (Allen, TX)</t>
  </si>
  <si>
    <t>G01N 33/6854 20130101;  G01N 33/5438 20130101;  G01N 33/521 20130101</t>
  </si>
  <si>
    <t>A sensor device includes a porous substrate layer and an array of sensors     to accept a sample. The array of sensors includes a plurality of sensors,     each of the plurality of sensors includes respective semiconducting     nanostructures with a respective capture reagent coupled to the     semiconducting nanostructures that selectively binds to a respective     target analyte in the sample. The array of sensors includes a first     subset of sensors with first capture reagents to bind to biomarkers     characteristic of a particular disease and a second subset of sensors     with second capture reagents to bind to one of cytokines, chemokines,     enzymes, metabolites, or antibodies present in the sample.</t>
  </si>
  <si>
    <t>US20210325341</t>
  </si>
  <si>
    <t>17/232130</t>
  </si>
  <si>
    <t>GALEN; Peter; (Portland, OR); ERICKSON; Ariane Elizabeth; (Portland, OR); BELL; David Richard; (Issaquah, WA); LIND; Matthew Christian; (Portland, OR); WITTE; Tyler; (Portland, OR); GURKAN; Umut Atakan; (SHAKER HEIGHTS, OH)</t>
  </si>
  <si>
    <t>G01N 27/44726 20130101</t>
  </si>
  <si>
    <t>US20210325279</t>
  </si>
  <si>
    <t>Mask-Based Testing System for Detecting Biomarkers in Exhaled Breath     Condensate, Aerosols and Gases</t>
  </si>
  <si>
    <t>17/065488</t>
  </si>
  <si>
    <t>G01N 33/487 20130101;  G01N 1/2226 20130101;  A61B 5/6898 20130101;  C01B 32/158 20170801;  A61B 5/0002 20130101;  A61B 10/00 20130101;  A61B 2010/0087 20130101;  A61B 5/6803 20130101;  G01N 1/38 20130101</t>
  </si>
  <si>
    <t>A mask-based testing system for detecting a biomarker received from lungs     and airways of a test subject includes an exhaled breath condensate (EBC)     collector integrated into an inside of a face mask worn by the test     subject. The EBC collector converts breath vapor received from the lungs     and airways of the test subject into a fluid biosample. A biosensor is     fixed to the inside of the face mask for receiving a fluid biosample from     the EBC collector and testing the fluid biosample for a target analyte.     The biosensor generates a test signal dependent on at least the presence     and absence of the target analyte in the fluid biosample. An electronic     circuit is fixed to an outside of the mask for receiving the test signal,     determining from the test signal a test result signal depending on     detecting or not detecting the target analyte, and transmitting the test     result signal to a remote receiver.</t>
  </si>
  <si>
    <t>US20210325260</t>
  </si>
  <si>
    <t>THERMISTOR BASED RESPIRATION MEASUREMENT</t>
  </si>
  <si>
    <t>17/229135</t>
  </si>
  <si>
    <t>TELLIGENT METRICS LLC</t>
  </si>
  <si>
    <t>TELLIGENT METRICS</t>
  </si>
  <si>
    <t>Miller, JR.; Theodore E.; (Hoschton, GA); Timmons; Kevin L.; (Saratoga, CA)</t>
  </si>
  <si>
    <t>G01K 7/24 20130101;  G01K 7/226 20130101</t>
  </si>
  <si>
    <t>Various examples of methods and systems related to thermistor sensing for     measurement of respiration are shown. In one example, a breath sensing     system includes a self-heating temperature sensor that can be positioned     in respiratory air of a subject and processing circuitry that can monitor     operation of the self-heating temperature sensor. Respiratory information     associated with physical or physiological properties of the subject can     be communicated to a remotely located computing device. Electronic     switching circuitry can be included to change operation of the     self-heating temperature sensor between a temperature sensing mode and a     heated power dissipation sensing mode. The processing circuitry can     control switching between the modes. In another example, a method     includes monitoring operational conditions of a self-heating temperature     sensor positioned in respired air and determining, e.g., breath velocity,     breath period, breath volume, breath carbon dioxide level, and heart rate     based at least in part upon the operational conditions.</t>
  </si>
  <si>
    <t>US20210325064</t>
  </si>
  <si>
    <t>ADSORPTION FILTER, VENTILATION SYSTEM AND HVAC SYSTEM HAVING THE SAME</t>
  </si>
  <si>
    <t>17/233687</t>
  </si>
  <si>
    <t>QATAR FOUND EDUCATION SCIENCE &amp; COMMUNITY DEV</t>
  </si>
  <si>
    <t>QATAR FOUND EDUCATION SCIENCE COMMUNITY DEV</t>
  </si>
  <si>
    <t>Amhamed; Abdulkrem; (Doha, QA); Sodiq; Ahmed; (Doha, QA); Khan; Moazzam; (Doha, QA)</t>
  </si>
  <si>
    <t>F24F 8/10 20210101;  B01D 53/007 20130101;  F24F 8/22 20210101;  A61L 2209/14 20130101;  B01D 2253/202 20130101;  A61L 2209/12 20130101;  B01D 2253/102 20130101;  A61L 2209/16 20130101;  A61L 9/20 20130101;  B01D 2257/91 20130101;  B01D 53/04 20130101;  B01D 2259/4508 20130101;  B01D 2253/106 20130101;  B01D 2257/504 20130101;  B01D 2259/804 20130101;  B01D 2259/4575 20130101</t>
  </si>
  <si>
    <t>An HVAC system is provided. The HVAC system includes a UV light source     configured to disinfect air, a ventilation system, and an adsorption     filter. The adsorption filter is configured to capture carbon dioxide     from air.</t>
  </si>
  <si>
    <t>US20210324654</t>
  </si>
  <si>
    <t>Barrier System and Method</t>
  </si>
  <si>
    <t>16/853605</t>
  </si>
  <si>
    <t>DONNENFELD GREGG REED</t>
  </si>
  <si>
    <t>Donnenfeld; Gregg Reed; (Roslyn, NY)</t>
  </si>
  <si>
    <t>B60R 99/00 20130101;  E04H 15/44 20130101;  B01D 46/0091 20130101;  E04H 15/04 20130101;  E04H 15/06 20130101;  A47C 7/62 20130101;  B01D 46/10 20130101;  A62B 15/00 20130101</t>
  </si>
  <si>
    <t>An apparatus includes a barrier having a first outer surface that faces a     first direction, a second outer surface that faces a second direction     opposite the first direction, and a filter layer between the first outer     surface and the second outer surface comprising a particulate filtering     material.</t>
  </si>
  <si>
    <t>US20210324485</t>
  </si>
  <si>
    <t>Tracking; Transmission</t>
  </si>
  <si>
    <t>Airborne Pathogen Simulants and Mobility Testing</t>
  </si>
  <si>
    <t>17/165935</t>
  </si>
  <si>
    <t>SAFETRACES, INC.</t>
  </si>
  <si>
    <t>SAFETRACES</t>
  </si>
  <si>
    <t>Hodges; Ulrike W.; (Berkeley, CA); Chou; Quin; (Pleasanton, CA); Malmstrom; Eric; (San Jose, CA); Arnold; Phil M.; (Redwood City, CA)</t>
  </si>
  <si>
    <t>Airborne pathogen mobility and the airborne mobility of respiratory     droplets, such as saliva, and testing thereof, can be monitored by     tracking detectable compounds and measuring concentrations.</t>
  </si>
  <si>
    <t>US20210324484</t>
  </si>
  <si>
    <t>17/078249</t>
  </si>
  <si>
    <t>US20210324392</t>
  </si>
  <si>
    <t>ORAL VACCINES EXPRESSED IN YEAST FOR COVID-19</t>
  </si>
  <si>
    <t>16/995027</t>
  </si>
  <si>
    <t>GRAPEFRUIT GROUP LIMITED</t>
  </si>
  <si>
    <t>GRAPEFRUIT</t>
  </si>
  <si>
    <t>Lam; Dominic Man-Kit; (Hong Kong, CN); Liu; Jie; (Chengdu, CN)</t>
  </si>
  <si>
    <t>C12N 15/81 20130101;  C07K 14/005 20130101;  C07K 14/395 20130101;  C07K 2319/035 20130101;  C07K 2319/02 20130101;  A61K 2039/575 20130101;  A61K 2039/542 20130101;  A61K 39/00 20130101;  C12N 2770/20034 20130101;  C12N 2770/20022 20130101;  C12N 2770/20052 20130101</t>
  </si>
  <si>
    <t>Nucleic acid constructs for heterologous expression of a SARS-CoV-2     antigen on the surface of a yeast cell and related polypeptides,     recombinant yeast cells, vaccine compositions, oral dosage formulations,     and methods of inducing antigen-specific immune response to SARS-CoV-2.</t>
  </si>
  <si>
    <t>US20210324339</t>
  </si>
  <si>
    <t>CELL-DERIVED PARTICLES PRESENTING HETEROLOGOUS CD24 AND USE THEREOF IN     THERAPY</t>
  </si>
  <si>
    <t>17/327719</t>
  </si>
  <si>
    <t>ICHILOV TECH LTD.</t>
  </si>
  <si>
    <t>ICHILOV TECH</t>
  </si>
  <si>
    <t>ARBER; Nadir; (Tel-Aviv, IL); SHAPIRA; Shiran; (Petach-Tikva, IL)</t>
  </si>
  <si>
    <t>C12N 5/0656 20130101;  C12N 2501/998 20130101;  C12N 2501/33 20130101;  C07K 14/71 20130101;  C12N 2501/599 20130101;  C12N 5/0686 20130101;  C12N 2500/90 20130101</t>
  </si>
  <si>
    <t>A method of producing cell derived particles is disclosed. The method     comprising isolating cell-derived particles from a biological sample     comprising cells modified to present CD24 so as to obtain a preparation     of the cell-derived particles substantially devoid of intact cells. Cell     derived particles, a culture medium and a cell culture are also     disclosed.</t>
  </si>
  <si>
    <t>US20210324107</t>
  </si>
  <si>
    <t>USING C1 ESTERASE INHIBITOR TO TREAT VIRAL INFECTION-RELATED ACUTE     RESPIRATORY DISTRESS</t>
  </si>
  <si>
    <t>17/233901</t>
  </si>
  <si>
    <t>PHARMING INTELLECTUAL PROPERTY B.V.</t>
  </si>
  <si>
    <t>PHARMING INTELLECTUAL PROPERTY</t>
  </si>
  <si>
    <t>GIANNETTI; Bruno; (Noordwijk, NL); SCHAALE; Jurgen; (Noordwijk, NL); RELAN; Anurag; (Los Angeles, CA)</t>
  </si>
  <si>
    <t>A61K 45/06 20130101;  A61P 31/14 20180101;  C07K 16/248 20130101;  C07K 16/243 20130101;  C07K 16/38 20130101;  A61K 31/4706 20130101;  C07K 16/2851 20130101;  A61K 31/706 20130101</t>
  </si>
  <si>
    <t>The claimed invention relates to treatment of virus-related respiratory     distress, particularly methods for treating such distress by     administering a complement inhibitor. The types of virus-related     respiratory distress that can be treated according to the invention     include acute respiratory distress syndrome and related phenomena, and     can be linked to infection by a coronavirus such as SARS-CoV-2. The     invention includes administering complement inhibitor, which can be     recombinant or purified Cl inhibitor, and administering complement     inhibitor in combination with other therapeutics.</t>
  </si>
  <si>
    <t>US20210324048</t>
  </si>
  <si>
    <t>17/226153</t>
  </si>
  <si>
    <t>US20210324047</t>
  </si>
  <si>
    <t>ANTIVIRUS PROTEINS HAVING A KRINGLE 5 SUBUNIT</t>
  </si>
  <si>
    <t>17/235652</t>
  </si>
  <si>
    <t>CREATIVE BIOTHERAPEUTICS LLC</t>
  </si>
  <si>
    <t>CREATIVE BIOTHERAPEUTICS</t>
  </si>
  <si>
    <t>DAVIDSON; Donald J.; (Gurnee, IL)</t>
  </si>
  <si>
    <t>A61K 38/00 20130101;  C07K 14/8132 20130101;  C07K 14/705 20130101</t>
  </si>
  <si>
    <t>COVID-19 results from the infection of the SARS-CoV-2 virus and has     spread quickly to literally infected the world. Although coronavirus     spike proteins can recognize a broad range of host cell-surface proteins,     inhibiting spike protein binding to a survival factor called GRP78     results in a significant reduction in SARS-CoV-2 attachment, entry and     replication in lung and kidney cells. This inhibition is accomplished     with a novel type of inhibitor that potently blocks the binding of     SARS-CoV-2 spike protein and whole virus to surface-bound GRP78. These     novel GRP78 inhibitors also down regulate cytokines (IL10, IL6), immune     co-inhibitory checkpoint proteins (PD-L1, B7H3, B7H4), and up regulate     immune co-stimulatory proteins (MHC-II, CD-86) resulting in the reduction     of the immune suppressive nature of infected lung alveolar epithelial     cells in vitro and in vivo. Finally, these novel GRP78 inhibitors inhibit     the hyperfibrinolysis of infected lung cells by reducing the activation     of plasmin on cell surfaces.</t>
  </si>
  <si>
    <t>US20210324005</t>
  </si>
  <si>
    <t>Beta-Arrestin Effectors and Compositions and Methods of Use Thereof</t>
  </si>
  <si>
    <t>17/235254</t>
  </si>
  <si>
    <t>TREVENA, INC.</t>
  </si>
  <si>
    <t>TREVENA</t>
  </si>
  <si>
    <t>Demitrack; Mark A.; (Chesterbrook, PA)</t>
  </si>
  <si>
    <t>C07K 7/06 20130101;  A61P 11/00 20180101;  A61K 38/00 20130101</t>
  </si>
  <si>
    <t>This application describes a family of compounds acting as     .beta.-arrestin effectors that can be used, for example, for treating     acute respiratory distress syndrome, for preventing and treating     thrombosis, platelet adhesion, and platelet aggregation, and/or for     reducing a D-Dimer response, in a subject with ARDS or a viral infection,     such as a coronavirus infection.</t>
  </si>
  <si>
    <t>US20210324004</t>
  </si>
  <si>
    <t>Peptides for the Treatment of COVID-19</t>
  </si>
  <si>
    <t>17/133035</t>
  </si>
  <si>
    <t>RUSH UNIVERSITY MEDICAL CENTER</t>
  </si>
  <si>
    <t>PAHAN; Kalipada; (Skokie, IL)</t>
  </si>
  <si>
    <t>A61K 38/08 20130101;  C07K 7/06 20130101;  A61K 38/00 20130101;  C07K 7/08 20130101;  A61K 9/0043 20130101;  A61K 38/10 20130101;  A61P 31/14 20180101</t>
  </si>
  <si>
    <t>Compositions for inhibiting the binding between ACE2 and SARS-CoV-2 spike     S1 are disclosed. Methods of treating COVID-19 are disclosed. Methods of     making an in vivo model of COVID-19 are also disclosed.</t>
  </si>
  <si>
    <t>US20210324003</t>
  </si>
  <si>
    <t>SIV ENVELOPE TRIMER</t>
  </si>
  <si>
    <t>17/231415</t>
  </si>
  <si>
    <t>ANDRABI; Raiees; (La Jolla, CA); BURTON; Dennis; (La Jolla, CA)</t>
  </si>
  <si>
    <t>A61K 9/127 20130101;  G01N 33/56988 20130101;  A61K 2039/55566 20130101;  A61K 47/10 20130101;  C12N 7/00 20130101;  C12N 2740/15022 20130101;  C07K 5/08 20130101;  A61K 39/39 20130101;  A61K 2039/55555 20130101;  A61K 9/51 20130101;  A61K 39/21 20130101;  C12N 15/86 20130101;  C12N 2750/14143 20130101;  A61K 47/08 20130101;  A61P 31/18 20180101;  A61K 2039/55505 20130101;  A61K 2039/545 20130101;  C12N 2740/15034 20130101</t>
  </si>
  <si>
    <t>The present application relates to epitope-targeted SIV and HIV vaccines.     The invention provides novel envelope glycoproteins which may be utilized     as HIV-1 vaccine immunogens, antigens for crystallization, and for     identification of broadly neutralizing antibodies. The invention     encompasses preparation and purification of immunogenic compositions     which are formulated into vaccines of the present invention.</t>
  </si>
  <si>
    <t>US20210322915</t>
  </si>
  <si>
    <t>SYSTEMS AND METHODS OF REDUCING AIRBORNE PATHOGENS AND CONTAMINANTS IN A     BREATHING ZONE</t>
  </si>
  <si>
    <t>17/227347</t>
  </si>
  <si>
    <t>MAGPLASMA, INC.</t>
  </si>
  <si>
    <t>MAGPLASMA</t>
  </si>
  <si>
    <t>Toomajian; Martin E.; (Brighton, MI); Moore; Timothy E.; (Auburn, AL)</t>
  </si>
  <si>
    <t>B01D 2275/10 20130101;  F24F 3/163 20210101;  B01D 46/10 20130101;  B01D 46/444 20130101;  B01D 2265/028 20130101;  B01D 2279/65 20130101</t>
  </si>
  <si>
    <t>A system for reducing airborne pathogens and contaminants in a breathing     zone of a person is disclosed. A manifold assembly includes a tube fitted     with an air intake nozzle. The air intake nozzle is positioned at the     breathing zone of the person such that an air gap is created between the     person and the nozzle. Exhaled air is routed from the person to the     manifold assembly via the tube. A purification unit deactivates and/or     filters airborne pathogens and contaminants of the exhaled air supplied     from the manifold assembly. A suction assembly draws the exhaled air from     the breathing zone of the person, through the manifold assembly and the     purification unit, to a one-way exhaust valve.</t>
  </si>
  <si>
    <t>US20210322909</t>
  </si>
  <si>
    <t>NANOPOROUS METAL FOAM GAS AND FLUID FILTERS</t>
  </si>
  <si>
    <t>17/244796</t>
  </si>
  <si>
    <t>Liu; Kai; (Falls Church, VA); Malloy; James D.; (Arlington, VA)</t>
  </si>
  <si>
    <t>C25D 1/04 20130101;  B01D 2239/10 20130101;  B01D 2239/0478 20130101;  B01D 46/0026 20130101;  C25D 7/0607 20130101;  B01D 46/0001 20130101;  B01D 39/2051 20130101;  B01D 46/0032 20130101;  B01D 39/10 20130101;  B01D 2239/1216 20130101;  C25D 1/006 20130101;  C25D 1/08 20130101</t>
  </si>
  <si>
    <t>A metal foam-based filtration system and method for removing sub-micron     particles and contaminants from a gas or fluid flow with the use of     ultralow density metal nanowire meshes that have nanometer to micron     scale pores for trapping air/fluid-borne particulates. Filters can use     metal foams and coated metal foams alone or in tandem. The size and     density of pores in the foam can be adjusted with synthesis conditions.     Foams with pore size gradients promote the trapping of different sized     particulates at different regions of a foam. Multiple rounds of     electrodeposition may be applied to increase the surface area and     curvature of a nanowire mesh and strengthen the mesh to make it     self-supporting, free-standing and capable of supporting a much heavier     mass without collapse. A metal and/or a coated metal foam can act as a     catalyst or substrate for absorption or adsorption to capture target     particles and/or contaminants.</t>
  </si>
  <si>
    <t>US20210322908</t>
  </si>
  <si>
    <t>FILTERS AND FACEMASKS HAVING ANTIMICROBIAL OR ANTIVIRAL PROPERTIES</t>
  </si>
  <si>
    <t>17/235345</t>
  </si>
  <si>
    <t>GOPAL; Vikram; (The Woodlands, TX); YUNG; Wai-shing; (Pensacola, FL); DEAN; Natasha; (Houston, TX); ORTEGA; Albert; (Pensacola, FL)</t>
  </si>
  <si>
    <t>B32B 2250/20 20130101;  B01D 39/1623 20130101;  B01D 2239/1258 20130101;  B01D 2239/0618 20130101;  A62B 7/10 20130101;  B01D 2239/0622 20130101;  B32B 2307/7145 20130101;  B01D 2239/1291 20130101;  B32B 5/269 20210501;  B01D 2239/0627 20130101;  B32B 2262/0253 20130101;  B32B 2307/724 20130101;  B01D 2239/0442 20130101;  B32B 5/267 20210501;  B32B 2262/0261 20130101;  A62B 23/025 20130101;  B32B 2571/00 20130101;  B32B 5/022 20130101;  A41D 13/1192 20130101;  B01D 2239/065 20130101</t>
  </si>
  <si>
    <t>A filter or mask structure, comprising a first face layer comprising a     polymer and having a face basis weight, a second outer layer comprising a     polymer and having an outer basis weight less than 34 gsm, and a third     outer layer comprising a polymer and having a third basis weight and     disposed between the first face layer and the second outer layer. At     least one of the layers further comprises an AM/AV compound. The mask     structure demonstrates an Escherichia coli efficacy log reduction greater     than 4.0, as measured in accordance with ASTM E3160 (2018) and a     particulate filtration efficiency greater than 90%, as measured in     accordance with ASTM F2299-03R17.</t>
  </si>
  <si>
    <t>US20210322907</t>
  </si>
  <si>
    <t>MULTILAYER FILTER WITH ANTIMICROBIAL PROPERTIES AND USE THEREOF IN     INDUSTRIAL FILTRATION APPLICATIONS AND PROTECTIVE MASKS</t>
  </si>
  <si>
    <t>17/235467</t>
  </si>
  <si>
    <t>BIOINICIA, S.L.</t>
  </si>
  <si>
    <t>BIOINICIA</t>
  </si>
  <si>
    <t>LAGARON CABELLO; Jose Maria; (Valencia, ES); PARDO FIGUEREZ; Maria de las Mercedes; (Valencia, ES); CHIVA FLOR; Alberto; (Valencia, ES); TENO DIAZ; Jorge; (Valencia, ES)</t>
  </si>
  <si>
    <t>B01D 2239/065 20130101;  B01D 2239/10 20130101;  B01D 2239/1291 20130101;  B01D 39/163 20130101;  B01D 2239/0258 20130101;  B01D 2239/0266 20130101;  B01D 2239/1233 20130101;  A62B 23/025 20130101;  B01D 46/0024 20130101;  B01D 46/0001 20130101;  A41D 31/305 20190201;  B01D 46/0028 20130101;  A41D 13/1192 20130101;  B01D 2239/0442 20130101</t>
  </si>
  <si>
    <t>The present invention falls within the area of polymeric materials     applied to the sector of manufacturing materials for use in filters for     filtration equipment such as ventilators and for protective masks. In     particular, the invention relates to multilayer filters for ventilators     and protective masks which can be biodegradable and which comprise     filtration materials based on ultrafine fibers obtained by     electrohydrodynamic and aerohydrodynamic processing and which exercise     passive FFP1, FFP2, N95 and FFP3 protection and which can also be     washable and have active antimicrobial properties.</t>
  </si>
  <si>
    <t>US20210322802</t>
  </si>
  <si>
    <t>PATHOGEN-KILLING FILTER ASSEMBLAGE</t>
  </si>
  <si>
    <t>17/232081</t>
  </si>
  <si>
    <t>KJR MATERIALS TECHNOLOGY CONSULTING LLC</t>
  </si>
  <si>
    <t>KJR MATERIALS CONSULTING</t>
  </si>
  <si>
    <t>Reed; Kenneth J.; (Rochester, NY); Reed; Shirley; (Rochester, NY)</t>
  </si>
  <si>
    <t>A62D 9/00 20130101;  A62B 23/025 20130101;  A62B 18/025 20130101</t>
  </si>
  <si>
    <t>A filter configured for capturing and killing pathogens, the filter     including a first breathable layer including copper; and a second     breathable layer including silver, the second breathable layer coupled to     the first breathable layer, wherein the first breathable layer and the     second breathable layer cooperate to capture and kill pathogens mobilized     through at least one of the first breathable layer and the second     breathable layer.</t>
  </si>
  <si>
    <t>US20210322799</t>
  </si>
  <si>
    <t>Z-SHIELD FILTERED AIR PROTECTIVE SYSTEM</t>
  </si>
  <si>
    <t>17/222867</t>
  </si>
  <si>
    <t>ZONIT STRUCTURED SOLUTIONS, LLC</t>
  </si>
  <si>
    <t>ZONIT STRUCTURED SOLUTIONS</t>
  </si>
  <si>
    <t>Pachoud; William; (Boulder, CA); Chapel; Steve; (Iliff, CO)</t>
  </si>
  <si>
    <t>B03C 2201/26 20130101;  F24F 7/003 20210101;  A62B 18/02 20130101;  B01D 46/0043 20130101;  A61L 2209/14 20130101;  B03C 3/34 20130101;  A61L 2209/22 20130101;  B01D 2279/50 20130101;  B63J 2/02 20130101;  A62B 9/00 20130101;  B01D 46/002 20130101;  B03C 3/025 20130101;  B01D 2273/16 20130101;  A62B 18/08 20130101;  B01D 2273/30 20130101;  A62B 18/006 20130101;  B01D 46/0032 20130101;  A61L 9/16 20130101;  B01D 46/4245 20130101;  A61L 9/014 20130101;  A62B 7/12 20130101;  A62B 23/02 20130101;  A61M 16/105 20130101</t>
  </si>
  <si>
    <t>The invention addresses the problem of air filtration and decontamination     as required immediately for the COVID-19 pandemic but also will be useful     in a variety of applications. Air (1) to the apparatus (100) enters and     passes through an optional pre-filter (2) and through a one-way air     "check" valve (3). The incoming air (1) then enters the counter-flow heat     exchange path (4) and proceeds towards the heating chamber (6). As air     enters the heating chamber (6), it immediately encounters heating     elements (7). Upon encountering the heating chamber (6), the incoming     air, which has been pre-heated by the exiting air, is heated to the     desired temperature and exits via the return path (5). Upon completing     the path through the exit path for the air, the air is now cooled to the     desired exit temperature, for example within a few degrees of the     incoming air, and is at a temperature suitable to exit (11) and be     delivered to a user. This air may not have the virus removed from it, but     the virus will be rendered harmless at this point. The invention is     applicable in other contexts. For example, the operation of these systems     can generally be reversed to decontaminate air including air exhaled by a     user. This may be used in conjunction with a mask worn by a patient or an     isolation chamber at least partially enclosing a patient, e.g., a patient     room(s) or a tent erected over a patient gurney or bed.</t>
  </si>
  <si>
    <t>US20210322798</t>
  </si>
  <si>
    <t>Cartridge for Respiration Device</t>
  </si>
  <si>
    <t>17/236867</t>
  </si>
  <si>
    <t>XICOR, INC.</t>
  </si>
  <si>
    <t>XICOR</t>
  </si>
  <si>
    <t>ELEID; Ray; (Mississauga, CA)</t>
  </si>
  <si>
    <t>A62B 7/10 20130101;  A61L 2209/14 20130101;  A61L 2209/12 20130101;  A62B 23/02 20130101;  A61L 9/20 20130101;  A62B 18/025 20130101;  A62B 19/00 20130101</t>
  </si>
  <si>
    <t>A respiration device is provided configured to kill infectious virus or     other air borne contagion before it enters the user's airways. The     respiration device comprises a wearable mask portion, an evacuation     filter in fluid connection to the wearable mask portion; and at least one     UV (ultraviolet) cartridge in fluid connection to the wearable mask     portion. The UV cartridge comprises a housing having an inlet at a first     end and an outlet at a second end opposite the first end; a series of UV     bulbs located within the housing; and a powering means. Ambient air     enters the respirator device through the inlet and is subject to UV     radiation emitted from the series of UV bulbs such that the ambient air     becomes sterilized air. Sterilized air exits the UV cartridge and enters     the wearable mask portion via the outlet. A user is able to inhale the     sterilized air entering the mask portion and exhale the used air through     the evacuation filter.</t>
  </si>
  <si>
    <t>US20210322797</t>
  </si>
  <si>
    <t>REUSABLE BREATHING MASK USING DISPOSABLE RECYCLABLE FLEXIBLE MATERIALS</t>
  </si>
  <si>
    <t>17/233792</t>
  </si>
  <si>
    <t>KING ABDULLAH UNIVERSITY OF SCIENCE AND TECHNOLOGY</t>
  </si>
  <si>
    <t>KING ABDULLAH</t>
  </si>
  <si>
    <t>HUSSAIN; Muhammad Mustafa; (Hercules, CA); EL-ATAB; Nazek Mohamad; (Thuwal, SA); BABATAIN; Wedyan; (Thuwal, SA)</t>
  </si>
  <si>
    <t>B01D 46/429 20130101;  A62B 7/10 20130101;  B01D 46/543 20130101;  A62B 9/00 20130101;  B01D 2265/02 20130101;  A41D 13/1107 20130101;  B01D 46/0001 20130101;  B01D 46/0032 20130101;  B01D 46/4245 20130101;  B01D 2279/40 20130101;  A62B 23/025 20130101;  B01D 46/546 20130101;  B01D 46/008 20130101</t>
  </si>
  <si>
    <t>A breathing mask for being worn on the face includes a filtration     mechanism configured to filter out particles having a diameter larger     than a first predetermined value; a connecting mechanism; and a removable     nano-porous hydrophobic membrane configured to be removably attached to     the filtration mechanism with the connecting mechanism. The nano-porous     membrane is configured to filter out particles having a diameter larger     than a second predetermined value, which is different from the first     predetermined value.</t>
  </si>
  <si>
    <t>US20210322796</t>
  </si>
  <si>
    <t>17/232596</t>
  </si>
  <si>
    <t>UNIVERSITY OF NORTH CAROLINA, CHAPEL HILL</t>
  </si>
  <si>
    <t>UNIVERSITY NORTH CAROLINA CH</t>
  </si>
  <si>
    <t>Hubbard; Devin Kerry; (Chapel Hill, NC); Wiley; Nicole Lewis; (Pittsboro, NC); Smith; Ethan John; (Garner, NC)</t>
  </si>
  <si>
    <t>A62B 18/02 20130101;  A41D 13/1161 20130101;  B01D 39/16 20130101;  A62B 7/10 20130101;  B01D 39/083 20130101;  A62B 18/082 20130101;  B01D 2239/0627 20130101;  B01D 2279/65 20130101;  B01D 46/0005 20130101;  A62B 23/025 20130101;  A62B 18/084 20130101;  B01D 2239/0622 20130101</t>
  </si>
  <si>
    <t>Face mask devices, systems, and methods of use include a frame that holds     a suitable filter material, including a face mask, over the user's face     to form a seal and prevent unfiltered air from being inhaled through the     nose or mouth of the user without first passing through the filter     material. The frame is removably attached over the users face by, for     example, adjustable straps. The frame may be adjustable in size to be     suitable for use on user's having different facial sizes, shapes, and/or     geometries.</t>
  </si>
  <si>
    <t>US20210322718</t>
  </si>
  <si>
    <t>METHOD, APPARATUS, SURGICAL TECHNIQUE, AND OPTIMAL STIMULATION PARAMETERS     FOR NONINVASIVE &amp; MINIMALLY INVASIVE AUTONOMIC VECTOR NEUROMODULATION FOR     PHYSIOLOGIC OPTIMIZATION AND FOR THE TREATMENT OF ADULT RESPIRATORY     DISTRESS SYNDROME (ARDS) AND COVID-19, AND OTHER CONDITIONS</t>
  </si>
  <si>
    <t>16/848840</t>
  </si>
  <si>
    <t>DILORENZO, DANIEL J</t>
  </si>
  <si>
    <t>DILORENZO DANIEL</t>
  </si>
  <si>
    <t>DiLorenzo; Daniel John; (Loma Linda, CA)</t>
  </si>
  <si>
    <t>A61M 2021/0044 20130101;  A61M 2021/0072 20130101;  A61M 2021/0055 20130101;  A61M 2021/0022 20130101;  A61M 21/00 20130101;  A61M 2210/1039 20130101;  A61M 2230/65 20130101;  A61M 2230/205 20130101;  A61M 2205/04 20130101;  A61M 2021/0066 20130101;  A61M 2021/0077 20130101</t>
  </si>
  <si>
    <t>The present invention teaches a method and apparatus for physiological     modulation, including neural, gastrointestinal, renal, respiratory, and     other modulation, for the purposes of treating several disorders,     including obesity, depression, epilepsy, diabetes, hypertension, asthma,     and other disorders. This includes implanted, percutaneous, hybrid     implanted and nonimplanted, nonimplanted, noninvasive neural and     neuromuscular modulators, used to deliver autonomic vector modulation to     deliver optimal therapy via coordinated multi-nodal modulation at least     one of the afferent and efferent neurons of the sympathetic and     parasympathetic nervous systems and other nervous system pathways.</t>
  </si>
  <si>
    <t>US20210322705</t>
  </si>
  <si>
    <t>Face Covering Apparatus</t>
  </si>
  <si>
    <t>16/852460</t>
  </si>
  <si>
    <t>HASEGAWA ERICK KOJI</t>
  </si>
  <si>
    <t>Hasegawa; Erick Koji; (Redwood City, CA)</t>
  </si>
  <si>
    <t>A61M 2202/206 20130101;  A61M 16/0688 20140204;  A41D 13/1169 20130101;  A61M 2205/02 20130101;  A61M 16/0605 20140204</t>
  </si>
  <si>
    <t>An embodiment may include a face covering apparatus. The face covering     apparatus includes one or more machine-washable layers of cloth, where a     plurality of magnets is insertable in and removable from the one or more     machine-washable layers of cloth. The face covering apparatus includes a     plurality of adhesive magnets comprising a plurality of dual-sided     adhesives, where the plurality of dual-sided adhesives is configured to     secure the plurality of adhesive magnets to a human face. The plurality     of cloth magnets is configured to secure the one or more machine-washable     layers of cloth over the human face based at least on a magnetic     attraction between the plurality of cloth magnets inserted in the one or     more machine-washable layers of cloth and the plurality of adhesive     magnets secured to the human face.</t>
  </si>
  <si>
    <t>US20210322704</t>
  </si>
  <si>
    <t>Methods of respiratory support and related apparatus</t>
  </si>
  <si>
    <t>17/141138</t>
  </si>
  <si>
    <t>LIN EDWARD D</t>
  </si>
  <si>
    <t>LIN EDWARD</t>
  </si>
  <si>
    <t>LIN; Edward D.; (Osprey, FL)</t>
  </si>
  <si>
    <t>A61M 16/0672 20140204;  A61M 2205/75 20130101;  A61M 16/201 20140204;  A61M 16/101 20140204;  A61M 2205/50 20130101</t>
  </si>
  <si>
    <t>Methods of respiratory support and related respiratory support apparatus     are disclosed. The methods may include a first step of communicating only     a respiratory gas from a gas source into a regulator chamber of a     regulator during inhaling by a user and a second step of communicating     ambient air from an ambient environment into the regulator chamber during     inhaling by the user. The first step and the second step are sequenced     thereby communicating only the respiratory gas into lungs of the user     during the first step and communicating the ambient air into an     anatomical dead space of the user during the second step.</t>
  </si>
  <si>
    <t>US20210322702</t>
  </si>
  <si>
    <t>17/365544</t>
  </si>
  <si>
    <t>A61M 2016/0661 20130101;  A61M 16/0616 20140204;  A61B 5/4818 20130101;  A62B 18/02 20130101;  A61M 16/06 20130101;  A61M 2207/00 20130101;  A61M 2202/0225 20130101;  A61M 16/0683 20130101;  A61M 16/0644 20140204</t>
  </si>
  <si>
    <t>US20210322696</t>
  </si>
  <si>
    <t>VENTILATOR</t>
  </si>
  <si>
    <t>17/234360</t>
  </si>
  <si>
    <t>Harrison; Alex; (Dorset, GB); Withers; Nicholas; (Somer, GB); Hedges; Peter James; (Dorset, GB); Lings; Robert; (Dorset, GB); Fell; Alexander; (Somer, GB); Hall; Carl; (Somer, GB); Rayson; Mark Jeffrey; (Somer, GB)</t>
  </si>
  <si>
    <t>A61M 2202/0208 20130101;  A61M 16/0816 20130101;  A61M 16/0003 20140204;  A61M 16/12 20130101;  A61M 16/009 20130101;  A61M 2016/0027 20130101;  A61M 16/201 20140204;  A61M 16/022 20170801</t>
  </si>
  <si>
    <t>In some examples, a ventilator includes a pneumatic connection configured     to receive supply gas; an inspiratory path configured to deliver     conditioned gas to lungs of a patient; a valve pneumatically connected to     the pneumatic connection and configured to allow flow of the supply gas     to the inspiratory path when the valve is open and block flow of the     supply gas to the inspiratory path when the valve is closed; a pressure     sensor configured to measure a pressure of the supply gas at the     pneumatic connection; and electronic control circuitry configured to     control an opening and closing of the valve based on the measured     pressure to produce a desired volume of conditioned gas in the     inspiratory path.</t>
  </si>
  <si>
    <t>US20210322695</t>
  </si>
  <si>
    <t>Method and Device for Assisting and Enforcing a breathing process</t>
  </si>
  <si>
    <t>16/852492</t>
  </si>
  <si>
    <t>Levitin, Mikhail; Kucher, Lev D.</t>
  </si>
  <si>
    <t>LEVITIN MIKHAIL</t>
  </si>
  <si>
    <t>Levitin; Mikhail; (Reeders, PA); Kucher; Lev D.; (Brooklyn, NY)</t>
  </si>
  <si>
    <t>A61M 16/105 20130101;  A61M 16/201 20140204;  A61H 2201/1238 20130101;  A61M 2202/0208 20130101;  A61M 16/0081 20140204;  A61M 2205/8275 20130101;  A61M 2230/432 20130101;  A61M 2205/07 20130101;  A61H 9/0092 20130101;  A61M 2230/435 20130101;  A61M 16/022 20170801;  A61H 31/00 20130101;  A61M 16/1075 20130101;  A61M 16/06 20130101;  A61H 2201/107 20130101</t>
  </si>
  <si>
    <t>The present invention relates to the art of automatic regulation of     pulmonary devices for assisting and/or enforcing the breathing process by     converting Bag-Valve-Mask (BVM) apparatus are also known as manual     resuscitators to automatic system by pneumatic matter with the goal to     enhance both phases of breathing: inhalation and exhalation. It also     replaces a mechanical chest compression for automatic pneumatic     compression, could be complimented with the use of the TENs unit and can     be used for extended periods of time with a high level of reliability,     simplicity, efficacy and low cost. This portable and light device is recommended to be used as a     resuscitator attached to the patients with mild to extremely suppressed     or without respiratory drive. The source of power can be electrical, battery operated, manual or a     combination thereof. That feature is extremely critical for its use in a combat zone or during     a power failure.</t>
  </si>
  <si>
    <t>US20210322664</t>
  </si>
  <si>
    <t>METHOD OF TREATING THE BLOOD</t>
  </si>
  <si>
    <t>17/223585</t>
  </si>
  <si>
    <t>SOFTWAVE TISSUE REGENERATION TECHNOLOGIES, LLC</t>
  </si>
  <si>
    <t>SOFTWAVE TISSUE REGENERATION</t>
  </si>
  <si>
    <t>Warlick; John F.; (Woodstock, GA); Hopfenzitz; Nikolaus; (Konstanz, DE)</t>
  </si>
  <si>
    <t>A61M 2202/0413 20130101;  A61M 2205/058 20130101;  A61M 1/38 20130101;  A61M 1/3621 20130101;  A61M 2202/206 20130101</t>
  </si>
  <si>
    <t>A method of stimulating human blood external of a patient donor has the     steps of activating an acoustic shock wave or pressure pulse generator to     emit acoustic shock waves or pressure pulses directed to impinge the     blood, subjecting the blood to the acoustic shock waves or pressure     pulses to form stimulated blood cells and transfusing the stimulated     blood cells into the patient donor. The patient donor is infected with a     virus and the blood exhibits at least traces of the virus. The emitted     acoustic shock waves or pressure pulses stimulating the stimulated blood     cells fragment the virus in the blood. The fragmented virus in the blood     transfused back into the patient donor triggers a defensive immune     response to kill the virus. The emitted acoustic shock waves or pressure     pulses are preferably of a low energy. The emitted shock waves or     pressure pulses stimulate the blood cells and fragment the virus in the     absence of cell damaging cavitation due to an elasticity in the blood     cells and a lack of elasticity in the virus. The blood is not filtered.     The blood can be oxygenated via Extracorporeal membrane oxygenation     (ECMO) after being stimulated.</t>
  </si>
  <si>
    <t>US20210322619</t>
  </si>
  <si>
    <t>Anti-Viral Aerosolized Sterilization Technology</t>
  </si>
  <si>
    <t>17/234447</t>
  </si>
  <si>
    <t>Holohan, Eric; Dutton, Barbara</t>
  </si>
  <si>
    <t>HOLOHAN ERIC</t>
  </si>
  <si>
    <t>Holohan; Eric; (Huntington, NY); Dutton; Barbara; (Huntington Station, NY)</t>
  </si>
  <si>
    <t>A61L 2209/211 20130101;  A61L 2209/134 20130101;  A61L 2209/212 20130101;  A61L 2209/135 20130101;  A61L 9/015 20130101;  A61L 9/14 20130101</t>
  </si>
  <si>
    <t>An anti-viral system for generating and outputting an ozone-laden flow of     air mixed with aerosolized hydrogen peroxide has housing including an air     input port for receiving air and an output port for outputting the     ozone-laden airflow mixed with aerosolized hydrogen peroxide. The system     preferably includes an air movement device, an ozone supply, an     aerosolization chamber and a fluid-flow path between the air input port     and the output port, which includes the aerosolization chamber     therebetween. A flow of air into the fluid-flow path is supplied with     ozone from the ozone supply prior to reaching the aerosolization chamber,     which aerosolizes the hydrogen peroxide within the ozone-laden air.</t>
  </si>
  <si>
    <t>US20210322615</t>
  </si>
  <si>
    <t>Walk-Through Sanitizing Nebulization System</t>
  </si>
  <si>
    <t>17/235865</t>
  </si>
  <si>
    <t>X-VIRUS LLC</t>
  </si>
  <si>
    <t>X-VIRUS</t>
  </si>
  <si>
    <t>Ramos; Carlos; (Bonita, CA); Simon; Martin; (Woodland Hills, CA); Flores; Fernando; (Benito Juarez, MX)</t>
  </si>
  <si>
    <t>A61L 2202/14 20130101;  A61L 2/26 20130101;  A61L 2202/20 20130101;  A61L 2/16 20130101;  A61L 2202/15 20130101</t>
  </si>
  <si>
    <t>Walk-through sanitizing nebulization system configured to permit people     to walk through the system and are briefly, but sufficiently, exposed to     a nebulized sanitizer for eliminating bacteria and viruses that may be     present on the exterior surface of a person including skin and clothing.</t>
  </si>
  <si>
    <t>US20210322613</t>
  </si>
  <si>
    <t>SYSTEMS AND METHODS FOR AUTONOMOUS STERILIZATION</t>
  </si>
  <si>
    <t>17/231967</t>
  </si>
  <si>
    <t>ROBOTIC RESEARCH, LLC</t>
  </si>
  <si>
    <t>ROBOTIC RESEARCH</t>
  </si>
  <si>
    <t>Lacaze; Alberto Daniel; (Potomac, MD); Putney; Joseph; (Waterford, VA); Becker; William; (Gaithersburg, MD); Rotundo; Steve; (Gaithersburg, MD); Murphy; Karl Nicholas; (Cocoa Beach, FL)</t>
  </si>
  <si>
    <t>A61L 2/24 20130101;  G06N 20/00 20190101;  A61L 2202/14 20130101</t>
  </si>
  <si>
    <t>Systems and methods for autonomous and safe sterilization, sanitizing,     and cleaning, such as automatic sanitizing in autonomous vehicles and     modification of autonomous sanitizing and access control upon human     presence.</t>
  </si>
  <si>
    <t>US20210322606</t>
  </si>
  <si>
    <t>METHOD AND DEVICE FOR DISINFECTION OF HEALTHCARE PERSONAL PROTECTIVE     EQUIPMENT BY DIRECT APPLICATION OF A DRY PLASMA FIELD</t>
  </si>
  <si>
    <t>17/228624</t>
  </si>
  <si>
    <t>Toomajian; Martin E.; (Brighton, MI); Hawley; Kevin D.; (Dexter, MI)</t>
  </si>
  <si>
    <t>A61L 2/14 20130101;  A61L 2202/14 20130101;  H01J 37/32082 20130101;  H01J 37/32449 20130101;  H01J 37/32715 20130101;  H01J 2237/33 20130101;  H01J 37/32834 20130101;  H01J 37/32568 20130101</t>
  </si>
  <si>
    <t>An apparatus for reducing pathogen loading is disclosed. A plasma     processing chamber is sealed at one end and a pressure sealable door at     the other end, with electrodes within the chamber. A first electrode is     coupled to a RF power source and a second electrode is coupled to ground.     An inlet port introduces a process gas into the chamber. A vacuum pump     draws the process gas into the chamber and exhausts through the pump. An     object is positioned within an inside wall of the chamber. A surface of     the object is disinfected when a plasma field is generated when RF energy     from the electrodes is applied to the introduced process gas.</t>
  </si>
  <si>
    <t>US20210322560</t>
  </si>
  <si>
    <t>Twin Base Linkers for Virus Inactivation</t>
  </si>
  <si>
    <t>17/232105</t>
  </si>
  <si>
    <t>AUDAX MEDICAL, INC.</t>
  </si>
  <si>
    <t>AUDAX MEDICAL</t>
  </si>
  <si>
    <t>WEBSTER; Thomas J.; (Barrington, RI); JOHANSON; Mark A.; (Concord, MA)</t>
  </si>
  <si>
    <t>A61K 31/155 20130101;  A61K 47/65 20170801;  A61P 31/14 20180101</t>
  </si>
  <si>
    <t>Functionalized twin base linkers (TBLs) bind to and deactivate viruses by     preventing their entry into cells. Functionalization of TBLs allows them     to specifically bind to surface proteins of viruses, where they form     structures that limit virus entry into cells and prevent viruses from     replicating.</t>
  </si>
  <si>
    <t>US20210322542</t>
  </si>
  <si>
    <t>VACCINATION AGAINST CORONAVIRUS WITH POLIOMYELITIS VACCINE</t>
  </si>
  <si>
    <t>17/098449</t>
  </si>
  <si>
    <t>E-MO BIOLOGY INC.</t>
  </si>
  <si>
    <t>E-MO BIOLOGY</t>
  </si>
  <si>
    <t>Xie; Qiyi; (San Diego, CA)</t>
  </si>
  <si>
    <t>C12N 2770/32634 20130101;  A61K 2039/54 20130101;  A61K 39/295 20130101;  A61K 2039/58 20130101;  A61K 2039/5254 20130101;  A61K 2039/5252 20130101;  C12N 2770/32671 20130101;  A61K 2039/545 20130101;  A61P 31/14 20180101</t>
  </si>
  <si>
    <t>Provided herein is a method for preventing an infectious disease caused     by a Coronaviridae virus with a poliomyelitis vaccine. Also provided     herein is a method of inducing a protective immune response against a     Coronaviridae virus with a poliomyelitis vaccine.</t>
  </si>
  <si>
    <t>US20210322541</t>
  </si>
  <si>
    <t>17/232666</t>
  </si>
  <si>
    <t>VLP THERAPEUTICS, LLC</t>
  </si>
  <si>
    <t>VLP THERAPEUTICS</t>
  </si>
  <si>
    <t>AKAHATA; Wataru; (Kensington, MD); SMITH; Jonathan F.; (Redwood City, CA); UENO; Ryuji; (Easton, MD)</t>
  </si>
  <si>
    <t>C07K 2319/02 20130101;  A61K 39/215 20130101;  C07K 14/1808 20130101;  C07K 2319/03 20130101;  C07K 14/165 20130101</t>
  </si>
  <si>
    <t>Provided herein is an isolated polynucleotide, which encodes alphavirus     non-structural proteins nsp1, nsp2, nsp3 and nsp4 and a polypeptide     comprising a coronavirus protein fused to a signal sequence and/or     transmembrane domain. The coronavirus protein may be the receptor binding     domain of the S1 subunit of coronavirus spike (S) protein. The     polynucleotide such as RNA is useful for as a vaccine against coronavirus     infection, especially, COVID-19 infection.</t>
  </si>
  <si>
    <t>US20210322540</t>
  </si>
  <si>
    <t>16/937109</t>
  </si>
  <si>
    <t>A61K 2039/52 20130101;  A61K 39/215 20130101;  A61K 2039/542 20130101</t>
  </si>
  <si>
    <t>US20210322539</t>
  </si>
  <si>
    <t>Cure to new viruses and other diseases that do not have current cure</t>
  </si>
  <si>
    <t>16/873472</t>
  </si>
  <si>
    <t>ADIR YIGAL</t>
  </si>
  <si>
    <t>Adir; Yigal; (Glendale, CA)</t>
  </si>
  <si>
    <t>A61K 39/21 20130101;  C12Q 1/70 20130101;  A61K 39/215 20130101</t>
  </si>
  <si>
    <t>New approach to enable to find quick and efficient cure to new viruses     and other diseases that do not have current cure. To avoid epidemic and     save lives of people</t>
  </si>
  <si>
    <t>US20210322536</t>
  </si>
  <si>
    <t>Boosting Immunogenicity of Vaccines Using Saponins and Agonists of the     Intracellular Stimulator of Interferon Genes Pathway</t>
  </si>
  <si>
    <t>17/233333</t>
  </si>
  <si>
    <t>EMORY UNIVERSITY</t>
  </si>
  <si>
    <t>Compans; Richard; (Atlanta, GA); Vassilieva; Elena; (Roswell, GA)</t>
  </si>
  <si>
    <t>A61K 2039/55577 20130101;  A61K 39/145 20130101;  A61K 2039/55 20130101;  A61K 2039/55561 20130101;  A61K 39/39 20130101;  A61K 2039/55555 20130101;  A61P 31/16 20180101</t>
  </si>
  <si>
    <t>This disclosure relates to boosting the immunogenicity of vaccines using     an adjuvant combination comprising a saponin and an agonist of the     intracellular stimulator of interferon genes pathway. In certain     embodiments, the vaccine comprises an inactivated virus, attenuated     virus, virus protein, virus like particle, or virosome. In certain     embodiments, the human subject is of advanced age or elderly. In certain     embodiments, the viral vaccine is an influenza vaccine.</t>
  </si>
  <si>
    <t>US20210322488</t>
  </si>
  <si>
    <t>Treatment Methodology for the Prevention and Control of Viral Infections</t>
  </si>
  <si>
    <t>17/232301</t>
  </si>
  <si>
    <t>Dbouk, Yasser; Dbouk, Zaher; Shaw, Mark</t>
  </si>
  <si>
    <t>DBOUK YASSER</t>
  </si>
  <si>
    <t>Dbouk; Yasser; (Beirut, LB); Dbouk; Zaher; (Beirut, LB); Shaw; Mark; (Ponte Vedra Beach, FL)</t>
  </si>
  <si>
    <t>A61K 35/66 20130101;  A61K 47/46 20130101;  A61K 9/0043 20130101;  A61K 47/26 20130101</t>
  </si>
  <si>
    <t>A treatment methodology for the prevention and control of viral     infections by administering an anti-viral composition having     organotrophic archaea microorganisms, a carrier substance and an     activating liquid, characterized in that the archaea microorganisms, when     present in human or animal, weaken or destroy a virus upon contact. The     anti-viral composition is administered either intraorally or     intranasally.</t>
  </si>
  <si>
    <t>US20210322483</t>
  </si>
  <si>
    <t>17/186039</t>
  </si>
  <si>
    <t>C12N 5/0656 20130101;  A61K 9/1271 20130101;  A61P 31/14 20180101;  A61K 9/0043 20130101;  A61K 35/33 20130101;  C12N 2510/00 20130101;  A61P 37/06 20180101;  A61K 9/007 20130101;  A61P 11/00 20180101;  A61K 38/177 20130101</t>
  </si>
  <si>
    <t>A composition comprising cell-derived particles presenting heterologous     CD24, wherein the cell is a non-cancerous cell and wherein the     composition is substantially devoid of intact cells is disclosed. Methods     of producing the cell-derived particles and methods of using the     cell-derived particles in treatment of cytokine storm syndrome, tissue     injury associated with the inflammation and Coronavirus infection are     also disclosed.</t>
  </si>
  <si>
    <t>US20210322481</t>
  </si>
  <si>
    <t>Compositions Comprising Milk Fat Globules and Methods of Making Same</t>
  </si>
  <si>
    <t>16/898804</t>
  </si>
  <si>
    <t>KANE JAMES F</t>
  </si>
  <si>
    <t>KANE JAMES</t>
  </si>
  <si>
    <t>Kane; James F.; (West Chester, PA)</t>
  </si>
  <si>
    <t>A61K 9/06 20130101;  A61K 9/0014 20130101;  A61K 9/14 20130101;  A61K 47/06 20130101;  A61K 9/0053 20130101;  A61K 35/20 20130101</t>
  </si>
  <si>
    <t>Compositions including anti-viral compositions, therapeutic compositions,     sunscreen compositions, skin treatment compositions, anti-aging     compositions, and methods of making the same, are provided. Each     composition includes milk fat globules (MFG) and may contain one or more     agents encapsulated by the MFG. The unique nature of MFG provides an     intact mammalian membrane containing proteins, glycoproteins, and     carbohydrates found in mammary cells. By treating an infected patient     with MFG, the MFG serve as a surrogate cell and interact with enveloped     viruses, such as the COVID-19 coronavirus, the Herpes virus, and the     Epstein Barr Virus, rendering them non-infectious. MFG derived from     mammals can also be used to deliver pharmaceutical materials into an     animal body such that the pharmaceutical materials bypass the venous     blood and enter directly into the animal's lymphatic system. MFG allow     the delivery of materials orally that could not heretofore have been     delivered efficiently.</t>
  </si>
  <si>
    <t>US20210322469</t>
  </si>
  <si>
    <t>ZINC AND COPPER FOR THE PROPHYLAXIS AND TREATMENT OF COVID-19</t>
  </si>
  <si>
    <t>17/235518</t>
  </si>
  <si>
    <t>van Kuijk; Fredericus J.; (St. Paul, MN); McPherson; Scott W.; (Edina, MN)</t>
  </si>
  <si>
    <t>A61K 31/355 20130101;  A61K 33/34 20130101;  A61K 33/30 20130101;  A61K 9/0053 20130101;  A61K 31/375 20130101;  A61K 31/047 20130101</t>
  </si>
  <si>
    <t>This disclosure describes methods for prophylaxis and treatment of     coronavirus in vulnerable populations and infected individuals. The     methods include the administration of zinc and in some embodiments     copper. In some embodiments, an amount of zinc is administered sufficient     to raise serum zinc levels to 60 .mu.g/dL. In some aspects, the     coronavirus is the SARS-CoV-2 virus and/or the infection is COVID-19.</t>
  </si>
  <si>
    <t>US20210322467</t>
  </si>
  <si>
    <t>METHOD OF PREVENTING OR TREATING VIRAL INFECTIONS</t>
  </si>
  <si>
    <t>17/230069</t>
  </si>
  <si>
    <t>VECTOR VITALE IP, LLC</t>
  </si>
  <si>
    <t>VECTOR VITALE</t>
  </si>
  <si>
    <t>NOVAK; Peter; (Sunny Isles Beach, FL); TEMNIKOV; Maxim; (Miami, FL); BALAKIN; Oleksandr; (Dnepropetrovsk, UA)</t>
  </si>
  <si>
    <t>A61P 31/16 20180101;  A61P 31/22 20180101;  A61K 33/30 20130101;  A61K 47/02 20130101;  A61K 9/08 20130101</t>
  </si>
  <si>
    <t>A method of treating or preventing a disease or condition caused (at     least in part) by, or related to, a viral infection in a patient,     comprising administering to said patient a pharmaceutical composition     comprising, in certain embodiments, .sup.64Zn-enriched zinc, at a     therapeutically effective or a prophylactically effective dose for     treating or preventing the disease or condition caused by the viral     infection.</t>
  </si>
  <si>
    <t>US20210322464</t>
  </si>
  <si>
    <t>METHOD OF TREATING AND PREVENTING CORONAVIRUS DISEASE 19 (COVID-19) USING     A SELENIUM ADMINISTRATION</t>
  </si>
  <si>
    <t>17/235592</t>
  </si>
  <si>
    <t>Ghoweba, Mohamed Samir Elsayed</t>
  </si>
  <si>
    <t>GHOWEBA MOHAMED</t>
  </si>
  <si>
    <t>Ghoweba; Mohamed Samir Elsayed; (Longview, TX)</t>
  </si>
  <si>
    <t>A61K 33/04 20130101;  A61K 31/573 20130101;  A61P 31/14 20180101;  A61K 31/7048 20130101;  A61K 31/7076 20130101;  A61K 9/0019 20130101;  A61K 31/546 20130101;  A61K 35/16 20130101</t>
  </si>
  <si>
    <t>The present invention provides methods for treatment and prevention of     Coronavirus Disease 2019 (COVID-19) and any clinical presentations     associated with it including Acute Respiratory Distress Syndrome (ARDS),     Severe Inflammatory Response Syndrome (SIRS), and/or any state     corresponding to a severe acute attack of an inflammatory pathology     causing an exacerbation of cytokine storm associated with unregulated     oxidative, endoplasmic reticulum, and inflammatory stress mediated     cytotoxic effects following the infection with the novel Severe Acute     Respiratory Syndrome Coronavirus-2 (SARS-CoV-2) with at least a     pharmacologically acceptable trace element, Selenium (Se) containing     molecule, or compound, or drug, or injection, or intravenous infusion.     This is achieved by administering to a subject, a therapeutically     effective amount of at least a pharmacologically acceptable molecule     containing Se at an initial high dose followed by reduced, continuous     dosing in subsequent treatment so as to employ its antioxidant,     cytokine-modulating, antiviral, immune-enhancing, anti-apoptotic, and     anticoagulant properties for the treatment and prevention of COVID-19.</t>
  </si>
  <si>
    <t>US20210322445</t>
  </si>
  <si>
    <t>PHARMACEUTICAL COMPOSITIONS OF NICLOSAMIDE</t>
  </si>
  <si>
    <t>17/220833</t>
  </si>
  <si>
    <t>The Board Of Regents Of The University Of Texas</t>
  </si>
  <si>
    <t>BOARD REGENTS UNIVERSITY TEXAS</t>
  </si>
  <si>
    <t>Williams, III; Robert O.; (Austin, TX); Smyth; Hugh D.C.; (Austin, TX); Warnken; Zachary N.; (Austin, TX); Jara Gonzalez; Miguel Orlando; (Austin, TX); Seo; Hyo-Jong; (Austin, TX); Brunaugh; Ashlee D.; (Austin, TX); Herpin; Matthew; (Austin, TX)</t>
  </si>
  <si>
    <t>A61K 47/10 20130101;  A61K 47/58 20170801;  A61K 47/32 20130101;  A61K 9/0053 20130101;  A61K 31/609 20130101</t>
  </si>
  <si>
    <t>The present disclosure provides pharmaceutical compositions of     niclosamide that may be administered either orally or by inhalation.     These compositions may allow the achievement of a therapeutically     effective dose of niclosamide to the lungs or the gastrointestinal tract.     These compositions may be used to treat one or more diseases or disorders     such as a viral infection or cancer.</t>
  </si>
  <si>
    <t>US20210322421</t>
  </si>
  <si>
    <t>COMPOSITIONS AND METHODS FOR THE TREATMENT OF SEVERE ACUTE RESPIRATORY     SYNDROME CORONAVIRUS 2 (SARS-COV-2) INFECTION</t>
  </si>
  <si>
    <t>17/131875</t>
  </si>
  <si>
    <t>A61P 31/14 20180101;  A61K 31/519 20130101;  A61K 9/0053 20130101</t>
  </si>
  <si>
    <t>Disclosed herein are methods for treating an individual having a Severe     Acute Respiratory Syndrome Coronavirus 2 (SARS-CoV-2) infection. The     method may comprise administering a JAK inhibitor, for example     ruxolitinib (JAKAFI.RTM.), to an individual in need thereof, such     individual generally being an individual having, or suspecting of having,     SARS-CoV-2 infection. The individual in need thereof may be an individual     having, or suspected of having or at risk for developing SARS-CoV-2     infection-related cytokine storm. The individual in need thereof may     further be an individual having, or suspected of having SARS-CoV-2     infection-related pneumonia.</t>
  </si>
  <si>
    <t>US20210322390</t>
  </si>
  <si>
    <t>17/364386</t>
  </si>
  <si>
    <t>A61M 31/00 20130101;  A61K 31/435 20130101;  A61K 31/4409 20130101;  A61K 9/48 20130101;  A61K 9/0053 20130101;  A61P 31/14 20180101</t>
  </si>
  <si>
    <t>US20210322351</t>
  </si>
  <si>
    <t>VIDOFLUDIMUS FOR USE IN THE TREATMENT OR PREVENTION OF VIRAL DISEASES</t>
  </si>
  <si>
    <t>17/234986</t>
  </si>
  <si>
    <t>IMMUNICUM AB</t>
  </si>
  <si>
    <t>IMMUNICUM</t>
  </si>
  <si>
    <t>GROPPEL; Manfred; (Erlangen, DE); VITT; Daniel; (Germering, DE); KOHLHOF; Hella; (Munich, DE); MUHLER; Andreas; (Munich, DE)</t>
  </si>
  <si>
    <t>A61K 45/06 20130101;  A61K 9/20 20130101;  A61K 31/196 20130101;  C07B 2200/13 20130101;  A61P 31/14 20180101;  A61K 9/0053 20130101;  A61K 31/706 20130101</t>
  </si>
  <si>
    <t>The present invention relates to a compound according to Formula (I)  ##STR00001## or a salt, solvate and/or a hydrate thereof, wherein said compound     inhibits dihydroorotate dehydrogenase (DHODH), for use in the treatment     and prevention of viral infection. A preferred example is viral infection     caused by coronavirus, in particular betacoronavirus, more particular     SARS-CoV-2 and mutated versions thereof.</t>
  </si>
  <si>
    <t>US20210322242</t>
  </si>
  <si>
    <t>PORTABLE PATIENT ISOLATION SYSTEMS AND METHODS</t>
  </si>
  <si>
    <t>17/231341</t>
  </si>
  <si>
    <t>Hogan; Christopher; (Minneapolis, MN); Phu; Hai-Thien; (West Saint Paul, MN); Abraham; Asish; (Saint Louis Park, MN); Belani; Kumar; (Saint Louis Park, MN); Andrews; Austin; (Minneapolis, MN); Marabella; Ian; (Wyoming, MN); Olson; Bernard; (Arden Hills, MN); Park; Yensil; (Minneapolis, MN); Dufresne; Thomas; (West Saint Paul, MN)</t>
  </si>
  <si>
    <t>A61G 10/04 20130101;  A61G 2203/70 20130101;  A61G 10/005 20130101</t>
  </si>
  <si>
    <t>Respiratory isolation systems and devices for facilitating delivery of     respiratory treatments to a patient. The device incudes a housing, a     filtration unit, and at least one access port. The housing includes a     front panel, a rear panel, one or more side panels, and a top panel that     combine to define a chamber. The housing defines an open base that is     open to the chamber, and the front panel defines an opening to the     chamber. The filtration unit is mounted to the housing and includes a     filter in fluid communication with the chamber. The access port is formed     through one of the panels and permits user access to the chamber from an     exterior of the housing. When connected to an airflow source as part of a     respiratory isolation system, negative or positive pressure can     continuously be provided to a patient within the chamber.</t>
  </si>
  <si>
    <t>US20210321904</t>
  </si>
  <si>
    <t>SYSTEMS AND METHODS FOR DETECTING ALCOHOL, ACETONE, AND CARBON MONOXIDE IN     BREATH</t>
  </si>
  <si>
    <t>17/235259</t>
  </si>
  <si>
    <t>Miller; Tiffany Crystal; (Tampa, FL); Morgera; Salvatore Domenic; (Tampa, FL); Saddow; Stephen Edward; (Tampa, FL); Takshi; Arash; (Tampa, FL)</t>
  </si>
  <si>
    <t>A61B 5/4845 20130101;  A61B 5/097 20130101;  A61B 5/082 20130101</t>
  </si>
  <si>
    <t>A breath collection device can detect changes associated with     pathogenesis of a disease, such as COVID-19, including biomarkers of     immune response for respiratory symptoms, central nervous system injury,     and/or peripheral nervous system injury in user breath and/or odor. The     breath collection device can detect concentrations of alcohol, acetone,     and carbon monoxide in user breath samples. A breath sample can be     received in an internal bladder of the device for sensor analysis.     Concentrations of alcohol, acetone, and carbon monoxide can be determined     by calibrated calculation. A detection method for alcohol, acetone, and     carbon monoxide can provide a non-invasive, rapid, and selective     detection of gases in a variety of applications in virus detection as     well as agricultural and homeland security.</t>
  </si>
  <si>
    <t>US20210321903</t>
  </si>
  <si>
    <t>Mask-Based Diagnostic System using Exhaled Breath Condensate</t>
  </si>
  <si>
    <t>17/189711</t>
  </si>
  <si>
    <t>A61B 10/0045 20130101;  G01N 33/54386 20130101;  A61B 5/097 20130101;  A61B 5/082 20130101</t>
  </si>
  <si>
    <t>A mask-based diagnostic apparatus is provided for detecting a biomarker     contained in exhaled breath of a test subject. An exhaled breath     condensate (EBC) collector converts breath vapor received from the lungs     and airways of the test subject into a fluid biosample. The EBC collector     including a thermal mass, a condensate-forming surface and a fluid     conductor disposed on the condensate-forming surface. A fluid transfer     system receives the fluid biosample from the EBC collector. A biomarker     testing unit receives the fluid biosample from the fluid transfer system     and tests the fluid biosample for a target biomarker. A testing system     support is provided for supporting the EBC collector, the fluid transfer     system and the biomarker testing unit. The testing system support is     configured and dimensioned to fit inside a face mask. A face mask is     provided forming an exhaled breath vapor containment volume to hold the     exhaled breath vapor in proximity to the EBC collector to enable the     condensate-forming surface cooled by the thermal mass to coalesce the     exhaled breath vapor into the fluid biosample.</t>
  </si>
  <si>
    <t>US20210321875</t>
  </si>
  <si>
    <t>Real-time Monitoring and Identification System Based on Bracelet     Temperature Measurement and Positioning</t>
  </si>
  <si>
    <t>17/326650</t>
  </si>
  <si>
    <t>Nuctech (Beijing) Company Limited</t>
  </si>
  <si>
    <t>NUCTECH</t>
  </si>
  <si>
    <t>Fang; Bin; (Beijing, CN); Sun; Fuchun; (Beijing, CN); Liu; Huaping; (Beijing, CN)</t>
  </si>
  <si>
    <t>A61B 2562/0219 20130101;  H04Q 9/00 20130101;  A61B 90/90 20160201;  A61B 5/0008 20130101;  H04W 8/005 20130101;  H02J 7/0068 20130101;  A61B 5/681 20130101;  A61B 5/7455 20130101;  H02J 7/0047 20130101;  H04Q 2209/43 20130101;  H04W 4/029 20180201;  A61B 5/01 20130101;  A61B 5/7267 20130101;  H04W 4/80 20180201;  G08B 7/06 20130101</t>
  </si>
  <si>
    <t>The invention relates to a real-time monitoring and recognition system     based on bracelet temperature measurement and positioning, comprising an     ID card reader, multiple smart bracelets, multiple wireless node devices     mounted at intervals in crowd gathering occasions for collecting sensing     information of all smart bracelets nearby, and a cloud data processing     unit for acquiring the temperature, position and motion state information     of a wearer to intelligently identify the real-time body temperature     health state, motion state, regional activity state, accompanying     aggregation state and the like of individuals and groups through big data     analysis in combination with the information, wherein each smart bracelet     comprises an in-wrist temperature measurement sensor, a motion sensor, a     Bluetooth sensor, a display lamp, a battery, a battery charging port, a     vibration alarm and an embedded type chip processor which are arranged in     a waterproof wristband; it is particularly suitable for individual and     group monitoring in schools, communities, factories, etc.</t>
  </si>
  <si>
    <t>US20210321703</t>
  </si>
  <si>
    <t>SELF-STERILIZING FABRIC FOR PERSONAL PROTECTION AGAINST PATHOGENS</t>
  </si>
  <si>
    <t>17/232839</t>
  </si>
  <si>
    <t>AMERICAN BORONITE CORPORATION</t>
  </si>
  <si>
    <t>AMERICAN BORONITE</t>
  </si>
  <si>
    <t>Bystricky; Pavel; (Lexington, MA); Kalus-Bystricky; Iva C.; (Lexington, MA); Lashmore; David S.; (Lebanon, NH)</t>
  </si>
  <si>
    <t>D06M 16/00 20130101;  A41D 13/1192 20130101;  A41D 31/305 20190201;  D06M 2101/40 20130101</t>
  </si>
  <si>
    <t>A fabric containing nanotubes which is impervious to viruses, bacteria,     and other pathogens; which is self-sterilizing and reusable; and a method     of producing the same are disclosed. The fabric can be used to construct     facemasks, gloves, protective suits, protective habitats, continuous air     filtration/sterilization systems or any other type of protective clothing     or structure. The fabric may have integrated temperature monitoring     sensors. The fabric may be made into patches which may be integrated into     existing articles of clothing. When connected to an electrical power     source, either via built-in electrical connections or by induction, the     active layer which is one of the components of the fabric will heat to a     temperature high enough to eliminate potential biological contamination     from viruses, bacteria and other microbial threats. Combining the CNT     active layer with an insulating layer will allow a garment to be     continuously worn or used without needing removal during multiple     sterilization cycles.</t>
  </si>
  <si>
    <t>US20210321696</t>
  </si>
  <si>
    <t>COVID MASK</t>
  </si>
  <si>
    <t>16/941371</t>
  </si>
  <si>
    <t>FIRST STEP HOLDINGS, LLC</t>
  </si>
  <si>
    <t>FIRST STEP</t>
  </si>
  <si>
    <t>SKIBA; Jeffry B.; (Chandler, AZ); SHEFTEL; Scott N.; (Tucson, AZ)</t>
  </si>
  <si>
    <t>A61L 2209/14 20130101;  B01D 53/326 20130101;  A41D 31/30 20190201;  B01D 2239/0645 20130101;  A61L 9/16 20130101;  B01D 2239/0407 20130101;  B01D 2239/0613 20130101;  B01D 2239/0442 20130101;  A62B 23/025 20130101;  B01D 2239/0609 20130101;  B01D 53/323 20130101;  D06M 11/83 20130101;  B01D 2239/0241 20130101;  A41D 13/1192 20130101;  B01D 39/086 20130101</t>
  </si>
  <si>
    <t>Disclosed is a method and device for inactivating or killing airborne     bacteria, fungi, molds and viruses by passing the air through a filter     material formed of a fabric having particles of zinc disposed in discrete     physically isolated locations, wherein the particles of zinc and oxygen     from the air form half cells of a battery whereby to create an electrical     field that inactivates or kills airborne bacteria, fungi, molds and     viruses passing through the filter material.</t>
  </si>
  <si>
    <t>US20210321693</t>
  </si>
  <si>
    <t>PROTECTIVE FACE SHIELD ATTACHABLE TO HEADWEAR</t>
  </si>
  <si>
    <t>16/893699</t>
  </si>
  <si>
    <t>RO TECHNOLOGIES, LLC</t>
  </si>
  <si>
    <t>Wilson; Bart E.; (Las Vegas, NV); Smith; Tonya L.; (Las Vegas, NV)</t>
  </si>
  <si>
    <t>A41D 13/1161 20130101;  A42B 1/006 20130101;  A41D 13/1184 20130101</t>
  </si>
  <si>
    <t>A protective shield for use with headgear includes a unitary panel having     a protective portion including opposing first and surfaces The unitary     panel additionally includes at least one lateral tab connectable to the     headgear. The protective portion is sized to extend over the face of a     user when the at least one lateral tab is connected to the headgear and     the headgear is worn on the user's head. The unitary panel is selectively     connectable to the headgear in at least one of a first configuration and     a second configuration. In the first configuration, the at least one     lateral tab is connected to the headgear such that the first surface     assumes a convex configuration and faces away from the user. In the     second configuration, the at least one lateral tab is connected to the     headgear such that the first surface assumes a concave configuration and     faces toward from the user.</t>
  </si>
  <si>
    <t>US20210321692</t>
  </si>
  <si>
    <t>16/874609</t>
  </si>
  <si>
    <t>Wilson; Bart E.; (Las Vegas, NV)</t>
  </si>
  <si>
    <t>A42B 3/225 20130101;  A41D 13/1184 20130101</t>
  </si>
  <si>
    <t>A protective shield is provided for use with headwear having a brim and     wearable by a user. The protective shield includes an elongate suspension     strap portion and a pair of attachment tabs engageable with the headwear     and positioned such that the elongate suspension strap portion extends     between the pair of attachment tabs. A protective portion is connected to     the suspension strap portion and is configured to extend over the user's     eyes, nose, and mouth when the protective shield is attached to the     headwear. The suspension strap portion and the protective portion     collectively define a slot sized to receive the brim of the headwear to     facilitate engagement between the protective shield and the headwear.</t>
  </si>
  <si>
    <t>US20210321691</t>
  </si>
  <si>
    <t>FACE SHIELD SYSTEM</t>
  </si>
  <si>
    <t>17/210976</t>
  </si>
  <si>
    <t>SPROUSE BRANDON</t>
  </si>
  <si>
    <t>Sprouse; Brandon; (Seattle, WA)</t>
  </si>
  <si>
    <t>A41D 13/1184 20130101;  A41D 13/1161 20130101</t>
  </si>
  <si>
    <t>A face shield system formed by a lay-flat headband removably joined with     a lay-flat face shield. The headband having a first connection feature     located at one end of the headband and a second connection feature     located at an opposing end of the headband. The second connection feature     removably connects with the first connection feature in order to provide     a closed headband configured for placement around a user's head. A third     connection feature is located between the first and second connection     features. The face shield includes a fourth connection feature that     removably engages with the third connection feature when the face shield     is in a curved configuration in order to removably connect the headband     together with the face shield. When the face shield is connected to the     head band, a center of the face shield is spaced apart from a face of the     user and a center of the headband.</t>
  </si>
  <si>
    <t>US20210321689</t>
  </si>
  <si>
    <t>16/871058</t>
  </si>
  <si>
    <t>B32B 7/09 20190101;  A41D 13/1161 20130101;  B32B 5/26 20130101;  A41D 2400/52 20130101;  B32B 2571/00 20130101</t>
  </si>
  <si>
    <t>An embodiment may include a face covering apparatus. The face covering     apparatus includes one or more machine-washable layers of cloth. The face     covering apparatus also a wire insertable and removable from the one or     more machine-washable layers of cloth, where the wire is adaptable to one     or more areas of a human face to secure the one or more machine-washable     layers of cloth over the one or more areas of the human face without a     tie, a band, a loop, and an adhesive integrated with the one or more     layers of cloth.</t>
  </si>
  <si>
    <t>US20210321686</t>
  </si>
  <si>
    <t>Nourishment Device For Mask</t>
  </si>
  <si>
    <t>16/853465</t>
  </si>
  <si>
    <t>GREENWAVE3R LLC</t>
  </si>
  <si>
    <t>GREENWAVE3R</t>
  </si>
  <si>
    <t>Crawford; Peter; (Wayzata, MN)</t>
  </si>
  <si>
    <t>A device for removably fastening to a protective headwear to more safely     permit nourishment includes a ring-shaped body and a membrane. The body     has an outer surface and defines an inner opening. The outer surface of     the body is mountable about a hole in the protective headwear such that     the inner opening of the body at least partially overlaps with the hole.     A membrane is connected to the body to substantially close the inner     opening. At least one slit in said membrane to permit passage of a     utensil through the membrane.</t>
  </si>
  <si>
    <t>US20210321618</t>
  </si>
  <si>
    <t>COATING FOR CAPTURING AND KILLING VIRUSES ON SURFACES</t>
  </si>
  <si>
    <t>17/235827</t>
  </si>
  <si>
    <t>SEAL; Sudipta; (Orlando, FL); NEAL; Craig; (Orlando, FL); KUMAR; Udit; (Orlando, FL)</t>
  </si>
  <si>
    <t>A01N 59/16 20130101;  A01N 25/24 20130101;  A01N 25/10 20130101</t>
  </si>
  <si>
    <t>Disclosed herein is a nano-coating platform that is designed to `capture`     and `kill` (i.e. inactivate) virus species to prevent surface to surface     contamination/transmission and thereby the spread of novel viruses. The     platform is comprised of alternating layers of charged polymers     (producing a multi-layer coating). The cationic layer may be grafted with     oligomeric species, chosen to bind strongly to unique/specific virus     surface features, thereby mediating capture of the virus (with the choice     of oligomeric species allowing generalization to a given virus). Natural     light (excitation) to UV (local emission) up-converting nanoparticles are     seeded into the anionic layer and mediate the inactivation (`killing`) of     the bound virus species.</t>
  </si>
  <si>
    <t>US20210321220</t>
  </si>
  <si>
    <t>Contact Tracing Involving An Index Case, Based On Comparing Geo-Temporal     Patterns That Include Mobility Profiles</t>
  </si>
  <si>
    <t>17/214842</t>
  </si>
  <si>
    <t>POLARIS WIRELESS, INC.</t>
  </si>
  <si>
    <t>POLARIS WIRELESS</t>
  </si>
  <si>
    <t>Bahuguna; Anjul; (San Ramon, CA); Gordon; Scot Douglas; (Redmond, WA); Martin; Robert Lewis; (Antioch, CA)</t>
  </si>
  <si>
    <t>G16H 50/80 20180101;  H04W 4/029 20180201;  G16H 70/60 20180101;  G16H 50/30 20180101</t>
  </si>
  <si>
    <t>A method for performing contact tracing. An analysis system performing     the method receives geo-temporal data comprising location data points for     various wireless terminals, including the wireless terminals being used     by people diagnosed as having a specified disease and the wireless     terminals of others, one of whom having possibly infected those diagnosed     with the disease. Based on filtering the geo-temporal data, the analysis     system generates relatively-condensed mobility profiles that are     representative of each person's locations and movements, and analyzes the     mobility profiles. Through careful selections of various parameters based     on the disease that is being analyzed, the mobility profiles are used     instead of the relatively large amounts of geo-temporal data, to     represent users of wireless terminals and to determine their interactions     in regard to disease transmission.</t>
  </si>
  <si>
    <t>US20210321217</t>
  </si>
  <si>
    <t>Contact Tracing Based On Comparing Geo-Temporal Patterns Of Wireless     Terminals, Including Mobility Profiles</t>
  </si>
  <si>
    <t>17/214840</t>
  </si>
  <si>
    <t>H04W 8/14 20130101;  H04W 4/029 20180201;  H04W 4/023 20130101;  H04W 4/025 20130101</t>
  </si>
  <si>
    <t>A method for performing contact tracing. An analysis system performing     the method receives geo-temporal data comprising location data points for     various wireless terminals, including the wireless terminal being used by     a person diagnosed as having a specified disease and the wireless     terminals of people who possibly have come in contact with the infected     person. Based on filtering the geo-temporal data, the analysis system     generates relatively-condensed mobility profiles that are representative     of each person's locations and movements, and analyzes the mobility     profiles. Through careful selections of various parameters based on the     disease that is being analyzed, the mobility profiles are used instead of     the relatively large amounts of geo-temporal data, to represent users of     wireless terminals and to determine their interactions in regard to     disease transmission.</t>
  </si>
  <si>
    <t>US20210319915</t>
  </si>
  <si>
    <t>METHODS AND SYSTEMS FOR IDENTIFICATION AND PREDICTION OF VIRUS INFECTIVITY</t>
  </si>
  <si>
    <t>17/247037</t>
  </si>
  <si>
    <t>Ahmed; Nadeem; (Mississauga, CA); Bhatia; Sameer K.; (Omaha, NE); Isaacs; Charles Hart; (San Jose, CA)</t>
  </si>
  <si>
    <t>G16H 50/20 20180101;  G16H 50/80 20180101;  G16H 50/70 20180101;  G06N 20/00 20190101</t>
  </si>
  <si>
    <t>Systems and methods may include obtaining, by a server computing system,     data related to a first hotspot associated with a shared-health event,     the data stored in a database system associated with the server computing     system, the first hotspot associated with a first populated area, the     data related to the first hotspot including at least demographic data of     people testing positive for the shared-health event; performing, by the     server computing system, pattern recognition to identify one or more     patterns in the data related to the first hotspot; predicting, by the     server computing system, a second hotspot associated with a second     populated area based on the one or more patterns identified in the data     related to the first hotspot, the second populated area being different     from the first populated area; and performing, by the server computing     system, operations to control an infectivity associated with the     shared-health event in the second populated area.</t>
  </si>
  <si>
    <t>US20210319912</t>
  </si>
  <si>
    <t>SYSTEMS AND METHODS FOR CONTACT AVOIDANCE FOR PREVENTING EPIDEMICS</t>
  </si>
  <si>
    <t>17/228116</t>
  </si>
  <si>
    <t>MATRICS, INC.</t>
  </si>
  <si>
    <t>MATRICS</t>
  </si>
  <si>
    <t>Bandy; William R.; (Gambrills, MD); Arneson; Michael R.; (Warba, MN)</t>
  </si>
  <si>
    <t>H04L 67/141 20130101;  G16H 10/60 20180101;  G08B 7/06 20130101;  G10L 25/51 20130101;  G06F 3/165 20130101;  G16H 50/80 20180101;  G01S 15/74 20130101;  G16H 40/20 20180101;  G06F 16/2379 20190101;  G16H 10/40 20180101;  G16H 50/30 20180101</t>
  </si>
  <si>
    <t>Embodiments described herein are directed to a contact avoidance system     for preventing epidemics. A database maintains a record for each person     enrolled in the system. The record comprises a risk level identifier that     indicates a disease infection risk for the user. When devices carried by     users are proximate to each other, the devices exchange identifiers that     uniquely and anonymously identify the users. At least one device provides     the identifier received thereby to the database, which retrieves the     record associated with the identifier and determines a risk level for the     user associated with the identifier. The risk level is returned to the     device, which issues an alert if the risk level indicates that the other     user is or may be infected with a disease. The database also updates the     risk level associated with users that were determined to be proximate to     a user determined to be infected with the disease.</t>
  </si>
  <si>
    <t>US20210319911</t>
  </si>
  <si>
    <t>System and Method for Obtaining Clearance</t>
  </si>
  <si>
    <t>17/226001</t>
  </si>
  <si>
    <t>Hall; David R.; (Provo, UT); Campbell; K. Jeffrey; (Spanish Fork, UT)</t>
  </si>
  <si>
    <t>A61B 2010/0009 20130101;  A61B 5/6887 20130101;  A61B 10/0051 20130101;  G16H 50/80 20180101;  G06F 21/32 20130101;  A61B 5/117 20130101;  A61B 10/0038 20130101</t>
  </si>
  <si>
    <t>A system and a method to obtain clearance is disclosed. The system     includes user identification hardware configured to establish identity of     the user. The system also includes a toilet configured to analyze a     sample of excreta or sputum from the user, to thereby determine the     status of the user with respect to a pre-determined condition. A     processing module is configured to link the identity of the user with the     status of the user. A communication module communicates information     including the linked identity and status of the user to an authority. As     such, the authority is provided the information required to grant or deny     clearance to the user. Clearance may include allowing a user to use one     or more forms of public transportation, be in places where large numbers     of people congregate, participate in an athletic competition or other     places or activities where the condition of the user may put themselves     or others at risk.</t>
  </si>
  <si>
    <t>US20210319910</t>
  </si>
  <si>
    <t>CONTACT TRACING OF EPIDEMIC-INFECTED AND IDENTIFICATION OF ASYMPTOMATIC     CARRIERS</t>
  </si>
  <si>
    <t>17/221329</t>
  </si>
  <si>
    <t>DUALITI INTERACTIVE LLC</t>
  </si>
  <si>
    <t>DUALITI INTERACTIVE</t>
  </si>
  <si>
    <t>Seidmann; Abraham; (Newton, MA); Ravid; Yaniv; (New York, NY)</t>
  </si>
  <si>
    <t>G16H 10/60 20180101;  G16H 50/20 20180101;  G06Q 50/26 20130101;  G16H 50/30 20180101;  G16H 50/80 20180101;  H04W 4/029 20180201;  G16H 40/20 20180101;  G08B 5/22 20130101;  G16H 15/00 20180101;  G01S 19/42 20130101</t>
  </si>
  <si>
    <t>A method for contact tracing of a carrier of infection within a     population identifies the carrier of the infection and acquires recorded     tracking information that shows geographical location and timing for each     of a plurality of members of the population within a predetermined time     period. From the acquired tracking information, at least a first     geographic location visited by the carrier and a corresponding first time     interval for the carrier visit are identified and at least a second     individual determined to have been present at the first visited     geographical location for a second time interval that at least partially     overlaps the first time interval is identified. A corresponding infection     risk value for the second individual is calculated. A first signal having     message content that alerts the second individual to the calculated     infection risk value is transmitted. The transmitted message content     displays on a personal communications device associated with the second     individual.</t>
  </si>
  <si>
    <t>US20210319909</t>
  </si>
  <si>
    <t>METHODS AND SYSTEMS FOR INHIBITING THE SPREAD OF A PATHOGEN</t>
  </si>
  <si>
    <t>16/847003</t>
  </si>
  <si>
    <t>DAON HOLDINGS LIMITED</t>
  </si>
  <si>
    <t>DAON</t>
  </si>
  <si>
    <t>GRISSEN; Thomas; (Fairfax, VA)</t>
  </si>
  <si>
    <t>G16H 10/60 20180101;  G06Q 50/26 20130101;  G16H 50/80 20180101;  H04L 67/18 20130101;  A61B 5/4842 20130101;  G16H 70/60 20180101</t>
  </si>
  <si>
    <t>A method for inhibiting the spread of a pathogen is provided that     includes storing, using a computer, location data of computing devices.     Each computing device is associated with a respective user. The method     also includes receiving data indicating one of the users contracted a     pathogen, and comparing, using the computer, the location data of the     computing device associated with the pathogenic user against the location     data of the other computing devices to determine whether the computing     device of the pathogenic user was within a distance of at least one other     computing device within a period of time. When at least one other     computing device was within the distance of the computing device     associated with the pathogenic user, the user associated with the at     least one other computing device is identified and notified.</t>
  </si>
  <si>
    <t>US20210319905</t>
  </si>
  <si>
    <t>SYSTEM FOR ASSESSING AND MITIGATING POTENTIAL SPREAD OF INFECTIOUS DISEASE     AMONG DIALYSIS PATIENTS</t>
  </si>
  <si>
    <t>17/226021</t>
  </si>
  <si>
    <t>FRESENIUS MEDICAL CARE HOLDINGS, INC.</t>
  </si>
  <si>
    <t>FRESENIUS MEDICAL CARE</t>
  </si>
  <si>
    <t>Monaghan; Caitlin Kelly; (Arlington, MA); Kotanko; Peter; (New York, NY); Larkin; John; (Hudson, MA); Hymes; Jeffrey; (Nashville, TN); Belmonte; Kathleen; (Concord, MA); Usvyat; Len; (Boston, MA); Dahne-Steuber; Ines A.; (Marietta, GA); Maddux; Franklin W.; (Lincoln, MA)</t>
  </si>
  <si>
    <t>G16H 50/20 20180101;  G16H 50/80 20180101;  G16H 20/40 20180101;  G16H 50/30 20180101</t>
  </si>
  <si>
    <t>A method for mitigating the spread of infectious diseases among dialysis     patients is provided. The method comprises: receiving, by a prediction     system and from a medical facility, individual treatment data indicating     dialysis treatment information associated with a patient undergoing     dialysis treatment; receiving, by the prediction system and from a blood     testing laboratory, individual lab data indicating blood analysis     information associated with the patient; determining, by the prediction     system, disease analysis results for the patient based on inputting the     individual treatment data and the individual lab data into a disease     prediction machine learning (ML) model, wherein the disease analysis     results indicate a likelihood of the patient being infected with a     contagious disease; and providing, by the prediction system and to the     medical facility, instructions indicating one or more responsive actions     based on the disease analysis results.</t>
  </si>
  <si>
    <t>US20210319904</t>
  </si>
  <si>
    <t>System and Method for Tracking Infectious Disease</t>
  </si>
  <si>
    <t>17/226007</t>
  </si>
  <si>
    <t>G01N 33/493 20130101;  G16H 40/63 20180101;  A61B 10/0051 20130101;  G16H 40/67 20180101;  G16H 50/30 20180101;  A61B 5/01 20130101;  A61B 2562/0271 20130101;  G01N 33/48792 20130101;  G01N 2800/26 20130101;  A61B 2562/227 20130101;  G01N 33/6893 20130101;  A61B 10/0038 20130101</t>
  </si>
  <si>
    <t>A system for tracking an infectious disease in a population comprising an     analytical toilet configured to analyte a sample of excreta or sputum     from an individual in the population, to thereby determine whether the     individual is positive for the infectious disease; a processing module     configured to link each positive result with the date and time it was     determined; a communication module for communicating data comprising the     linked positive result and date and time to an authority, thus providing     the authority with information required to track the infectious disease     in the population is disclosed.</t>
  </si>
  <si>
    <t>US20210319901</t>
  </si>
  <si>
    <t>PROACTIVE CONTACT TRACING ASSOCIATED WITH SHARED HEALTH EVENTS</t>
  </si>
  <si>
    <t>16/947388</t>
  </si>
  <si>
    <t>Ahmed; Nadeem; (Mississauga, CA); Bhatia; Sameer K.; (Omaha, NE)</t>
  </si>
  <si>
    <t>G16H 10/60 20180101;  G16H 40/67 20180101;  G16H 50/80 20180101;  G16H 50/70 20180101;  G16H 40/20 20180101;  G16H 50/30 20180101</t>
  </si>
  <si>
    <t>Systems and methods may include obtaining data identifying a plurality of     cancelled health-related appointments for a plurality of patient records     stored in a database, the cancelled health-related appointments     associated with a shared health event; associating each of the plurality     of patient records with a risk category from a plurality of risk     categories ranging from a lowest risk to a highest risk; communicating     with a client computing device associated with a patient having a     cancelled health-related appointment to schedule a return appointment     based at least on a risk category, the communicating including receiving     current health condition information of the patient; based on the current     health condition information of the patient showing symptoms consistent     with symptoms associated with the shared health event, identifying the     patient as a potential infected patient; and performing contact tracing     based at least on people that the patient has contact with while     experiencing the symptoms.</t>
  </si>
  <si>
    <t>US20210319900</t>
  </si>
  <si>
    <t>CARDIOVASCULAR ASSESSMENT OF PATIENTS SUSPECTED OF HAVING COVID-19</t>
  </si>
  <si>
    <t>16/877646</t>
  </si>
  <si>
    <t>Sharma; Puneet; (Princeton Junction, NJ); Rapaka; Saikiran; (Pennington, NJ); Schmuecking; Ingo; (Yardley, PA)</t>
  </si>
  <si>
    <t>G16H 10/60 20180101;  G16H 50/20 20180101;  G16H 50/50 20180101;  A61B 5/0205 20130101;  A61B 5/4842 20130101;  G16H 50/30 20180101</t>
  </si>
  <si>
    <t>Systems and methods for assessing cardiovascular disease of a patient are     provided. Patient data of the patient is received. The patient data may     include one or more input medical images of a chest of the patient,     results of an assessment of a lung disease performed based on the one or     more input medical images, demographic and clinical data of the patient,     and cardiovascular imaging exams of the patient. One or more risk scores     are computed for the patient based on the patient data using a trained     machine learning based network.</t>
  </si>
  <si>
    <t>US20210319886</t>
  </si>
  <si>
    <t>SYSTEMS AND METHODS FOR DETERMINING AND VISUALIZING MEDICAL DEVICE     RESOURCE AVAILABILITY</t>
  </si>
  <si>
    <t>17/227225</t>
  </si>
  <si>
    <t>Day; Andrew; (Newtown, PA); Terry; Jeffrey Richardson; (Lewisville, TX); Hur; Siyun; (Hoffman Estates, IL); Grum; Mark; (Plymouth, MI); Fakhouri; Younan; (Des Plaines, IL); Sahariya; Gaurav; (Schaumburg, IL); Devine; Gabriella; (Chicago, IL); Lister; Sean; (Anderson, SC)</t>
  </si>
  <si>
    <t>G06F 3/048 20130101;  G16H 40/20 20180101;  G16H 10/60 20180101</t>
  </si>
  <si>
    <t>Systems and methods are provided for collecting, aggregating, and     visualizing resource availability information including medical device     availability for one or more medical facilities. In one example, a method     includes receiving real-time data associated with a plurality of     ventilators; determining, for each ventilator of the plurality of     ventilators, a ventilator status based on one or more of a ventilation     start time, a ventilation stop time, a ventilator type, and a ventilator     location, the one or more of the ventilation start time, the ventilation     stop time, the ventilator type, and the ventilator location determined     from the real-time data; and updating one or more resource availability     graphical user interfaces (GUIs) based on the ventilator status.</t>
  </si>
  <si>
    <t>US20210319885</t>
  </si>
  <si>
    <t>SYSTEMS AND METHODS FOR DETERMINING PATIENT DISEASE LOAD</t>
  </si>
  <si>
    <t>17/227222</t>
  </si>
  <si>
    <t>Day; Andrew; (Newtown, PA); Terry; Jeffrey Richardson; (Lewisville, TX); Hur; Siyun; (Hoffman Estates, IL); Uddin; Ala; (Chicago, IL); Grum; Mark; (Plymouth, MI); Fakhouri; Younan; (Des Plaines, IL); Sahariya; Gaurav; (Schaumburg, IL); Devine; Gabriella; (Chicago, IL); Lister; Sean; (Anderson, SC)</t>
  </si>
  <si>
    <t>G06F 3/048 20130101;  G16H 50/80 20180101;  G16H 40/20 20180101;  G16H 50/20 20180101</t>
  </si>
  <si>
    <t>Systems and methods are provided for collecting, aggregating, and     visualizing resource availability information including patient disease     load for one or more medical facilities. In one example, a method     includes determining, based on one or more test results of one or more     tests for a disease included in a data stream from a medical facility and     further based on an amount of time since the one or more tests were     conducted, whether a patient suspected of having the disease is positive,     negative, or under investigation for the disease; and updating one or     more resource availability graphical user interfaces (GUIs) based on the     determination.</t>
  </si>
  <si>
    <t>US20210319884</t>
  </si>
  <si>
    <t>SYSTEMS AND METHODS FOR RESOURCE AVAILABILITY MANAGEMENT</t>
  </si>
  <si>
    <t>17/227221</t>
  </si>
  <si>
    <t>Day; Andrew; (Newtown, PA); Terry; Jeffrey Richardson; (Lewisville, TX); Hur; Siyun; (Hoffman Estates, IL); Fixler; Tamas; (Thornhill, CA); Grum; Mark; (Plymouth, MI); Fakhouri; Younan; (Des Plaines, IL); Sahariya; Gaurav; (Schaumburg, IL); Devine; Gabriella; (Chicago, IL); Lister; Sean; (Anderson, SC)</t>
  </si>
  <si>
    <t>G16H 10/60 20180101;  G06F 3/0482 20130101;  G16H 40/20 20180101;  G16H 70/60 20180101</t>
  </si>
  <si>
    <t>Systems and methods are provided for collecting, aggregating, and     visualizing resource availability information for one or more medical     facilities. In one example, a method includes receiving first data from a     first medical facility, the first data received via a first data     streaming process and in a first format; receiving second data from a     second medical facility, the second data received via a second data     streaming process and in a second format; processing the first data and     the second data to generate one or more resource availability graphical     user interfaces (GUIs); and outputting the one or more resource     availability GUIs for display on a display device.</t>
  </si>
  <si>
    <t>US20210319863</t>
  </si>
  <si>
    <t>SYSTEMS AND METHODS FOR VERIFYING PATIENT IMMUNITY</t>
  </si>
  <si>
    <t>17/226274</t>
  </si>
  <si>
    <t>RAJAGOPAL, Dhiren; RAJAGOPAL, Deven</t>
  </si>
  <si>
    <t>RAJAGOPAL DHIREN</t>
  </si>
  <si>
    <t>RAJAGOPAL; Dhiren; (Atlanta, GA); RAJAGOPAL; Deven; (Atlanta, GA)</t>
  </si>
  <si>
    <t>G06F 21/6245 20130101;  G16H 10/60 20180101;  G01K 13/20 20210101;  G06K 19/06037 20130101;  G16H 40/67 20180101;  G07C 9/00658 20130101;  G16H 20/17 20180101;  G07C 9/00571 20130101;  G16H 40/20 20180101;  G06F 21/32 20130101;  G07C 9/27 20200101;  G06K 7/1417 20130101;  G16H 50/30 20180101</t>
  </si>
  <si>
    <t>A system and method for verifying a patient's immunity to a predetermined     pathogen are provided. The contemplated system relies on at least one of     patient-specific and exposure data, which could include immunization or     vaccination data, to assess the patient's immunity to a predetermined     pathogen. If immunity is verified, the patient is selectively issued a     digital certificate real-time and/or on-demand used to allow access to a     building, gain authorization to conduct predetermined activities, work,     travel freely, etc. The immunity certificate may be renewed or revoked if     predetermined events occur, such as a rise in body temperature over a     predetermined level.</t>
  </si>
  <si>
    <t>US20210319804</t>
  </si>
  <si>
    <t>SYSTEMS AND METHODS USING NEURAL NETWORKS TO IDENTIFY PRODUCERS OF HEALTH     SOUNDS</t>
  </si>
  <si>
    <t>17/220677</t>
  </si>
  <si>
    <t>Whitehill; Matthew; (Seattle, WA); Patel; Shwetak N.; (Seattle, WA)</t>
  </si>
  <si>
    <t>G10L 25/30 20130101;  G10L 25/66 20130101;  G10L 17/18 20130101;  G06N 3/08 20130101;  G10L 21/10 20130101</t>
  </si>
  <si>
    <t>Examples of apparatuses and methods described herein may provide     personalized audio health sensing to identify individuals based on their     health sounds. A microphone may receive an audio sample including speech     utterance and cough. A computing device may process the audio sample and     analyze the audio sample to predict whether the audio sample is produced     by a known user. The computing device may include a neural network that     processes and analyzes the audio sample.</t>
  </si>
  <si>
    <t>US20210318342</t>
  </si>
  <si>
    <t>Automated Driving of an Assay with Spaced Magnets</t>
  </si>
  <si>
    <t>16/846684</t>
  </si>
  <si>
    <t>BREVITEST TECHNOLOGIES, LLC</t>
  </si>
  <si>
    <t>BREVITEST</t>
  </si>
  <si>
    <t>LlNBECK, III; Leo; (Houston, TX); Garza, JR.; Javier Trinidad; (Laredo, TX); Garr; Robert Patrick; (Fair Oaks Ranch, TX); Chatterjee; Dev; (Saint Louis, MO)</t>
  </si>
  <si>
    <t>G01N 35/00871 20130101;  G01N 35/0098 20130101;  G01N 2035/00534 20130101</t>
  </si>
  <si>
    <t>The invention herein relates to conducting assays with an apparatus     including a substantially transparent assay cartridge loaded with     magnetic beads, and a magnets positioned in a platform above and below     the assay cartridge. The assay cartridge includes magnetic beads, sample     and control solutions in some wells, and assay reagents in others. A     microcomputer controls a linear actuator which moves the magnet platform     causing the magnetic beads to travel from one well to another and to     oscillate within a well. At assay completion, the cartridge will generate     a signal representing a test result, which is then sent to a server     through a wireless transmission system.</t>
  </si>
  <si>
    <t>US20210318311</t>
  </si>
  <si>
    <t>SIMULTANEOUS DETECTION OF HUMORAL AND INFLAMMATORY BIOMARKERS</t>
  </si>
  <si>
    <t>17/229512</t>
  </si>
  <si>
    <t>MBIO DIAGNOSTICS, INC.</t>
  </si>
  <si>
    <t>MBIO DIAGNOSTICS</t>
  </si>
  <si>
    <t>Okrongly; David; (Boulder, CO)</t>
  </si>
  <si>
    <t>G01N 33/56983 20130101;  G01N 21/6428 20130101;  G01N 33/6854 20130101;  G01N 2800/56 20130101;  G01N 2333/585 20130101;  G01N 2800/60 20130101;  G01N 2333/165 20130101;  G01N 2333/525 20130101;  G01N 2021/6439 20130101;  G01N 2333/5412 20130101;  G01N 2333/4737 20130101</t>
  </si>
  <si>
    <t>The present disclosure provides a rapid test for determining state of an     infection (e.g., a coronavirus such as Covid-2019) in a subject. The test     may include the steps of detecting of an antibody specific to the     pathogen in a blood sample from the subject, and detecting and     quantitating the level of at least one inflammatory biomarker in the same     subject.</t>
  </si>
  <si>
    <t>US20210318309</t>
  </si>
  <si>
    <t>ASSAYS WITH INDUCED AGGREGATION FOR ENHANCED SENSITIVITY</t>
  </si>
  <si>
    <t>17/226989</t>
  </si>
  <si>
    <t>ILYTICA LLC</t>
  </si>
  <si>
    <t>ILYTICA</t>
  </si>
  <si>
    <t>GROVES; Jay T.; (San Francisco, CA)</t>
  </si>
  <si>
    <t>G01N 2021/7786 20130101;  G01N 15/147 20130101;  G01N 33/545 20130101;  G01N 21/64 20130101;  G01N 33/5304 20130101;  G01N 2015/1477 20130101;  G01N 33/56966 20130101;  G01N 2021/6421 20130101;  G01N 2333/4737 20130101</t>
  </si>
  <si>
    <t>Provided herein are systems, devices and methods for the rapid and     accurate measurement of analyte particles binding-induced aggregation of     reporter particles. In the presence of analyte particles of interest,     reporter particles form aggregates which increase in mean particle size     as the concentration of analyte increases. From analysis of the mean     particle size, determined from sample frames, the presence and/or     concentration of analyte can be determined.</t>
  </si>
  <si>
    <t>US20210317679</t>
  </si>
  <si>
    <t>COLLAPSIBLE INFECTIOUS DISEASE ISOLATION TENT AND METHOD OF OPERATION</t>
  </si>
  <si>
    <t>17/093723</t>
  </si>
  <si>
    <t>FlexSys Inc.; The Regents of the University of Michigan</t>
  </si>
  <si>
    <t>FLEXSYS REGENTS UNIVERSITY MICHIGAN</t>
  </si>
  <si>
    <t>Hornick; David; (Ann Arbor, MI); Kota; Sridhar; (Ann Arbor, MI); Bassin; Benjamin S.; (Ann Arbor, MI); Ward; Kevin R.; (Superior Township, MI)</t>
  </si>
  <si>
    <t>A61G 10/005 20130101;  E04H 15/14 20130101;  E04H 1/1277 20130101</t>
  </si>
  <si>
    <t>A collapsible isolation tent assembly includes a collapsible frame     assembly, a flexible skin of impermeable material, and an air exchange     arrangement, and further an air pump configured for being connected to     the air exchange arrangement to effect a unidirectional air flow through     the air exchange arrangement. The air pump has a pump capacity within the     range of 85 per minute through 20,000 liters per minute. Openings in the     flexible skin or around edges of the collapsible tent allow for an air     flow compensating for the unidirectional air flow created by the air     pump, and the collapsible isolation tent has a footprint dimensioned to     be placed on a support surface for an individual patient, for example a     hospital bed. A method for preventing air containing airborne pathogens     from contaminating a surrounding space or the interior of the isolation     tent involves operating an air pump in fluid communication with the     collapsible tent.</t>
  </si>
  <si>
    <t>US20210317457</t>
  </si>
  <si>
    <t>ANTISENSE OLIGONUCLEOTIDE (ASO) MOLECULES AND USES THEREOF FOR CORONAVIRUS     DISEASES</t>
  </si>
  <si>
    <t>17/226710</t>
  </si>
  <si>
    <t>ALGOS THERAPEUTICS, INC.</t>
  </si>
  <si>
    <t>ALGOS THERAPEUTICS</t>
  </si>
  <si>
    <t>BEIGELMAN; Leonid; (South San Francisco, CA); STOYCHEVA; Antitsa; (South San Francisco, CA); BHATTACHARYA; Aneerban; (South San Francisco, CA); SMITH; David Bernard; (South San Francisco, CA); PANDEY; Rajendra K.; (Foster City, CA); MONTERO; Saul Martinez; (San Bruno, CA); RAJWANSHI; Vivek Kumar; (Cupertino, CA); HONG; Jin; (Pacifica, CA)</t>
  </si>
  <si>
    <t>A61K 45/06 20130101;  C12N 2310/315 20130101;  C12N 2310/321 20130101;  C12N 2310/341 20130101;  C12N 2320/31 20130101;  C12N 15/1131 20130101;  C12N 2310/11 20130101;  C12N 2310/351 20130101;  A61K 31/713 20130101;  C12N 2310/314 20130101;  A61P 31/14 20180101;  C12N 2310/3231 20130101</t>
  </si>
  <si>
    <t>The present disclosure relates to the field of pharmaceutical compounds     and preparations and method of their use in the treatment of disease.     Described are antisense oligonucleotide (ASO) molecules, compositions     containing the same, and uses thereof for treating or preventing     coronavirus infections. In particular, the present disclosure provides     specific ASOs that are effective against a broad spectrum of     coronaviruses, and especially the .beta.-coronaviruses, including     SARS-CoV-2, the causative agent of COVID-19.</t>
  </si>
  <si>
    <t>US20210317454</t>
  </si>
  <si>
    <t>USE OF A TLR9 AGONIST IN METHODS FOR TREATING COVID-19</t>
  </si>
  <si>
    <t>17/226866</t>
  </si>
  <si>
    <t>CREDIT SUISSE AG, CAYMAN ISLANDS BRANCH, AS COLLATERAL AGENT</t>
  </si>
  <si>
    <t>CREDIT SUISSE</t>
  </si>
  <si>
    <t>CHUNDURU; Srinivas; (Exton, PA)</t>
  </si>
  <si>
    <t>C12N 2310/315 20130101;  A61K 39/3955 20130101;  A61K 2039/5252 20130101;  A61K 39/215 20130101;  C12N 15/115 20130101;  A61K 2039/5254 20130101;  A61P 31/14 20180101;  A61K 2039/5258 20130101</t>
  </si>
  <si>
    <t>The present invention is directed to use of tilsotolimod in the treatment     of coronavirus infection, for example, SARS-CoV2, and COVID-19.</t>
  </si>
  <si>
    <t>US20210317170</t>
  </si>
  <si>
    <t>COMPOSITIONS AND METHODS FOR DRUG DELIVERY AND TREATING VIRAL INFECTIONS</t>
  </si>
  <si>
    <t>17/086957</t>
  </si>
  <si>
    <t>Ellis; Joseph Christopher; (Knoxville, TN)</t>
  </si>
  <si>
    <t>C07K 14/165 20130101;  C12N 2310/141 20130101;  C12N 15/113 20130101;  A61K 9/1271 20130101;  A61K 9/0019 20130101;  A61K 9/107 20130101;  A61K 47/6911 20170801;  C12N 2310/20 20170501;  A61K 38/00 20130101</t>
  </si>
  <si>
    <t>The present disclosure is directed to compositions and methods for     targeted drug delivery that comprise a biocompatible framework carrying     at least one drug and a viral surface protein, where the viral surface     protein mediates entry into a target cell and is attached to an outer     surface of the biocompatible framework in the drug carrier.</t>
  </si>
  <si>
    <t>US20210316171</t>
  </si>
  <si>
    <t>GRAPHITIC ANTIVIRAL FILTRATION ELEMENT AND FILTRATION DEVICES CONTAINING     SAME</t>
  </si>
  <si>
    <t>16/844062</t>
  </si>
  <si>
    <t>B01D 2239/0442 20130101;  B32B 2307/724 20130101;  B01D 2275/10 20130101;  A41D 13/1161 20130101;  C01B 2204/32 20130101;  B01D 2239/0618 20130101;  B01D 46/543 20130101;  B32B 9/047 20130101;  B01D 2239/0478 20130101;  B01D 39/083 20130101;  C01B 32/194 20170801;  B32B 9/045 20130101;  B32B 5/16 20130101;  B01D 46/0036 20130101;  B01D 2239/0407 20130101;  A62B 18/025 20130101;  C01P 2006/12 20130101;  A62B 23/025 20130101;  B32B 2571/00 20130101;  B01D 46/0028 20130101;  A41D 13/1192 20130101;  B32B 2264/108 20130101;  B32B 9/06 20130101</t>
  </si>
  <si>
    <t>Provided is filtration member for use in a filtration device, said     filtration member comprising a layer of woven or nonwoven fabric having     two primary surfaces and a layer of chemically functionalized graphite     flakes deposited on at least one of the two primary surfaces or embedded     in the layer of woven or nonwoven fabric, wherein said graphite flakes     comprise chemical function contain 1%-50% by weight of a non-carbon     element selected from O, N, H, F, Cl, Br, I, or a combination thereof.     Also provided is a face mask comprising: (a) a mask body configured to     cover at least wearer's mouth and nose; and (b) a fastener to hold the     mask in place on the wearer's face; wherein the mask body includes (i) an     air-permeable outer layer, (ii) an inner layer located on a wearer's side     when the mask is worn, and (iii) the filtration member comprising     graphite flakes.</t>
  </si>
  <si>
    <t>US20210316170</t>
  </si>
  <si>
    <t>REUSABLE FACE MASK</t>
  </si>
  <si>
    <t>16/843446</t>
  </si>
  <si>
    <t>CONOPCO, INC., D/B/A UNILEVER</t>
  </si>
  <si>
    <t>CONOPCO</t>
  </si>
  <si>
    <t>DOMOY; Brett Christopher; (Basom, NY); LALIER; Gregory; (Brookfield, CT)</t>
  </si>
  <si>
    <t>A41D 13/1169 20130101;  A62B 23/025 20130101;  A41D 13/1138 20130101</t>
  </si>
  <si>
    <t>The invention is directed to a reusable face mask that may be fitted with     filter material from the inside, outside or both inside and outside of     the mask. Any filter material can be used and easily replaced in the face     mask which is washable and environmentally sustainable.</t>
  </si>
  <si>
    <t>US20210316165</t>
  </si>
  <si>
    <t>17/226504</t>
  </si>
  <si>
    <t>THE TRUSTEES OF INDIANA UNIVERSITY</t>
  </si>
  <si>
    <t>THE TRUSTEES INDIANA UNIVERSITY</t>
  </si>
  <si>
    <t>WU; Jiangmei; (Bloomington, IN)</t>
  </si>
  <si>
    <t>A62B 18/084 20130101;  B01D 39/16 20130101;  A41D 13/1161 20130101;  B01D 2239/0618 20130101;  A62B 7/10 20130101;  A41D 31/10 20190201;  A62B 18/025 20130101;  B01D 2239/0613 20130101;  A62B 23/025 20130101;  A41D 13/1107 20130101</t>
  </si>
  <si>
    <t>A face mask adapted for covering a face of a user, including the nose,     mouth, and chin. The face mask is configured to block airborne particles     from passing between the surrounding atmosphere and the user.</t>
  </si>
  <si>
    <t>US20210316164</t>
  </si>
  <si>
    <t>RAPIDLY DEPLOYABLE, COUGH AND SNEEZE,  AEROSOL CONTAINMENT APPARATUS</t>
  </si>
  <si>
    <t>17/226068</t>
  </si>
  <si>
    <t>CAYCEDO; CLAUDIO H.; (LUBBOCK, TX)</t>
  </si>
  <si>
    <t>A62B 18/084 20130101;  A62B 23/025 20130101;  A62B 18/025 20130101</t>
  </si>
  <si>
    <t>A rapidly deployable, pressure sealed, cough and sneeze aerosol,     containment apparatus and a system to virtually eradicate the cold, the     flu, and Covid-19.</t>
  </si>
  <si>
    <t>US20210316123</t>
  </si>
  <si>
    <t>Facemask as a dosage form to administer active ingredient for therapy</t>
  </si>
  <si>
    <t>16/846282</t>
  </si>
  <si>
    <t>Guan, Isaac; Tsao, Yuk Fan</t>
  </si>
  <si>
    <t>GUAN ISAAC</t>
  </si>
  <si>
    <t>Guan; Isaac; (Hong Kong, HK); Tsao; Yuk Fan; (Hong Kong, HK)</t>
  </si>
  <si>
    <t>A61M 35/10 20190501;  A41D 13/1161 20130101</t>
  </si>
  <si>
    <t>Active ingredients that may be used in pharmaceutical products, natural     medicines or cosmetic products may be added to the facemask for therapy.     In this way the facemask can act as a novel dosage form. As the active ingredient in the facemask is breathed into the wearer or     comes into contact with the wearer's skin, the active ingredient may be     absorbed by the wearer in the skin, the respiratory system, or even into     the blood circulation system. Using the facemask as a dosage form and     route of administration allows for substantial release of active     ingredient over a period of time, which maintains a longer therapeutic     effect and reduces the risk of an overdose of the active ingredient,     which may occur in an one-off or interval mode of absorption. Furthermore, the facemask is a convenient dosage form and has a pleasing     outward appearance. Also, this novel dosage form can encourage patient     compliance.</t>
  </si>
  <si>
    <t>US20210316096</t>
  </si>
  <si>
    <t>PROGRAMMABLE LOGIC CONTROLLER-BASED SCALABLE VENTILATOR</t>
  </si>
  <si>
    <t>17/230743</t>
  </si>
  <si>
    <t>RED BALLOON SECURITY, INC.</t>
  </si>
  <si>
    <t>RED BALLOON SECURITY</t>
  </si>
  <si>
    <t>Cui; Ang; (New York, NY)</t>
  </si>
  <si>
    <t>A61M 16/06 20130101;  A61M 16/16 20130101;  A61M 16/0003 20140204;  A61M 16/12 20130101;  A61M 2205/505 20130101;  A61M 16/201 20140204;  A61M 16/024 20170801</t>
  </si>
  <si>
    <t>In general, one aspect disclosed features a scalable ventilator system,     comprising: a plurality of ventilator modules; a controller to control     operation of the plurality of ventilator modules; and a station module     comprising a plurality of receptacles, wherein each receptacle is     configured to accept one of the plurality of ventilator modules; wherein     each ventilator module comprises a plurality of solenoid valves and an     input hose and an output hose, wherein each ventilator is controlled     individually to provide individualized regimens based on needs of a     patient corresponding to a respective ventilator.</t>
  </si>
  <si>
    <t>US20210316095</t>
  </si>
  <si>
    <t>EMERGENCY VENTILATOR SYSTEM</t>
  </si>
  <si>
    <t>17/226938</t>
  </si>
  <si>
    <t>Moran; Robert Nickell; (Panama City Beach, FL); Whittle; Christopher; (Panama City Beach, FL); Hernandez; Francisco; (Panama City Beach, FL); Cowgill; David; (Panama City Beach, FL); Bennicoff-Yundt; Sieggy; (Panama City Beach, FL); Lamb; Joshua; (Panama City Beach, FL)</t>
  </si>
  <si>
    <t>A61M 2202/0208 20130101;  A61M 2207/00 20130101;  A61M 16/0057 20130101;  A61M 16/024 20170801;  A61M 16/208 20130101;  A61M 2205/3327 20130101</t>
  </si>
  <si>
    <t>An emergency ventilation system ventilates a patient and includes a     chamber housing defining a breathing chamber; a piston; and a motor     operably connected to the piston. The motor applies an exhalation force     to move the piston in an exhalation direction applies an inhalation force     to move the piston in an inhalation direction. The piston increases air     in the breathing chamber as the exhalation force is applied and decreases     air in the breathing chamber as the inhalation force is applied. An     exhalation check valve allows airflow from the air source to the     breathing chamber and not to allow airflow from the breathing chamber to     the air source as the inhalation force is applied. An inhalation check     valve allows airflow from the breathing chamber to the air output and not     to allow airflow from the air output to the breathing chamber as the     exhalation force is applied.</t>
  </si>
  <si>
    <t>US20210316002</t>
  </si>
  <si>
    <t>16/848397</t>
  </si>
  <si>
    <t>A61K 45/06 20130101;  A61K 9/107 20130101;  A61K 9/127 20130101;  A61K 9/007 20130101;  A61K 9/0019 20130101;  A61K 47/64 20170801</t>
  </si>
  <si>
    <t>US20210315988</t>
  </si>
  <si>
    <t>17/155953</t>
  </si>
  <si>
    <t>A61K 39/13 20130101;  C12N 2770/32634 20130101;  A61K 2039/58 20130101;  A61P 31/14 20180101;  A61K 2039/5252 20130101;  A61K 2039/5254 20130101;  A61K 2039/54 20130101;  A61K 2039/542 20130101</t>
  </si>
  <si>
    <t>Provided herein is a method for preventing a person from an infection by     a Coronaviridae virus with a poliomyelitis vaccine. Also provided herein     is a method of inducing a protective immune response against a     Coronaviridae virus with a poliomyelitis vaccine.</t>
  </si>
  <si>
    <t>US20210315973</t>
  </si>
  <si>
    <t>COMPOSITIONS AND METHODS USING INTERFERON FOR TREATING VIRAL RESPIRATORY     INFECTIONS</t>
  </si>
  <si>
    <t>17/224225</t>
  </si>
  <si>
    <t>NOSTRUM PHARMACEUTICALS LLC</t>
  </si>
  <si>
    <t>NOSTRUM PHARMACEUTICALS</t>
  </si>
  <si>
    <t>Mulye; Nirmal V.; (Miami, FL); Prashar; Yatindra; (Princeton, NJ)</t>
  </si>
  <si>
    <t>A61K 45/06 20130101;  A61K 31/56 20130101;  A61K 31/4706 20130101;  A61K 38/21 20130101</t>
  </si>
  <si>
    <t>The present disclosure provides pharmaceutical compositions comprising     interferons (IFNs), methods of treating or preventing viral respiratory     infections in subjects thereof using IFNs thereby reducing viral     respiratory infections, symptoms thereof, inflammation, and minimizing     virus propagation. In some embodiments, the pharmaceutical compositions     may comprise at least one IFN, an aminoquinoline, a corticosteroid, and     one or more pharmaceutically acceptable excipients, carriers, or     diluents; and optionally at least one therapeutic agent, and methods of     use thereof. Another embodiment may be directed to any of the disclosed     pharmaceutical compositions, where the pharmaceutical composition is     inhalable.</t>
  </si>
  <si>
    <t>US20210315968</t>
  </si>
  <si>
    <t>Prevention and Treatment of Viral Infection and Viral Infection-Induced     Organ Failure</t>
  </si>
  <si>
    <t>17/184781</t>
  </si>
  <si>
    <t>TRIM EDICINE INC; OHIO STATE INNOVATION FOUNDATION</t>
  </si>
  <si>
    <t>MA; JIANJIE; (POWELL, OH); YOUNT; JACOB S.; (COLUMBUS, OH); SERMERSHEIM; MATTHEW A.; (NASHVILLE, TN); KENNEY; ADAM D.; (COLUMBUS, OH); ZHOU; Xinyu; (HILLIARD, OH); WHITSON; BRYAN A.; (WESTERVILLE, OH); MOKADAM; NAHUSH A.; (UPPER ARLINGTON, OH); TAN; TAO; (COLUMBUS, OH); CAI; CHUANXI; (POWELL, OH)</t>
  </si>
  <si>
    <t>A61K 38/1709 20130101;  A61K 45/06 20130101</t>
  </si>
  <si>
    <t>Compositions for and methods of preventing, reversing or treating viral     infection-induced organ failure provided. The compositions are also     suitable for treating and/or preventing COVID-19 and influenza. The     compositions and methods employ MG53, which can be in the form of     recombinant human MG53. The MG53 may also be administered as a     composition that expresses and releases MG53 after in vivo administration     of said composition to a subject.</t>
  </si>
  <si>
    <t>US20210315956</t>
  </si>
  <si>
    <t>Therapy for the Coronavirus, COVID-19 Pandemic</t>
  </si>
  <si>
    <t>16/844311</t>
  </si>
  <si>
    <t>Chibuzor, Anthony Okoye Chukwudi</t>
  </si>
  <si>
    <t>CHIBUZOR ANTHONY</t>
  </si>
  <si>
    <t>Chibuzor; Anthony Okoye Chukwudi; (East Orange, NJ)</t>
  </si>
  <si>
    <t>A61H 2033/048 20130101;  A61K 36/752 20130101;  A61K 31/616 20130101;  A61K 31/592 20130101;  A61K 31/505 20130101;  A61K 36/47 20130101;  A61K 36/82 20130101;  A61K 35/644 20130101;  A61H 33/04 20130101;  A61K 31/47 20130101;  A61K 33/06 20130101;  A61K 36/73 20130101;  A61K 31/375 20130101;  A61K 31/714 20130101;  A61K 31/593 20130101;  A61K 31/455 20130101;  A61K 31/635 20130101;  A61K 35/20 20130101</t>
  </si>
  <si>
    <t>The present invention provides methods of treating a coronavirus,     COVID-19 disease. COVID-19 disease is caused by the coronavirus,     SARS-COV-2. Treatment of the SARS-COV-2 infection could be achieved by administering     a single element or a combination of elements in the protocol of     therapies comprising of   1) A laxative 2) A Nutritious Meal followed by     a cup of green tea, raw honey, lemon. milk and a dessert of pear d'anjou     and strawberries 3) Administering drugs and vitamins. These drugs could     be anti-parasitic, antiviral, antibacterial and/or immunomodulatory. 4)     Providing for the subject infected with the SARS-COV-2 to enjoy the treat     of a plain water hot bathtub bath. Some Epsom Salt should be added to the     plain water hot bathtub bath. The subject should be encouraged to spend     at least 30 minutes in the hot bathtub bath. 5) A Physical Exercise     session.  6 Claims, 0 Drawing Sheets.</t>
  </si>
  <si>
    <t>US20210315942</t>
  </si>
  <si>
    <t>Dr. Lord's Anti-Covid-19 Formula &amp; Energy Elixir</t>
  </si>
  <si>
    <t>16/845004</t>
  </si>
  <si>
    <t>Lord, Roxanne Simone</t>
  </si>
  <si>
    <t>LORD ROXANNE</t>
  </si>
  <si>
    <t>Lord; Roxanne Simone; (Jamaica, NY)</t>
  </si>
  <si>
    <t>A61K 36/16 20130101;  A61K 35/644 20130101;  A61K 36/9068 20130101;  A61K 36/79 20130101;  A61K 36/80 20130101;  A61K 36/63 20130101;  A61K 36/288 20130101;  A61K 36/28 20130101;  A61K 36/185 20130101</t>
  </si>
  <si>
    <t>The invention consists of two formulas, Dr. Lord's Olive Leaf Tea Formula     (Anti-Covid-19 Tea Formula) and the Energy Elixir. Both formulas are     unique combinations of plants that have been proven to combat and provide     relief from viruses, flu symptoms, itchy and sore throat. My invention is     specially formulated to work fast, provide fast relief, in a matter of     20-30 minutes in most cases. One should use promptly when feeling the     beginning, the onset of these symptoms. My invention, these formulas,     work well together to facilitate speedy system recovery and     functionality. The olive leaf tea formula is in loose tea form and the     Energy Elixir is in liquid form.</t>
  </si>
  <si>
    <t>US20210315939</t>
  </si>
  <si>
    <t>COMPOSITIONS COMPRISING NANOPARTICLES, METHOD OF MAKING AND USES THEREOF</t>
  </si>
  <si>
    <t>17/226587</t>
  </si>
  <si>
    <t>ORGANICELL REGENERATIVE MEDICINE, INC.</t>
  </si>
  <si>
    <t>ORGANICELL REGENERATIVE MEDICINE</t>
  </si>
  <si>
    <t>MITRANI; Maria Ines; (Miami Beach, FL)</t>
  </si>
  <si>
    <t>A61K 45/06 20130101;  B82Y 5/00 20130101;  A61P 19/02 20180101;  A61P 11/00 20180101;  A61K 35/50 20130101;  A61K 31/7105 20130101;  A61K 9/51 20130101</t>
  </si>
  <si>
    <t>Presented herein, in certain aspects, are cell-free therapeutic     composition derived from human amniotic fluid (HAF) and uses thereof for     the prevention and treatment of selected diseases and disorders.</t>
  </si>
  <si>
    <t>US20210315937</t>
  </si>
  <si>
    <t>METHODS OF TREATING INFLAMMATION</t>
  </si>
  <si>
    <t>17/224831</t>
  </si>
  <si>
    <t>Mohapatra; Subhra; (Lutz, FL); Mohapatra; Shyam S.; (Lutz, FL); Das; Mahasweta; (Tampa, FL); McGill; Andrew; (Tampa, FL); Martinez; Taylor; (Tampa, FL); Mayilsamy; Karthick; (Tampa, FL)</t>
  </si>
  <si>
    <t>A61K 35/28 20130101;  A61K 9/0019 20130101;  A61K 31/4439 20130101;  A61K 9/0043 20130101</t>
  </si>
  <si>
    <t>The present application is related to methods of treating ARDS in a     subject in need thereof, by administering (a) pioglitazone, or a     pharmaceutically acceptable salt thereof, and (b) mesenchymal stromal     cells to the subject. Also disclosed herein are methods of treating one     or more symptoms of ARDS in a subject in need thereof.</t>
  </si>
  <si>
    <t>US20210315925</t>
  </si>
  <si>
    <t>METHODS OF TREATING VIRAL INFECTIONS</t>
  </si>
  <si>
    <t>16/848055</t>
  </si>
  <si>
    <t>ALMISHARI IBRAHIM SAUD</t>
  </si>
  <si>
    <t>ALMISHARI; Ibrahim Saud; (Durrat Al Bahrain, BH)</t>
  </si>
  <si>
    <t>A61K 33/00 20130101;  A61F 2007/0018 20130101;  A61F 2007/0059 20130101;  A61H 33/02 20130101;  A61P 31/12 20180101;  A61F 7/00 20130101;  A61F 2007/0039 20130101;  A61B 5/01 20130101;  A61K 9/0078 20130101;  A61F 2007/0029 20130101;  A61F 2007/0063 20130101</t>
  </si>
  <si>
    <t>Methods of treating viral infections. At least one example embodiment is     a method including: measuring a core temperature of a human patient;     testing the human for the presence of a virus that causes disease;     responsive to the human having both fever and presence of the virus,     submerging at least a trunk and legs of the human in water comprising a     surfactant, the human at least partially submerged in the water for a     treatment period of at least three hours; and controlling a temperature     of the water during the treatment period.</t>
  </si>
  <si>
    <t>US20210315910</t>
  </si>
  <si>
    <t>Method to mitigate morbidity and mortality in virally induced forms of     ACE2 receptor pathology progressing to SARS or ARDS.</t>
  </si>
  <si>
    <t>16/842787</t>
  </si>
  <si>
    <t>Stafford, Vivi Robyn</t>
  </si>
  <si>
    <t>STAFFORD VIVI</t>
  </si>
  <si>
    <t>Stafford; Vivi Robyn; (Los Angeles, CA)</t>
  </si>
  <si>
    <t>A61K 31/585 20130101;  A61K 31/65 20130101;  A61K 45/06 20130101</t>
  </si>
  <si>
    <t>ACE receptors are affected in severe acute respiratory distress syndrome     related coronaviruses. ACE genes are directly related to the morbidity     and mortality of those with cystic fibrosis. The thick, sticky mucus in     the respiratory, and digestive systems, is seen in the inherited disease     cystic fibrosis. Viral induced sticky mucus in the respiratory and     digestive systems can also be appreciated as a response to viral     pathogens where the cycle of mucus production in vivo induces the     recruitment of more mucus production to the extent that cellular damage     occurs within the lower respiratory track requiring intubation as a life     saving measure. In the most severe cases mechanical intubation fails due     to the fact that no control over the recruitment of mucus production was     achieved at the onset. SARS pathology shows inflammatory exudation in the     alveoli and interstitial tissue, with hyperplasia of fibrous tissue and     fibrosis. Inherited cystic fibrosis pathology shows atelectasis, mucoid     impaction, acute and chronic inflammation, bronchiectasis, cyst     formation, and fibrosis widespread. A virally induced disorder in     relations to ACE2 receptors can be treated successfully at the early     onset with inherited cystic fibrosis disease mimicking techniques with     the efforts of minimizing the activity and utilization of the ACE2     receptor. Cystic fibrosis lung infections, and opportunistic pathogens     contribute to chronic airway inflammation that is characterized by     neutrophil/macrophage infiltration, cytokine release and ceramide     accumulation. In terms of virally induced forms off ACE2 receptor     pathologies, as it related to coronavirus such as Covid 19, presumably     ceramide precursors which aid in intracellular transport of the virus     into the cell via inflammation and remodeling is present in alveolar     tissues of the lung in patients with cystic fibrosis while the same     pathology occurs in patients with virally induced forms of ACE2 pathology     which to often progresses to SARS or ARDS.</t>
  </si>
  <si>
    <t>US20210315889</t>
  </si>
  <si>
    <t>Methods of Treating Viral Infections with Formulated Compositions     Comprising 4-Methyl-5-(Pyrazin-2-yl)-3H-1,2-Dithiole-3-Thione</t>
  </si>
  <si>
    <t>16/844981</t>
  </si>
  <si>
    <t>HOFFMANN &amp; BARON, LLP</t>
  </si>
  <si>
    <t>HOFFMANN BARON</t>
  </si>
  <si>
    <t>Framroze; Bomi; (Menlo Park, CA); Gelfand; Jeffrey A.; (Cambridge, MA)</t>
  </si>
  <si>
    <t>A61K 31/497 20130101;  A61K 9/10 20130101</t>
  </si>
  <si>
    <t>This disclosure provides, among other things, formulated oltipraz     compositions comprising stabilized oltipraz crystals, for use in treating     a patient who has a viral infection or is at risk of incurring a viral     infection. Such viral infections can include a viral infection caused by     a coronavirus such as one associated with MERS or SARS, e.g., SARS-CoV-2.</t>
  </si>
  <si>
    <t>US20210315883</t>
  </si>
  <si>
    <t>COMPOSITIONS AND METHODS FOR THE PROPHYLAXIS AND/OR TREATMENT OF VIRAL     INFECTIONS OR CONDITIONS ASSOCIATED THEREWITH</t>
  </si>
  <si>
    <t>17/224231</t>
  </si>
  <si>
    <t>MULYE; Nirmal V.; (Miami, FL); PRASHAR; Yatindra; (Princeton, NJ)</t>
  </si>
  <si>
    <t>A61K 45/06 20130101;  A61K 9/0078 20130101;  A61K 9/0053 20130101;  A61K 31/4706 20130101</t>
  </si>
  <si>
    <t>The present disclosure provides methods of treatment and/or prophylaxis     of viral infections and/or diseases, disorders, and conditions associated     therewith such as COVID-19. The disclosed treatment involves     administering aminoquinoline drugs, corticosteroids, and antibiotics to     subjects in need thereof, and particularly providing such treatments     prior to substantial bacterial infection in the lung.</t>
  </si>
  <si>
    <t>US20210315880</t>
  </si>
  <si>
    <t>METHODS OF TREATING VIRAL INFECTIONS USING INHIBITORS OF NUCLEOTIDE     SYNTHESIS PATHWAYS</t>
  </si>
  <si>
    <t>17/207504</t>
  </si>
  <si>
    <t>CLEAR CREEK BIO, INC.</t>
  </si>
  <si>
    <t>CLEAR CREEK BIO</t>
  </si>
  <si>
    <t>Kumar; Vikram S.; (Boston, MA); Hesson; David P.; (Malvern, PA); Levin; Andrew D.; (Newton, MA)</t>
  </si>
  <si>
    <t>A61K 45/06 20130101;  A61K 31/47 20130101;  A61P 31/14 20180101;  A61K 9/0019 20130101;  A61K 9/0053 20130101</t>
  </si>
  <si>
    <t>The invention provided methods of treating viral infections, such as     COVID-19, by providing an agent that inhibits a nucleotide synthesis     pathway. In certain methods, the agent is an inhibitor of dihydroorotate     dehydrogenase, such as a brequinar. In certain methods, brequinar is     provided to a subject according to a dosing regimen that tailors levels     of the drug in the lungs to achieve optimal therapeutic benefit. The     dosing regimen may include defined levels of brequinar administered to     the subject or defined levels of brequinar attained the lungs of the     subject. The invention also provides combination therapies in which an     inhibitor of dihydroorotate dehydrogenase is provided together with a     second therapeutic agent.</t>
  </si>
  <si>
    <t>US20210315858</t>
  </si>
  <si>
    <t>PHARMACEUTICAL COMPOSITION AND ITS USE TO INHIBIT MEMBRANE ACE2 EXPRESSION</t>
  </si>
  <si>
    <t>17/196121</t>
  </si>
  <si>
    <t>Niedzwiecki; Aleksandra; (APTOS, CA); Rath; MATTHIAS W; (APTOS, CA); Ivanov; Vadim O; (CASTRO VALLEY, CA); Goc; Anna; (Sanjose, CA)</t>
  </si>
  <si>
    <t>A61K 31/353 20130101;  A61K 31/375 20130101;  A61K 31/201 20130101;  A61K 36/484 20130101;  A61P 31/14 20180101;  A61K 33/30 20130101</t>
  </si>
  <si>
    <t>The study shows that ascorbic acid and its combination with some natural     compounds could be included in developing preventive and therapeutic     approaches toward the current pandemic. Some natural compounds were     effective in lowering ACE2 cellular expression, with the highest     inhibitory effects observed for baicalin (75%) and theaflavin (50%).     Significantly, combinations of these and other test compounds with     ascorbic acid further decreased ACE2 expression. The highest impact of     ascorbate on ACE2 expression was noted when combined with theaflavin     (decrease from 50% to 87%), zinc aspartate (decrease from 22% to 62%),     and with 10-undecenoic acid (from 18% to 53%). Our study provides     valuable experimental confirmation of the efficacy of micronutrients in     controlling ACE2 expression--the coronavirus cellular "entry" point. It     further validates the importance of nutrient interactions in various     aspects of cellular metabolism and in considering potential therapeutic     applications of nutrient-based approaches.</t>
  </si>
  <si>
    <t>US20210315857</t>
  </si>
  <si>
    <t>Pharmaceutical micronutrient composition and its use to simultaneously     inhibit multiple cellular mechanisms of infectivity caused by     coronavirus, its variants and mutants</t>
  </si>
  <si>
    <t>17/212727</t>
  </si>
  <si>
    <t>Niedzwiecki; Aleksandra; (APTOS, CA); Rath; MATTHIAS W.; (APTOS, CA); Ivanov; Vadim O.; (CASTRO VALLEY, CA); Goc; Anna; (Sanjose, CA)</t>
  </si>
  <si>
    <t>A61K 31/198 20130101;  A61K 45/06 20130101;  A61K 31/05 20130101;  A61K 31/7048 20130101;  A61K 31/352 20130101;  A61K 31/12 20130101;  A61K 31/375 20130101;  A61K 36/31 20130101</t>
  </si>
  <si>
    <t>Pharmaceutical micronutrient composition including mixture D in this     study helps to mitigate, inhibit, prevent and stop diseases caused by     viral infections. The middle east respiratory syndrome-related     coronavirus and severe acute respiratory syndrome-related coronavirus as     well as their variants and mutants affecting mammals and causing     infection are successfully treated using mixture D. Mixture D contains     key micronutrients such as an ascorbate, N-acetylcysteine, theaflavins,     resveratrol, cruciferous plant extracts, curcumin, quercetin, naringenin,     and baicalin and a combination thereof. Additional micronutrients were     tested with Mixture D and seemed to have beneficial effects.</t>
  </si>
  <si>
    <t>US20210315838</t>
  </si>
  <si>
    <t>SYSTEMS, METHODS, AND KITS FOR DIAGNOSTICS AND TREATMENT OF VIRAL     RESPIRATORY INFECTION</t>
  </si>
  <si>
    <t>17/301188</t>
  </si>
  <si>
    <t>SUZHOU KINTOR PHARMACEUTICALS, INC.</t>
  </si>
  <si>
    <t>SUZHOU KINTOR PHARMACEUTICALS</t>
  </si>
  <si>
    <t>Goren; Ofer A.; (Irvine, CA); McCoy; John; (Irvine, CA)</t>
  </si>
  <si>
    <t>A61K 33/18 20130101;  A61K 31/473 20130101;  A61K 31/4439 20130101;  A61K 38/09 20130101;  C07K 16/2827 20130101;  A61K 31/167 20130101;  C12N 2310/11 20130101;  A61K 31/4709 20130101;  C12N 15/1136 20130101;  A61K 31/277 20130101;  A61K 31/58 20130101;  A61K 31/437 20130101;  A61K 31/4166 20130101;  C07K 14/71 20130101;  A61K 31/4155 20130101;  A61K 31/337 20130101;  A61K 31/4164 20130101;  A61P 31/14 20180101;  A61K 31/57 20130101;  A61K 31/05 20130101</t>
  </si>
  <si>
    <t>The present disclosure includes methods, systems, kits and compositions     for treating, preventing and diagnosing viral infections, specifically     SARS-CoV-2 infections, with an anti-androgen and anti-thyroid medication,     a thyroid receptor antagonist, a TGF-.beta. inhibitor or a combination     thereof. The present disclosure also describes methods and compositions     for the treatment of viral respiratory diseases, specifically SARS-CoV-2     infections, including anti-androgens, anti-thyroid medications, thyroid     receptor antagonists, TGF-.beta. inhibitors, RXR inhibitors, furin     inhibitors or other agents to disrupt the androgen signaling.</t>
  </si>
  <si>
    <t>US20210315758</t>
  </si>
  <si>
    <t>PATIENT AIRWAY DOME AND METHODS OF MAKING AND USING SAME</t>
  </si>
  <si>
    <t>17/163699</t>
  </si>
  <si>
    <t>IKONX INCORPORATED</t>
  </si>
  <si>
    <t>IKONX</t>
  </si>
  <si>
    <t>Bui; Phong Duy; (San Diego, CA)</t>
  </si>
  <si>
    <t>A61M 16/01 20130101;  A61G 10/005 20130101;  A61M 16/009 20130101;  A61G 2210/00 20130101;  A61M 2205/053 20130101;  A61M 2202/0241 20130101</t>
  </si>
  <si>
    <t>A patient airway dome including an adjustable frame having a hinge such     that the hinge allows the frame to adjust between an erected position to     create an airway dome and a collapsed position that allows the frame to     lay flat, a dome covering located over the retractable frame, a suction     port which is connected to a conventional device in order to provide     negative pressure to patient airway dome, and an arm access assembly     operatively connected to the dome covering, wherein the arm access     assembly includes an opening in the dome covering and a closure assembly     located adjacent to the opening.</t>
  </si>
  <si>
    <t>US20210315757</t>
  </si>
  <si>
    <t>PATIENT PARTICULATE SPREAD PROTECTION SYSTEM AND METHODS</t>
  </si>
  <si>
    <t>17/112929</t>
  </si>
  <si>
    <t>Nguyen, Hien Thai; Isaka, Ken Nguyen; Isaka, Satoru</t>
  </si>
  <si>
    <t>NGUYEN HIEN</t>
  </si>
  <si>
    <t>Nguyen; Hien Thai; (San Jose, CA); Isaka; Ken Nguyen; (San Jose, CA); Isaka; Satoru; (San Jose, CA)</t>
  </si>
  <si>
    <t>A61G 10/005 20130101</t>
  </si>
  <si>
    <t>Protective shield unit provides a portable and reusable method for     protecting medical staff during patient interaction. The protective     shield unit is light weight, easily deployable, simple to use and reduces     the amount of PPE that is needed by each medical staff. The protective     shield unit includes an overhead frame that can be collapsible and a     removably attachable flexible shield wall suspended from the frame for     enclosing the patient. The shield wall is attachable to the frame from     the outer surface of the shield wall such that the frame does not contact     the inner surface of the shield wall, thereby blocking patient     particulate exposure to the frame and preventing contamination during     use.</t>
  </si>
  <si>
    <t>US20210315654</t>
  </si>
  <si>
    <t>DEVICES AND METHODS TO ENTRAP AEROSOLS AND DROPLETS</t>
  </si>
  <si>
    <t>17/227375</t>
  </si>
  <si>
    <t>HSU ELLEN</t>
  </si>
  <si>
    <t>Hsu; Ellen; (Foster City, CA)</t>
  </si>
  <si>
    <t>A61B 2046/205 20160201;  Y10T 442/2525 20150401;  A61B 1/00 20130101;  A61B 46/20 20160201</t>
  </si>
  <si>
    <t>The invention encompasses devices and methods that at least partially     entrap the droplets and aerosols from a person undergoing an     aerosol/droplet-generating procedure, thereby reducing a health care     worker's direct exposure to such health hazards. The device includes a     planar cover structure impermeable to aerosols, droplets, fluids and gas.     The planar cover structure providing a barrier between a health care     worker and the body cavity or orifice of a patient. A hollow tubular     extension forming an opening on the planar cover structure and the     opening is configured to be positioned approximately on top of the body     cavity or orifice of the patient. The opening configured to be reversibly     closed via a closure mechanism.</t>
  </si>
  <si>
    <t>US20210315517</t>
  </si>
  <si>
    <t>BIOMARKERS OF INFLAMMATION IN NEUROPHYSIOLOGICAL SYSTEMS</t>
  </si>
  <si>
    <t>17/226442</t>
  </si>
  <si>
    <t>Quatieri; Thomas Francis; (Newtonville, MA); Palmer; Jeffrey; (Westford, MA); Talkar; Tanya; (Cambridge, MA)</t>
  </si>
  <si>
    <t>A61B 2562/0219 20130101;  A61B 5/053 20130101;  A61B 5/08 20130101;  G10L 25/66 20130101;  A61B 5/4803 20130101;  A61B 7/003 20130101;  A61B 7/008 20130101;  A61B 5/7264 20130101;  A61B 5/0075 20130101;  A61B 2562/0204 20130101</t>
  </si>
  <si>
    <t>A multi-modal approach is used to detect and track inflammation, and     identify location of inflammation, which is revealed in changes in tissue     and physiological properties that underlie sub-systems, including     respiratory, sinus, laryngeal, articulatory, facial and gastrointestinal     components.</t>
  </si>
  <si>
    <t>US20210315503</t>
  </si>
  <si>
    <t>SYSTEM AND METHOD FOR A HEALTH STATUS DISPLAY BASED ON DETECTED MAGNETIC     NANOPARTICLES</t>
  </si>
  <si>
    <t>17/358499</t>
  </si>
  <si>
    <t>BLUE STORM MEDIA, INC.</t>
  </si>
  <si>
    <t>BLUE STORM MEDIA</t>
  </si>
  <si>
    <t>Llewelyn; Gareth John; (Taplow, GB)</t>
  </si>
  <si>
    <t>A61B 5/256 20210101;  G16H 10/60 20180101;  G01N 33/54326 20130101;  G01N 33/54346 20130101;  B82Y 5/00 20130101;  G16H 50/00 20180101;  B82Y 25/00 20130101;  G06F 1/163 20130101;  H01F 1/0313 20130101;  B82Y 40/00 20130101;  A61K 9/5115 20130101;  A61K 9/0019 20130101;  B82Y 30/00 20130101;  G06F 3/011 20130101</t>
  </si>
  <si>
    <t>Methods are disclosed for displaying a health status on a user-worn or     carried device comprising of disposing a magnet within a housing of the     user-worn or carried device, configured to detect a magnetic field     supercutaneously, wherein the field is generated by an interaction of the     magnet with magnetic nanoparticles of a delivery agent delivering a     therapeutic or vaccine intravenously, converting the detected magnetic     field into a field-specific electrical signal and outputting at least one     of a pre-defined color, symbol, or audio-coded display on a display     portion of the user-worn or carried device signaling the user health     status based on the converted field-specific electrical signal.</t>
  </si>
  <si>
    <t>US20210315461</t>
  </si>
  <si>
    <t>METHODS OF DIAGNOSING AND TREATING VIRAL INFECTIONS</t>
  </si>
  <si>
    <t>17/229185</t>
  </si>
  <si>
    <t>ALMISHARI; Ibrahim Saud; (Durrat Al-Bahrain, BH)</t>
  </si>
  <si>
    <t>A61B 5/01 20130101;  A61K 33/00 20130101</t>
  </si>
  <si>
    <t>Diagnosing and treating viral infections. One example is a method of     diagnosing absence of severe acute respiratory syndrome 2 (SARS-CoV-2),     the method including: isolating a human in a covid-free environment for     an isolation period; performing measurements of a core temperature during     the isolation period; and if each of the measurements of the core     temperature indicate a lack of fever, declaring the human free of     SARS-CoV-2. Another example is a method including treating coronavirus in     a human by: receiving a core temperature measurement; receiving a test     result regarding the SARS-CoV-2 virus; responsive to the human having     both fever and the presence of the SARS-CoV-2 virus, submerging the trunk     and the legs of the human in water with a surfactant, and the human at     least partially submerged for a treatment period of at least three hours;     and controlling a temperature of the water during the treatment period.</t>
  </si>
  <si>
    <t>US20210315293</t>
  </si>
  <si>
    <t>WEARABLE FACE MASK WITH ANTI-VIRAL FILTRATION MEDIA</t>
  </si>
  <si>
    <t>17/223724</t>
  </si>
  <si>
    <t>Castillo, Luciano; Castillo-Cabrera, Jorge Antonio; Esquivel-Puentes, Helber Antonio; George, Dawn M.; Castano, Victor</t>
  </si>
  <si>
    <t>CASTILLO LUCIANO</t>
  </si>
  <si>
    <t>Castillo; Luciano; (Carmel, IN); Castillo-Cabrera; Jorge Antonio; (Avon, NY); Esquivel-Puentes; Helber Antonio; (West Lafayette, IN); George; Dawn M.; (Hilton, NY); Castano; Victor; (Queretaro, MX)</t>
  </si>
  <si>
    <t>A41D 2500/30 20130101;  A41D 13/1169 20130101;  A41D 13/1192 20130101;  A41D 2300/32 20130101;  A41D 2300/33 20130101;  A41D 13/1138 20130101</t>
  </si>
  <si>
    <t>A mask assembly, including a face covering portion, a pocket connected to     the face portion and positioned to cover a wearer's nose and mouth, a     connection portion operationally connected to the face covering portion,     and a filter removably inserted in the pocket. The filter further     includes a porous hydrophobic and lipophobic layer, a diamond-like carbon     layer, an activated carbon layer, an N95 membrane, an anti-stick cloth     layer, and a non-woven fabric layer.</t>
  </si>
  <si>
    <t>US20210315250</t>
  </si>
  <si>
    <t>COMBINATION BROAD-SPECTRUM ANTIVIRAL NATURAL EXTRACT SUPPLEMENTS</t>
  </si>
  <si>
    <t>17/175613</t>
  </si>
  <si>
    <t>Fenzl, Mark Edward</t>
  </si>
  <si>
    <t>FENZL MARK</t>
  </si>
  <si>
    <t>Fenzl; Mark Edward; (Sarasota, FL)</t>
  </si>
  <si>
    <t>A23L 33/125 20160801;  A23L 33/115 20160801;  A61K 45/06 20130101</t>
  </si>
  <si>
    <t>The present technology may include combining different non-synthetic     products to form a broad-spectrum antiviral supplement that inhibit or     kill viruses. The antiviral supplement can be added to a shake, juice, or     food to include antiviral properties. In one embodiment, the supplement     may be configured to be admixed in the product. The product may include     at least four ingredients selected from a first group, a second group,     and a third group. In particular, the supplement may include at least     four ingredients with two ingredients selected from the first group.     Sweeteners including honey, artificial honey, molasses, or syrup combined     with natural preservatives can also be used to provide broad-spectrum     antiviral protection.</t>
  </si>
  <si>
    <t>US20210315210</t>
  </si>
  <si>
    <t>ANTIVIRAL FIBERS, FABRICS AND FABRIC-BASED PRODUCTS</t>
  </si>
  <si>
    <t>17/227326</t>
  </si>
  <si>
    <t>NOBIO LTD.</t>
  </si>
  <si>
    <t>NOBIO</t>
  </si>
  <si>
    <t>ZALTSMAN; Nathan; (Hadera, IL); WEISS; Ervin Itzhak; (Herzliya, IL)</t>
  </si>
  <si>
    <t>A01N 25/10 20130101;  A01N 25/12 20130101;  A01N 55/00 20130101;  A41D 13/1192 20130101;  C08F 292/00 20130101;  A01N 25/34 20130101</t>
  </si>
  <si>
    <t>A product or a surface is being coated by anti-viral particles, or a     product is being loaded with anti-viral particles, thereby possessing     anti-viral properties and reducing/preventing viral infection.     Specifically, an anti-viral fiber, fabric, or fabric based product is     disclosed comprising anti-viral particles for use in reducing and     preventing viral infection.</t>
  </si>
  <si>
    <t>US20210314727</t>
  </si>
  <si>
    <t>SOCIAL DISTANCING DEVICE, SYSTEM, AND METHOD</t>
  </si>
  <si>
    <t>16/925025</t>
  </si>
  <si>
    <t>BIANCHINI; Gioni; (Los Altos, CA); FAJARDO; Iggoni; (Fremont, CA)</t>
  </si>
  <si>
    <t>G08B 7/06 20130101;  G08B 21/182 20130101;  H04W 4/023 20130101;  H04B 17/318 20150115</t>
  </si>
  <si>
    <t>The present invention discloses a social distancing device system     including a first social distancing device and a computing device. The     first social distancing device includes a distance detecting module     configured to detect a distance between the first social distancing     device and a second social distancing device, a process configured to     record a time information and a duration of contacting when the distance     detected by the distance detecting module is less than a predetermined     distance, and a transmission module configured to transmit a signal     including the time information and the duration of contacting. The     computing device includes a database configured to store the time     information and the duration of contacting and a computing module     configured to calculate an exposure risk of the first social distancing     device according to the time information and the duration of contacting.</t>
  </si>
  <si>
    <t>US20210313074</t>
  </si>
  <si>
    <t>AUTOMATIC CONTACT TRACING</t>
  </si>
  <si>
    <t>17/220375</t>
  </si>
  <si>
    <t>MESIROW; Robert; (Falls Church, VA); PARODI; Patrick; (Bethesda, MD); MAZZIE; Marc; (Washington, DC)</t>
  </si>
  <si>
    <t>G16H 10/40 20180101;  G16H 50/80 20180101;  G06Q 30/0201 20130101;  H04W 4/029 20180201;  H04L 63/083 20130101;  H04W 4/023 20130101;  G16H 50/30 20180101</t>
  </si>
  <si>
    <t>Techniques for performing automatic contact tracing using a fleet of     mobile electronic devices are provided. By collecting and storing signal     data detected by the fleet of devices, the system generates a historical     record of timestamped signal data from which interpersonal interactions     may be inferred. The system may retrieve information from the stored     historical record to determine what users were in contact with a target     user during a target time period. The determination may be based on which     other devices were proximate to the target device, at what time those     other devices were proximate, how close those other devices were, and/or     the amount of time for which those devices were proximate. The system may     applying one or more algorithms (e.g., a "proximity score" calculation)     to the stored record in order quantify and/or characterize a risk for     users of devices that were proximate to the target device.</t>
  </si>
  <si>
    <t>US20210313073</t>
  </si>
  <si>
    <t>NETWORK TRACKING OF CONTAGION PROPAGATION THROUGH HOST POPULATIONS</t>
  </si>
  <si>
    <t>16/839697</t>
  </si>
  <si>
    <t>DISH NETWORK LLC</t>
  </si>
  <si>
    <t>DISH NETWORK</t>
  </si>
  <si>
    <t>McSchooler; Jeffrey; (Parker, CO)</t>
  </si>
  <si>
    <t>G16H 40/67 20180101;  G16H 50/80 20180101</t>
  </si>
  <si>
    <t>Novel techniques are described for network tracking of contagion     propagation through host populations. For example, location information     of networked devices can be tracked and stored to generate contact     profiles of individuals with respect to other individuals in the     population. One or more contagion profiles can also be stored in     association with respective one or more pathogens to identify propagation     characteristics of the pathogen. Responsive to an individual being     diagnosed as an infected individual with respect to a particular     contagious pathogen, a propagation model can automatically be generated     for the infected individual based on the contagion profile of the     particular contagious pathogen and the contact profile of the infected     individual. The propagation model can be used to identify one or more     suspect populations as having at least a threshold likelihood of having     been infected by the infected individual. A response protocol can     automatically be generated according to the pathogen-specific propagation     model.</t>
  </si>
  <si>
    <t>US20210313069</t>
  </si>
  <si>
    <t>Validation of Health Status Information</t>
  </si>
  <si>
    <t>17/221736</t>
  </si>
  <si>
    <t>QUANTUM MATERIALS CORPORATION</t>
  </si>
  <si>
    <t>QUANTUM MATERIALS</t>
  </si>
  <si>
    <t>Williams; Jay M.; (Austin, TX); Squires; Stephen; (San Marcos, TX)</t>
  </si>
  <si>
    <t>G16H 10/40 20180101;  G16H 10/60 20180101;  G16H 50/30 20180101;  G16H 15/00 20180101;  A61B 5/0022 20130101;  G16H 80/00 20180101</t>
  </si>
  <si>
    <t>A method, system, and apparatus, including a program encoded on     computer-readable medium, for displaying health status information on a     display of a mobile device and detecting encoded data on the mobile     device using an image sensor. The encoded data includes a reference to a     digital token previously stored in a distributed ledger to record at     least one health-related event associated with the displayed health     status information. A serialized representation of the detected encoded     data is transmitted to a server system. The server system is adapted to     retrieve corresponding health status information and authenticate the     retrieved health status information based on the digital token. A     communication is received from the server system providing verification     of the health status information.</t>
  </si>
  <si>
    <t>US20210313068</t>
  </si>
  <si>
    <t>RECOMMENDING TREATMENTS TO MITIGATE MEDICAL CONDITIONS AND PROMOTE     SURVIVAL OF LIVING ORGANISMS USING MACHINE LEARNING MODELS</t>
  </si>
  <si>
    <t>17/207440</t>
  </si>
  <si>
    <t>BRUE; Daniel Alan; (Edmond, OK); GIECK; Warren Dennis; (Calgary, CA); ROSENTHAL; Aronjol David; (Midland, TX)</t>
  </si>
  <si>
    <t>G06N 5/04 20130101;  G16H 50/20 20180101;  G16H 50/30 20180101;  G06N 7/005 20130101;  G16H 50/70 20180101;  G16H 20/10 20180101;  G16H 20/40 20180101;  G06N 20/00 20190101</t>
  </si>
  <si>
    <t>Embodiments of the present disclosure generally relate to methods for     analyzing survivability of illnesses, such as COVID-19. More     particularly, embodiments of the present disclosure relate to methods for     identifying correlations and influencing factors between genetic markers,     lifestyle, and other available data that lead to predictions of the     effectiveness of medical treatments, predicting results of mass exposure     to an illness based on a population's genomes and other available data,     and providing indicators and methods of visualization for survivability     of a viral infection or cancer in any living organism.</t>
  </si>
  <si>
    <t>US20210313067</t>
  </si>
  <si>
    <t>17/229332</t>
  </si>
  <si>
    <t>G16H 10/60 20180101;  G16H 50/80 20180101;  G16H 50/20 20180101;  G06N 7/005 20130101;  G16H 50/70 20180101;  G16H 70/60 20180101;  G06N 20/00 20190101</t>
  </si>
  <si>
    <t>US20210313026</t>
  </si>
  <si>
    <t>SYSTEMS AND METHODS FOR ACCELERATED EPIDEMIC RECOVERY</t>
  </si>
  <si>
    <t>16/900846</t>
  </si>
  <si>
    <t>BUDDYCHEQUE LLC</t>
  </si>
  <si>
    <t>BUDDYCHEQUE</t>
  </si>
  <si>
    <t>Wagner; Karl Theodore; (Reno, NV); Chatel; Alexandre; (Savoie, FR); Kilani; Ramsey; (Raleigh, NC); Ramsey; Robert Eugene; (Tempe, AZ)</t>
  </si>
  <si>
    <t>G16H 10/40 20180101;  G16H 50/80 20180101;  G06Q 50/265 20130101;  A61B 5/6898 20130101;  G16H 10/65 20180101;  A61B 5/1176 20130101;  H04L 9/083 20130101;  G16H 50/30 20180101;  G16H 50/70 20180101;  A61B 5/0077 20130101;  G06F 21/602 20130101;  G16H 50/20 20180101</t>
  </si>
  <si>
    <t>A method comprising receiving, from a user device, a user identifier, the     user identifier being associated with a user of the user device,     confirming that the user's identity has been confirmed, retrieving, from     a remote health record maintained by a third-party health service     provider, health information regarding a virus-related test provided on     the user, providing a virus-related test status based on the     virus-related test results to the user device, receiving an invalidity     indication from the third-party health-related entity, the invalidity     indication indicating that a particular test is no longer considered     valid, reviewing a record of the user to confirm if the user received the     particular test, determining that the virus-related test is no longer     valid based on the invalidity indication, providing a notice to the user     device that the virus-related test status is no longer considered to be     valid, and providing an update to the virus-related test status.</t>
  </si>
  <si>
    <t>US20210311073</t>
  </si>
  <si>
    <t>METHODS, SYSTEMS, AND DEVICES FOR MEASURING IMMUNITY TO SARS-COV-2</t>
  </si>
  <si>
    <t>15/931843</t>
  </si>
  <si>
    <t>NONIGEN, INC.</t>
  </si>
  <si>
    <t>NONIGEN</t>
  </si>
  <si>
    <t>LAPOINTE; Jerome P.; (Santa Cruz, CA); SENYEI; Andrew; (La Jolla, CA)</t>
  </si>
  <si>
    <t>G01N 33/6854 20130101;  A61K 39/215 20130101;  G01N 2800/52 20130101</t>
  </si>
  <si>
    <t>Provided are devices, systems and methods for determining whether a     patient is immune to an infection or a disease caused by a coronavirus,     such as severe acute respiratory coronavirus 2 (SARS-CoV-2). Devices and     systems described herein are cost effective, scalable, and may be used at     the point of need or point of care without a specialized training. The     systems and devices described herein are useful for vaccine development,     screening convalescent plasma therapies, and for identifying individuals     who are eligible for reintegration following a period of quarantine.</t>
  </si>
  <si>
    <t>US20210311056</t>
  </si>
  <si>
    <t>SELF-ADMINISTERED INFECTION TESTING AND RESULT DETERMINATION</t>
  </si>
  <si>
    <t>17/220875</t>
  </si>
  <si>
    <t>VIVERA PHARAMACEUTICALS INC</t>
  </si>
  <si>
    <t>VIVERA PHARAMACEUTICALS</t>
  </si>
  <si>
    <t>Edalat; Paul; (Newport Beach, CA); Hatamian; Mehdi; (Mission Viejo, CA)</t>
  </si>
  <si>
    <t>G01N 21/77 20130101;  G01N 33/56983 20130101;  A61B 5/150786 20130101</t>
  </si>
  <si>
    <t>A self-administered tester for infection may include a sample collection     element for receiving fluid samples including bodily fluids. The sample     collection elements may provide at least a portion of a collected sample     to one or more evaluation elements. Each evaluation element may determine     whether some evaluation criteria have been satisfied. Result indicators     may provide visual indicators showing whether the evaluation criteria     were satisfied. The self-administered tester may test for a Severe Acute     Respiratory Syndrome Coronavirus-2 (SARS-CoV-2) infection using     evaluators associated with the Immunoglobulin G (IgG) antibody and the     Immunoglobulin M (IgM) antibody.</t>
  </si>
  <si>
    <t>US20210311055</t>
  </si>
  <si>
    <t>System and Method for Disease Surveillance and Disease Severity Monitoring     for COVID-19</t>
  </si>
  <si>
    <t>17/212360</t>
  </si>
  <si>
    <t>McDevitt; John T.; (New York, NY); McRae; Michael P.; (Houston, TX); Christodoulides; Nick; (Austin, TX); Srinivasan; Kritika; (New York, NY)</t>
  </si>
  <si>
    <t>G01N 33/6854 20130101;  G01N 2333/585 20130101;  G01N 2333/9123 20130101;  G01N 33/56983 20130101;  G01N 2800/26 20130101;  G01N 2333/75 20130101;  G01N 2333/58 20130101</t>
  </si>
  <si>
    <t>This disclosure describes portable bio-nano-chip assays, methods and     compositions for diagnosing and assessing pathogen-mediated diseases or     infections at point-of-care using biological samples. The assays, methods     and compositions provide in a more convenient, less expensive, and less     time-consuming sampling and analysis.</t>
  </si>
  <si>
    <t>US20210311054</t>
  </si>
  <si>
    <t>16/936752</t>
  </si>
  <si>
    <t>C12N 2770/20031 20130101;  C12N 15/70 20130101;  C07K 14/005 20130101;  G01N 33/56983 20130101;  G01N 2800/26 20130101;  C12N 2770/20022 20130101;  G01N 2333/165 20130101</t>
  </si>
  <si>
    <t>The invention relates to the diagnosis of a SARS-associated coronavirus,     such as a SARS-CoV-2 infection and SARS-CoV-1 infection, using the     N_SARS-COV-1 and N_SARS-CoV-2 proteins and antibodies binding to these     proteins. The invention reagents, methods and kits for the detection of a     SARS-associated coronavirus.</t>
  </si>
  <si>
    <t>US20210311053</t>
  </si>
  <si>
    <t>MEASURING ANALYTES IN BIOLOGICAL SAMPLES</t>
  </si>
  <si>
    <t>16/868480</t>
  </si>
  <si>
    <t>C12N 2770/20011 20130101;  G01N 33/56983 20130101;  G06K 2209/05 20130101;  C07K 14/005 20130101;  G01N 21/77 20130101;  G06T 7/0012 20130101;  C12Y 304/17023 20130101;  A61K 2039/525 20130101;  C07K 16/10 20130101;  G06K 9/00147 20130101;  G01N 2800/52 20130101;  A61K 39/215 20130101;  C07K 14/705 20130101;  G01N 2333/165 20130101;  G01N 2800/26 20130101;  C07K 14/165 20130101;  G01N 33/54386 20130101</t>
  </si>
  <si>
    <t>Provided are methods, devices, and systems for measuring analytes in     biological samples. Also provided are methods, devices, and systems for     detecting analytes in biological samples.</t>
  </si>
  <si>
    <t>US20210311052</t>
  </si>
  <si>
    <t>DETECTING ADAPTIVE IMMUNITY TO CORONAVIRUS</t>
  </si>
  <si>
    <t>16/868467</t>
  </si>
  <si>
    <t>C07K 14/005 20130101;  G01N 33/54366 20130101;  G01N 33/56983 20130101;  G01N 2333/165 20130101;  G01N 2800/26 20130101;  G01N 2800/52 20130101</t>
  </si>
  <si>
    <t>Provided are devices, systems and methods for determining whether a     patient is immune to an infection by a disease-causing pathogen.</t>
  </si>
  <si>
    <t>US20210311051</t>
  </si>
  <si>
    <t>SYSTEMS AND METHODS FOR DETECTING AND QUANTIFYING ANALYTES</t>
  </si>
  <si>
    <t>16/868464</t>
  </si>
  <si>
    <t>C07K 16/1018 20130101;  G01N 2800/50 20130101;  C07K 14/005 20130101;  G01N 33/6854 20130101;  G01N 33/56983 20130101;  G01N 2800/52 20130101;  G01N 2333/165 20130101;  A61K 39/215 20130101;  G01N 33/54366 20130101</t>
  </si>
  <si>
    <t>Described herein are systems and methods for detecting and quantifying     analytes. Also described herein are systems and methods for detecting and     quantifying analytes stemmed from infections.</t>
  </si>
  <si>
    <t>US20210311036</t>
  </si>
  <si>
    <t>16/870874</t>
  </si>
  <si>
    <t>Lapointe; Jerome P.; (Santa Cruz, CA); Senyei; Andrew; (La Jolla, CA)</t>
  </si>
  <si>
    <t>G01N 33/54306 20130101;  G01N 2333/165 20130101;  G06K 9/00147 20130101</t>
  </si>
  <si>
    <t>US20210310947</t>
  </si>
  <si>
    <t>APPARATUS AND METHODS FOR SELECTIVE DETECTION OF PATHOGENS AND/OR     CHEMICALS</t>
  </si>
  <si>
    <t>17/224806</t>
  </si>
  <si>
    <t>SCHOLTZ JAMES I</t>
  </si>
  <si>
    <t>SCHOLTZ JAMES</t>
  </si>
  <si>
    <t>Scholtz; James I.; (New York, NY)</t>
  </si>
  <si>
    <t>G01N 21/7703 20130101;  G01N 21/553 20130101</t>
  </si>
  <si>
    <t>A light transmission structure is provided for use, in conjunction with a     light source and detector, for selective detection of biomolecule     interactions and/or absorption of infrared light. The light transmission     structure includes a substrate having a bottom surface adapted to couple     the light source and detector to the light transmission structure, a     coupling and enhancing layer disposed on at least a portion of an upper     surface of the substrate, a first near-critical angle anti-reflective     coating (NCA-ARC) layer disposed on at least a portion of an upper     surface of the coupling and enhancing layer, and a second NCA-ARC layer     disposed on at least a portion of an upper surface of the first NCA-ARC     layer. An upper surface of the second NCA-ARC layer is functionalized and     textured so that transmitted incident light is scattered out of the light     transmission structure. A difference in refractive index between adjacent     NCA-ARC layers is less than about 0.01.</t>
  </si>
  <si>
    <t>US20210310928</t>
  </si>
  <si>
    <t>OPEN-ENDED HOLLOW COAXIAL CABLE RESONATOR SENSOR</t>
  </si>
  <si>
    <t>17/209785</t>
  </si>
  <si>
    <t>THE CURATORS OF THE UNIVERSITY OF MISSOURI</t>
  </si>
  <si>
    <t>THE CURATORS UNIVERSITY MISSOURI</t>
  </si>
  <si>
    <t>Huang; Jie; (Rolla, MO); Zhu; Chen; (Rolla, MO); Gerald, II; Rex E.; (Willow Springs, IL)</t>
  </si>
  <si>
    <t>G01N 15/0656 20130101;  G01N 15/0618 20130101;  G01N 2001/245 20130101;  G01N 1/24 20130101;  G01N 2033/4975 20130101;  G01N 33/497 20130101</t>
  </si>
  <si>
    <t>An open-ended hollow coaxial cable resonator probe configured to receive     an aerosol sample for analysis. A metal post shorts the resonator's inner     and outer conductors. A metal plate is spaced apart from an open end of     the resonator by a dielectric layer that contains the received aerosol     sample. Interrogator circuitry coupled to the resonator transmits an     electromagnetic wave within the resonator and generates an electric field     at the open end of the resonator. The interrogator circuitry is     responsive to the generated electric field for determining a resonance     frequency and an impedance of the resonator when the aerosol sample is     present in the dielectric layer and is configured to identify virus     particles in the aerosol sample as a function of the determined resonance     frequency and impedance. A portable aerosol analyzer comprises the     open-ended hollow coaxial cable resonator and a mouthpiece through which     a subject expels a breath sample into the open end of the resonator.     Antibodies tethered to high-permittivity nanoparticles attach to     pathogens selectively, resulting in enhanced sensing with molecular-level     specificity.</t>
  </si>
  <si>
    <t>US20210310675</t>
  </si>
  <si>
    <t>SYSTEM AND PROCESS FOR NOTIFICATION OF CONTAGION RISK CONDITIONS AND     MITIGATION THEREOF</t>
  </si>
  <si>
    <t>16/033062</t>
  </si>
  <si>
    <t>WELLO OY</t>
  </si>
  <si>
    <t>WELLO</t>
  </si>
  <si>
    <t>Heller; Alan C.; (Dallas, TX)</t>
  </si>
  <si>
    <t>G16H 50/80 20180101;  F24F 2110/20 20180101;  F24F 11/30 20180101;  G05B 15/02 20130101;  G16Z 99/00 20190201</t>
  </si>
  <si>
    <t>The present invention is directed to system and process for notification     of contagion risk and mitigation of the risk thereof. The system     comprises a meteorological history repository having meteorological data     and a processor configured with an instruction set. The instruction set     includes retrieving meteorological data for a selected region for a     selected time window, calculating contagion risk based on the     meteorological data and from at least one of a transmission risk or a     susceptibility risk, calculating the transmission risk as a function of     dew point change and calculating susceptibility risk as a function of     relative humidity. The system generates a contagion risk indicator based     thereon. Embodiments of the system for mitigating the risk of spread of contagions     and include a controller configured to select a lower humidity bound as a     function of contagion infectivity and an upper humidity bound as a     function of contagion viability or mold/fungus growth rate. The     controller receives humidity data for the sealed area and issues control     signals to a humidification unit in response to the received humidity     data and according to the selected lower humidity bound and the upper     humidity bound.</t>
  </si>
  <si>
    <t>US20210310083</t>
  </si>
  <si>
    <t>Methods and Systems for Detection of Pathogens</t>
  </si>
  <si>
    <t>17/220647</t>
  </si>
  <si>
    <t>Krueger; Brian; (Burlington, NC); Burns; Ayla; (Burlington, NC); Wagner; Kimberly; (Burlington, NC)</t>
  </si>
  <si>
    <t>C12Q 1/6806 20130101;  C12Q 1/701 20130101</t>
  </si>
  <si>
    <t>Disclosed are methods, compositions and systems for detecting the     presence or absence of a pathogen in a sample. The method may include the     steps of obtaining a sample from the subject and treating the sample with     heat to inactivate any pathogen present in the sample. The method may     further include the step of treating the sample to concentrate any     pathogen present in the sample. Also, the method may include isolate a     pathogen-specific nucleic acid from the heat-inactivated sample and     detecting the presence or absence of the isolated pathogen-specific     nucleic acid. In certain embodiments, the methods and/or systems may be     used to detect SARS-CoV-2. The method may employ real time RT-PCR to     provide results in about 3 hours or less.</t>
  </si>
  <si>
    <t>US20210310070</t>
  </si>
  <si>
    <t>ASSESSING INFECTION RISK TO HUMANS</t>
  </si>
  <si>
    <t>17/221672</t>
  </si>
  <si>
    <t>PHYLAGEN, INC.</t>
  </si>
  <si>
    <t>PHYLAGEN</t>
  </si>
  <si>
    <t>Dillon; Harrison F.; (San Francisco, CA); Green; Jessica L.; (Berkeley, CA); Taft; Brad; (San Francisco, CA); Humadi; Harith; (San Francisco, CA); Berlow; Eric; (San Francisco, CA); Reichmann; Lara; (San Francisco, CA)</t>
  </si>
  <si>
    <t>G16H 10/40 20180101;  G16B 30/10 20190201;  G16B 50/30 20190201;  G16B 20/20 20190201;  G16B 40/20 20190201;  G16H 50/20 20180101;  C12Q 1/6883 20130101</t>
  </si>
  <si>
    <t>The present disclosure provides methods for assessing the risk of     infection to humans posed by a surface or air in a built environment or     on an object. In addition to testing for the presence of infectious     agents, the methods include the generation and analyses of microbiomes,     and the use of both in risk assessment.</t>
  </si>
  <si>
    <t>US20210310060</t>
  </si>
  <si>
    <t>METHODS AND COMPOSITIONS FOR THE DIAGNOSIS AND TREATMENT OF COVID 19</t>
  </si>
  <si>
    <t>17/209985</t>
  </si>
  <si>
    <t xml:space="preserve"> Harvard College</t>
  </si>
  <si>
    <t>PRESIDENT AND FELLOWS HARVARD COLLEGE</t>
  </si>
  <si>
    <t>CEPKO; Connie; (Boston, MA); RABE; Brian; (Boston, MA)</t>
  </si>
  <si>
    <t>C12Q 1/701 20130101;  C12Q 1/6853 20130101</t>
  </si>
  <si>
    <t>Described herein are methods and compositions related to the diagnosis     and treatment of COVID 19 and the detection of SARS-Cov-2.</t>
  </si>
  <si>
    <t>US20210309998</t>
  </si>
  <si>
    <t>Therapeutic and Diagnostic Target for SARS-CoV-2 and COVID-19</t>
  </si>
  <si>
    <t>17/218604</t>
  </si>
  <si>
    <t>Chan; Stephen Yu-Wah; (Pittsburgh, PA)</t>
  </si>
  <si>
    <t>C12N 15/113 20130101;  C12N 15/1135 20130101;  A61K 31/5377 20130101;  C12N 2310/14 20130101;  C12N 2310/11 20130101</t>
  </si>
  <si>
    <t>Provided herein are methods of treating a coronavirus infection in a     patient, comprising administering an agent to the patient in an amount     effective to increase cellular lysosomal pH in cells of the patient. As     provided herein, the agent is one or more of an agent for reducing     expression or activity of nuclear receptor coactivator 7 (NCOA7) in the     patient, an RNAi agent or antisense reagent for knocking down expression     of a v-rel avian reticuloendotheliosis viral oncogene homolog A     (RelA/p65) transcript, or a janus kinase (JAK) inhibitor, thereby     increasing cellular lysosomal pH in cells of the patient.</t>
  </si>
  <si>
    <t>US20210309973</t>
  </si>
  <si>
    <t>Bacteriophage-Based Antibodies and Binders</t>
  </si>
  <si>
    <t>17/222463</t>
  </si>
  <si>
    <t>ATHANOR BIOSCIENCES, INC.</t>
  </si>
  <si>
    <t>ATHANOR BIOSCIENCES</t>
  </si>
  <si>
    <t>GHANBARI; HOSSEIN A.; (POTOMAC, MD); LEBOWITZ; MICHAEL S.; (PIKESVILLE, MD)</t>
  </si>
  <si>
    <t>C12N 2795/00021 20130101;  C12N 7/00 20130101;  C12Y 304/17023 20130101;  C12N 2795/00032 20130101;  C07K 16/10 20130101;  C12N 9/485 20130101;  C07K 2317/622 20130101;  C12N 2795/00052 20130101;  C07K 14/71 20130101;  A61K 35/76 20130101;  C07K 2319/00 20130101</t>
  </si>
  <si>
    <t>Engineered bacteriophage and methods of forming the bacteriophage are     described. Multivalent bacteriophage are described that can include     multiple different exogenous polypeptides that include specific binding     agents for proteinaceous targets at a surface of the capsid head.     Therapeutic compositions, e.g., antiviral compositions, and methods of     forming are described. A therapeutic composition can include an     engineered bacteriophage that includes a polypeptide binds a pathogen or     binds a cellular receptor of a pathogen at a surface of the     bacteriophage. The engineered bacteriophage are free of nucleic acids     encoding the exogenous polypeptide(s).</t>
  </si>
  <si>
    <t>US20210309733</t>
  </si>
  <si>
    <t>METHODS FOR TREATING CORONAVIRUS INFECTION AND RESULTING     INFLAMMATION-INDUCED LUNG INJURY</t>
  </si>
  <si>
    <t>17/216660</t>
  </si>
  <si>
    <t>HUMANIGEN, INC.</t>
  </si>
  <si>
    <t>HUMANIGEN</t>
  </si>
  <si>
    <t>DURRANT; Cameron; (Oxford, FL); CHAPPELL; Dale; (Dolores, CO)</t>
  </si>
  <si>
    <t>A61P 11/00 20180101;  A61K 39/3955 20130101;  C07K 16/243 20130101;  A61P 29/00 20180101;  A61K 31/706 20130101</t>
  </si>
  <si>
    <t>The present invention provides methods for treating a subject infected     with 2019 coronavirus (SARS-CoV-2) comprising administering to the     subject a therapeutically effective amount of a GM-CSF antagonist or a     therapeutically effective amount of a GM-CSF antagonist and a second     drug, including an anti-viral agent, an anti-SARS-CoV-2 vaccine, and     serum containing human polyclonal antibodies to SARS-CoV-2.</t>
  </si>
  <si>
    <t>US20210308629</t>
  </si>
  <si>
    <t>METHOD FOR PRODUCING A PERMEABLE MATERIAL THAT FILTERS OUT HARMFUL     PARTICLES AND PRODUCTS CREATED THEREFROM</t>
  </si>
  <si>
    <t>17/349097</t>
  </si>
  <si>
    <t>TRUTEK CORP.</t>
  </si>
  <si>
    <t>TRUTEK</t>
  </si>
  <si>
    <t>Wahi; Ashok; (Basking Ridge, NJ); Wahi; Kanika; (Basking Ridge, NJ); Bartolome; Kevin M.; (Manville, NJ)</t>
  </si>
  <si>
    <t>B01D 67/0093 20130101;  B01D 46/0032 20130101;  B01D 2239/10 20130101;  B01D 67/0088 20130101</t>
  </si>
  <si>
    <t>A permeable material that allows air to easily pass through the     interstices in any direction. The permeable material may be a cloth, a     mesh, latex, rubber, or any polymer. The material is saturated with a     water and/or alcohol based solution containing either a cationic or     anionic agent, a disinfecting agent, and a biocide. The solvent on the     permeable material is permitted to evaporate. What remains on the     permeable material is the cationic or anionic agent and the biocide. This     coated material is now surrounded by an electrostatic field. The     electrostatically charged material attracts oppositely charged particles     and repels similarly charged particles. The particles that contain living     organisms are inactivated by the biocide. The formulations have been     shown to have efficacy against rhinovirus causing colds, influenza and     corona viruses causing diseases such as swine flu and COVID-19, as well     as other harmful airborne microscopic and sub-microscopic particles. The     material may be formed into products such as face masks, unitary filters,     and filtration devices. Users of these masks might want to periodically     spray or otherwise apply the solution to the mask to restore its     disinfecting, filtration, and biocidic properties. This would also render     normally disposable cloth or surgical face masks reusable.</t>
  </si>
  <si>
    <t>US20210308495</t>
  </si>
  <si>
    <t>FACE MASK SYSTEM WITH CONDITION INDICATOR</t>
  </si>
  <si>
    <t>17/221083</t>
  </si>
  <si>
    <t>READYDOCK, INC.</t>
  </si>
  <si>
    <t>READYDOCK</t>
  </si>
  <si>
    <t>Kersey; Alan; (South Glastonbury, CT); Engelhardt; David; (Canton, CT)</t>
  </si>
  <si>
    <t>A62B 9/006 20130101;  A41D 13/11 20130101;  A62B 23/00 20130101</t>
  </si>
  <si>
    <t>A face mask system is provided that includes a face mask and an     indicator. The indicator is arranged with the face mask. The indicator     may be configured to indicate the face mask is no longer recommended for     use following a first level of exposure of the face mask to ultraviolet     light. In addition, or alternatively, the indicator may be configured to     change its appearance when a first number of treatment cycles have been     performed on the face mask using the ultraviolet light. In addition, or     alternatively still, the indicator may be configured to visually indicate     a mechanical property of the face mask is preserved following another     level of exposure of the face mask to the ultraviolet light.</t>
  </si>
  <si>
    <t>US20210308410</t>
  </si>
  <si>
    <t>SYSTEMS AND METHODS FOR PROVIDING CONTROLLED SUPPLEMENTAL OXYGEN VIA ANY     VENTILATOR</t>
  </si>
  <si>
    <t>17/191066</t>
  </si>
  <si>
    <t>HETE; BERNARD F.; (KITTANNING, PA); DOYLE; PETER R.; (VISTA, CA); COLE, JR.; KENNETH E; (NEW ALEXANDRIA, PA); MURDOCH; ROBERT WILLIAM; (MONROEVILLE, PA)</t>
  </si>
  <si>
    <t>A61M 16/12 20130101;  A61M 2016/003 20130101;  A61M 16/022 20170801;  A61M 16/0666 20130101;  A61M 16/0833 20140204;  A61M 2202/0208 20130101</t>
  </si>
  <si>
    <t>A gas delivery apparatus configured for use with a mechanical ventilator     having an atmospheric inlet for drawing in atmospheric gas includes a     connecting device configured to connect to an oxygen supply and an air     supply and to deliver mixed air and oxygen gas to the atmospheric inlet     of the mechanical ventilator. The connecting device further includes a     user control for adjusting a fraction of oxygen in the mixed air and     oxygen gas. The connecting device comprises a reservoir configured to     hold a volume of the mixed air and oxygen gas.</t>
  </si>
  <si>
    <t>US20210308408</t>
  </si>
  <si>
    <t>MASK WITH FILTER</t>
  </si>
  <si>
    <t>17/222339</t>
  </si>
  <si>
    <t>AZIMUTH SLEEP SOLUTIONS, CORP.</t>
  </si>
  <si>
    <t>AZIMUTH SLEEP SOLUTIONS</t>
  </si>
  <si>
    <t>Archbold; Kristen Hedger; (Germantown, TN)</t>
  </si>
  <si>
    <t>A61M 15/0018 20140204;  A61M 16/1055 20130101;  A61M 16/208 20130101;  A61M 16/1065 20140204;  A61M 16/0688 20140204</t>
  </si>
  <si>
    <t>A filtered face mask apparatus for CPAP applications can include a body,     an inlet port, a mouth portion having a mouth exhaust port, a nose     portion having a nose exhaust port, a plurality of adjustable straps, a     seal, a mouth exhaust filter disposed over the mouth exhaust port, a nose     exhaust filter disposed over the nose exhaust port, and an intake filter     disposed over the inlet port. The inlet port may be configured for     attachment to a gas supply tube that is attached to a CPAP device on the     other end. The mouth exhaust filter, nose exhaust filter, and intake     filter may each comprise a N95 or N99 material configured to block the     passage of pathogens. A disposable filter patch and a method of operating     a positive airway pressure device are also disclosed herein.</t>
  </si>
  <si>
    <t>US20210308407</t>
  </si>
  <si>
    <t>MEDICAL ULTRAVIOLET-C REMOTE RESPIRATOR</t>
  </si>
  <si>
    <t>16/839187</t>
  </si>
  <si>
    <t>ARMOR RESPIRATION CORPORATION</t>
  </si>
  <si>
    <t>ARMOR RESPIRATION</t>
  </si>
  <si>
    <t>Fitzgerald; Lisa; (Leesburg, FL)</t>
  </si>
  <si>
    <t>A61M 16/107 20140204;  A61M 2209/088 20130101;  A61M 2202/0208 20130101;  A61M 16/1055 20130101;  A61M 2202/206 20130101;  A61M 2202/203 20130101;  A61M 16/0666 20130101;  A61L 2202/16 20130101;  A61L 2202/22 20130101;  A61M 16/0605 20140204;  A61M 16/1065 20140204;  A61M 2205/8237 20130101;  A61L 2/0047 20130101;  A61L 2/26 20130101;  A61M 16/208 20130101;  A61M 16/105 20130101</t>
  </si>
  <si>
    <t>An ultraviolet-C respirator mask that filters and destroys viruses by     means of a HEPA type filter and a plurality of UVC LEDs projected on the     filter. The filter element is worn on the garment of the user by means of     an integral apparel clip and connected to the face mask through a     breathing hose. This configuration allows easy replacement of the HEPA     filter element and/or the facemask for considerations of hygiene. Filter     element life is increased due to location further from contaminated     field. Hygiene for the user is improved due to the collecting media being     further from the user's face.</t>
  </si>
  <si>
    <t>US20210308404</t>
  </si>
  <si>
    <t>POSITIVE PRESSURE VENTILATION APPARATUS AND POSITIVE PRESSURE MASK</t>
  </si>
  <si>
    <t>16/839014</t>
  </si>
  <si>
    <t>QUINONES ALPHONSO</t>
  </si>
  <si>
    <t>Quinones; Alphonso; (East Meadow, NY)</t>
  </si>
  <si>
    <t>A61M 16/0816 20130101;  A61M 16/0616 20140204;  A61M 16/0622 20140204;  A61M 16/1065 20140204;  A61M 16/0683 20130101;  A61M 16/0688 20140204</t>
  </si>
  <si>
    <t>A positive pressure ventilation apparatus is provided for non-invasive     ventilation of a patient requiring ventilatory care which comprises a     positive pressure mask, a positive-pressure source coupled to the     positive pressure mask, and an exhalation filter positioned on a gas flow     path interconnecting the positive-pressure source and positive pressure     mask. The positive pressure mask comprises a mask body configured to     cover a patient's mouth and nostrils, the mask body having a     patient-contact perimeter, the mask body comprising a flexible     concertinaed portion at or adjacent to the patient-contact perimeter to     accommodate movement of the patient's face during use, a gas inlet to the     mask body configured to be connected to the positive-pressure source, and     an adhesive seal positioned at the patient-contact perimeter to secure     the mask body to the patient's face and prevent gas leakage during     flexion of the concertinaed portion.</t>
  </si>
  <si>
    <t>US20210308310</t>
  </si>
  <si>
    <t>SANITIZATION BOOTH</t>
  </si>
  <si>
    <t>17/081400</t>
  </si>
  <si>
    <t>MTHETHWA, Wiseman Dumisani</t>
  </si>
  <si>
    <t>MTHETHWA WISEMAN</t>
  </si>
  <si>
    <t>MTHETHWA; Wiseman Dumisani; (Umhlanga Rocks, ZA)</t>
  </si>
  <si>
    <t>A61L 2202/121 20130101;  A61L 2202/14 20130101;  A61L 2202/16 20130101;  B05B 14/40 20180201;  A61L 2202/15 20130101;  A61L 2202/26 20130101;  A61L 2202/122 20130101;  A61L 2/22 20130101</t>
  </si>
  <si>
    <t>A sanitization apparatus is provided. The sanitization apparatus includes     a framework providing a sanitizing zone shaped and dimensioned to permit     a person to pass therethrough while being sprayed with sanitizer; a     plurality of sprayers arranged on the framework for spraying a sanitizer     into the sanitizing zone to allow substantial sanitization of an outer     surface of a person; a supply of sanitizer, including a liquid container     for the sanitizer, wherein the liquid container is in a predetermined     position relative to the orientation of the apparatus; and a flow     communication unit for allowing flow communication between the sprayers     and the supply of sanitizer via a fluid displacement unit.</t>
  </si>
  <si>
    <t>US20210308309</t>
  </si>
  <si>
    <t>METHODS OF DISARMING VIRUSES USING REACTIVE GAS</t>
  </si>
  <si>
    <t>17/017517</t>
  </si>
  <si>
    <t>NANOGUARD TECHNOLOGIES, LLC</t>
  </si>
  <si>
    <t>NANOGUARD</t>
  </si>
  <si>
    <t>Hochwalt; Mark A.; (Chesterfield, MO)</t>
  </si>
  <si>
    <t>A61L 2/202 20130101;  C01B 13/11 20130101;  A61L 2101/02 20200801;  A61L 2202/25 20130101;  A61L 2/26 20130101;  A61L 2202/11 20130101;  A61L 2202/24 20130101;  A61L 2/0094 20130101</t>
  </si>
  <si>
    <t>A method of disinfecting a surface that is contaminated with a virus or     suspected of contamination with a virus, including: producing a reactive     gas by forming a high-voltage cold plasma (HVCP) from a working gas with     a dielectric barrier discharge (DBD) system at a voltage of 20 kV to 150     kV; transporting the reactive gas at least 1 meter away from the HVCP;     followed by contacting the surface with the reactive gas.</t>
  </si>
  <si>
    <t>US20210308288</t>
  </si>
  <si>
    <t>Portable Self-Contained Disinfection Device</t>
  </si>
  <si>
    <t>17/220143</t>
  </si>
  <si>
    <t>KIM GERALD HO</t>
  </si>
  <si>
    <t>KIM GERALD</t>
  </si>
  <si>
    <t>Kim; Gerald Ho; (Ontario, CA)</t>
  </si>
  <si>
    <t>A61N 2005/0642 20130101;  A61N 5/0624 20130101;  A61L 2/10 20130101;  A61N 2005/005 20130101;  A61L 2202/16 20130101;  A61L 2209/15 20130101;  A61N 2005/0652 20130101;  A61L 9/20 20130101;  A61L 2/0047 20130101;  A61L 2202/11 20130101;  A61L 2202/26 20130101;  A61N 2005/0661 20130101;  A61L 2209/12 20130101</t>
  </si>
  <si>
    <t>A portable self-contained disinfection device includes an enclosure and     one or more ultraviolet C (UVC) light-emitting diode (LED) illuminators.     The enclosure is configured to at least partially surround at least a     portion of a user. The one or more UVC LED illuminators are disposed on     the enclosure and configured to emit a UVC light toward the portion of     the user surrounded by the enclosure.</t>
  </si>
  <si>
    <t>US20210308257</t>
  </si>
  <si>
    <t>IMMUNOGENIC COMPOSITION AGAINST SEVERE ACUTE RESPIRATORY SYNDROME     CORONAVIRUS 2 (SARS-CoV-2)</t>
  </si>
  <si>
    <t>17/351363</t>
  </si>
  <si>
    <t>KUO; Tsun-Yung; (I-Lan County, TW); CHEN; Charles; (Taipei, TW); WU; Chung-Chin; (I-Lan County, TW); LIN; Yi-Jiun; (Taipei, TW); Lin; Meei-Yun; (Taipei, TW); WU; Yu-Chi; (Taipei, TW); CAMPBELL; John Darren; (Emeryville, CA); JANSSEN; Robert S.; (Emeryville, CA); NOVACK; David; (Emeryville, CA)</t>
  </si>
  <si>
    <t>A61K 2039/55561 20130101;  C12N 2795/10034 20130101;  A61K 2039/54 20130101;  C12N 2770/20034 20130101;  A61K 2039/575 20130101;  A61K 39/215 20130101;  C07K 14/165 20130101;  A61K 2039/55505 20130101;  C07K 14/245 20130101</t>
  </si>
  <si>
    <t>The present invention relates to an immunogenic composition against     severe acute respiratory syndrome coronavirus 2 (SARS-CoV-2), especially     to an immunogenic composition having a recombinant SARS-CoV-2 S protein     and adjuvant.</t>
  </si>
  <si>
    <t>US20210308250</t>
  </si>
  <si>
    <t>Zika</t>
  </si>
  <si>
    <t>ZIKA VIRUS IMMUNOGENIC COMPOSITIONS</t>
  </si>
  <si>
    <t>17/287938</t>
  </si>
  <si>
    <t>Du; Lanying; (Rego Park, NY); Tai; Wanbo; (Elmhurst, NY); Li; Fang; (St. Paul, MN)</t>
  </si>
  <si>
    <t>C12N 2770/24134 20130101;  C12N 2770/24171 20130101;  A61K 2039/55 20130101;  C12N 2770/24122 20130101;  A61K 39/39 20130101;  A61P 31/14 20180101;  A61K 39/12 20130101;  C12N 7/00 20130101</t>
  </si>
  <si>
    <t>Provided herein are methods of use of subunit immunogenic compositions,     in particular for the prevention and treatment of Zika vims infections.</t>
  </si>
  <si>
    <t>US20210308232</t>
  </si>
  <si>
    <t>TREATEMENT OF PATHOGEN INFECTIONS FORMULATIONS AND METHODS FOR USE</t>
  </si>
  <si>
    <t>17/184177</t>
  </si>
  <si>
    <t>TATE MITCHELL LYNN</t>
  </si>
  <si>
    <t>Tate; Mitchell Lynn; (Surprise, AZ)</t>
  </si>
  <si>
    <t>A61K 2236/333 20130101;  A61K 38/446 20130101;  A61K 9/0095 20130101;  A61P 31/14 20180101;  A61K 9/006 20130101;  A61K 47/46 20130101;  A61K 47/02 20130101;  A61K 36/19 20130101;  A61K 36/752 20130101;  A61K 2236/31 20130101;  A61K 9/08 20130101</t>
  </si>
  <si>
    <t>An oral product comprising nano-sized, heat tolerable, shelf stable     peptides and enzymes. Once the peptides and enzymes are inside the body     of a user, they dimerize the nucleic acids of viruses, bacteria and     fungi. Thus, the peptides and enzymes are capable of inactivating the     genome of pathogens, including without limitation, SARS-CoV-2 and     Influenza A/CA/04/2009 (H1N1) virus.</t>
  </si>
  <si>
    <t>US20210308230</t>
  </si>
  <si>
    <t>17/211553</t>
  </si>
  <si>
    <t>A61K 38/385 20130101;  A61K 31/405 20130101;  A61P 31/14 20180101;  A61K 9/0078 20130101;  A61K 31/495 20130101;  A61P 11/00 20180101;  A61K 31/20 20130101</t>
  </si>
  <si>
    <t>US20210308224</t>
  </si>
  <si>
    <t>TREATMENT FOR SARS-COV-2 AND OTHER CORONAVIRUSES</t>
  </si>
  <si>
    <t>17/221009</t>
  </si>
  <si>
    <t>SHEVY DRORA</t>
  </si>
  <si>
    <t>SHEVY; DRORA; (PASADENA, CA)</t>
  </si>
  <si>
    <t>A61K 38/22 20130101;  A61K 38/2242 20130101;  A61P 31/14 20180101;  A61K 31/225 20130101</t>
  </si>
  <si>
    <t>A method of treating a corona virus infection in a human includes     administering to the human an effective amount of at least one a     natriuretic peptide (NP) and a neprilysin inhibitor (NI). A     pharmaceutical composition for the treatment of corona virus in a human     includes one of a recombinant natriuretic peptide (rNP) and a chimeric     natriuretic peptide D (CD-NP) and a pharmaceutically acceptable carrier.</t>
  </si>
  <si>
    <t>US20210308211</t>
  </si>
  <si>
    <t>METHOD OF TREATING VIRAL INFECTIONS</t>
  </si>
  <si>
    <t>17/215089</t>
  </si>
  <si>
    <t>IMMUPHARMA FRANCE SA</t>
  </si>
  <si>
    <t>IMMUPHARMA FRANCE</t>
  </si>
  <si>
    <t>Zimmer; Robert H.; (Mulhouse, FR); Muller; Sylviane; (Strasbourg, FR)</t>
  </si>
  <si>
    <t>A61K 38/10 20130101;  A61K 38/16 20130101</t>
  </si>
  <si>
    <t>The present disclosure relates to methods of treating, preventing, or     ameliorating at least one symptom of a viral infection or virus-induced     immunopathology in a subject in need thereof, as well as methods of     modulating the immune response in a subject having a viral infection. The     methods include: administering an effective amount of a pharmaceutical     composition that includes an effective amount of a peptide having the     amino acid sequence as set forth in SEQ ID NO: 4, SEQ ID NO: 5, SEQ ID     NO: 6, SEQ ID NO: 7, a salt form thereof, or combination thereof; and at     least one pharmaceutically acceptable carrier or excipient.</t>
  </si>
  <si>
    <t>US20210308201</t>
  </si>
  <si>
    <t>COMPOSITIONS AND METHODS FOR MODULATING INFLAMMATORY RESPONSE</t>
  </si>
  <si>
    <t>17/221411</t>
  </si>
  <si>
    <t>Fungi Perfecti</t>
  </si>
  <si>
    <t>TURTLE BEAR</t>
  </si>
  <si>
    <t>STAMETS; Paul E.; (Shelton, WA)</t>
  </si>
  <si>
    <t>A61K 45/06 20130101;  A61K 47/10 20130101;  A61P 31/12 20180101;  A61K 47/02 20130101;  A61K 36/07 20130101;  A61K 31/716 20130101;  A61P 37/06 20180101;  A61K 36/074 20130101</t>
  </si>
  <si>
    <t>Described herein are mushroom compositions and methods for treating,     prophylaxis of, or ameliorating symptoms of one or more adverse reactions     triggered by an infectious disease or condition that increases an     anti-inflammatory response in a subject with such compositions. In one     aspect the composition comprises an aqueous or solid fraction of a     mushroom mycelium and/or fruit body mixture, optionally combined with one     or more buffering agents, ethanol, and water.</t>
  </si>
  <si>
    <t>US20210308200</t>
  </si>
  <si>
    <t>17/221437</t>
  </si>
  <si>
    <t>A61K 2236/11 20130101;  A61K 47/10 20130101;  A61K 2236/331 20130101;  A61K 9/0053 20130101;  A61P 31/14 20180101;  A61K 36/07 20130101;  A61K 9/48 20130101;  A61K 47/26 20130101</t>
  </si>
  <si>
    <t>Described herein are mushroom compositions and methods for treating,     prophylaxis of, or ameliorating symptoms of one or more adverse reactions     triggered by an infectious disease or condition that increases an     anti-inflammatory response in a subject with such compositions. In one     aspect the composition comprises an aqueous or solid fraction of a     mycelium, a fermented substrate thereof, or a combination thereof     optionally combined with one or more buffering agents, ethanol, and     water.</t>
  </si>
  <si>
    <t>US20210308190</t>
  </si>
  <si>
    <t>HUMAN UMBILICAL CORD BLOOD MESENCHYMAL STEM CELL TRANSFUSION IMMUNOTHERAPY     FOR TREATMENT OF CYTOKINE STORM ASSOCIATED WITH CORONAVIRUS INFECTION</t>
  </si>
  <si>
    <t>17/217065</t>
  </si>
  <si>
    <t>PEREZ-CRUET, MIGUELANGELO J.</t>
  </si>
  <si>
    <t>PEREZ-CRUET MIGUELANGELO</t>
  </si>
  <si>
    <t>PEREZ-CRUET; MIGUELANGELO J.; (Bloomfield, MI)</t>
  </si>
  <si>
    <t>A61K 9/0019 20130101;  A61K 35/51 20130101;  C12N 5/0665 20130101</t>
  </si>
  <si>
    <t>A method for administering human umbilical cord blood mesenchymal stem     cell transfusion immunotherapy to a patient for treatment of coronavirus     infection. The method includes harvesting umbilical cord mesenchymal stem     cells, culturing the stem cells, collecting and purifying the cultured     stem cells, placing the purified stem cells into a transfusion bag, and     intravenously transfusing the stem cells from the transfusion bag into     the patient having the infection.</t>
  </si>
  <si>
    <t>US20210308186</t>
  </si>
  <si>
    <t>Treatment of Acute Respiratory Distress Syndrome by T Regulatory Cells</t>
  </si>
  <si>
    <t>17/224909</t>
  </si>
  <si>
    <t>C07K 14/55 20130101;  A61K 35/28 20130101;  C07K 14/535 20130101;  C07K 14/495 20130101;  C07K 14/4702 20130101</t>
  </si>
  <si>
    <t>Described are means, methods and compositions of matter for treatment of     acute respiratory distress syndrome (ARDS) by enhancement of T regulatory     (Treg) number and/or efficacy. In one embodiment of the invention,     exogenous Tregs are administered. In another embodiment, enhanced     endogenous Tregs are provided using methods including administration of     low dose interleukin-2, administration of other cytokines, and     administration of cells which stimulate Treg generation such as     mesenchymal stem cells.</t>
  </si>
  <si>
    <t>US20210308180</t>
  </si>
  <si>
    <t>COMPOSITION FOR PREVENTING OR TREATING COVID-19, INCLUDING GOLD     NANOPARTICLE AS ACTIVE INGREDIENT</t>
  </si>
  <si>
    <t>16/929730</t>
  </si>
  <si>
    <t>CHIN CHUR</t>
  </si>
  <si>
    <t>CHIN; Chur; (Daegu, KR)</t>
  </si>
  <si>
    <t>A61K 31/155 20130101;  A61K 9/51 20130101;  A61K 9/0043 20130101;  A61K 33/242 20190101;  A61P 31/14 20180101</t>
  </si>
  <si>
    <t>The present invention relates to a pharmaceutical composition for     treating or preventing coronavirus infection (COVID-19), containing a     gold nanoparticle. In the present invention, the gold nanoparticles     hinder the morphological change of a coronavirus protein to block the     entry of the coronavirus protein into cells, resulting in prevention or     treatment of the coronavirus infection (COVID-19).</t>
  </si>
  <si>
    <t>US20210308167</t>
  </si>
  <si>
    <t>17/350520</t>
  </si>
  <si>
    <t>A61K 31/593 20130101;  A61K 31/7052 20130101;  A61K 33/30 20130101;  A61K 31/4706 20130101;  A61K 31/375 20130101;  A61P 31/14 20180101</t>
  </si>
  <si>
    <t>A method of treating an individual infected with COVID-19, the method     comprising the steps of providing an individual infected with COVID-19;     and administering five antimicrobials to the individual, wherein the     antimicrobials comprise: hydroxychloroquine; azithromycin; vitamin C;     vitamin D; and zinc.</t>
  </si>
  <si>
    <t>US20210308151</t>
  </si>
  <si>
    <t>ACTIVATING ENDOGENOUS ANTIMICROBIALS TO TREAT SARS-COV-2 INFECTION</t>
  </si>
  <si>
    <t>17/223631</t>
  </si>
  <si>
    <t>EIRGEN PHARMA LTD.</t>
  </si>
  <si>
    <t>EIRGEN PHARMA</t>
  </si>
  <si>
    <t>Bishop; Charles W.; (Miami, FL); Strugnell; Stephen A.; (Madison, WI); Ashfaq; Akhtar; (Westbury, NY); Elsiddig; Reem Elamein; (Waterford, IE); Nulty; Colm; (Waterford, IE)</t>
  </si>
  <si>
    <t>A61K 31/593 20130101;  A61K 9/0053 20130101;  A61P 31/14 20180101</t>
  </si>
  <si>
    <t>Provided herein are methods of treating COVID-19 in a subject in need     thereof, comprising administering to the subject a 25-hydroxyvitamin D     compound. Also provided herein are hard capsule dosage forms of     25-hydroxyvitamin. In aspects, the 25-hydroxyvitamin D is administered as     a controlled release formulation, optionally an extended release oral     formulation, such as Rayaldee.RTM. extended release calcifediol capsules.     Methods of treating SARS-CoV-2 infection including reducing SARS-CoV-2     viral load are provided. Methods of treating SARS-CoV-2 infection     including increasing an immune response are provided.</t>
  </si>
  <si>
    <t>US20210308117</t>
  </si>
  <si>
    <t>17/207511</t>
  </si>
  <si>
    <t>A61K 45/06 20130101;  A61K 31/47 20130101;  A61P 31/14 20180101</t>
  </si>
  <si>
    <t>US20210308114</t>
  </si>
  <si>
    <t>ILAPRAZOLE FOR INHIBITING THE RELEASE OF ENVELOPED VIRUSES FROM CELLS</t>
  </si>
  <si>
    <t>17/301454</t>
  </si>
  <si>
    <t>UNIV NORTHWESTERN</t>
  </si>
  <si>
    <t>LEIS; Jonathan; (Chicago, IL); LUAN; Chi-Hao; (Evanston, IL)</t>
  </si>
  <si>
    <t>A61P 31/14 20180101;  A61K 31/4439 20130101</t>
  </si>
  <si>
    <t>Disclosed are methods and compositions for treating an infection by an     enveloped virus in a patient in need thereof. The methods include     administering to the patient a compound that inhibits or blocks release     of the enveloped virus from an infected cell. As such, the disclosed     methods include methods of inhibiting or blocking release of an enveloped     virus from a cell. The disclosed methods may include administering to the     patient a prazole-type compound having a substituted     (pyridin-2-yl)methylsulfinyl-benzimidazole core.</t>
  </si>
  <si>
    <t>US20210308110</t>
  </si>
  <si>
    <t>ANTIVIRAL COMPOUNDS AND METHOD FOR TREATING RNA VIRAL INFECTION,     PARTICULARLY COVID-19</t>
  </si>
  <si>
    <t>17/205823</t>
  </si>
  <si>
    <t>SENHWA BIOSCIENCES, INC.</t>
  </si>
  <si>
    <t>SENHWA BIOSCIENCES</t>
  </si>
  <si>
    <t>SOONG; TAI-SEN; (Chino, CA)</t>
  </si>
  <si>
    <t>A61K 31/4375 20130101;  A61K 31/437 20130101;  A61P 31/14 20180101</t>
  </si>
  <si>
    <t>The present invention provides a compound or a method for treating an RNA     viral infection in a human, particularly COVID-19. The compound is a     certain tricyclic compound.</t>
  </si>
  <si>
    <t>US20210308109</t>
  </si>
  <si>
    <t>METHODS OF REDUCING PLASMA LEVEL OF MACROPHAGE MIGRATORY INHIBITORY FACTOR     IN PATIENTS</t>
  </si>
  <si>
    <t>17/222673</t>
  </si>
  <si>
    <t>MEDICINOVA, INC.</t>
  </si>
  <si>
    <t>MEDICINOVA</t>
  </si>
  <si>
    <t>IWAKI; Yuichi; (La Jolla, CA); MATSUDA; Kazuko; (La Jolla, CA)</t>
  </si>
  <si>
    <t>A61K 9/48 20130101;  A61P 11/00 20180101;  A61K 31/437 20130101;  A61K 9/0053 20130101</t>
  </si>
  <si>
    <t>Disclosed is a method of reducing plasma level of macrophage migratory     inhibitory factor in a subject in need thereof, the method comprising     administering to the subject a therapeutically effective amount of     ibudilast, or a pharmaceutical salt thereof.</t>
  </si>
  <si>
    <t>US20210308105</t>
  </si>
  <si>
    <t>METHODS OF TREATING CORONAVIRUS</t>
  </si>
  <si>
    <t>17/222835</t>
  </si>
  <si>
    <t>VERU INC.</t>
  </si>
  <si>
    <t>VERU</t>
  </si>
  <si>
    <t>STEINER; Mitchell S.; (Germantown, TN); BARNETTE; Kester Gary; (Wake Forest, NC)</t>
  </si>
  <si>
    <t>A61K 45/06 20130101;  A61K 31/573 20130101;  A61K 31/706 20130101;  A61P 31/14 20180101;  A61K 31/4178 20130101</t>
  </si>
  <si>
    <t>The present invention relates to methods of treating coronavirus     infections using compounds having anti-tubulin or tubulin disruption     activity.</t>
  </si>
  <si>
    <t>US20210308089</t>
  </si>
  <si>
    <t>METHODS OF TREATING AND/OR PREVENTING VIRAL INFECTIONS AND/OR DISEASES     CAUSED BY VIRUSES IN A SUBJECT IN NEED THEREOF</t>
  </si>
  <si>
    <t>17/224691</t>
  </si>
  <si>
    <t>AMARIN PHARMACEUTICALS IRELAND LIMITED</t>
  </si>
  <si>
    <t>AMARIN PHARMACEUTICALS IRELAND</t>
  </si>
  <si>
    <t>Jiao; Lixia; (Bridgewater, NJ); Dunbar; Richard Louis; (Voorhees, NJ); Juliano; Rebecca; (Madison, NJ)</t>
  </si>
  <si>
    <t>A61K 45/06 20130101;  A61K 31/232 20130101;  A61K 31/675 20130101;  A61K 31/47 20130101;  A61P 31/14 20180101</t>
  </si>
  <si>
    <t>In various embodiments, the present disclosure provides methods for     treating, preventing, and/or ameliorating symptoms of a viral infection,     a disease, and/or a symptom thereof caused by the virus in a subject in     need thereof, comprising administering about 4 g to about 20 g of     icosapent ethyl to the subject per day. In some embodiments, the virus is     SARS-CoV-2. In some embodiments, the disease is COVID-19.</t>
  </si>
  <si>
    <t>US20210308080</t>
  </si>
  <si>
    <t>TRANSIENT INDUCED SYSTEMIC ACIDOSIS (TISA) TO TREAT VIRUS INFECTIONS</t>
  </si>
  <si>
    <t>16/837861</t>
  </si>
  <si>
    <t>NIAZI, SARFARAZ K.</t>
  </si>
  <si>
    <t>NIAZI SARFARAZ</t>
  </si>
  <si>
    <t>Niazi; Sarfaraz K.; (Deerfield, IL); Lokesh; Sunitha; (Rolling Meadows, IL)</t>
  </si>
  <si>
    <t>A61K 31/19 20130101;  A61K 33/20 20130101;  A61K 33/42 20130101;  A61K 33/04 20130101</t>
  </si>
  <si>
    <t>Transient induced systemic acidosis (TISA) is a universal treatment of     all virus infections by repeatedly inducing acidosis of plasma for brief     periods to inactivate the virus in the body, without any deleterious     effects of acidosis because of its transient nature.</t>
  </si>
  <si>
    <t>US20210308079</t>
  </si>
  <si>
    <t>NICLOSAMIDE FORMULATIONS AND METHODS OF USE</t>
  </si>
  <si>
    <t>17/301444</t>
  </si>
  <si>
    <t>THE FLORIDA STATE UNIVERSITY RESEARCH FOUNDATION</t>
  </si>
  <si>
    <t>HOLMES; ERIC; (TALLAHASSEE, FL); OSTRANDER; GARY; (TALLAHASSEE, FL)</t>
  </si>
  <si>
    <t>A61K 9/009 20130101;  A61K 47/10 20130101;  A61K 47/40 20130101;  A61K 9/0095 20130101;  A61K 9/284 20130101;  A61K 9/4816 20130101;  A61K 47/32 20130101;  A61K 9/006 20130101;  A61K 31/167 20130101;  A61K 47/38 20130101;  A61K 9/2866 20130101;  A61K 9/4891 20130101;  A61K 47/20 20130101</t>
  </si>
  <si>
    <t>The present invention concerns compositions comprising at least one     niclosamide compound, such as niclosamide or a pharmaceutically     acceptable salt thereof, and at least one permeability enhancer, such as     glycerol or dimethylpalmityl-ammonio propanesulfonate (PPS), and their     use of such compositions as niclosamide agents. Advantageously, the     niclosamide compound is capable of being transported across a Caco-2 cell     membrane by at least 150% relative to the amount capable of being     transported across the Caco-2 cell membrane in the absence of the     permeability enhancer. Compositions, including oral dosage forms, and     methods for delivering niclosamide compounds, such as for treatment or     prevention of human coronavirus infections, are also provided.</t>
  </si>
  <si>
    <t>US20210308075</t>
  </si>
  <si>
    <t>PREVENTION AND TREATMENT OF VIRIAL INFECTIONS</t>
  </si>
  <si>
    <t>17/224530</t>
  </si>
  <si>
    <t>HABBOUSHE JOSEPH</t>
  </si>
  <si>
    <t>Habboushe; Joseph; (New York, NY)</t>
  </si>
  <si>
    <t>A61K 31/135 20130101;  A61K 31/192 20130101</t>
  </si>
  <si>
    <t>The present disclosure relates generally to compositions and methods for     treating infections by highly virulent viruses, such as SARS-CoV-2,     SARS-CoV, the H5N1 influenza A virus, and the H7N9 influenza A virus. The     method can include administration of aspirin or ketamine, or a     combination thereof.</t>
  </si>
  <si>
    <t>US20210308071</t>
  </si>
  <si>
    <t>Treatment method to abort and or reduce the severity of upper respiratory     viral illness as well as to prevent upper respiratory viral illness in     humans</t>
  </si>
  <si>
    <t>17/221838</t>
  </si>
  <si>
    <t>THALLAPUREDDY ANANTHA LAKSHMI</t>
  </si>
  <si>
    <t>Thallapureddy; Anantha Lakshmi; (Austin, TX)</t>
  </si>
  <si>
    <t>A61K 36/61 20130101;  A61K 33/30 20130101;  A61K 36/28 20130101;  A61K 31/045 20130101;  A61K 31/12 20130101;  A61K 36/9068 20130101;  A61K 9/006 20130101;  A61K 33/14 20130101;  A61K 36/67 20130101;  A61K 36/53 20130101;  A61K 9/0056 20130101;  A61K 36/185 20130101;  A61K 31/375 20130101;  A61K 36/9066 20130101;  A61K 36/8962 20130101</t>
  </si>
  <si>
    <t>Upper respiratory viral illness including influenza is a common worldwide     problem. The consequences of these infections in any given population     have a huge spectrum including losing several workdays all the way to     severe illness with prolonged hospitalizations and death. While there are     a wide variety of symptomatic treatments available, they are neither     shown to alter the disease course nor prevent the occurrence of secondary     complications. There are no options available to get rid of these     infections before the infection becomes a full blown illness. After     various preventive methods like vaccines, hand hygiene, wearing masks and     avoiding exposure, the next best step is to make use of treatment methods     that do not necessitate a doctor visit or expensive diagnostic tests, to     get rid of the illness quickly. The inventor here describes an invention     of a treatment method to abort and/or reducing the severity either in its     duration or symptoms or both of upper respiratory viral illness using a     unique gargling solution comprising of Menthol, Borneol and Sodium     Chloride dissolved in warm water, wherein the three compounds work in     synergy for the above mentioned purpose. As I continued researching other additional ways to further improve     outcomes in humans with upper respiratory viral illness, I also     formulated an additional treatment method to create a multi target     therapy. This additional oral treatment to be used in conjunction with     the above gargling method to ensure the best outcome for everyone with     the said illness but particularly for individuals whose immune system may     be already stressed. This oral formulation is a carefully formulated     mixture of Curcumina Longa root powder along with Curcumin extract, Piper     Nigrum, Ascorbic acid, Zinc, Echinacea, Sambucus Nigra, Allium Sativum,     Syzygium Aromaticum, Coleus Amboinicus and Zingiber Officinale to be     taken orally.</t>
  </si>
  <si>
    <t>US20210308047</t>
  </si>
  <si>
    <t>METHODS OF TREATMENT USING NICLOSAMIDE</t>
  </si>
  <si>
    <t>16/904590</t>
  </si>
  <si>
    <t>SOFTHALE NV</t>
  </si>
  <si>
    <t>SOFTHALE</t>
  </si>
  <si>
    <t>Rawert; Jurgen; (Koln, DE); Tews; Jan-Torsten; (Munchen, DE)</t>
  </si>
  <si>
    <t>A61K 9/0078 20130101;  A61M 15/0063 20140204;  A61M 15/0008 20140204;  A61K 31/045 20130101;  A61K 31/167 20130101;  A61M 15/0021 20140204</t>
  </si>
  <si>
    <t>The present invention provides for a method for the treatment of a     respiratory disease, disorder or condition, or a viral infection or viral     disease, disorder or condition in a subject, the method comprising the     step of administering to said subject a medically active liquid in     nebulized form by inhalation, wherein the medically active liquid     comprises niclosamide or a pharmaceutically acceptable salt thereof and     wherein the medically active liquid is administered in nebulized form     using an inhalation device.</t>
  </si>
  <si>
    <t>US20210308046</t>
  </si>
  <si>
    <t>Method, Apparatus and Composition for Preventing Infection From     Coronavirus, Limiting its Spread and Treatment Thereof</t>
  </si>
  <si>
    <t>16/841776</t>
  </si>
  <si>
    <t>MICHAELI DAVID; MICHAELI MENASHE</t>
  </si>
  <si>
    <t>MICHAELI; David; (Ashkelon, IL); Michaeli; Menashe; (Ashkelon, IL)</t>
  </si>
  <si>
    <t>A61M 15/009 20130101;  A61K 45/06 20130101;  A61K 31/045 20130101;  A61K 9/0078 20130101;  A61K 33/20 20130101;  A61K 31/4706 20130101;  A61M 15/0065 20130101</t>
  </si>
  <si>
    <t>A nebulizer is used to prevent infection by coronavirus by nebulizing a     combination of hydrogenated water and ethyl alcohol, one or both of which     have a counterclockwise spin polarization, into a vapor-aerosol mixture     for inhalation by a patient. A storage container of helium adjacent to or     in communication with an inside of the nebulizer increases partial     pressure of the vapor-aerosol mixture during usage. The nebulizer may     also nebulize into the vapor-aerosol mixture, one of the following third     ingredient (a) hydrogen peroxide, (b) a low dosage of hydroxychloroquine     or chloroquine (c) a very low dosage of a mixture of sodium chlorite with     food-grade citric acid solution, (d) antibiotics. The third ingredient     may vary to thwart development of resistance. A nebulized vapor-aerosol     mixture produced by nebulizing a combination of ingredients is presented.     A method of delivering a combination of ingredients directly to the lungs     of a subject, at times bolstered by helium.</t>
  </si>
  <si>
    <t>US20210308001</t>
  </si>
  <si>
    <t>Shockwave and Pressure Waves for Treatment of Virus or Bacteria-Induced     Effects in Human or Animal Lungs</t>
  </si>
  <si>
    <t>17/221562</t>
  </si>
  <si>
    <t>SANUWAVE, INC.</t>
  </si>
  <si>
    <t>SANUWAVE</t>
  </si>
  <si>
    <t>Cioanta; Iulian; (Milton, GA)</t>
  </si>
  <si>
    <t>A61H 2203/03 20130101;  A61B 2017/00809 20130101;  A61B 17/22012 20130101;  A61B 2017/22025 20130101;  A61H 23/008 20130101</t>
  </si>
  <si>
    <t>Shockwaves or modulated pressure waves are applied to targeted lung     tissue of humans or animals, including lung tissue having a viral or     bacterial infection or a chronic lung condition, to destroy or render     innocuous different pathogens and treat the underlying chronic or acute     medical conditions.</t>
  </si>
  <si>
    <t>US20210307987</t>
  </si>
  <si>
    <t>Negative Pressure Isolation Pods</t>
  </si>
  <si>
    <t>17/223777</t>
  </si>
  <si>
    <t>HOLY NAME MEDICAL CENTER INC</t>
  </si>
  <si>
    <t>HOLY NAME MEDICAL CENTER</t>
  </si>
  <si>
    <t>Mosser; Steven; (Long Valley, NJ)</t>
  </si>
  <si>
    <t>A61G 10/005 20130101;  A61G 10/023 20130101</t>
  </si>
  <si>
    <t>Negative pressure isolation devices are disclosed to remove exhaled air     from patients and to vent such air to a filter or atmosphere to protect     medical personnel and others.</t>
  </si>
  <si>
    <t>US20210307985</t>
  </si>
  <si>
    <t>NEGATIVE PRESSURE AEROSOLIZATION MITIGATION DEVICES AND METHODS</t>
  </si>
  <si>
    <t>17/219330</t>
  </si>
  <si>
    <t>UNIVERSITY OF KANSAS</t>
  </si>
  <si>
    <t>UNIVERSITY KANSAS</t>
  </si>
  <si>
    <t>STAAB; Jared; (Lenexa, KS); BARTA; Brent; (Malcom, NE); FLYNN; Brigid; (Leawood, KS); KRAUSE; Tim; (Stilwell, KS); NACHTIGAL; Jay; (Leawood, KS)</t>
  </si>
  <si>
    <t>A61G 10/02 20130101;  A61G 10/005 20130101</t>
  </si>
  <si>
    <t>An aerosolization mitigation device is provided. The aerosolization     mitigation device can include a negative pressure aerosolization     mitigation system. A transparent barrier can form a frame of the system,     and a negative pressure can be generated in the internal volume. The     device can isolate a patient to allow ambulatory, surgical, and routine     care to proceed during periods of higher patient volume or viral     transmission. The negative pressure environment mitigates viral     transmission to protect healthcare providers and others in the vicinity     of the patient from health risks during patient care.</t>
  </si>
  <si>
    <t>US20210307984</t>
  </si>
  <si>
    <t>Mobile Screening and Utility Unit (MSUU)</t>
  </si>
  <si>
    <t>16/919387</t>
  </si>
  <si>
    <t>AKERS RONNIE</t>
  </si>
  <si>
    <t>Akers; Ronnie; (Columbus, GA)</t>
  </si>
  <si>
    <t>The Mobile Screening and Utility Unit (MSUU) serves as an additional,     exposure-reducing, enclosed barrier for screeners. The MSUU reduces     contracting any virus such as COVID-19 by person-to-person contact or     aerosol means from symptomatic or asymptomatic patients while the     screener is inside the unit. Key features are: reusable, wheel-based     (used in/outside), and sanitized/disinfected using methods endorsed by     the Centers for Disease Control and Prevention (thus reducing the need     for expensive PPE). The unit front has a clear/transparent pane for     visual acuity and two protective sleeves and pouch. The screener enters     the unit from the rear, zips it shut, then moves forward to insert his or     her arms through the sleeves and look through the pane. Screening is     performed with minimal to no exposure to the screener. The screener can     easily communicate without the use of additional audio equipment. Seated     configurations are available that can be used with or without tables.</t>
  </si>
  <si>
    <t>US20210307872</t>
  </si>
  <si>
    <t>17/220690</t>
  </si>
  <si>
    <t>V2 Engineering Group LLC dba A/X Medical</t>
  </si>
  <si>
    <t>V2 ENGINEERING DBA A/X MEDICAL</t>
  </si>
  <si>
    <t>VIZULIS; Karlis; (Ada, MI); SMITH, JR.; James Edward; (West Olive, MI)</t>
  </si>
  <si>
    <t>A61B 2090/401 20160201;  A61M 16/0488 20130101;  A61B 90/40 20160201</t>
  </si>
  <si>
    <t>A chamber for placement over a patient while allowing medical personnel     to perform various medical procedures releasing virus, bacteria, or other     contaminants, such as tracheal intubation, on the patient, including a     frame forming and supporting two sidewalls and a curved center portion     extending between the sidewalls of a transparent body, wherein the body     includes at least one access hole, and wherein the chamber surrounds the     patient's head and one of the sidewalls deforms around the patient's body     in order to capture and exhaust any of the virus, bacteria, or other     contaminants released by the patient during the medical procedure. A     method of using the chamber of to perform a medical procedure on a     patient releasing virus, bacteria, or other contaminants.</t>
  </si>
  <si>
    <t>US20210307701</t>
  </si>
  <si>
    <t>PREDICTING SUSCEPTIBILITY OF LIVING ORGANISMS TO MEDICAL CONDITIONS USING     MACHINE LEARNING MODELS</t>
  </si>
  <si>
    <t>17/229315</t>
  </si>
  <si>
    <t>A61B 5/7267 20130101;  A61B 5/021 20130101;  A61B 5/14546 20130101;  A61B 5/14542 20130101;  A61B 5/4869 20130101;  A61B 5/7275 20130101;  G16H 50/20 20180101;  A61B 5/0022 20130101;  A61B 5/0205 20130101;  A61B 5/091 20130101;  A61B 2560/0242 20130101;  G16H 50/70 20180101;  G06N 20/00 20190101;  G16H 10/20 20180101;  A61B 5/4806 20130101;  G16H 10/60 20180101</t>
  </si>
  <si>
    <t>Embodiments of the present disclosure generally relate to methods for     analyzing outcomes of illnesses, such as COVID-19, on living organisms.     More particularly, embodiments of the present disclosure relate to     methods for identifying risk of illness based on genetic markers and     other available data, predicting results of mass exposure to an Illness     based on a populations genomes and other available data, and providing     indicators and methods of visualization for probability of illness in any     living organism.</t>
  </si>
  <si>
    <t>US20210307700</t>
  </si>
  <si>
    <t>17/207434</t>
  </si>
  <si>
    <t>A61B 5/7267 20130101;  G16H 10/20 20180101;  A61B 5/14546 20130101;  A61B 5/14542 20130101;  A61B 5/4869 20130101;  A61B 5/7275 20130101;  G16H 50/20 20180101;  A61B 5/0022 20130101;  A61B 5/0205 20130101;  A61B 5/091 20130101;  A61B 2560/0242 20130101;  G06N 20/00 20190101;  G16H 50/70 20180101;  A61B 5/4806 20130101;  A61B 5/021 20130101;  G16H 10/60 20180101</t>
  </si>
  <si>
    <t>US20210307683</t>
  </si>
  <si>
    <t>Systems and Methods for Remote Patient Screening and Triage</t>
  </si>
  <si>
    <t>17/112074</t>
  </si>
  <si>
    <t>Sleep Number Corp.</t>
  </si>
  <si>
    <t>SLEEP NUMBER</t>
  </si>
  <si>
    <t>Sayadi; Omid; (San Jose, CA); Young; Steven Jay; (Los Gatos, CA); Hewitt; Carl; (San Jose, CA)</t>
  </si>
  <si>
    <t>A61B 2562/0247 20130101;  G16H 50/30 20180101;  G06F 21/602 20130101;  A61B 5/749 20130101;  G16H 20/70 20180101;  A61B 5/0205 20130101;  A61B 5/0823 20130101;  G06F 21/6245 20130101;  A61B 5/11 20130101;  A61B 2562/0204 20130101;  A61B 5/4803 20130101;  A61B 5/0022 20130101;  A61B 5/0816 20130101;  A61B 5/4842 20130101;  G16H 50/20 20180101;  A61B 5/01 20130101;  A61B 5/6887 20130101;  G10L 25/78 20130101;  A61B 7/003 20130101;  A61B 5/7203 20130101;  A61B 5/7267 20130101;  G16H 40/67 20180101;  A61B 5/14542 20130101;  G16H 40/63 20180101;  A61B 5/4818 20130101;  A61B 5/7405 20130101;  G10L 2015/223 20130101;  A61B 5/746 20130101;  A61B 5/024 20130101;  A61B 5/021 20130101;  A61B 2562/0219 20130101;  A61B 5/4815 20130101;  G10L 15/1815 20130101;  G10L 15/22 20130101;  G10L 25/66 20130101;  A61B 5/747 20130101</t>
  </si>
  <si>
    <t>A system for short-term screening and triage of a subject includes a     smart device in the subject's possession and an application on the smart     device programmed to provide instructions to the subject to start a     screening procedure, the application programmed with multiple screening     procedures, and record sensor data obtained from a sensor located in the     smart device.</t>
  </si>
  <si>
    <t>US20210307636</t>
  </si>
  <si>
    <t>REAL TIME ELECTRONIC/DIAGNOSTIC DEVICE FOR COVID-19 AND OTHER DISEASES</t>
  </si>
  <si>
    <t>17/220769</t>
  </si>
  <si>
    <t>ANAPOLE TECHNOLOGIES INC.</t>
  </si>
  <si>
    <t>ANAPOLE</t>
  </si>
  <si>
    <t>Botsford; Stephen F.; (Barrington, IL); Seltser; Vitaly M.; (Zelenaya, RU); Startari; Joseph F.; (North Royalton, OH)</t>
  </si>
  <si>
    <t>G01R 23/16 20130101;  A61B 5/055 20130101;  A61N 2/004 20130101;  G16H 50/00 20180101;  G01R 1/025 20130101</t>
  </si>
  <si>
    <t>An electromagnetic resonance-based disease detecting system may     comprising a spectrum analyzer assembly comprised of one of a spectrum     analyzer with an internal tracking generator or a spectrum analyzer with     a separate signal generator, a radiating antenna electronically connected     to the spectrum analyzer assembly output and configured to radiate a     subject with an electromagnetic field based on a resonant frequency     signal, wherein radiating a subject with the electromagnetic field     generates a subject spectrum; a receiving antenna configured to receive     the subject spectrum; a spectrum analyzer electronically connected to the     receiving antenna and configured to receive the subject spectrum from the     receiving antenna; and a processor, the processor being operatively     connected to the spectrum analyzer assembly, the radiating antenna, the     receiving antenna, and the spectrum analyzer, wherein the processor is     configurable to store and control the resonant frequency signal generated     by the spectrum analyzer assembly output control the electromagnetic     field radiated from the radiating antenna; and, compare the received     subject spectrum to the generated resonant frequency signal using the     spectrum analyzer assembly input controlled by the processor to determine     an absence or a presence of the disease condition without the use of     chemical reagents or testing supplies.</t>
  </si>
  <si>
    <t>US20210307614</t>
  </si>
  <si>
    <t>SYSTEMS AND METHODS FOR DETECTING INFECTIOUS PATHOGENS</t>
  </si>
  <si>
    <t>17/195739</t>
  </si>
  <si>
    <t>KALIGIA BIOSCIENCES, LLC</t>
  </si>
  <si>
    <t>KALIGIA BIOSCIENCES</t>
  </si>
  <si>
    <t>Fazlin; Fazal A; (St. Petersburg, FL); Zhdanov; Arsenii; (Clearwater, FL); Bunch; Keith Michael; (Holiday, FL)</t>
  </si>
  <si>
    <t>G16H 50/80 20180101;  A61B 10/0051 20130101;  A61B 5/7264 20130101;  G16H 50/30 20180101;  A61B 5/0075 20130101</t>
  </si>
  <si>
    <t>Methods and systems are provided for detecting infectious pathogens in a     saliva sample by using a Raman spectrometer to obtain Raman spectrum data     of the saliva sample. A score is determined based on the Raman spectrum     data using a machine learning, the score indicates whether an infectious     pathogen is present in the saliva sample. In certain aspects, the methods     and systems operate to determine if an individual is infected with     COVID-19 based on Raman spectrum data of a saliva sample of the     individual.</t>
  </si>
  <si>
    <t>US20210307430</t>
  </si>
  <si>
    <t>SAFER SHIELD COPPER INFUSED GRAPHENE FACE MASK</t>
  </si>
  <si>
    <t>17/220648</t>
  </si>
  <si>
    <t>RUBIO REY J</t>
  </si>
  <si>
    <t>RUBIO REY</t>
  </si>
  <si>
    <t>Rubio; Rey Jesus; (Miami, FL); Childers; Jeffrey Matthew; (Miami, FL)</t>
  </si>
  <si>
    <t>B01D 46/0028 20130101;  B01D 2239/0258 20130101;  B01D 2239/025 20130101;  A41D 13/1192 20130101</t>
  </si>
  <si>
    <t>A reusable face mask for covering the mouth and nose of a wearer to     prevent the passage of pathogenic biological airborne particulates. The     mask has three layers including a filter material made of graphene and     infused with activated copper carbon. A Bluetooth transmitter wirelessly     transmits a continuous frequency of 2.4 GHz to destroy and prevent the     passage of any human pathogens from entering, while freely allowing the     passage of air in both directions.</t>
  </si>
  <si>
    <t>US20210307429</t>
  </si>
  <si>
    <t>GRAPHENE FOAM-BASED ANTIVIRAL FILTRATION ELEMENT AND FILTRATION DEVICES     CONTAINING SAME</t>
  </si>
  <si>
    <t>16/839847</t>
  </si>
  <si>
    <t>A41D 13/1192 20130101;  B32B 2535/00 20130101;  B32B 9/007 20130101;  A41D 13/1161 20130101;  B32B 7/12 20130101;  B32B 2307/72 20130101;  B32B 9/047 20130101;  B32B 2250/03 20130101;  B32B 5/18 20130101;  B32B 2307/7145 20130101;  B32B 5/245 20130101</t>
  </si>
  <si>
    <t>Provided is an face mask comprising: (a) a mask body configured to cover     at least wearer's mouth and nose; and (b) a fastener to hold the mask in     place on the wearer; wherein the mask body includes (i) an air-permeable     outer layer preferably comprising a hydrophobic material (e.g.     water-repelling fibers), (ii) an inner layer located on a wearer's side     when the mask is worn, and (iii) a graphene foam layer disposed in the     mask body between the outer layer and the inner layer or embedded     (totally or partially) in the outer layer or the inner layer. The foam     pore wall graphene surfaces may be deposited with an antiviral or     anti-bacteria compound.</t>
  </si>
  <si>
    <t>US20210307428</t>
  </si>
  <si>
    <t>ANTIVIRAL FILTRATION ELEMENT AND FILTRATION DEVICES CONTAINING SAME</t>
  </si>
  <si>
    <t>16/839827</t>
  </si>
  <si>
    <t>A41D 13/1192 20130101;  B01D 46/0028 20130101;  C01P 2006/10 20130101;  C01B 2204/32 20130101;  B01D 2239/0618 20130101;  B01D 2239/0478 20130101;  C01B 32/194 20170801;  B01D 39/083 20130101;  B01D 46/0036 20130101;  C01P 2004/24 20130101;  B01D 2239/0442 20130101;  C01P 2006/12 20130101;  B01D 2239/0407 20130101;  C01B 2204/02 20130101;  A62B 23/025 20130101;  C01B 32/19 20170801;  A41D 13/1161 20130101</t>
  </si>
  <si>
    <t>Provided is an face mask comprising: (a) a mask body configured to cover     at least wearer's mouth and nose; and (b) a fastener to hold the mask in     place on the wearer; wherein the mask body includes (i) an air-permeable     outer layer preferably comprising a hydrophobic material (e.g.     water-repelling fibers), (ii) an inner layer located on a wearer's side     when the mask is worn, and (iii) a graphene layer disposed in the mask     body, wherein the graphene layer comprises a plurality of discrete     single-layer or few-layer graphene sheets selected from pristine     graphene, graphene oxide, reduced graphene oxide, graphene fluoride,     graphene chloride, graphene bromide, graphene iodide, hydrogenated     graphene, nitrogenated graphene, doped graphene, chemically     functionalized graphene, or a combination thereof. The graphene layer may     be disposed between the outer layer and the inner layer or embedded     (totally or partially) in the outer layer or the inner layer.</t>
  </si>
  <si>
    <t>US20210307426</t>
  </si>
  <si>
    <t>PROTECTIVE FACE SHIELD</t>
  </si>
  <si>
    <t>17/201074</t>
  </si>
  <si>
    <t>THE C. W. ZUMBIEL COMPANY</t>
  </si>
  <si>
    <t>THE ZUMBIEL</t>
  </si>
  <si>
    <t>Block; Steven J.; (Amelia, OH); Zumbiel; Edward A.; (Union, KY)</t>
  </si>
  <si>
    <t>A face shield to protect an individual from being spayed in the face and     against inhaling germs and other foreign bodies is also disposable after     use. The face shield is adapted to be mounted on the head of a user and     provides sufficient space for the user to don eyeglasses and a mask. The     face shield may be made of a disposable sheet of relatively thin     paperboard and includes a window for viewing by the user. The face shield     can be inexpensively and quickly manufactured in significant quantities.     This enables the face shield to be removed and discarded after a single     use and replaced by an identical face shield.</t>
  </si>
  <si>
    <t>US20210307422</t>
  </si>
  <si>
    <t>PROTECTIVE RESPIRATORS AND A METHOD OF MAKING A PROTECTIVE RESPIRATOR</t>
  </si>
  <si>
    <t>17/221233</t>
  </si>
  <si>
    <t>Dion, Genevieve; Hamilton, Richard J.; Stoltzfus, Amy L.; Amanatides, Chelsea E.; Taylor, Keith; Cline, Leighton; Schade, Sol</t>
  </si>
  <si>
    <t>DION GENEVIEVE</t>
  </si>
  <si>
    <t>Dion; Genevieve; (Philadelphia, PA); Hamilton; Richard J.; (Jenkintown, PA); Stoltzfus; Amy L.; (Kirkland, WA); Amanatides; Chelsea E.; (Philadelphia, PA); Taylor; Keith; (Philadelphia, PA); Cline; Leighton; (Philadelphia, PA); Schade; Sol; (Philadelphia, PA)</t>
  </si>
  <si>
    <t>A62B 9/06 20130101;  A41D 13/1161 20130101;  A41D 2500/10 20130101;  A41D 13/1192 20130101</t>
  </si>
  <si>
    <t>A personal protective respirator comprising a facepiece housing     configured to cover the nose and mouth and conform to a face of an     intended wearer along a perimeter of the facepiece housing and at least     two straps, wherein the facepiece housing and the straps consist of a     knitted material and the facepiece housing conforms to the face of the     intended wearer such that sufficient fit is achieved to attain a fit     factor of at least 100 on the intended wearer according to OSHA fit     testing procedures. Also, a personal protective respirator comprising a     face portion configured to cover a nose and mouth of an intended wearer     and to conform to a face of the intended wearer and at least four straps,     wherein the mask meets NIOSH requirements for N95 respirator performance     and maintains this level of performance after being washed. Finally, a     method for making the noted personal protective respirators.</t>
  </si>
  <si>
    <t>US20210307421</t>
  </si>
  <si>
    <t>HEADGEAR SHIELD</t>
  </si>
  <si>
    <t>17/220266</t>
  </si>
  <si>
    <t>ACERA LLC</t>
  </si>
  <si>
    <t>ACERA</t>
  </si>
  <si>
    <t>ROOT; Thomas V.; (Beverly, MA); EPSTEIN; Stephen D.; (Millersville, MD); EPSTEIN; Michael S.; (Annapolis, MD)</t>
  </si>
  <si>
    <t>In one aspect, a headgear shield is disclosed, which includes a clip for     removable and replaceable coupling to a headgear, and a face shield     configured for coupling to said clip for at least partially providing a     barrier between a face of an individual wearing the headgear and an     ambient environment.</t>
  </si>
  <si>
    <t>US20210307419</t>
  </si>
  <si>
    <t>Adjustable Face Mask</t>
  </si>
  <si>
    <t>16/875853</t>
  </si>
  <si>
    <t>BELLA + CANVAS, LLC</t>
  </si>
  <si>
    <t>BELLA CANVAS</t>
  </si>
  <si>
    <t>Harris; Daniel; (Los Angeles, CA); DeGeorge; Marco; (Los Angeles, CA); Lowitz; Tory; (Los Angeles, CA)</t>
  </si>
  <si>
    <t>A41D 31/102 20190201;  A41D 31/305 20190201;  A41D 31/125 20190201;  A62B 23/025 20130101;  A62B 18/025 20130101;  A41D 31/145 20190201;  A41D 13/1161 20130101</t>
  </si>
  <si>
    <t>Embodiments disclosed herein are directed to an adjustable face mask     including a body formed of one or more panels of material, and includes     one or more sets of ear apertures. The face mask can include an outer set     of ear apertures disposed further from a central vertical axis and an     inner set of ear apertures disposed closer to the central vertical axis.     A user can select the set of ear apertures that is most comfortable for     insertion of the ears to secure the face mask to the user's face. The     adjustable face mask can be formed from a single piece of material     without any need for sewing, stitching, or the like. The face mask can     further include one or more materials that display one of antimicrobial     properties, moisture absorbent properties, moisture wicking properties,     or water repellent properties.</t>
  </si>
  <si>
    <t>US20210307418</t>
  </si>
  <si>
    <t>17/352340</t>
  </si>
  <si>
    <t>Bryan; Allen; (Redwood City, CA); Cao; Arianna L.; (San Jose, CA); Li; Rita; (Woodbury, MN); Yang; Yaxuan; (Short Hills, NJ); Cao; Aidan T.; (San Jose, CA); Boswell; William Harrod; (Frankfort, KY)</t>
  </si>
  <si>
    <t>A62B 18/10 20130101;  A62B 7/02 20130101;  A41D 13/1184 20130101;  A41D 2300/32 20130101;  A41D 27/28 20130101;  A41D 2300/332 20130101;  A41D 31/30 20190201;  A41D 13/002 20130101;  A41D 2300/322 20130101;  A41D 2500/30 20130101;  A41D 13/1153 20130101</t>
  </si>
  <si>
    <t>A personal protective device (PPE) comprising a face cover assembly and a     bodysuit configured to be worn by a human user. The device protects users     against airborne aerosol particles containing viruses or other infectious     agents while enabling improved flexibility relative to prior art designs.     The device includes a helmet-like" rotating face cover assembly that fits     over the user's head and attaches to a collar on the biohazard bodysuit.     This rotating face cover assembly has a plurality of different mask     sides, each with differing geometries or other properties. The device     enables a user to can rotate the cover and select a given mask side that     best meets that user's needs. The different mask sides can accommodate     different facial geometries, eyewear types, and use cases.</t>
  </si>
  <si>
    <t>US20210307415</t>
  </si>
  <si>
    <t>PROTECTIVE FACE MASK</t>
  </si>
  <si>
    <t>17/039240</t>
  </si>
  <si>
    <t>SAVAGE BRANDS, INC. (DBA SAVAGE SHIELD)</t>
  </si>
  <si>
    <t>SAVAGE BRANDS</t>
  </si>
  <si>
    <t>Scalisi; Joseph Frank; (Yorba Linda, CA)</t>
  </si>
  <si>
    <t>A41D 13/1161 20130101;  A62B 23/025 20130101;  A41D 13/1138 20130101</t>
  </si>
  <si>
    <t>A protective face mask may comprise an outer housing including a first     plurality of ventilation holes, and an inner housing detachably coupled     to the outer housing, the inner housing configured to cover a nose and a     mouth of a user, the inner housing including a second plurality of     ventilation holes. The protective face mask may also include a     replaceable filter configured to be received in a space between the inner     housing and the outer housing. In some embodiments, the protective face     mask includes a sensor unit coupled to at least one of the inner housing     and the outer housing, the sensor unit configured to detect a presence of     a contaminant on the replaceable filter.</t>
  </si>
  <si>
    <t>US20210306808</t>
  </si>
  <si>
    <t>SYSTEMS AND METHODS FOR DIGITAL CONTACT TRACING</t>
  </si>
  <si>
    <t>17/219302</t>
  </si>
  <si>
    <t>CONTAKT LLC</t>
  </si>
  <si>
    <t>CONTAKT</t>
  </si>
  <si>
    <t>BECK; Justin S.; (Oceanside, CA)</t>
  </si>
  <si>
    <t>H04W 4/025 20130101;  H04W 12/63 20210101;  H04W 4/029 20180201;  H04W 4/023 20130101</t>
  </si>
  <si>
    <t>A user system comprising: at least one hardware processor; and one or     more software modules that are configured to, when executed by the at     least one hardware processor, download an application to the user system;     obtain an identifier for the user system; generate a plurality of pings     to detect other nearby user systems; receive a response to one of the     plurality of pings from another user system; exchange contact data with     the responding user system; store the contact data for the responding     user system; and receive a digital handshake indicated, based on the     stored contact data that a user of the user system may be at risk.</t>
  </si>
  <si>
    <t>US20210306797</t>
  </si>
  <si>
    <t>SYSTEMS, METHODS AND DEVICES FOR DETERMINING SOCIAL DISTANCING COMPLIANCE     AND EXPOSURE RISKS AND FOR GENERATING CONTAGION ALERTS</t>
  </si>
  <si>
    <t>17/208551</t>
  </si>
  <si>
    <t>Johnson; Sam; (Largo, FL); Johnson; Devin; (Largo, FL)</t>
  </si>
  <si>
    <t>H04W 4/90 20180201;  H04W 4/12 20130101;  H04W 4/023 20130101;  H04W 4/029 20180201</t>
  </si>
  <si>
    <t>A personal safety system is configured to receive and store information     regarding a plurality of users, such as location information and health     status information. The system determines compliance with social     distancing guidelines, such as by comparing the locations of users to     determine the distance between them. Upon receiving notice of contagion     from a user, proximate users to the user may be notified. The system     provide assessments, such as scores, of social distancing compliance     and/or risk or exposure. A wearable device is configured to provide     personal distance and inoculation indicators.</t>
  </si>
  <si>
    <t>US20210304901</t>
  </si>
  <si>
    <t>SYSTEMS AND  METHODS FOR IDENTIFYING AND ISOLATING PERSONS SUSPECTED OF     HAVING AN INFECTIOUS DISEASE</t>
  </si>
  <si>
    <t>17/211349</t>
  </si>
  <si>
    <t>PAL; Biplab; (Ellicott City, MD)</t>
  </si>
  <si>
    <t>G16H 50/80 20180101;  H04W 4/029 20180201;  G16H 10/60 20180101;  A61B 5/01 20130101;  G08B 21/182 20130101</t>
  </si>
  <si>
    <t>Systems and processes are provided for managing epidemic and pandemic     disease populations by individually scanning persons in a pre-selected     retention space, to identify persons having body temperatures in excess     of a predetermined level. Such persons are prompted to register, and are     instructed to self-quarantine at the address provided during the     registration process. The location of the registered person subsequently     is tracked to ensure that the person remains at the registered location     during the quarantine period. The registration information can be     provided to health and law enforcement authorities to help control the     spread of the disease population.</t>
  </si>
  <si>
    <t>US20210304900</t>
  </si>
  <si>
    <t>METHOD AND APPARATUS FOR PREDICTING TRANSMISSION OF AN INFECTIOUS DISEASE,     COMPUTER APPARATUS AND STORAGE MEDIUM</t>
  </si>
  <si>
    <t>16/928689</t>
  </si>
  <si>
    <t>Song; Xuan; (Shenzhen, CN); Fan; Zipei; (Shenzhen, CN); Zhang; Zhiwen; (Shenzhen, CN); Yang; Chuang; (Shenzhen, CN); Liu; Yinghao; (Shenzhen, CN); Jiang; Renhe; (Shenzhen, CN); Chen; Quanjun; (Shenzhen, CN); Shibasaki; Ryosuke; (Shenzhen, CN)</t>
  </si>
  <si>
    <t>G16H 50/70 20180101;  G16H 50/80 20180101</t>
  </si>
  <si>
    <t>A method and apparatus for predicting transmission of an infectious     disease, a computer apparatus, and a storage medium. The method includes     determining one or more objects to be predicted, matching in a historical     travel path database for a corresponding predicted path of each of the     one or more objects to be predicted, and determining a transmission trend     of the infectious disease in the one or more objects to be predicted     based on the predicted travel paths. The predicted travel path of each     object to be predicted is matched in the historical travel path database     thus achieving the effect of reducing the computation amount of obtaining     the predicted travel path.</t>
  </si>
  <si>
    <t>US20210304897</t>
  </si>
  <si>
    <t>INDIVIDUAL RISK AVERSION THROUGH BIOMETRIC IDENTIFICATION</t>
  </si>
  <si>
    <t>16/828314</t>
  </si>
  <si>
    <t>Cheema; Kamaldeep Singh; (Woodbridge, CA); Finn; Peter George; (Markham, CA); Mamaparo; Moeenqaisar; (Richmond Hill, CA); Cao; Yang; (Markham, CA)</t>
  </si>
  <si>
    <t>G16H 20/00 20180101;  G16H 50/80 20180101;  G16H 50/70 20180101;  G16H 40/20 20180101;  G16H 50/30 20180101;  G16H 10/60 20180101</t>
  </si>
  <si>
    <t>A processor can obtain a biometric scan of a first user and a second user     wherein the first user and the second user are within a predetermined     geographical location. The processor can identify one or more records     associated with the first user and one or more records associated with     the second user based on the biometric scan. The processor can analyze     the one or more records associated with the first user and the one or     more records associated with the second user. The processor can     determine, from the analyzing, whether a risk threshold is exceeded. The     processor can display an alert to the first user and the second user.</t>
  </si>
  <si>
    <t>US20210304858</t>
  </si>
  <si>
    <t>SECURE CERTIFICATE VALIDATION SYSTEM AND METHOD FOR USE WITH ELECTRONIC     HEALTHCARE RECORDS AND OTHER APPLICATIONS</t>
  </si>
  <si>
    <t>17/217762</t>
  </si>
  <si>
    <t>LACY CLIFTON R</t>
  </si>
  <si>
    <t>LACY CLIFTON</t>
  </si>
  <si>
    <t>LACY; Clifton R.; (Highland Park, NJ)</t>
  </si>
  <si>
    <t>G16H 50/80 20180101;  G16H 10/60 20180101;  G16H 10/40 20180101;  G06F 21/45 20130101</t>
  </si>
  <si>
    <t>Systems and processes for verifying and authenticating a certification or     status associated with an individual are described herein. A certificate     verification system for COVID-19 verification can include a camera, a     database, and a computer system coupled to the camera and the database.     The computer system receive a COVID-19 status associated with an     individual, wherein the COVID-19 status comprises at least one of a test     result or a vaccination status associated with COVID-19, capture, via the     camera, an image of the individual, record, in the database, the COVID-19     status and the image associated with the individual, and provide the     individual with a record retrieval resource associated with the user     profile for retrieving the status and the image of the individual.</t>
  </si>
  <si>
    <t>US20210304856</t>
  </si>
  <si>
    <t>UNIVERSAL HOME TESTING SYSTEM FOR INFECTIOUS DISEASES</t>
  </si>
  <si>
    <t>17/216451</t>
  </si>
  <si>
    <t>Miller, Agustin Ruiz; Charalambous, Zen; Giorgallides, Georgios</t>
  </si>
  <si>
    <t>MILLER AGUSTIN</t>
  </si>
  <si>
    <t>Miller; Agustin Ruiz; (West Hollywood, CA); Charalambous; Zen; (Miami, FL); Giorgallides; Georgios; (Las Vegas, NV)</t>
  </si>
  <si>
    <t>G06K 7/1413 20130101;  G16H 10/40 20180101;  G06K 7/1417 20130101;  G06F 21/602 20130101</t>
  </si>
  <si>
    <t>A device and system used to enhance at-home medical test kits so that it     provides the ability for a third-party system to capture test results,     interacted contacts and other valuable information such as symptoms     experienced. The goals are to provide the captured information to health     authorities, medical partners and use it to execute contact tracing.</t>
  </si>
  <si>
    <t>US20210304420</t>
  </si>
  <si>
    <t>APPARATUS AND METHOD FOR PROTECTING AGAINST ENVIRONMENTAL HAZARDS</t>
  </si>
  <si>
    <t>17/215319</t>
  </si>
  <si>
    <t>HS VK IDEA FACTORY LLC</t>
  </si>
  <si>
    <t>HS IDEA FACTORY</t>
  </si>
  <si>
    <t>KRUNIC; Veljko; (Westminster, CO); Stella; Helen; (Westminster, CO)</t>
  </si>
  <si>
    <t>G06T 7/248 20170101;  G06T 2207/30204 20130101;  G06T 7/12 20170101;  G06K 9/00355 20130101;  G06T 2207/30196 20130101</t>
  </si>
  <si>
    <t>The disclosures are directed to methods and apparatuses that allow for     one or more of personal sanitizing/decontamination of a user, prevention     of the touching of exposed parts of the user's body, tracking of surface     sanitizing/decontamination status, tracking of the interpersonal     distance, and sanitization of personal electronics (e.g., a mobile     phone). In addition, data relating to a user's usage of the various     components of the system may be tracked, and artificial intelligence (AI)     techniques may be employed to mine for patterns of user behavior in the     system.</t>
  </si>
  <si>
    <t>US20210304408</t>
  </si>
  <si>
    <t>Assessment of Abnormality Regions Associated with a Disease from Chest CT     Images</t>
  </si>
  <si>
    <t>16/837979</t>
  </si>
  <si>
    <t>Chaganti; Shikha; (Princeton, NJ); Grbic; Sasa; (Plainsboro, NJ); Georgescu; Bogdan; (Princeton, NJ); Xu; Zhoubing; (Plainsboro, NJ); Liu; Siqi; (Princeton, NJ); Yoo; Youngjin; (Princeton, NJ); Re; Thomas; (Monroe, NJ); Chabin; Guillaume; (Paris, FR); Flohr; Thomas; (Uehlfeld, DE); Ziebandt; Valentin; (Nuremberg, DE); Comaniciu; Dorin; (Princeton Junction, NJ); Teixeira; Brian; (Lawrence Township, NJ); Piat; Sebastien; (Lawrence Township, NJ)</t>
  </si>
  <si>
    <t>A61B 5/055 20130101;  G06T 2207/30061 20130101;  A61B 8/5223 20130101;  G06T 2207/10081 20130101;  G06T 7/11 20170101;  A61B 6/5217 20130101;  G06T 11/008 20130101;  G06T 7/0016 20130101</t>
  </si>
  <si>
    <t>Systems and methods for assessing a disease are provided. Medical imaging     data of lungs of a patient is received. The lungs are segmented from the     medical imaging data and abnormality regions associated with a disease     are segmented from the medical imaging data. An assessment of the disease     is determined based on the segmented lungs and the segmented abnormality     regions. The disease may be COVID-19 (coronavirus disease 2019) or     diseases, such as, e.g., SARS (severe acute respiratory syndrome), MERS     (Middle East respiratory syndrome), or other types of viral and non-viral     pneumonia.</t>
  </si>
  <si>
    <t>US20210304406</t>
  </si>
  <si>
    <t>Rapid Illness Screening of a Population Using Computer Vision and     Multispectral Data</t>
  </si>
  <si>
    <t>17/209999</t>
  </si>
  <si>
    <t>JAR SCIENT LLC</t>
  </si>
  <si>
    <t>JAR SCIENT</t>
  </si>
  <si>
    <t>Starr; Justin; (Baden, PA); Basuray; Ashish; (Petaluma, CA); Kazantsev; Roman; (Fremont, CA); Reiss; Randolf; (Dripping Springs, TX)</t>
  </si>
  <si>
    <t>G06T 2207/20081 20130101;  G06T 2207/20084 20130101;  G01K 1/026 20130101;  G06T 7/0014 20130101;  G06F 3/017 20130101;  G06T 2207/30196 20130101</t>
  </si>
  <si>
    <t>An embodiment provides a method including obtaining, using a camera     system, imagery of one or more individuals in an environment; analyzing,     using a processor, the individual data using a trained model to identify     individuals and recognize gestures that are indicative of sickness     behavior; presenting, using a display device, information about     individuals that have displayed sickness behavior above a calculated     threshold.</t>
  </si>
  <si>
    <t>US20210302436</t>
  </si>
  <si>
    <t>Method, Systems, and a Kit for Detection, Diagnosis, Monitoring and     Treatment of COVID-19</t>
  </si>
  <si>
    <t>17/075470</t>
  </si>
  <si>
    <t>BASELINE BIOSCIENCE, INC.</t>
  </si>
  <si>
    <t>BASELINE BIOSCIENCE</t>
  </si>
  <si>
    <t>Rai; Balwant; (Dragor, DK); Kaur; Jasdeep; (Dragor, DK)</t>
  </si>
  <si>
    <t>G01N 33/56983 20130101;  G01N 21/6428 20130101;  G01N 2333/5428 20130101;  G01N 33/6893 20130101;  G01N 2333/57 20130101;  G01N 2333/61 20130101;  G01N 2333/5412 20130101;  G01N 33/54306 20130101</t>
  </si>
  <si>
    <t>Methods, systems, and kits for detection, diagnosis, monitoring, and/or     treatment of viral infections such as represented by the COVID-19 disease     are described. The methods, systems, and kits are capable of detection of     salivary biomarkers which correlate with, and are indicative of, COVID-19     in a subject. Detection of the biomarkers in a saliva sample provides     opportunities for a COVID-19 or other viral detection assay which is     non-invasive, produces rapid results, and can be implemented in the field     on a wide geographic basis for individualized screening or mass     screenings for COVID-19 or other viral infections.</t>
  </si>
  <si>
    <t>US20210302434</t>
  </si>
  <si>
    <t>SARS-COV-2 SURROGATE VIRUS NEUTRALIZATION ASSAY TEST KIT</t>
  </si>
  <si>
    <t>16/939405</t>
  </si>
  <si>
    <t>G01N 33/6854 20130101;  G01N 2333/908 20130101;  G01N 2333/165 20130101;  G01N 2800/12 20130101</t>
  </si>
  <si>
    <t>US20210302428</t>
  </si>
  <si>
    <t>Secure Immunity Information Transmission System And Network</t>
  </si>
  <si>
    <t>17/239125</t>
  </si>
  <si>
    <t>SHUHARI GROUP, LLC</t>
  </si>
  <si>
    <t>SHUHARI</t>
  </si>
  <si>
    <t>Stone; Lucas; (Cheyenne, WY)</t>
  </si>
  <si>
    <t>G16H 10/60 20180101;  G16H 50/30 20180101</t>
  </si>
  <si>
    <t>A method for managing an immune pass includes receiving uploaded     immunization data for at least one individual, wherein the immunization     data comprises data indicating antibody levels for a particular virus.     The method also includes analyzing the immunization data to determine an     immune pass status for the at least one individual and generating an     immune pass for the at least one individual, wherein the immune pass     includes the immune pass status and personal identifiable information for     the at least one individual. The method further includes storing the     immune pass, verifying a request to retrieve the immune pass     corresponding to the at least one individual, and transmitting the immune     pass in response to verification of the request.</t>
  </si>
  <si>
    <t>US20210302427</t>
  </si>
  <si>
    <t>17/218088</t>
  </si>
  <si>
    <t>G01N 2333/165 20130101;  G01N 33/56983 20130101</t>
  </si>
  <si>
    <t>US20210301354</t>
  </si>
  <si>
    <t>VIRAL DETECTION USING TEMPLATE EMULSIFICATION</t>
  </si>
  <si>
    <t>17/210737</t>
  </si>
  <si>
    <t>FLUENT BIOSCIENCES INC.</t>
  </si>
  <si>
    <t>FLUENT BIOSCIENCES</t>
  </si>
  <si>
    <t>Kiani; Sepehr; (Watertown, MA)</t>
  </si>
  <si>
    <t>C12Q 1/6888 20130101;  C12Q 1/701 20130101;  C12Q 1/6869 20130101</t>
  </si>
  <si>
    <t>The disclosure provides methods and systems for multiplex viral detection     using monodisperse emulsion droplets and template particles.</t>
  </si>
  <si>
    <t>US20210301322</t>
  </si>
  <si>
    <t>Analytical Toilet for Detecting Viruses in Urine</t>
  </si>
  <si>
    <t>17/217797</t>
  </si>
  <si>
    <t>C12Q 1/686 20130101;  A47K 11/02 20130101;  C12Q 1/04 20130101</t>
  </si>
  <si>
    <t>The invention is an analytical toilet and a method. The toilet, includes     a bowl adapted to receive urine. A passage is provided for transferring a     sample of the urine to a detection system. The detection system is     configured to receive the sample and detect a virus. When the sample is     brought into contact with the detection system, the detection system     indicates the presence of a virus by generating a distinct signal.     Preferably, the detection system makes use of a nucleic acid     amplification test (NAAT), such as a quantitative PCR instrument. The     method makes use of the analytical toilet and is designed to detect the     presence or absence of targeted genetic material, preferably genetic     material from a virus, such as SARS-CoV-2.</t>
  </si>
  <si>
    <t>US20210301319</t>
  </si>
  <si>
    <t>PROTEASE ASSAYS AND THEIR APPLICATIONS</t>
  </si>
  <si>
    <t>17/213790</t>
  </si>
  <si>
    <t>C07K 2319/61 20130101;  C12Q 1/37 20130101;  C12N 9/503 20130101;  C07K 2319/50 20130101;  C12N 9/0069 20130101;  C12Q 1/66 20130101</t>
  </si>
  <si>
    <t>The application describes methods for detecting site specific proteases     indicative of infection by a protease-generating pathogen. The     application also describes fusion proteins for use in the methods, DNAs     encoding the proteins and cells that express them. Particular     applications are described including fusion proteins and methods for     detecting corona viruses,. such as SARS CoV2. Method for protease and pathogen detection described     in the application include protease amplification methods and methods     using inhibitors to increase sensitivity and specificity.</t>
  </si>
  <si>
    <t>US20210301295</t>
  </si>
  <si>
    <t>MULTIPLE RAPID DETECTION KITS AND METHODS FOR VARIOUS VIRUSES</t>
  </si>
  <si>
    <t>16/942666</t>
  </si>
  <si>
    <t>APOLLO BIOMEDICAL, LLC</t>
  </si>
  <si>
    <t>APOLLO BIOMEDICAL</t>
  </si>
  <si>
    <t>Fan; Chunlei; (HangZhou, CN)</t>
  </si>
  <si>
    <t>C07K 2319/60 20130101;  G01N 1/34 20130101;  C07K 2319/21 20130101;  C07K 2319/30 20130101;  C12P 19/34 20130101;  G01N 33/48735 20130101;  C07K 1/22 20130101;  C07K 14/47 20130101;  C12N 15/115 20130101;  C12N 15/62 20130101</t>
  </si>
  <si>
    <t>Novel Coronavirus/MERS-CoV/Influenza Virus A/B Multiple Rapid Detection     Kit is disclosed. The kit has the advantages of high sensitivity, good     specificity, high speed (3-15 minutes), simplicity and low cost.</t>
  </si>
  <si>
    <t>US20210301006</t>
  </si>
  <si>
    <t>METHODS OF TREATING ACUTE RESPIRATORY DISTRESS SYNDROME</t>
  </si>
  <si>
    <t>17/217953</t>
  </si>
  <si>
    <t>FIBROGEN, INC.</t>
  </si>
  <si>
    <t>FIBROGEN</t>
  </si>
  <si>
    <t>KOUCHAKJI; Elias; (San Francisco, CA)</t>
  </si>
  <si>
    <t>C12N 15/113 20130101;  A61K 45/06 20130101;  C07K 16/22 20130101;  A61P 11/00 20180101;  A61K 2039/505 20130101</t>
  </si>
  <si>
    <t>The invention relates to methods and agents useful for treating acute     respiratory distress syndrome (ARDS). Methods and agents for treating     various physiological and pathological features associated with ARDS are     also provided.</t>
  </si>
  <si>
    <t>US20210300999</t>
  </si>
  <si>
    <t>HUMAN MONOCLONAL ANTIBODIES TO SEVERE ACUTE RESPIRATORY SYNDROME     CORONAVIRUS 2 (SARS-CoV-2)</t>
  </si>
  <si>
    <t>17/212949</t>
  </si>
  <si>
    <t>CROWE, JR.; James E.; (Nashville, TN); ZOST; Seth; (Nashville, TN); CARNAHAN; Robert; (Nashville, TN); GILCHUK; Pavlo; (Nashville, TN)</t>
  </si>
  <si>
    <t>A61P 31/14 20180101;  C07K 16/10 20130101;  A61K 2039/507 20130101;  G01N 33/56983 20130101;  C07K 2317/76 20130101;  C07K 2317/94 20130101;  C07K 2317/565 20130101;  C07K 2317/55 20130101;  A61K 2039/505 20130101;  C07K 2317/52 20130101</t>
  </si>
  <si>
    <t>The present disclosure is directed to antibodies binding to and     neutralizing the coronavirus designated SARS-CoV-2 and methods for use     thereof.</t>
  </si>
  <si>
    <t>US20210300970</t>
  </si>
  <si>
    <t>COVID-19 VACCINE</t>
  </si>
  <si>
    <t>17/211379</t>
  </si>
  <si>
    <t>Barbieri; Joseph T.; (New Berlin, WI); Przedpelski; Amanda; (Milwaukee, WI); Johnson; Eric A.; (Madison, WI); Pellett; Sabine; (Madison, WI); Tepp; William H.; (Stoughton, WI)</t>
  </si>
  <si>
    <t>A61K 39/08 20130101;  A61K 39/215 20130101;  C07K 14/33 20130101;  C07K 14/005 20130101</t>
  </si>
  <si>
    <t>Provided herein are antigenic peptides comprising the SARS-CoV-2 spike     protein receptor binding domain (CRBD) polypeptide or portions thereof,     linked to a non-catalytic, non-toxic tetanus toxin variant (i.e., a     modified tetanus toxin or "MTT") and vaccine compositions comprising the     same. In addition, provided herein are methods for making and using     CRBD-MTT fusion proteins as immunogenic agents.</t>
  </si>
  <si>
    <t>US20210299485</t>
  </si>
  <si>
    <t>HEATED MASK</t>
  </si>
  <si>
    <t>17/215482</t>
  </si>
  <si>
    <t>TRAMEC TERMICO TECH, L.L.C.</t>
  </si>
  <si>
    <t>TRAMEC TERMICO TECH</t>
  </si>
  <si>
    <t>Cubon; Michael M.; (Park Ridge, IL)</t>
  </si>
  <si>
    <t>A62B 18/08 20130101;  H05B 1/0252 20130101;  A41D 13/0051 20130101;  A41D 13/113 20130101;  H05B 1/0202 20130101;  A62B 7/00 20130101;  H05B 2203/016 20130101;  A62B 18/025 20130101;  H05B 3/36 20130101;  A62B 18/084 20130101;  H05B 2203/02 20130101;  A41D 2400/10 20130101;  A62B 9/003 20130101;  A61L 9/16 20130101</t>
  </si>
  <si>
    <t>A mask includes a support member that is configured to extend across at     least a portion of a face of a user and a heater connected to the support     member.</t>
  </si>
  <si>
    <t>US20210299467</t>
  </si>
  <si>
    <t>SYSTEM AND METHOD OF USING ENDOBRONCHIAL ULTRAVIOLET LIGHT THERAPY TO     TREAT PATIENTS INFECTED WITH COVID-19 CORONAVIRUS, SARS, COV-2</t>
  </si>
  <si>
    <t>17/109560</t>
  </si>
  <si>
    <t>OSYPKA AG</t>
  </si>
  <si>
    <t>OSYPKA</t>
  </si>
  <si>
    <t>Osypka; Thomas P.; (Palm Harbor, FL); Searfoss; Timothy; (New Port Richey, FL); Chandrasekar; N R; (Canton, MA)</t>
  </si>
  <si>
    <t>A61N 2005/0604 20130101;  A61N 2005/0651 20130101;  A61N 5/0624 20130101;  A61N 2005/0661 20130101;  A61N 2005/0632 20130101;  A61N 2005/0643 20130101;  A61N 5/0603 20130101</t>
  </si>
  <si>
    <t>A catheter is disclosed for performing ultraviolet light therapy in a     pulmonary system of a patient, which includes a catheter body having     opposed proximal and distal end portions, a handle assembly operatively     associated with the proximal end portion of the catheter body, an     illumination assembly operatively associated with the distal end portion     of the catheter body and including an LED light source for generating UVC     radiation, wherein the illumination assembly includes a coupler     connecting the LED light source with the distal end portion of the     catheter body, and an elongated braided sleeve disposed within the     catheter body, wherein the coupler is adapted to transfer heat from the     illumination assembly to the braided sleeve, such that the braided sleeve     serves as a heat sink for the illumination assembly.</t>
  </si>
  <si>
    <t>US20210299396</t>
  </si>
  <si>
    <t>BIPHASIC BREATHING VENTILATOR</t>
  </si>
  <si>
    <t>17/217241</t>
  </si>
  <si>
    <t>Mohan, Gopi; Carroll, Ryan; Griggs, David</t>
  </si>
  <si>
    <t>MOHAN GOPI</t>
  </si>
  <si>
    <t>Mohan; Gopi; (Newton, MA); Carroll; Ryan; (Boston, MA); Griggs; David; (Boston, MA)</t>
  </si>
  <si>
    <t>A61M 16/204 20140204;  A61M 16/205 20140204;  A61M 16/1075 20130101;  A61M 16/209 20140204;  A61M 2205/3368 20130101</t>
  </si>
  <si>
    <t>A biphasic system and method for assisting breathing of a patient by     controllably providing breathing gas to the patient and taking exhaled     gas from the patient during inspiration and expiration phases. The system     and method having a pair of pressure-controlling means such as     hydrostatic pressures or pop-off valves that are coupled to the patient     breathing interface. Various means for controlling gas pressure at the     breathing interface are described.</t>
  </si>
  <si>
    <t>US20210299395</t>
  </si>
  <si>
    <t>FLOW SWITCHING VALVE AND METHOD OF USE IN VENTILATING MULTIPLE PATIENTS     WITH A SINGLE VENTILATOR</t>
  </si>
  <si>
    <t>17/215662</t>
  </si>
  <si>
    <t>JACOBY, ROBERT</t>
  </si>
  <si>
    <t>JACOBY ROBERT</t>
  </si>
  <si>
    <t>JACOBY; Robert; (Castaic, CA); JACOBY; Kristin; (Granada Hills, CA); LU; Allen; (City of Industry, CA)</t>
  </si>
  <si>
    <t>A61M 16/0666 20130101;  A61M 16/04 20130101;  A61M 16/20 20130101;  F24F 11/0001 20130101;  A61M 16/06 20130101;  A61M 16/0057 20130101;  A61M 16/208 20130101</t>
  </si>
  <si>
    <t>An airflow switching valve allowing a single ventilator to sequentially     ventilate multiple patients, each patient being ventilated through a     respiratory cycle. The airflow switching valve includes an outer housing,     an inner housing, and a spring. Each of the outer and inner housings have     a plurality of apertures that, when aligned in different positions,     direct airflow to different patients. The inner housing rotates within     the outer housing into different positions. The rotational movement is     guided by a track of the outer housing. Extensions on the inner housing     engage the track of the outer housing and translate along the track,     thereby directing the movement of the inner housing between varying     positions. Movement of the inner housing is initiated by either a spring     force caused by the spring of the airflow switching valve or by air     pressure caused by an inspiratory breath flowing into the airflow     switching valve from the ventilator.</t>
  </si>
  <si>
    <t>US20210299388</t>
  </si>
  <si>
    <t>SYSTEMS AND COMPONENTS FOR MULTI-PATIENT MECHANICAL VENTILATION TREATMENT</t>
  </si>
  <si>
    <t>17/219248</t>
  </si>
  <si>
    <t>UNIV MICHIGAN REGENTS; THE US GOV AS REPRESENTED BY THE DEPARTMENT OF VETERANS AFFAIRS</t>
  </si>
  <si>
    <t>UNIV MICHIGAN REGENTS; GOV REPRESENTED DEPARTMENT VETERANS AFFAIRS</t>
  </si>
  <si>
    <t>VANKOEVERING; Kyle; (Columbus, OH); TIEN; Owen; (Ann Arbor, MI); GREEN; Glenn E; (Gregory, MI); ZOPF; David A.; (Ann Arbor, MI)</t>
  </si>
  <si>
    <t>A61M 16/0816 20130101;  A61M 16/0875 20130101;  A61M 16/0057 20130101;  A61M 16/208 20130101;  A61M 16/06 20130101;  A61M 2205/3331 20130101</t>
  </si>
  <si>
    <t>A system for providing mechanical ventilation to a plurality of patients     using a single ventilator is provided. The system includes a first     branched adapter may be coupled to a ventilator, the first branched     adapter having a plurality of branches and configured to divide a     ventilator gas stream into a plurality of gas streams for delivery to a     respective plurality of patients. The system includes a pressure     regulator in fluid communication with one branch of the first branched     adapter and with one patient, the pressure regulator being configured to     reduce the pressure of the gas stream reaching the patient such that it     is less pressurized than the ventilator gas stream. The system includes a     second branched adapter may be coupled to a ventilator, the second     branched adapter having a plurality of branches and configured to unite     expired gas streams from the plurality of patients into a single     expiratory gas stream.</t>
  </si>
  <si>
    <t>US20210299385</t>
  </si>
  <si>
    <t>Noninvasive Ventilation Helmet</t>
  </si>
  <si>
    <t>17/214848</t>
  </si>
  <si>
    <t>WOLF ANDREW</t>
  </si>
  <si>
    <t>Wolf; Andrew; (Freeport, NY)</t>
  </si>
  <si>
    <t>A61M 2205/581 20130101;  A61M 2202/0208 20130101;  A61M 2207/00 20130101;  A61M 16/06 20130101;  A61M 2230/205 20130101;  A61M 16/20 20130101;  A61M 2205/18 20130101</t>
  </si>
  <si>
    <t>An apparatus for providing a pressurized atmosphere to a patient     including one or more flat sheets of plastic arranged in an envelope and     sealed around the periphery to form an airtight container. The helmet has     an airtight collar that is configured to accommodate a patient's neck and     form an airtight seal. An intake port is integrated into the helmet and     receives pressurized air. An exhaust port is integrated into the helmet     near the patient's mouth when the helmet is in use. Additional ports can     be added to the helmet to provide more functionality such as feeding or     supplemental oxygen.</t>
  </si>
  <si>
    <t>US20210299379</t>
  </si>
  <si>
    <t>ARTIFICIAL RESPIRATION</t>
  </si>
  <si>
    <t>17/222998</t>
  </si>
  <si>
    <t>MERCHIA PANKAJ</t>
  </si>
  <si>
    <t>Merchia; Pankaj; (Boca Raton, FL)</t>
  </si>
  <si>
    <t>A61M 16/0816 20130101;  A61M 16/06 20130101;  A61M 16/024 20170801;  A61M 2205/52 20130101</t>
  </si>
  <si>
    <t>The present invention is directed to filtered respiration that can occur     according to multiple facets. The present invention includes a Continuous     Positive Airway Pressure ("CPAP") system, an adapter, and a CPAP     interface. The system may be wearable and include advantageously     adjustable exhausts. The system includes functionality that can be     determined, adjusted, terminated, or monitored remotely.</t>
  </si>
  <si>
    <t>US20210299378</t>
  </si>
  <si>
    <t>EMERGENCY VENTILATOR</t>
  </si>
  <si>
    <t>17/219480</t>
  </si>
  <si>
    <t>AIR BOOST, LLC</t>
  </si>
  <si>
    <t>AIR BOOST</t>
  </si>
  <si>
    <t>Christenson; Marc; (Austin, TX); Christensen; Austin; (Cedar Park, TX); Dearden; Jason; (Austin, TX); Jones; Isaac; (Round Rock, TX); Horn; Jarod; (Austin, TX); Patel; Savan; (Austin, TX); Morgan; Michael; (Austin, TX); Jacobson; Brett; (Austin, TX); Avila; Alex; (Austin, TX); Sherrod; Vallan; (Austin, TX); Aldridge; Russell; (Austin, TX); Robinson; Jacob; (Round Rock, TX)</t>
  </si>
  <si>
    <t>A61M 2209/084 20130101;  A61M 16/0078 20130101;  A61M 2230/42 20130101;  A61M 2205/505 20130101;  A61M 16/024 20170801;  A61M 16/0051 20130101;  A61M 16/20 20130101;  A61M 2205/3331 20130101</t>
  </si>
  <si>
    <t>This disclosure describes systems, methods, and devices related to     emergency ventilators. An emergency ventilator may determine one or more     adjustable parameters associated with controlling a ventilator device to     supply air to a user, wherein the one or more adjustable parameters are     determined based at least in part on breathing thresholds associated with     the user. The emergency ventilator may evaluate the adjustable parameters     to generate a control signal. The emergency ventilator may cause one or     more paddles to articulate based at least in part on the control signal,     wherein the one or more paddles squeeze a bag valve mask (BVM) attached     to the ventilator device. The emergency ventilator may generate one or     more outputs associated with a condition of the ventilator device. The     emergency ventilator may display, on a display device, the one or more     outputs.</t>
  </si>
  <si>
    <t>US20210299377</t>
  </si>
  <si>
    <t>VENTILATOR SYSTEM</t>
  </si>
  <si>
    <t>17/213254</t>
  </si>
  <si>
    <t>Liaw, Chen-Kun; Wu, Tai-Yin; Liao, Yu-Ciao; Liao, Yu-Yan; Liaw, Hsiang-Hung; Liao, Yu-Peng; Liao, Yi-Hsuan; Liao, Yen-Chun; Liao, Chih-Ling</t>
  </si>
  <si>
    <t>LIAW CHEN</t>
  </si>
  <si>
    <t>Liaw; Chen-Kun; (Taipei City, TW); Wu; Tai-Yin; (Taipei City, TW); Liao; Yu-Ciao; (Taipei City, TW); Liao; Yu-Yan; (Taipei City, TW); Liaw; Hsiang-Hung; (Taipei City, TW); Liao; Yu-Peng; (Taipei City, TW); Liao; Yi-Hsuan; (Taipei City, TW); Liao; Yen-Chun; (Taipei City, TW); Liao; Chih-Ling; (Taipei City, TW)</t>
  </si>
  <si>
    <t>A61M 2016/0027 20130101;  A61M 2202/0208 20130101;  A61M 16/04 20130101;  A61M 2230/40 20130101;  A61M 16/208 20130101;  A61M 16/06 20130101;  A61M 16/0057 20130101;  A61M 16/024 20170801</t>
  </si>
  <si>
    <t>A ventilator system includes a first air tank, a plurality of second air     tanks communicated with the first air tank, a plurality of breathing     devices respectively communicated with the second air tanks, a plurality     of first vacuum tanks respectively communicated with the breathing     devices, and a second vacuum tank communicated with the first vacuum     tanks. The first air tank has a positive pressure relative to the second     air tanks. The second vacuum tank has a negative pressure relative to the     first vacuum tanks.</t>
  </si>
  <si>
    <t>US20210299373</t>
  </si>
  <si>
    <t>FILTERED RESPIRATION</t>
  </si>
  <si>
    <t>17/216667</t>
  </si>
  <si>
    <t>A61M 16/205 20140204;  A61M 2205/75 20130101;  A61M 16/0057 20130101;  A61M 16/0808 20130101;  A61M 16/0093 20140204;  A61M 16/1065 20140204</t>
  </si>
  <si>
    <t>The present invention is directed to filtered respiration that can occur     according to multiple facets. The present invention includes a Continuous     Positive Airway Pressure ("CPAP") system, an adapter, and a CPAP     interface. Other inventions disclosed herein relate to the modification     of CPAP and BILEVEL-PAP systems into ventilators.</t>
  </si>
  <si>
    <t>US20210299370</t>
  </si>
  <si>
    <t>17/220922</t>
  </si>
  <si>
    <t>A61M 16/205 20140204;  A61M 16/06 20130101;  A61M 16/009 20130101;  A61M 16/204 20140204</t>
  </si>
  <si>
    <t>The present invention is directed to filtered respiration that can occur     according to multiple facets. The present invention includes a Continuous     Positive Airway Pressure ("CPAP") system, an adapter, and a CPAP     interface. The system may be wearable and include advantageously     adjustable exhausts.</t>
  </si>
  <si>
    <t>US20210299289</t>
  </si>
  <si>
    <t>METHODS AND APPARATUS FOR VOLUMETRIC INACTIVATION OF VIRUSES BY ACOUSTIC     RESONANCE STIMULATION USING NON-IONIZING GIGAHERTZ ELECTROMAGNETIC     RADIATION</t>
  </si>
  <si>
    <t>17/216648</t>
  </si>
  <si>
    <t>Raymond, Luke Christopher; Saiki, Julie Patricia; Collman, John Paul Christie; Andreasson, Johan Oscar Lennart</t>
  </si>
  <si>
    <t>RAYMOND LUKE</t>
  </si>
  <si>
    <t>Raymond; Luke Christopher; (Redwood City, CA); Saiki; Julie Patricia; (Redwood City, CA); Collman; John Paul Christie; (Redwood City, CA); Andreasson; Johan Oscar Lennart; (Redwood City, CA)</t>
  </si>
  <si>
    <t>A61L 2/0029 20130101;  A61L 2/24 20130101</t>
  </si>
  <si>
    <t>According to some aspects, there is provided a method of selectively     inactivating viruses through acoustic resonance by non-ionizing gigahertz     electromagnetic radiation. In some implementations, there is provided an     apparatus comprising a power processing unit; a microwave source; an     antenna; a control unit; wherein the spatial and temporal characteristics     of the electromagnetic field are optimized to maximize viral inactivation     at the target location while minimizing overall radiation exposure.     Methods of delivering high peak energy into the virus structure with     minimal total average power are also provided.</t>
  </si>
  <si>
    <t>US20210299257</t>
  </si>
  <si>
    <t>Methods, Systems and Apparatus for Reducing Pathogen Loads in Circulating     Body Fluids</t>
  </si>
  <si>
    <t>17/207226</t>
  </si>
  <si>
    <t>Hopkins; Andrew; (Houston, TX); Hopkins; Thomas; (Houston, TX)</t>
  </si>
  <si>
    <t>A61M 1/3683 20140204;  A61N 2005/063 20130101;  A61N 5/0624 20130101;  A61N 2005/0659 20130101;  A61K 38/08 20130101;  A61N 5/067 20210801;  A61N 5/062 20130101;  A61K 41/0057 20130101;  A61K 38/10 20130101;  A61K 38/4813 20130101;  A61K 9/5146 20130101</t>
  </si>
  <si>
    <t>A nanocomposition for use in treating a pathogen condition using     phthalocyanine dye, such as IR700. A nanocomposition having IR700, an     8PEG nanoparticle and a pathogen targeting peptide. Administering a     product comprising IR700 to a patient, whereby the IR700 is delivered to     pathogen tissue, and found in only pathogen tissue; and administering     light to activate the IR700, thereby producing an ROS.</t>
  </si>
  <si>
    <t>US20210299246</t>
  </si>
  <si>
    <t>METHODS AND COMPOSITIONS FOR THERAPEUTIC TREATMENT OF VIRAL OR     VIRALLY-INDUCED INFECTIONS AND CONDITIONS, AND ANTI-VIRAL COMPOSITIONS     AND THEIR PRODUCTION</t>
  </si>
  <si>
    <t>17/214845</t>
  </si>
  <si>
    <t>Claytor, R. Brannon</t>
  </si>
  <si>
    <t>CLAYTOR</t>
  </si>
  <si>
    <t>Claytor; R. Brannon; (Malvern, PA)</t>
  </si>
  <si>
    <t>C12N 2770/20071 20130101;  A61P 31/14 20180101;  C07K 16/10 20130101;  A61K 35/28 20130101;  C07K 2317/14 20130101;  A61K 2039/5156 20130101;  C12N 5/0667 20130101;  C12N 2510/00 20130101;  A61K 39/215 20130101;  A61K 2039/544 20130101;  C12N 2770/20034 20130101;  A61K 2039/505 20130101;  A61K 2039/54 20130101</t>
  </si>
  <si>
    <t>Methods and compositions for treating a viral infection, where the cells     from the host to be treated are extracted from the host and modified with     viral DNA, and then replaced back to the host to generate an immune     response. The composition may be produced using fat cells that are     mechanically or chemically transformed to a nanofat, and co-incubation of     the nanofat with the adenovirus. The double-stranded DNA of the     adenovirus codes for a specific antibody to be produced, and the transfer     of genetic material from the virus to the nanofat stem cells takes place     outside of the host where the host immune system cannot destroy it. The     co-incubated cells are then administered to the host by introduction into     the nasal passages or directive cavity, or through injection or other     vehicle. The compositions provide an effective rapid response to an     invasive pathogen, such as an adenovirus or bacteria, through passive     immunity.</t>
  </si>
  <si>
    <t>US20210299245</t>
  </si>
  <si>
    <t>ATTENUATED POXVIRUS VECTOR BASED VACCINE FOR PROTECTION AGAINST COVID-19</t>
  </si>
  <si>
    <t>17/212327</t>
  </si>
  <si>
    <t>SEMENTIS LIMITED</t>
  </si>
  <si>
    <t>SEMENTIS</t>
  </si>
  <si>
    <t>PROW; Natalie; (Grange, AU); Howley; Paul; (Berwick, AU); Cooper; Tamara; (Klemzig, AU); Hayball; John D.; (Sellicks Hill, AU); Diener; Kerrilyn R.; (Sellicks Hill, AU); Liu; Liang; (St Peters, AU); Eldi; Preethi; (Belair, AU)</t>
  </si>
  <si>
    <t>C12N 2710/24143 20130101;  C12N 2710/24134 20130101;  A61K 2039/5254 20130101;  A61K 39/215 20130101;  C12N 15/86 20130101</t>
  </si>
  <si>
    <t>The present invention relates to a composition for raising an immune     response in an animal which prevents or decreases the risk of a     coronavirus infection and decreases severity of disease. In particular,     the invention relates to vaccines and/or immunogenic compositions for     raising an immune response in an animal which prevents or decreases the     risk of the SARS-CoV-2 disease named COVID-19 by the World Health     Organization. The composition comprises an attenuated poxvirus, and     especially a vaccinia virus, wherein the attenuated poxvirus genome     comprises a coronavirus SARS-CoV-2 nucleic acid sequence encoding the     spike protein polypeptide and or the membrane protein polypeptide and or     nucleocapsid protein polypeptide and or envelope protein polypeptide or     an immunogenic or functional part of any of these.</t>
  </si>
  <si>
    <t>US20210299230</t>
  </si>
  <si>
    <t>17/208827</t>
  </si>
  <si>
    <t>A61P 31/14 20180101;  A61K 45/06 20130101;  A61K 31/26 20130101;  A61K 31/465 20130101;  A61K 31/352 20130101;  A61K 31/7048 20130101;  A61K 31/216 20130101;  A61K 33/40 20130101;  A61K 38/4826 20130101;  A61K 31/136 20130101;  A61K 31/4706 20130101</t>
  </si>
  <si>
    <t>US20210299226</t>
  </si>
  <si>
    <t>METHOD OF TREATING AND PREVENTING CORONAVIRUSES WITH LOW DOSAGE INTERFERON     BETA-1A AS A TH17 INHIBITOR</t>
  </si>
  <si>
    <t>16/835905</t>
  </si>
  <si>
    <t>LEVETAN CLARESA</t>
  </si>
  <si>
    <t>Levetan; Claresa; (Bryn Mawr, PA)</t>
  </si>
  <si>
    <t>A61P 31/14 20180101;  A61K 31/427 20130101;  A61K 38/215 20130101;  A61K 9/0073 20130101;  A61K 31/685 20130101;  A61K 9/0043 20130101;  A61K 9/0053 20130101;  A61K 31/375 20130101;  A61K 31/7056 20130101</t>
  </si>
  <si>
    <t>This invention relates to methods for usages, dosing and delivery of     interferon beta-1a for use in children, adults and other mammals for the     prevention and treatment of coronaviruses including COVID-19 with the     direct delivery of interferon beta-1a to the Th17 receptors in the     mucosal surfaces of the intestinal and pulmonary tract for the prevention     of Th17 downstream cytokines. This inventor uses interferon beta-1a as a     Th17-inhibitor to the mucosal surfaces of the lung and intestine in low     dosages of 10,000 IU and below. The invention also provides for     interferon beta-la used in combination with antiviral pharmaceuticals to     also benefit the prevention and treatment of coronaviruses including     COVID-19.</t>
  </si>
  <si>
    <t>US20210299217</t>
  </si>
  <si>
    <t>Universal Nanosponge for Treating Respiratory Viral Infection</t>
  </si>
  <si>
    <t>17/208228</t>
  </si>
  <si>
    <t>Zhang; Liangfang; (San Diego, CA); Gao; Weiwei; (La Jolla, CA); Fang; Ronnie H.; (San Diego, CA)</t>
  </si>
  <si>
    <t>A61K 9/127 20130101;  A61K 38/1796 20130101;  A61K 47/6901 20170801</t>
  </si>
  <si>
    <t>A nanoparticle comprising an outer surface comprising a plasma membrane     derived from a cell that can be infected with a respiratory virus,     including a human lung epithelial cell expressing ACE-2 receptor. Methods     of manufacture and use for preventing or treating viral infections, such     as coronavirus infection in a subject in need are disclosed.</t>
  </si>
  <si>
    <t>US20210299209</t>
  </si>
  <si>
    <t>17/301191</t>
  </si>
  <si>
    <t>A61P 31/14 20180101;  A61K 31/337 20130101;  A61K 31/198 20130101;  A61K 31/4164 20130101;  A61K 31/05 20130101;  A61K 31/573 20130101;  A61K 38/08 20130101;  A61K 31/155 20130101;  A61K 31/4184 20130101;  A61K 31/473 20130101;  A61K 31/167 20130101;  A61K 9/0053 20130101;  A61K 31/58 20130101;  A61K 31/4166 20130101;  A61K 9/0019 20130101;  A61K 31/4155 20130101;  A61K 31/122 20130101</t>
  </si>
  <si>
    <t>Systems, methods, and kits for treating, preventing, and diagnosing viral     infection using an androgen mediated pathway are described. Additionally,     methods and kits for guiding treatment of viral respiratory disease are     described by a method for testing for polymorphisms in the androgen     receptor gene. Further, systems and methods for treatment of viral     respiratory disease with various anti-androgens is detailed. Finally,     systems, methods, and kits for treating, preventing, and diagnosing     SARS-CoV-2 (COVID-19) are presented.</t>
  </si>
  <si>
    <t>US20210299208</t>
  </si>
  <si>
    <t>16/949891</t>
  </si>
  <si>
    <t>A61P 31/14 20180101;  A61K 31/337 20130101;  A61K 31/198 20130101;  A61K 31/4164 20130101;  A61K 31/05 20130101;  A61K 31/573 20130101;  A61K 38/08 20130101;  A61K 31/155 20130101;  A61K 31/4184 20130101;  A61K 31/167 20130101;  A61K 31/473 20130101;  A61K 9/0053 20130101;  A61K 31/58 20130101;  A61K 31/4166 20130101;  A61K 9/0019 20130101;  A61K 31/4155 20130101;  A61K 31/122 20130101</t>
  </si>
  <si>
    <t>US20210299207</t>
  </si>
  <si>
    <t>15/929788</t>
  </si>
  <si>
    <t>A61P 31/14 20180101;  A61K 31/337 20130101;  A61K 31/198 20130101;  A61K 31/4164 20130101;  A61K 31/05 20130101;  A61K 31/573 20130101;  A61K 38/08 20130101;  A61K 31/155 20130101;  A61K 31/4184 20130101;  A61K 31/167 20130101;  A61K 31/473 20130101;  A61K 9/0053 20130101;  A61K 31/58 20130101;  A61K 31/4166 20130101;  A61K 31/4155 20130101;  A61K 9/0019 20130101;  A61K 31/122 20130101</t>
  </si>
  <si>
    <t>US20210299201</t>
  </si>
  <si>
    <t>POLYPHENOL BLEND OF CURCUMIN EXTRACT AND POMEGRANATE EXTRACT AND METHODS     OF IMPROVING IMMUNE RESPONSE</t>
  </si>
  <si>
    <t>17/214339</t>
  </si>
  <si>
    <t>VERDURE SCIENCES, INC.</t>
  </si>
  <si>
    <t>VERDURE SCIENCES</t>
  </si>
  <si>
    <t>Cropper; Sonya; (Noblesville, IN); Kheradia; Nikeeta; (Noblesville, IN)</t>
  </si>
  <si>
    <t>A61K 9/1075 20130101;  A61K 36/185 20130101;  A61P 37/06 20180101;  A61K 31/12 20130101</t>
  </si>
  <si>
    <t>This invention is directed to compositions comprising curcumin extract     and pomegranate extract, and methods of improving immune response with     the compositions. The compositions may be administered as a prebiotic     and/or a dietary supplement.</t>
  </si>
  <si>
    <t>US20210299178</t>
  </si>
  <si>
    <t>METHODS OF USING DNASE1-LIKE 3 IN THERAPY</t>
  </si>
  <si>
    <t>17/344442</t>
  </si>
  <si>
    <t>NEUTROLIS, INC.</t>
  </si>
  <si>
    <t>NEUTROLIS</t>
  </si>
  <si>
    <t>FUCHS; Tobias A.; (Wellesley, MA); HAKKIM R.; Abdul; (Cambridge, MA)</t>
  </si>
  <si>
    <t>C07K 14/76 20130101;  A61K 35/17 20130101;  C12N 9/22 20130101;  C07K 2319/00 20130101;  C12N 15/86 20130101</t>
  </si>
  <si>
    <t>The present disclosure provides D1L3 enzymes having complete or partial     C-terminal deletions of the basic domain (BD), which have substantially     enhanced chromatin-degrading activity. In various aspects, the invention     provides chromatinase enzyme therapy, which is optionally provided by     delivering polynucleotides encoding chromatinases such as D1L3, or by     delivering host cells expressing and secreting the same.</t>
  </si>
  <si>
    <t>US20210299156</t>
  </si>
  <si>
    <t>METHODS OF INHIBITING OR TREATING CORONAVIRUS INFECTION, AND METHODS FOR     DELIVERING AN ANTI-NUCLEOLIN AGENT</t>
  </si>
  <si>
    <t>17/216528</t>
  </si>
  <si>
    <t>UNIVERSITY OF LOUISVILLE RESEARCH FOUNDATON, INC.</t>
  </si>
  <si>
    <t>UNIVERSITY LOUISVILLE RESEARCH FOUNDATON</t>
  </si>
  <si>
    <t>Bates; Paula J.; (Louisville, KY); Palmer; Kenneth E.; (Anchorage, KY); Abdul-Ahad; Wajdi; (Dana Point, CA); Poirier; Michael; (Vista, CA)</t>
  </si>
  <si>
    <t>A61P 31/14 20180101;  A61K 45/06 20130101;  A61K 47/6929 20170801;  A61K 47/10 20130101;  A61K 31/711 20130101</t>
  </si>
  <si>
    <t>A method of administering an anti-nucleolin agent to a patient by     delivering the anti-nucleolin agent to the mouth, lungs, throat, nose and     eyes of a patient to prevent COVID-19. Compositions for administering an     anti-nucleolin agent comprising a container and a formulation including     an anti-nucleolin agent. The anti-nucleolin agent may be administered via     an inhaler, nasal spray or eye drop.</t>
  </si>
  <si>
    <t>US20210299143</t>
  </si>
  <si>
    <t>USE OF ANTAGONISTS TO THE NUCLEAR STEROID RECEPTOR TO INHIBIT     CORONAVIRUSES</t>
  </si>
  <si>
    <t>17/206719</t>
  </si>
  <si>
    <t>SPECTRAL ANALYTICS, INC.</t>
  </si>
  <si>
    <t>SPECTRAL ANALYTICS</t>
  </si>
  <si>
    <t>Prendergast; Patrick T.; (New York, NY); Adler; Steven; (New York, NY)</t>
  </si>
  <si>
    <t>A61K 45/06 20130101;  A61K 31/4418 20130101;  A61K 31/567 20130101</t>
  </si>
  <si>
    <t>Compositions including at least one nuclear steroid family (NSF) receptor     antagonist for the treatment or prevention of a coronavirus infection,     such as SARS-CoV-2, and for the treatment of symptoms resulting from such     infection. Also provided herein are methods of administering such     compounds to a patient, either in a combination pharmaceutical     formulation or in separate pharmaceutical formulations, to treat or     prevent viral infections, including viral infections from coronaviruses     such as SARS-CoV-2. Treatment decreases a viral load in a subject and/or     may ameliorate symptoms associated with or produced by viral infection.     Various administration modalities and mechanisms may be selected     depending upon a condition of a patient and the patient's ability to be     administered via a selected modality.</t>
  </si>
  <si>
    <t>US20210299108</t>
  </si>
  <si>
    <t>SERINE PROTEASE INHIBITOR FOR TREATING CORONAVIRUS INFECTION</t>
  </si>
  <si>
    <t>17/344430</t>
  </si>
  <si>
    <t>A61P 31/14 20180101;  A61K 9/0053 20130101;  A61K 9/48 20130101;  A61K 31/435 20130101</t>
  </si>
  <si>
    <t>The disclosure is directed to WX-671, as (L)- or (D)-enantiomers, and as     E- or (Z)-isomers or (E/Z)-mixtures, and as free bases or as salts     thereof, in preparing medicines for treating coronavirus infection or     preventing diseases caused by coronavirus infection, and a medicine for     preventing coronavirus infection or preventing diseases caused by     coronavirus infection.</t>
  </si>
  <si>
    <t>US20210299101</t>
  </si>
  <si>
    <t>17/301178</t>
  </si>
  <si>
    <t>A61K 31/4166 20130101;  A61K 45/06 20130101</t>
  </si>
  <si>
    <t>US20210299091</t>
  </si>
  <si>
    <t>METHOD OF PREVENTING COVID-19 INFECTION</t>
  </si>
  <si>
    <t>17/114271</t>
  </si>
  <si>
    <t>PROGENABIOME, LLC</t>
  </si>
  <si>
    <t>PROGENABIOME</t>
  </si>
  <si>
    <t>A61K 31/375 20130101;  A61K 31/593 20130101;  A61K 33/30 20130101</t>
  </si>
  <si>
    <t>A method of preventing COVID-19 infection in a healthy individual, the     method comprising the steps of a) providing the healthy individual; b)     administering, on day 1, 10,000 mg of vitamin C, 40,000 mg of vitamin D,     and 50 mg of zinc; c) administering daily, on days 2 and 3, 10,000 mg of     vitamin c and 50 mg of zinc; d) administering daily, on days 4 through 7,     3,000 mg of vitamin c and 50 mg of zinc; and e) repeating steps b) and c)     for 1 to 23 weeks.</t>
  </si>
  <si>
    <t>US20210299088</t>
  </si>
  <si>
    <t>METHOD AND COMPOSITION FOR PREVENTING AND TREATING VIRAL INFECTIONS</t>
  </si>
  <si>
    <t>17/346569</t>
  </si>
  <si>
    <t>GLOBAL BIOLIFE INC.</t>
  </si>
  <si>
    <t>GLOBAL BIOLIFE</t>
  </si>
  <si>
    <t>THOMPSON; Daryl L.; (Winter Haven, FL)</t>
  </si>
  <si>
    <t>A61K 9/4858 20130101;  A61K 9/2013 20130101;  A61P 31/16 20180101;  A61K 31/352 20130101;  A61K 47/22 20130101;  A61K 31/4453 20130101;  A61K 9/0019 20130101;  A61K 47/16 20130101;  A61K 31/353 20130101</t>
  </si>
  <si>
    <t>A method and composition for treating viral infections using a     combination of naturally occurring compounds is provided. The method     includes administering to a patient at risk of or diagnosed with a viral     infection a composition including therapeutically effective amounts of a     myricetin and hesperitin to treat viral infections include coronavirus.</t>
  </si>
  <si>
    <t>US20210299085</t>
  </si>
  <si>
    <t>METHODS FOR THE TREATMENT OF INFLAMMATION ASSOCIATED WITH INFECTION</t>
  </si>
  <si>
    <t>17/324546</t>
  </si>
  <si>
    <t>NOXOPHARM LIMITED</t>
  </si>
  <si>
    <t>NOXOPHARM</t>
  </si>
  <si>
    <t>KELLY; Graham; (Gordon, AU); LACZKA; Olivier; (Gordon, AU); GANTIER; Michael; (Gordon, AU)</t>
  </si>
  <si>
    <t>A61K 45/06 20130101;  A61K 9/0019 20130101;  A61P 29/00 20180101;  A61K 31/352 20130101</t>
  </si>
  <si>
    <t>The present invention provides methods of treating inflammation     associated with infection, and methods of preventing or reducing the     severity of sepsis caused by inflammation associated with infection, in     an individual comprising, consisting essentially of or consisting of the     steps of administering a therapeutically effective amount of idronoxil,     or derivative, pharmaceutically acceptable salt, ester, amide, polymorph     and/or prodrug thereof to the individual, wherein the individual is     diagnosed with, or suspected of having, early stage organ damage caused     by inflammation associated with infection.</t>
  </si>
  <si>
    <t>US20210299083</t>
  </si>
  <si>
    <t>Novel Uses of Halogenated Xanthenes in Oncology and Virology</t>
  </si>
  <si>
    <t>17/212723</t>
  </si>
  <si>
    <t>PROVECTUS PHARMATECH, INC.</t>
  </si>
  <si>
    <t>PROVECTUS PHARMATECH</t>
  </si>
  <si>
    <t>Narendran; Aru; (Calgary, CA); Pershing; Edward V.; (Knoxville, TN); Rodrigues; Dominic; (Knoxville, TN); Horowitz; Bruce; (Knoxville, TN); Wachter; Eric A.; (Oak Ridge, TN)</t>
  </si>
  <si>
    <t>A61K 45/06 20130101;  A61K 31/706 20130101;  A61K 31/352 20130101;  A61K 47/14 20130101</t>
  </si>
  <si>
    <t>A method for treating a viral infection of a mammalian subject that     comprises administering a virus-inhibiting amount of a halogenated     xanthene, a pharmaceutically acceptable salt, an alkyl ester or amide or     aromatic ester or amide derivative thereof as disclosed within, to that     mammalian subject. A method of inducing a type I interferon response in a     mammalian subject that presents with a microbial infection, cancerous     tumor or hematological malignancy that comprises administering an amount     of a halogenated xanthene as discussed above, effective to induce the     type I interferon response. A method of enhancing a mammalian     immunogen-specific immune response that comprises contacting mammalian     cells, in vivo or present in a mammalian cell growth supporting medium,     with an adjuvant-effective amount of a halogenated xanthene as discussed     above, and an immunogen to which that response is to be enhanced.</t>
  </si>
  <si>
    <t>US20210299077</t>
  </si>
  <si>
    <t>LIPOSOMAL REDUCED  GLUTATHIONE (LRG)  IN COMBINATION WITH IVERMECTIN FOR     THE TREATMENT OF COVID-19</t>
  </si>
  <si>
    <t>17/123438</t>
  </si>
  <si>
    <t>YOUR ENERGY SYSTEMS, LLC</t>
  </si>
  <si>
    <t>YOUR ENERGY SYSTEMS</t>
  </si>
  <si>
    <t>Guilford; Frederick Timothy; (Palo Alto, CA)</t>
  </si>
  <si>
    <t>A61P 31/14 20180101;  A61K 31/352 20130101;  A61K 31/198 20130101;  A61K 9/127 20130101</t>
  </si>
  <si>
    <t>For prophylaxis and treatment of Covid-19, the invention claimed proposes     a combination and associated methods of a combination of ivermectin and     liposomal reduced glutathione from Your Energy Systems, LLC of Palo Alto,     Calif. An alternative dosing schedule is proposed for elderly or in adult     individuals with compromise of the immune system. Pedriatic doses are     also specified.</t>
  </si>
  <si>
    <t>US20210299043</t>
  </si>
  <si>
    <t>SOLUTION AND METHOD FOR REDUCING THE VIRULENCE OF VIRUSES,     BACTERIA,YEASTS, OR FUNGUS</t>
  </si>
  <si>
    <t>16/938753</t>
  </si>
  <si>
    <t>A61K 9/0014 20130101;  A61K 9/0034 20130101;  A61K 9/0048 20130101;  A61K 9/0043 20130101;  A61K 9/0019 20130101;  A61K 9/0053 20130101;  A61K 9/0082 20130101;  A01N 37/06 20130101;  A61K 31/19 20130101;  A61K 9/08 20130101</t>
  </si>
  <si>
    <t>US20210298979</t>
  </si>
  <si>
    <t>Infection Control Systems and Devices</t>
  </si>
  <si>
    <t>17/219035</t>
  </si>
  <si>
    <t>Klein; Adam M.; (Atlanta, GA); Gore; Russell K.; (Atlanta, GA); Wright; David W.; (Atlanta, GA); Saldana; Christopher Javellana; (Decatur, GA)</t>
  </si>
  <si>
    <t>A61G 10/023 20130101;  A61G 10/005 20130101</t>
  </si>
  <si>
    <t>The disclosed infection control systems and devices can be easily and     quickly deployed by clinicians and staff in emergent and routine medical     environments to provide adequate protection from bio-aerosolized and     droplet material while allowing appropriate access to and visibility of     the patient during such procedures. The infection control devices may     include a base member and a frame disposed on the base member. The frame     may be configured to move between a collapsed state and an expanded state     with respect to the base member. The frame may include a first support     member and a second support member configured to extend vertically from     the base member when in the expanded state. The devices may include an     enclosure member that is disposed on the frame and the base member and     configured to define an enclosure above the base member. The devices may     also include access member(s) configured to provide access to the     enclosure.</t>
  </si>
  <si>
    <t>US20210298977</t>
  </si>
  <si>
    <t>INFECTIOUS DISEASE ISOLATION MODULE</t>
  </si>
  <si>
    <t>17/215525</t>
  </si>
  <si>
    <t>MCMAHON JOSHUA</t>
  </si>
  <si>
    <t>McMahon; Joshua; (Cedar Creek, AU); McMahon; Gregory; (Cedar Creek, AU)</t>
  </si>
  <si>
    <t>A disease isolation module for patients, where the module includes an     inflatable body adapted to accommodate a bed for a patient, transparent     walls on the inflatable body to enable observation of the patient, and a     door on the inflatable body.</t>
  </si>
  <si>
    <t>US20210298711</t>
  </si>
  <si>
    <t>AUDIO BIOMARKER FOR VIRTUAL LUNG FUNCTION ASSESSMENT AND AUSCULTATION</t>
  </si>
  <si>
    <t>17/212919</t>
  </si>
  <si>
    <t>TECHNOLOGY APPLICATIONS, INC.</t>
  </si>
  <si>
    <t>APPLICATIONS</t>
  </si>
  <si>
    <t>MIRI; Shahnaz; (Washington, DC); YAGHI; Yasar Torres; (Arlington, VA); PAGAN; Fernando; (McLean, VA); YAGHI; Mudar; (McLean, VA); KHUDANPUR; Sanjeev; (Baltimore, MD); TRMAL; Jan; (Baltimore, MD); SAWAF; Hassan; (Los Gatos, CA); JIANG; Jintao; (Great Falls, VA); EBRAHIMI; Mazda; (Gerrardstown, WV)</t>
  </si>
  <si>
    <t>A61B 5/0823 20130101;  G16H 50/80 20180101;  A61B 5/6898 20130101;  G16H 50/30 20180101;  A61B 5/741 20130101;  A61B 7/003 20130101;  A61B 5/7264 20130101;  A61B 5/7475 20130101;  A61B 5/7415 20130101</t>
  </si>
  <si>
    <t>A mobile device application prompts and conducts audio and/or video tests     using a microphone on a smartphone, tablet or laptop in order to record     and analyze a patient's speech, cough, breathing and other sounds in     order to diagnose the patient with Covid 19, another ailment, or as     having normal ranges not indicative of disease. The mobile device's tests     and protocols use program instructions, AI processing and other automated     tools to facilitate the speed and reliability of the testing.</t>
  </si>
  <si>
    <t>US20210298649</t>
  </si>
  <si>
    <t>EARLY DETECTION OF COVID-19 IN HUMANS AND ANIMALS AND AN IMMUNOTHERAPY     AGAINST VIRUSES</t>
  </si>
  <si>
    <t>16/835570</t>
  </si>
  <si>
    <t>KIFFIK INC.</t>
  </si>
  <si>
    <t>KIFFIK</t>
  </si>
  <si>
    <t>ESSALIK; Abdeltif; (St-Romuald, CA); DUSSAULT; Andre; (Quebec, CA); BENSALEM; Samia; (Solothurn, CH)</t>
  </si>
  <si>
    <t>A61B 5/6837 20130101;  A61B 5/1477 20130101;  A61B 2562/0247 20130101;  A61B 5/14514 20130101;  A61B 5/6832 20130101</t>
  </si>
  <si>
    <t>It is provided a device for non-invasively and continuously extracting     interstitial fluid comprising or not comprising an immunogenic compound     from the skin of a subject comprising an electroporator generating a     non-pulsed voltage coupled to a pulsed voltage between at least one     moving electrode and an electrical conducting adhesive for non-heating     irreversibly electroporating the skin; a vacuum pump providing a negative     pressure above the skin; and a collecting chamber for collecting the     interstitial fluid extracted from the skin wherein the device can be used     for detecting Covid-19 and/or extracting an antibody produced in the     subject.</t>
  </si>
  <si>
    <t>US20210298639</t>
  </si>
  <si>
    <t>Apparatus for Breath Sample Collection</t>
  </si>
  <si>
    <t>17/214907</t>
  </si>
  <si>
    <t>Huang, Joseph Zhili</t>
  </si>
  <si>
    <t>HUANG JOSEPH</t>
  </si>
  <si>
    <t>Huang; Joseph Zhili; (Monroe, NJ)</t>
  </si>
  <si>
    <t>A61B 5/002 20130101;  A61B 5/0022 20130101;  A61B 2562/12 20130101;  A61B 5/097 20130101;  A61B 2562/0271 20130101</t>
  </si>
  <si>
    <t>The present invention is a breath sample collecting mask comprising a     mask body and a breath sample collector that provides non-invasive sample     collection for detection of infectious diseases as well as lung and     respiratory diseases, potentially before the onset of symptoms. The     breath sample collector contains a filter that catches viral, bacterial,     and other biomarker particles. The breath sample collector can be removed     from the mask and placed into a tube for sample elution and further     processing and analysis. The breath sample collecting mask may further     comprise a thermometer, electrodes attached on the filter of the sample     collector, and a microprocessor to monitor the mask wearer's condition.</t>
  </si>
  <si>
    <t>US20210298398</t>
  </si>
  <si>
    <t>COMPOSITE PROTECTIVE MATERIAL FOR EPIDEMIC PREVENTION OF COVID-19 AND     METHOD FOR PREPARING SAME</t>
  </si>
  <si>
    <t>17/184007</t>
  </si>
  <si>
    <t>DALIAN SHUANGDI TAOHUA HEALTH PRODUCTS CO., LTD.</t>
  </si>
  <si>
    <t>DALIAN SHUANGDI TAOHUA HEALTH PRODUCTS</t>
  </si>
  <si>
    <t>Liu; Hong; (Dalian City, CN)</t>
  </si>
  <si>
    <t>B32B 5/022 20130101;  B32B 2262/062 20130101;  D06M 11/74 20130101;  B32B 2262/0276 20130101;  B32B 2307/714 20130101;  D04H 3/011 20130101;  B32B 2437/00 20130101;  D06M 2101/32 20130101;  C08K 3/042 20170501;  C08K 9/04 20130101;  B32B 2307/724 20130101;  A41D 31/14 20190201;  A41D 2500/30 20130101;  B32B 2262/0261 20130101;  A41D 31/305 20190201;  A41D 31/02 20130101;  A41D 13/1192 20130101;  C08K 5/29 20130101;  B32B 5/26 20130101;  B32B 2250/20 20130101</t>
  </si>
  <si>
    <t>The disclosure provides a composite protective material for epidemic     prevention of corona virus disease 2019 (COVID-19) and a preparation     method thereof. The composite protective material for epidemic prevention     of COVID-19 comprises a support layer, a nanofiber antibacterial layer     and a skin friendly layer which are successively arranged from outside to     inside, wherein the nanofiber antibacterial layer comprises at least one     layer of hydroxyl terminated hyperbranched polyester nanofiber non-woven     fabric loaded with graphene modified by diisocyanate and at least one     layer of carboxyl terminated hyperbranched polyester nanofiber non-woven     fabric loaded with graphene modified by polyethylene polyamine, wherein     the hydroxyl terminated hyperbranched polyester nanofiber non-woven     fabric and the carboxyl terminated hyperbranched polyester nanofiber     non-woven fabric are condensed and crosslinked to form a penetrating     network; the graphene modified by diisocyanate and the terminal hydroxyl     of the hydroxyl terminated hyperbranched polyester nanofiber or amino of     polyethylene polyamine form chemical bonding, the amino of polyethylene     polyamine and the terminal carboxyl of the carboxyl terminated     hyperbranched polyester nanofiber or isocyanate of diisocyanate form     chemical bonding, thereby endowing dacron fabrics with excellent     antibacterial property, chemical property and air permeability.</t>
  </si>
  <si>
    <t>US20210298391</t>
  </si>
  <si>
    <t>17/169253</t>
  </si>
  <si>
    <t>A61L 2/10 20130101;  A41D 13/1107 20130101;  A41D 13/1192 20130101;  A61L 2202/20 20130101;  A61L 2202/11 20130101</t>
  </si>
  <si>
    <t>US20210298390</t>
  </si>
  <si>
    <t>17/301144</t>
  </si>
  <si>
    <t>Univ Massachusetts</t>
  </si>
  <si>
    <t>UNIV MASSACHUSETTS</t>
  </si>
  <si>
    <t>Sup, IV; Frank Charles; (Amherst, MA); Huber; Meghan Elizabeth; (Sunderland, MA); Follette; David Junichi; (Amherst, MA)</t>
  </si>
  <si>
    <t>A41D 13/1184 20130101;  A41D 13/1161 20130101;  B33Y 80/00 20141201;  B29L 2031/768 20130101;  B29C 64/188 20170801;  A41D 2400/42 20130101</t>
  </si>
  <si>
    <t>The present disclosure can include a protective mask made of a monolithic     piece of material. The mask can have a shield portion with a top portion     and a bottom portion, the shield portion configured to protect from     contaminants, a strap portion extending from the shield portion, the     strap portion configured to be secured around a circumference, and a fold     line extending laterally across the shield portion, the fold line near     the top of the shield portion, wherein the monolithic piece is configured     to be folded along the fold line to provide a curvature. A method of     making a mask can include shaping a monolithic piece of material into a     mask shape having a shield portion for protection, a strap portion for     securing the shield portion, and a folding line on the shield portion for     creating a curvature along a top portion of the shield portion.</t>
  </si>
  <si>
    <t>US20210298380</t>
  </si>
  <si>
    <t>BRIM MOUNTED FACE SHIELDS AND METHODS OF USING SAME</t>
  </si>
  <si>
    <t>16/935160</t>
  </si>
  <si>
    <t>BROWNE, H. LEE D/B/A GREENWICH INFORMATION TECHNOLOGIES</t>
  </si>
  <si>
    <t>BROWNE</t>
  </si>
  <si>
    <t>Brown, II; Daniel Patrick; (Evanston, IL); Brown, III; Daniel Patrick; (Palos Park, IL)</t>
  </si>
  <si>
    <t>A face protector for reducing the transmission of pathogens (including     but not limited to viruses such as COVID-19) between individuals, along     with methods of making and using the same, are generally provided herein.     More specifically embodiments of face protectors that are configured to     be supported by the bill of a hat, visor, or other headgear are     disclosed, wherein the face protector provides a physical barrier     separating the wearer's face from the environment. Embodiments include     side panels to provide additional protection and/or wings to provide     additional support. Fasteners may be used with embodiments to secure the     face protector to the brim or headgear. Radiation (such as ultraviolet     light) may be used to sanitize air as it moves past the edge of the face     protector. An embodiment includes a projection configured to cover the     bill of the headgear.</t>
  </si>
  <si>
    <t>US20210298373</t>
  </si>
  <si>
    <t>Protective Sleeve</t>
  </si>
  <si>
    <t>16/890640</t>
  </si>
  <si>
    <t>MILLING CYNTHIA</t>
  </si>
  <si>
    <t>Milling; Cynthia; (Aspen, CO)</t>
  </si>
  <si>
    <t>A41D 13/08 20130101;  A41D 27/10 20130101</t>
  </si>
  <si>
    <t>Protective Sleeve slip on device held by elastic to protect the arm and     hand. This Protective sleeve is loose fitting and retractable and worn     independently or concealed under or outside of clothing. The Protective     sleeve is manufactured in any size or any length to fit over the hand.     The elastic band sewn at one open end allows for an opening part to slip     on while the other end is left open covering the hand in the extended     position. The Protective Sleeve moves up and down the forearm, wrist and     hand to allow for multiple forms of protection. This Protective Sleeve in     any extended position; that covers the hand, allows for protection to the     hand when holding or touching any surface, item or bodily parts.</t>
  </si>
  <si>
    <t>US20210296008</t>
  </si>
  <si>
    <t>HEALTH MONITORING SYSTEM FOR LIMITING THE SPREAD OF AN INFECTION IN AN     ORGANIZATION</t>
  </si>
  <si>
    <t>17/206794</t>
  </si>
  <si>
    <t>MASIMO CORPORATION</t>
  </si>
  <si>
    <t>MASIMO</t>
  </si>
  <si>
    <t>Novak, JR.; Jerome J.; (Lake Forest, CA); Ahmed; Omar; (Lake Forest, CA); Michalopoulos; Kostas; (Irvine, CA); Al-Ali; Ammar; (San Juan Capistrano, CA)</t>
  </si>
  <si>
    <t>H04W 4/021 20130101;  G16H 10/60 20180101;  G16H 50/80 20180101;  G16H 50/70 20180101;  G16H 40/67 20180101;  G16H 50/20 20180101;  G16H 50/30 20180101;  H04B 17/318 20150115</t>
  </si>
  <si>
    <t>A system for remotely monitoring and managing health statuses of a     plurality of users includes software instructions storable on a memory     device usable by a computing device, the software instructions causing a     hardware processor of the computing device to receive a plurality of sets     of health-related information from a plurality of mobile computing     devices of a plurality of users. The health-related information includes     physiological information derived from wearable devices of the users     indicative of an onset of symptoms associated with an infection, contact     tracing data, and diagnosis data. The hardware processor determines     exposure levels based on at least the contact tracing data, and     determines user-specific risk states based on physiological information,     diagnosis data, and exposure levels.</t>
  </si>
  <si>
    <t>US20210296007</t>
  </si>
  <si>
    <t>17/156810</t>
  </si>
  <si>
    <t>G06F 16/29 20190101;  G16H 80/00 20180101;  G01K 13/20 20210101;  G16H 50/80 20180101</t>
  </si>
  <si>
    <t>US20210295995</t>
  </si>
  <si>
    <t>SMART QUARANTINE SYSTEM AND SMART QUARANTINE METHOD</t>
  </si>
  <si>
    <t>16/825314</t>
  </si>
  <si>
    <t>REPUBLIC OF KOREA(MINISTRY OF HEALTH AND WELFARE); INFOMINING CO., LTD.</t>
  </si>
  <si>
    <t>REPUBLIC KOREA; INFOMINING</t>
  </si>
  <si>
    <t>GO; Deuk Young; (Sejong-si, KR); SIN; Ji Myeong; (Sejong-si, KR); KIM; Jong Deok; (Sejong-si, KR); NA; Kyung Chae; (Sejong-si, KR); YOON; Jong Hyun; (Sejong-si, KR); PARK; Jung Ha; (Sejong-si, KR); KIM; Hyuk Soo; (Sejong-si, KR); LEE; Jae Yong; (Bucheon-si, KR)</t>
  </si>
  <si>
    <t>G16H 10/60 20180101;  G16H 50/80 20180101;  G16H 50/30 20180101;  G16H 50/20 20180101;  G06K 7/1434 20130101</t>
  </si>
  <si>
    <t>A smart quarantine system includes an artificial intelligence control     system which receives information about an emigration and immigration     person, stores at least a portion of the information about the emigration     and immigration person, compare the at least a portion of the information     about the emigration and immigration person with pre-stored information,     and create a complete barcode based on the comparison result, a symptom     identification unit to identify a normal or abnormal health state of the     emigration and immigration person, based on the complete barcode, and a     quarantine execution unit to execute customized quarantine based on the     normal or abnormal health state of the emigration and immigration person.     The quarantine execution unit includes: an isolation and examination     recommendation unit to recommend isolation and examination such that the     emigration and immigration person is isolated and examined, when a health     state of the emigration and immigration person is abnormal, an     immigration approval unit to approve immigration of the emigration and     immigration person when the health state of the emigration and     immigration person is normal, and a self-diagnosis system to perform     self-diagnosis of a health of the emigration and immigration person after     the immigration.</t>
  </si>
  <si>
    <t>US20210295954</t>
  </si>
  <si>
    <t>SOFTWARE-BASED ECOSYSTEM FOR USE WITH A RAPID TEST</t>
  </si>
  <si>
    <t>17/203446</t>
  </si>
  <si>
    <t>Rothberg; Jonathan M.; (Guilford, CT); Rosenbluth; Benjamin; (Hamden, CT)</t>
  </si>
  <si>
    <t>G16H 10/40 20180101;  G16H 50/80 20180101;  G16B 50/30 20190201;  G16H 10/60 20180101</t>
  </si>
  <si>
    <t>Described herein in one embodiment is software, which may be downloaded     to a device, to guide a user through administration of a test. Test     results may be uploaded, manually or automatically, to a device or     communicated remotely through a network. In an embodiment, the test is a     rapid test. In an embodiment, the rapid test detects presence of     COVID-19. In an embodiment, the rapid test detects COVID-19 or influenza.     In an embodiment, the rapid test detects influenza A or influenza B. In     an embodiment, the rapid test detects a target nucleic acid. In an     embodiment, the target nucleic acid represents one of a viral, bacterial,     fungal, parasitic or protozoan pathogen. Each of the rapid tests may be     self administrable.</t>
  </si>
  <si>
    <t>US20210295737</t>
  </si>
  <si>
    <t>ELECTRONIC FACE MASK</t>
  </si>
  <si>
    <t>16/834698</t>
  </si>
  <si>
    <t>HASELTINE ERIC</t>
  </si>
  <si>
    <t>HASELTINE; Eric; (Rancho Palos Verdes, CA)</t>
  </si>
  <si>
    <t>G09B 19/0076 20130101;  G08B 21/245 20130101</t>
  </si>
  <si>
    <t>In an embodiment, users are alerted that they are about to touch their     face through an acoustic or haptic (cutaneous vibration) alarm that     triggers whenever either hand gets into close proximity with the mouth,     nose or eyes. The proximity sensor is adjusted to reduce "nuisance"     alarms when individuals put a phone to their ear or touch their hair. In     one embodiment, permanent magnets are worn in wrist bands on both hands,     such that, when the distance between the wrist band magnets and a     magnetometer worn at the base of front of the neck is less than a     predefined (or predetermined) distance, and buzzer or vibratory alerts     the individual in time for them to stop themselves from touching their     mouth, nose or eyes.</t>
  </si>
  <si>
    <t>US20210295662</t>
  </si>
  <si>
    <t>SOCIAL DISTANCING DEVICE, SYSTEM AND METHOD</t>
  </si>
  <si>
    <t>17/208200</t>
  </si>
  <si>
    <t>BUGBEE, Catherine; TZANNES, Marcos</t>
  </si>
  <si>
    <t>BUGBEE CATHERINE</t>
  </si>
  <si>
    <t>BUGBEE; Catherine; (Petaluma, CA); TZANNES; Marcos; (Petaluma, CA)</t>
  </si>
  <si>
    <t>H04W 4/023 20130101;  H04W 4/80 20180201;  H04W 4/90 20180201;  G08B 7/06 20130101;  H04B 17/318 20150115;  G08B 25/008 20130101</t>
  </si>
  <si>
    <t>A social distancing system that addresses maintaining a minimum social     distance of 6 ft during a pandemic by using social distancing devices     that determine the distance between devices and generate alarms when the     minimum social distance is violated.</t>
  </si>
  <si>
    <t>US20210295506</t>
  </si>
  <si>
    <t>INFECTION DETECTION USING IMAGE DATA ANALYSIS</t>
  </si>
  <si>
    <t>17/207065</t>
  </si>
  <si>
    <t>LIGHT UP TECHNOLOGY GROUP LIMITED</t>
  </si>
  <si>
    <t>LIGHT</t>
  </si>
  <si>
    <t>Whitehead; Peter; (West Vancouver, CA); Maliapen; Mahendran; (Vancouver, CA); Sarkaria; Sarbjit; (Richmond, CA); Rebiffe; Steven; (Richmond, CA); Gupta; Udit; (Vancouver, CA)</t>
  </si>
  <si>
    <t>G06K 9/6257 20130101;  G06K 9/6259 20130101;  G06T 2207/20081 20130101;  G16H 30/40 20180101;  G06T 7/0012 20130101;  G06T 2207/20084 20130101;  G06K 9/6269 20130101</t>
  </si>
  <si>
    <t>A method for determining a disease state prediction, relating to a     potential disease or medical condition of a subject, includes accessing a     set of subject images, the subject images capturing a part of a subject's     body, and accessing a set of clinical factors from the subject. The     clinical factors are collected by a device or a medical practitioner     substantially contemporaneously with the capture of the subject images.     The subject images are inputted into an image data model to generate     disease metrics for disease prediction for the subject. The disease     metrics generated by the image data model and the clinical factors are     inputted into a classifier to determine the disease state prediction, and     the disease state prediction is returned.</t>
  </si>
  <si>
    <t>US20210294796</t>
  </si>
  <si>
    <t>GRAPH DATABASE FOR OUTBREAK TRACKING AND MANAGEMENT</t>
  </si>
  <si>
    <t>17/335752</t>
  </si>
  <si>
    <t>BAXTER INTERNATIONAL INC.</t>
  </si>
  <si>
    <t>BAXTER</t>
  </si>
  <si>
    <t>Randall; Paul; (Gloucester, GB); Smith; Ian; (Blackburn, GB); Haynes; Jonathan; (Gloucester, GB); Wilkinson; Sam; (Gloucester, GB)</t>
  </si>
  <si>
    <t>G06F 3/0484 20130101;  G06T 11/206 20130101;  G16H 10/60 20180101;  G16H 50/80 20180101;  G16H 70/60 20180101;  G06F 16/9024 20190101;  G06T 2200/24 20130101;  G06F 16/2455 20190101;  H04L 67/42 20130101</t>
  </si>
  <si>
    <t>A graph database for outbreak tracking and management is disclosed. In an     example embodiment, an outbreak management system includes a memory     device storing instructions that define a graph database for disease     outbreak tracking. The instructions specify for a given host that a host     node is created and an episode node is connected to the host node via a     `case` link. The episode node is associated with episode parameters that     are related to a disease classification of the host. In addition, the     instructions specify that an outbreak node is connected to the episode     node via a `part of` link to indicate that the host has become part of an     outbreak of the disease. The outbreak node is connected to a definition     node via a `defined as` link. The definition node specifies disease     parameters of the disease that is related to the outbreak node.</t>
  </si>
  <si>
    <t>US20210293827</t>
  </si>
  <si>
    <t>METHODS OF DIAGNOSING RISK OF SERIOUS SYMPTOMS FROM COVID-19 INFECTION</t>
  </si>
  <si>
    <t>16/913840</t>
  </si>
  <si>
    <t>WINCHESTER HENRY</t>
  </si>
  <si>
    <t>Winchester; Henry; (Newtown Square, PA)</t>
  </si>
  <si>
    <t>G01N 2800/60 20130101;  G01N 2800/50 20130101;  G01N 33/6869 20130101;  G01N 33/582 20130101;  A61K 45/06 20130101</t>
  </si>
  <si>
    <t>Provided herein are methods for reducing risk of severe symptoms and     outcomes associated with Coronavirus Disease 2019 (COVID-19) and Severe     Acute Respiratory Syndrome Coronavirus 2 (SARS-CoV-2) infection by     measuring levels of interleukin 6 (IL-6), IL8, IL22, and serum ferritin     in a subject. Also provided are methods for treating a subject exposed to     or at elevated risk of expose to SARS-CoV-2 based on levels of IL6, IL8,     IL22, and ferritin in the serum of the subject.</t>
  </si>
  <si>
    <t>US20210293817</t>
  </si>
  <si>
    <t>METHOD AND DEVICE FOR DETECTIONING AND MONITORING THE PRESENCE,     DEVELOPMENT AND PROPAGATION OF INFECTIOUS AGENTS, IN PARTICULAR BACTERIA     AND VIRUSES</t>
  </si>
  <si>
    <t>17/247892</t>
  </si>
  <si>
    <t>PRODOSE</t>
  </si>
  <si>
    <t>BOUKARI; Morou; (Toulouse, FR)</t>
  </si>
  <si>
    <t>G01N 33/56911 20130101;  C12Q 1/689 20130101;  C12Q 1/701 20130101;  G01N 1/00 20130101;  G01N 1/34 20130101;  G01N 1/24 20130101;  G01N 33/56983 20130101</t>
  </si>
  <si>
    <t>Disclosed is a method for detecting and monitoring the presence,     development and propagation of at least one infectious agent such as a     bacterium or a virus, which is remarkable in that it includes the     following steps: Subdivide the considered geographic area into area     cells; Determine and identify in each area cell the points of presence,     passing through or frequentation by human and/or animal beings likely to     be infected by the infectious agent or by human and/or animal beings     likely to be hosts to the infectious agent; and Install at each     identified point in each area cell an autonomous device for detection of     the infectious agent present in the environment surrounding the device by     analysis and identification. Also disclosed is a device for executing the     process.</t>
  </si>
  <si>
    <t>US20210293816</t>
  </si>
  <si>
    <t>GRAPHENE-BASED SENSOR FOR DETECTING SARS-COV-2 VIRUS IN A BIOLOGICAL     SAMPLE</t>
  </si>
  <si>
    <t>17/208692</t>
  </si>
  <si>
    <t>Nawana; Namal; (Weston, MA); Mollaaghababa; Reza; (Natick, MA); Abedi; Mehdi; (Brighton, MA); Greenfield; Edward Alvin; (Stoughton, MA); Patel; Nirva; (Weston, MA); Fotouhi; Mohammed; (Weston, MA)</t>
  </si>
  <si>
    <t>G01N 2333/165 20130101;  G01N 33/56983 20130101;  G01N 27/125 20130101</t>
  </si>
  <si>
    <t>In one aspect, a sensor for detecting SARS-CoV-2 virus in a sample, e.g.,     a blood sample, is disclosed, which includes a graphene layer, a     plurality of binding agents coupled to said graphene layer to generate a     functionalized graphene layer, where the binding agents exhibit specific     binding to at least one epitope of SARS-CoV-2 virus, and a plurality of     electrical conductors electrically coupled to said functionalized     graphene layer for measuring an electrical property (e.g., DC electrical     resistance) of the functionalized graphene layer. While in some     embodiments such binding agents are monoclonal antibodies, in other     embodiments they can be polyclonal antibodies.</t>
  </si>
  <si>
    <t>US20210293815</t>
  </si>
  <si>
    <t>SELF- ADMINISTRABLE DIAGNOSTIC TEST WITH INTEGRATED SWAB</t>
  </si>
  <si>
    <t>17/067594</t>
  </si>
  <si>
    <t>HOMODEUS, INC.</t>
  </si>
  <si>
    <t>HOMODEUS</t>
  </si>
  <si>
    <t>Rothberg; Jonathan M.; (Guilford, CT); Glantz; Spencer; (West Hartford, CT); Rosenbluth; Benjamin; (Hamden, CT); Kaye-Kauderer; Owen; (Brooklyn, NY)</t>
  </si>
  <si>
    <t>G01N 2333/165 20130101;  G01N 33/521 20130101;  G01N 33/56983 20130101</t>
  </si>
  <si>
    <t>Provided herein, in some embodiments, are rapid diagnostic tests     comprising a lateral flow strip and an integrated swab head. The tests     may be used to detect, for example, one or more pathogens, such as viral,     bacterial, fungal, parasitic, or protozoan pathogens. Further embodiments     provide methods of detecting genetic abnormalities. Nucleic acid tests     using the diagnostic tests are provided.</t>
  </si>
  <si>
    <t>US20210293805</t>
  </si>
  <si>
    <t>MACHINE VISION TECHNIQUES, INCLUDING IMAGE PROCESSING TECHNIQUES, FOR     DIAGNOSTIC TESTING</t>
  </si>
  <si>
    <t>17/203498</t>
  </si>
  <si>
    <t>G01N 1/02 20130101;  G01N 33/48792 20130101;  G01N 33/56983 20130101;  G01N 33/54386 20130101;  G01N 2001/028 20130101</t>
  </si>
  <si>
    <t>Described herein in one embodiment is a computer-implemented method     comprising accessing information representing a detection component of a     diagnostic test and determining, based at least in part on the     information representing the detection component of the diagnostic test,     results of the diagnostic test. Described herein in one embodiment is a     method of performing a diagnostic test on a subject. In one embodiment,     the method comprises obtaining a sample from the subject, processing the     sample, analyzing the sample with a detection component of the diagnostic     test, and performing a computer-implemented method comprising accessing     information representing the detection component of a diagnostic test,     and determining, based at least in part on the information representing     the detection component of the diagnostic test, results of the diagnostic     test.</t>
  </si>
  <si>
    <t>US20210292857</t>
  </si>
  <si>
    <t>COMPOSITIONS, KITS AND METHODS FOR DETECTION OF VIRAL SEQUENCES</t>
  </si>
  <si>
    <t>17/320659</t>
  </si>
  <si>
    <t>LIFE TECHNOLOGIES CORPORATION</t>
  </si>
  <si>
    <t>LIFE</t>
  </si>
  <si>
    <t>LI; Kelly; (San Jose, CA); PAGANI; Ioanna; (Oakland, CA); BRZOSKA; Pius; (Woodside, CA); LI; Jisheng; (Pleasanton, CA); WANG; Chunling; (Redwood City, CA); HAYASHIBARA; Kathleen; (Cupertino, CA); TANNER; Michael; (South San Francisco, CA); JI; Hong; (Danville, CA); VARMA; Kamini; (Saratoga, CA); HU; Fangqi; (Palo Alto, CA); TEBBS; Robert; (Austin, TX)</t>
  </si>
  <si>
    <t>Compositions, assays, methods, diagnostic methods, kits, and diagnostic     kits are disclosed for the specific and differential detection of     SARS-CoV-2 and/or other viruses from samples, including veterinary     samples, clinical samples, food samples, forensic sample, environmental     samples (e.g., obtained from soil, garbage, sewage, air, water, food     processing and manufacturing surfaces, or likewise), or biological sample     obtained from a human or non-human animal.</t>
  </si>
  <si>
    <t>US20210292856</t>
  </si>
  <si>
    <t>17/249071</t>
  </si>
  <si>
    <t>US20210292855</t>
  </si>
  <si>
    <t>DOWNLOADABLE SOFTWARE APPLICATION FOR GUIDING A RAPID TEST</t>
  </si>
  <si>
    <t>17/203399</t>
  </si>
  <si>
    <t>Rothberg; Jonathan M.; (Guilford, CT); Glantz; Spencer; (West Hartford, CT); Rosenbluth; Benjamin; (Hamden, CT)</t>
  </si>
  <si>
    <t>G16B 25/20 20190201;  C12Q 1/70 20130101</t>
  </si>
  <si>
    <t>US20210292854</t>
  </si>
  <si>
    <t>16/912462</t>
  </si>
  <si>
    <t>C12Q 2600/112 20130101;  C12Q 1/70 20130101</t>
  </si>
  <si>
    <t>US20210292829</t>
  </si>
  <si>
    <t>HIGH THROUGHPUT ASSAYS FOR DETECTING INFECTIOUS DISEASES USING CAPILLARY     ELECTROPHORESIS</t>
  </si>
  <si>
    <t>17/210488</t>
  </si>
  <si>
    <t>BILLIONTOONE, INC.</t>
  </si>
  <si>
    <t>BILLIONTOONE</t>
  </si>
  <si>
    <t>Brown; Devon Brian Chandler; (Campbell, CA); Bueno; Anna; (Santa Clara, CA); Tsao; David; (San Carlos, CA); Atay; Oguzhan; (Menlo Park, CA)</t>
  </si>
  <si>
    <t>C12Q 1/686 20130101;  C12Q 1/6858 20130101;  C12Q 1/6853 20130101</t>
  </si>
  <si>
    <t>Aspects of the present disclosure include methods of detecting the     presence or absence of one or more infectious diseases using quantitative     approaches. In some aspects, the methods of the present disclosure     include generating a spike-in mixture including target sample molecules     (e.g., endogenous sample) and artificial molecules (e.g., spike in     molecule, synthetic target-associated molecule), amplifying the spike in     mixture to generate a co-amplified spike in mixture, and performing     capillary electrophoresis to detect the presence or absence of one or     more infectious diseases.</t>
  </si>
  <si>
    <t>US20210292825</t>
  </si>
  <si>
    <t>17/203724</t>
  </si>
  <si>
    <t>Rothberg; Jonathan M.; (Guilford, CT); Glantz; Spencer; (West Hartford, CT); Rosenbluth; Benjamin; (Hamden, CT); Dyer; Matthew; (Spring, TX); Roswech; Todd; (Ivoryton, CT); Kauderer-Abrams; Eric; (Redwood City, CA); Camara; Jose; (Saratoga, CA)</t>
  </si>
  <si>
    <t>C12Q 1/6844 20130101;  C12Q 1/6806 20130101</t>
  </si>
  <si>
    <t>Provided herein are rapid diagnostic tests, systems, and methods for     detecting one or more target nucleic acid sequences (e.g., a nucleic acid     sequence of one or more pathogens, such as SARS-CoV-2 or an influenza     virus) using isothermal nucleic acid amplification. The tests, systems,     and methods described herein may be performed in a point-of-care setting     or a home setting without specialized equipment.</t>
  </si>
  <si>
    <t>US20210292824</t>
  </si>
  <si>
    <t>CRISPR EFFECTOR SYSTEM BASED CORONAVIRUS DIAGNOSTICS</t>
  </si>
  <si>
    <t>16/894670</t>
  </si>
  <si>
    <t>ZHANG FENG; GOOTENBERG JONATHAN; ABUDAYYEH OMAR; JOUNG JULIA; LADHA ALIM; ALTAE TRAN HAN; FAURE GUILHEM</t>
  </si>
  <si>
    <t>Zhang; Feng; (Cambridge, MA); Gootenberg; Jonathan; (Cambridge, MA); Abudayyeh; Omar; (Cambridge, MA); Joung; Julia; (Cambridge, MA); Ladha; Alim; (Cambridge, MA); Altae-Tran; Han; (Cambridge, MA); Faure; Guilhem; (Cambridge, MA)</t>
  </si>
  <si>
    <t>G01N 2333/165 20130101;  C12N 9/22 20130101;  C12Q 1/6844 20130101;  C12Q 1/6806 20130101;  C12N 2310/20 20170501</t>
  </si>
  <si>
    <t>Systems and methods for rapid diagnostics related to the use of CRISPR     effector systems and optimized guide sequences for detection of     coronavirus, including multiplex lateral flow diagnostic devices and     methods of use, are provided.</t>
  </si>
  <si>
    <t>US20210292823</t>
  </si>
  <si>
    <t>RAPID DIAGNOSTICS</t>
  </si>
  <si>
    <t>16/894664</t>
  </si>
  <si>
    <t>THE BROAD INSTITUTE, INC.</t>
  </si>
  <si>
    <t>BROAD INSTITUTE</t>
  </si>
  <si>
    <t>C12Q 2600/16 20130101;  B01L 3/502715 20130101;  C12Q 2600/156 20130101;  B01L 7/52 20130101;  C12Q 1/6844 20130101;  B01L 2300/0816 20130101</t>
  </si>
  <si>
    <t>Systems and methods for rapid diagnostics related to the use of     isothermal amplification reagents for detection of microbial species,     including coronavirus, and methods of use, are provided.</t>
  </si>
  <si>
    <t>US20210292820</t>
  </si>
  <si>
    <t>COMPOSITIONS AND METHODS FOR DETECTING AND TREATING SARS-COV-2</t>
  </si>
  <si>
    <t>17/206681</t>
  </si>
  <si>
    <t>APPLIED DNA SCIENCES, INC.</t>
  </si>
  <si>
    <t>APPLIED DNA SCIENCES</t>
  </si>
  <si>
    <t>Sun; Yuhua; (Stony Brook, NY); Liang; Ming-Hwa; (Stony Brook, NY)</t>
  </si>
  <si>
    <t>C12Q 1/686 20130101;  C12Q 2600/166 20130101;  C12Q 1/6827 20130101;  C12Q 1/6874 20130101</t>
  </si>
  <si>
    <t>The present invention relates generally to PCR-based in vitro diagnostics     and methods of treatment for SARS-CoV-2, the virus that causes COVID-19,     and more specifically, to compositions and methods for the detection of     wildtype and variants of SARS-CoV-2 in a patient specimen and methods of     treating SARS-CoV-2 based on said detection.</t>
  </si>
  <si>
    <t>US20210292743</t>
  </si>
  <si>
    <t>COMPOSITIONS AND METHODS FOR RIBONUCLEIC ACID EXTRACTION</t>
  </si>
  <si>
    <t>17/249936</t>
  </si>
  <si>
    <t>PHASE SCIENTIFIC INTERNATIONAL, LTD.</t>
  </si>
  <si>
    <t>PHASE SCIENTIFIC</t>
  </si>
  <si>
    <t>CHIU; Yin To; (Hong Kong, CN)</t>
  </si>
  <si>
    <t>C12N 15/1003 20130101</t>
  </si>
  <si>
    <t>This invention relates to the isolation, concentration and/or     purification of ribonucleic acid (RNA) in aqueous two-phase phase     systems. In some embodiments, the present invention provides sample     preparation methods, compositions and kit components for the isolation,     concentration and/or purification of RNA from fluid mixtures comprising     biological materials.</t>
  </si>
  <si>
    <t>US20210292721</t>
  </si>
  <si>
    <t>NOVEL TYPE V CRISPR-CAS SYSTEMS AND USE THEREOF</t>
  </si>
  <si>
    <t>16/894678</t>
  </si>
  <si>
    <t>C12N 9/22 20130101;  C12N 2310/20 20170501;  C12N 9/1276 20130101;  C12Y 207/07049 20130101;  C12N 9/78 20130101</t>
  </si>
  <si>
    <t>Engineered or non-naturally occurring systems and compositions comprising     a novel Cas12b and a guide molecule. Also provided include methods of use     the systems and compositions, including in treating and diagnosing     diseases.</t>
  </si>
  <si>
    <t>US20210292436</t>
  </si>
  <si>
    <t>Methods of Inhibiting MASP-2 for the Treatment and/or Prevention of     Coronavirus-induced Acute Respiratory Distress Syndrome</t>
  </si>
  <si>
    <t>17/194054</t>
  </si>
  <si>
    <t>OMEROS CORPORATION</t>
  </si>
  <si>
    <t>OMEROS</t>
  </si>
  <si>
    <t>Demopulos; Gregory A.; (Seattle, WA); Quinton; Tineka J.; (Seattle, WA); Whitaker; John Steven; (Seattle, WA)</t>
  </si>
  <si>
    <t>A61P 11/00 20180101;  A61K 2039/505 20130101;  C07K 2317/56 20130101;  C07K 2317/565 20130101;  C07K 16/40 20130101;  C07K 2317/76 20130101</t>
  </si>
  <si>
    <t>In one aspect, the invention provides methods for treating, inhibiting,     alleviating, or preventing acute respiratory distress syndrome,     pneumonia, or some other pulmonary or other manifestation of coronavirus     infection, such as thrombosis, in a mammalian subject infected with     coronavirus, such as SARS-CoV-2. The methods comprise the step of     administering to a subject infected with coronavirus an amount of a     MASP-2 inhibitory agent effective to inhibit MASP-2-dependent complement     activation. In one embodiment, the MASP-2 inhibitory agent is a MASP-2     monoclonal antibody, or fragment thereof that specifically binds to a     portion of SEQ ID NO:6. In one embodiment, the MASP-2 inhibitory agent is     a small molecule MASP-2 inhibitory compound. In one embodiment, the     subject is a human subject suffering from COVID-19-induced acute     respiratory distress syndrome (ARDS) and requires supplemental oxygen     prior to treatment and the MASP-2 inhibitory agent is administered in an     amount sufficient to discontinue the need for supplemental oxygen.</t>
  </si>
  <si>
    <t>US20210292406</t>
  </si>
  <si>
    <t>CONTROLLED RELEASE OF ANTIBODIES TO MODULATE CYTOKINES</t>
  </si>
  <si>
    <t>17/202770</t>
  </si>
  <si>
    <t>FLOW PHARMA, INC.</t>
  </si>
  <si>
    <t>FLOW PHARMA</t>
  </si>
  <si>
    <t>Rubsamen; Reid M.; (Alamno, CA); Burkholtz; Scott; (Redwood City, CA); Herst; Charles V.; (Oakland, CA); Hodge; Tom; (Redwood City, CA); Wang; Lu; (San Jose, CA)</t>
  </si>
  <si>
    <t>G01N 2333/5412 20130101;  A61K 47/6883 20170801;  G01N 33/6869 20130101;  C07K 16/2866 20130101;  C07K 16/248 20130101</t>
  </si>
  <si>
    <t>An injectable formulation, comprising: poly(lactic-co-glycolic (PLGA)     microsphere encapsulating siltuximab, wherein microspheres are sized to     release siltuximab over a period of hours, days and weeks, where the     biocompatible polymer releases antibody at an absorption rate which is     characterized by an absorption rate constant (Ka (h.sup.-1) in the range     of (0.001 to 2.048)+/-20%, or +/-10%, or +/-5%. for use and treating     human patients with infections. The invention includes treating patients     with viral infections of SARS-Cov-2 using siltuximab.</t>
  </si>
  <si>
    <t>US20210292393</t>
  </si>
  <si>
    <t>17/116588</t>
  </si>
  <si>
    <t>A61K 2039/505 20130101;  C07K 16/10 20130101;  A61K 47/6801 20170801;  G01N 33/5091 20130101;  A61K 39/215 20130101</t>
  </si>
  <si>
    <t>US20210292392</t>
  </si>
  <si>
    <t>16/953304</t>
  </si>
  <si>
    <t>A61K 2039/545 20130101;  A61K 2039/505 20130101;  C07K 2317/76 20130101;  C07K 2317/52 20130101;  C07K 2317/94 20130101;  C07K 16/10 20130101;  C07K 2317/31 20130101</t>
  </si>
  <si>
    <t>US20210292384</t>
  </si>
  <si>
    <t>Bispecific and trispecific functional molecules of ACE2 and complement     pathways and their use</t>
  </si>
  <si>
    <t>17/207567</t>
  </si>
  <si>
    <t>LARIX BIOSCIENCES LLC</t>
  </si>
  <si>
    <t>LARIX BIOSCIENCES</t>
  </si>
  <si>
    <t>Yu; Bo; (Sunnyvale, CA); Larrick; James; (Sunnyvale, CA)</t>
  </si>
  <si>
    <t>C07K 14/4703 20130101;  C07K 2319/30 20130101;  C07K 2319/31 20130101;  A61P 31/14 20180101</t>
  </si>
  <si>
    <t>Disclosed herein are ACE2 fusion proteins that can be used to block     infection of cells by SARS-CoV-2. The fusion proteins may have additional     functionality such as inhibition of complement. The fusion protein may     also include a polypeptide or a moiety that increases serum or blood     half-life of the ACE2 fusion protein.</t>
  </si>
  <si>
    <t>US20210292296</t>
  </si>
  <si>
    <t>1,2,4-Trioxane compounds and compositions comprising the same for use in     the treatment of COVID-19</t>
  </si>
  <si>
    <t>16/907963</t>
  </si>
  <si>
    <t>ARTEMIFLOW GMBH</t>
  </si>
  <si>
    <t>ARTEMIFLOW</t>
  </si>
  <si>
    <t>Seeberger; Peter; (Kleinmachnow, DE); Gilmore; Kerry; (Werder (Havel), DE); Maust; Adam Jeffrey; (Dauphin, PA)</t>
  </si>
  <si>
    <t>A61K 31/343 20130101;  A61K 31/216 20130101;  C07D 323/06 20130101;  A61K 36/282 20130101;  A61K 31/19 20130101;  A61K 31/352 20130101;  A61P 31/14 20180101;  A61K 45/06 20130101;  A61K 31/357 20130101;  A61K 31/573 20130101;  A61K 31/366 20130101;  A61K 36/74 20130101</t>
  </si>
  <si>
    <t>The present invention relates to antiviral 1,2,4-trioxane compounds and     compositions comprising the same that are effective inhibitors of severe     acute respiratory syndrome coronavirus 2 (SARS-CoV-2) replication, and     are thus useful to treat the coronavirus disease 2019 (COVID-19). The     invention further provides pharmaceutical compositions containing such     antiviral compounds and antiviral compositions, and methods of using     these antiviral compounds, antiviral compositions and pharmaceutical     compositions in the treatment and prevention of COVID-19.</t>
  </si>
  <si>
    <t>US20210292277</t>
  </si>
  <si>
    <t>TREATING SARS-COV-2 INFECTED SUBJECTS WITH SMALL MOLECULE COMPOUNDS</t>
  </si>
  <si>
    <t>17/204774</t>
  </si>
  <si>
    <t>ANIVIVE LIFESCIENCES, INC.</t>
  </si>
  <si>
    <t>ANIVIVE LIFESCIENCES</t>
  </si>
  <si>
    <t>Bruyette; David; (Long Beach, CA); Balsz; Dylan; (Long Beach, CA)</t>
  </si>
  <si>
    <t>A61K 38/21 20130101;  A61K 9/0053 20130101;  A61K 45/06 20130101;  A61K 31/4015 20130101;  A61P 31/14 20180101;  C07D 207/12 20130101</t>
  </si>
  <si>
    <t>The SARS-CoV-2 is highly contagious and has caused coronavirus disease     2019 (COVID-19) outbreaks worldwide. Some embodiments of the present     invention relate to a method of ameliorating or treating a subject     suffering from a SARS-CoV-2 infection. The method includes administering     to the subject an antiviral composition comprising a therapeutically     effective amount of a GC molecule or a pharmaceutically acceptable salt     thereof.</t>
  </si>
  <si>
    <t>US20210291181</t>
  </si>
  <si>
    <t>SEAL COMPONENT FOR A RAPID DIAGNOSTIC TEST</t>
  </si>
  <si>
    <t>17/203562</t>
  </si>
  <si>
    <t>B01L 2300/044 20130101;  B01L 2300/049 20130101;  B01L 3/502707 20130101;  B01L 3/502738 20130101</t>
  </si>
  <si>
    <t>Provided herein, in some embodiments, are rapid diagnostic tests to     detect one or more target nucleic acid sequences (e.g., a nucleic acid     sequence of one or more pathogens) having a seal component. In some     embodiments, the pathogens are viral, bacterial, fungal, parasitic, or     protozoan pathogens, such as SARS-CoV-2 or an influenza virus. Further     embodiments provide methods of detecting genetic abnormalities.     Diagnostic tests comprising a sample-collecting component, one or more     reagents (e.g., lysis reagents, nucleic acid amplification reagents), a     seal component, and a detection component (e.g., a component comprising a     lateral flow assay strip and/or a colorimetric assay) are provided.</t>
  </si>
  <si>
    <t>US20210291177</t>
  </si>
  <si>
    <t>REAGENT CARRIER FOR RAPID DIAGNOSTIC TESTS</t>
  </si>
  <si>
    <t>17/203668</t>
  </si>
  <si>
    <t>Rothberg; Jonathan M.; (Guilford, CT); Glantz; Spencer; (West Hartford, CT); Rosenbluth; Benjamin; (Hamden, CT); Roswech; Todd; (Ivoryton, CT); Kauderer-Abrams; Eric; (Redwood City, CA); Dyer; Matthew; (Spring, TX); Camara; Jose; (Saratoga, CA); Kaye-Kauderer; Owen; (Brooklyn, NY); Leamon; John H.; (Stonington, CT)</t>
  </si>
  <si>
    <t>B01L 2200/16 20130101;  B01L 3/502715 20130101;  B01L 7/52 20130101;  B01L 1/52 20190801;  B01L 2200/10 20130101</t>
  </si>
  <si>
    <t>A reagent carrier includes: a cap configured to fit on an opening of a     reaction vessel; and a reagent confined by the cap. The cap may be     configured to release the reagent when a user manipulates the cap while     the cap is fitted on the opening of the reaction vessel. For example, the     reagent may be released when the user twists the cap from a first     position to a second position or when the user pushes on a surface of the     cap. The cap may be configured to seal the opening of the reaction vessel     when the cap is fitted on the opening of the reaction vessel. In some     implementations, the cap may be a blister cap containing the reagent. In     some implementations, the cap may include a cage containing the reagent.     In some implementations, the cap may include a deformable structure     containing the reagent.</t>
  </si>
  <si>
    <t>US20210291176</t>
  </si>
  <si>
    <t>RAPID DIAGNOSTIC TEST WITH BLISTER PACK</t>
  </si>
  <si>
    <t>17/203504</t>
  </si>
  <si>
    <t>Roswech; Todd; (Ivoryton, CT); Leamon; John H.; (Stonington, CT); Rothberg; Jonathan M.; (Guilford, CT)</t>
  </si>
  <si>
    <t>B01L 2300/0825 20130101;  B01L 2200/16 20130101;  B01L 2200/0689 20130101;  B01L 3/527 20130101;  B01L 2400/0644 20130101;  B01L 3/502715 20130101</t>
  </si>
  <si>
    <t>Provided herein, in some embodiments, are rapid diagnostic tests to     detect one or more target nucleic acid sequences (e.g., a nucleic acid     sequence of one or more pathogens). In some embodiments, the pathogens     are viral, bacterial, fungal, parasitic, or protozoan pathogens, such as     SARS-CoV-2 or an influenza virus. Further embodiments provide methods of     detecting genetic abnormalities. Diagnostic tests comprising a     sample-collecting component, one or more reagents (e.g., lysis reagents,     nucleic acid amplification reagents), and a detection component (e.g., a     component comprising a lateral flow assay strip) are provided.</t>
  </si>
  <si>
    <t>US20210291165</t>
  </si>
  <si>
    <t>17/203552</t>
  </si>
  <si>
    <t>Rothberg; Jonathan M.; (Guilford, CT); Glantz; Spencer; (West Hartford, CT); Rosenbluth; Benjamin; (Hamden, CT); Roswech; Todd; (Ivoryton, CT); Dyer; Matthew; (Spring, TX); Camara; Jose; (Saratoga, CA); Kauderer-Abrams; Eric; (Redwood City, CA); Schultz; Jonathan C.; (Guilford, CT)</t>
  </si>
  <si>
    <t>B01L 7/00 20130101;  G01N 33/54386 20130101;  B01L 3/50273 20130101;  B01L 2200/027 20130101;  B01L 2300/18 20130101</t>
  </si>
  <si>
    <t>US20210290871</t>
  </si>
  <si>
    <t>AUTOMATIC AEROSEL AND DROPLET HYBRID SANTIZATION SYSTEM FOR DENTISTRY</t>
  </si>
  <si>
    <t>17/169822</t>
  </si>
  <si>
    <t>DENTSAFE BIOMEDICAL INCORPORATED</t>
  </si>
  <si>
    <t>DENTSAFE BIOMEDICAL</t>
  </si>
  <si>
    <t>MOSAVI; Seyadali; (Eshafan, IR); DEHNAVI; Vida Kargar; (Eshafan, IR)</t>
  </si>
  <si>
    <t>A61L 9/16 20130101;  A61M 16/009 20130101</t>
  </si>
  <si>
    <t>One of the main problems of hoods and central ventilation devices for     dental offices and clinics is the lack of fluid suction between the     patient and the dentist during the spraying of the aerosol and droplet.     This disclosure provides a solution to build a new device using     technologies that follow the principles of ergonomics in designing and     using the calculated discharge system to limit the movement of the     aerosol and the droplet. This device proposes an isolation process     whereby fluid transfer, along with the contaminated particles attached to     the negative ions, are trapped in the chamber and transfer to the filter     due, to prevent diffusion to the environment. This device also utilizes     and control of optimal parameters of heat and light and negative ions,     ultraviolet and ozone to sterilize and eliminate viruses and bacteria.</t>
  </si>
  <si>
    <t>US20210290804</t>
  </si>
  <si>
    <t>Disinfection Methods Using Concentrated Gaseous Ozone</t>
  </si>
  <si>
    <t>17/206311</t>
  </si>
  <si>
    <t>WILLOWPURE, LLC</t>
  </si>
  <si>
    <t>WILLOWPURE</t>
  </si>
  <si>
    <t>Ellsworth; Jill Lynn; (Aurora, CO); Ellsworth; Jason Robert; (Aurora, CO)</t>
  </si>
  <si>
    <t>A61L 2202/24 20130101;  A61L 2202/14 20130101;  A61L 2/202 20130101;  A61L 2202/26 20130101</t>
  </si>
  <si>
    <t>Disinfection methods using concentrated gaseous ozone. The methods are     useful for disinfecting virus-contaminated items of personal protective     equipment (PPE) and paper currency.</t>
  </si>
  <si>
    <t>US20210290801</t>
  </si>
  <si>
    <t>SYSTEMS AND METHODS FOR APPLYING ANTIMICROBIAL HAND BARRIER</t>
  </si>
  <si>
    <t>17/208915</t>
  </si>
  <si>
    <t>HANKERSON RACHEL</t>
  </si>
  <si>
    <t>Hankerson; Rachel; (Florissant, MO)</t>
  </si>
  <si>
    <t>A61L 2/18 20130101;  A61L 2202/15 20130101</t>
  </si>
  <si>
    <t>Systems and methods for applying an antimicrobial barrier to a hand     include a barrier precursor material, a reservoir for the barrier     precursor material, and a dispenser connected to the reservoir and     configured to dispense the barrier precursor material onto a hand     positioned adjacent the dispenser. The barrier precursor material cures     and adheres to the hand to form an antimicrobial barrier on the hand. The     antimicrobial barrier does not retain or transfer microorganisms from an     object grasped by the hand.</t>
  </si>
  <si>
    <t>US20210290793</t>
  </si>
  <si>
    <t>Ultraviolet Face Shield Systems for Reducing Germ Transmission</t>
  </si>
  <si>
    <t>16/826274</t>
  </si>
  <si>
    <t>TUNG MATTHEW JAY</t>
  </si>
  <si>
    <t>Tung; Matthew Jay; (San Diego, CA)</t>
  </si>
  <si>
    <t>A61L 2/26 20130101;  A61L 2/10 20130101;  A41D 13/1184 20130101;  A61L 2202/11 20130101</t>
  </si>
  <si>
    <t>Several embodiments relating to ultraviolet face shield systems and     methods of use are provided herein. Such face shield systems feature an     ultraviolet light source capable of inactivating, destroying, or killing     germs, bacteria, viruses, or other pathogens such as human coronavirus     COVID-19, and protecting individual(s) from infection.</t>
  </si>
  <si>
    <t>US20210290757</t>
  </si>
  <si>
    <t>ENGINEERING OF DENDRITIC CELLS FOR GENERATION OF VACCINES AGAINST     SARS-COV-2</t>
  </si>
  <si>
    <t>17/210409</t>
  </si>
  <si>
    <t>AVECTAS LIMITED</t>
  </si>
  <si>
    <t>AVECTAS</t>
  </si>
  <si>
    <t>O'Dea; Shirley; (Maynooth, IE); Maguire; Michael; (Dublin, IE)</t>
  </si>
  <si>
    <t>A61K 2039/5154 20130101;  C12N 2770/20034 20130101;  A61K 39/215 20130101</t>
  </si>
  <si>
    <t>The invention relates to methods of engineering cells (e.g., dendritic     cells (DCs)) for vaccinations (e.g., COVID-19) using ethanol-based     transient cell membrane permeabilization. Related methods, compositions,     apparatus, systems, and articles as described and/or illustrated herein.</t>
  </si>
  <si>
    <t>US20210290756</t>
  </si>
  <si>
    <t>CORONAVIRUS VACCINE COMPOSITIONS AND METHODS</t>
  </si>
  <si>
    <t>17/196889</t>
  </si>
  <si>
    <t>ARCTURUS THERAPEUTICS, INC.</t>
  </si>
  <si>
    <t>ARCTURUS THERAPEUTICS</t>
  </si>
  <si>
    <t>SULLIVAN; Sean Michael; (Escondido, CA); MATSUDA; Daiki; (San Diego, CA); TACHIKAWA; Kiyoshi; (San Diego, CA); CHIVUKULA; Padmanabh; (San Diego, CA); KARMALI; Priya Prakash; (San Diego, CA); DAVIS; Jared Henry; (Poway, CA); BAO; Yanjie; (San Diego, CA); SAGI; Amit; (San Diego, CA)</t>
  </si>
  <si>
    <t>C12N 2770/20034 20130101;  C12N 2830/42 20130101;  A61K 47/20 20130101;  A61K 39/215 20130101;  C12N 2770/20022 20130101;  C12N 2770/36134 20130101;  C12N 15/86 20130101;  A61K 47/10 20130101;  C07K 14/005 20130101;  A61K 2039/53 20130101;  A61K 9/5123 20130101;  A61K 47/26 20130101;  C12N 2770/36122 20130101</t>
  </si>
  <si>
    <t>Provided herein are nucleic acid molecules encoding viral replication     proteins and antigenic coronavirus proteins or fragments thereof. Also     provided herein are compositions that include nucleic acid molecules     encoding viral replication and antigenic proteins, and lipids. Nucleic     acid molecules provided herein are useful for inducing immune responses.</t>
  </si>
  <si>
    <t>US20210290751</t>
  </si>
  <si>
    <t>Production</t>
  </si>
  <si>
    <t>VIRUS VACCINATION SYSTEM AND METHODS</t>
  </si>
  <si>
    <t>17/108004</t>
  </si>
  <si>
    <t>PAZ ALBERT</t>
  </si>
  <si>
    <t>Paz; Albert; (Apex, NC)</t>
  </si>
  <si>
    <t>A61M 16/10 20130101;  A61M 2209/084 20130101;  A61M 2202/30 20130101;  A61M 16/06 20130101;  A61M 16/0875 20130101;  A61K 2039/544 20130101;  A61M 2205/3306 20130101;  A61M 2205/583 20130101;  A61K 2039/5252 20130101;  A61K 39/12 20130101;  A61M 2205/3368 20130101</t>
  </si>
  <si>
    <t>A vaccine formation and delivery system includes a first chamber     configured to store a live virus and a second chamber for storing an     inactivated virus. The system further includes a UV radiation means used     for irradiating the live virus. Personal dosage transfer chambers and a     delivery system configured to attach to the personal dosage transfer     chambers for delivering an activated virus to a user.</t>
  </si>
  <si>
    <t>US20210290728</t>
  </si>
  <si>
    <t>Use of ST266 to Treat Severe Systemic Inflammation and Post-Acute COVID-19     Syndrome</t>
  </si>
  <si>
    <t>17/197580</t>
  </si>
  <si>
    <t>NOVEOME BIOTHERAPEUTICS, INC.</t>
  </si>
  <si>
    <t>NOVEOME BIOTHERAPEUTICS</t>
  </si>
  <si>
    <t>Brown; Larry R; (Newton, MA)</t>
  </si>
  <si>
    <t>A61K 38/18 20130101;  A61P 29/00 20180101;  A61K 38/19 20130101</t>
  </si>
  <si>
    <t>The invention is directed to methods for the treatment of severe systemic     inflammatory responses, including but not limited to the severe systemic     inflammatory response called a "cytokine storm". The invention is further     directed to the use of ST266 to treat severe systemic inflammatory     responses. Specifically, the invention is directed to methods for     treating a cytokine storm or sequelae thereof by intravenously or     intranasally administering ST266 to a subject suffering from such     symptoms.</t>
  </si>
  <si>
    <t>US20210290718</t>
  </si>
  <si>
    <t>16/953674</t>
  </si>
  <si>
    <t>A61K 31/4706 20130101;  A61K 9/0053 20130101;  A61K 31/375 20130101;  A61K 33/30 20130101;  A61K 31/353 20130101;  A61K 31/593 20130101;  A61P 31/14 20180101;  A61K 31/7052 20130101;  A61K 36/282 20130101</t>
  </si>
  <si>
    <t>A method of preventing COVID-19 infection in an individual, the method     comprising the steps of providing an individual that is not infected with     COVID-19; administering four antimicrobials to the individual, wherein     the antimicrobials comprise: quercetin; vitamin C; vitamin D; and zinc;     and monitoring the individuals condition over a pre-determined amount of     time to determine the individual does not become infected with COVID-19.     A method of treating an individual infected with COVID-19, the method     comprising the steps of: providing an individual infected with COVID-19;     administering five antimicrobials to the individual, wherein the     antimicrobials comprise: quercetin; Artemisia; vitamin C; vitamin D; and     zinc; and monitoring the individuals condition over a pre-determined     period of time to determine whether the individual is no longer infected     with COVID-19.</t>
  </si>
  <si>
    <t>US20210290697</t>
  </si>
  <si>
    <t>METHODS OF PREVENTING AND TREATING COVID-19 INFECTION WITH PROBIOTICS</t>
  </si>
  <si>
    <t>17/200585</t>
  </si>
  <si>
    <t>A61K 35/742 20130101;  A61K 35/745 20130101;  A61K 31/7048 20130101;  A61K 35/741 20130101;  A61K 31/439 20130101;  A61P 31/14 20180101;  A61K 35/24 20130101;  A61K 38/14 20130101;  A61K 31/65 20130101;  C12Q 1/70 20130101</t>
  </si>
  <si>
    <t>Methods of preventing and treating COVID-19 infection by administering     probiotics. The probiotics can be administered via the following methods:     fecal transplant, suppository, or orally. The probiotic contains one or     more of the following microorganisms: Bifidobacterium, Clostridium,     Veillonella, Ruminococcus, and Sutterella.</t>
  </si>
  <si>
    <t>US20210290692</t>
  </si>
  <si>
    <t>FREE FATTY ACIDS AND METHODS OF MANUFACTURE AND USE FOR TREATING     CORONAVIRUS AND OTHER VIRAL RESPIRATORY INFECTIONS</t>
  </si>
  <si>
    <t>17/206041</t>
  </si>
  <si>
    <t>LIPID PHARMACEUTICALS EHF</t>
  </si>
  <si>
    <t>STEFANSSON; Einar; (Reykjavik, IS); LOFTSSON; Thorsteinn; (Reykjavik, IS)</t>
  </si>
  <si>
    <t>A61K 47/22 20130101;  A61K 9/006 20130101;  A61K 35/60 20130101</t>
  </si>
  <si>
    <t>An anti-viral composition or formulation is described that includes free     fatty acids ("FFA"). Also described, are methods of making and using such     a composition or formulation.</t>
  </si>
  <si>
    <t>US20210290651</t>
  </si>
  <si>
    <t>17/207500</t>
  </si>
  <si>
    <t>A61K 31/343 20130101;  A61K 31/675 20130101;  A61K 31/513 20130101;  A61K 31/47 20130101;  A61K 31/4965 20130101;  A61K 31/7056 20130101;  A61P 31/14 20180101</t>
  </si>
  <si>
    <t>US20210290650</t>
  </si>
  <si>
    <t>METHODS OF TREATING COVID-19 INFECTION</t>
  </si>
  <si>
    <t>17/126715</t>
  </si>
  <si>
    <t>A61K 31/4706 20130101;  A61K 31/375 20130101;  A61K 31/7052 20130101;  A61K 31/593 20130101;  A61P 31/14 20180101;  A61K 33/30 20130101</t>
  </si>
  <si>
    <t>A method of treating an individual infected with COVID-19, the method     comprising the steps of: providing an individual infected with COVID-19;     administering five antimicrobials to the individual, wherein the     antimicrobials comprise: hydroxychloroquine; azithromycin; vitamin C;     vitamin D; and zinc; and monitoring the individuals condition over a     pre-determined period of time to determine whether the individual is no     longer infected with COVID-19.</t>
  </si>
  <si>
    <t>US20210290649</t>
  </si>
  <si>
    <t>Method of Preventing and Treating COVID-19 Infection</t>
  </si>
  <si>
    <t>17/026051</t>
  </si>
  <si>
    <t>A method of preventing COVID-19 infection in an individual, the method     comprising the steps of providing an individual that is not infected with     COVID-19; administering four antimicrobials to the individual, wherein     the antimicrobials comprise: hydroxychloroquine; vitamin C; vitamin D;     and zinc; and monitoring the individuals condition over a pre-determined     amount of time to determine the individual does not become infected with     COVID-19. A method of treating an individual infected with COVID-19, the     method comprising the steps of: providing an individual infected with     COVID-19; administering five antimicrobials to the individual, wherein     the antimicrobials comprise: hydroxychloroquine; azithromycin; vitamin C;     vitamin D; and zinc; and monitoring the individuals condition over a     pre-determined period of time to determine whether the individual is no     longer infected with COVID-19.</t>
  </si>
  <si>
    <t>US20210290600</t>
  </si>
  <si>
    <t>Sphingosine Pathway Modulating Compounds For The Treatment Of Coronavirus     Infection</t>
  </si>
  <si>
    <t>17/197105</t>
  </si>
  <si>
    <t>ENZO BIOCHEM, INC.</t>
  </si>
  <si>
    <t>ENZO BIOCHEM</t>
  </si>
  <si>
    <t>Rabbani; Elazar; (New York, NY)</t>
  </si>
  <si>
    <t>A61K 31/4245 20130101</t>
  </si>
  <si>
    <t>The invention provides methods and compositions for treating a     coronavirus infection using sphingosine kinase-1 inhibitors, such as     SK1-I, and selective sphingosine-1-phosphate receptor agonists, such as     ozanimod.</t>
  </si>
  <si>
    <t>US20210290596</t>
  </si>
  <si>
    <t>17/113416</t>
  </si>
  <si>
    <t>A61K 31/513 20130101;  A61K 31/16 20130101;  A61K 31/4178 20130101;  A61P 31/14 20180101;  A61K 31/706 20130101;  A61K 38/215 20130101;  A61K 31/573 20130101;  A61K 31/7056 20130101;  A61K 45/06 20130101</t>
  </si>
  <si>
    <t>There is provided     N-butyloxycarbonyl-3-(4-imidazol-1-ylmethylphenyl)-5-isobutylthiophene-2--    sulfonamide, or a pharmaceutically-acceptable salt thereof, for use in a     method of treatment of respiratory virus-induced tissue damage. Such     damage may be caused by coronaviruses, including severe acute respiratory     syndrome coronavirus and severe acute respiratory syndrome coronavirus.     N-Butyloxycarbonyl-3-(4-imidazol-1-ylmethylphenyl)-5-iso-butylthiophene-2-    -sulfonamide alleviate symptoms of diseases caused by those viruses     (including coronavirus disease 2019 or COVID-19), such as cough, dyspnea,     pneumonia, respiratory distress, respiratory failure and/or fibrosis of     organs such as the lungs, the heart or the kidneys, and may thus prevent     respiratory virus-induced morbidity and/or mortality. In particular, it     has been found in a clinical study that the proportion of patients with     COVID-19 needing oxygen treatment was significantly lower for patients     that were administered     N-butyloxycarbonyl-3-(4-imidazol-1-ylmethylphenyl)-5-iso-butylthiophene-2-    -sulfonamide compared to placebo.</t>
  </si>
  <si>
    <t>US20210290567</t>
  </si>
  <si>
    <t>SPHINGOSINE PATHWAY MODULATING COMPOUNDS FOR THE TREATMENT OF CORONAVIRUS     INFECTION</t>
  </si>
  <si>
    <t>17/197100</t>
  </si>
  <si>
    <t>A61K 31/137 20130101</t>
  </si>
  <si>
    <t>US20210290531</t>
  </si>
  <si>
    <t>METHOD FOR PREVENTION AND TREATMENT OF A VIRAL-MEDIATED INFECTIOUS DISEASE</t>
  </si>
  <si>
    <t>17/220479</t>
  </si>
  <si>
    <t>Mousa; Shaker A.; (Wynantskill, NY)</t>
  </si>
  <si>
    <t>A61K 31/4706 20130101;  A61K 9/5138 20130101;  A61K 47/06 20130101;  A61K 9/5015 20130101;  A61K 47/32 20130101;  A61K 33/30 20130101;  A61K 9/0078 20130101;  A61K 9/008 20130101;  A61K 31/4965 20130101;  A61K 31/573 20130101;  A61K 31/727 20130101;  A61K 9/5123 20130101;  A61K 9/4866 20130101;  A61K 9/0073 20130101;  A61K 9/10 20130101;  A61K 9/08 20130101;  A61K 31/167 20130101;  A61K 47/02 20130101</t>
  </si>
  <si>
    <t>A method for prevention or treatment of a viral-mediated infectious     disease in a mammal. The mammal may be a human being. A therapeutic dose     of a composition is administered, via an inhalation delivery apparatus,     to the mammal. The composition includes microparticles and/or     nanoparticles. The microparticles and/or nanoparticles include a first     pharmaceutically active agent and a second pharmaceutically active agent.     The first pharmaceutically active agent includes unfractionated heparin     (UFH), Low Molecular Weight Heparin (LMWH), sulfated non-anticoagulant     heparin (S-NACH) or combinations thereof. The second pharmaceutically     active agent includes 10-30 mg of hydroxychloroquine in a form of     hydroxychloroquine sulfate, 10-30 mg of favipiravir, or a combination     thereof. The viral-mediated infectious disease is caused by one or more     viruses in the mammal.</t>
  </si>
  <si>
    <t>US20210290205</t>
  </si>
  <si>
    <t>Analytical Toilet for Detecting Viruses in Feces</t>
  </si>
  <si>
    <t>17/210474</t>
  </si>
  <si>
    <t>A61B 10/0038 20130101;  C12Q 1/701 20130101;  B01L 3/502715 20130101;  G01N 2021/6439 20130101</t>
  </si>
  <si>
    <t>An analytical toilet is disclosed. The analytical toilet includes a bowl     adapted to receive excreta and a detection system to detect a virus, such     as a coronavirus. The analytical toilet presents a sample extracted from     feces to the detection system and the detection system creates a signal     indicating whether or not a coronavirus is present in the sample.     Preferably, the detection system comprises a quantitative PCR instrument     and a fluorimeter.</t>
  </si>
  <si>
    <t>US20210290184</t>
  </si>
  <si>
    <t>REMOTE PATIENT MANAGEMENT AND MONITORING SYSTEMS AND METHODS</t>
  </si>
  <si>
    <t>17/207469</t>
  </si>
  <si>
    <t>Ahmed; Omar; (Mission Viejo, CA); Barker; Nicholas Evan; (Laguna Beach, CA); Indorf; Keith Ward; (Riverside, CA); Cha; Sungwhan; (Santiago, CL); Frey; Sebastian T.; (Laguna Niguel, CA); Cho; Hyejin; (Irvine, CA)</t>
  </si>
  <si>
    <t>A61B 5/7282 20130101;  A61B 5/0205 20130101;  A61B 5/026 20130101;  G16H 40/20 20180101;  A61B 5/14551 20130101;  A61B 5/7475 20130101;  G16H 10/60 20180101;  A61B 5/0816 20130101;  G06F 9/451 20180201;  A61B 5/024 20130101;  G16H 15/00 20180101;  G06F 3/04842 20130101;  A61B 5/746 20130101;  A61B 5/7435 20130101;  G16H 40/67 20180101;  A61B 5/0022 20130101;  G16H 50/30 20180101;  A61B 5/7465 20130101</t>
  </si>
  <si>
    <t>Systems and methods are provided for remote patient management and     monitoring. The patient is monitored with a wireless sensor system     connected to an application executing on a patient user computing device.     The system continuously monitors physiological parameters, such as, but     not limited to, blood oxygen saturation (SpO.sub.2), pulse rate,     perfusion index, pleth variability index, and/or respiration rate from     the photoplethysmograph. The system triggers alarms if the patient     physiological data violates thresholds. Care providers review patient     data and associated alarm(s) with graphical user interfaces.</t>
  </si>
  <si>
    <t>US20210290177</t>
  </si>
  <si>
    <t>WEARABLE DEVICE FOR MONITORING HEALTH STATUS</t>
  </si>
  <si>
    <t>17/207055</t>
  </si>
  <si>
    <t>A61B 5/01 20130101;  A61B 5/6801 20130101;  A61B 2562/0271 20130101;  A61B 5/7275 20130101;  A61B 5/0022 20130101;  A61B 5/002 20130101</t>
  </si>
  <si>
    <t>US20210290080</t>
  </si>
  <si>
    <t>17/207447</t>
  </si>
  <si>
    <t>A61B 5/6814 20130101;  A61B 5/6826 20130101;  A61B 5/747 20130101;  A61B 5/0816 20130101;  A61B 5/0004 20130101;  A61B 5/746 20130101;  A61B 5/02055 20130101;  A61B 5/6823 20130101;  A61B 5/14542 20130101;  A61B 5/002 20130101;  A61B 5/6824 20130101</t>
  </si>
  <si>
    <t>US20210290060</t>
  </si>
  <si>
    <t>17/207441</t>
  </si>
  <si>
    <t>A61B 5/6826 20130101;  A61B 5/747 20130101;  A61B 5/01 20130101;  A61B 5/0004 20130101;  A61B 5/0022 20130101;  A61B 5/08 20130101;  A61B 5/6823 20130101;  A61B 5/14542 20130101;  A61B 5/6824 20130101</t>
  </si>
  <si>
    <t>US20210287806</t>
  </si>
  <si>
    <t>DEVICES AND METHODS OF REMOTELY MONITORING AND TRIAGING PATIENTS</t>
  </si>
  <si>
    <t>17/003809</t>
  </si>
  <si>
    <t>AIRX HEALTH, INC.</t>
  </si>
  <si>
    <t>AIRX HEALTH</t>
  </si>
  <si>
    <t>RAJASEKHAR; Vijaykumar R.; (Campbell, CA); CASTILLO; Marlon Sebastian; (San Mateo, CA); BUNCOM, IV; Frank James; (San Diego, CA)</t>
  </si>
  <si>
    <t>A61B 5/02055 20130101;  G16H 50/30 20180101;  G16H 40/67 20180101;  A61B 5/0022 20130101</t>
  </si>
  <si>
    <t>A method for remotely monitoring one or more patients may include     receiving a transmission of one or more patient assessments of current     health of each patient, determining a trending index for each patient     based on a baseline medical risk of the patient, a social exposure risk     of the patient, and at least one patient assessment for the patient; and     triaging the one or more patients according to medical risk associated     with the contagious disease based on the trending index. The patient     assessment may, for example, include an evaluation of at least one of: at     least one symptom associated with a contagious disease and at least one     vital sign associated with the contagious disease. The method and     associated systems may be used, for example, to monitor and/or triage     patients in the outpatient setting, to help manage patients who are at     medical risk for a contagious disease.</t>
  </si>
  <si>
    <t>US20210287798</t>
  </si>
  <si>
    <t>SYSTEMS AND METHODS FOR NON-INVASIVE VIRUS SYMPTOM DETECTION</t>
  </si>
  <si>
    <t>17/141448</t>
  </si>
  <si>
    <t>SYMPTOMSENSE LLC</t>
  </si>
  <si>
    <t>SYMPTOMSENSE</t>
  </si>
  <si>
    <t>Peterson; Derek; (South Setauket, NY); Elbadry; Mohammed; (East Setauket, NY); Anderson; Lenworth; (Bayside, NY); Muhammad; Bilal; (West Babylon, NY); Hussain; Asheik; (Ozone Park, NY)</t>
  </si>
  <si>
    <t>A61B 2576/00 20130101;  A61B 5/7267 20130101;  G16H 50/80 20180101;  A61B 5/743 20130101;  G16H 15/00 20180101;  A61B 5/05 20130101;  A61B 5/02405 20130101;  A61B 5/7275 20130101;  G16H 40/67 20180101;  G01J 5/0025 20130101;  G16H 50/20 20180101;  G06N 3/08 20130101;  G16H 50/30 20180101;  A61B 5/0205 20130101;  A61B 5/015 20130101;  A61B 5/085 20130101;  G16H 50/70 20180101;  A61B 5/0035 20130101;  G01J 2005/0077 20130101;  A61B 5/0059 20130101;  G06N 3/0454 20130101;  G16H 10/60 20180101;  A61B 5/0823 20130101</t>
  </si>
  <si>
    <t>Systems for symptom detection include a sensor configured to sense a     signal indicative of at least one vital sign of a user, a display, a     processor, and a memory. The memory has stored thereon instructions     which, when executed by the processor, cause the system to determine at     least one vital sign of the user based on the sensed signal, determine a     wellness and/or health condition of the user based on the at least one     vital sign, and display on the display at least one of information or     indicia indicative of the determined wellness or health condition.</t>
  </si>
  <si>
    <t>US20210287768</t>
  </si>
  <si>
    <t>TRUSTED THIRD-PARTY COMPUTERIZED PLATFORM FOR AI-BASED HEALTH WALLET</t>
  </si>
  <si>
    <t>17/221827</t>
  </si>
  <si>
    <t>NEXTGEN MONETIZATION TRUST</t>
  </si>
  <si>
    <t>Craig; Brayden; (Sydney, AU); Burke; Christopher John; (Central, HK)</t>
  </si>
  <si>
    <t>G16H 15/00 20180101;  G16H 10/20 20180101;  G16H 10/60 20180101;  G06K 7/1417 20130101;  G06N 7/005 20130101</t>
  </si>
  <si>
    <t>A process registers, at the user mobile computing device, one or more     health-related documents for inclusion in a cloud-based digital health     wallet. Furthermore, the process receives, at a user mobile computing     device, a biometric identification input from the user for the     registration of the one or more health-related documents. The process     sends, from the user mobile computing device to a server computing device     that stores the cloud-based digital health wallet, a first coded version     of the biometric identification input for storage in a biometric     validation data structure. Additionally, the process determines, at the     user mobile computing device, a location of the user. Moreover, the     process sends, from the user mobile computing device to the server     computing device, a validation request at the location. The validation     request includes a second coded version of a subsequently inputted     biometric input from the user at the location.</t>
  </si>
  <si>
    <t>US20210286864</t>
  </si>
  <si>
    <t>DUAL-MODE BIOMETRIC CONFIGURATION FOR USER VALIDATION AND USER HEALTH     CHECK TO DETERMINE ACCESS TO PRODUCTS AND/OR SERVICES</t>
  </si>
  <si>
    <t>16/817844</t>
  </si>
  <si>
    <t>BURKE, CHRISTOPHER JOHN</t>
  </si>
  <si>
    <t>BURKE CHRISTOPHER</t>
  </si>
  <si>
    <t>Burke; Christopher John; (Central, HK)</t>
  </si>
  <si>
    <t>G06F 21/32 20130101;  G16H 40/60 20180101</t>
  </si>
  <si>
    <t>A process receives, at a mobile computing device, a biometric     identification input from a user. Furthermore, the process compares, with     a processor at the mobile computing device, the biometric identification     input with a previously-stored biometric identification input to validate     an identity of the user. Moreover, the process measures, at the mobile     computing device, one or more health parameters of the user. Finally, the     process sends, based upon the validation of the identity of the user, the     one or more health measurements to an access device that grants access to     the user to a product or service based upon the one or more health     measurements complying with one or more health criteria to validate a     health check of the user.</t>
  </si>
  <si>
    <t>US20210286843</t>
  </si>
  <si>
    <t>GEOGRAPHIC POPULATION HEALTH INFORMATION SYSTEM</t>
  </si>
  <si>
    <t>17/333167</t>
  </si>
  <si>
    <t>BLUE CROSS AND BLUE SHIELD ASSOCIATION</t>
  </si>
  <si>
    <t>BLUE CROSS AND BLUE SHIELD</t>
  </si>
  <si>
    <t>Clark; Teresa Nguyen; (Lake Forest, IL); Weinberg; Michael Steven; (Berwyn, IL); Villarreal; Carlos Ricardo; (Bloomington, IN); Hau; Nathania; (Chicago, IL); McLean; Jelani Akil; (Chicago, IL); Berube; Abigail; (Chicago, IL); Haywood; Trent Tyrone; (Lewisville, TX)</t>
  </si>
  <si>
    <t>G06F 16/951 20190101;  G16H 50/80 20180101;  G06F 21/6245 20130101;  G06T 11/001 20130101;  G16H 40/63 20180101;  G06F 2203/04806 20130101;  H04L 67/42 20130101;  G06F 16/29 20190101;  G06T 3/40 20130101;  G06F 16/5866 20190101;  G06F 3/0482 20130101;  G06T 2207/20112 20130101</t>
  </si>
  <si>
    <t>A method and system for providing a data analysis in the form of a     customized geographic visualization on a graphical user interface (GUI)     on a remote client computing device using only a web browser on the     remote client device. The system receives a user's selected data analysis     to be performed by the system for display on the remote client device.     The system verifies the data access permissions of the user to render a     data analysis solution customized to that particular user, and     automatically prevents that user from gaining access to data analysis     solutions to which that user is prohibited. The system is configured to     respond to the user's data analysis request, perform the necessary     computations on the server side on the fly, and send a dataset     interpretable by the client device's web browser for display on the     client device or on a device associated with the client device.</t>
  </si>
  <si>
    <t>US20210285949</t>
  </si>
  <si>
    <t>PRO-ADRENOMEDULLIN OR FRAGMENT THEREOF IN PATIENTS INFECTED WITH CORONA     VIRUS AND TREATMENTS WITH BINDER AGAINST ADRENOMEDULLIN</t>
  </si>
  <si>
    <t>17/201518</t>
  </si>
  <si>
    <t>SPHINGOTEC GMBH; ADRENOMED AG</t>
  </si>
  <si>
    <t>SPHINGOTEC GMBH; ADRENOMED</t>
  </si>
  <si>
    <t>BERGMANN; Andreas; (Berlin, DE)</t>
  </si>
  <si>
    <t>G01N 2800/50 20130101;  C07K 16/22 20130101;  C07K 2317/565 20130101;  G01N 2800/56 20130101;  C07K 2317/55 20130101;  C07K 2317/21 20130101;  C07K 2317/92 20130101;  A61P 31/14 20180101;  G01N 2800/52 20130101;  G01N 2333/165 20130101;  C07K 2317/54 20130101;  G01N 33/6893 20130101;  G01N 33/56983 20130101;  A61K 2039/505 20130101;  C07K 2317/76 20130101;  C07K 2317/24 20130101</t>
  </si>
  <si>
    <t>Subject matter of the present invention is a method for (a) diagnosing or     predicting the risk of life-threatening deterioration or an adverse event     or (b) prognosing the severity or (c) predicting or monitoring the     success of a therapy or intervention in a patient infected with a Corona     virus, the method comprising:   determining the level of     pro-Adrenomedullin (SEQ ID No. 31) or fragment thereof in a sample of     bodily fluid of said patient, comparing said level of pro-Adrenomedullin     or fragment thereof to a pre-determined threshold or a previous level of     pro-Adrenomedullin or fragment thereof, and correlating said level of     pro-Adrenomedullin or fragment thereof with the risk of life-threatening     deterioration or an adverse event, or correlating said level of     pro-Adrenomedullin or fragment thereof with the severity, or correlating     said level of pro-Adrenomedullin or fragment thereof with the success of     a therapy or intervention, wherein said pro-Adrenomedullin or fragment     thereof is selected from the group consisting of PAMP (SEQ ID No. 32),     MR-proADM (SEQ ID No. 33), ADM-NH2 (SEQ ID No. 20), ADM-Gly (SEQ ID No.     21) and CT-proADM (SEQ ID No. 34). Subject matter of the present invention is an Anti-adrenomedullin (ADM)     antibody or anti-ADM antibody fragment or anti-ADM non-Ig scaffold for     use in therapy or intervention in a patient in a patient infected with a     Corona virus.</t>
  </si>
  <si>
    <t>US20210285943</t>
  </si>
  <si>
    <t>VIRUMETER FOR RAPID DETECTION OF COVID19 AND OTHER PATHOGENS</t>
  </si>
  <si>
    <t>16/855709</t>
  </si>
  <si>
    <t>HOWARD NEWTON</t>
  </si>
  <si>
    <t>Howard; Newton; (Providence, RI)</t>
  </si>
  <si>
    <t>G01N 21/6428 20130101;  G01N 33/533 20130101;  G01N 33/56983 20130101;  G01N 33/54333 20130101;  G01N 2021/6439 20130101;  G01N 15/1463 20130101</t>
  </si>
  <si>
    <t>Embodiments may include a virumeter for rapid detection of COVID-19     infection and assessment of immunity to the virus. For example, a device     for detecting primary antibodies to a pathogen or the pathogen may     comprise a cartridge to receive a test sample from the person, the     cartridge comprising at least one chamber to receive the test sample,     first apparatus to mix at least one first reagent reactive to presence of     the primary antibodies to the pathogen or the pathogen, second apparatus     to mix at least one second reagent including a fluorescent compound with     the test sample reactive to presence of the at least one first reagent     having reacted to presence of the primary antibodies to the pathogen or     the pathogen, and circuitry to determine presence of primary antibodies     to the pathogen or the pathogen by detecting reaction of the second     reagent by determining fluorescence of the fluorescent compound.</t>
  </si>
  <si>
    <t>US20210285065</t>
  </si>
  <si>
    <t>Rapid Diagnostic Test Using Colorimetric LAMP</t>
  </si>
  <si>
    <t>17/221451</t>
  </si>
  <si>
    <t>NEW ENGLAND BIOLABS, INC.</t>
  </si>
  <si>
    <t>NEW ENGLAND BIOLABS</t>
  </si>
  <si>
    <t>Tanner; Nathan; (West Newbury, MA); Zhang; Yinhua; (North Reading, MA); Patton; Gregory; (Peabody, MA); Ren; Guoping; (Danvers, MA); Li; Zhiru; (Lexington, MA); Nichols; Nicole; (Reading, MA)</t>
  </si>
  <si>
    <t>G01N 21/78 20130101;  C12Q 1/701 20130101</t>
  </si>
  <si>
    <t>Kits and methods are provided for performing multiplex Loop-Mediated     Isothermal Amplification (LAMP) reactions. These kits and methods are     directed to specific and sensitive methods of target nucleic acid     detection and more specifically pathogen diagnostics such as detection of     Coronavirus. The kits and methods utilize a plurality of sets of     oligonucleotide primers for targeting the viral nucleic acid target.</t>
  </si>
  <si>
    <t>US20210285064</t>
  </si>
  <si>
    <t>17/178395</t>
  </si>
  <si>
    <t>Kits and methods are provided for performing multiplex LAMP reactions.     These kits and methods are directed to specific and sensitive methods of     target nucleic acid detection and more specifically pathogen diagnostics     such as detection of Coronavirus. The kits and methods utilize a     plurality of sets of oligonucleotide primers for targeting the viral     nucleic acid target.</t>
  </si>
  <si>
    <t>US20210284745</t>
  </si>
  <si>
    <t>TREATMENT OF CYTOKINE RELEASE SYNDROME WITH GM-CSF ANTAGONISTS</t>
  </si>
  <si>
    <t>17/324931</t>
  </si>
  <si>
    <t>KINIKSA PHARMACEUTICALS, LTD.</t>
  </si>
  <si>
    <t>KINIKSA PHARMACEUTICALS</t>
  </si>
  <si>
    <t>Pirrello; Joe; (Lexington, MA); Paolini; John; (Lexington, MA); Tessari; Eben; (Lexington, MA)</t>
  </si>
  <si>
    <t>A61K 31/573 20130101;  A61P 31/14 20180101;  A61K 31/685 20130101;  A61K 2039/545 20130101;  C07K 16/2866 20130101</t>
  </si>
  <si>
    <t>The present invention provides, among other things, a method of treating     a subject with infection-induced hyperinflammation comprising     administering to the subject a granulocyte-macrophage colony-stimulating     factor (GM-CSF) antagonist at a therapeutically effective dose and an     administration interval for a treatment period sufficient to improve,     stabilize or reduce one or more symptoms of hyperinflammation. The     present invention also provides, among other things, a method of     inhibiting or reducing cytokine release syndrome (CRS) or acute     respiratory distress syndrome (ARDS) in a subject comprising     administering to the subject a granulocyte-macrophage colony-stimulating     factor (GM-CSF) antagonist at a therapeutically effective dose and an     administration interval for a treatment period sufficient to improve,     stabilize or reduce one or more symptoms of CRS or ARDS.</t>
  </si>
  <si>
    <t>US20210284744</t>
  </si>
  <si>
    <t>17/201698</t>
  </si>
  <si>
    <t>C07K 2317/565 20130101;  A61K 2039/545 20130101;  C07K 16/2866 20130101;  A61P 31/14 20180101</t>
  </si>
  <si>
    <t>US20210284743</t>
  </si>
  <si>
    <t>COMPOSITIONS OF IL-6/IL-6R ANTIBODIES AND METHODS OF USE THEREOF</t>
  </si>
  <si>
    <t>17/197603</t>
  </si>
  <si>
    <t>TIZIANA LIFE SCIENCES PLC</t>
  </si>
  <si>
    <t>SHAILUBHAI; Kunwar; (Line Lexington, PA); CERRONE; Gabriele; (London, GB); PALEJWALA; Vaseem A.; (Scotch Plains, NJ); JACOB; Jules S.; (Perkasie, PA)</t>
  </si>
  <si>
    <t>C07K 16/2809 20130101;  A61K 45/06 20130101;  A61K 47/183 20130101;  C07K 2317/94 20130101;  C07K 16/2887 20130101;  A61K 9/0078 20130101;  A61K 47/26 20130101;  C07K 16/241 20130101;  C07K 16/2866 20130101;  A61K 47/02 20130101;  C07K 16/243 20130101;  C07K 2317/565 20130101</t>
  </si>
  <si>
    <t>The present disclosure provides compositions and methods for the     treatment of coronavirus infections, such as SAR-CoV, SARS-CoV-2, and     MERS-CoV. The compositions include antibodies targeting the IL-6 receptor     complex, antibodies targeting CD3, dactinomycin, and combinations     thereof. The methods of treatment include administration of antibodies     and combination therapies to reduce or eliminate symptoms associated with     coronavirus infection or pulmonary inflammatory disease.</t>
  </si>
  <si>
    <t>US20210284716</t>
  </si>
  <si>
    <t>ACE2-Fc Trap</t>
  </si>
  <si>
    <t>16/880804</t>
  </si>
  <si>
    <t>Niazi; Kayvan; (Culver City, CA); Olson; C. Anders; (Culver City, CA); Tanaka; Shiho; (Culver City, CA); Lee; John H.; (Culver City, CA); Higashide; Wendy; (Culver City, CA); Soon-Shiong; Patrick; (Culver City, CA)</t>
  </si>
  <si>
    <t>C07K 2317/52 20130101;  A61K 38/00 20130101;  C12Y 304/17023 20130101;  C07K 14/8103 20130101</t>
  </si>
  <si>
    <t>An ACE2-Fc hybrid construct is used as a therapeutic and/or analytic     entity to treat an individual infected with a coronavirus or to detect a     coronavirus in an analyte. In selected embodiments, the Fc portion of the     hybrid construct is an IgA Fc portion, and in still further embodiments     the ACE2 portion has a mutation that reduces or abolishes ACE2 catalytic     activity.</t>
  </si>
  <si>
    <t>US20210284713</t>
  </si>
  <si>
    <t>ANTI COVID-19 THERAPIES USING CD40 LIGAND FUSION PROTEIN</t>
  </si>
  <si>
    <t>17/082994</t>
  </si>
  <si>
    <t>Niazi; Kayvan; (Culver City, CA); Nelson; Jay Gardner; (Culver City, CA); Shin; Annie; (Culver City, CA); Olson; Clifford Anders; (Culver City, CA); Tanaka; Shiho; (Culver City, CA)</t>
  </si>
  <si>
    <t>A61K 2039/523 20130101;  C12N 2770/20022 20130101;  C07K 14/005 20130101;  C12N 2710/10021 20130101;  A61K 2039/54 20130101;  C07K 14/70575 20130101;  C12N 15/86 20130101;  C07K 2319/00 20130101;  C12N 2770/20034 20130101;  A61K 39/215 20130101;  C12N 2710/10043 20130101;  A61K 2039/5256 20130101</t>
  </si>
  <si>
    <t>Compositions and methods are presented for prevention and/or treatment of     a coronavirus disease wherein the composition comprises a recombinant     entity. The recombinant entity comprises a nucleic acid that encodes a     extracellular portion of CD40 ligand (CD40L) coupled by a flexible linker     to a coronavirus 2 (CoV2) spike protein and/or a CoV2 nucleocapsid     protein.</t>
  </si>
  <si>
    <t>US20210283433</t>
  </si>
  <si>
    <t>Epidemic prevention mask having smoking and drinking functions</t>
  </si>
  <si>
    <t>17/120273</t>
  </si>
  <si>
    <t>YEH NUNG</t>
  </si>
  <si>
    <t>YEH; Nung; (New Taipei City, TW)</t>
  </si>
  <si>
    <t>A62B 18/086 20130101;  A62B 18/025 20130101;  A41D 13/1107 20130101</t>
  </si>
  <si>
    <t>An epidemic prevention mask having smoking and drinking functions is     provided, which includes a first mask body and at least one hole-covering     part. The first mask body is adapted to cover a mouth position and a nose     position of a user, and has at least one through-hole corresponding to     the mouth position. A hole-covering part is connected to a hole edge of     the through-hole and covers the through-hole. The epidemic prevention     mask of the invention can be worn as a general epidemic prevention mask,     and also enables users to smoke or drink a beverage while wearing the     epidemic prevention mask.</t>
  </si>
  <si>
    <t>US20210283415</t>
  </si>
  <si>
    <t>APPLICATION OF NANOPARTICLES TO TREAT INFECTIONS IN THE RESPIRATORY TRACT</t>
  </si>
  <si>
    <t>17/202449</t>
  </si>
  <si>
    <t>3DT HOLDINGS, LLC</t>
  </si>
  <si>
    <t>3DT</t>
  </si>
  <si>
    <t>Kassab; Ghassan S; (La Jolla, CA); Dabiri; Ali; (San Diego, CA)</t>
  </si>
  <si>
    <t>A61N 2005/0612 20130101;  A61N 2005/066 20130101;  A61K 47/6929 20170801;  A61N 5/06 20130101</t>
  </si>
  <si>
    <t>A method of using nanoparticle (NP) spray to treat an infection in the     respiratory system and far infrared radiation (FIR) to treat     inflammation. The method uses a spray probe inserted into the airway of a     patient to apply mSiO.sub.2 and FIR to a target site in the upper     respiratory tract. FIR applied may be in the 3-10 .mu.m range. The     mSiO.sub.2 spray kills any organisms, including COVID-19 and FIR reduces     inflammation resulting from infection. The treatment may be applied to     intubated or spontaneously breathing patients and via the oral or nasal     passages.</t>
  </si>
  <si>
    <t>US20210283356</t>
  </si>
  <si>
    <t>APPLICATION OF UV/FIR TO TREAT INFECTIONS IN THE RESPIRATORY TRACT</t>
  </si>
  <si>
    <t>17/202433</t>
  </si>
  <si>
    <t>A61M 2205/053 20130101;  A61M 16/0402 20140204;  A61M 2202/206 20130101</t>
  </si>
  <si>
    <t>A method of using ultraviolet (UV) radiation to treat an infection in the     respiratory system and far infrared radiation (FIR) to treat     inflammation. The method uses a light probe inserted into the airway of a     patient to apply UV radiation and FIR to a target site in the upper     respiratory tract. The UV radiation applied may be broad-spectrum UV     radiation or UVC radiation in the 222 nm range. FIR applied may be in the     3-10 .mu.m range. The UV radiation kills any organisms, including     COVID-19 and FIR reduces inflammation resulting from infection and     subsequent UV treatment. The treatment may be applied to intubated or     spontaneously breathing patients and via the oral or nasal passages.</t>
  </si>
  <si>
    <t>US20210283245</t>
  </si>
  <si>
    <t>Anti COVID-19 Therapies targeting nucleocapsid and spike proteins</t>
  </si>
  <si>
    <t>16/883263</t>
  </si>
  <si>
    <t>Niazi; Kayvan; (Culver City, CA); King; Thomas; (Culver City, CA)</t>
  </si>
  <si>
    <t>C07K 14/005 20130101;  C12N 1/16 20130101;  C12N 15/86 20130101;  C12N 2770/20034 20130101;  A61K 39/235 20130101;  C07K 14/165 20130101;  C12N 2710/10341 20130101;  C07K 2319/01 20130101;  A61K 39/215 20130101</t>
  </si>
  <si>
    <t>US20210283244</t>
  </si>
  <si>
    <t>ADENOVIRUS-VECTORED VACCINE FOR PREVENTING SARS-COV-2 INFECTION</t>
  </si>
  <si>
    <t>17/260820</t>
  </si>
  <si>
    <t>GUANGZHOU N BIOMED CO., LTD.</t>
  </si>
  <si>
    <t>GUANGZHOU BIOMED</t>
  </si>
  <si>
    <t>Chen; Ling; (Guangzhou, Guangdong, CN); Guan; Suhua; (Guangzhou, Guangdong, CN); Yang; Chenchen; (Guangzhou, Guangdong, CN); Liu; Xiaolin; (Guangzhou, Guangdong, CN)</t>
  </si>
  <si>
    <t>A61K 2039/53 20130101;  A61K 39/215 20130101;  C12N 15/86 20130101;  A61P 31/14 20180101</t>
  </si>
  <si>
    <t>The present disclosure discloses an adenovirus vectored vaccine for     preventing SARS-CoV-2 infection, which comprises a nucleotide sequence as     shown by SEQ ID NO: 1. According to some embodiments of the present     disclosure, the vaccine comprises an S protein-coding nucleotide sequence     which is easily expressed in human cells, and can produce more S     proteins. The vaccine of the present disclosure is expected to be used as     a recombinant viral vaccine for preventing SARS-CoV-2 infection. Some     embodiments of the present disclosure have better safety.</t>
  </si>
  <si>
    <t>US20210283243</t>
  </si>
  <si>
    <t>LICHENASE-COVID-19 BASED VACCINE</t>
  </si>
  <si>
    <t>17/198900</t>
  </si>
  <si>
    <t>IBIO, INC.</t>
  </si>
  <si>
    <t>IBIO</t>
  </si>
  <si>
    <t>Marcel; Sylvain; (College Station, TX)</t>
  </si>
  <si>
    <t>C12N 9/2448 20130101;  C12N 15/823 20130101;  C07K 2319/91 20130101;  C12Y 302/01073 20130101;  A61K 39/215 20130101;  C07K 14/165 20130101;  C12N 15/62 20130101</t>
  </si>
  <si>
    <t>The present invention includes an immunogenic protein, nucleic acid,     plant and immunization comprising a fusion protein that has at least 90%     amino acid identity to an amino acid sequence of a modified thermostable     lichenase (LicKM) polypeptide as set forth in SEQ ID NO:9, wherein the     LicKM polypeptide comprises an N-terminus, a C-terminus, and an inner     loop region, and wherein a Receptor Binding Domain (RBD) or a Receptor     Binding Motif (RBM) of a coronavirus spike protein is positioned at, at     least one of, the N-terminus, the C-terminus, or in a loop region of the     LicKM polypeptide.</t>
  </si>
  <si>
    <t>US20210283242</t>
  </si>
  <si>
    <t>IMMUNE-MEDIATED CORONAVIRUS TREATMENTS</t>
  </si>
  <si>
    <t>17/190098</t>
  </si>
  <si>
    <t>HEAT BIOLOGICS, INC.</t>
  </si>
  <si>
    <t>HEAT BIOLOGICS</t>
  </si>
  <si>
    <t>HUTCHINS; Jeff T.; (Claremore, OK); STRBO; Natasa; (Miami, FL); WOLF; Jeffrey; (Morrisville, NC)</t>
  </si>
  <si>
    <t>C07K 2319/33 20130101;  C07K 2319/35 20130101;  C12N 2770/20071 20130101;  C07K 14/005 20130101;  C07K 14/525 20130101;  A61K 2039/55516 20130101;  A61K 2039/5156 20130101;  A61K 2039/6006 20130101;  A61K 39/39 20130101;  C07K 2319/30 20130101;  A61P 31/14 20180101;  A61K 39/12 20130101;  C12N 2770/20034 20130101;  C07K 14/47 20130101;  A61K 39/215 20130101;  A61K 2039/572 20130101</t>
  </si>
  <si>
    <t>The present invention provides an expression vector, host cells, methods     and kits for the treatment or prevention of a coronavirus infection in a     subject.</t>
  </si>
  <si>
    <t>US20210283216</t>
  </si>
  <si>
    <t>Antiviral Pharmaceutical Compositions and Method of Manufacturing</t>
  </si>
  <si>
    <t>17/198015</t>
  </si>
  <si>
    <t>ANEWSHA HOLDING GROUP LLC</t>
  </si>
  <si>
    <t>ANEWSHA HOLDING</t>
  </si>
  <si>
    <t>Swartout; Chris Thomas; (East Marion, NY)</t>
  </si>
  <si>
    <t>A61K 38/168 20130101;  A61K 31/05 20130101;  A61K 9/2018 20130101;  A61K 31/245 20130101;  A61K 36/04 20130101;  A61K 9/0053 20130101;  A61K 47/26 20130101</t>
  </si>
  <si>
    <t>The present disclosure provides compositions comprising combinations of     one or more lectins, sulfated polysaccharides from marine algae, and     cannabinoids and a pharmaceutically acceptable excipient or mixtures of     excipients and methods of preparing such compositions.</t>
  </si>
  <si>
    <t>US20210283201</t>
  </si>
  <si>
    <t>Systems and Methods for Treating Patients Infected with SARS-COV-2</t>
  </si>
  <si>
    <t>17/191569</t>
  </si>
  <si>
    <t>HDL THERAPEUTICS, INC.</t>
  </si>
  <si>
    <t>HDL THERAPEUTICS</t>
  </si>
  <si>
    <t>Brewer, Jr.; Hollis Bryan; (Potomac, MD); Matin; Michael M.; (Short Hills, NJ)</t>
  </si>
  <si>
    <t>G01N 2333/165 20130101;  A61K 35/76 20130101;  G01N 33/56983 20130101;  A61K 35/16 20130101</t>
  </si>
  <si>
    <t>The present specification describes methods and systems for treating a     patient having a SARS-CoV-2 virus load greater than a predefined     threshold. A patient is assessed to determine if the patient has the     SARS-CoV-2 virus load greater than the predefined threshold. If the     patient has the SARS-CoV-2 virus load greater than the predefined     threshold, a volume of plasma is removed from the patient. In a plasma     delipidation system, the volume of plasma is mixed with an extraction     solvent to delipidate at least some of the SARS-CoV-2 viruses in the     patient's SARS-CoV-2 virus load, thereby causing one or more     modifications to the SARS-CoV-2 viruses. The extraction solvent is     removed from the plasma and the plasma is administered with the at least     some of the delipidated SARS-CoV-2 viruses to the patient.</t>
  </si>
  <si>
    <t>US20210283162</t>
  </si>
  <si>
    <t>ALDEHYDE FUNCTIONAL MONOTERPENOIDS FOR THE TREATMENT OF CORONAVIRUS     INFECTION</t>
  </si>
  <si>
    <t>17/306389</t>
  </si>
  <si>
    <t>COE WILLIAM B</t>
  </si>
  <si>
    <t>COE WILLIAM</t>
  </si>
  <si>
    <t>Coe; William B.; (Wrightwood, CA)</t>
  </si>
  <si>
    <t>A61K 36/79 20130101;  A61K 31/11 20130101;  A61K 47/10 20130101;  A61K 31/7084 20130101;  A61K 31/045 20130101;  A61K 31/352 20130101;  A61K 36/48 20130101;  A61P 31/14 20180101;  A61K 36/53 20130101;  A61K 9/107 20130101;  A61K 33/30 20130101;  A61K 9/0078 20130101;  A61K 31/12 20130101</t>
  </si>
  <si>
    <t>Compositions comprising aldehyde functional monoterpenoids in combination     with 3,3',4',7-tetrahydroxyflavone, zinc, and a     5-beta-D-Ribofuranosylpicolineamide adenine-dinucleotide molecule are     provided for treating viral infections, e.g., coronavirus infections such     as COVID-19.</t>
  </si>
  <si>
    <t>US20210283160</t>
  </si>
  <si>
    <t>VIRAL INHIBITION</t>
  </si>
  <si>
    <t>17/201621</t>
  </si>
  <si>
    <t>MELBOURNE HEALTH, LEVEL 6-6 EAST</t>
  </si>
  <si>
    <t>MELBOURNE HEALTH</t>
  </si>
  <si>
    <t>WAGSTAFF; Kylie Michelle; (Melbourne, AU); CALY; Leon; (Melbourne, AU); JANS; David; (Melbourne, AU)</t>
  </si>
  <si>
    <t>A61K 31/7048 20130101;  A61K 31/365 20130101</t>
  </si>
  <si>
    <t>The technology relates to the use of at least one macrocyclic lactone     such as ivermectin or moxidectin to inhibit a coronavirus in a subject in     order to treat, prevent or reduce the risk of infection by the     coronavirus.</t>
  </si>
  <si>
    <t>US20210283152</t>
  </si>
  <si>
    <t>METHOD FOR TREATMENT OF COVID-19-ASSOCIATED CONDITIONS</t>
  </si>
  <si>
    <t>17/323901</t>
  </si>
  <si>
    <t>RIGEL PHARMACEUTICALS, INC.</t>
  </si>
  <si>
    <t>RIGEL PHARMACEUTICALS</t>
  </si>
  <si>
    <t>Masuda; Esteban; (Menlo Park, CA); Markovtsov; Vadim; (San Mateo, CA)</t>
  </si>
  <si>
    <t>A61K 31/427 20130101;  A61K 31/573 20130101;  A61K 31/155 20130101;  A61K 39/42 20130101;  A61P 31/14 20180101;  A61K 31/245 20130101;  A61K 31/675 20130101;  A61K 31/4748 20130101;  A61K 31/519 20130101;  A61K 31/7048 20130101;  A61K 31/4706 20130101</t>
  </si>
  <si>
    <t>Provided herein are a variety of methods that involve administering     fostamatinib, an active component thereof or a pharmaceutically     acceptable salt thereof to a patient. In some embodiments, the method may     comprise administering fostamatinib, an active component thereof or a     pharmaceutically acceptable salt thereof to a patient having or suspected     of having a COVID-19 infection. In some embodiments, the method may     comprise administering fostamatinib, an active component thereof or a     pharmaceutically acceptable salt thereof to a patient having, suspected     of having or expected to develop acute respiratory distress syndrome,     acute kidney injury, and/or thrombosis. In some embodiments, the method     may comprise administering fostamatinib, an active component thereof or a     pharmaceutically acceptable salt thereof to a patient having, suspected     of having or expected to develop symptoms associated with a cytokine     response. Aspects of the methods may further include identifying a     patient with kidney malfunction, e.g., acute kidney injury, and/or     thrombosis.</t>
  </si>
  <si>
    <t>US20210283150</t>
  </si>
  <si>
    <t>METHODS FOR TREATING SARS COV-2 INFECTIONS</t>
  </si>
  <si>
    <t>17/158391</t>
  </si>
  <si>
    <t>Cihlar; Tomas; (Burlingame, CA); Osinusi; Anuoluwapo; (Foster City, CA); Porter; Danielle L.; (Burlingame, CA)</t>
  </si>
  <si>
    <t>A61P 31/14 20180101;  A61K 31/706 20130101;  A61K 31/685 20130101;  A61K 31/675 20130101;  A61K 31/53 20130101</t>
  </si>
  <si>
    <t>Provided are methods for treating 2019-nCoV virus (SARS-CoV-2) infections     by administering nucleosides and prodrugs thereof, of Formula I:  ##STR00001## wherein the 1' position of the nucleoside sugar is substituted.</t>
  </si>
  <si>
    <t>US20210283145</t>
  </si>
  <si>
    <t>METHOD FOR THE TREATMENT OF VIRAL INFECTIONS</t>
  </si>
  <si>
    <t>16/907336</t>
  </si>
  <si>
    <t>Rawert; Jurgen; (Koln, DE); Tews; Jan-Torsten; (Munich, DE)</t>
  </si>
  <si>
    <t>A61M 2250/00 20130101;  A61K 9/0078 20130101;  A61K 31/58 20130101;  A61M 11/007 20140204</t>
  </si>
  <si>
    <t>The present invention provides for a method for the treatment of a     respiratory disease, disorder, or condition resulting from a viral     infection in a subject, such as a pulmonary viral infection, the method     comprising the step of administering to said subject a medically active     liquid in nebulized form by inhalation, wherein the medically active     liquid comprises an inhalable corticosteroid (ICS) and wherein the     medically active liquid is administered in nebulized form using an     inhalation device.</t>
  </si>
  <si>
    <t>US20210283074</t>
  </si>
  <si>
    <t>Polymeric Compositions for Intranasal Administration</t>
  </si>
  <si>
    <t>17/121874</t>
  </si>
  <si>
    <t>NASUS PHARMA LTD.</t>
  </si>
  <si>
    <t>NASUS PHARMA</t>
  </si>
  <si>
    <t>Lapidot; Tair; (Lapid, IL); Temtsin-Krayz; Galia; (Ashdod, IL); Abrutzky; Carolina; (Kfar Saba, IL); Megiddo; Dalia; (M.P. Judean Hills, IL)</t>
  </si>
  <si>
    <t>A61K 31/14 20130101;  A61K 47/22 20130101;  A61K 33/00 20130101;  A61K 9/06 20130101;  C08K 5/19 20130101;  A61M 15/08 20130101;  C08K 5/092 20130101;  A61K 47/12 20130101;  A61M 2202/064 20130101;  A61K 31/4178 20130101;  A61K 31/225 20130101;  A61K 31/192 20130101;  A61P 31/16 20180101;  A61K 9/0043 20130101;  A61P 31/12 20180101;  A61K 31/197 20130101;  A61K 9/1652 20130101;  A61K 9/1617 20130101;  C08K 5/098 20130101;  A61K 31/055 20130101;  A61K 31/4166 20130101;  A61K 31/19 20130101;  A61M 15/009 20130101</t>
  </si>
  <si>
    <t>A composition in the form of dry powder for intranasal administration,     having solid particles, each having a physiologically acceptable     mucoadhesive polymer in combination with at least one functional additive     such as pH adjusting agent, with at least about 90% of the particles     having a size of about 25-300 microns, and various prophylactic and     preventive uses thereof.</t>
  </si>
  <si>
    <t>US20210282964</t>
  </si>
  <si>
    <t>RESPIRATORY THERAPEUTIC ELECTRIC HEAT SOURCE FACE MASK</t>
  </si>
  <si>
    <t>17/337352</t>
  </si>
  <si>
    <t>SABIN ROBERT</t>
  </si>
  <si>
    <t>Sabin; Robert; (Mill Neck, NY)</t>
  </si>
  <si>
    <t>A61M 16/0875 20130101;  A61F 2007/006 20130101;  A61M 2205/583 20130101;  A61M 2205/8206 20130101;  A61M 2205/502 20130101;  A61M 16/1075 20130101;  A61F 7/0085 20130101;  A61M 16/06 20130101;  A61F 7/12 20130101</t>
  </si>
  <si>
    <t>An improved face mask with a temperature monitored resilient, flexible     face barrier to limit the face, eyes, lips, and oral tissues of the mouth     of the user from direct exposure to heated air from the mask above     threshold temperatures. The improved face mask and heat source conditions     air drawn into the face mask before it is actually breathed and thereby     supply heated or elevated higher temperature at a therapeutic air     pressure to persons in need thereof, particularly to maintain a wearer's     upper respiratory system at a further elevated high temperature, capable     of inactivating viruses, such as the Coronavirus 2 (SARS CoV-2 virus),     killing bacteria, (TB) fungi, biofilms, tumor cells, pre-malignant cancer     cells, dysplasia cells and other pathogens, and to promote an     immune-stimulatory response and to prevent or inactivate a virus in the     respiratory system of the wearer of the heated face mask, in both     ambulatory and hospitalization settings.</t>
  </si>
  <si>
    <t>US20210282517</t>
  </si>
  <si>
    <t>Germ Fighting Reserve System</t>
  </si>
  <si>
    <t>17/199743</t>
  </si>
  <si>
    <t>TRENDA GARY</t>
  </si>
  <si>
    <t>Trenda; Gary; (Valencia, CA)</t>
  </si>
  <si>
    <t>A45F 2003/003 20130101;  A45F 3/04 20130101;  B65D 25/04 20130101;  B65D 43/22 20130101;  A61L 2202/16 20130101;  A61L 2209/22 20130101;  A45C 13/02 20130101;  A45C 2011/007 20130101;  B65D 43/163 20130101;  A61L 2/22 20130101;  A61L 2/0088 20130101;  A61L 9/14 20130101;  A61L 2/26 20130101;  A45F 3/005 20130101;  A61L 9/014 20130101;  A45C 11/00 20130101</t>
  </si>
  <si>
    <t>A virus and germ fighting system. The system includes a main container     having a base, sidewalls, and an upper opening defining an interior     volume. The interior volume includes a plurality of divided compartments.     Each compartment may include its own locking lid. The compartments     include specific virus and germ fighting materials. A first compartment     includes replaceable disinfectant spray containers, a second compartment     includes travel containers and other portable germ fighting items, and     the third compartment includes a full body suit for enhanced protection     when needed. The system also includes a user device that is in wireless     communication with a database server via a network. The user device can     be used to resupply the system's components via communication with the     database. The database is configured to automatically provide updated     information regarding instructions for how to properly and effectively     combine the components of the system to prevent the spread of germs and     viruses.</t>
  </si>
  <si>
    <t>US20210282482</t>
  </si>
  <si>
    <t>MULTIFUNCTIONAL FACE MASKS AND FABRICATING METHODS AND APPLICATIONS OF     SAME</t>
  </si>
  <si>
    <t>17/202826</t>
  </si>
  <si>
    <t>Indigo Agriculture</t>
  </si>
  <si>
    <t>INDIGO AGRICULTURE</t>
  </si>
  <si>
    <t>TIAN; ZHENG R.; (Rogers, AR)</t>
  </si>
  <si>
    <t>A41D 2500/30 20130101;  A41D 13/1192 20130101;  A41D 31/305 20190201;  A41D 31/02 20130101</t>
  </si>
  <si>
    <t>The invention relates to multifunctional face masks/coverings,     compositions used in the multifunctional face masks, alternatively     solutions of the compositions, manufacturing methods. The multifunctional     face mask includes at least one composite layer comprising at least one     layer of a nonwoven material and a composition coupled to the at least     one layer of the nonwoven material such that the at least one composite     layer is super-hydrophilic, adhesive, antiviral and/or antibacterial to     trap and/or deactivate one or more of airborne virus, bacteria, pollen     particles, and hazardous chemicals. The composition comprises food-grade     adhesives, biodegradable adhesives, anions and/or cations of antivirus     salts, antifreeze agents, moisture-holding substances, or a combination     of them.</t>
  </si>
  <si>
    <t>US20210282479</t>
  </si>
  <si>
    <t>METHODS AND DEVICES FOR PREVENTING VIRAL TRANSMISSION</t>
  </si>
  <si>
    <t>17/146325</t>
  </si>
  <si>
    <t>VOMARIS INNOVATIONS, INC.</t>
  </si>
  <si>
    <t>VOMARIS INNOVATIONS</t>
  </si>
  <si>
    <t>Nagel; Michael; (Tempe, AZ); Maijer; Mary; (Tempe, AZ)</t>
  </si>
  <si>
    <t>A61L 2209/15 20130101;  A61L 9/22 20130101;  A61L 2209/14 20130101;  A41D 13/1192 20130101;  A41D 2300/328 20130101;  A61L 2209/21 20130101;  A61L 2209/133 20130101</t>
  </si>
  <si>
    <t>An apparatus includes multiple first reservoirs and multiple second     reservoirs joined with a substrate. Selected ones of the multiple first     reservoirs include a reducing agent, and first reservoir surfaces of     selected ones of the multiple first reservoirs are proximate to a first     substrate surface. Selected ones of the multiple second reservoirs     include an oxidizing agent, and second reservoir surfaces of selected     ones of the multiple second reservoirs are proximate to the first     substrate surface.</t>
  </si>
  <si>
    <t>US20210282478</t>
  </si>
  <si>
    <t>16/921619</t>
  </si>
  <si>
    <t>A41D 13/0012 20130101;  A61L 9/22 20130101;  A41D 13/1192 20130101;  A61L 2209/133 20130101;  A61L 2209/14 20130101</t>
  </si>
  <si>
    <t>US20210282475</t>
  </si>
  <si>
    <t>16/877056</t>
  </si>
  <si>
    <t>A41D 13/1161 20130101;  A41D 13/11 20130101;  A61L 9/16 20130101;  A61F 9/04 20130101</t>
  </si>
  <si>
    <t>US20210280322</t>
  </si>
  <si>
    <t>Wearable-based certification of a premises as contagion-safe</t>
  </si>
  <si>
    <t>17/319817</t>
  </si>
  <si>
    <t>Facense</t>
  </si>
  <si>
    <t>FACENSE</t>
  </si>
  <si>
    <t>Frank; Ari M; (Haifa, IL); Tzvieli; Arie; (Berkeley, CA); Tzvieli; Ori; (Berkeley, CA); Thieberger; Gil; (Kiryat Tivon, IL)</t>
  </si>
  <si>
    <t>G16H 50/20 20180101;  G16H 50/80 20180101;  G06F 1/163 20130101;  G16H 50/30 20180101</t>
  </si>
  <si>
    <t>Due to the many interactions that can occur in places of gatherings, such     as workplaces, schools, theaters, etc., these locations can be considered     dangerous to enter during times of epidemics. It is difficult to keep     track of the health state of all the people who visited a location, and     thus ascertain if visits to the location pose any risk of contracting a     disease. Some embodiments disclosed herein utilize wearable devices that     measure physiological signals of their wearer in order to determine     whether people who were at a location were healthy, and thus be able to     certify the location as contagion-safe.</t>
  </si>
  <si>
    <t>US20210280321</t>
  </si>
  <si>
    <t>17/195489</t>
  </si>
  <si>
    <t>G16H 40/67 20180101;  G06F 16/2379 20190101;  H04B 17/318 20150115;  G16H 50/80 20180101;  G16H 10/65 20180101;  H04W 4/80 20180201</t>
  </si>
  <si>
    <t>US20210277489</t>
  </si>
  <si>
    <t>METHODS AND REAGENTS FOR THE SPECIFIC AND SENSITIVE DETECTION OF     SARS-CoV-2</t>
  </si>
  <si>
    <t>17/210637</t>
  </si>
  <si>
    <t>DONATI; Flora; (Paris, FR); ALBERT; Melanie; (Paris, FR); BEHILLIL; Sylvie; (Paris, FR); ENOUF; Vincent; (Paris, FR); van der WERF; Sylvie; (Paris, FR)</t>
  </si>
  <si>
    <t>C12Q 1/701 20130101;  C12N 15/1096 20130101</t>
  </si>
  <si>
    <t>Methods, primers, sets of primers, probes, compositions, and kits for     detecting presence or absence of SARS-CoV-2 in a sample are provided.</t>
  </si>
  <si>
    <t>US20210277488</t>
  </si>
  <si>
    <t>CDI Enhanced COVID-19 Test</t>
  </si>
  <si>
    <t>17/100289</t>
  </si>
  <si>
    <t>HACKENSACK MERIDIAN HEALTH, INC.</t>
  </si>
  <si>
    <t>HACKENSACK MERIDIAN HEALTH</t>
  </si>
  <si>
    <t>Zhao; Yanan; (Livingston, NJ); Perlin; David S.; (New York, NY); Park; Steven; (Flushing, NY)</t>
  </si>
  <si>
    <t>A detection panel for the universal detection of SARS-like coronaviruses     and SARS-CoV-2 viruses and a method for using the detection panel are     provided. The detection panel may be known as a Center for Discovery and     Innovation ("CDI") detection panel (CDI Enhanced COVID-19 Test) and may     also include an additional primer/probe set in the detection panel to     detect the human RNase P gene (RP) in control samples and clinical     specimens. The detection panel is designed for both universal detection     of SARS-like coronaviruses using an E gene (envelope) detection assay,     and specific detection of the SARS-CoV-2, using an N2 (nucleocapsid)     detection assay.</t>
  </si>
  <si>
    <t>US20210277093</t>
  </si>
  <si>
    <t>IMMUNOTHERAPEUTIC COMPOSITIONS AND METHODS OF PRODUCTION FOR CORONAVIRUS</t>
  </si>
  <si>
    <t>17/196846</t>
  </si>
  <si>
    <t>Mond; James; (Silver Spring, MD); Grossman; Adam S.; (Saddle River, NJ)</t>
  </si>
  <si>
    <t>A61P 31/14 20180101;  A61K 39/42 20130101;  G01N 2469/20 20130101;  A61K 45/06 20130101;  A61K 2039/505 20130101;  C07K 16/10 20130101;  C07K 2317/10 20130101;  G01N 33/56983 20130101</t>
  </si>
  <si>
    <t>Embodiments of the present disclosure relate generally to compositions     and methods for the treatment and/or prevention of pathogenic viral     infections, e.g., coronavirus infections. In particular, the present     disclosure provides human plasma compositions and immunoglobulin prepared     therefrom containing select antibody titers specific for coronavirus     (e.g., SARS CoV-2), methods of identifying human donors and donor samples     for use in the compositions, methods of manufacturing the compositions,     and methods of utilizing the compositions for prophylactic administration     and/or therapeutic treatment (e.g., passive immunization or     immune-prophylaxis).</t>
  </si>
  <si>
    <t>US20210277092</t>
  </si>
  <si>
    <t>17/173417</t>
  </si>
  <si>
    <t>Crowe, JR.; James E.; (Nashville, TN); Zost; Seth; (Nashville, TN); Carnahan; Robert; (Nashville, TN); Gilchuk; Pavlo; (Nashville, TN)</t>
  </si>
  <si>
    <t>A61K 2039/54 20130101;  C07K 2317/24 20130101;  G01N 2800/26 20130101;  G01N 2333/165 20130101;  A61K 2039/545 20130101;  G01N 33/563 20130101;  C07K 2317/31 20130101;  C07K 16/10 20130101;  A61K 2039/55 20130101;  C07K 2317/94 20130101;  C07K 2317/565 20130101;  G01N 33/56983 20130101</t>
  </si>
  <si>
    <t>US20210275838</t>
  </si>
  <si>
    <t>PLASMONIC PHOTOELECTROCHEMICAL OXIDATION FACE MASK</t>
  </si>
  <si>
    <t>17/249503</t>
  </si>
  <si>
    <t>MOLEKULE, INC.</t>
  </si>
  <si>
    <t>MOLEKULE</t>
  </si>
  <si>
    <t>Goswami; Dharendra Yogi; (Tampa, FL); Goswami; Dilip Neeraj; (San Carlos, CA)</t>
  </si>
  <si>
    <t>A61L 2209/12 20130101;  B01J 35/023 20130101;  A62B 18/006 20130101;  A62B 18/025 20130101;  A62B 23/02 20130101;  A62B 7/12 20130101;  A61L 2209/14 20130101;  A62B 18/10 20130101;  A61L 9/205 20130101;  A62B 9/02 20130101;  A62B 7/10 20130101;  A61L 2209/111 20130101;  B01J 35/004 20130101</t>
  </si>
  <si>
    <t>A breathing system for removing harmful contaminants, such as microbes     and volatile organic compounds, is provided. The breathing system     includes a face mask, an inhalation limb, and a plasmonic device. As a     contaminated gas flows through an internal chamber of the plasmonic     device, the contaminates are oxidized. Specifically, the internal chamber     includes a source of photons spaced apart from the nanostructure. The     nanostructure is coated in a plasmonic layer, including noble metal     nanoparticles. The plasmonic layer is protected from oxidation through a     photocatalyst layer disposed thereon.</t>
  </si>
  <si>
    <t>US20210275714</t>
  </si>
  <si>
    <t>UVC ANTI-MICROBIAL BREATHING STERILIZING MODULES, MASKS AND DEVICES</t>
  </si>
  <si>
    <t>16/898679</t>
  </si>
  <si>
    <t>WORLD HYGIENIC, LLC</t>
  </si>
  <si>
    <t>WORLD HYGIENIC</t>
  </si>
  <si>
    <t>Almeida; Stephen; (Tampa, FL); Kerr; James; (Scarborough, ME)</t>
  </si>
  <si>
    <t>A61L 2209/12 20130101;  A61L 9/20 20130101;  A61L 2209/14 20130101;  A62B 23/02 20130101;  A41D 13/1161 20130101;  A62B 18/025 20130101</t>
  </si>
  <si>
    <t>The present application for patent is in the field of anti-microbial     breathing apparatus. More specifically the present application for patent     is in the field of anti-microbial sterilizing modules and apparatus     wherein the apparatus comprise a sterilization module which contains UVC,     UVA/B, and/or blue light sanitizing radiation emitting components which     sterilize the air passing through the sterilizing module to be breathed     prior to the air entering the body of the user. The disclosure optionally     includes the use of filters, electronically charged screens. fans, and     intake and outflow valves.</t>
  </si>
  <si>
    <t>US20210275665</t>
  </si>
  <si>
    <t>IMMUNOGENIC AND VACCINE COMPOSITIONS AGAINST SARS-CoV-2</t>
  </si>
  <si>
    <t>17/249546</t>
  </si>
  <si>
    <t>CHO; MICHAEL WAN; (AMES, IA)</t>
  </si>
  <si>
    <t>C07K 14/165 20130101;  A61K 39/215 20130101;  A61K 2039/545 20130101</t>
  </si>
  <si>
    <t>Disclosed herein are immunogenic and/or vaccine compositions and methods     for treating or preventing Severe acute respiratory syndrome (SARS). The     compositions and methods include an immunogenic portion of the     receptor-binding domain (RBD) of the SARS-CoV-2-2 (COVID-19) spike     protein. In at least particular cases, a mutated version of a portion of     the RBD is utilized, such as a deglycosylated, or amino acid substituted     mutant of the spike protein.</t>
  </si>
  <si>
    <t>US20210275664</t>
  </si>
  <si>
    <t>PREFUSION CORONAVIRUS SPIKE PROTEINS AND THEIR USE</t>
  </si>
  <si>
    <t>17/194834</t>
  </si>
  <si>
    <t>Graham; Barney; (Rockville, MD); McLellan; Jason; (Austin, TX); Ward; Andrew; (La Jolla, CA); Kirchdoerfer; Robert; (La Jolla, CA); Cottrell; Christopher; (La Jolla, CA); Joyce; Michael Gordon; (Washington, DC); Kanekiyo; Masaru; (Chevy Chase, MD); Wang; Nianshuang; (Austin, TX); Pallesen; Jesper; (La Jolla, CA); Yassine; Hadi; (Doha, QA); Turner; Hannah; (La Jolla, CA); Corbett; Kizzmekia; (Wheaton, MD)</t>
  </si>
  <si>
    <t>A61P 31/14 20180101;  C12N 2770/20034 20130101;  A61K 39/215 20130101;  C12N 7/00 20130101;  C12N 2770/20071 20130101;  C07K 14/005 20130101;  C12N 2770/20022 20130101</t>
  </si>
  <si>
    <t>Coronavirus S ectodomain trimers stabilized in a prefusion conformation,     nucleic acid molecules and vectors encoding these proteins, and methods     of their use and production are disclosed. In several embodiments, the     coronavirus S ectodomain trimers and/or nucleic acid molecules can be     used to generate an immune response to coronavirus in a subject. In     additional embodiments, the therapeutically effective amount of the     coronavirus S ectodomain trimers and/or nucleic acid molecules can be     administered to a subject in a method of treating or preventing     coronavirus infection.</t>
  </si>
  <si>
    <t>US20210275563</t>
  </si>
  <si>
    <t>HIGHLY ACTIVE COMPOUNDS AGAINST COVID-19</t>
  </si>
  <si>
    <t>17/094541</t>
  </si>
  <si>
    <t>ATEA PHARMACEUTICALS, INC.</t>
  </si>
  <si>
    <t>ATEA PHARMACEUTICALS</t>
  </si>
  <si>
    <t>Sommadossi; Jean-Pierre; (Boston, MA); Moussa; Adel; (Burlington, MA)</t>
  </si>
  <si>
    <t>A61P 31/14 20180101;  A61K 9/08 20130101;  A61K 9/0019 20130101;  A61K 31/7076 20130101;  A61K 9/0053 20130101</t>
  </si>
  <si>
    <t>The present invention is the use of a small group of purine nucleotide     phosphoramidate disclosed herein or a pharmaceutically acceptable salt     thereof in an effective amount for the treatment or prevention of the     novel 2019 coronavirus disease (COVID-19) in a host, for example a human,     in need thereof.</t>
  </si>
  <si>
    <t>US20210275544</t>
  </si>
  <si>
    <t>Gallium in the treatment of coronavirus disease</t>
  </si>
  <si>
    <t>16/906542</t>
  </si>
  <si>
    <t>Bernstein, Lawrence Richard</t>
  </si>
  <si>
    <t>BERNSTEIN LAWRENCE</t>
  </si>
  <si>
    <t>Bernstein; Lawrence Richard; (Menlo Park, CA)</t>
  </si>
  <si>
    <t>A61K 9/12 20130101;  A61K 9/08 20130101;  A61K 33/24 20130101;  A61K 31/555 20130101;  A61K 9/0078 20130101;  A61K 9/0053 20130101</t>
  </si>
  <si>
    <t>Provided are compositions and methods to treat or prevent coronavirus     disease, including Covid-19. The methods comprise the administration of     pharmaceutically acceptable gallium compounds. A preferred method is the     oral administration of gallium maltolate, and another preferred method is     inhalation of an aerosolized solution of gallium maltolate into the     bronchi and lungs.. Also provided are methods to destroy or otherwise     inactivate coronaviruses on or in the body of an individual, on any     surface, in any liquid, or in any gas including air, by direct contact     with a gallium compound or with gallium in solution as a liquid or vapor.</t>
  </si>
  <si>
    <t>US20210275446</t>
  </si>
  <si>
    <t>METHOD OF TREATING A VIRAL INFECTION</t>
  </si>
  <si>
    <t>17/248501</t>
  </si>
  <si>
    <t>BOUKARI, MOROU</t>
  </si>
  <si>
    <t>BOUKARI MOROU</t>
  </si>
  <si>
    <t>A61L 2/0088 20130101;  A61K 9/0043 20130101</t>
  </si>
  <si>
    <t>A method that prevents or treats infection of the human body with the     COVID-19 virus or any other virus by interacting with the crucial enzymes     and proteins of the virus and by preventing the penetration of the virus     into human cells.</t>
  </si>
  <si>
    <t>US20210275055</t>
  </si>
  <si>
    <t>SYSTEMS AND METHODS FOR NON-INVASIVE DETERMINATION OF COVID-19 CORONAVIRUS     INFECTION</t>
  </si>
  <si>
    <t>17/206870</t>
  </si>
  <si>
    <t>TERAHERTZ GROUP LTD.</t>
  </si>
  <si>
    <t>TERAHERTZ</t>
  </si>
  <si>
    <t>GABBAI; Eran; (Herzliya, IL); MAYDAR; Yaniv; (Tel Aviv, IL); AHARONOV-NADBORNY; Regina; (Beit Arye, IL)</t>
  </si>
  <si>
    <t>G01N 33/497 20130101;  A61B 5/091 20130101;  A61B 5/097 20130101;  G01N 2033/4975 20130101;  A61B 5/082 20130101</t>
  </si>
  <si>
    <t>A high throughput method for label-free, noncontact, noninvasive, and     nondestructive detection of at least one virus infected or virus free     individual from at least one tested individual is provided. The method     includes collecting a sample from exhaled breath of a subject for     analysis of the sample. The collecting includes the subject exhaling into     at least one sampler and collecting aerosols and/or any airborne compound     from the exhaled breath by passing the exhaled breath through a     metamaterial membrane within the sampler. The metamaterial membrane is     arranged transverse to a flow of exhaled breath through the sampler. The     method further includes analyzing the sample for detection of at least     one virus infected individual from at least one tested individual.</t>
  </si>
  <si>
    <t>US20210275034</t>
  </si>
  <si>
    <t>Wearable-based health state verification for physical access authorization</t>
  </si>
  <si>
    <t>17/319634</t>
  </si>
  <si>
    <t>Frank; Ari M.; (Haifa, IL); Tzvieli; Arie; (Berkeley, CA); Tzvieli; Ori; (Berkeley, CA); Thieberger; Gil; (Kiryat Tivon, IL)</t>
  </si>
  <si>
    <t>A61B 5/0075 20130101;  G01J 5/12 20130101;  A61B 5/0077 20130101;  G01J 2005/0085 20130101;  A61B 5/7282 20130101;  A61B 2562/0271 20130101;  A61B 5/6814 20130101;  A61B 5/748 20130101;  G01J 2005/0077 20130101;  G01J 5/0265 20130101;  A61B 2576/00 20130101;  A61B 2562/0276 20130101;  A61B 5/6803 20130101;  A61B 5/165 20130101;  A61B 5/015 20130101</t>
  </si>
  <si>
    <t>Embodiments disclosed herein involve a wearable-based system that can     help determine in a privacy-preserving mariner whether a user is healthy     (and thus poses low risk of contagiousness), and use determinations of     this nature to grant passage through a doorway. In one embodiment, a     wearable device takes measurements of a user comprising a     photoplethysmogram signal (PPG signal) and a temperature measurement. A     computer calculates a health score based on a difference between baseline     measurements of the user, measured one or more days earlier, and more     current measurements of the user. Additionally, the computer calculates     an extent of similarity between characteristics of the PPG signal in the     current measurements and characteristics of the PPG signal in the     baseline measurements. The computer authorizes the user's passage through     the doorway responsive to the health score reaching a first threshold and     the extent of the similarity reaching a second threshold.</t>
  </si>
  <si>
    <t>US20210274780</t>
  </si>
  <si>
    <t>Disinfectant Composition Against the Novel Wuhan Corona Virus COVID-19</t>
  </si>
  <si>
    <t>16/811971</t>
  </si>
  <si>
    <t>Niazi; Sarfaraz K.; (Deerfield, IL)</t>
  </si>
  <si>
    <t>A01N 33/12 20130101;  A01N 31/02 20130101;  A01N 61/02 20130101</t>
  </si>
  <si>
    <t>Liquid disinfectant capable of instantly inactivating Wuhan Coronavirus     COVID-19 comprising a plurality of chemical and natural disinfectants in     an ethanol and propanol mixture is disclosed with ability to instantly     kill the virus completely upon contact.</t>
  </si>
  <si>
    <t>US20210272702</t>
  </si>
  <si>
    <t>METHOD AND SYSTEM FOR ASSESSING LIKELIHOOD OF DISEASE TRANSMISSION</t>
  </si>
  <si>
    <t>16/867751</t>
  </si>
  <si>
    <t>HAKAMI HOOMAN</t>
  </si>
  <si>
    <t>HAKAMI; Hooman; (River Hills, WI)</t>
  </si>
  <si>
    <t>G16H 50/80 20180101;  H04W 4/027 20130101;  G16H 50/20 20180101;  G06F 17/18 20130101;  H04W 4/021 20130101;  H04W 4/029 20180201;  G06F 1/163 20130101</t>
  </si>
  <si>
    <t>A system for determining likelihood of disease transmission is disclosed.     The system can be configured to monitor the exchanges among users of a     plurality of communication devices (e.g., mobile phones, tablets, etc.)     in a network and determine the probability that a user of a     communications device may have contracted a contagious disease by coming     in close proximity of another individual using his/her own communications     device.</t>
  </si>
  <si>
    <t>US20210272244</t>
  </si>
  <si>
    <t>METHOD OF AND DEVICE FOR IMPLEMENTING CONTAGIOUS ILLNESS ANALYSIS AND     TRACKING</t>
  </si>
  <si>
    <t>17/245533</t>
  </si>
  <si>
    <t>Akutagawa, Christine E.; Myslinski, Lucas J.</t>
  </si>
  <si>
    <t>AKUTAGAWA CHRISTINE</t>
  </si>
  <si>
    <t>Akutagawa; Christine E.; (Sunnyvale, CA); Myslinski; Lucas J.; (Sunnyvale, CA)</t>
  </si>
  <si>
    <t>G06T 5/002 20130101;  G06K 9/628 20130101;  G06K 9/4609 20130101;  G06T 2207/20192 20130101;  G06T 2207/10024 20130101;  G06K 9/56 20130101</t>
  </si>
  <si>
    <t>A device is able to be used to detect an illness and/or symptoms of the     illness in a user by utilizing a body fluid detector and/or other     devices. The device is also able to determine when additional devices of     users come within a specified distance of the device. An alert regarding     a diagnosis and/or analysis of the symptoms of the illness is able to     sent to a central server, a cloud device or another device to share the     diagnosis and/or the analysis of the symptoms of the illness with the     additional devices of users.</t>
  </si>
  <si>
    <t>US20210271289</t>
  </si>
  <si>
    <t>PANDEMIC WRISTBAND</t>
  </si>
  <si>
    <t>17/323932</t>
  </si>
  <si>
    <t>EDWARDS SHARI L</t>
  </si>
  <si>
    <t>EDWARDS SHARI</t>
  </si>
  <si>
    <t>EDWARDS; Shari L.; (Los Angeles, CA)</t>
  </si>
  <si>
    <t>G06F 1/163 20130101;  G16H 10/65 20180101</t>
  </si>
  <si>
    <t>A wearable computing contact tracing, medical tracking and passport     device has a main body with a QR code, at least one indicator light, a     location tracker, and a processor. The indicator light provides a first     visual indication, such as a red light, of when the user has been exposed     to a pandemic disease and a second visual indication, such as a green     light, of when the user is immune to the pandemic disease.</t>
  </si>
  <si>
    <t>US20210270771</t>
  </si>
  <si>
    <t>Whole Virus Quantum Mechanical Tunneling Current and Electronic Sensors</t>
  </si>
  <si>
    <t>17/320014</t>
  </si>
  <si>
    <t>Tabib-Azar; Massood; (Salt Lake City, UT)</t>
  </si>
  <si>
    <t>G01N 27/4145 20130101;  G01N 2333/185 20130101;  G01N 33/5438 20130101;  G01N 33/56983 20130101;  G01N 2333/165 20130101</t>
  </si>
  <si>
    <t>A field effect transistor (FET) biosensor for virus detection of a     selected virus within a sample volume is disclosed. The FET comprises a     semiconductor substrate, a source and drain electrode on the substrate,     the electrodes spaced to form a channel. A gate electrode carried on the     substrate and located in the channel between the source and drain     electrodes. An insulating layer is coupled to a top surface of the gate     electrode and a bottom surface of the source and drain electrodes, with     an open channel above the insulating layer. A channel material is coupled     to the insulating layer. Aptamers are oriented within the open channel to     bind to the channel material and with the selected virus to enable a     detection of the selected virus by the FET biosensor based on a change in     drain-source current at a selected gate voltage.</t>
  </si>
  <si>
    <t>US20210269949</t>
  </si>
  <si>
    <t>17/110093</t>
  </si>
  <si>
    <t>SKIBA; Jeffry Brian; (Chandler, AZ); SHEFTEL; Scott N.; (Tucson, AZ)</t>
  </si>
  <si>
    <t>D01F 1/09 20130101;  B82Y 30/00 20130101;  D03D 1/0017 20130101;  D02G 3/449 20130101;  D06M 2101/40 20130101;  D02G 3/18 20130101;  D03D 1/0088 20130101;  D10B 2501/04 20130101;  D10B 2503/06 20130101;  D06M 10/06 20130101;  B82Y 40/00 20130101;  D01F 1/103 20130101;  D10B 2401/13 20130101;  D06M 2101/18 20130101</t>
  </si>
  <si>
    <t>An antimicrobial fabric formed of fibers containing nano-sized particles     of zinc on a surface of the fibers. Various articles made from the fabric     are also disclosed.</t>
  </si>
  <si>
    <t>US20210269437</t>
  </si>
  <si>
    <t>CRYSTALLINE HYDRATE OF A JAK INHIBITOR COMPOUND</t>
  </si>
  <si>
    <t>17/249375</t>
  </si>
  <si>
    <t>Fass; Gene Timothy; (San Bruno, CA)</t>
  </si>
  <si>
    <t>A61P 11/06 20180101;  C07B 2200/13 20130101;  C07D 471/04 20130101;  A61K 9/0053 20130101</t>
  </si>
  <si>
    <t>Provided herein is a crystalline hydrate of the compound of formula 1:  ##STR00001## Also provides herein are pharmaceutical compositions comprising such     crystalline hydrate, methods of using such crystalline hydrate to treat     respiratory diseases, and processes useful for preparing such crystalline     hydrate.</t>
  </si>
  <si>
    <t>US20210268136</t>
  </si>
  <si>
    <t>PROCESS AND SYTEM FOR ULTRASONIC DRY MIST DISPENSER AND OZONE SANITIZER</t>
  </si>
  <si>
    <t>17/320691</t>
  </si>
  <si>
    <t>ENGLER ERIC</t>
  </si>
  <si>
    <t>Engler; Eric; (Pompano Beach, FL); Silverman; David; (Indian Harbor Beach, FL)</t>
  </si>
  <si>
    <t>B05B 9/01 20130101;  A61L 2202/16 20130101;  A61L 2202/14 20130101;  B05B 9/007 20130101;  A61L 2202/11 20130101;  A61L 2/22 20130101;  A61L 2209/132 20130101;  A61L 9/14 20130101;  B05B 17/0615 20130101</t>
  </si>
  <si>
    <t>A process for sanitizing and/or disinfecting porous and solid surfaces     and airborne particles in ambient air by killing bacteria and viruses,     including the steps of: providing an enclosed water storage tank having a     predetermined maximum water surface level, generating ultrasonically with     an ultrasonic oscillator mounted slightly below the water level in the     water storage tank, a dry mist that is forced into a blending chamber     above said water level in said water storage tank; an air blower with an     airflow outlet connected into said water storage tank, and above the tank     maximum water level, and an ozone generator outlet connected into said     water storage tank for providing a predetermined amount of ozone, above     the water level, into the water storage tank during operation, creating     an ozone-saturated dry mist. The ozone dissolves in the dry mist and     forms a saturated or super-saturated dry mist created in the water     storage tank. The system can be mounted on a mobile platform for manually     positioning the mixture delivery system.</t>
  </si>
  <si>
    <t>US20210268102</t>
  </si>
  <si>
    <t>VACCINES AGAINST CORONAVIRUS AND METHODS OF USE</t>
  </si>
  <si>
    <t>17/185458</t>
  </si>
  <si>
    <t>INOVIO PHARMACEUTICALS INC; WISTAR INST</t>
  </si>
  <si>
    <t>Yan; Jian; (Wallingford, PA); Broderick; Kate; (San Diego, CA); Weiner; David; (Merion, PA); Muthumani; Kar; (Cherry Hill, NJ); Patel; Ami; (Philadelphia, PA)</t>
  </si>
  <si>
    <t>C12N 15/86 20130101;  C12N 2770/20044 20130101;  A61K 2039/545 20130101;  A61K 39/215 20130101;  C12N 2770/20034 20130101</t>
  </si>
  <si>
    <t>Disclosed herein are nucleic acid molecules encoding a SARS-CoV-2 spike     antigen, SARS-CoV-2 spike antigens, immunogenic compositions, and     vaccines and their use in inducing immune responses and protecting     against or treating a Severe Acute Respiratory Syndrome coronavirus 2     (SARS-CoV-2) infection in a subject.</t>
  </si>
  <si>
    <t>US20210268101</t>
  </si>
  <si>
    <t>NOVEL PEPTIDES FOR VACCINATION AND TREATMENT OF 2019-nCoV INFECTIONS</t>
  </si>
  <si>
    <t>17/148266</t>
  </si>
  <si>
    <t>Cel-Sci Corporation</t>
  </si>
  <si>
    <t>CEL-SCI</t>
  </si>
  <si>
    <t>Zimmerman; Daniel H.; (Bethesda, MD)</t>
  </si>
  <si>
    <t>C12N 2770/20034 20130101;  C12N 2770/20022 20130101;  A61K 39/215 20130101</t>
  </si>
  <si>
    <t>The invention relates to novel peptide immunoconjugates for treatment,     prevention, and diagnosis of coronaviral infections in animals and     humans. The immunoconjugates can be used alone or in conjunction with     vaccine adjuvants, immune system cells, or other immunomodulators.</t>
  </si>
  <si>
    <t>US20210267963</t>
  </si>
  <si>
    <t>METHODS FOR THE TREATMENT AND PREVENTION OF LUNG INFECTIONS CAUSED BY     GRAM-POSITIVE BACTERIA, FUNGUS, OR VIRUS BY ADMINISTRATION OF TAFENOQUINE</t>
  </si>
  <si>
    <t>17/189544</t>
  </si>
  <si>
    <t>60 DEGREES PHARMACEUTICALS LLC</t>
  </si>
  <si>
    <t>60 DEGREES PHARMACEUTICALS</t>
  </si>
  <si>
    <t>Dow; Geoffrey S.; (DC)</t>
  </si>
  <si>
    <t>A61K 31/4706 20130101;  A61P 31/04 20180101</t>
  </si>
  <si>
    <t>Methods and composition for treating or preventing a lung infection, or     related symptoms, caused by a bacterium, fungus, and/or virus using an     effective amount of tafenoquine are disclosed. Methods and compositions     for treating or preventing a lung infection in a human that is infected     with SARS-CoV-2 using tafenoquine are disclosed.</t>
  </si>
  <si>
    <t>US20210267952</t>
  </si>
  <si>
    <t>TREATMENT OF HUMAN CORONAVIRUS INFECTIONS USING ALPHA-GLUCOSIDASE     GLYCOPROTEIN PROCESSING INHIBITORS</t>
  </si>
  <si>
    <t>17/180140</t>
  </si>
  <si>
    <t>HOLMES; ERIC; (TALLAHASSEE, FL); OSTRANDER; GARY; (TALLAHASSEE, FL); DOW; GEOFFREY STUART; (WASHINGTON, DC)</t>
  </si>
  <si>
    <t>G01N 33/6803 20130101;  A61K 31/437 20130101;  G01N 2800/26 20130101;  G01N 33/5308 20130101</t>
  </si>
  <si>
    <t>The present invention concerns the use of an alpha-glucosidase     glycoprotein processing inhibitor for the treatment or prevention of     human coronavirus infections, such as SARS-CoV-2 or SARS-CoV-2 variant     infections. Aspects of the invention include methods for treating or     preventing coronavirus infection, or a symptom thereof, by administering     an alpha-glucosidase glycoprotein processing inhibitor, such as     castanospermine, or a pharmaceutically acceptable salt, derivative, or     prodrug thereof, to a human subject; methods for inhibiting human     coronavirus infection in a human cell in vitro or in vivo; pharmaceutical     compositions; packaged dosage formulations; and kits for treating or     preventing human coronavirus infection.</t>
  </si>
  <si>
    <t>US20210263023</t>
  </si>
  <si>
    <t>Rapid And Ultrasensitive Analyte Detection For Screening In Community     Settings</t>
  </si>
  <si>
    <t>17/199926</t>
  </si>
  <si>
    <t>UNIV PENNSYLVANIA</t>
  </si>
  <si>
    <t>Wang; Ping; (Wynnewood, PA); Li; Zhao; (Philadelphia, PA); Chen; Hui; (Drexel HIll, PA)</t>
  </si>
  <si>
    <t>G01N 33/56983 20130101;  G01N 2333/165 20130101;  G01N 33/54306 20130101;  G01N 33/54326 20130101</t>
  </si>
  <si>
    <t>Provided are systems and methods pertaining to analyte detection,     including analytes related to SARS-CoV-2, such as nucleocapsid protein.     The disclosed systems and methods operate by forming a complex between an     analyte, a promoter tag, and an anchor and detecting a reaction product     that results from the reaction between a reaction substrate and a     reaction promoter of the complex. Also provided are systems and methods     that allow for quantification of analyte presence by way of monitoring     indicator that is displaced by a reaction associate with the analyte.</t>
  </si>
  <si>
    <t>US20210261650</t>
  </si>
  <si>
    <t>17/185340</t>
  </si>
  <si>
    <t>C07K 16/10 20130101;  C07K 2317/565 20130101;  C07K 2317/526 20130101;  C07K 2317/76 20130101;  C07K 2317/522 20130101</t>
  </si>
  <si>
    <t>US20210261644</t>
  </si>
  <si>
    <t>PD-1-BASED VACCINES AGAINST CORONAVIRUS INFECTION</t>
  </si>
  <si>
    <t>17/186822</t>
  </si>
  <si>
    <t>VERSITECH LIMITED</t>
  </si>
  <si>
    <t>VERSITECH</t>
  </si>
  <si>
    <t>Chen; Zhiwei; (Hong Kong, CN); Yuen; Kwok Yung; (Hong Kong, CN); Chen; Honglin; (Hong Kong, CN); Wong; Yik Chun; (Hong Kong, CN); Liu; Li; (Hong Kong, CN)</t>
  </si>
  <si>
    <t>C07K 2319/30 20130101;  C07K 14/165 20130101;  C07K 14/70521 20130101</t>
  </si>
  <si>
    <t>Disclosed soluble PD-1 (sPD-1) proteins and nucleic acids, and     therapeutic compositions comprising sPD-1 proteins and nucleic acids, for     enhancing immunity of a subject against coronavirus infection. Disclosed     are soluble PD-1 fusion proteins that include a soluble PD-1 protein     fragment and an antigenic protein fragment, preferably where the     antigenic protein fragment comprises a coronavirus protein fragment. In     some forms, the coronavirus protein fragment is derived from a     coronavirus receptor binding domain (RBD) or a coronavirus nucleoprotein     (N). In some forms, the sPD-1 proteins, nucleic acids, and compositions     are formulated as a vaccine composition. Also disclosed are methods for     treating a subject at risk of or suffering a coronavirus infection.</t>
  </si>
  <si>
    <t>US20210260580</t>
  </si>
  <si>
    <t>Method for monitoring COVID-19</t>
  </si>
  <si>
    <t>17/240082</t>
  </si>
  <si>
    <t>BENNETT DAWN</t>
  </si>
  <si>
    <t>Bennett; Dawn; (Burlington, NJ)</t>
  </si>
  <si>
    <t>A61B 2562/0295 20130101;  G01N 33/5438 20130101;  B01L 2200/027 20130101;  A61B 2010/0067 20130101;  G01N 33/56983 20130101;  B01L 2400/0418 20130101;  B01L 2300/0636 20130101;  A61B 10/0051 20130101;  B03C 5/026 20130101;  B01L 3/5027 20130101;  B01L 2400/0424 20130101;  G01N 21/6486 20130101;  B01L 2400/0421 20130101;  G01N 2333/165 20130101;  G01N 33/558 20130101;  A61B 5/14532 20130101;  B01L 3/502715 20130101;  B03C 2201/26 20130101</t>
  </si>
  <si>
    <t>A method of sampling and testing for SARS-COV-2 virus in nasal and     nasopharyngeal fluid using a plurality of microfluidic channels with a     plurality of integrated electrodes in the microfluidic channels to detect     the virus. In one example embodiment, a plurality of antibodies are fixed     on a surface of at least one electrode by positive dielectrophoresis that     increases the sensitivity of detection. Viral antigens bind to the     antibodies separating from the fluid thereby signally that the virus is     present as evidenced by the detection of the antigens. Sampling by     microfluidic channels is more comfortable to a patient because     microfluidic channels are soft, flexible and narrow compared to swabs.     Another example embodiment of a method using microfluidic channels for     collecting tears or saliva to determine blood glucose levels using a     smartphone that has been modified to incorporate external filters     quantitate glucose levels is also described.</t>
  </si>
  <si>
    <t>US20210260201</t>
  </si>
  <si>
    <t>EXTRACELLULAR VESICLES FOR THE TREATMENT AND PREVENTION OF INFECTIONS AND     OTHER DISEASES</t>
  </si>
  <si>
    <t>17/172293</t>
  </si>
  <si>
    <t>PHYSIS BIOTECHNOLOGIES, LLC</t>
  </si>
  <si>
    <t>PHYSIS BIOTECHNOLOGIES</t>
  </si>
  <si>
    <t>Chukly; Angela; (Tucson, AZ); Chukly; Emery; (Tucson, AZ)</t>
  </si>
  <si>
    <t>A61K 47/64 20170801;  C07K 16/10 20130101</t>
  </si>
  <si>
    <t>In various embodiments, drug-loaded extracellular vesicles and methods of     making the same are disclosed. In various embodiments, the EVs comprise     natural exosomes or exomeres derived from cells that take part in the     pathogenesis of a disease or a condition to which the drug-loaded EVs are     targeted. In various embodiments, extracellular vesicles are surface     modified, comprising bound biomolecules such as proteins or antibodies     that can target ACE2 receptors. Surface modified EVs find use in the     treatment and prevention of viral infections, such as COVID-19 caused by     a SARS-CoV-2 infection in a human individual.</t>
  </si>
  <si>
    <t>US20210260182</t>
  </si>
  <si>
    <t>RECOMBINANT POXVIRUS BASED VACCINE AGAINST SARS-CoV-2 VIRUS</t>
  </si>
  <si>
    <t>17/187678</t>
  </si>
  <si>
    <t>GOEBEL SCOTT J; EVANS DAVID; NOYCE RYAN; TONIX PHARMACEUTICALS HOLDING CORP; UNIV ALBERTA</t>
  </si>
  <si>
    <t>GOEBEL SCOTT EVANS DAVID; NOYCE RYAN; TONIX PHARMACEUTICALS HOLDING CORP; UNIV ALBERTA</t>
  </si>
  <si>
    <t>Lederman; Seth; (South Dartmouth, MA); Goebel; Scott J.; (Frederick, MD); Evans; David; (Edmonton, CA); Noyce; Ryan; (Edmonton, CA)</t>
  </si>
  <si>
    <t>A61K 2039/572 20130101;  A61K 2039/70 20130101;  C12N 7/00 20130101;  A61K 39/215 20130101;  C12N 2710/24134 20130101;  C12N 15/85 20130101;  A61K 2039/5256 20130101</t>
  </si>
  <si>
    <t>The invention relates in various aspects to a recombinant poxvirus     comprising a nucleic acid encoding a SARS-CoV-2 virus protein, methods     for producing such viruses and the use of such viruses. The recombinant     poxviruses are well suited, among others, as protective virus vaccines     against SARS-CoV-2 virus.</t>
  </si>
  <si>
    <t>US20210260181</t>
  </si>
  <si>
    <t>17/175144</t>
  </si>
  <si>
    <t>A61P 31/14 20180101;  C12N 2750/14023 20130101;  A61K 2039/543 20130101;  C12N 7/00 20130101;  A61K 2039/5256 20130101;  C12N 2750/14034 20130101;  C12N 2750/14143 20130101;  C12N 15/86 20130101;  A61K 39/215 20130101;  C12N 2750/14171 20130101;  A61K 9/0043 20130101</t>
  </si>
  <si>
    <t>Provided in the present disclosure are immunogenic compounds,     pharmaceutical formulations thereof and their use for inducing a     protective immune response against 2019 novel coronavirus (SARS-CoV-2)     infection and variants in a mammal.</t>
  </si>
  <si>
    <t>US20210260180</t>
  </si>
  <si>
    <t>17/175131</t>
  </si>
  <si>
    <t>A61K 2039/543 20130101;  C12N 7/00 20130101;  C12N 2710/10043 20130101;  A61K 39/215 20130101;  C12N 2710/10034 20130101;  C12N 15/86 20130101</t>
  </si>
  <si>
    <t>US20210260144</t>
  </si>
  <si>
    <t>QUININE AND ITS USE TO GENERATE INNATE IMMUNE RESPONSE</t>
  </si>
  <si>
    <t>17/236918</t>
  </si>
  <si>
    <t>The Trustees of the University of Pennsylvania; Monell Chemical Senses Center; GeneOne Life Science, Inc.</t>
  </si>
  <si>
    <t>TRUSTEES UNIVERSITY PENNSYLVANIA; MONELL CHEMICAL SENSES CENTER; GENEONE LIFE SCIENCE</t>
  </si>
  <si>
    <t>Cohen; Noam A.; (Bala Cynwyd, PA); Lee; Robert J.; (Philadelphia, PA); Weiss; Susan R.; (Merion, PA); Maslow; Joel N.; (Devon, PA); Roberts; Christine C.; (Zionsville, PA); Cherry; Sara; (Philadelphia, PA); Kohanski; Michael; (Penn Valley, PA); Adappa; Nithin D.; (Philadelphia, PA); Palmer; James N.; (Penn Valley, PA); Tan; Li Hui; (Philadelphia, PA)</t>
  </si>
  <si>
    <t>A61K 31/365 20130101;  G01N 33/502 20130101;  A61K 45/06 20130101;  C12Q 1/6883 20130101;  G01N 2800/14 20130101;  C12Q 2600/156 20130101;  G01N 2333/705 20130101;  A61K 31/167 20130101;  A61K 31/4709 20130101;  A61K 36/185 20130101;  G01N 2500/04 20130101;  G01N 33/566 20130101;  A61K 31/49 20130101;  G01N 33/6893 20130101;  A61K 31/513 20130101</t>
  </si>
  <si>
    <t>The invention provides methods and compositions for assaying infectivity     of viruses and potential treatments of such viruses in the upper     respiratory tract using an air-liquid interface model with nasal     epithelium cells; and treatment of viral infections of the upper     respiratory tract by treating with bitter taste receptor agonists that     stimulate NO production and/or antimicrobial protein production.</t>
  </si>
  <si>
    <t>US20210260043</t>
  </si>
  <si>
    <t>CARBOHYDRATE-BINDING SMALL MOLECULES WITH ANTIVIRAL ACTIVITY</t>
  </si>
  <si>
    <t>17/314560</t>
  </si>
  <si>
    <t>UNIV CITY NEW YORK RES FOUND; UNIV TEXAS TECH SYSTEM</t>
  </si>
  <si>
    <t>Braunschweig; Adam B.; (New York, NY); Palanichamy; Kalanidhi; (Harrison, NJ); Bravo; M. Fernando; (New York, NY); Shlain; Milan A.; (Brooklyn, NY); Garg; Himanshu; (El Paso, TX); Joshi; Anjali; (El Paso, TX); Thakur; Khushabu; (New York, NY)</t>
  </si>
  <si>
    <t>A61K 31/4192 20130101;  A61P 31/14 20180101</t>
  </si>
  <si>
    <t>Compounds with anti-viral properties are provided that are based on the     following structures:  ##STR00001## A variety of heteroaromatic groups have been found to be biologically     active against viral infections. In some embodiments, a dimeric compound     is provided with each monomer linked by a repeating glycol linking group.</t>
  </si>
  <si>
    <t>US20210259918</t>
  </si>
  <si>
    <t>DEVICE FOR ACUPUNCTURE AND MOXIBUSTION THERAPY AND USES THEREOF</t>
  </si>
  <si>
    <t>17/179559</t>
  </si>
  <si>
    <t>ZHANG XUNHUA</t>
  </si>
  <si>
    <t>ZHANG; Xunhua; (Elmhurst, NY)</t>
  </si>
  <si>
    <t>A61H 39/04 20130101;  A61H 39/002 20130101;  A61H 2201/5048 20130101;  A61H 2201/501 20130101;  A61H 23/0236 20130101;  A61H 39/086 20130101</t>
  </si>
  <si>
    <t>The present invention provides an acumoxa therapy device utilizing energy     waves for preventing, alleviating or treating COVID-19 (SARS-CoV-2)     coronavirus infection. In one embodiment, the device delivers energy in a     non-invasive manner. In one embodiment, the device is configured to     include an energy pin and one or more energy rings. In one embodiment,     the device delivers sufficient energy to certain body parts such as     acupoints to achieve an intervening and/or therapeutic effect. In one     embodiment, the device can maintain or improve general health, or can     alleviate or treat a subject with COVID-19 infection and one or more     other conditions. In one embodiment, the present invention also discloses     a system comprising the device and uses thereof.</t>
  </si>
  <si>
    <t>US20210259878</t>
  </si>
  <si>
    <t>17/134462</t>
  </si>
  <si>
    <t>A therapeutic face mask apparatus for wearers with resistant respiratory     viruses, is connected to a heat gun that provides adjustable heated and     humidified air for inhalation. The heat gun heats ambient air that is     breathed in through the face mask during normal breathing, which is worn     over the nose and mouth of a person. A temperature gauge monitors     temperature for future adjustment of the amount of heat generating     current to raise the heat to a predetermined temperature to deactivate     resistant viruses in compromised upper and/or lower respiratory systems     of the wearer. The air in the chamber is heated for inhalation by a     resistive element in the heat gun. The temperature of the resistive     material (and by extension the warm air generated), is regulated/adjusted     by increasing or decreasing the current output settings on the power     source, so that heated and pressured air is produced.</t>
  </si>
  <si>
    <t>US20210259643</t>
  </si>
  <si>
    <t>METHOD AND APPARATUS FOR MONITORING INFECTION RISK DURING AN EPIDEMIC AND     PANDEMIC</t>
  </si>
  <si>
    <t>17/317177</t>
  </si>
  <si>
    <t>AURA HOME, INC.</t>
  </si>
  <si>
    <t>AURA HOME</t>
  </si>
  <si>
    <t>Frieder; Ophir; (Chevy Chase, MD); Chowdhury; Abdur; (San Francisco, CA); Jensen; Eric; (Brooklyn, NY)</t>
  </si>
  <si>
    <t>G06F 21/552 20130101;  G06F 2221/2111 20130101;  Y02D 30/70 20200801;  A61B 5/7455 20130101;  A61B 5/7267 20130101;  G16H 40/63 20180101;  H04L 67/22 20130101;  A61B 5/1123 20130101;  A61B 5/6898 20130101;  H04L 51/38 20130101;  A61B 5/4866 20130101;  H04L 51/20 20130101;  H04W 52/0254 20130101;  G06F 16/9535 20190101;  A61B 5/72 20130101;  A61B 5/1118 20130101;  A61B 5/1112 20130101;  G16Z 99/00 20190201;  H04W 64/006 20130101;  H04L 51/32 20130101;  A61B 5/7282 20130101;  A61B 5/7246 20130101;  A61B 5/742 20130101;  H04W 52/0229 20130101;  A61B 5/7465 20130101;  H04W 4/023 20130101;  H04M 1/72454 20210101;  H04W 4/029 20180201;  H04L 51/08 20130101;  H04W 4/21 20180201;  H04W 4/33 20180201;  H04W 4/12 20130101;  A61B 5/746 20130101</t>
  </si>
  <si>
    <t>A method, system, and/or apparatus for automatically monitoring for     possible infection or other physical health concerns, such as from     Covid-19. The method or implementing software application uses or relies     upon location information available on the mobile device from any source,     such as cell phone usage and/or other device applications. The method and     system automatically uses and/or learns user location and activity     patterns and determines and infection risk that can be communicated as a     warning to community members.</t>
  </si>
  <si>
    <t>US20210259642</t>
  </si>
  <si>
    <t>INFECTIOUS DISEASE PREVENTION SUPPORTING DEVICE, METHOD AND PROGRAM</t>
  </si>
  <si>
    <t>17/255893</t>
  </si>
  <si>
    <t>NIPPON TELEGRAPH AND TELEPHONE CORPORATION</t>
  </si>
  <si>
    <t>NIPPON TELEGRAPH AND TELEPHONE</t>
  </si>
  <si>
    <t>MAEDA; Atsuhiko; (Musashino-shi, JP); KODAMA; Midori; (Musashino-shi, JP); NAKAMURA; Motonori; (Musashino-shi, JP); SHAKE; Ippei; (Musashino-shi, JP)</t>
  </si>
  <si>
    <t>A61B 5/1123 20130101;  A61B 5/7405 20130101;  G01P 15/18 20130101;  G08B 21/24 20130101;  A61B 2562/0219 20130101;  A61B 5/742 20130101;  G08B 21/02 20130101;  G06F 3/16 20130101;  G16H 50/80 20180101;  A61B 5/7455 20130101;  A61B 5/11 20130101;  A61B 5/746 20130101;  G06F 3/016 20130101;  G16H 40/63 20180101</t>
  </si>
  <si>
    <t>An infectious disease prevention supporting device according to an     embodiment of the present invention is an infectious disease prevention     supporting device including a processor. The processor is configured to     perform a detection process that detects a motion of a forearm or a wrist     by a user, a proximity determination process that determines whether the     user's hand is in proximity to a mucosa of the user's face based on the     motion detected by the detection process for a predetermined period of     time, and a warning generation process that generates a warning to     suppress the proximity of the user's hand to the mucosa when it is     determined by the proximity determination process that the user's hand is     in proximity to the mucosa.</t>
  </si>
  <si>
    <t>US20210259343</t>
  </si>
  <si>
    <t>HIGH-TEMPERATURE VIRUS-KILLING MASK</t>
  </si>
  <si>
    <t>16/840887</t>
  </si>
  <si>
    <t>WUYI UNIVERSITY</t>
  </si>
  <si>
    <t>Wu; Min; (Jiangmen, CN); Li; Xinlin; (Jiangmen, CN); Jiang; Guowei; (Jiangmen, CN); Chen; Gongfa; (Jiangmen, CN); Chen; Guangwei; (Jiangmen, CN)</t>
  </si>
  <si>
    <t>A61M 2205/3653 20130101;  A42B 1/008 20130101;  A42B 1/0182 20210101;  A62B 23/02 20130101;  A62B 18/10 20130101;  A61M 16/1075 20130101;  A41D 13/11 20130101;  A61M 2209/088 20130101;  A62B 18/025 20130101</t>
  </si>
  <si>
    <t>Disclosed is a high-temperature virus-killing mask, including a sunhat, a     heating component and a mask body. A high-temperature microtube with a     resistance wire is arranged in the sunhat. The resistance wire may be     energized to generate heat to enable the temperature in the     high-temperature microtube to rise up to about 200.degree. C., so that,     when a user inhales air, the NCP in air flowing through the     high-temperature microtube will be killed by the high temperature.</t>
  </si>
  <si>
    <t>US20210259335</t>
  </si>
  <si>
    <t>WATERSEAL VIRUS-KILLING MASK</t>
  </si>
  <si>
    <t>16/840889</t>
  </si>
  <si>
    <t>Wu; Min; (Jiangmen, CN); Jiang; Guowei; (Jiangmen, CN); Li; Xinlin; (Jiangmen, CN); Chen; Gongfa; (Jiangmen, CN); Chen; Guangwei; (Jiangmen, CN); Cui; Fangsen; (Jiangmen, CN)</t>
  </si>
  <si>
    <t>A41D 13/1192 20130101;  A62B 23/025 20130101</t>
  </si>
  <si>
    <t>Disclosed is a waterseal virus-killing mask, including a mask body, a     liquid virus-killing assembly, and two elastic ear loops. A breather     valve is disposed on an outer surface of the mask body. The two elastic     ear loops are disposed on two sides of the mask body, respectively. The     liquid virus-killing assembly includes a U-shaped tube within which     disinfectant is provided. A disinfectant replenishing tube is vertically     disposed at an upper end in the middle of the U-shaped tube. A first     horizontal straight tube and a second horizontal straight tube are     separately disposed at two ends of the U-shaped tube. A left end of the     first horizontal straight tube is in communication with an opening of the     breather valve. A first filter mesh used to separate water and air is     disposed at a right end of the first horizontal straight tube.</t>
  </si>
  <si>
    <t>US20210257107</t>
  </si>
  <si>
    <t>CORONAVIRUS REAL-TIME MAP</t>
  </si>
  <si>
    <t>17/230999</t>
  </si>
  <si>
    <t>HASSAN MARWAN</t>
  </si>
  <si>
    <t>Hassan; Marwan; (Fremont, CA)</t>
  </si>
  <si>
    <t>G16H 10/60 20180101;  G16H 50/80 20180101;  H04W 64/006 20130101;  G16H 50/70 20180101;  H04W 64/003 20130101</t>
  </si>
  <si>
    <t>The present invention discloses a coronavirus real-time map to alarm     users when approaching infected locations. The infected locations are     updated in real-time based on the life cycle of the virus on surfaces,     and the virus test results of the users. The data collected about the     user's geographic locations are locally stored on the user's mobile phone     to secure their personal privacy.</t>
  </si>
  <si>
    <t>US20210257074</t>
  </si>
  <si>
    <t>TRACING OF COVID-19 VACCINE VIALS</t>
  </si>
  <si>
    <t>17/171774</t>
  </si>
  <si>
    <t>WILIOT, LTD.</t>
  </si>
  <si>
    <t>WILIOT</t>
  </si>
  <si>
    <t>ZELMAN; Ido; (Hod-Hasharon, IL); EPSTEIN; Matan; (Tel-Aviv, IL); MOSHE; Shay; (Pardes Hanna-Karkur, IL); RABKIN; Tsvika; (Pardes Hanna-Karkur, IL); LIPSHITZ; David; (Raanana, IL); SZPRUCH; Tal; (Kfar Saba, IL); ZIV; Dotan; (Tel-Aviv, IL); YEHEZKELY; Alon; (Haifa, IL)</t>
  </si>
  <si>
    <t>G06N 20/00 20190101;  G16H 20/17 20180101</t>
  </si>
  <si>
    <t>A system and method for tracing vaccine vials are provided. The method     includes receiving, from a gateway of a plurality of gateways, frequency     words from tags attached to vaccine vials, wherein each tag is configured     to transmit a plurality of frequency words; extracting at least one data     feature from the plurality of frequency words, wherein each data feature     changes in response to a change in a state of a vaccine vial; classifying     the extracted data feature based on a machine learning model trained with     respect to a location of the gateway, wherein the classifier is trained     to label a trace parameter indicative of a state of a vaccine vial; and     sending a semantic event indicating a value of the trace parameter.</t>
  </si>
  <si>
    <t>US20210253645</t>
  </si>
  <si>
    <t>CORONAVIRUSES EPITOPE-BASED VACCINES</t>
  </si>
  <si>
    <t>17/229100</t>
  </si>
  <si>
    <t>GERSHONI; Jonathan; (Herzliya, IL); FREUND; Natalia T.; (Savyon, IL)</t>
  </si>
  <si>
    <t>A61K 39/215 20130101;  C12N 2770/20022 20130101;  C07K 14/005 20130101;  C12N 2770/20034 20130101;  A61P 31/14 20180101;  A61K 39/12 20130101;  C07K 2319/735 20130101;  C12N 2770/20051 20130101</t>
  </si>
  <si>
    <t>The present invention provides polypeptides derived from the     coronaviruses (CoVs) Spike protein (S) characterized by high affinity and     specificity the S receptor and its neutralizing antibodies. The invention     further provides compositions and vaccines, and vaccine-based therapies     targeting CoVs, and SARS and MERS viruses in particular.</t>
  </si>
  <si>
    <t>US20210253553</t>
  </si>
  <si>
    <t>TLR 9 INHIBITORS</t>
  </si>
  <si>
    <t>17/240792</t>
  </si>
  <si>
    <t>INSILICO MEDICINE, INC.</t>
  </si>
  <si>
    <t>INSILICO MEDICINE</t>
  </si>
  <si>
    <t>Zavoronkovs; Aleksandrs; (Pak Shek Kok, HK); Aladinskiy; Vladimir; (Pak Shek Kok, HK); Aliper; Aleksandr; (Moscow, RU)</t>
  </si>
  <si>
    <t>C07D 401/14 20130101;  C07D 401/12 20130101</t>
  </si>
  <si>
    <t>A TLR9 inhibitor includes a compound of general formula (I):  ##STR00001##  wherein the meanings of the variables are explained in the     specification, or a stereoisomeric form or a mixture of stereoisomeric     forms, or pharmaceutically acceptable salts thereof. A pharmaceutical     composition can include compounds of the invention, which can be used in     a method for inhibiting TLR9 activity in vitro or in vivo. The method can     be performed by administering the compound to a subject to inhibit TLR9     activity, which can be used to treat a disease or disorder associated     with TLR9.</t>
  </si>
  <si>
    <t>US20210252142</t>
  </si>
  <si>
    <t>17/168554</t>
  </si>
  <si>
    <t>AETIO BIOTHERAPY, INC.</t>
  </si>
  <si>
    <t>AETIO BIOTHERAPY</t>
  </si>
  <si>
    <t>Wang; Yang; (Dallas, TX); Parker; Sherry; (Dallas, TX)</t>
  </si>
  <si>
    <t>A61K 38/217 20130101;  A61K 31/573 20130101;  A61K 38/215 20130101;  A61P 31/16 20180101;  A61K 47/6813 20170801;  A61K 9/0073 20130101;  A61P 31/14 20180101;  A61K 38/1793 20130101;  A61K 38/212 20130101;  A61K 39/3955 20130101</t>
  </si>
  <si>
    <t>The present invention includes composition and methods for treating a     patient with a known or suspected viral-induced infection, respiratory     disorder or exacerbation thereof, or preventing the same, the method     comprising: administering to the patient in need thereof a     therapeutically effective amount of an agent, wherein the agent comprises     at least one of: (a) an activatable pro-IFN-Fc antibody, (b) an     anti-viral-associated antibody or anti-epithelial-associated antibody     (aVab/aEab)-IFN-Fc fusion protein, wherein the aVab/aEab is an     anti-PD-L1, anti-VEGF, or anti-EGFR antibody variable domain, an     activatable pro-aVab/aEab-IFN-Fc, an activatable aVab/aEab-pro-IFN-Fc, or     pro-aVab/aEab-pro-IFN-Fc; wherein the fusion antibody prodrugs are     activatable by proteases upregulated in upper and lower respiratory     tracts during viral infection; wherein the preferred route of     administration is via nasopharyngeal or oropharyngeal airways, and     wherein the administration results in suppression of viral replication     causing a reduction in the viral-induced infection, respiratory disorder     or exacerbation thereof in the patient.</t>
  </si>
  <si>
    <t>US20210252129</t>
  </si>
  <si>
    <t>Coronavirus; Other</t>
  </si>
  <si>
    <t>A61K 2039/545 20130101;  C12N 2760/14134 20130101;  A61K 31/7115 20130101;  A61K 2039/53 20130101;  C12N 2770/20034 20130101;  A61P 31/14 20180101;  A61K 39/12 20130101;  C12N 15/86 20130101;  C12N 2760/18634 20130101</t>
  </si>
  <si>
    <t>US20210252048</t>
  </si>
  <si>
    <t>TREATMENT OF LUNG AND AIRWAY DISEASES AND DISORDERS</t>
  </si>
  <si>
    <t>17/307232</t>
  </si>
  <si>
    <t>HILL; Derek; (Bloomfield Hills, MI)</t>
  </si>
  <si>
    <t>A61K 31/375 20130101;  A61K 33/30 20130101;  A61K 9/12 20130101;  A61P 31/16 20180101;  A61K 45/06 20130101</t>
  </si>
  <si>
    <t>An aerosol containing fine droplets, the droplets separately or together     containing a first component comprising an aqueous preparation of a     transition metal or compound thereof and a second component which is an     aqueous preparation containing at least one oxidation-reduction potential     raising compound such as chlorite is useful in combating respiratory     disorders and diseases caused by pathogens such as influenza, RSV, and     coronavirus, as well as bacterial infections alone or associated with a     viral pathogen.</t>
  </si>
  <si>
    <t>US20210252045</t>
  </si>
  <si>
    <t>Method for inactivating and removing disease-related levels of sulfane     sulfur from affected biological tissues with special relevance to     Covid-19 virus infection</t>
  </si>
  <si>
    <t>17/118841</t>
  </si>
  <si>
    <t>TOOHEY JOHN I</t>
  </si>
  <si>
    <t>TOOHEY JOHN</t>
  </si>
  <si>
    <t>Toohey; John I.; (Elgin, CA)</t>
  </si>
  <si>
    <t>A01N 59/02 20130101;  A61P 31/16 20180101;  A61P 35/00 20180101;  A61K 33/04 20130101</t>
  </si>
  <si>
    <t>Disease states such as cancer or virus infection appear to be dependent     on supra-physiological levels of sulfane sulfur. This form of sulfur     (sulfane sulfur, zero valent sulfur) has been shown to have numerous     biological functions as a growth factor, metabolic regulator, and redox     enhancer. It is generated in vivo from the sulfur-containing amino acids     methionine and cysteine mainly via the polyamine pathway coupled to     cysteine transamination with macrophages acting as an important source.     Sulfane sulfur normally binds loosely to sulfur in proteins but it binds     tightly to certain agents that have unused electron pairs such as     sulfites, nitriles, or phophines. This provides a mechanism for binding     and removing disease-related sulfane sulfur. The invention is     particularly applicable to Covid-19 because this virus creates a "perfect     storm" in which macrophages carry the virus docking site (ACE) and, at     the same time, generate the sulfane sulfur required for invasion of the     virus. Based on experience with the corona virus of the common cold, it     is anticipated that Covid 19 infection process will be abrogated if the     sulfane sulfur binding agent is applied within the first few days.</t>
  </si>
  <si>
    <t>US20210252033</t>
  </si>
  <si>
    <t>N4-HYDROXYCYTIDINE AND DERIVATIVES AND ANTI-VIRAL USES RELATED THERETO</t>
  </si>
  <si>
    <t>17/170172</t>
  </si>
  <si>
    <t>UNIV EMORY</t>
  </si>
  <si>
    <t>PAINTER; George R.; (Atlanta, GA); BLUEMLING; Gregory R.; (Decatur, GA); NATCHUS; Michael C.; (Alpharetta, GA); MAO; Shuli; (Marietta, GA); MARENGO; Jose; (Atlanta, GA); HAGER; Michael W.; (Kennesaw, GA); PERRYMAN; David; (Decatur, GA)</t>
  </si>
  <si>
    <t>A61K 31/675 20130101;  A61K 9/0075 20130101;  A61K 31/4965 20130101;  A61K 31/7068 20130101;  A61K 9/0078 20130101;  A61M 11/005 20130101;  A61K 31/7076 20130101;  A61K 31/403 20130101;  A61K 31/341 20130101;  A61K 31/536 20130101;  A61K 45/06 20130101;  A61K 31/522 20130101;  A61K 31/665 20130101;  C07H 19/10 20130101;  A61K 31/496 20130101;  A61K 31/34 20130101;  A61K 31/4178 20130101;  A61K 9/008 20130101;  A61K 31/4406 20130101;  C07H 19/06 20130101;  A61K 31/52 20130101;  A61P 31/14 20180101;  A61K 31/404 20130101;  A61M 11/007 20140204;  A61K 31/513 20130101</t>
  </si>
  <si>
    <t>This disclosure relates to certain N4-hydroxycytidine derivatives,     pharmaceutical compositions, and methods related thereto. In certain     embodiments, the disclosure relates to the treatment or prophylaxis of     human coronavirus 2019-nCoV.</t>
  </si>
  <si>
    <t>US20210252027</t>
  </si>
  <si>
    <t>PHARMACEUTICAL FORMULATION CONTAINING REMDESIVIR</t>
  </si>
  <si>
    <t>17/168262</t>
  </si>
  <si>
    <t>A61K 31/675 20130101;  A61K 47/186 20130101;  A61K 47/40 20130101;  A61K 47/183 20130101;  A61K 9/0078 20130101</t>
  </si>
  <si>
    <t>The present invention relates to a liquid pharmaceutical preparation and     a method for administering the pharmaceutical preparation by nebulization     or soft mist inhalation. The pharmaceutical formulation comprises: (a)     remdesivir or a pharmaceutically acceptable salt thereof; (b) an     excipient selected from the group consisting of (i) a pharmacologically     acceptable stabilizer or complexing agent and (ii) a solubility enhancing     agent; and (c) a solvent wherein the pharmaceutical formulation has a pH     of between about 2.0 and about 6.0.</t>
  </si>
  <si>
    <t>US20210251945</t>
  </si>
  <si>
    <t>17/014774</t>
  </si>
  <si>
    <t>A61K 31/675 20130101;  A61K 31/4709 20130101;  A61K 31/506 20130101;  A61K 31/513 20130101;  A61K 31/395 20130101;  A61K 31/685 20130101;  A61K 9/0078 20130101;  A61K 31/553 20130101;  A61K 31/4985 20130101;  A61K 31/7072 20130101;  A61K 38/217 20130101;  A61K 31/426 20130101;  A61K 31/499 20130101;  A61K 31/46 20130101;  A61K 31/4045 20130101;  A61K 31/16 20130101;  A61K 31/427 20130101;  A61K 39/3955 20130101;  A61K 31/472 20130101;  A61K 31/708 20130101;  A23L 33/10 20160801;  A23L 33/40 20160801;  A61P 31/14 20180101;  A61K 31/551 20130101;  A61K 31/4245 20130101;  A61K 31/351 20130101;  A61K 31/52 20130101;  A61K 31/235 20130101;  A61K 31/4433 20130101;  A61K 31/13 20130101;  A61K 38/212 20130101;  A61K 31/353 20130101;  A61K 9/0056 20130101;  A61K 38/16 20130101;  A23V 2002/00 20130101;  A61K 38/21 20130101;  A61K 31/343 20130101</t>
  </si>
  <si>
    <t>US20210251188</t>
  </si>
  <si>
    <t>TRAINING AID</t>
  </si>
  <si>
    <t>17/081441</t>
  </si>
  <si>
    <t>GILES; Kathleen; (Washington, DC); ANGLE; Thomas Craig; (Auburn, AL); WAGGONER; Lowell Paul; (Auburn, AL); PASSLER; Thomas; (Auburn, AL); FISCHER; Terrence; (Auburn, AL)</t>
  </si>
  <si>
    <t>A01K 15/02 20130101</t>
  </si>
  <si>
    <t>Provided herein are methods of making a training aid for detecting a     biohazard, and related devices and methods of using the device, including     a canine training aid. The devices are made by positioning a polymer     layer in proximity and physically separated from a biological material,     so that volatile organic compounds contact and bind or infuse the polymer     layer. The device is made render-safe by inactivating the infused polymer     layer, such as by heating to a temperature sufficient to inactivate     biological agents on or in the analyte-infused polymer layer. The device     can be stored in a substantially air-tight configuration for subsequent     use in training, such as canine and/or or artificial detectors.</t>
  </si>
  <si>
    <t>US20210248890</t>
  </si>
  <si>
    <t>Personal Proximity Alert Device and Associated Behavior Modification     System</t>
  </si>
  <si>
    <t>17/174806</t>
  </si>
  <si>
    <t>CONSERVENTION, INC.</t>
  </si>
  <si>
    <t>CONSERVENTION</t>
  </si>
  <si>
    <t>Shaw; Thomas J.; (Frisco, TX); Shaw; Steven E.; (Prosper, TX); Small; Mark; (Heavener, OK); Wisner; Steve; (Frisco, TX)</t>
  </si>
  <si>
    <t>G08B 21/02 20130101;  G08B 21/182 20130101</t>
  </si>
  <si>
    <t>A personal proximity alert device and associated behavior modification     system configured to monitor and/or detect a hand of a user or another     person or object penetrating a personal protection zone around the facial     area of the user and to alert users to such detected risks and/or to the     presence of others approaching within a predetermined minimum socially     safe distance to reduce the likelihood of accidentally transmitting     viruses or other pathogens.</t>
  </si>
  <si>
    <t>US20210246448</t>
  </si>
  <si>
    <t>COMPOSITION AND METHODS OF RNAi PROPHYLACTICS AND THERAPEUTICS FOR     TREATMENT OF SEVERE ACUTE RESPIRATORY INFECTION CAUSED BY  2019 NOVEL     CORONAVIRUS (2019-nCoV)</t>
  </si>
  <si>
    <t>17/157920</t>
  </si>
  <si>
    <t>TANG; Danny; (Guangzhou, CN); CHEN; Xueping; (Guangzhou, CN); LU; Patrick Y.; (Potomac, MD); SIMONENKO; Vera; (Gaithersburg, MD); EVANS; David; (Gaithersburg, MD); XU; John; (Gaithersburg, MD); WANG; Deling; (Suzhou, CN); LU; Alan; (Gaithersburg, MD)</t>
  </si>
  <si>
    <t>C12N 15/113 20130101;  A61K 47/28 20130101;  A61P 31/14 20180101;  A61K 47/6931 20170801</t>
  </si>
  <si>
    <t>Compositions and methods for development of potent siRNA therapeutics for     prevention and treatment of Corona Virus (2019-nCoV; COVID-19) infections     are provided. The compositions include a pharmaceutical composition     comprising siRNA cocktails that target critical viral genes and     pharmaceutically acceptable polymeric nanoparticle carriers and liposomal     nanoparticle carriers. Administration methods for prevention and     treatment are provided, including airway instillation, subcutaneous     injections and nebulizer aerosolization.</t>
  </si>
  <si>
    <t>US20210246431</t>
  </si>
  <si>
    <t>Human Betacoronavirus Lineage C and Identification of N-Terminal     Dipeptidyl Peptidase As Its Virus Receptor</t>
  </si>
  <si>
    <t>17/027295</t>
  </si>
  <si>
    <t>ERASMUS UNIVERSITY MEDICAL CENTER ROTTERDAM</t>
  </si>
  <si>
    <t>Haagmans; Bartholomeus Leonardus; (Rotterdam, NL); Bestebroer; Theodorus Marinus; (Rotterdam, NL); van Boheemen; Sander; (Rotterdam, NL); Fouchier; Ronaldus Adrianus Maria; (Rotterdam, NL); Osterhaus; Albertus Dominicus Marcellinus Erasmus; (Rotterdam, NL); Zaki; Ali Moh; (Rotterdam, NL); Raj; Victor Stalin; (Rotterdam, NL); Bosch; Berend Jan; (Rotterdam, NL)</t>
  </si>
  <si>
    <t>C12Y 304/14005 20130101;  G01N 33/573 20130101;  C12N 7/00 20130101;  G01N 2333/948 20130101;  G01N 2500/02 20130101;  C07K 2319/30 20130101;  C07K 14/70596 20130101;  C07K 16/10 20130101;  C12N 2770/20034 20130101;  C12Q 1/701 20130101;  G01N 2333/165 20130101;  C12Q 2600/158 20130101;  C12N 2770/20022 20130101;  C12N 2770/20021 20130101;  G01N 33/56983 20130101;  A61K 35/76 20130101;  C12N 9/485 20130101;  C12N 2770/20032 20130101;  C07K 14/005 20130101</t>
  </si>
  <si>
    <t>The invention provides an isolated essentially mammalian positive-sense     single stranded RNA virus classifiable as belonging to the Order:     Nidovirales; Family: Coronaviridae; Subfamily: Coronavirinae; Genus:     Betacoronavirus; and non-Lineage A, non-Lineage B or non-Lineage D, human     betacoronavirus. The invention also provides a human virus having a     receptor binding domain (RBD) capable of binding to a dipeptidyl     peptidase 4. The invention also provides diagnostic means and methods,     prophylactic means and methods and therapeutic means and methods to be     employed in the diagnosis, prevention and/or treatment of disease, in     particular of respiratory disease, in particular of mammals, more in     particular in humans.</t>
  </si>
  <si>
    <t>US20210246226</t>
  </si>
  <si>
    <t>17/171941</t>
  </si>
  <si>
    <t>BAUM; Alina; (Pleasantville, NY); KYRATSOUS; Christos; (Irvington, NY); PURCELL; Lisa; (Yorktown Heights, NY)</t>
  </si>
  <si>
    <t>A61K 45/06 20130101;  A61K 39/3955 20130101;  C07K 16/40 20130101;  C07K 2317/31 20130101;  C07K 2317/92 20130101;  C12N 9/50 20130101;  C07K 2317/33 20130101</t>
  </si>
  <si>
    <t>The present disclosure provides antibodies and antigen-binding fragments     thereof that bind specifically to TMPRSS2 and methods of using such     antibodies and fragments for treating or preventing viral infections     (e.g., coronavirus infections or influenza virus infections).</t>
  </si>
  <si>
    <t>US20210246170</t>
  </si>
  <si>
    <t>Compositions and Methods for Preventing and Treating Coronavirus Infection     - SARS-COV-2 Vaccines</t>
  </si>
  <si>
    <t>17/163357</t>
  </si>
  <si>
    <t>LANGEDIJK; Johannes Petrus Maria; (Amsterdam, NL); RUTTEN; Lucy; (Rijnsburg, NL); BAKKERS; Mark Johannes Gerardus; (Haarsteeg, NL); BOS; Rinke; (Oegstgeest, NL); WEGMANN; Frank; (Leiden, NL); ZUIJDGEEST; David Adrianus Theodorus Maria; (Den Haag, NL); BAROUCH; Dan H.; (Newton, MA); VANDEBOSCH; An; (Herentals, BE); le GARS; Mathieu Claude Michel; (Antwerp, BE); SADOFF; Jerald C.; (Washington, D.C., US)</t>
  </si>
  <si>
    <t>C12N 2770/20071 20130101;  C07K 14/005 20130101;  A61K 2039/53 20130101;  C12N 7/00 20130101;  A61K 2039/5256 20130101;  A61P 31/14 20180101;  A61K 2039/545 20130101;  C12N 2750/14143 20130101;  C12N 2770/20034 20130101;  A61K 39/215 20130101;  C12N 2750/14151 20130101;  C12N 2770/20022 20130101;  C12N 2750/14171 20130101;  C12N 15/86 20130101</t>
  </si>
  <si>
    <t>US20210244811</t>
  </si>
  <si>
    <t>COMPOSITIONS IMMUNOGENIC AGAINST SARS CORONAVIRUS 2, METHODS OF MAKING,     AND USING THEREOF</t>
  </si>
  <si>
    <t>17/172300</t>
  </si>
  <si>
    <t>Chen; Honglin; (Hong Kong, CN); Wang; Pui; (Hong Kong, CN); Chen; Zhiwei; (Hong Kong, CN); Yuen; Kowk-Yong; (Hong Kong, CN)</t>
  </si>
  <si>
    <t>C12N 2760/16121 20130101;  A61K 2039/543 20130101;  C12N 7/00 20130101;  A61K 2039/5256 20130101;  A61K 2039/5254 20130101;  A61P 31/14 20180101;  C12N 2770/20034 20130101;  A61K 39/215 20130101;  C12N 2770/20021 20130101;  C12N 2760/16134 20130101</t>
  </si>
  <si>
    <t>Live attenuated viruses for protection against the novel coronavirus     which emerged in Wuhan, Hubei Province of China, designated as Sars-CoV-2     by the World Health Organization (WHO) are provided. The live attenuated     chimeric virus strains are based on a live attenuated influenza virus     (LAIV), used a master backbone, which includes deletion of the viral     virulence element, the NS1 (non-structural protein 1) (DeLNS1),     engineered to express one or more antigens of the Sars-CoV-2 (herein,     CoV2Ag). The chimeric virus strain is referred to generally herein, as     DelNS1-Sars-CoV-2-CoV2Ag. The DelNS1-Sars-CoV-2-CoV2Ag strain preferably     shows spontaneous cold adaption with preference to grow at 30-33.degree.     C. The DelNS1-Sars-CoV-2-CoV2Ag strain can be used to protect a subject     in need thereof, against a challenge of Sars-CoV-2.     DelNS1-Sars-CoV-2-CoV2Ag is an important strategy for making highly     attenuated and immunogenic live attenuated vaccines with the ability to     induce protective immunity against Sars-CoV-2.</t>
  </si>
  <si>
    <t>US20210244746</t>
  </si>
  <si>
    <t>COMPOSITIONS AND METHODS FOR TREATING CORONAVIRUS INFECTIONS</t>
  </si>
  <si>
    <t>17/174423</t>
  </si>
  <si>
    <t>CYTOAGENTS, INC.</t>
  </si>
  <si>
    <t>CYTOAGENTS</t>
  </si>
  <si>
    <t>Craigo; Jodi; (Cranberry Township, PA)</t>
  </si>
  <si>
    <t>A61K 45/06 20130101;  A61K 31/5585 20130101;  A61K 9/0053 20130101;  A61P 31/14 20180101</t>
  </si>
  <si>
    <t>Compositions and methods that can be used to treat or prevent a viral     infection are described herein. Prostacyclin/prostaglandin analogs can be     used to treat infection by viruses such as SARS-CoV, MERS-CoV, and     SARS-CoV-2. For example, pharmaceutical compositions containing beraprost     or salts thereof can be used to treat infection by SARS-CoV-2 (the virus     that causes the "COVID-19" disease).</t>
  </si>
  <si>
    <t>US20210244743</t>
  </si>
  <si>
    <t>ANTI-VIRAL COMPOSITIONS AND METHODS OF USE</t>
  </si>
  <si>
    <t>17/248696</t>
  </si>
  <si>
    <t>JAL THERAPEUTICS, LLC</t>
  </si>
  <si>
    <t>JAL THERAPEUTICS</t>
  </si>
  <si>
    <t>Landrette; Sean; (Meriden, CT); Young; Peter R.; (Guilford, CT); Lichenstein; Henri; (Guilford, CT); Gunel; Murat; (Guilford, CT)</t>
  </si>
  <si>
    <t>A61K 31/7052 20130101;  A61K 39/3955 20130101;  A61P 31/14 20180101;  A61K 31/5377 20130101;  A61K 31/4706 20130101;  A61K 38/21 20130101;  A61K 31/706 20130101</t>
  </si>
  <si>
    <t>The present invention relates to PIKfyve inhibitors, such as apilimod,     and related compositions and methods for treating or preventing     coronavirus infections.</t>
  </si>
  <si>
    <t>US20210244726</t>
  </si>
  <si>
    <t>THERAPEUTIC COMBINATIONS OF DRUGS FOR TREATING, PREVENTING, AMELIORATING     OR PREVENTING CORONAVIRUS INFECTION</t>
  </si>
  <si>
    <t>16/828891</t>
  </si>
  <si>
    <t>A61K 31/7052 20130101;  A61M 15/0068 20140204;  A61K 31/426 20130101;  A61M 15/009 20130101;  A61M 2202/064 20130101;  C12N 7/00 20130101;  A61M 15/0045 20130101;  A61K 39/3955 20130101;  A61P 31/14 20180101;  A61K 9/0075 20130101;  A61K 31/4706 20130101;  A61K 38/21 20130101;  C12N 2770/20034 20130101;  A61K 39/215 20130101;  A61K 31/137 20130101;  A61K 9/0053 20130101;  A61K 31/513 20130101;  A61K 31/436 20130101;  A61K 9/0078 20130101;  A61K 31/4409 20130101;  A61K 9/0019 20130101;  A61K 31/215 20130101;  A61M 15/08 20130101</t>
  </si>
  <si>
    <t>US20210244705</t>
  </si>
  <si>
    <t>17/116942</t>
  </si>
  <si>
    <t>A61K 31/7052 20130101;  A61K 9/20 20130101;  A61K 9/0073 20130101;  A61K 31/35 20130101;  A61K 31/593 20130101;  A61K 9/0053 20130101;  A61K 9/14 20130101;  A61K 31/375 20130101;  A61K 33/30 20130101;  A61K 31/47 20130101</t>
  </si>
  <si>
    <t>US20210244594</t>
  </si>
  <si>
    <t>Patient Protection Apparatus and Associated Methods</t>
  </si>
  <si>
    <t>17/236015</t>
  </si>
  <si>
    <t>Dougherty, Natalia Valderrama; Dougherty, Bryan</t>
  </si>
  <si>
    <t>DOUGHERTY NATALIA</t>
  </si>
  <si>
    <t>Dougherty; Natalia Valderrama; (Melbourne, FL); Dougherty; Bryan; (Melbourne, FL)</t>
  </si>
  <si>
    <t>A61C 19/00 20130101;  A61G 10/005 20130101</t>
  </si>
  <si>
    <t>Embodiments of the present invention are related to a patient protection     apparatus with a first side, a second side, a back, a top and a front     visor. The first side and second side each include at least one of a side     arm aperture, an instrument aperture and an air filter interface. The     back includes a plurality of back arm apertures and at least one back     instrument aperture. The top has a wider length at the front of the     apparatus and a shorter length at the back allowing the first side and     second side to taper at an angle from the front to the back. Some     embodiments include wheels for easy transportation and removable front     enclosures. Other embodiments include smaller dimensions for ease of     transport and more versatile application.</t>
  </si>
  <si>
    <t>US20210244365</t>
  </si>
  <si>
    <t>NON-INVASIVE EPIDERMAL HEALTH-MONITORING SENSOR, PATCH SYSTEM AND METHOD,     AND EPIDEMIOLOGICAL MONITORING AND TRACKING SYSTEM RELATED THERETO</t>
  </si>
  <si>
    <t>17/231991</t>
  </si>
  <si>
    <t>SPECTRONICS CORPORATION</t>
  </si>
  <si>
    <t>SPECTRONICS</t>
  </si>
  <si>
    <t>Assouad; Patrick; (Ottawa, CA)</t>
  </si>
  <si>
    <t>A61B 5/6833 20130101;  A61B 5/14546 20130101;  A61B 5/14552 20130101;  G16H 40/67 20180101;  A61B 5/01 20130101;  A61B 5/0022 20130101;  G16H 50/30 20180101;  A61B 5/1112 20130101;  A61B 5/6814 20130101;  A61B 5/7275 20130101</t>
  </si>
  <si>
    <t>Described are various embodiments of non-invasive epidermal     health-monitoring sensor, patch, system and method, and epidemiological     monitoring and tracking system related thereto.</t>
  </si>
  <si>
    <t>US20210244029</t>
  </si>
  <si>
    <t>ANTIMICROBIAL COMPOSITIONS</t>
  </si>
  <si>
    <t>17/143148</t>
  </si>
  <si>
    <t>ASEPTIC HEALTH, LLC</t>
  </si>
  <si>
    <t>ASEPTIC HEALTH</t>
  </si>
  <si>
    <t>Politopoulos; Michael; (Chattanooga, TN); Ryan; Autumn N.; (Nashville, TN); Scannapieco; Gustave J.; (Nolensville, TN)</t>
  </si>
  <si>
    <t>A61K 8/416 20130101;  A01N 25/02 20130101;  A61K 8/365 20130101;  A01N 33/12 20130101;  A01N 59/00 20130101;  A61Q 17/005 20130101;  A01N 25/22 20130101;  A01N 25/30 20130101;  A61K 8/24 20130101;  A61K 8/19 20130101;  A61K 8/20 20130101;  A01N 59/14 20130101</t>
  </si>
  <si>
    <t>The present disclosure generally describes an antimicrobial composition     comprising: a water solution comprising a chlorite salt having a     concentration ranging from about 2,000 parts per million to about 8,000     parts per million, and at least one quaternary ammonium salt having a     concentration ranging from about 5,000 parts per million to about 10,000     parts per million. The present compositions are advantageously effective     against a variety of bacteria, viruses, molds, and fungi, and may be used     in a variety applications. Such applications include, without limitation,     healthcare setting and equipment disinfection, food surface disinfection,     agricultural disinfection, and personal hand care disinfection.</t>
  </si>
  <si>
    <t>US20210241919</t>
  </si>
  <si>
    <t>SYSTEM FOR AN EPIDEMIOLOGICAL APPROACH TO MUSCULOSKELETAL RISK     DETERMINATION AND PREDICTION OF ERGONOMIC RISKS, PHYSICAL DEMAND     PERFORMANCE LEVELS, OCCUPATIONAL HEALTH MONITORING AND ENVIRONMENTAL,     HEALTH, SAFETY &amp; SUSTAINABILITY MODELING</t>
  </si>
  <si>
    <t>17/240061</t>
  </si>
  <si>
    <t>THE ERGONOMIC GROUP, INC.</t>
  </si>
  <si>
    <t>ERGONOMIC</t>
  </si>
  <si>
    <t>Bradbury; Samuel; (Santa Fe, NM); Heidebrecht; Mark; (Olathe, KS)</t>
  </si>
  <si>
    <t>G06Q 10/0635 20130101;  G16H 50/30 20180101;  G06K 19/06037 20130101</t>
  </si>
  <si>
    <t>A worksite risk analysis and documentation system and method defines,     captures, categorizing, and documents, while analyzing functional     physical demands of a plurality of jobs, tasks, body movements to provide     musculoskeletal and health and safety risks at various worksites. The     system uses the use of odds ratios in the determination of risk for     musculoskeletal, ergonomic and EHS&amp;S risk factors. A built in QR tracking     system for Covid-19 is provided.</t>
  </si>
  <si>
    <t>US20210241603</t>
  </si>
  <si>
    <t>HAND SANITATION COMPLIANCE ENFORCEMENT SYSTEMS AND METHODS</t>
  </si>
  <si>
    <t>17/236202</t>
  </si>
  <si>
    <t>VISUAL TECHNOLOGY SERVICES LIMITED</t>
  </si>
  <si>
    <t>VISUAL</t>
  </si>
  <si>
    <t>Harman; John Caleb; (Downers Grove, IL); Abdelsayed; John M.; (Pepper Pike, OH)</t>
  </si>
  <si>
    <t>G16H 15/00 20180101;  G06Q 10/10 20130101;  G06Q 30/0261 20130101;  G06K 9/00744 20130101;  H04N 7/183 20130101;  G06Q 30/018 20130101;  G08B 21/245 20130101;  G16H 40/20 20180101;  G06K 9/6256 20130101;  G06K 7/10415 20130101;  G06K 7/10297 20130101;  G08B 5/36 20130101;  G06N 20/00 20190101</t>
  </si>
  <si>
    <t>An electronic processor is operatively connected with at least one video     camera, or additionally or alternatively a non-camera-based sensor, and     at least one annunciator to process real time video acquired by the at     least one video camera in real time to perform a hand hygiene compliance     enforcement method for encouraging use of a hand sanitation station. The     real time video is analyzed to determine an occupancy time interval over     which a sanitation zone imaged by the real time video is occupied.     Whether a hand sanitation event occurs is determined based on images of a     wash station zone extracted from the real time video acquired during the     occupancy time interval. The at least one annunciator is controlled to     annunciate a hand hygiene compliance status based on the determination of     whether a hand sanitation event occurs.</t>
  </si>
  <si>
    <t>US20210238232</t>
  </si>
  <si>
    <t>17/005733</t>
  </si>
  <si>
    <t>G TECH BIO LLC</t>
  </si>
  <si>
    <t>G TECH BIO</t>
  </si>
  <si>
    <t>Gumrukcu; Serhat; (Los Angeles, CA)</t>
  </si>
  <si>
    <t>C07K 14/005 20130101;  C12N 7/00 20130101;  C12N 2730/10133 20130101;  C12N 2730/10122 20130101;  A61K 38/00 20130101;  C12N 2750/14143 20130101;  C12N 15/86 20130101;  C12N 2730/10123 20130101</t>
  </si>
  <si>
    <t>The disclosure provides methods and compositions utilizing recombinant     nucleic acid constructs or a replication incompetent virus-like particle     encoding a chemokine, cytokine, or apoptosis inducing protein (e.g.     Caspase 9 (Casp9)), or other toxins in a form which can only be     transcribed in the presence of a viral polymerase. These methods can be     adapted to target many viral infections and reduce or eliminate viral     load, and provide a fundamentally different treatment for viral     infections.</t>
  </si>
  <si>
    <t>US20210236815</t>
  </si>
  <si>
    <t>IMMUNOSTIMULATION IN THE TREATMENT OF VIRAL INFECTION</t>
  </si>
  <si>
    <t>17/212833</t>
  </si>
  <si>
    <t>GALARY INC</t>
  </si>
  <si>
    <t>GALARY</t>
  </si>
  <si>
    <t>Waldstreicher; Jonathan R.; (West Orange, NJ); Krimsky; William S.; (Forest Hill, MD); Neal, II; Robert E.; (Palo Alto, CA); Zarins; Denise M.; (Saratoga, CA); Beetel; Robert J.; (Sunnyvale, CA); Friedrichs; Paul Brian; (Belmont, CA); Taylor; Kevin James; (San Mateo, CA); Turovskiy; Roman; (San Francisco, CA); Long; Gary L.; (Cincinnati, OH)</t>
  </si>
  <si>
    <t>A61N 1/0519 20130101;  A61N 1/32 20130101</t>
  </si>
  <si>
    <t>Apparatuses, systems and methods are provided for treating pulmonary     tissues via delivery of energy, generally characterized by high voltage     pulses, to target tissue using a pulmonary tissue modification system     (e.g., an energy delivery catheter system). Example pulmonary tissues     include, without limitation, those within the respiratory tract,     particularly the epithelium (the goblet cells, ciliated pseudostratified     columnar epithelial cells, and basal cells), lamina propria, submucosa,     submucosal glands, basement membrane, smooth muscle, cartilage, nerves,     pathogens resident near or within the tissue, or a combination of any of     these. The systems may be used to treat pathogens, such as bacteria and     viruses, particularly coronaviruses.</t>
  </si>
  <si>
    <t>US20210236762</t>
  </si>
  <si>
    <t>TREATMENT OF INFECTIONS AND ASSOCIATED PATHOPHYSIOLOGICAL CONDITIONS</t>
  </si>
  <si>
    <t>17/215794</t>
  </si>
  <si>
    <t>Mirhoseini, Mahmood; Manasheri, Aria; Ahmadi, Maryam Al Sadat; Nuhian, Siamak</t>
  </si>
  <si>
    <t>MIRHOSEINI MAHMOOD</t>
  </si>
  <si>
    <t>Mirhoseini; Mahmood; (Germantown, WI); Manasheri; Aria; (Germantown, WI); Ahmadi; Maryam Al Sadat; (Germantown, WI); Nuhian; Siamak; (Germantown, WI)</t>
  </si>
  <si>
    <t>A61K 31/7004 20130101;  A61K 33/00 20130101;  A61M 2202/0208 20130101;  A61N 5/0624 20130101;  A61K 31/045 20130101;  A61M 2202/0486 20130101;  A61M 2202/025 20130101;  A61M 16/14 20130101;  A61M 16/101 20140204;  A61N 5/062 20130101;  A61K 9/007 20130101;  A61M 15/02 20130101;  A61K 9/0019 20130101;  A61M 2202/0484 20130101</t>
  </si>
  <si>
    <t>Disclosed is a method of treating microbial infections and their     associated complications in humans. The method includes administering to     a patient, a composition of dextrose and ethanol. The composition can be     administered in the form of an infusion. For patients suffering from     respiratory complications, the disclosed method also provides for     enhancing oxygen uptake by lungs and reducing oxygen resistance through     the administration of air having helium gas and excited oxygen atoms.</t>
  </si>
  <si>
    <t>US20210236624</t>
  </si>
  <si>
    <t>VACCINES FORMED BY VIRUS AND ANTIGEN CONJUGATION</t>
  </si>
  <si>
    <t>17/186941</t>
  </si>
  <si>
    <t>KBIO HOLDINGS LIMITED</t>
  </si>
  <si>
    <t>KBIO</t>
  </si>
  <si>
    <t>Hume; Steven D.; (Owensboro, KY); Burden; Leigh; (Owensboro, KY); Morton; Joshua; (Evansville, IN); Pogue; Greg; (Austin, TX); Bratcher; Barry; (Owensboro, KY); Haydon; Hugh A.; (Louisville, KY); Simpson; Carrie A.; (Evansville, IN); Partain; Nick; (Owensboro, KY); Oh; Youngjun; (Owensboro, KY); Shepherd; John W.; (Owensboro, KY); Pauly; Michael H.; (Del Mar, CA)</t>
  </si>
  <si>
    <t>A61K 39/145 20130101;  A61K 2039/70 20130101;  A61K 39/215 20130101;  A61K 47/6811 20170801;  A61K 2039/627 20130101;  A61K 2039/5256 20130101</t>
  </si>
  <si>
    <t>Disclosed herein are methods of forming compounds and exemplary stable     compounds in the nature of a conjugated compound at refrigerated or room     temperature, which in some embodiments comprises an antigen and virus     particle mixed in a conjugation reaction to form a conjugate mixture,     such that the conditions and steps of forming these products allow for     use of the conjugate mixture as a vaccine, including but not limited to     use as a vaccine against various pathogens including for treatment of     diseases caused by novel coronaviruses (including SARS-COV 2).</t>
  </si>
  <si>
    <t>US20210236580</t>
  </si>
  <si>
    <t>Methods and Compositions for Mitigating Symptoms of Acute Respiratory     Distress Syndrome</t>
  </si>
  <si>
    <t>17/035405</t>
  </si>
  <si>
    <t>SYTHEON LIMITED</t>
  </si>
  <si>
    <t>SYTHEON</t>
  </si>
  <si>
    <t>Chaudhuri; Ratan K; (Lincoln Park, NJ); Randhawa; Manpreet; (Robbinsville, NJ)</t>
  </si>
  <si>
    <t>A61K 36/87 20130101;  A61K 31/573 20130101;  A61K 36/36 20130101;  A61K 36/81 20130101;  A61K 36/185 20130101;  A61K 36/53 20130101</t>
  </si>
  <si>
    <t>A method of treating or inhibiting the symptoms of acute respiratory     distress syndrome, especially that associated with Covid-19, said method     comprising administering an effective amount of a cytokine and/or innate     immune response modulating natural extract, its components or     metabolites, or combinations thereof capable of modulating those cytokine     and/or innate immune response associated mechanisms associated with acute     respiratory distress.</t>
  </si>
  <si>
    <t>US20210236529</t>
  </si>
  <si>
    <t>MULTI-TARGETED COMPOSITIONS FOR MITIGATING ACUTE RESPIRATORY DISTRESS     SYNDROME</t>
  </si>
  <si>
    <t>17/224856</t>
  </si>
  <si>
    <t>Chaudhuri; Ratan K.; (Lincoln Park, NJ); Randhawa; Manpreet; (Robbinsville, NJ)</t>
  </si>
  <si>
    <t>A61K 31/7004 20130101;  A61K 31/7048 20130101;  A61K 31/513 20130101</t>
  </si>
  <si>
    <t>A method for treatment of viral infections, especially SARS-CoV-2     infections, said method comprising the administration of hydrolysable     tannins.</t>
  </si>
  <si>
    <t>US20210236497</t>
  </si>
  <si>
    <t>METHOD FOR TREATING CORONAVIRUS INFECTIONS</t>
  </si>
  <si>
    <t>16/851047</t>
  </si>
  <si>
    <t>OYAGEN, INC.</t>
  </si>
  <si>
    <t>OYAGEN</t>
  </si>
  <si>
    <t>SMITH; Harold C.; (Rochester, NY); BENNETT; Ryan P.; (Clifton Springs, NY)</t>
  </si>
  <si>
    <t>A61K 9/4808 20130101;  A61K 9/20 20130101;  A61P 31/14 20180101;  A61K 9/0019 20130101;  A61K 9/0053 20130101;  A61K 31/519 20130101;  A61K 9/0043 20130101</t>
  </si>
  <si>
    <t>Disclosed herein are methods, formulations, and kits for treating     coronavirus infections, including Severe Acute Respiratory Syndrome     coronavirus 2 (SARS-CoV-2) infections. Further disclosed are stop-gap     methods for controlling the spread of coronavirus infections and the     emergence of drug resistant strains of coronavirus.</t>
  </si>
  <si>
    <t>US20210235789</t>
  </si>
  <si>
    <t>MASK-ON-A-STICK</t>
  </si>
  <si>
    <t>17/237053</t>
  </si>
  <si>
    <t>Coyle; Brian Michael; (Canyon, CA); Larsen; Alys; (Canyon, CA)</t>
  </si>
  <si>
    <t>A mask-on-a-stick includes a holding part and a mask unit which are     connected, in which the mask unit has a curved shape. When a user is     holding the mask-on-a-stick, the mask unit fits naturally over their     mouth and lower nose, and the mask unit surface prevents the user from     spreading microbial particles to the environment. The widest part of the     mask unit fits over the user's mouth, and above this area the mask unit     extends to cover the lower nose. The mask-on-a-stick can be manufactured     from cellulose-based material at reasonable cost, so as to be disposable,     or recyclable after sterilizing, and numerous sizes of the     mask-on-a-stick may be made available for customers at restaurants and     other locations where people remove facemasks to eat or drink, but need     to cover their mouth and nose when talking.</t>
  </si>
  <si>
    <t>US20210233631</t>
  </si>
  <si>
    <t>Decryption/Display Pathway for User-Device Health Status Display</t>
  </si>
  <si>
    <t>17/211099</t>
  </si>
  <si>
    <t>Llewelyn; Gareth John; (Hign Wycombe, GB)</t>
  </si>
  <si>
    <t>G06F 3/14 20130101;  G16H 10/60 20180101;  H04L 9/3226 20130101;  G08B 7/06 20130101</t>
  </si>
  <si>
    <t>Systems and Methods are disclosed for real-time decryption of a health     registry-issued certificate for signaling a user vaccination and/or test     status on a user device comprising the steps of: coupling a first user     mobile device to a health registry for real-time decryption of a health     registry-issued health certificate over a network; outputting on the     first user mobile device at least one of an audible output, visual     output, vibrational output, and/or textual output based on a pre-defined     signaling protocol to signal a user vaccination status based on a token     derived from the real-time decrypted health certificate; and decoding a     device identifier/tag or token from the first user mobile device by a     second user mobile device, fixed access device, or hand-held scanner,     signaling to a second user a first user vaccination status based on a     pre-defined signaling protocol and the tag/token.</t>
  </si>
  <si>
    <t>US20210233606</t>
  </si>
  <si>
    <t>MEASUREMENT AND PREDICTION OF VIRUS GENETIC MUTATION PATTERNS</t>
  </si>
  <si>
    <t>17/252698</t>
  </si>
  <si>
    <t>THE CHINESE UNIVERSITY OF HONG KONG</t>
  </si>
  <si>
    <t>THE CHINESE UNIVERSITY HONG KONG</t>
  </si>
  <si>
    <t>WANG; Maggie Haitian; (Shatin, New Territories, Hong Kong SAR, CN); ZEE; Benny Chung Ying; (Kowloon, Hong Kong SAR, CN); LOU; Jingzhi; (Hangzhou, Zhejiang, CN); CHONG; Ka Chun; (Ma On Shan, N.T., Hong Kong SAR, CN)</t>
  </si>
  <si>
    <t>G16H 50/80 20180101;  G16H 50/50 20180101;  G06F 30/20 20200101;  G16H 10/40 20180101;  G16B 20/20 20190201;  G16B 20/50 20190201;  G16B 5/30 20190201</t>
  </si>
  <si>
    <t>Mutation patterns of a virus (e.g., influenza virus) are identified and     predicted based on identifying effective mutations in an amino acid     sequence of the virus and an effective mutation period during which the     mutation enables the virus to escape from human immunity. Based on     analysis of existing virus composition and infection rates, a measure of     genetic mutation activity ("g-measure") is determined, and one or more     associated parameters that further characterize virus genetic activity     may also be optimized. The g-measure and/or associated parameters can be     used to predict future genetic activity of the virus, which can aid in     selection of strains for a future vaccine and/or predictions of     infectious-disease outbreaks.</t>
  </si>
  <si>
    <t>US20210231638</t>
  </si>
  <si>
    <t>ELECTROCHEMICAL APPROACH FOR COVID-19 DETECTION</t>
  </si>
  <si>
    <t>17/207653</t>
  </si>
  <si>
    <t>NANO HESGARSAZAN SALAMAT ARYA</t>
  </si>
  <si>
    <t>Abdolahad; Mohammad; (Tehran, IR); Sadat Miripour; Zohreh; (Tehran, IR); Sanati koloukhi; Hassan; (Tehran, IR); Shojaeian Zanjani; Fatemeh Zahra; (Tehran, IR); Ghafari; Hadi; (Tehran, IR); Namdar Habashi; Naser; (Tabriz, IR); Zandi; Ashkan; (Tabriz, IR); Abbasvandi; Fereshteh; (Tehran, IR)</t>
  </si>
  <si>
    <t>G01N 27/48 20130101;  G01N 33/48771 20130101;  G01N 27/3275 20130101;  G01N 2800/26 20130101;  G01N 33/48714 20130101;  G01N 2333/165 20130101</t>
  </si>
  <si>
    <t>A method for diagnosing COVID-19 infection of a person. The method     includes acquiring a sputum sample of the person, measuring a level of     reactive oxygen species (ROS) in the sputum sample, and detecting a     COVID-19 infection status of the person based on the measured level of     ROS. Measuring the level of ROS in the sputum sample includes recording a     cyclic voltammetry (CV) pattern from the sputum sample and measuring a     current peak of the recorded CV pattern. Detecting the COVID-19 infection     status of the person based on the measured level of ROS includes     detecting the person is infected with COVID-19 if the measured current     peak is in a first range of current peaks and detecting the person is not     infected with COVID-19 if the measured current peak is in a second range     of current peaks.</t>
  </si>
  <si>
    <t>US20210231566</t>
  </si>
  <si>
    <t>EXUDATE ANALYSIS USING OPTICAL SIGNATURES</t>
  </si>
  <si>
    <t>17/155150</t>
  </si>
  <si>
    <t>Williams; Ryan Daniel; (Somerville, MA); Herman; Ira M.; (Boston, MA); Lee; W David; (Brookline, MA); Strasfeld; David B.; (Somerville, MA); Madden; Sean P.; (Arlington, MA)</t>
  </si>
  <si>
    <t>G01N 21/6428 20130101;  G16C 20/80 20190201;  G16H 50/20 20180101;  G16H 30/40 20180101;  G16B 40/00 20190201;  G16C 20/70 20190201;  G01N 21/6456 20130101;  G01N 2021/6439 20130101;  G16B 45/00 20190201;  G01N 1/405 20130101;  G16H 10/40 20180101;  G16H 20/10 20180101</t>
  </si>
  <si>
    <t>Disclosed techniques include exudate analysis using optical signatures.     Access to a tissue exudate sample is obtained, wherein the tissue exudate     sample contains one or more analytes representing a state of the tissue.     The one or more analytes are isolated from the exudate sample on a     substrate. The exudate is transferred from the substrate to an     immunoassay. The immunoassay is illuminated with photons, wherein the     illuminating comprises a controlled photon exposure. The controlled     photon exposure comprises ambient lighting and/or one or more     fluorescence excitation light wavelength bands. Light emanating from the     immunoassay is imaged, wherein the imaging captures intensities of light     wavelengths across the light wavelength spectrum. The imaging captures     reflected light and fluorescent emanating light. A signature for the one     or more analytes is generated, based on analysis of the intensities that     were imaged. The signature expresses a magnitude for each of the one or     more analytes.</t>
  </si>
  <si>
    <t>US20210230591</t>
  </si>
  <si>
    <t>METHODS OF REDUCING VIRUS MOLECULE LEVELS</t>
  </si>
  <si>
    <t>17/091293</t>
  </si>
  <si>
    <t>Kao; Chia-Cheng; (Brisbane, CA); Blatt; Lawrence M.; (San Mateo, CA); Beigelman; Leonid; (San Mateo, CA)</t>
  </si>
  <si>
    <t>C12N 15/113 20130101;  C12N 2310/14 20130101;  C12N 2310/11 20130101</t>
  </si>
  <si>
    <t>Methods of reducing levels of virus molecules and/or treating viral     infections include contacting cells with an oligonucleotide inhibitor     that targets a cellular host factor that is a target RNA or target     protein involved in viral replication. A pharmaceutical composition can     include such an oligonucleotide inhibitor in an amount effective for     treating an infection, such as a hepatitis B infection or a respiratory     virus infection, such as a coronavirus infection.</t>
  </si>
  <si>
    <t>US20210230533</t>
  </si>
  <si>
    <t>APPARATUS AND METHOD FOR PERFORMING MICROORGANISM DETECTION</t>
  </si>
  <si>
    <t>17/140696</t>
  </si>
  <si>
    <t>Fan; Zhonghui Hugh; (Gainesville, FL); Jiang; Xiao; (Gainesville, FL); Tilly; Trevor B.; (Gainesville, FL); Lednicky; John; (Gainesville, FL); Wu; Chang-Yu; (Gainesville, FL)</t>
  </si>
  <si>
    <t>C12M 41/48 20130101;  C12M 41/46 20130101;  G01N 33/56983 20130101;  C12M 23/44 20130101;  G01N 33/56916 20130101</t>
  </si>
  <si>
    <t>An apparatus and method are provided for performing detection of     microorganisms (e.g., viruses) with high sensitivity. The apparatus and     method are well suited for point-of-care (POC) testing in     resource-limited regions and are capable of being operated with very     little manual intervention and without the need for lab equipment. A     variety of viruses can be detected with high sensitivity, including, for     example, coronaviruses, Zika virus and flu viruses.</t>
  </si>
  <si>
    <t>US20210230303</t>
  </si>
  <si>
    <t>A61K 2039/507 20130101;  A61K 9/0019 20130101;  C07K 2317/52 20130101;  C07K 16/283 20130101;  C07K 2317/565 20130101;  C07K 16/28 20130101;  A61K 2039/54 20130101;  C07K 2317/24 20130101;  A61P 31/16 20180101;  C12N 9/6424 20130101;  C07K 16/40 20130101;  C07K 2319/30 20130101;  C07K 2317/21 20130101;  C07K 2317/92 20130101;  A61K 2039/505 20130101;  C07K 16/1018 20130101;  C07K 2317/76 20130101;  C07K 2317/31 20130101;  C07K 2317/94 20130101</t>
  </si>
  <si>
    <t>US20210228895</t>
  </si>
  <si>
    <t>METHOD AND APPARATUS FOR INHIBITING THE GROWTH OF PROLIFERATING CELLS OR     VIRUSES</t>
  </si>
  <si>
    <t>17/158755</t>
  </si>
  <si>
    <t>ALTERNATING CURRENT TREATMENT THERAPY MEDICAL INC.</t>
  </si>
  <si>
    <t>ALTERNATING CURRENT TREATMENT THERAPY MEDICAL</t>
  </si>
  <si>
    <t>Nicacio; Rodolfo; (Richland, WA); Colton; Michael; (Richland, WA); Erpasa; Solomon Berecha; (Bellevue, WA)</t>
  </si>
  <si>
    <t>A61N 2/02 20130101;  A61N 1/40 20130101</t>
  </si>
  <si>
    <t>The present invention provides a method of inhibiting the growth of     proliferating cells or viruses in living tissue, the method comprising:     applying mid-level frequency AC current electromagnetic signals to the     living tissue with a transducer comprising a magnetically conductive     material passing through a conduction ring energized by an electrical     signal to create the mid-level frequency AC current electromagnetic     signals within the living tissue; wherein the mid-level frequency AC     current electromagnetic signals have a frequency in the range of about 50     kHz to about 300 kHz and are produced with an AC voltage generator; and     circulating fluid in the living tissue provide a secondary coil for the     transmission of the mid-level frequency AC current electromagnetic     signals.</t>
  </si>
  <si>
    <t>US20210228710</t>
  </si>
  <si>
    <t>MERS-CoV VACCINE WITH TRIMERIC S1-CD40L FUSION PROTEIN</t>
  </si>
  <si>
    <t>17/230309</t>
  </si>
  <si>
    <t>US20210228709</t>
  </si>
  <si>
    <t>17/205990</t>
  </si>
  <si>
    <t>US20210228708</t>
  </si>
  <si>
    <t>17/170367</t>
  </si>
  <si>
    <t>US20210228707</t>
  </si>
  <si>
    <t>CORONAVIRUS RNA VACCINES</t>
  </si>
  <si>
    <t>17/000215</t>
  </si>
  <si>
    <t>Metkar; Mihir; (Cambridge, MA); Presnyak; Vladimir; (Manchester, NH); Stewart-Jones; Guillaume; (Cambridge, MA)</t>
  </si>
  <si>
    <t>C07H 21/02 20130101;  A61K 39/215 20130101;  A61K 9/1617 20130101;  A61K 9/1641 20130101</t>
  </si>
  <si>
    <t>The disclosure relates to coronavirus ribonucleic acid (RNA) vaccines as     well as methods of using the vaccines and compositions comprising the     vaccines.</t>
  </si>
  <si>
    <t>US20210228625</t>
  </si>
  <si>
    <t>ANTIVIRAL COMPOSITIONS AND DEVICES AND METHODS OF USE THEREOF</t>
  </si>
  <si>
    <t>17/230402</t>
  </si>
  <si>
    <t>SINTX TECHNOLOGIES, INC.</t>
  </si>
  <si>
    <t>SINTX</t>
  </si>
  <si>
    <t>McEntire; Bryan J.; (Salt Lake City, UT); Bock; Ryan M.; (Salt Lake City, UT); Bal; Bhajanjit Singh; (Salt Lake City, UT)</t>
  </si>
  <si>
    <t>A61K 33/00 20130101;  A61K 8/25 20130101;  A61Q 11/00 20130101;  A61L 2/23 20130101;  A61P 31/16 20180101</t>
  </si>
  <si>
    <t>Described herein are antiviral compositions and apparatuses and methods     of use thereof to inactivate a virus in contact with the composition or     apparatus. The composition and/or apparatus include silicon nitride at a     concentration of 1 wt. % to 15 wt. % and the silicon nitride inactivates     at least 85% of the virus in contact with the composition and/or     apparatus.</t>
  </si>
  <si>
    <t>US20210228619</t>
  </si>
  <si>
    <t>Method Of Treating, Reducing, Or Alleviating A Medical Condition In A     Patient</t>
  </si>
  <si>
    <t>17/180784</t>
  </si>
  <si>
    <t>PEYMAN, GHOLAM A.</t>
  </si>
  <si>
    <t>PEYMAN GHOLAM</t>
  </si>
  <si>
    <t>Peyman; Gholam A.; (Sun City, AZ)</t>
  </si>
  <si>
    <t>A61K 45/06 20130101;  A61K 31/5415 20130101;  A61K 31/225 20130101;  A61K 31/727 20130101;  A61K 9/5036 20130101;  C07K 16/08 20130101;  A61K 31/343 20130101;  A61K 9/0053 20130101;  A61K 9/5031 20130101;  A61K 33/30 20130101;  A61K 31/353 20130101</t>
  </si>
  <si>
    <t>A method of treating, reducing, or alleviating a medical condition in a     patient is disclosed herein. The method includes administering to a     patient in need thereof a biocompatible drug comprising one or more     antiviral medications together with one or more cell pathway inhibitors,     the patient having at least one of a respiratory tract inflammatory     disease, a central nervous system inflammatory disease, and vasculitis.     The one or more antiviral medications preventing an attachment of viruses     to cell walls, blocking a penetration of the viruses into cells, and/or     inhibiting virus replication by damaging nucleic acids of the viruses.     The one or more cell pathway inhibitors blocking an inflammatory response     of inflamed tissue without inhibiting an immune response of the patient.</t>
  </si>
  <si>
    <t>US20210228605</t>
  </si>
  <si>
    <t>ISOMORPHS OF REMDESIVIR AND METHODS FOR SYNTHESIS OF SAME</t>
  </si>
  <si>
    <t>17/184369</t>
  </si>
  <si>
    <t>ANZALP PHARMASOLUTIONS PVT LTD</t>
  </si>
  <si>
    <t>ANZALP PHARMASOLUTIONS PVT</t>
  </si>
  <si>
    <t>TRIPATHI; Vinay Shankar; (Indore, IN); PATEL; Akshay Nikhil; (Indore, IN)</t>
  </si>
  <si>
    <t>A61K 9/0019 20130101;  A61K 31/706 20130101</t>
  </si>
  <si>
    <t>A new isoform of 2-ethylbutyl     (2S)-2-[[[(2R,3S,4R,5R)-5-(4-aminopyrrolo[2,1-f][1,2,4]triazin-7-yl)-5-cy-    ano-3,4-dihydroxyoxolan-2-yl]methoxy-phenoxyphosphoryl]amino]propanoate     (Remdesivir) having increased water solubility is disclosed, along with     methods for making the same. Also disclosed are solid and liquid     pharmaceutical compositions suitable for treating viral infections such     as Arenaviridae, Coronaviridae, Filoviridae, Flaviviridae, or     Paramyxoviridae viral infections which contain an effective amount of     Remdesivir prepared according to the inventive method and the use of     those compositions for treating such viral infections.</t>
  </si>
  <si>
    <t>US20210228485</t>
  </si>
  <si>
    <t>Compositions Containing Verteporfin, Ribavirin, Gemcitabine, or     Combinations Thereof and Methods of Use for Treating COVID-19, Cancer, or     Non Cancer Diseases</t>
  </si>
  <si>
    <t>17/231735</t>
  </si>
  <si>
    <t>MCLEAY MATTHEW</t>
  </si>
  <si>
    <t>McLeay; Matthew; (Omaha, NE)</t>
  </si>
  <si>
    <t>A61K 45/06 20130101;  A61P 35/04 20180101;  A61K 47/26 20130101;  A61K 31/7068 20130101;  A61P 31/14 20180101;  A61K 9/0075 20130101;  A61K 31/409 20130101;  A61K 31/7056 20130101</t>
  </si>
  <si>
    <t>Disclosed are pharmaceutical formulations and methods using Verteporfin     Ribavirin and/or Gemcitabine for use in the treatment of diseases by     various routes of administration including inhalation, intratumoral,     topical and/or systemic injection administration. This invention relates     more specifically to the use of Verteporfin, Ribavirin, Gemcitabine,     and/or combinations thereof as an inhaled dry powder treatment for     COVID-19 and/or other lung infections, cancer and other non-cancer     applications, which may be followed by other treatment regimens including     radiation therapy, photodynamic therapy, and/or sonodynamic therapy.     These pharmaceutical compositions containing one or more of Verteporfin,     Ribavirin, and Gemcitabine may be included in pharmaceutical kits     containing the compositions, and to methods for the treatment of cancer     and non-cancer diseases with the active agents of the pharmaceutical     compositions. The administering of Verteporfin alone or in combination     with Ribavirin and Gemcitabine may be followed or co-administered with     photodynamic and/or sonodynamic therapy (PDT/SDT).</t>
  </si>
  <si>
    <t>US20210228083</t>
  </si>
  <si>
    <t>SKIN DIAGNOSTICS USING OPTICAL SIGNATURES</t>
  </si>
  <si>
    <t>17/155141</t>
  </si>
  <si>
    <t>Strasfeld; David B.; (Somerville, MA); Herman; Ira M.; (Boston, MA); Lee; W. David; (Brookline, MA); Williams; Ryan Daniel; (Somerville, MA); Madden; Sean P.; (Arlington, MA)</t>
  </si>
  <si>
    <t>G16H 20/30 20180101;  A61B 5/14546 20130101;  A61B 5/4866 20130101;  A61B 2562/0233 20130101;  A61B 5/443 20130101;  A61B 5/445 20130101;  A61B 5/4842 20130101;  A61B 2576/02 20130101;  A61B 5/7282 20130101;  A61B 5/486 20130101;  A61B 5/444 20130101;  A61B 5/0071 20130101;  A61B 5/1455 20130101</t>
  </si>
  <si>
    <t>Disclosed techniques include skin diagnostics using optical signatures. A     plurality of optical excitation light wavelength bands is scanned on a     material sample, wherein the material sample exhibits optical spectral     characteristics along the light wavelength spectrum. Excitation response     wavelengths emitted by the material sample are captured in response to     the plurality of optical excitation light wavelength bands, wherein the     capturing is accomplished using an imaging sensor. Output values of a     plurality of pixels of an image from the imaging sensor are measured,     wherein the image represents excitation response wavelengths captured by     the imaging sensor, wherein the measuring detects optical spectral     characteristics of the material sample, and wherein the optical spectral     characteristics are in response to the plurality of optical excitation     light wavelength bands. An output signature indicative of composition of     the material sample is generated, wherein the output signature is based     on interpreting the output values that were measured.</t>
  </si>
  <si>
    <t>US20210227832</t>
  </si>
  <si>
    <t>SYSTEMS AND METHODS FOR RAPID INACTIVATION OF SARS-COV-2 BY SILICON     NITRIDE AND ALUMIMUM NITRIDE</t>
  </si>
  <si>
    <t>17/230395</t>
  </si>
  <si>
    <t>A41D 13/1184 20130101;  A41D 19/015 20130101;  A61L 31/088 20130101;  A42B 3/18 20130101;  A61L 31/16 20130101;  A41D 13/1192 20130101;  A43B 7/00 20130101;  A61L 2300/408 20130101;  A01N 59/06 20130101;  A41D 31/305 20190201;  A01N 59/00 20130101</t>
  </si>
  <si>
    <t>Various embodiments related to systems, methods, and articles for rapid     inactivation of SARS-CoV-2 by silicon nitride and aluminum nitride are     disclosed herein.</t>
  </si>
  <si>
    <t>US20210227420</t>
  </si>
  <si>
    <t>SYSTEMS AND METHODS FOR ELECTROMAGNETIC VIRUS INACTIVATION</t>
  </si>
  <si>
    <t>17/224977</t>
  </si>
  <si>
    <t>REARDEN, INC.</t>
  </si>
  <si>
    <t>REARDEN</t>
  </si>
  <si>
    <t>Perlman; Stephen G.; (Alo Alto, CA); Forenza; Antonio; (San Francisco, CA); Heath; Robert W.; (Austin, TX); Saibi; Fadi; (Sunnyvale, CA); Cheponis; Michael; (Santa Clara, CA)</t>
  </si>
  <si>
    <t>H04B 7/024 20130101;  H04B 7/0452 20130101;  H04B 7/0632 20130101;  H04W 28/0236 20130101;  H04B 7/0639 20130101;  H04B 7/0417 20130101;  H04J 11/0053 20130101;  H04B 7/063 20130101</t>
  </si>
  <si>
    <t>A system and method to reduce the number of active targeted viruses,     bacteria or other microbes or microorganisms within an indoor or outdoor     space using an array of radio frequency antennas, lasers or acoustic     emitters is presented. The system sweeps through a series of beam     patterns. The radio, laser or acoustic frequency and dwell time depend on     the targeted viruses and bacteria. By sweeping through a wide range of     transmit beamforming vectors, it is possible to kill or render harmless     microbes or microorganisms at many locations throughout the coverage area     while avoiding exposing humans to harmful levels of radio frequency or     laser power. The proposed system and method can be flexibly applied to     many array geometries including those with large spacing and     non-isotropic antennas or acoustic emitters, as well to a variety of type     of lasers.</t>
  </si>
  <si>
    <t>US20210225354</t>
  </si>
  <si>
    <t>ACOUSTIC LENS FOR SAFETY BARRIERS</t>
  </si>
  <si>
    <t>17/201952</t>
  </si>
  <si>
    <t>SIGNAL ESSENCE, LLC</t>
  </si>
  <si>
    <t>SIGNAL ESSENCE</t>
  </si>
  <si>
    <t>McLaughlin; Hugh Joseph; (Mountain View, CA); McLaughlin; Ryan Hugh; (Mountain View, CA)</t>
  </si>
  <si>
    <t>G10K 11/18 20130101;  G10L 21/02 20130101</t>
  </si>
  <si>
    <t>An acoustic lens is presented that redirects high frequency voice sounds     over a barrier to improve the intelligibility of speech when a protective     barrier is used to isolate people from each other. The acoustic lens     includes curved sheets to delay sound to create focal points on each side     of a barrier, where the focal points are lower than the top of the     barrier.</t>
  </si>
  <si>
    <t>US20210224985</t>
  </si>
  <si>
    <t>MICROBE SCANNING DEVICE AND METHODS THEREOF</t>
  </si>
  <si>
    <t>17/220775</t>
  </si>
  <si>
    <t>Lopez, Beth Allison</t>
  </si>
  <si>
    <t>LOPEZ BETH</t>
  </si>
  <si>
    <t>Lopez; Beth Allison; (Whittier, CA)</t>
  </si>
  <si>
    <t>G06T 2207/30242 20130101;  A61L 2202/14 20130101;  G06T 2207/10061 20130101;  A61L 2/24 20130101;  G06T 7/0012 20130101</t>
  </si>
  <si>
    <t>A microbe scanning device has a housing that includes a sensor, output     device, and control circuit. The output device conveys text, audio,     and/or images. The control circuit is coupled to the sensor and the     output device. The sensor captures first and second object sensor data     that each include images of an object captured using radio waves, visible     light, infrared light, and an electron-beam. The sensor captures the     first and second OSD. The first OSD is used to determine the presence of     an object. The second OSD is used to determine the presence of microbial     material on the object. A first notification is generated when the     presence of the microbial material on the object is determined. A second     notification is generated when the presence of the microbial material on     the object is not determined. The first or second notification is     transmitted via the output device when generated.</t>
  </si>
  <si>
    <t>US20210224325</t>
  </si>
  <si>
    <t>METHOD AND APPARATUS FOR CONVERTING UNDIRECTED RELATIONSHIP TO DIRECTED     RELATIONSHIP, DEVICE AND STORAGE MEDIUM</t>
  </si>
  <si>
    <t>17/209208</t>
  </si>
  <si>
    <t>Wu; Yiling; (Beijing, CN); Liu; Yan; (Beijing, CN); Wang; Bing; (Beijing, CN)</t>
  </si>
  <si>
    <t>G06F 16/24556 20190101;  G06F 16/288 20190101;  G06F 16/285 20190101;  G06F 16/2477 20190101;  G06F 16/9024 20190101;  G16H 50/80 20180101</t>
  </si>
  <si>
    <t>A method and apparatus for converting an undirected relationship to a     directed relationship, device and storage medium are provided. An     implementation of the method includes: determining a graph of undirected     relationships between a plurality of subjects based on time     characteristics of co-occurrences among the plurality of subjects;     acquiring time characteristic intervals of edges between an individual     subject and related subjects thereof from the graph of the undirected     relationships; sorting the time characteristic intervals, and traversing     the time characteristic intervals according to a sorted order, to find a     target time characteristic interval not overlapping with a traversed time     characteristic interval; and obtaining a directed one-way edge of the     individual subject, by using a related subject corresponding to the     target time characteristic interval as an end vertex of the one-way edge     and using the individual subject as a start vertex of the one-way edge.</t>
  </si>
  <si>
    <t>US20210223244</t>
  </si>
  <si>
    <t>REAL-TIME TRACING OF CYTOKINE STORM IN BLOOD SERUM OF COVID-19 PATIENTS</t>
  </si>
  <si>
    <t>17/207639</t>
  </si>
  <si>
    <t>Khayamian; Mohammad Ali; (Tehran, IR); Abdolahad; Mohammad; (Tehran, IR); Salemizadeh Parizi; Mohammad; (Tehran, IR); Ghaderinia; Mohammad Reza; (Tehran, IR); Abadijoo; Hamed; (Tehran, IR); Vanaei; Shohreh; (Tehran, IR); Siamee; Hossein; (Tehran, IR); Shalileh; Shahriar; (Tehran, IR); Faramarzpour Darzini; Mahsa; (Tehran, IR)</t>
  </si>
  <si>
    <t>G01N 15/042 20130101;  G01N 27/026 20130101;  G01N 33/56983 20130101;  G01N 2333/165 20130101</t>
  </si>
  <si>
    <t>A method for diagnosing COVID-19 infection. The method includes drawing a     blood sample from a person suspected to be infected with COVID-19 virus,     separating a blood serum sample from the blood sample by centrifuging the     blood sample, recording an electrochemical impedance spectroscopy (EIS)     associated with the blood serum sample, calculating a charge transfer     resistance (R.sub.CT) of the recorded EIS by measuring a diameter of a     semicircular curved part of the recorded EIS, and detecting a COVID-19     infection of the person based on the calculated R.sub.CT if the     calculated R.sub.CT is equal to or more than a threshold value.</t>
  </si>
  <si>
    <t>US20210223201</t>
  </si>
  <si>
    <t>17/207649</t>
  </si>
  <si>
    <t>Khayamian, Mohammad Ali; Abdolahad, Mohammad; Salemizadeh Parizi, Mohammad; Ghaderinia, Mohammad Reza; Abadijoo, Hamed; Vanaei, Shohreh; Simaee, Hossein; Shalileh, Shahriar; Faramarzpour Darzini, Mahsa</t>
  </si>
  <si>
    <t>KHAYAMIAN MOHAMMAD</t>
  </si>
  <si>
    <t>Khayamian; Mohammad Ali; (Tehran, IR); Abdolahad; Mohammad; (Tehran, IR); Ghaderinia; Mohammad Reza; (Tehran, IR); Salemizadeh Parizi; Mohammad; (Tehran, IR); Abadijoo; Hamed; (Tehran, IR); Vanaei; Shohreh; (Tehran, IR); Siamee; Hossein; (Tehran, IR); Shalileh; Shahriar; (Tehran, IR); Faramarzpour Darzini; Mahsa; (Tehran, IR)</t>
  </si>
  <si>
    <t>A61B 10/0051 20130101;  G01N 33/48771 20130101;  G01N 27/3275 20130101;  G01N 33/48714 20130101;  G01N 2333/165 20130101</t>
  </si>
  <si>
    <t>A system for diagnosing COVID-19 infection. The system includes a     biosensor, an electrochemical stimulator-analyzer, and a processing unit.     The biosensor is configured to be put in contact with a blood serum     sample of a person suspected to be infected of COVID-19 virus. The     processing unit is configured to apply an AC potential amplitude to the     biosensor while sweeping a frequency range utilizing the electrochemical     stimulator-analyzer, recording an electrochemical impedance spectroscopy     (EIS) associated with the blood serum sample utilizing the     electrochemical stimulator-analyzer, calculating a charge transfer     resistance (R.sub.CT) of the recorded EIS, and detecting a COVID-19     infection of the person based on the calculated R.sub.CT if the     calculated R.sub.CT is equal to or more than a threshold value.</t>
  </si>
  <si>
    <t>US20210220498</t>
  </si>
  <si>
    <t>DISINFECTING LOCKER DEVICES AND SYSTEMS</t>
  </si>
  <si>
    <t>17/221834</t>
  </si>
  <si>
    <t>SMIOTA, INC.</t>
  </si>
  <si>
    <t>SMIOTA</t>
  </si>
  <si>
    <t>KASHI; MANJUNATHA; (MILPITAS, CA)</t>
  </si>
  <si>
    <t>A61L 2/10 20130101;  A61L 2202/23 20130101;  A61L 2202/122 20130101;  A61L 2202/14 20130101;  A61L 2202/11 20130101;  A61L 2/24 20130101</t>
  </si>
  <si>
    <t>Disclosed herein are devices, systems and methods for disinfecting     parcels stored within disinfecting smart locker devices.</t>
  </si>
  <si>
    <t>US20210220397</t>
  </si>
  <si>
    <t>COPPER ION COMPOSITIONS AND METHODS OF TREATMENT FOR CONDITIONS CAUSED BY     CORONAVIRUS AND INFLUENZA</t>
  </si>
  <si>
    <t>17/221183</t>
  </si>
  <si>
    <t>CDA RESEARCH GROUP, INC.</t>
  </si>
  <si>
    <t>CDA RESEARCH</t>
  </si>
  <si>
    <t>ABBOTT; ChunLim; (Pittsburgh, PA); ABBOTT; Dominic C.; (Pittsburgh, PA)</t>
  </si>
  <si>
    <t>A61K 9/0014 20130101;  A61K 9/0078 20130101;  A61K 33/34 20130101;  A61K 9/06 20130101</t>
  </si>
  <si>
    <t>Provided herein are formulations containing copper ions and methods of     treating underlying infections and conditions caused by coronavirus,     particularly COVID-19, and influenzas, particularly influenza A and/or     influenza B using such formulations. Methods of treating the underlying     viruses and their resultant conditions using topical copper ion     treatments are provided. A topical treatment in its basic form comprises     a biocompatible copper ion solution or suspension obtained by leaching of     the copper ions from copper metal. The copper ion solution or suspension     may be combined with various carriers to form the copper ion treatment     including creams or solutions. Methods of making the copper ion solution     or suspension from solid copper metal in a biocompatible solution are     also provided.</t>
  </si>
  <si>
    <t>US20210220377</t>
  </si>
  <si>
    <t>17/070271</t>
  </si>
  <si>
    <t>ZHONG; Wu; (Beijing, CN); Cao; Ruiyuan; (Beijing, CN); Xiao; Gengfu; (Beijing, CN); Hu; Zhihong; (Beijing, CN); Wang; Manli; (Beijing, CN); Zhang; Leike; (Beijing, CN); Li; Wei; (Beijing, CN); Li; Yuexiang; (Beijing, CN); Zhao; Lei; (Beijing, CN); Fan; Shiyong; (Beijing, CN); Li; Song; (Beijing, CN)</t>
  </si>
  <si>
    <t>US20210220353</t>
  </si>
  <si>
    <t>17/070620</t>
  </si>
  <si>
    <t>US20210220265</t>
  </si>
  <si>
    <t>17/151191</t>
  </si>
  <si>
    <t>US20210219636</t>
  </si>
  <si>
    <t>ULTRAVIOLET FACE MASK</t>
  </si>
  <si>
    <t>17/222738</t>
  </si>
  <si>
    <t>Stroiazzo-Mougin, Alix; Maldonado, Carolina</t>
  </si>
  <si>
    <t>STROIAZZO-MOUGIN ALIX</t>
  </si>
  <si>
    <t>Stroiazzo-Mougin; Alix; (Boca Raton, FL); Maldonado; Carolina; (Boca Raton, FL)</t>
  </si>
  <si>
    <t>A41D 13/1184 20130101;  A41D 13/1192 20130101;  A62B 23/02 20130101;  A61L 2/10 20130101</t>
  </si>
  <si>
    <t>A face mask assembly that having a transparent cover for covering the     nose and mouth of a wearer, an air ventilation unit for purifying and     sterilizing the inhaled and exhaled air, and a liner coupled along a     periphery of the transparent cover. The air ventilation unit includes a     filter media for filtering the air to be inhaled and one or more UV-C     LEDs to irradiate the filter media and an inner volume of the air     ventilation unit.</t>
  </si>
  <si>
    <t>US20210216677</t>
  </si>
  <si>
    <t>TRACKING SAFETY CONDITIONS OF AN AREA</t>
  </si>
  <si>
    <t>17/196146</t>
  </si>
  <si>
    <t>MIDDLE CHART, LLC</t>
  </si>
  <si>
    <t>MIDDLE CHART</t>
  </si>
  <si>
    <t>Santarone; Michael S.; (Jacksonville, FL); Wodrich; Michael; (Jacksonville, FL); Pugh; Randall; (Jacksonville, FL); Duff; Jason E.; (Jacksonville, FL)</t>
  </si>
  <si>
    <t>G01S 19/01 20130101;  G06Q 99/00 20130101;  G06F 30/13 20200101;  G06T 19/006 20130101;  G01S 19/48 20130101;  G06T 17/05 20130101</t>
  </si>
  <si>
    <t>Apparatus for electronically quantifying conditions of a person and an     environment containing the person, as well as a sequence of positions     occupied by the person and a direction the person faced at those     positions. Wireless communications track a series of positions over time     and provide user interfaces indicating where a person has been and who     the person has come within a minimum distance of. Sensors may be     operative to provide ongoing evaluation of a condition of the person,     such as a body temperature and heartrate which may trigger an alarm state     if the body temperature rises above a specified value. Electronic sensors     may also be quantify environmental conditions over time and present the     conditions in the user interface.</t>
  </si>
  <si>
    <t>US20210215693</t>
  </si>
  <si>
    <t>Method and System for Identifying Human Individuals Infected with COVID-19     as Being at High Risk of Progression to Severe or Critical Disease</t>
  </si>
  <si>
    <t>16/890678</t>
  </si>
  <si>
    <t>AMIEL RONI</t>
  </si>
  <si>
    <t>Amiel; Roni; (Orlando, FL)</t>
  </si>
  <si>
    <t>G01N 2333/775 20130101;  G16H 50/30 20180101;  G01N 2333/91188 20130101;  G01N 2800/60 20130101;  G06N 3/02 20130101;  G16B 5/00 20190201;  G01N 33/569 20130101;  G01N 2333/4713 20130101</t>
  </si>
  <si>
    <t>Identifying in the presence of an SARS-CoV-2, infection of COVID-19 in a     human subject and/or for classifying the risk of such infection     progressing to a severe or critical disease, using a system functionally     associated with at least one analyzer for analyzing the blood sample, is     disclosed. The system includes at least one of an input interface or a     transceiver, and one or more processors functionally associated     therewith. A storage medium associated with the processor(s) has stored     instructions to receive biographical information relating to the human     subject, and instructions to receive measurements of a plurality of serum     biomarkers. Further stored are instructions to apply a neural network     algorithm to the measurements of the plurality of biomarkers and the     biographical information, and instructions to identify, based on an     output of the neural network algorithm, a COVID-19 infection or to     classify the risk of such infection progressing to a severe or critical     disease.</t>
  </si>
  <si>
    <t>US20210215610</t>
  </si>
  <si>
    <t>METHODS OF DISEASE DETECTION AND CHARACTERIZATION USING COMPUTATIONAL     ANALYSIS OF URINE RAMAN SPECTRA</t>
  </si>
  <si>
    <t>17/146301</t>
  </si>
  <si>
    <t>VIRGINIA TECH INTELLECTUAL PROPERTIES, INC.</t>
  </si>
  <si>
    <t>VIRGINIA TECH INTELLECTUAL PROPERTIES</t>
  </si>
  <si>
    <t>Robertson; John L.; (Floyd, VA); Senger; Ryan; (Blacksburg, VA)</t>
  </si>
  <si>
    <t>G01N 33/493 20130101;  G01N 21/65 20130101;  G16H 10/40 20180101;  G01N 2201/129 20130101;  G16B 40/30 20190201</t>
  </si>
  <si>
    <t>Disease detection and characterization using computational analysis of     Raman spectra is used to detect disease-specific multi-molecular patterns     "spectral fingerprint" associated with specific diseases, cellular     physiologic derangements, or altered metabolism from systemic reactions     to disease. Comparison of the Raman spectral fingerprint of urine from     subjects with specific diseases and those not (healthy persons) provides     the means to identify key disease-associated changes in urine molecular     composition. Methods include applying baseline correction to spectra of a     desired wavenumber range e.g., with the Goldindec algorithm, or with     ISREA and StaBAL; vector or specific band normalization; and one or more     of principal component analysis (PCA); discriminant analysis of principal     components (DAPC); principal least squares (PLS) regression, machine     learning with neural networks (NN); identification of wavenumber     loadings; calculation of total canonical distance (TCD); total spectral     distance (TSD), total principal component distance (TPD); ANOVA; pairwise     comparisons; and performing leave-one-out or multi-fold cross-validation     analysis of chemometric models (DAPC, PLS, NN) to report predictive     capabilities in terms of accuracy, sensitivity (true-positives), and     specificity (true-negatives), positive predictive value (PPV) and     negative predictive value (NPV).</t>
  </si>
  <si>
    <t>US20210214809</t>
  </si>
  <si>
    <t>ONE-STEP DETECTION KIT FOR MOLECULAR DIAGNOSTICS OF SARS-COV-2 VIRUS</t>
  </si>
  <si>
    <t>17/019205</t>
  </si>
  <si>
    <t>UNIV FUZHOU</t>
  </si>
  <si>
    <t>Lin; Jun; (FUZHOU, CN); Chen; Liqun; (FUZHOU, CN); Jiang; Wenqian; (FUZHOU, CN); Zhang; Linteng; (FUZHOU, CN); Huang; Jiamin; (FUZHOU, CN); Gao; Shang; (FUZHOU, CN)</t>
  </si>
  <si>
    <t>The present invention discloses a molecular detection kit for SARS-CoV-2     virus including 2.times. RT-qPCR mix, upstream primer detF, downstream     primer detR, probe, positive control, negative control. The kit has good     detection specificity and stability, high sensitivity, and strong     anti-interference ability for nucleic acid from the virus host. It has     the advantages of simple operation and short time consumption. Moreover,     the preparation of positive control is convenient and the cost is low. It     can be widely used in early screening of SARS-CoV-2 virus, as well as for     epidemic control, scientific research and other fields.</t>
  </si>
  <si>
    <t>US20210213154</t>
  </si>
  <si>
    <t>SYSTEM AND METHOD FOR DYNAMICALLY REDUCING MICROBIOLOGICAL CONTAMINANTS IN     THE VICINITY OF PERSONAL EQUIPMENT</t>
  </si>
  <si>
    <t>17/214837</t>
  </si>
  <si>
    <t>MINTCHEV MARTIN</t>
  </si>
  <si>
    <t>Mintchev; Martin; (Abilene, TX)</t>
  </si>
  <si>
    <t>A61L 2209/111 20130101;  A62B 18/003 20130101;  A61L 9/20 20130101;  A61L 2209/15 20130101</t>
  </si>
  <si>
    <t>Personal equipment having a radiation source or an array of radiation     sources for creating an aura of radiation in the vicinity of the user.     The created aura is oriented in space, such as to be safe for the user     but harmful to microbiological contaminants present in the air in the     vicinity of the user and bombarding the user in routine situations.</t>
  </si>
  <si>
    <t>US20210213129</t>
  </si>
  <si>
    <t>NON-PSYCHOACTIVE CANNABINOIDS AS ADJUVANTS TO ENHANCE MUCOSAL IMMUNITY</t>
  </si>
  <si>
    <t>17/216819</t>
  </si>
  <si>
    <t>IMMUGEN PHARMA LLC</t>
  </si>
  <si>
    <t>IMMUGEN PHARMA</t>
  </si>
  <si>
    <t>Travis; Craig; (South Miami, FL)</t>
  </si>
  <si>
    <t>A61K 39/08 20130101;  A61K 39/25 20130101;  A61K 39/165 20130101;  A61K 39/05 20130101;  A61K 39/145 20130101;  A61K 39/085 20130101;  A61K 39/0003 20130101;  A61K 39/015 20130101;  A61K 39/118 20130101;  A61K 39/29 20130101;  A61K 39/008 20130101;  A61K 39/099 20130101;  A61K 39/0283 20130101;  A61K 39/225 20130101;  A61K 39/104 20130101;  A61K 39/39 20130101;  A61K 39/0002 20130101;  A61K 39/012 20130101;  A61K 39/0291 20130101;  A61K 2039/55511 20130101;  A61K 39/095 20130101;  A61K 39/215 20130101;  A61K 39/292 20130101;  A61K 39/205 20130101;  A61K 39/20 20130101;  A61K 39/04 20130101;  A61K 39/13 20130101;  A61K 39/002 20130101;  A61K 39/005 20130101</t>
  </si>
  <si>
    <t>Disclosed are methods and compositions related to the use cannabinoids as     adjuvants for the accelerated induction and production of an antibody     based immune response.</t>
  </si>
  <si>
    <t>US20210208062</t>
  </si>
  <si>
    <t>VIRUS SENSING IN EXHALED BREATH BY INFRARED SPECTROSCOPY</t>
  </si>
  <si>
    <t>17/190777</t>
  </si>
  <si>
    <t>VOX BIOMEDICAL LLC</t>
  </si>
  <si>
    <t>VOX BIOMEDICAL</t>
  </si>
  <si>
    <t>LINDEN; Kurt J.; (Wayland, MA)</t>
  </si>
  <si>
    <t>G01N 21/39 20130101;  G01N 21/3504 20130101;  G01N 2001/2244 20130101;  G01N 33/497 20130101;  G01N 1/40 20130101;  G01N 2021/396 20130101;  G06N 20/00 20190101;  G01N 2001/002 20130101;  G01N 2033/4975 20130101;  G01N 1/22 20130101;  G01N 2201/06113 20130101</t>
  </si>
  <si>
    <t>Techniques for detecting cannabinoid, opioid, and virus aerosols in an     exhaled breath are provided. An example method of identifying a     virus-containing aerosol in exhaled breath includes capturing a breath     input in an aerosol filter cartridge, disposing the aerosol filter     cartridge in an optical path in a spectroscopy system, detecting one or     more infrared spectral features of the breath input with the spectroscopy     system, and identifying the virus-containing aerosol based on the one or     more infrared spectral features.</t>
  </si>
  <si>
    <t>US20210205438</t>
  </si>
  <si>
    <t>PREPARATION OF INFLUENZA VIRUS VACCINE ANTIGENS</t>
  </si>
  <si>
    <t>17/151840</t>
  </si>
  <si>
    <t>Seqirus UK Ltd.</t>
  </si>
  <si>
    <t>SEQIRUS</t>
  </si>
  <si>
    <t>HAUSSMANN; Christoph; (Marburg, DE); HAUSCHILD; Frank; (Marburg, DE); JOBST; Bjorn; (Marburg, DE)</t>
  </si>
  <si>
    <t>A61K 39/145 20130101;  C12N 2760/16163 20130101;  C12N 2760/16034 20130101;  C12N 2760/16051 20130101;  C12N 2760/16134 20130101;  A61K 39/12 20130101;  A61K 2039/5252 20130101;  C12N 7/00 20130101</t>
  </si>
  <si>
    <t>A number of improvements for preparing vaccine antigens from     disintegrated influenza viruses are disclosed. A splitting step can be     followed by detergent exchange. Splitting can take place in the presence     of a buffer with a higher ionic strength and/or in the presence of     phosphate buffer.</t>
  </si>
  <si>
    <t>US20210205325</t>
  </si>
  <si>
    <t>METHODS OF TREATING A SUBJECT HAVING AN INFECTIOUS DISEASE</t>
  </si>
  <si>
    <t>17/210899</t>
  </si>
  <si>
    <t>INMEDIX INC</t>
  </si>
  <si>
    <t>INMEDIX</t>
  </si>
  <si>
    <t>Holman; Andrew James; (Seattle, WA)</t>
  </si>
  <si>
    <t>A61K 31/4196 20130101;  A61K 31/5513 20130101;  A61K 45/06 20130101;  A61K 31/426 20130101</t>
  </si>
  <si>
    <t>Provided herein are methods of treating a subject having an infectious     disease, comprising co-administering to a subject having an infectious     disease: an effective amount of an ANS optimizing therapy; and a     treatment for the infection disease, wherein co-administering the ANS     optimizing therapy improves a prognosis for treatment of the infectious     disease.</t>
  </si>
  <si>
    <t>US20210204886</t>
  </si>
  <si>
    <t>COVID-19 RISK AND ILLNESS ASSESSMENT METHOD</t>
  </si>
  <si>
    <t>17/188789</t>
  </si>
  <si>
    <t>Frieder; Ophir; (Chevy Chase, MD); CHOWDHURY; Abdur; (San Francisco, CA); JENSEN; Eric; (Brooklyn, NY)</t>
  </si>
  <si>
    <t>H04L 67/22 20130101;  G06F 2221/2111 20130101;  A61B 5/6898 20130101;  H04L 51/38 20130101;  A61B 5/1123 20130101;  A61B 5/4866 20130101;  H04L 51/20 20130101;  H04W 52/0254 20130101;  G06F 21/552 20130101;  A61B 5/746 20130101;  G06F 16/9535 20190101;  Y02D 30/70 20200801;  A61B 5/72 20130101;  A61B 5/1118 20130101;  A61B 5/1112 20130101;  G16Z 99/00 20190201;  H04W 64/006 20130101;  A61B 5/7246 20130101;  A61B 5/7282 20130101;  A61B 5/742 20130101;  H04L 51/32 20130101;  A61B 5/7455 20130101;  H04W 52/0229 20130101;  A61B 5/7465 20130101;  H04M 1/72454 20210101;  H04W 4/023 20130101;  H04L 51/08 20130101;  H04W 4/029 20180201;  H04W 4/21 20180201;  H04W 4/33 20180201;  A61B 5/7267 20130101;  H04W 4/12 20130101;  G16H 40/63 20180101</t>
  </si>
  <si>
    <t>A method, system, and/or apparatus for automatically monitoring for     possible infection or other physical health concerns, such as from     Covid-19. The method or implementing software application uses or relies     upon location information available on the mobile device from any source,     such as cell phone usage and/or other device applications. The method and     system automatically uses and/or learns user location and activity     patterns and determines and infection risk or illness-based deviation     that can be communicated as a warning to community members.</t>
  </si>
  <si>
    <t>US20210204872</t>
  </si>
  <si>
    <t>USE OF HEART RATE VARIABILITY (HRV) IN INFECTIOUS DISEASE PROGNOSIS AND     TREATMENT</t>
  </si>
  <si>
    <t>17/210889</t>
  </si>
  <si>
    <t>A61B 5/02405 20130101;  A61B 5/4842 20130101;  A61B 5/7275 20130101</t>
  </si>
  <si>
    <t>Provided herein are methods of assessing prognosis for a subject having     or suspected of having an infectious disease based on heart rate     variability (HRV) of the subject. Also provided are methods of selecting     an ANS optimizing therapy in a treatment for an infectious disease, based     on HRV of the subject. Also provided are computer systems configured to     perform aspects of the present methods.</t>
  </si>
  <si>
    <t>US20210196992</t>
  </si>
  <si>
    <t>Combination air filter and protective mask</t>
  </si>
  <si>
    <t>17/092365</t>
  </si>
  <si>
    <t>YUN SHANG COMPANY LIMITED</t>
  </si>
  <si>
    <t>YUN SHANG</t>
  </si>
  <si>
    <t>Yu; Shang-Fang; (Taichung, TW)</t>
  </si>
  <si>
    <t>A62B 23/02 20130101;  A62B 7/12 20130101;  A62B 18/006 20130101;  A62B 7/10 20130101;  A62B 18/02 20130101</t>
  </si>
  <si>
    <t>A combination air filter and protective mask includes an air pump; a     first line having a first end connected to the air pump; an air filter     connected to a second end of the first line; a second line having a first     end connected to the air filter; a connecter connected to a second end of     the second line; a third line having a first end connected to the     connector; and a full face mask connected to a second end of the third     line.</t>
  </si>
  <si>
    <t>US20210196818</t>
  </si>
  <si>
    <t>VACCINES WITH INTERLEUKIN-33 AS AN ADJUVANT</t>
  </si>
  <si>
    <t>17/188648</t>
  </si>
  <si>
    <t>Weiner; David; (Merion, PA); Villarreal; Daniel; (San Diego, CA); Morrow; Matthew; (Bala Cynwyd, PA); Yan; Jian; (Wallingford, PA)</t>
  </si>
  <si>
    <t>A61K 39/12 20130101;  C07K 14/54 20130101;  C12N 15/63 20130101;  C12N 2760/10034 20130101;  C12N 2740/16034 20130101;  A61K 38/20 20130101;  A61K 2039/57 20130101;  A61K 2039/55527 20130101;  A61K 39/04 20130101;  C12N 2710/20034 20130101;  A61K 2039/575 20130101;  C07K 14/445 20130101;  A61K 2039/585 20130101;  A61K 38/162 20130101;  C12N 15/09 20130101;  A61K 2039/572 20130101;  C12N 15/8206 20130101;  A61K 2039/53 20130101;  C07K 14/005 20130101;  C07K 14/35 20130101;  A61K 39/015 20130101;  A61K 38/164 20130101;  C12N 7/00 20130101;  C07K 14/025 20130101;  Y02A 50/30 20180101;  C07K 14/16 20130101;  A61K 2039/54 20130101;  A61K 39/0011 20130101;  A61K 39/39 20130101;  A61K 39/21 20130101</t>
  </si>
  <si>
    <t>Disclosed herein is a vaccine comprising an antigen and IL-33. Also     disclosed herein is a method for increasing an immune response in a     subject in need thereof. Further disclosed herein is a method for     treating cancer in a subject in need thereof. The methods may comprise     administering the vaccine to the subject.</t>
  </si>
  <si>
    <t>US20210196746</t>
  </si>
  <si>
    <t>TREATMENT OF COVID-19</t>
  </si>
  <si>
    <t>16/911290</t>
  </si>
  <si>
    <t>A61K 9/007 20130101;  A61K 9/0019 20130101;  A61K 9/0085 20130101;  A61P 31/14 20180101;  A61K 9/5153 20130101;  A61K 33/00 20130101;  A61K 9/0048 20130101;  A61K 9/0034 20130101</t>
  </si>
  <si>
    <t>This disclosure relates to the use of an oxygen-containing liquid for     treating a coronavirus infection, such as Covid-19.</t>
  </si>
  <si>
    <t>US20210196673</t>
  </si>
  <si>
    <t>COMPOSITIONS AND METHODS FOR TREATING AND PREVENTING RESPIRATORY VIRAL     INFECTIONS USING GREEN TREE EXTRACT</t>
  </si>
  <si>
    <t>17/182425</t>
  </si>
  <si>
    <t>AUGUSTA UNIVERSITY</t>
  </si>
  <si>
    <t>Hsu; Stephen D.; (Evans, GA)</t>
  </si>
  <si>
    <t>A61P 31/14 20180101;  A61K 31/353 20130101;  A61K 9/0073 20130101;  A61K 47/10 20130101;  A61P 31/16 20180101;  A61K 9/0014 20130101</t>
  </si>
  <si>
    <t>Modified green tea polyphenol compositions and their methods of use in     treating and preventing SARS-CoV-2 infections are provided. An exemplary     green tea polyphenol composition includes (-)-epigallocatechin-3-gallate     that can be esterified with a C.sub.1-C.sub.30 group in at least one     position and a carrier such as glycerol. The modified green tea     polyphenol compositions can be used to treat and prevent SARS-CoV-2     infections without coming into contact with the viral cell.</t>
  </si>
  <si>
    <t>US20210196645</t>
  </si>
  <si>
    <t>16/911300</t>
  </si>
  <si>
    <t>A61K 9/5115 20130101;  A61K 9/0019 20130101;  A61K 9/5031 20130101</t>
  </si>
  <si>
    <t>US20210193330</t>
  </si>
  <si>
    <t>METHOD, APPARATUS AND DEVICE FOR PROCESSING DISEASE INFORMATION, AND     STORAGE MEDIUM</t>
  </si>
  <si>
    <t>17/173124</t>
  </si>
  <si>
    <t>LIU; JUNQI; (BEIJING, CN)</t>
  </si>
  <si>
    <t>G16H 50/30 20180101;  H04W 4/12 20130101;  H04W 4/029 20180201;  G16H 50/80 20180101</t>
  </si>
  <si>
    <t>The present application discloses a method, an apparatus, and a device     for processing disease information and a storage medium. A specific     implementation of the method for processing disease information is:     acquiring action trajectories of multiple users, where the action     trajectories include location information of the multiple users at     multiple time points within a preset time period; performing analysis     according to disease confirmed information, a virus incubation period and     the action trajectories of the multiple users, to determine at least one     risk user who is at risk of infection; and pushing a notification message     to each risk user, where the notification message includes disease     confirmed information related to the risk user. This solution, by     targeted pushing relevant information to users with higher risk based on     behaviors of the users and the disease confirmed information, avoids     missing important information, and the users can acquire effective     information through the pushing.</t>
  </si>
  <si>
    <t>US20210193324</t>
  </si>
  <si>
    <t>EVALUATING PATIENT RISK USING AN ADJUSTABLE WEIGHTING PARAMETER</t>
  </si>
  <si>
    <t>17/120587</t>
  </si>
  <si>
    <t>TRUSCHEL; WILLIAM ANTHONY; (MONROEVILLE, PA); DEN BRINKER; ALBERTUS CORNELIS; (EINDHOVEN, NL); BEREZHNYY; IGOR; (EINDHOVEN, NL)</t>
  </si>
  <si>
    <t>G16H 50/30 20180101;  G06F 17/153 20130101;  G16H 10/60 20180101</t>
  </si>
  <si>
    <t>The present disclosure describes a system for providing model-based     assessments of patient risk, including a processor configured to obtain,     for each of a plurality of patients, a symptomatic risk score and a     demographic risk score, obtain a weighting coefficient for each patient's     respective demographic risk score, multiply each weighting coefficient by     the respective demographic risk scores to produce respective a weighted     demographic risk score for each patient, obtain, a three dimensional     weighting parameter surface in which one dimension is symptomatic risk     score, one dimension is demographic risk score, and one dimension is     weighting parameter such that for each combination of symptomatic risk     score and demographic risk score, a weighting parameter is defined,     generate a two dimensional array of patient scores according to their     respective symptomatic risk score and their respective weighted     symptomatic risk score, and output the stratified two dimensional array     of patient risk coordinates to a display.</t>
  </si>
  <si>
    <t>US20210193301</t>
  </si>
  <si>
    <t>SYSTEMS AND METHODS FOR PROCESSING ELECTRONIC IMAGES FOR HEALTH MONITORING     AND FORECASTING</t>
  </si>
  <si>
    <t>17/119885</t>
  </si>
  <si>
    <t>PAIGE.AI, INC.</t>
  </si>
  <si>
    <t>PAAI</t>
  </si>
  <si>
    <t>KANAN; Christopher; (Rochester, NY); CEBALLOS LENTINI; Rodrigo; (Long Island City, NY); SUE; Jillian; (New York, NY); FUCHS; Thomas; (New York, NY); GRADY; Leo; (New York, NY)</t>
  </si>
  <si>
    <t>G16H 30/40 20180101;  G16H 50/20 20180101;  G06T 2207/20081 20130101;  G16H 50/80 20180101;  G16H 50/70 20180101;  G06T 2207/20084 20130101;  G06T 7/0012 20130101;  G16H 50/30 20180101</t>
  </si>
  <si>
    <t>Systems and methods are disclosed for determining at least one geographic     region of a plurality of geographic regions, at least one data variable,     and/or at least one health variable, estimating a current prevalence of a     data variable in a geographic region of the plurality of geographic     regions, determining a trend in a relationship between the data variable     and the geographic region at a current time, determining a second trend     in the relationship between the data variable and the geographic region     at at least one prior point in time, determining if the trend in the     relationship is irregular within a predetermined threshold with respect     to the second trend from the at least one prior point in time, and, upon     determining that the trend in the relationship is irregular within a     predetermined threshold, generating an alert.</t>
  </si>
  <si>
    <t>US20210193300</t>
  </si>
  <si>
    <t>17/107121</t>
  </si>
  <si>
    <t>PAIGE AI INC</t>
  </si>
  <si>
    <t>PAIGE</t>
  </si>
  <si>
    <t>G16H 50/80 20180101;  G16H 50/20 20180101;  G16H 30/40 20180101;  G16H 50/70 20180101;  G06T 2207/20081 20130101;  G06T 7/0012 20130101;  G06T 2207/20084 20130101;  G16H 50/30 20180101</t>
  </si>
  <si>
    <t>US20210190797</t>
  </si>
  <si>
    <t>Methods and reagents for diagnosis of SARS-CoV-2 infection</t>
  </si>
  <si>
    <t>17/180616</t>
  </si>
  <si>
    <t>CHARITÉ-UNIVERSITÄTSMEDIZIN BERLIN</t>
  </si>
  <si>
    <t>MESSING; Claudia; (Klempau, DE); Steinhagen; Katja; (Gross Groenau, DE); Lattwein; Erik; (Luebeck, DE); Stiba; Konstanze; (Rostock, DE); Lindhorst; Fabian; (Luebeck, DE); Neugebauer; Eva; (Zittau, DE); Muller; Marcel; (Berlin, DE); Corman; Victor; (Berlin, DE)</t>
  </si>
  <si>
    <t>G01N 33/54326 20130101;  G01N 33/6857 20130101;  G01N 2800/12 20130101;  G01N 33/6893 20130101</t>
  </si>
  <si>
    <t>A method diagnoses a SARS-CoV-2 infection and includes detecting the     presence or absence of an antibody to SEQ ID NO: 1, preferably IgA class     antibody, in a sample from a subject. A method differentially diagnoses a     coronavirus infection. An antibody to SEQ ID NO: 1, preferably IgA class     antibody, is used for diagnosing a SARS-CoV-2 infection or for the     differential diagnosis of a coronavirus infection, preferably for     distinguishing between a SARS-CoV-2, MERS and NL63, 229E, OC43 and HKU1     infection. A kit includes a polypeptide comprising SEQ ID NO: 1 or a     variant thereof, preferably coated to a diagnostically useful carrier and     one or more of the following reagents: an antibody to SEQ ID NO: 1, a     washing buffer, a means for detecting the presence of an antibody,     preferably IgA class antibody, preferably a secondary antibody binding     specifically to IgA class antibodies, preferably comprising a detectable     label, and a dilution buffer.</t>
  </si>
  <si>
    <t>US20210190346</t>
  </si>
  <si>
    <t>Controllable Ultra-Violet Air Disinfection System and Method</t>
  </si>
  <si>
    <t>17/025358</t>
  </si>
  <si>
    <t>MHT S.R.L.</t>
  </si>
  <si>
    <t>MHT</t>
  </si>
  <si>
    <t>Khalis; Akram; (Roselle, NJ); Pishdadian; Hamid; (Warwick, RI); Silverman; Steve; (Monmouth Beach, NJ); Tennyson; Mike; (Wall, NJ)</t>
  </si>
  <si>
    <t>F24F 11/58 20180101;  F24F 8/22 20210101;  F24F 2120/10 20180101;  F24F 11/64 20180101;  F24F 11/79 20180101;  F24F 2110/50 20180101</t>
  </si>
  <si>
    <t>A UV air disinfection system customizable for various different types of     target pathogens by controlling the duration and intensity of UV     exposure. A controller using table lookup adjusts the duration and     intensity for a particular air sample at wavelengths proven to deactivate     the target pathogen(s). An ambient air sample is brought into a chamber     of known volume, and the air is exposed to UV radiation for a duration     and intensity specified by a lookup table for the target pathogen(s).     This air is then expelled into the room, and another sample is taken.     This cyclic operation guarantees a predetermined deactivation percentage     of the target pathogen in the expelled air. The process is repeated over     and over at a rate designed to disinfect a room in a chosen time.</t>
  </si>
  <si>
    <t>US20210186435</t>
  </si>
  <si>
    <t>SYSTEM AND METHOD FOR SCREENING AND PREDICTION  OF SEVERITY OF INFECTION</t>
  </si>
  <si>
    <t>17/192743</t>
  </si>
  <si>
    <t>TRILINEAR BIOVENTURES, LLC</t>
  </si>
  <si>
    <t>TRILINEAR BIOVENTURES</t>
  </si>
  <si>
    <t>Newberry; Robert Steven; (New Hope, AL); Rodencal; Matthew; (Huntsville, AL)</t>
  </si>
  <si>
    <t>A61B 2560/0223 20130101;  A61B 5/0002 20130101;  A61B 5/6893 20130101;  A61B 5/0022 20130101;  A61B 5/7275 20130101;  A61B 5/1455 20130101;  A61B 5/6817 20130101;  A61B 5/681 20130101;  A61B 5/4845 20130101;  A61B 5/14551 20130101;  A61B 5/6826 20130101;  A61B 5/02416 20130101;  A61B 5/14532 20130101;  A61B 5/743 20130101;  A61B 5/01 20130101;  A61B 5/7225 20130101;  G16H 40/63 20180101</t>
  </si>
  <si>
    <t>A photoplethysmography (PPG) circuit obtains PPG signals at a plurality     of wavelengths of light reflected from tissue of a user. A processing     device generates parameters using the PPG signals to screen the user for     an infection, such as sepsis, influenza and/or COVID-19. The processing     device may also determine a severity level of the infection and a     confidence level in the determination. The parameters may include a     measurement of nitric oxide (NO) level, respiration rate, heart rate     and/or oxygen saturation.</t>
  </si>
  <si>
    <t>US20210186344</t>
  </si>
  <si>
    <t>CLINICAL ARTIFICIAL INTELLIGENCE (AI) SOFTWARE AND TERMINAL GATEWAY     HARDWARE METHOD FOR MONITORING A SUBJECT TO DETECT A POSSIBLE RESPIRATORY     DISEASE</t>
  </si>
  <si>
    <t>17/193333</t>
  </si>
  <si>
    <t>Boston Research Corporation</t>
  </si>
  <si>
    <t>BOSTON RESEARCH</t>
  </si>
  <si>
    <t>yeh; Pai-chang; (Zhubei, TW); Dcruz; Julian Gerald; (KL, IN)</t>
  </si>
  <si>
    <t>A61B 5/0816 20130101;  H04L 67/12 20130101;  A61B 2562/0219 20130101;  A61B 5/05 20130101;  A61B 5/6804 20130101;  A61B 2562/029 20130101;  A61B 5/02405 20130101;  A61B 6/44 20130101;  A61B 5/0022 20130101;  G16H 30/40 20180101;  G16H 50/20 20180101;  A61B 5/091 20130101;  A61B 2562/0204 20130101;  A61B 5/015 20130101;  A61B 5/0077 20130101;  A61B 5/7264 20130101;  A61B 5/742 20130101;  A61B 5/14551 20130101;  A61B 5/1468 20130101;  A61B 5/021 20130101;  A61B 2562/0247 20130101;  A61B 5/1126 20130101;  G06N 3/04 20130101;  G16H 40/67 20180101;  A61B 5/02438 20130101;  A61B 5/02055 20130101</t>
  </si>
  <si>
    <t>The present invention relates generally to an apparatus and method for     detecting diseases and, more, specifically, detecting respiratory     diseases such as airborne transmitting diseases at the early stage. The     present invention provides a solution in the form of a clinical AI     Software and terminal gateway hardware. Terminal gateway with clinical AI     software can detect diseases by collecting and analyzing data from     multiple sensors and modules. The terminal gateway can offload healthcare     professionals from over-work and misjudge due to long working hours. It     also provides a better second-opinion for less-experienced professionals.     The gateway terminal is used to detect respiratory diseases such as     airborne transmitting diseases at the early stage to help offload the     healthcare professional in the hospital and to provide an alert when the     professionals are not available outside of the hospital. The present     invention includes a structure of a gateway or station, multiple sensor     modules such as low wattage x-ray, an infrared thermal detector, and the     clinical AI software.</t>
  </si>
  <si>
    <t>US20210183523</t>
  </si>
  <si>
    <t>ANALYSIS AND VERIFICATION OF MODELS DERIVED FROM CLINICAL STUDIES DATA     EXTRACTED FROM A DATABASE</t>
  </si>
  <si>
    <t>17/176152</t>
  </si>
  <si>
    <t>BARHAK JACOB</t>
  </si>
  <si>
    <t>Barhak; Jacob; (Austin, TX)</t>
  </si>
  <si>
    <t>G16H 10/20 20180101;  G16H 50/50 20180101;  G16H 50/80 20180101;  G16H 50/70 20180101;  G16H 50/20 20180101</t>
  </si>
  <si>
    <t>This disclosure describes frameworks and techniques directed to     incorporating user input into the analysis and verification of models     extracted from a database. The database can include an online database,     such as clinicaltrials.gov administered by the United States National     Institutes of Health. This disclosure describes implementations that     utilize models derived from clinical study data extracted from a database     and analyzes the models. The analysis of the models can be used to verify     the results of the clinical studies from which the models were derived.     Additionally, the analysis of the models can identify a combination of     models that can be used to predict health outcomes of one or more     biological conditions for one or more populations. User input can be     utilized during the validation and optimization processes to improve the     accuracy of the model output.</t>
  </si>
  <si>
    <t>US20210180110</t>
  </si>
  <si>
    <t>AUTOMATED, CLOUD-BASED, POINT-OF-CARE (POC) PATHOGEN AND ANTIBODY ARRAY     DETECTION SYSTEM AND METHOD</t>
  </si>
  <si>
    <t>16/912568</t>
  </si>
  <si>
    <t>Shachar; Josh; (Santa Monica, CA); Felgner; Philip; (Irvine, CA); Madou; Marc; (Irvine, CA)</t>
  </si>
  <si>
    <t>G01N 21/6428 20130101;  G11C 13/0019 20130101;  C12Q 1/686 20130101;  C12Q 1/6809 20130101;  C12Q 2561/113 20130101;  G01N 15/1475 20130101;  G01N 21/6452 20130101;  B01J 2219/00317 20130101</t>
  </si>
  <si>
    <t>The illustrated embodiments of the invention include an automated method     of assaying a viral and antibody analyte in a sample in a portable,     handheld microfluidic reader having a SAW detector with a minimal mass     sensitivity limitation. The automated method includes the steps of     automatically performing the assay with the SAW detector with enhanced     sensitivity as in Optikus I, but also includes the steps of automatically     disposing a second portion of the sample on a microarray, selectively     automatically probing the second portion of the sample for antibodies     corresponding to the at least one selected virus using the microarray,     and automatically reading the microarray using a fluorescent camera to     identify antibodies in the second portion of the sample.</t>
  </si>
  <si>
    <t>US20210171646</t>
  </si>
  <si>
    <t>Methods of Treating Cytokine Storm Infections, Including COVID-19, By     Inhibiting CCR5/CCL5 (RANTES) Interaction, and Compositions for     Practicing the Same</t>
  </si>
  <si>
    <t>17/176657</t>
  </si>
  <si>
    <t>Francisco; Edgar B.; (San Carlos, CA); Rodrigues; Hallison; (San Carlos, CA); Pise; Amruta; (San Carlos, CA); Patterson; Bruce K.; (Menlo Park, CA)</t>
  </si>
  <si>
    <t>C07K 2317/21 20130101;  A61P 31/14 20180101;  C07D 451/00 20130101;  C12N 2770/20011 20130101;  C07K 2317/24 20130101;  C07K 14/4722 20130101;  C07K 16/2866 20130101;  A61K 31/46 20130101;  C07K 14/523 20130101;  A61K 2039/505 20130101</t>
  </si>
  <si>
    <t>Methods of treating a subject suffering from COVID-19 are provided.     Aspects of the methods including administering to the subject an     effective amount of an inhibitor of CCR5/CCL5 interaction, such as a CCR5     antagonist. Also provided are methods of assessing severity of a disease     involving hypercytokinemia, such as COVID-19, by determining the level of     CCL5/RANTES in a subject, as well as compositions for use in such     methods.</t>
  </si>
  <si>
    <t>US20210170021</t>
  </si>
  <si>
    <t>ADJUVANTED VACCINES WITH NON-VIRION ANTIGENS PREPARED FROM INFLUENZA     VIRUSES GROWN IN CELL CULTURE</t>
  </si>
  <si>
    <t>17/072136</t>
  </si>
  <si>
    <t>RAPPUOLI; Rino; (Siena, IT); O'Hagan; Derek; (Siena, IT); DEL GIUDICE; Giuseppe; (Siena, IT)</t>
  </si>
  <si>
    <t>A61K 39/39 20130101;  A61K 39/12 20130101;  A61K 2039/57 20130101;  A61K 2039/55561 20130101;  C12N 2760/16134 20130101;  A61K 39/145 20130101;  C12N 2760/16234 20130101;  A61K 2039/55572 20130101;  A61K 2039/55566 20130101</t>
  </si>
  <si>
    <t>An immunogenic composition comprising: (i) a non-virion influenza virus     antigen, prepared from a virus grown in cell culture; and (ii) an     adjuvant. Preferred adjuvants comprise oil-in-water emulsions.</t>
  </si>
  <si>
    <t>US20210169939</t>
  </si>
  <si>
    <t>EXTRACELLULAR VESICLES AND THEIR USES</t>
  </si>
  <si>
    <t>17/109775</t>
  </si>
  <si>
    <t>UNITED THERAPEUTICS CORPORATION</t>
  </si>
  <si>
    <t>UNITED THERAPEUTICS</t>
  </si>
  <si>
    <t>Ilagan; Roger; (Durham, NC); Hogan; Sarah; (Raleigh, NC); Cheadle; John; (Durham, NC); Papu; Carolina; (Raleigh, NC)</t>
  </si>
  <si>
    <t>A61K 9/0029 20130101;  A61K 31/519 20130101;  A61K 35/28 20130101;  A61P 11/00 20180101;  A61P 9/12 20180101;  C12N 5/0662 20130101</t>
  </si>
  <si>
    <t>Provided are methods for isolating potent extracellular vesicle     populations from mesenchymal stem cells. In particular, the present     disclosure identified a protein profile specific for MSC-derived EV     populations. Moreover, disclosed herein is the use of the isolated     extracellular vesicles in treating a variety of diseases and conditions,     including chronic or acute lung diseases such as pulmonary hypertension,     ARDS and diseases and conditions characterized by vasculopathy, reduced     angiogenesis, apoptosis, mitochondrial dysfunction, acute inflammation,     fibrosis, or chronic inflammation.</t>
  </si>
  <si>
    <t>US20210166819</t>
  </si>
  <si>
    <t>METHODS AND SYSTEMS OF PREDICTING PPE NEEDS</t>
  </si>
  <si>
    <t>17/107407</t>
  </si>
  <si>
    <t>Gupta; Ajay Kumar; (Potomac, MD); Peruvemba; Ramani; (McLean, VA)</t>
  </si>
  <si>
    <t>G16H 40/40 20180101;  G16H 50/80 20180101;  G16H 50/30 20180101;  G16H 50/20 20180101</t>
  </si>
  <si>
    <t>A method of predicting personal protective equipment (PPE) needs is     disclosed. The method includes determining a number of PPE users,     determining a first burn rate and a second burn rate for a type of PPE,     obtaining a number of active patients for a disease and a number of     resources, and determining a hospitalization rate for the disease. The     method also includes determining a first (and/or a second) PPE rate for     the type of PPE based on the number of PPE users, the first (and/or the     second) burn rate for the type of PPE, the hospitalization rate for the     disease, the number of active patients for the disease, and the number of     resources. The method further includes determining an index PPE rate     based on a pandemic risk index, the first PPE rate for the type of PPE,     the second PPE rate for the type of PPE, and the first burn rate.</t>
  </si>
  <si>
    <t>US20210162042</t>
  </si>
  <si>
    <t>NOVEL METHODS FOR MANUFACTURING AN ADJUVANT</t>
  </si>
  <si>
    <t>16/616999</t>
  </si>
  <si>
    <t>GLAXOSMITHKLINE LLC</t>
  </si>
  <si>
    <t>GLAXOSMITHKLINE</t>
  </si>
  <si>
    <t>HARVENGT; Pol; (Rixensart, BE); JEHOULET; Philippe; (Rixensart, BE); LE GOURRIEREC; Loic; (Rixensart, BE); SIFAKAKIS; Demostene; (Rixensart, BE); STRODIOT; Laurent; (Rixensart, BE)</t>
  </si>
  <si>
    <t>B01F 2215/044 20130101;  A61K 2039/55572 20130101;  A61K 39/39 20130101;  A61K 2039/55555 20130101;  B01F 2215/0431 20130101;  A61K 2039/55577 20130101;  B01F 3/0811 20130101;  B01F 2215/0032 20130101;  B01F 2003/0834 20130101;  B01F 13/0064 20130101;  B01F 2215/045 20130101</t>
  </si>
  <si>
    <t>The present invention relates to compositions and methods for     manufacturing an adjuvant comprising a saponin using a microfluidic     device and to aspects thereof.</t>
  </si>
  <si>
    <t>US20210161927</t>
  </si>
  <si>
    <t>17/145274</t>
  </si>
  <si>
    <t>A new isoform of 2-ethylbutyl     (2S)-2-[[[(2R,3S,4R,5R)-5-(4-aminopyrrolo[2,1-f][1,2,4]triazin-7-yl)-5-cy-    ano-3/4-dihydroxyoxolan-2-yl]methoxy-phenoxyphosphoryl]amino]propanoate     (Remdesivir) having increased water solubility is disclosed, along with     methods for making the same. Also disclosed are solid and liquid     pharmaceutical compositions suitable for treating viral infections such     as Arenaviridae, Coronaviridae, Filoviridae, Flaviviridae, or     Paramyxoviridae viral infections which contain an effective amount of     Remdesivir prepared according to the inventive method and the use of     those compositions for treating such viral infections.</t>
  </si>
  <si>
    <t>US20210158973</t>
  </si>
  <si>
    <t>INTELLIGENT DATA ANALYSIS METHOD AND DEVICE, COMPUTER DEVICE, AND STORAGE     MEDIUM</t>
  </si>
  <si>
    <t>17/168925</t>
  </si>
  <si>
    <t>PING AN TECHNOLOGY(SHENZHEN)CO.,LTD.</t>
  </si>
  <si>
    <t>PING TECHNOLOGY</t>
  </si>
  <si>
    <t>CHEN; Xianxian; (Shenzhen, CN); RUAN; Xiaowen; (Shenzhen, CN); XU; Liang; (Shenzhen, CN)</t>
  </si>
  <si>
    <t>G16H 40/67 20180101;  G16H 50/80 20180101;  G06N 20/20 20190101;  G16H 50/70 20180101;  G16H 50/20 20180101</t>
  </si>
  <si>
    <t>The application discloses an intelligent data analysis method and device,     a computer device, and a storage medium. The intelligent data analysis     method includes that: a public opinion factor obtained and a public     opinion index carrying a time label are taken as first portrait data     (S40); original sample data is obtained based on the first portrait data     and medical data; the original sample data is cleaned to obtain sample     data to be processed (S50); lag processing is performed on the sample     data to be processed to obtain lag sample data (S60); feature expansion     is performed on the lag sample data to obtain target sample data (S70);     and an improved multi-granularity cascading random forest algorithm is     used to train the target sample data to obtain a target forecast model     (S80); the improved multi-granularity cascading random forest algorithm     includes a pooling layer, which is used for retaining data features     (S90).</t>
  </si>
  <si>
    <t>US20210158966</t>
  </si>
  <si>
    <t>INFORMATION PROCESSING DEVICE AND INFORMATION PROCESSING METHOD</t>
  </si>
  <si>
    <t>17/045484</t>
  </si>
  <si>
    <t>Sony</t>
  </si>
  <si>
    <t>SONY</t>
  </si>
  <si>
    <t>OZAKI; SATOSHI; (KANAGAWA, JP)</t>
  </si>
  <si>
    <t>G16H 50/30 20180101;  G16H 50/80 20180101</t>
  </si>
  <si>
    <t>[Problem] To realize the presentation of information relating to health     and safety which is of a higher value to a user. [Solution] The present disclosure provides an information processing     device including an output control unit that controls notification of     risk information pertaining to the health and safety of a user; and an     extraction unit that, on the basis of a situation of the user,     dynamically filters the risk information, which is collected on the basis     of a range of actions of the user. The output control unit notifies the     user of the risk information which has been filtered by the extraction     unit.</t>
  </si>
  <si>
    <t>US20210154610</t>
  </si>
  <si>
    <t>COPPER MICROBICIDAL FILTER</t>
  </si>
  <si>
    <t>17/165885</t>
  </si>
  <si>
    <t>CARREDO, CARLO KRISTIAN CHU</t>
  </si>
  <si>
    <t>CARREDO CARLO</t>
  </si>
  <si>
    <t>CARREDO; CARLO KRISTIAN CHU; (Fullerton, CA)</t>
  </si>
  <si>
    <t>B01D 2279/65 20130101;  B01D 39/12 20130101;  B01D 2279/40 20130101;  A61L 9/014 20130101;  B01D 2279/51 20130101;  A62B 23/02 20130101;  B01D 2239/0442 20130101;  B01D 46/0028 20130101;  B32B 5/022 20130101;  A41D 13/1192 20130101;  B01D 2239/065 20130101;  B01D 2239/10 20130101;  A61L 2209/14 20130101;  A62B 7/10 20130101;  B01D 39/2051 20130101;  B01D 2239/0618 20130101;  B32B 5/024 20130101;  B01D 39/086 20130101;  A61L 2209/22 20130101;  B32B 5/18 20130101;  A61L 2209/16 20130101;  B01D 2279/55 20130101;  B32B 15/14 20130101;  B01D 2279/35 20130101;  B01D 2275/10 20130101;  B01D 2239/0613 20130101</t>
  </si>
  <si>
    <t>The present invention generally relates to an air filter, and in     particular, the present invention relates to an air filter with a porous     copper layer, having natural antimicrobial property, for improving the     quality of air breathed in by people.</t>
  </si>
  <si>
    <t>US20210154205</t>
  </si>
  <si>
    <t>DILTIAZEM FOR USE IN THE TREATMENT OF MICROBIAL INFECTIONS</t>
  </si>
  <si>
    <t>17/057141</t>
  </si>
  <si>
    <t>UNIVERSITÉ LAVAL</t>
  </si>
  <si>
    <t>ROSA-CALATRAVA; Manuel; (LYON, FR); TERRIER; Olivier; (LYON, FR); NICOLAS DE LAMBALLERIE; Claire; (ENSUES LA REDONNE, FR); BOIVIN; Guy; (QUEBEC, CA); PIZZORNO; Mario Andres; (LYON, FR)</t>
  </si>
  <si>
    <t>A61K 45/06 20130101;  A61K 31/554 20130101;  A61P 31/04 20180101;  A61P 31/14 20180101;  A61P 37/04 20180101</t>
  </si>
  <si>
    <t>The present invention relates to diltiazem for use as an agent for     activating the expression of at least one gene encoding a type III     interferon, in the prevention and/or treatment of infections by at least     one pathogenic microorganism of the epithelia of the respiratory and/or     intestinal tracts.</t>
  </si>
  <si>
    <t>US20210153773</t>
  </si>
  <si>
    <t>DEVICE AND METHOD FOR DETECTION AND MONITORING OF COUGH</t>
  </si>
  <si>
    <t>16/854641</t>
  </si>
  <si>
    <t>WEI, EDWARD T.</t>
  </si>
  <si>
    <t>WEI EDWARD</t>
  </si>
  <si>
    <t>Wei; Edward T.; (Berkeley, CA); Sun; Bin; (El Cerrito, CA); Tang; Zhengrong; (Sunnyvale, CA)</t>
  </si>
  <si>
    <t>A61B 5/7282 20130101;  A61K 31/194 20130101;  A61B 5/01 20130101;  A61B 2562/0219 20130101;  A61B 5/0823 20130101;  A61B 5/4884 20130101;  A61B 5/6823 20130101;  A61B 5/113 20130101;  A61B 7/003 20130101</t>
  </si>
  <si>
    <t>Cough is a common experience and the most frequent reason why an     individual seeks a visit to a physician. The prevalence of cough is about     10+% of the population. Cough is a manifestation of many aerodigestive     tract disorders and especially consequential for serious lower airway     diseases such as respiratory infections, chronic obstructive pulmonary     disease (COPD) and asthma because increased coughing leads to emergency     room visits and hospitalization. There is a need for methods to oversee     coughing frequency in certain patients. Traditionally, all automated     cough monitors have used cough sound as the signal for the measurement of     cough. In the present invention movements of the diaphragm muscle,     recorded by a motion sensor placed above the xiphoid process, are used     for counting coughs. A device for such recordings is described and data     were collected. This method is validated by using citric acid spray to     trigger cough sounds and to show that the provoked acoustic signal is     matched by the electronic signals from the movement sensors. The xiphoid     process is a unique anatomical landmark for the non-acoustic detection of     cough.</t>
  </si>
  <si>
    <t>US20210153752</t>
  </si>
  <si>
    <t>METHOD OF MEASURING PHYSIOLOGICAL PARAMETER OF SUBJECT IN CONTACTLESS     MANNER</t>
  </si>
  <si>
    <t>17/102082</t>
  </si>
  <si>
    <t>GB SOFT INC.</t>
  </si>
  <si>
    <t>GB SOFT</t>
  </si>
  <si>
    <t>PARK; Ki Bum; (Daegu, KR)</t>
  </si>
  <si>
    <t>A61B 5/0077 20130101;  A61B 5/02055 20130101;  G06T 2207/20081 20130101;  G06T 2207/10024 20130101;  G16H 50/30 20180101;  A61B 5/0205 20130101;  A61B 5/02125 20130101;  G06T 2207/30048 20130101;  A61B 5/1032 20130101;  A61B 5/02427 20130101;  G06T 2207/30201 20130101;  A61B 5/7246 20130101;  A61B 2576/00 20130101;  A61B 5/7425 20130101;  G06T 2207/20084 20130101;  G06T 2207/30076 20130101;  A61B 5/14552 20130101;  A61B 5/165 20130101;  A61B 5/7267 20130101;  G06T 7/0012 20130101;  G06T 2207/10016 20130101;  G16H 30/40 20180101;  G06N 20/00 20190101</t>
  </si>
  <si>
    <t>Disclosed is a method of measuring a physiological parameter in a     contactless manner. The method includes acquiring a plurality of image     frames for a subject, acquiring a first color channel value, a second     color channel value, and a third color channel value for at least one     image frame included in the plurality of image frames. The method further     includes calculating a first difference and a second difference on the     basis of the first color channel value, the second color channel value,     and the third color channel value for at least one image frame included     in the plurality of image frames. The first difference represents a     difference between the first color channel value and the second color     channel value for the same image frame, and the second difference     represents a difference between the first color channel value and the     third color channel value for the same image frame.</t>
  </si>
  <si>
    <t>US20210152910</t>
  </si>
  <si>
    <t>OVER-THE-EAR HEADPHONE DEVICE WITH A CIRCLE-OF-SIGHT (CoS) SIGNALING     ELEMENT</t>
  </si>
  <si>
    <t>17/135551</t>
  </si>
  <si>
    <t>Llewelyn; Gareth; (Hign Wycombe, GB)</t>
  </si>
  <si>
    <t>G06Q 30/0239 20130101;  G16H 50/80 20180101;  G06Q 50/01 20130101;  G06Q 20/102 20130101;  H04R 1/1008 20130101;  G06F 3/016 20130101;  H04W 4/80 20180201</t>
  </si>
  <si>
    <t>An over-the-ear headphone device with a circle-of-sight signaling (CoS)     element, said device comprising: a wireless over-the-ear headphone device     disposed with a circle-of-sight (CoS) signaling element along a perimeter     edge of an ear-piece housing of the headphone device; at least one     interface enclosed within said ear-piece housing for wireless pairing     with a first user's mobile device for an application run on the first     users mobile device; and said circle-of-sight (CoS) signaling element     enabling 360-degree signal visibility to at least one other user while     worn by the first user, wherein said CoS signaling element displays light     in a manner signaling a specific message based on a pre-defined signaling     protocol and based on the pairing with the first user's mobile device and     the application run on said first users mobile device.</t>
  </si>
  <si>
    <t>US20210151198</t>
  </si>
  <si>
    <t>HEALTH DATA AGGREGATION AND OUTBREAK MODELING</t>
  </si>
  <si>
    <t>17/102901</t>
  </si>
  <si>
    <t>BROAD INST INC; HARVARD COLLEGE</t>
  </si>
  <si>
    <t>Sabeti; Pardis; (Cambridge, MA); Colubri; Andres; (Cambridge, MA); Brown; Todd; (Cambridge, MA)</t>
  </si>
  <si>
    <t>G16H 50/70 20180101;  H04W 4/023 20130101;  G16H 50/50 20180101;  H04W 4/80 20180201;  G06N 7/005 20130101;  G16H 50/80 20180101</t>
  </si>
  <si>
    <t>The technology uses aggregated health data and outbreak models to conduct     differential diagnosis and provide risk assessments that indicate a     likelihood of contracting COVID-19. A healthcare organization server     provides COVID-19 diagnostic kits and health applications to     participating computing devices that log user health data and registers     contacts with other participating users via wireless interactions. The     organization compares received data with data received from computing     devices from a plurality of other users and identifies common     occurrences. The server creates an outbreak model of a geographic region     based on the data. The server communicates a determined likelihood of     contracting COVID-19 of the user to the user computing device. The server     provides the outbreak model to the user, healthcare workers, or others     for use in responding to the outbreak.</t>
  </si>
  <si>
    <t>US20210147929</t>
  </si>
  <si>
    <t>IMMUNE RECEPTOR ANALYSIS AS DIAGNOSTIC ASSAY</t>
  </si>
  <si>
    <t>17/068546</t>
  </si>
  <si>
    <t>SAINT LOUIS UNIVERSITY</t>
  </si>
  <si>
    <t>DiPaolo; Richard; (High Ridge, MO); Wolf; Kyle; (St. Louis, MO); Ahn; Tae Hyuk; (Chesterfield, MO)</t>
  </si>
  <si>
    <t>G01N 33/5008 20130101;  C12Q 1/6869 20130101;  C12Q 1/686 20130101;  C12Q 1/6853 20130101;  C12Q 2525/173 20130101;  C12Q 1/6876 20130101</t>
  </si>
  <si>
    <t>Methods of determining an immune status of a subject are provided.     Specifically, methods for determining whether a subject has been exposed     to an immunogenic antigen are provided as well as methods for determining     efficacy of a vaccine are described.</t>
  </si>
  <si>
    <t>US20210147832</t>
  </si>
  <si>
    <t>BARCODED INFLUENZA VIRUSES AND DEEP MUTATIONAL SCANNING LIBRARIES     INCLUDING THE SAME</t>
  </si>
  <si>
    <t>17/097853</t>
  </si>
  <si>
    <t>Bloom; Jesse; (Seattle, WA); Greaney; Allison; (Seattle, WA); Loes; Andrea; (Seattle, WA); Dingens; Adam S.; (Seattle, WA)</t>
  </si>
  <si>
    <t>C12N 2760/16021 20130101;  C12N 15/1065 20130101;  C12N 7/00 20130101</t>
  </si>
  <si>
    <t>Methods to create barcoded influenza viruses without disrupting the     function of the viral proteins and the proper packaging of the viral     genome segments are described. The barcoded influenza viruses can be used     within deep mutational scanning libraries to map influenza resistance     mutations to therapeutic treatments. The libraries can also be used to     predict influenza strains that may become resistant to therapeutic     treatments and/or more easily evolve to infect new species. The libraries     include features that allow efficient collection and assessment of     informative data, obviating bottlenecks of previous approaches.</t>
  </si>
  <si>
    <t>US20210147513</t>
  </si>
  <si>
    <t>MIDDLE EAST RESPIRATORY SYNDROME CORONAVIRUS NEUTRALIZING ANTIBODIES AND     METHODS OF USE THEREOF</t>
  </si>
  <si>
    <t>17/082865</t>
  </si>
  <si>
    <t>Dana-farber Cancer Institute</t>
  </si>
  <si>
    <t>DANA-FARBER CANCER</t>
  </si>
  <si>
    <t>MARASCO; Wayne A.; (Wellesley, MA); TANG; Xianchun; (West Roxbury, MA)</t>
  </si>
  <si>
    <t>C07K 2317/34 20130101;  C07K 2319/40 20130101;  C07K 2317/21 20130101;  G01N 2469/10 20130101;  C07K 2317/92 20130101;  G01N 2333/165 20130101;  C12N 2740/16043 20130101;  G01N 33/56983 20130101;  C12N 2770/20022 20130101;  C07K 2317/622 20130101;  C07K 2319/43 20130101;  C12N 2810/609 20130101;  C07K 2317/76 20130101;  C07K 2317/56 20130101;  C07K 16/10 20130101;  A61K 2039/507 20130101;  C07K 2317/13 20130101;  C07K 2317/52 20130101;  G01N 33/577 20130101</t>
  </si>
  <si>
    <t>The present invention provides antibodies that neutralize MERS-CoV and     methods of use thereof. The invented antibody is used to treat MERS-CoV     infections and symptoms thereof.</t>
  </si>
  <si>
    <t>US20210145935</t>
  </si>
  <si>
    <t>VCP AND FACTOR H AS VIRAL ENTRY INHIBITORS</t>
  </si>
  <si>
    <t>16/684630</t>
  </si>
  <si>
    <t>KING FAISAL SPECIALIST HOSPITAL &amp; RESEARCH CENTRE</t>
  </si>
  <si>
    <t>KING FAISAL SPECIALIST HOSPITALRESEARCH CENTRE</t>
  </si>
  <si>
    <t>AL-MOHANNA; FUTWAN; (RIYADH, SA); KISHORE; UDAY; (UXBRIDGE, GB); COLLISON; KATHARINE; (RIYADH, SA); MURUGIAH; VALARMATHY; (UXBRIDGE, GB); SALEH; SOAD; (RIYADH, SA); VARGHESE; PRAVEEN MATHEWS; (UXBRIDGE, GB)</t>
  </si>
  <si>
    <t>A61K 38/1725 20130101;  A61P 31/16 20180101</t>
  </si>
  <si>
    <t>The present invention further relates to using vaccinia virus complement     control protein (VCP), factor H and/or a complement control protein     (CCP)-containing protein as modulator of the entry and/or replication of     pathogen(s), wherein the pathogen is a virus or bacteria. The present     invention further relates to a method of prevention and/or treatment of     influenza A virus (IAV) infection in a subject of need thereof and to a     method of modulation of the entry and/or replication of pathogen(s) in a     subject of need thereof.</t>
  </si>
  <si>
    <t>US20210145089</t>
  </si>
  <si>
    <t>Face mask frame with face care and blood circulation attachments</t>
  </si>
  <si>
    <t>17/120312</t>
  </si>
  <si>
    <t>Hassan, Eman Mahmoud Hussien</t>
  </si>
  <si>
    <t>HASSAN EMAN</t>
  </si>
  <si>
    <t>Hassan; Eman Mahmoud Hussien; (Redmond, WA)</t>
  </si>
  <si>
    <t>A41D 13/00 20130101;  A61N 2005/0647 20130101;  A61N 5/0616 20130101;  A61H 99/00 20130101;  A61N 2005/0651 20130101;  A61F 13/00063 20130101;  A41D 13/11 20130101;  A41D 13/1169 20130101</t>
  </si>
  <si>
    <t>The invention relates to introducing a bendable frame for viral     protection and surgical face masks to help protect, soothe and circulate     blood of irritated skin affected from wearing face masks for a long time     specially during the time of a pandemic such as COVID-19, introducing     flexible sticky tapes which help in moisturizing and massaging skin that     is in contact with the face mask and also contains attachment socket for     adding helpful attachments for the area under the face mask such small     fan attachment to help dry skin from sweat without having to take off the     face mask, light therapy attachment to help prevent acne or irritation     and extra sockets for any further customized attachments.</t>
  </si>
  <si>
    <t>US20210142874</t>
  </si>
  <si>
    <t>System and Method for a Health Status Display</t>
  </si>
  <si>
    <t>17/154162</t>
  </si>
  <si>
    <t>G16H 10/65 20180101;  G09G 5/02 20130101;  G09G 5/37 20130101;  G09G 2354/00 20130101;  G06F 3/165 20130101;  G09G 2380/08 20130101;  G06Q 2220/00 20130101</t>
  </si>
  <si>
    <t>Disclosed is a method for displaying a health registry-issued vaccination     certification of a user on a user-mobile device, said method comprising     the steps of: coupling the user-mobile device to a health registry over a     network for display of a health registry-issued vaccination certification     for the user; and outputting a visual display from the user-mobile device     certifying the user's vaccination status.</t>
  </si>
  <si>
    <t>US20210142868</t>
  </si>
  <si>
    <t>METHODS AND SYSTEMS FOR IDENTIFYING, CLASSIFYING, AND/OR RANKING GENETIC     SEQUENCES</t>
  </si>
  <si>
    <t>17/095562</t>
  </si>
  <si>
    <t>Copin; Richard; (Tarrytown, NY); Lim; Wei Keat; (Tarrytown, NY)</t>
  </si>
  <si>
    <t>G16B 30/20 20190201;  C12Q 1/6869 20130101;  C12Q 1/70 20130101;  G16B 30/10 20190201</t>
  </si>
  <si>
    <t>The present disclosure provides methods and systems for analysis of     genomic sequence information. The present disclosure provides, among     other things, methods and systems for characterizing sequence     conservation. As is discussed herein, certain methods and systems of the     present disclosure include assignment of a similarity score to a sequence     or pairwise sequence comparison based on a measure of coverage and a     measure of identity between two aligned sequences.</t>
  </si>
  <si>
    <t>US20210140977</t>
  </si>
  <si>
    <t>A THREE-PROTEIN PROTEOMIC BIOMARKER FOR PROSPECTIVE DETERMINATION OF RISK     FOR DEVELOPMENT OF ACTIVE TUBERCULOSIS</t>
  </si>
  <si>
    <t>17/048062</t>
  </si>
  <si>
    <t>UNIVERSITY OF CAPE TOWN</t>
  </si>
  <si>
    <t>UNIVERSITY CAPE TOWN</t>
  </si>
  <si>
    <t>Scriba; Thomas Jens; (Cape Town, ZA); Penn-Nicholson; Adam Garth; (Geneva, CH); Zak; Daniel Edward; (Seattle, WA); Thompson; Ethan Greene; (Seattle, WA)</t>
  </si>
  <si>
    <t>G01N 2800/60 20130101;  G16H 10/40 20180101;  G01N 2333/9123 20130101;  G16H 50/30 20180101;  G01N 2333/525 20130101;  G01N 2333/4716 20130101;  G01N 2800/52 20130101;  G01N 33/6893 20130101;  G16H 50/20 20180101</t>
  </si>
  <si>
    <t>The invention relates to a method and kit for determining a likelihood of     a human subject with asymptomatic tuberculosis (TB) infection or     suspected TB infection progressing to active tuberculosis disease, the     method comprising detecting a presence or level of a first and a second     pair of protein biomarkers selected from Complement Component 9 (C9) and     Complement C1q Tumor Necrosis Factor-Related Protein 3 (C1qTNF3); and C9     and Creatine Kinase M- and B-type (CKMB) in a sample from the subject.</t>
  </si>
  <si>
    <t>US20210139543</t>
  </si>
  <si>
    <t>Stabilized Coronavirus Spike (S) Protein Immunogens and Related Vaccines</t>
  </si>
  <si>
    <t>17/087704</t>
  </si>
  <si>
    <t>He; Linling; (San Diego, CA); Zhu; Jiang; (San Diego, CA); Wilson; Ian A.; (La Jolla, CA)</t>
  </si>
  <si>
    <t>A61K 2039/575 20130101;  C07K 14/005 20130101;  C12N 7/00 20130101;  C12N 2770/20022 20130101;  C12N 2770/20034 20130101;  A61K 39/215 20130101;  A61K 2039/57 20130101;  A61P 31/14 20180101</t>
  </si>
  <si>
    <t>The present invention provides redesigned soluble coronavirus S protein     derived immunogens that are stabilized via specific modifications in the     wildtype soluble S sequences. Also provided in the invention are     nanoparticle vaccines that contain the redesigned soluble S immunogens     displayed on self-assembling nanoparticles. Polynucleotide sequences     encoding the redesigned immunogens and the nanoparticle vaccines are also     provided in the invention. The invention further provides methods of     using the vaccine compositions in various therapeutic applications, e.g.,     for preventing or treating coronaviral infections.</t>
  </si>
  <si>
    <t>US20210138279</t>
  </si>
  <si>
    <t>Anti-virus filter for facemasks and respirators</t>
  </si>
  <si>
    <t>17/147546</t>
  </si>
  <si>
    <t>GOPALAN RAMESH</t>
  </si>
  <si>
    <t>Gopalan; Ramesh; (Fremont, CA)</t>
  </si>
  <si>
    <t>A41D 13/1192 20130101;  B01D 2239/065 20130101;  B01D 39/16 20130101;  A62B 23/02 20130101;  A62B 7/10 20130101;  B01D 46/0036 20130101;  B01D 2239/0291 20130101</t>
  </si>
  <si>
    <t>This invention is to an anti-virus filter which may included in a     facemask, personal protective equipment, respirator or ventilator to     protect against airborne pathogens including the novel coronavirus. It is     comprised of one or more anti-virus layers comprising a superabsorbent     polymer which converts to a hydrogel upon addition of a water solution     containing soap or detergent. The anti-virus layer is enclosed between an     outer layer and an inner layer both of which are permeable to air but     impermeable to water.</t>
  </si>
  <si>
    <t>US20210138259</t>
  </si>
  <si>
    <t>PHOTOTHERAPEUTIC LIGHT FOR TREATMENT OF PATHOGENS</t>
  </si>
  <si>
    <t>17/148090</t>
  </si>
  <si>
    <t>KNOW BIO, LLC</t>
  </si>
  <si>
    <t>KNOW BIO</t>
  </si>
  <si>
    <t>Stasko; Nathan; (Chapel Hill, NC); Emerson; David T.; (Durham, NC); Cockrell; Adam; (Durham, NC); Hunter; F. Neal; (Durham, NC); Bergmann; Michael John; (Atlanta, GA); McDonald; Rebecca; (Chapel Hill, NC); Medendorp, JR.; Nicholas William; (Raleigh, NC); Negley; Gerald H.; (Chapel Hill, NC); Reighard; Katelyn P.; (Durham, NC)</t>
  </si>
  <si>
    <t>A61N 2005/0661 20130101;  A61N 2005/0662 20130101;  A61N 2005/0652 20130101;  A61N 5/0603 20130101;  A61N 5/0624 20130101;  A61N 2005/0663 20130101;  A61N 2005/0653 20130101;  A61N 5/0613 20130101;  A61N 5/0601 20130101;  A61N 2005/0611 20130101;  A61N 2005/0647 20130101;  A61N 2005/0626 20130101;  H01L 27/15 20130101</t>
  </si>
  <si>
    <t>Methods and related devices for impinging light on tissue, for example     within a body of a patient, to induce various biological effects are     disclosed. Biological effects may include at least one of inactivating     and/or inhibiting growth of one or more pathogens, upregulating a local     immune response, stimulating enzymatic generation of nitric oxide to     increase endogenous stores of nitric oxide, releasing nitric oxide from     endogenous stores of nitric oxide, and inducing an anti-inflammatory     effect. Wavelengths of light are selected based on intended biological     effects for one or more of targeted tissue types and targeted pathogens.     Light treatments may provide multiple pathogenic biological effects,     either with light of a single wavelength or with light having multiple     wavelengths. Devices and methods for light treatments are disclosed that     provide light doses for inducing biological effects on various targeted     pathogens and targeted tissues with increased efficacy and reduced     cytotoxicity.</t>
  </si>
  <si>
    <t>US20210137845</t>
  </si>
  <si>
    <t>METHODS AND COMPOSITIONS FOR TREATING RESPIRATORY DISEASE</t>
  </si>
  <si>
    <t>16/629859</t>
  </si>
  <si>
    <t>SMITH; Gale; (Germantown, MD); LIU; Ye; (Clarksville, MD); TIAN; Jing-Hui; (Germantown, MD); MASSARE; Michael J.; (Mt. Airy, MD); BODDAPATI; Sarathi; (Germantown, MD); GLENN; Gregory; (Poolesville, MD); FRIES; Louis; (Ellicott City, MD); CHO; Iksung; (Potomac, MD)</t>
  </si>
  <si>
    <t>A61P 11/00 20180101;  C12N 2760/18522 20130101;  C12N 2760/16034 20130101;  C12N 2760/16022 20130101;  A61K 39/155 20130101;  C12N 2760/18534 20130101;  A61P 31/14 20180101;  A61K 9/5123 20130101</t>
  </si>
  <si>
    <t>Disclosed herein are methods and nanoparticles suitable for use in     reducing exacerbations in COPD patients. The methods and compositions     advantageously reduce the incidence of hospitalization in COPD patients     that occurs in response to environmental insults such as exposure to or     infection by RSV. Dosages, formulations, and methods for preparing the     vaccines and nanoparticles are also disclosed.</t>
  </si>
  <si>
    <t>US20210137543</t>
  </si>
  <si>
    <t>METHOD OF TREATING THE LUNGS</t>
  </si>
  <si>
    <t>16/830924</t>
  </si>
  <si>
    <t>Warlick; John F.; (Woodstock, GA); Finney; John Patrick; (Hagerhill, KY)</t>
  </si>
  <si>
    <t>A61B 2017/0011 20130101;  A61B 2017/22015 20130101;  A61B 2017/22025 20130101;  A61B 2017/00809 20130101;  A61B 2560/0204 20130101;  A61B 17/22004 20130101</t>
  </si>
  <si>
    <t>A method of treating a patient exhibiting a lung disease or pulmonary     disorder by applying shock waves or acoustic pulses directed to impinge     lung tissue of the lung or lungs exhibiting a lung disease or pulmonary     disorder, has the steps of: activating an acoustic shock wave or acoustic     wave generator or source to emit acoustic shock waves or pressure pulses     from a fixed acoustic wave source or a handheld shock wave or pressure     pulse head; and administering a plurality of acoustic waves in a pressure     pulse or shock wave pattern within the lung tissue of less than 10.0     mJ/mm2 per shock wave, the plurality of acoustic waves in a pressure     pulse or shock wave pattern being directed to a portion of the lung     exhibiting the lung disease or pulmonary disorder.</t>
  </si>
  <si>
    <t>US20210130886</t>
  </si>
  <si>
    <t>METHOD OF IDENTIFYING SEVERE ACUTE RESPIRATORY SYNDROME CORONA VIRUS 2     (SARS-COV-2) RIBONUCLEIC ACID (RNA)</t>
  </si>
  <si>
    <t>17/137972</t>
  </si>
  <si>
    <t>TELEFLEX MEDICAL INCORPORATED (A CALIFORNIA CORPORATION)</t>
  </si>
  <si>
    <t>TELEFLEX MEDICAL</t>
  </si>
  <si>
    <t>BOUCHARD; Michael; (Wyomissing, PA); BRUZEK; Steven; (St. Petersburg, FL); KNAPP; Chelsea; (Clearwater, FL); McDANIEL; Lauren; (St. Petersburg, FL); SMALL; Jessica; (Oldsmar, FL); ULRICH; Robert; (Oldsmar, FL); WAGNER; Victoria; (Rochester Hills, MI)</t>
  </si>
  <si>
    <t>C12Q 1/6865 20130101;  C12Q 2527/137 20130101;  C12Q 1/6853 20130101</t>
  </si>
  <si>
    <t>A method for detecting the presence of Severe Acute Respiratory Syndrome     Coronavirus 2 (SARS-CoV-2) in a biological sample includes the steps of     lysing the biological sample to form a lysate and generating an amplified     lysate by performing a nucleic acid sequence-based (NASBA) amplification     for a target nucleic acid sequence in the lysate in the presence of: a     forward primer having the oligonucleotide sequence selected from the     group consisting of SEQ ID NO: 1, SEQ ID NO: 5, SEQ ID NO: 9, SEQ ID NO:     13, and SEQ ID NO: 17; a reverse primer having the oligonucleotide     sequence selected from the group consisting of SEQ ID NO: 2, SEQ ID NO:     6, SEQ ID NO: 10, SEQ ID NO: 14, and SEQ ID NO: 18; and a molecular     beacon having the oligonucleotide sequence selected from the group     consisting of SEQ ID NO: 3, SEQ ID NO: 7, SEQ ID NO: 11, SEQ ID NO: 15,     and SEQ ID NO: 19 and a fluorophore. The amplified lysate is exposed to     an excitation source. A fluorescence of the fluorophore is detected in     the amplified lysate exposed to the excitation source The SARS-CoV-2 is     determined to be present in the biological sample in response to     detecting the fluorescence of the fluorophore.</t>
  </si>
  <si>
    <t>US20210129144</t>
  </si>
  <si>
    <t>SYSTEM FOR IDENTIFYING SEVERE ACUTE RESPIRATORY SYNDROME CORONA VIRUS 2     (SARS-COV-2) RIBONUCLEIC ACID (RNA)</t>
  </si>
  <si>
    <t>17/138037</t>
  </si>
  <si>
    <t>C12Q 1/6888 20130101;  B01L 2300/0864 20130101;  B01L 3/502715 20130101;  C12Q 1/701 20130101;  C12Q 1/6853 20130101</t>
  </si>
  <si>
    <t>A system for detecting the presence of Severe Acute Respiratory Syndrome     Coronavirus 2 (SARS-CoV-2) in a biological sample includes a sampling     device, a lysing chamber, a NASBA fluidic network, and an analytical     instrument. The sampling device is configured to contain a sample     containing a pathogen target sequence for SARS-CoV-2. The lysing chamber     is configured to be in fluid communication with the sampling device to     receive the sample. The is lysing chamber is configured to lyse the     sample into a lysate. The NASBA fluidic network is configured to be in     fluid communication with the lysing chamber to receive the lysate. The     NASBA fluidic network includes an enzyme, a forward primer, and a reverse     primer for amplifying a predetermined genetic sequence in the pathogen     target sequence contained within the lysate. The forward primer has the     oligonucleotide sequence selected from the group consisting of SEQ ID NO:     1, SEQ ID NO: 5, SEQ ID NO: 9, SEQ ID NO: 13, and SEQ ID NO: 17. The     reverse primer has the oligonucleotide sequence selected from the group     consisting of SEQ ID NO: 2, SEQ ID NO: 6, SEQ ID NO: 10, SEQ ID NO: 14,     and SEQ ID NO: 18. A molecular beacon is configured to attach to the     pathogen target sequence. The beacon has the oligonucleotide sequence     selected from the group consisting of SEQ ID NO: 3, SEQ ID NO: 7, SEQ ID     NO: 11, SEQ ID NO: 15, and SEQ ID NO: 19 and a fluorophore. The     analytical instrument is configured to excite the beacon when the     molecular beacon is attached to the pathogen target sequence to signal a     presence of the pathogen target sequence.</t>
  </si>
  <si>
    <t>US20210128938</t>
  </si>
  <si>
    <t>17/148133</t>
  </si>
  <si>
    <t>A61N 5/0624 20130101;  H01L 27/15 20130101;  A61N 2005/0611 20130101;  A61N 2005/0662 20130101;  A61N 5/0603 20130101;  A61N 2005/0663 20130101;  A61N 2005/0652 20130101;  A61N 5/0601 20130101;  A61N 2005/0647 20130101;  A61N 2005/0626 20130101;  A61N 2005/0653 20130101;  A61N 2005/0661 20130101;  A61N 5/0613 20130101</t>
  </si>
  <si>
    <t>US20210128937</t>
  </si>
  <si>
    <t>17/148124</t>
  </si>
  <si>
    <t>US20210128936</t>
  </si>
  <si>
    <t>17/148108</t>
  </si>
  <si>
    <t>US20210128935</t>
  </si>
  <si>
    <t>17/117858</t>
  </si>
  <si>
    <t>A61N 5/0624 20130101;  H01L 27/15 20130101;  A61N 2005/0611 20130101;  A61N 2005/0662 20130101;  A61N 5/0603 20130101;  A61N 2005/0663 20130101;  A61N 2005/0652 20130101;  A61N 5/0613 20130101;  A61N 2005/0647 20130101;  A61N 2005/0626 20130101;  A61N 2005/0653 20130101;  A61N 2005/0661 20130101;  A61N 5/0601 20130101</t>
  </si>
  <si>
    <t>US20210128814</t>
  </si>
  <si>
    <t>Ternary phased medical procedural process for fracturing a lipid membrane     of a viral pathogen that is infecting a patient's pulmonary system and     purging the viral pathogen from the patient's pulmonary system (FLiM)</t>
  </si>
  <si>
    <t>17/139257</t>
  </si>
  <si>
    <t>A61M 2202/0208 20130101;  A61B 1/2676 20130101;  A61M 16/0833 20140204;  A61M 31/00 20130101;  A61M 16/0057 20130101;  A61M 2205/15 20130101;  A61M 2230/40 20130101;  A61M 3/0241 20130101;  A61M 2210/1039 20130101;  A61M 16/04 20130101</t>
  </si>
  <si>
    <t>Ternary phased medical procedural process for fracturing and cleansing a     viral pathogen from a pulmonary system, (FLiM) of a patient that has     tested positive for a pulmonary viral pathogen, and the viral pathogen's     constitution consisting of a lipid membrane, for example, the viral     pathogen Covid19, by means of a FLiM performed by a Medical Professional     (MP), utilizing potential permutations, "MD/S (nPk) x ELT (nPk)" and of     at least: a continuous aqueous suspension, herein understood as; a     Microcrystalline Castile Colloid (MCC), at least one medical device, a     medically equipped operating theater, at least one computer and a     network, and comprised of at least the steps of: diagnosing, determining,     prepping, performing, diagnosing and following-up on the patient for FLiM     medical procedure process.</t>
  </si>
  <si>
    <t>US20210125732</t>
  </si>
  <si>
    <t>SYSTEM AND METHOD WITH FEDERATED LEARNING MODEL FOR GEOTEMPORAL DATA     ASSOCIATED  MEDICAL PREDICTION APPLICATIONS</t>
  </si>
  <si>
    <t>17/079337</t>
  </si>
  <si>
    <t>PATEL; Chirag J.; (Boston, MA); MANRAI; Arjun K.; (North Easton, MA); PARRENT; Jerod; (Cambridge, MA); LAKHANI; Chirag; (Cambridge, MA)</t>
  </si>
  <si>
    <t>G06N 20/00 20190101;  G16H 50/50 20180101;  G16H 50/80 20180101;  G06N 5/003 20130101</t>
  </si>
  <si>
    <t>The technology disclosed relates to a system and method for predicting     comorbidity trajectories of disease categories on a census tract-basis.     The system include logic to process satellite images for a particular     census tract and generate respective latent feature vectors for     respective satellite images. The system include logic to determine     respective weighted average latent feature vectors for the respective     latent feature vectors. The respective weighted average latent feature     vectors are regressed against a plurality of disease categories and a     plurality of risk factors. The regressor generates prevalence scores for     disease categories in the plurality of disease categories and for risk     factors in the plurality of risk factors. The system can correlate the     disease categories with each other and with risk factors to determine     comorbidity trajectories of the disease categories in the particular     census tract.</t>
  </si>
  <si>
    <t>US20210123921</t>
  </si>
  <si>
    <t>DIAGNOSTIC ASSAYS AND RELATED METHODS</t>
  </si>
  <si>
    <t>17/073232</t>
  </si>
  <si>
    <t>C2SENSE, INC.</t>
  </si>
  <si>
    <t>C2SENSE</t>
  </si>
  <si>
    <t>Swager; Timothy Manning; (Newton, MA); Cox; Jason R.; (Worcester, MA); Deans; Robert; (Grafton, MA); Takle; Jeffrey N.; (Bolton, MA); Davis; Gabriel; (Aliquippa, PA); Wheeler; Andrew; (Hollis, ME); Fletcher; Steven R.; (Bedford, NH); Nelson; Andrew P.; (Dallas, TX)</t>
  </si>
  <si>
    <t>G01N 33/582 20130101;  C09K 11/06 20130101;  C09K 2211/182 20130101;  G01N 33/56983 20130101;  G01N 2201/062 20130101;  G01N 2021/6439 20130101;  G01N 21/6428 20130101;  G01N 21/251 20130101;  G01N 2333/165 20130101</t>
  </si>
  <si>
    <t>Embodiments described herein generally relate to: sensing and/or     authentication using luminescence imaging; diagnostic assays, systems,     and related methods; temporal thermal sensing and related methods; and/or     to emissive species, such as those excitable by white light, and related     systems and methods.</t>
  </si>
  <si>
    <t>US20210123883</t>
  </si>
  <si>
    <t>WHOLE VIRUS QUANTUM MECHANICAL TUNNELING CURRENT AND ELECTRONIC SENSORS</t>
  </si>
  <si>
    <t>17/080517</t>
  </si>
  <si>
    <t>G01N 2333/185 20130101;  G01N 33/56983 20130101;  G01N 27/4145 20130101;  G01N 33/5438 20130101;  G01N 2333/165 20130101</t>
  </si>
  <si>
    <t>US20210121560</t>
  </si>
  <si>
    <t>Vaccines For Human Papilloma Virus And Methods For Using The Same</t>
  </si>
  <si>
    <t>17/141704</t>
  </si>
  <si>
    <t>Weiner; David; (Merion, PA); Yan; Jian; (Wallingford, PA)</t>
  </si>
  <si>
    <t>C12N 2760/16134 20130101;  A61K 2039/70 20130101;  C07K 2319/02 20130101;  C07K 2319/42 20130101;  C12N 2760/16041 20130101;  A61K 39/12 20130101;  C12N 2710/20022 20130101;  A61N 1/327 20130101;  C12N 2760/16022 20130101;  C12N 2760/16122 20130101;  C12N 2760/16071 20130101;  C07K 2319/00 20130101;  C12N 2800/22 20130101;  C12N 2710/20034 20130101;  C12N 2760/16234 20130101;  C12N 7/00 20130101;  C12N 2760/16034 20130101;  A61K 39/145 20130101;  A61K 2039/53 20130101;  C07K 14/005 20130101;  C12N 2760/16222 20130101;  A61K 2039/54 20130101</t>
  </si>
  <si>
    <t>Improved anti-HPV immunogens and nucleic acid molecules that encode them     are disclosed. Immunogens disclosed include those having consensus HPV39     E6E7 and HPV45 E6E7. Pharmaceutical composition, recombinant vaccines     comprising DNA plasmid and live attenuated vaccines are disclosed as well     methods of inducing an immune response in an individual against HPV are     disclosed.</t>
  </si>
  <si>
    <t>US20210117649</t>
  </si>
  <si>
    <t>SYSTEMS AND METHODS FOR PRIVACY-PRESERVING FACEMASK-COMPLIANCE-LEVEL     MEASUREMENT</t>
  </si>
  <si>
    <t>17/247847</t>
  </si>
  <si>
    <t>Intel</t>
  </si>
  <si>
    <t>INTEL CORP</t>
  </si>
  <si>
    <t>Gonzalez Aguirre; David; (Portland, OR); Zamora Esquivel; Julio; (Zapopan, MX); Felip Leon; Javier; (Hillsboro, OR); Alvarez; Ignacio J.; (Portland, OR)</t>
  </si>
  <si>
    <t>G06K 9/00268 20130101;  G06K 9/00228 20130101</t>
  </si>
  <si>
    <t>Disclosed herein are systems and methods for privacy-preserving     facemask-compliance-level measurement. In an embodiment, a     mask-compliance measurement system includes a processor that is     configured to generate, from an image of a person, a facial depth image     of a region of a face of the person, and to generate facial wavelet     descriptors from the facial depth image. The processor is also configured     to determine spectral-density values of the wavelet descriptors, and to     analyze the spectral-density values to generate a mask-wearing-compliance     result for the person. In an embodiment, the analyzing includes using a     classification model that is trained to classify sets of spectral-density     values with respect to facemask wearing in images from which the     spectral-density values were derived.</t>
  </si>
  <si>
    <t>US20210110919</t>
  </si>
  <si>
    <t>CREDO Logging System</t>
  </si>
  <si>
    <t>17/129374</t>
  </si>
  <si>
    <t>EDWARD VIA COLLEGE OF OSTEOPATHIC MEDICINE - AUBURN</t>
  </si>
  <si>
    <t>EDWARD VIA COLLEGE OSTEOPATHIC MEDICINE AUBURN</t>
  </si>
  <si>
    <t>Garner; Harold; (Blacksburg, VA); Rawlins; Fred; (Radford, VA)</t>
  </si>
  <si>
    <t>G16H 15/00 20180101;  G09B 5/12 20130101;  G16H 10/60 20180101;  G16H 50/80 20180101;  G16H 40/20 20180101</t>
  </si>
  <si>
    <t>A system implemented on a distributed computer network for capturing     experiences of healthcare trainees. The system includes input devices     having an interface for interacting with a user including an input screen     having data input fields, selection fields and activation buttons and     output screens. Also included are one or more back-end databases     configured to store input data from the input devices and to provide     output data to the input devices.</t>
  </si>
  <si>
    <t>US20210110700</t>
  </si>
  <si>
    <t>17/067172</t>
  </si>
  <si>
    <t>G06Q 30/0261 20130101;  G06Q 30/018 20130101;  H04N 7/183 20130101;  G06K 9/00744 20130101;  G06N 20/00 20190101;  G06K 7/10415 20130101;  G16H 15/00 20180101;  G16H 40/20 20180101;  G06K 7/10297 20130101;  G08B 5/36 20130101;  G08B 21/245 20130101;  G06Q 10/10 20130101;  G06K 9/6256 20130101</t>
  </si>
  <si>
    <t>US20210108259</t>
  </si>
  <si>
    <t>COMPOSITIONS, METHODS AND KITS FOR BIOLOGICAL SAMPLE AND RNA STABILIZATION</t>
  </si>
  <si>
    <t>17/065675</t>
  </si>
  <si>
    <t>LIQUID BIOPSY RESEARCH LLC</t>
  </si>
  <si>
    <t>LIQUID BIOPSY RESEARCH</t>
  </si>
  <si>
    <t>KIDD; Mark; (New Haven, CT); MODLIN; Irvin Mark; (Woodbridge, CT); DROZDOV; Ignat; (Stratford Upon Avon, GB)</t>
  </si>
  <si>
    <t>C12Q 1/686 20130101;  C12Q 1/6848 20130101</t>
  </si>
  <si>
    <t>The present disclosure provides a buffer comprising at least one     chaotropic agent, at least one chelating agent and at least one non-ionic     surfactant, wherein the buffer stabilizes a biological sample at about     room temperature for at least about one day.</t>
  </si>
  <si>
    <t>US20210106844</t>
  </si>
  <si>
    <t>16/992893</t>
  </si>
  <si>
    <t>A61N 2005/0604 20130101;  A61N 2005/0651 20130101;  A61N 5/0603 20130101;  A61N 5/0624 20130101;  A61N 2005/0661 20130101</t>
  </si>
  <si>
    <t>US20210105353</t>
  </si>
  <si>
    <t>METHOD AND SYSTEM FOR AN EAR BUD WITH A CIRCLE-OF-SIGHT (CoS) SIGNALING     ELEMENT</t>
  </si>
  <si>
    <t>16/951855</t>
  </si>
  <si>
    <t>G08B 7/06 20130101;  H04M 1/72412 20210101;  H04W 76/14 20180201;  G06Q 30/0208 20130101;  H04B 1/385 20130101;  G06Q 20/085 20130101</t>
  </si>
  <si>
    <t>An ear-insertable audio device with a circle-of-sight signaling (CoS)     element, said device comprising: a housing with an ear-form factor; at     least one interface enclosed within said housing for wireless pairing     with a first users mobile device; an audio-output element disposed on a     first side of said housing; and a circle-of-sight (CoS) signaling element     disposed on a stem protruding from a second side of said housing with 360     degree signal visibility provided to at least a second user, wherein said     CoS signaling element displays light in a manner signaling a specific     message based on a pre-defined signaling protocol and based on the     pairing with the first users mobile device and an application run on said     first users mobile device.</t>
  </si>
  <si>
    <t>US20210104334</t>
  </si>
  <si>
    <t>METHOD FOR PREDICTING A DISEASE OUTBREAK</t>
  </si>
  <si>
    <t>17/062254</t>
  </si>
  <si>
    <t>AIME HEALTHCARE SDN BHD</t>
  </si>
  <si>
    <t>ZAKARIAH; Mohd helmi Bin; (KLANG, MY); SELVA RAJA; Dhesi Baha Raja A/L; (KUALA LUMPUR, MY); MALLOL COTES; Rainier Christopher Domingo; (Miami, FL)</t>
  </si>
  <si>
    <t>G06K 9/6298 20130101;  G06F 17/18 20130101;  G06N 5/003 20130101;  G16H 50/80 20180101</t>
  </si>
  <si>
    <t>The present invention relates to a method for predicting a disease     outbreak. This method includes the steps of collecting data by the remote     data interface, validating the obtained data by the remote data     interface, analysing data and computing new parameters by a data analysis     interface, identifying the association between the case, the outbreak and     various indicators, and establishing one-to-one relationships between     each case and the index case of the outbreak, and one-to-many     relationships between each case and other cases of the outbreak by the     remote data interface, predicting case parameters by a data prediction     interface, wherein the predicted case parameters include time of the     outbreak and number of people affected by the outbreak, predicting     severity of the outbreak by the data prediction interface, and predicting     geographical location of an epicentre of the outbreak by the data     prediction interface.</t>
  </si>
  <si>
    <t>US20210102265</t>
  </si>
  <si>
    <t>BIOAEROSOL DETECTION SYSTEMS AND METHODS OF USE</t>
  </si>
  <si>
    <t>17/104525</t>
  </si>
  <si>
    <t>UNIV FLORIDA</t>
  </si>
  <si>
    <t>WU; Chang-Yu; (Gainesville, FL); JIANG; Xiao; (Gainesville, FL); PAN; Maohua; (Gainesville, FL); LEDNICKY; John; (Gainesville, FL); THEODORE; Alexandros Demetrios; (Plantation, FL); FAN; Zhonghui Hugh; (Gainesville, FL); AFSHAR MOHAJER; Nima; (Baltimore, MD)</t>
  </si>
  <si>
    <t>G01N 33/56983 20130101;  G01N 2333/11 20130101;  C12Q 1/70 20130101;  G01N 2333/165 20130101</t>
  </si>
  <si>
    <t>Described herein are bioaerosol detection systems and methods of use. In     embodiments of bioaerosol detection systems and methods of use as     described herein, systems and methods detect one or more coronaviruses     and/or one or more influenza strains. In embodiments, coronaviruses     according to systems and methods as described herein are SARS-CoV-2     coronavirus. In embodiments, influenza strains and/or particles according     to the present disclosure are H1N1 influenza.</t>
  </si>
  <si>
    <t>US20210101003</t>
  </si>
  <si>
    <t>TARGETED DELIVERY OF MOLECULES USING IMPEDENCE-BASED MONITORING AT     ELEVATED TEMPERATURES</t>
  </si>
  <si>
    <t>17/104833</t>
  </si>
  <si>
    <t>Heller; Richard; (Tampa, FL); Heller; Loree C.; (Tampa, FL); Jaroszeski; Mark Jeffery; (Wesley Chapel, FL)</t>
  </si>
  <si>
    <t>A61N 5/0625 20130101;  A61F 7/007 20130101;  A61N 2005/0652 20130101;  A61F 2007/0071 20130101;  A61N 1/327 20130101</t>
  </si>
  <si>
    <t>A method and system for delivering a molecule to a specific area of a     tissue by controlling temperature and impedance is presented. The method     is generally comprised of applying heat to a biological structure, such     as cells or tissues, to heat the biological structure to a preset     temperature after which at least one electroporation pulse is     administered to the biological structure. Impedance is measured as a     feedback control mechanism after each pulse and pulse parameters are     adjusted accordingly until desired impedance is reached. The system     generally comprises an electroporation system capable of generating at     least one pulse, measuring impedance and measuring temperature. The     method may be used to deliver a molecule such as a vaccine or therapeutic     to a biological structure, such as for prevention or treatment of     SARS-CoV-2 infection.</t>
  </si>
  <si>
    <t>US20210100878</t>
  </si>
  <si>
    <t>Formulation Including a Combination of beta-Endorphin and     Adrenocorticotropic Hormone</t>
  </si>
  <si>
    <t>17/008202</t>
  </si>
  <si>
    <t>DMK PHARMACEUTICALS CORPORATION</t>
  </si>
  <si>
    <t>DMK PHARMACEUTICALS</t>
  </si>
  <si>
    <t>Lollo; Charles Peter; (San Diego, CA); Carlo; Dennis J.; (San Diego, CA)</t>
  </si>
  <si>
    <t>A61K 38/35 20130101</t>
  </si>
  <si>
    <t>The present specification provides compositions of .beta.-endorphin and     adrenocorticotropic hormone (ACTH). These compositions are useful in     methods of treating disease.</t>
  </si>
  <si>
    <t>US20210093711</t>
  </si>
  <si>
    <t>BROADLY PROTECTIVE INACTIVATED INFLUENZA VIRUS VACCINE</t>
  </si>
  <si>
    <t>16/963718</t>
  </si>
  <si>
    <t>Taubenberger; Jeffery Karl; (Springfield, VA); Schwartzman; Louis Merican; (Olney, MD)</t>
  </si>
  <si>
    <t>A61K 2039/5252 20130101;  A61K 2039/543 20130101;  A61K 39/145 20130101</t>
  </si>
  <si>
    <t>Universal influenza virus vaccine compositions that include multiple     inactivated influenza A viruses are described. The compositions include     four or more different influenza A viruses, each virus having a different     hemagglutinin (HA) subtype. The vaccine compositions can be used, for     example, to elicit an immune response against influenza virus, to     immunize a subject against seasonal influenza virus, and/or mitigate a     future pandemic by serving as a pre-pandemic vaccine.</t>
  </si>
  <si>
    <t>US20210093709</t>
  </si>
  <si>
    <t>USE OF SHREK PROTEINS FOR INACTIVATING VIRAL INFECTIVITY AND TO PRODUCE     LIVE-ATTENUATED VACCINES AGAINST VIRUSES</t>
  </si>
  <si>
    <t>17/031082</t>
  </si>
  <si>
    <t>Wu; Yuntao; (Manassas, VA); Dabbagh; Deemah; (Fairfax, VA); He; Sijia; (Manassas, VA); Hetrick; Brian; (Woodbridge, VA)</t>
  </si>
  <si>
    <t>A61K 39/12 20130101;  C12N 15/86 20130101;  A61K 38/162 20130101;  A61K 2039/5254 20130101;  A61K 2039/507 20130101</t>
  </si>
  <si>
    <t>Live attenuated viruses are provided. The viruses, when assembled,     include one or more SHREK proteins and are thereby rendered non-infective     and attenuated, and can be safely used in vaccines, e.g. to treat or     prevent infections and to eliminate e.g. latent virus reservoirs.</t>
  </si>
  <si>
    <t>US20210092114</t>
  </si>
  <si>
    <t>REAL-TIME COVID-19 OUTBREAK IDENTIFICATION WITH NON-INVASIVE, INTERNAL     IMAGING FOR DUAL BIOMETRIC AUTHENTICATION AND BIOMETRIC HEALTH MONITORING</t>
  </si>
  <si>
    <t>16/953087</t>
  </si>
  <si>
    <t>GLOBAL E?DENTITY INC.</t>
  </si>
  <si>
    <t>GLOBAL E?DENTITY</t>
  </si>
  <si>
    <t>Adams, JR.; Robert M.; (Nashville, TN); Schnitzer; Mark; (Dallas, TX); Adams; Amanda; (Nashville, TN)</t>
  </si>
  <si>
    <t>G06K 9/00885 20130101;  G06F 16/955 20190101;  H04L 63/0861 20130101;  G06K 9/00087 20130101;  G06F 16/2365 20190101;  G06F 21/32 20130101;  G06K 2009/00932 20130101;  G06F 21/30 20130101</t>
  </si>
  <si>
    <t>Biometric health monitoring of a specific user or population is performed     during biometric authentication for granting access to physical or     digital assets. If biometric authentication, biometric verification and     biometric health monitoring is acceptable, access to the physical or     digital assets is allowed. Likewise, if a health anomaly is detected in a     specific user or if an outbreak is detected in a specific community, an     electronic notification can be sent to the individual, a health     administrator, or to a government official, and access may be denied to     the specific user.</t>
  </si>
  <si>
    <t>US20210090749</t>
  </si>
  <si>
    <t>SYSTEM AND METHOD FOR INFECTIOUS DISEASE NOTIFICATION</t>
  </si>
  <si>
    <t>17/016563</t>
  </si>
  <si>
    <t>FRINGS; Oliver; (Erlangen, DE); KUBALA; Eugen; (Erlangen, DE); WUERSTLE; Maximilian; (Baiersdorf, DE); NEUMANN; Dominik; (Erlangen, DE)</t>
  </si>
  <si>
    <t>G16H 50/70 20180101;  G06N 20/00 20190101;  G16H 70/40 20180101;  G16H 70/60 20180101;  G16H 10/40 20180101;  G16H 40/20 20180101;  G16H 10/60 20180101;  G06N 7/005 20130101;  G16H 50/80 20180101</t>
  </si>
  <si>
    <t>A system is for infectious disease notification. The system includes at     least one processor, configured to use a machine learning monitoring     algorithm, trained on a large number of EMR datasets of patients, to     calculate a probability for an infectious disease from a provided EMR     dataset and compare the probability of the provided EMR dataset     calculated with a known value. In training of the monitoring algorithm,     the value represents whether there was an onset of an infectious disease     or not and the monitoring algorithm is designed to adjust parameters of     the monitoring algorithm. And in evaluating a notification, the value is     a threshold value and the system is designed to output a notification     upon the probability being greater than the threshold value.</t>
  </si>
  <si>
    <t>US20210088517</t>
  </si>
  <si>
    <t>MULTIPLEX HIGH-THROUGHPUT FLOW CYTOMETRY DETECTION OF SARS-COV-2-SPECIFIC     IgG, IgA AND IgM</t>
  </si>
  <si>
    <t>17/036042</t>
  </si>
  <si>
    <t>Huang; Ruo-Pan; (Johns Creek, GA); Zhang; Benyue; (Lilburn, GA)</t>
  </si>
  <si>
    <t>G01N 2469/20 20130101;  G01N 2333/165 20130101;  G01N 33/56983 20130101</t>
  </si>
  <si>
    <t>A multiplex bead-based high-throughput high sensitivity diagnosis method     is provided that can detect human IgG, IgA and IgM directed against     SARS-CoV-2 simultaneously, with minimum false positive results is     provided. Instead of comparing the absolute read signal, this kit     introduces an internal control as background reference for each specific     sample. By comparing the ratio of signals between viral antigen-coated     beads and control protein-coated beads the real signal due to anti-viral     Ig can be determined.</t>
  </si>
  <si>
    <t>US20210088469</t>
  </si>
  <si>
    <t>17/100903</t>
  </si>
  <si>
    <t>Abdolahad; Mohammad; (Tehran, IR); Sadat Miripour; Zohreh; (Tehran, IR); Sanati koloukhi; Hassan; (Tehran, IR); Shojaeian Zanjani; Fatemeh Zahra; (Tehran, IR); Ghafari; Hadi; (Tehran, IR); Namdar Habashi; Naser; (Tabriz, IR)</t>
  </si>
  <si>
    <t>G01N 33/48771 20130101;  G01N 27/3275 20130101;  G01N 2800/26 20130101</t>
  </si>
  <si>
    <t>A system for diagnosing COVID-19 infection. The system includes an     electrochemical probe with three needle-shaped electrodes configured to     be inserted into a sputum sample, an electrochemical stimulator-analyzer     electrically connected to the electrochemical probe, a memory having     processor-readable instructions stored therein, and a processor     configured to access the memory and execute the processor-readable     instructions to perform a method. The method includes applying a sweeping     range of electrical potentials to the electrochemical probe utilizing the     electrochemical stimulator-analyzer, measuring a set of generated     electrical currents versus the applied sweeping range of electrical     potential utilizing the electrochemical stimulator-analyzer, receiving     the set of electrical currents from the electrochemical     stimulator-analyzer, measuring a level of reactive oxygen species (ROS)     in the sputum sample by measuring a current peak of the set of electrical     currents, and detecting a COVID-19 infection status based on the measured     level of ROS. Detecting the COVID-19 infection status includes detecting     an infection with COVID-19 if the measured current peak is in a first     range of current peaks and detecting a non-infection with COVID-19 if the     measured current peak is in a second range of current peaks.</t>
  </si>
  <si>
    <t>US20210086005</t>
  </si>
  <si>
    <t>FACEMASK HAVING INTEGRATED MODULES</t>
  </si>
  <si>
    <t>17/112982</t>
  </si>
  <si>
    <t>ASTRA ENTERPRISE LTD</t>
  </si>
  <si>
    <t>ASTRA ENTERPRISE</t>
  </si>
  <si>
    <t>O'Brien; Patrick Damien; (Ennis, IE); Ali; Jez Noah; (Ennis, IE); Alie; Arthur; (Ennis, IE)</t>
  </si>
  <si>
    <t>A62B 18/02 20130101;  A62B 18/10 20130101;  A62B 23/025 20130101;  A62B 9/006 20130101</t>
  </si>
  <si>
    <t>A facemask includes integrated actuating modules having sensors and other     mechanisms. The facemask has one or more sockets into which various     modules may be inserted. The facemask itself or the modules may include     air filters and check valves to regulate airflow along or through the     various modules. The modules may detect various substances either in the     ambient air or the air exhaled by the wearer. The facemask also includes     modules for measuring pulmonary and/or cardiovascular exertion, lung     capacity and other physiological metrics. Other modules may provide     supplements, vitamins or other substances such as tobacco smoke or vapor     from vaporizers to the wearer. The modules may include microcontrollers     in wireless communication with software applications on electronic     devices so that the facemask may also serve as a cellular phone.</t>
  </si>
  <si>
    <t>US20210085814</t>
  </si>
  <si>
    <t>MINIATURIZED DEVICE TO STERILIZE SURFACES FROM COVID-19 AND OTHER VIRUSES     AND BACTERIA</t>
  </si>
  <si>
    <t>17/039502</t>
  </si>
  <si>
    <t>A61L 2/12 20130101;  A61L 2202/21 20130101;  A61L 2202/16 20130101;  A61L 2/025 20130101;  A61L 2202/14 20130101;  A61L 2/26 20130101;  A61L 2/24 20130101</t>
  </si>
  <si>
    <t>A system for sterilizing biological material comprising beam generation     circuitry for generating a radiating wave having radiating energy therein     at a predetermined frequency therein. A controller controls the radiating     wave generation at the predetermined frequency. The predetermined     frequency equals a resonance frequency of a particular biological     material and is determined responsive to a plurality of parameters from     an influenza virus. The predetermined frequency induces a mechanical     resonance vibration at the resonance frequency of the particular     biological material within the particular biological material for     destroying a capsid of the particular biological material. Radiating     circuitry projects the radiating wave on a predetermined location to     destroy the particular biological material at the predetermined location.</t>
  </si>
  <si>
    <t>US20210085781</t>
  </si>
  <si>
    <t>NEOGLYCOCONJUGATES AS VACCINES AND THERAPEUTIC TOOLS</t>
  </si>
  <si>
    <t>17/025978</t>
  </si>
  <si>
    <t>KORANEX CAPITAL</t>
  </si>
  <si>
    <t>SHIAO; Tze Chieh; (Montreal, CA); MOFFETT; Serge; (St-Laurent, CA); MIGNANI; Serge; (Chatenay-Malabry, FR); ROY; Rene; (Terrebonne, CA)</t>
  </si>
  <si>
    <t>A61K 2039/6056 20130101;  A61K 39/215 20130101;  A61K 2039/6037 20130101</t>
  </si>
  <si>
    <t>Neoglycoconjugates as immunogens and therapeutic/diagnostic tools are     described herein. The neoglycoconjugates are produced by conjugating a     carbohydrate antigen intermediate to a free amine group of a carrier     material (e.g., carrier protein). The intermediate comprises a linker     having a first end and a second end, the first end being conjugated to a     carbohydrate antigen via a thio ether bond and the second end comprising     a functional group reactable with a free amine group. Following coupling,     the carbohydrate antigen becomes covalently bound to the carrier material     via an amide, a carbamate, a sulfonamide, a urea, or a thiourea bond,     thereby producing the neoglycoconjugate. Applications of the     neoglycoconjugates as antigens, immunogens, vaccines, and in diagnostics     are also described. Specifically, the use of (neo)glycoconjugates as     vaccine candidates and other therapeutic tools against cancers, viruses     such as SARS-CoV-2, and other diseases characterized by expression of     aberrant glycosylation are also described.</t>
  </si>
  <si>
    <t>US20210085779</t>
  </si>
  <si>
    <t>PD1 AND PDL1 ANTIBODIES AND VACCINE COMBINATIONS AND USE OF SAME FOR     IMMUNOTHERAPY</t>
  </si>
  <si>
    <t>17/063977</t>
  </si>
  <si>
    <t>WEINER; David; (Merion, PA); MUTHUMANI; Karuppiah; (Cherry Hill, NJ); SARDESAI; Niranjan; (Blue Bell, PA)</t>
  </si>
  <si>
    <t>A61K 2039/53 20130101;  C12N 2710/20034 20130101;  C12N 7/00 20130101;  A61K 2039/55516 20130101;  A61K 39/001186 20180801;  A61M 2037/0007 20130101;  A61K 2039/54 20130101;  A61K 39/0005 20130101;  A61K 39/0011 20130101;  A61K 39/001156 20180801;  C07K 16/2827 20130101;  A61K 39/00 20130101;  A61K 39/12 20130101;  A61N 1/327 20130101;  A61K 39/001189 20180801;  A61K 2039/545 20130101;  A61K 39/001157 20180801;  A61K 9/0009 20130101;  A61K 2039/505 20130101;  A61K 39/001188 20180801;  A61K 39/001153 20180801</t>
  </si>
  <si>
    <t>Disclosed herein is a vaccine comprising an antigen and PD1 antibody     and/or PDL1 antibody. Also disclosed herein is a method for enhancing an     immune response in a subject. The method may comprise administering the     vaccine to the subject in need thereof.</t>
  </si>
  <si>
    <t>US20210085774</t>
  </si>
  <si>
    <t>VACCINES WITH ENHANCED IMMUNOGENICITY, LOW ALLERGENICITY AND     REACTOGENICITY</t>
  </si>
  <si>
    <t>16/954835</t>
  </si>
  <si>
    <t>Farber, Boris; Farber, Sof'ya; MARTYNOV, ARTUR VIKTOROVICH</t>
  </si>
  <si>
    <t>FARBER BORIS</t>
  </si>
  <si>
    <t>Farber; Boris; (Brooklyn, NY); Farber; Sof'ya; (Brooklyn, NY); MARTYNOV; ARTUR VIKTOROVICH; (Kharkov, UA)</t>
  </si>
  <si>
    <t>A61K 39/17 20130101;  A61K 39/104 20130101;  A61K 2039/55505 20130101;  A61K 2039/5252 20130101;  A61K 2039/521 20130101;  A61K 39/39 20130101</t>
  </si>
  <si>
    <t>Field of application: the invention relates to veterinary medicine and,     in particular, to vaccinology and pharmacy, and is intended for the     prevention and treatment of infectious and other diseases of humans and     animals, where low allergenic low reactogenic vaccination is used. The     essence of the invention: developed vaccines with increased     immunogenicity, low allergenicity and reactogenicity, containing     antigen/toxin and adjuvant, wherein that they contain vaccine     antigen/toxin inactivated by electromagnetic radiation in the ultraviolet     and visible regions of the spectrum in the presence of a solution of     photosensitizer and salts of divalent metals, and then covalently     modified according to the residues of amino groups and hydroxyls groups     of antigen/toxin available for modification, at least two modifying     agents at the same time in terms of 0.01-10.0% of the mass concentration     of the antigen/toxin protein, and as an adjuvant it contains hydrosol     hydroxide ferric chloride.</t>
  </si>
  <si>
    <t>US20210085770</t>
  </si>
  <si>
    <t>17/025947</t>
  </si>
  <si>
    <t>A61K 39/145 20130101;  A61K 2039/70 20130101;  A61K 39/39 20130101;  A61K 39/095 20130101;  A61K 2039/575 20130101;  A61K 2039/627 20130101;  A61K 2039/6031 20130101;  A61K 39/001169 20180801;  A61K 39/092 20130101</t>
  </si>
  <si>
    <t>US20210085619</t>
  </si>
  <si>
    <t>Nanoencapsulated Combination Drug Formulations</t>
  </si>
  <si>
    <t>17/030286</t>
  </si>
  <si>
    <t>BALDWIN; Paige; (Cambridge, MA); SRIDHAR; Srinivas; (Newton, MA); SINGH; Bijay; (Cambridge, MA)</t>
  </si>
  <si>
    <t>A61K 45/06 20130101;  A61K 9/10 20130101;  B82Y 5/00 20130101;  A61K 9/5184 20130101</t>
  </si>
  <si>
    <t>Pharmaceutical formulations (nanococktails) include two or more     nanoparticulate delivery vehicles each including an active agent. The     nanococktails can be formulated at any ratio of active agents by changing     the ratio of nanoparticulate delivery vehicles in the nanococktail. The     nanoparticulate delivery vehicles can have matched surface potential to     prevent aggregation. The nanoparticulate delivery vehicles of the     combined formulation are designed to provide each active agent with     desired, preferably overlapping therapeutic windows and a specifically     selected pharmacokinetic and pharmacodynamic profile when the     nanococktail is administered to a subject. Each of the nanoparticulate     delivery vehicles can be designed to enhance solubility, duration of     action, targeting, stability, and to program release while preventing     degradation of an active agent and preventing side effects, toxicity, and     tolerability issues in a subject.</t>
  </si>
  <si>
    <t>US20210084451</t>
  </si>
  <si>
    <t>SYSTEMS AND METHODS FOR MONITORING FOR AND PREEMPTING THE RISK OF A FUTURE     OCCURRENCE OF A QUARANTINE VIOLATION</t>
  </si>
  <si>
    <t>17/104136</t>
  </si>
  <si>
    <t>CONQUER YOUR ADDICTION LLC</t>
  </si>
  <si>
    <t>CONQUER YOUR ADDICTION</t>
  </si>
  <si>
    <t>WILLIAMS; David H.; (Kirkwood, MO); WILLIAMS; Adam H.; (Kirkwood, MO)</t>
  </si>
  <si>
    <t>G16H 40/63 20180101;  G16H 80/00 20180101;  G16H 20/70 20180101;  H04W 4/021 20130101;  G06Q 50/18 20130101;  G16H 50/70 20180101;  G06Q 50/265 20130101;  G16H 40/20 20180101;  A61B 5/1112 20130101;  H04L 67/12 20130101;  G06Q 50/22 20130101;  G16H 10/20 20180101;  H04W 4/38 20180201;  A61B 5/165 20130101;  A61B 5/7275 20130101;  G16H 50/30 20180101;  Y02A 90/10 20180101;  G16H 40/67 20180101;  H04L 67/22 20130101;  G16H 50/20 20180101;  H04W 4/029 20180201;  A61B 5/4833 20130101</t>
  </si>
  <si>
    <t>The present disclosure generally relates to systems and methods for     monitoring for and preempting the risk of a future occurrence of a     quarantine violation, such as by using behaviors and/or actions (e.g.,     pre-identified behaviors, preemptive actions, etch determined via one or     more different devices, sensors, sensor arrays, and/or communications     networks (e.g., the Internet of Things (IOT), social networks, etch.</t>
  </si>
  <si>
    <t>US20210082583</t>
  </si>
  <si>
    <t>METHODS AND SYSTEMS OF PRIORITIZING TREATMENTS, VACCINATION, TESTING     AND/OR ACTIVITIES WHILE PROTECTING THE PRIVACY OF INDIVIDUALS</t>
  </si>
  <si>
    <t>17/106279</t>
  </si>
  <si>
    <t>EHRLICH, Gal; FENSTER, Maier</t>
  </si>
  <si>
    <t>EHRLICH GAL</t>
  </si>
  <si>
    <t>EHRLICH; Gal; (Ramat-Gan, IL); FENSTER; Maier; (Petach-Tikva, IL)</t>
  </si>
  <si>
    <t>G16H 50/30 20180101;  H04W 4/023 20130101;  G06N 7/005 20130101;  H04W 4/029 20180201;  G16H 50/80 20180101</t>
  </si>
  <si>
    <t>An aspect of some embodiments of the invention relates to system and     methods for anonymously selecting subjects for treatment against an     infectious disease caused by a pathogen, comprising: 1. a plurality of     electronic devices configured with instructions to generate an ID, when     in proximity of another such electronic device, one or both of transmit     said ID to said another electronic device and receive an ID from said     another electronic device, generating a score based on a plurality of     such received IDs, receiving information from a server, displaying     relevant treatment instructions to said subjects based on received     information; 2. at least one server comprising instructions for sending     to said plurality of electronic devices information to display said     relevant treatment instructions; where said at least one server or said     electronic devices comprise instructions to generate a prediction of     likelihood of a subject transmitting said pathogen, based on a score of     the subject.</t>
  </si>
  <si>
    <t>US20210077762</t>
  </si>
  <si>
    <t>17/027566</t>
  </si>
  <si>
    <t>Mauger; Jeremy Mark; (Auckland, NZ); Rozhdestvensky; Ilya; (Auckland, NZ); Bowden; Daniel; (Auckland, NZ); Graham; Hamish Jock; (Auckland, NZ)</t>
  </si>
  <si>
    <t>A61M 2202/206 20130101;  A61M 2205/3334 20130101;  A61M 16/0616 20140204;  A61L 2209/14 20130101;  A61L 9/22 20130101;  A61M 2016/0027 20130101;  A61M 16/1065 20140204;  A61L 9/20 20130101;  A61L 9/015 20130101;  A61M 16/107 20140204;  A61L 2209/212 20130101;  A61M 16/0003 20140204</t>
  </si>
  <si>
    <t>US20210077615</t>
  </si>
  <si>
    <t>TRIMERIC S1-CD40L FUSION PROTEIN VACCINE AGAINST MIDDLE EAST RESPIRATORY     SYNDROME-CORONAVIRUS</t>
  </si>
  <si>
    <t>17/101603</t>
  </si>
  <si>
    <t>US20210077614</t>
  </si>
  <si>
    <t>17/101572</t>
  </si>
  <si>
    <t>US20210077010</t>
  </si>
  <si>
    <t>Systems, Devices, And Methods For Tracking Abdominal Orientation And     Activity For Prevention Of Poor Respiratory Disease Outcomes</t>
  </si>
  <si>
    <t>17/109068</t>
  </si>
  <si>
    <t>SMART HUMAN DYNAMICS, INC.</t>
  </si>
  <si>
    <t>SMART HUMAN DYNAMICS</t>
  </si>
  <si>
    <t>Dugan; Stephen; (San Francisco, CA)</t>
  </si>
  <si>
    <t>A61B 2562/0219 20130101;  A61B 5/4356 20130101;  A61B 5/4343 20130101;  A61B 5/08 20130101;  A61B 5/053 20130101;  A61B 5/14552 20130101;  A61B 5/6823 20130101;  A61B 5/4362 20130101;  G16H 40/63 20180101;  A61B 5/6804 20130101;  A61B 5/1073 20130101;  A61B 5/14542 20130101;  A61B 5/02411 20130101;  A61B 5/1075 20130101;  A61B 5/1121 20130101;  A61B 5/067 20130101;  A61B 5/746 20130101;  A61B 2503/02 20130101;  G16H 50/30 20180101;  A61B 5/0022 20130101;  A61B 5/1117 20130101;  A61B 5/7275 20130101;  A61B 5/1118 20130101;  A61B 5/6832 20130101;  A61B 5/1116 20130101;  A61B 5/6831 20130101;  A61B 5/1072 20130101;  A61B 5/0059 20130101;  A61B 5/0077 20130101;  A61B 5/021 20130101;  A61B 5/065 20130101;  A61B 5/1107 20130101;  A61B 5/1114 20130101</t>
  </si>
  <si>
    <t>The disclosed apparatus, systems and methods relate to tracking abdominal     orientation and activity for purposes of preventing or treating     conditions of pregnancy, respiratory diseases or other types of medical     conditions. In certain specific embodiments, the system, device, or     method relates to identifying abdominal or sleep position orientation     risk values, calculating and updating a cumulative risk value, comparing     the cumulative risk value to a threshold, and outputting a warning when     the cumulative risk value crosses the threshold.</t>
  </si>
  <si>
    <t>US20210076853</t>
  </si>
  <si>
    <t>MEDICAL DEVICE FOR PROTECTION AGAINST HARMFUL GERMS ON SHARED SURFACES</t>
  </si>
  <si>
    <t>16/995692</t>
  </si>
  <si>
    <t>SOTO PAOLA</t>
  </si>
  <si>
    <t>Soto; Paola; (Ambler, PA)</t>
  </si>
  <si>
    <t>D10B 2101/20 20130101;  D10B 2331/04 20130101;  A47G 11/004 20130101;  D10B 2331/10 20130101;  D01F 8/14 20130101;  D01F 8/16 20130101;  D01F 1/103 20130101;  B64D 11/0638 20141201;  A47G 21/167 20130101</t>
  </si>
  <si>
    <t>A medical device to protect against harmful germs on shared surfaces by     covering the shared surfaces to isolate the germs from individuals     contacting the surfaces. The device may be utilized in public places     (e.g., food establishments, classrooms, movie theaters) and public     transportation (e.g., planes, trains, bus) to cover trays, desks and/or     monitors that may be touched by many individuals. The device may be a     system that includes one or more covers where the covers may be reusable,     disposable or a combination thereof. The covers may be made from a     material or combination of materials that provide at least a subset of     stretchable, washable, antibacterial, durable,     water-proof/water-resistant and non-slip properties. A reusable cover may     include a means for securing the cover to the surface (e.g., draw     strings, connectors). A disposable cover may be a film that has clinging     properties when stretched.</t>
  </si>
  <si>
    <t>US20210074395</t>
  </si>
  <si>
    <t>COMPUTERIZED SYSTEM TO PROVIDE MEDICAL DIAGNOSIS, PROGNOSIS, AND TREATMENT     USING MORE REFINED DIGITAL HEALTH RECORDS HAVING IMPROVED CONTEXT</t>
  </si>
  <si>
    <t>17/102328</t>
  </si>
  <si>
    <t>MD AWARE LLC</t>
  </si>
  <si>
    <t>MD AWARE</t>
  </si>
  <si>
    <t>Habboushe; Joseph; (New York, NY); Walker; Graham; (San Francisco, CA)</t>
  </si>
  <si>
    <t>G16H 20/10 20180101;  G16H 10/60 20180101;  G16H 30/00 20180101;  G16H 50/20 20180101;  G16H 50/30 20180101</t>
  </si>
  <si>
    <t>A method of improving diagnosis, prognosis, or treatment includes     accessing a digital health record, identifying, from the digital health     record, an entry in which a replacement string or an additional string is     to be suggested, determining a particular string to suggest as a     replacement or addition to existing text in the entry, in response to     suggesting the particular string, presenting a source of the particular     string and one or more alternatives to the particular string, receiving     an input indicating whether the particular string or the one or more     alternatives are accepted, updating the entry based on the received     input, and determining a medical diagnosis, prognosis, or treatment     according to the updated entry. This method may provide diagnosis,     prognosis, or treatment for COVID-19 patients.</t>
  </si>
  <si>
    <t>US20210070887</t>
  </si>
  <si>
    <t>16/951458</t>
  </si>
  <si>
    <t>C07K 19/00 20130101;  C12N 15/64 20130101;  A61K 2035/122 20130101;  C07K 2317/53 20130101;  C07K 2319/30 20130101;  C07K 2317/94 20130101;  A61K 45/05 20130101;  C07K 14/4705 20130101;  C07K 14/52 20130101</t>
  </si>
  <si>
    <t>US20210070883</t>
  </si>
  <si>
    <t>ANTI-NAMPT ANTIBODIES AND USES THEREOF</t>
  </si>
  <si>
    <t>16/988383</t>
  </si>
  <si>
    <t>C07K 2317/76 20130101;  A61P 11/00 20180101;  A61K 2039/505 20130101;  C07K 16/40 20130101;  C07K 2317/24 20130101;  C07K 2317/34 20130101;  A61P 31/14 20180101;  C07K 2317/565 20130101</t>
  </si>
  <si>
    <t>US20210069360</t>
  </si>
  <si>
    <t>DECONTAMINATION DEVICE AND METHOD USING NONTHERMAL PLASMA ACTUATOR</t>
  </si>
  <si>
    <t>16/951107</t>
  </si>
  <si>
    <t>TOMI ENVIRONMENTAL SOLUTIONS, INC.</t>
  </si>
  <si>
    <t>TOMI ENVIRONMENTAL SOLUTIONS</t>
  </si>
  <si>
    <t>Shane; Haiden Stuart; (Beverly Hills, CA); Cato; Johnny Sullivan; (Lynwood, CA)</t>
  </si>
  <si>
    <t>A61L 2/14 20130101;  A61L 2/24 20130101;  A61L 2/22 20130101;  A61L 2/204 20130101;  A61L 2202/24 20130101;  A61L 2202/122 20130101;  A61L 2202/25 20130101;  A61L 2202/11 20130101;  H05H 2245/1225 20130101;  A61L 2/202 20130101;  A61L 2/10 20130101;  A61L 2202/14 20130101;  A61L 2/206 20130101;  A61L 2/0011 20130101;  A61L 2202/15 20130101</t>
  </si>
  <si>
    <t>A method and apparatus for decontaminating substantially enclosed     environments by using ultrasonic cavitation of a cleaning fluid to     produce a low pressure, low air flow mist that can be activated by a     nonthermal plasma actuator to create a cloud of activated hydroxyl     species with the capacity to decontaminate articles, open surfaces or     substantially enclosed spaces of pathogens, including bacteria, and other     pathogenic microorganisms. An automated system and related non-transitory     computer medium are also disclosed.</t>
  </si>
  <si>
    <t>US20210069168</t>
  </si>
  <si>
    <t>Methods of Treating Respiratory Illnesses, Alleviating Inflammation and     Visceral Pain, and Alleviating Opioid Addiction While Suppressing     Withdrawal Symptoms</t>
  </si>
  <si>
    <t>17/013623</t>
  </si>
  <si>
    <t>FORD, ERIC DAWAYNE</t>
  </si>
  <si>
    <t>FORD ERIC</t>
  </si>
  <si>
    <t>Ford; Eric Dawayne; (Canal Winchester, OH)</t>
  </si>
  <si>
    <t>A61K 9/7023 20130101;  A61K 31/4468 20130101</t>
  </si>
  <si>
    <t>The present invention provides a method of treating a respiratory illness     in a subject in need thereof, comprising administering to the subject a     therapeutically effective amount of a compound comprising a reaction     product of a reaction mixture comprising: a)     N-phenyl-N-[1-(2-phenylethyl)piperidin-4-yl]propanamide or a derivative     thereof; and b) dimethyl sulfoxide. Also provided are methods of     alleviating opioid addiction while suppressing withdrawal symptoms and     alleviating inflammation and visceral pain with minimal risk of addiction     in a subject in need thereof, comprising administering to the subject a     therapeutically effective amount of the compound described above.</t>
  </si>
  <si>
    <t>US20210069098</t>
  </si>
  <si>
    <t>RIBAVIRIN PERFLUBRON EMULSION COMPOSITION FOR TREATING VIRAL DISEASES</t>
  </si>
  <si>
    <t>16/950185</t>
  </si>
  <si>
    <t>TECHNOLOGY RESEARCH GROUP LLC</t>
  </si>
  <si>
    <t>TECHNOLOGY RESEARCH</t>
  </si>
  <si>
    <t>MCLEAY; MATTHEW T.; (OMAHA, NE)</t>
  </si>
  <si>
    <t>A61K 31/215 20130101;  A61K 45/06 20130101;  A61K 31/198 20130101;  A61K 31/351 20130101;  A61K 9/008 20130101;  A61K 31/7056 20130101;  C12Y 115/01001 20130101;  A61K 38/446 20130101</t>
  </si>
  <si>
    <t>The present invention is a novel method using a MegaRibavirin aerosol or     a MegaRibavirin combination of therapeutics for the treatment of viral     disease particularly the pandemic influenza strains "swine" 2009 HI N1     and H5N1. This invention utilizes Ribavirin in an aerosol Mega Dose     (61-161 mg/ml) alone or combined with or without other antivirals, a     perfluorocarbon emulsion and anti-inflammatory/anti-oxidants. Where     applicable, the perfluorocarbon emulsion may dissolve these agents     enabling a depot effect and possible protracted delivery. In addition,     perfluorocarbon emulsions have the possible added benefit of oxygen     carrying capacity and alveolar nitric oxide sequestration, which may     reduce peroxynitrite formation and decrease Influenza severity.</t>
  </si>
  <si>
    <t>US20210065916</t>
  </si>
  <si>
    <t>STANDING DESK MAT</t>
  </si>
  <si>
    <t>17/096360</t>
  </si>
  <si>
    <t>Wiener; Ron; (Mercer Island, WA); Rosenbaum; Andrew; (Mercer Island, WA)</t>
  </si>
  <si>
    <t>A47G 27/02 20130101;  G16H 50/80 20180101;  A47G 2200/226 20130101</t>
  </si>
  <si>
    <t>Standing desks, such as fixed work surfaces or height-adjustable desks or     computer/workstation supports, provide relief from computer or other desk     work that might otherwise force a user to remain seated. However,     concerns about utilization and comfort are points of resistance to     standing desks. A "smart" pressure sensing mat is provided that may     provide additional cushioning and comfort as well as a source of data     input for record keeping, usage verification, user identification, and     control signals. Identification of users' utilizing a mat may then be     utilized for contact-tracing to identify possible exposure or     transmission of contagions in a workplace.</t>
  </si>
  <si>
    <t>US20210060274</t>
  </si>
  <si>
    <t>AUTOMATED BAG-VALVE-MASK (BVM)</t>
  </si>
  <si>
    <t>17/012583</t>
  </si>
  <si>
    <t>KEYSIGHT TECHNOLOGIES, INC.</t>
  </si>
  <si>
    <t>KEYSIGHT</t>
  </si>
  <si>
    <t>Lim; Wai Seong; (Bayan Lepas, MY); Chai; Suang Chian; (Teluk Kumbar, MY); Yeoh; Keng Keat; (Prai, MY); Liew; Chee Yang; (Bukit Mertajam, MY)</t>
  </si>
  <si>
    <t>A61M 16/0078 20130101;  A61M 16/022 20170801;  A61M 2205/33 20130101</t>
  </si>
  <si>
    <t>To supplement the global shortage of mechanical ventilators caused by the     Covid-19 pandemic, a cost-effective automated bag-valve-mask (BVM) device     capable of producing regular repeatable ventilation to assist patient     breathing is provided. The operation of compressing and decompressing a     manual BVM device is automated using an automated compression fixture     controlled by a digital programmable electronic control unit. The BVM     airbag mounted to the automated compression fixture is placed between two     finger levers that can perform cyclical compression and decompression to     the BVM airbag, which is realized through a motor-driven gear mechanism.     The automated BVM device allows different settings of ventilation     parameters and is also associated with necessary safety measures. The     automated BVM device may be built based on commercially available     authority approved manual BVM devices such as the Ambu.RTM. resuscitators     to reduce development cost. The simplified design and market availability     of the components also enable its rapid manufacture in large quantities.</t>
  </si>
  <si>
    <t>US20210060154</t>
  </si>
  <si>
    <t>VACCINE COMPOSITION AND METHOD OF PREVENTING PORCINE EPIDEMIC DIARRHEA     VIRUS INFECTION IN SWINE</t>
  </si>
  <si>
    <t>17/000377</t>
  </si>
  <si>
    <t>REBER GENETICS CO., LTD.</t>
  </si>
  <si>
    <t>REBER GENETICS</t>
  </si>
  <si>
    <t>Chang; Chia-Jung; (Kaohsiung City, TW); Chang; Jen-Yu; (Taoyuan City, TW); Yang; Cheng-Xin; (Taoyuan City, TW)</t>
  </si>
  <si>
    <t>C12N 7/00 20130101;  A61K 39/225 20130101;  C12N 2770/20034 20130101;  A61K 2039/552 20130101;  A61K 2039/5252 20130101;  A61K 39/39 20130101</t>
  </si>
  <si>
    <t>A vaccine composition includes a porcine epidemic diarrhea virus (PEDV)     S1 spike protein having an amino acid sequence of SEQ ID NO: 1, and an     inactivated porcine epidemic diarrhea virus (PEDV). The vaccine     composition is used in a method of preventing PEDV infection in swine,     whereby systemic Immunoglobulin G (IgG), Immunoglobulin A (IgA) and     neutralizing antibody may be successfully induced by the vaccine     composition, hence providing sufficient immune protection against PEDV.</t>
  </si>
  <si>
    <t>US20210060042</t>
  </si>
  <si>
    <t>Patentiflorin A Analogs as Antiviral Agents</t>
  </si>
  <si>
    <t>16/947935</t>
  </si>
  <si>
    <t>HONG KONG BAPTIST UNIVERSITY</t>
  </si>
  <si>
    <t>ZHANG; Hongjie; (Hong Kong, HK); LI; Wanfei; (Hong Kong, HK); TSANG; Nga Yi; (Hong Kong, HK)</t>
  </si>
  <si>
    <t>A61K 31/506 20130101;  A61K 31/443 20130101;  A61K 31/365 20130101;  A61K 31/5377 20130101;  A61K 31/69 20130101;  A61P 31/16 20180101;  A61P 31/18 20180101;  A61K 31/381 20130101;  A61K 31/706 20130101;  A61K 31/7048 20130101</t>
  </si>
  <si>
    <t>The present disclosure relates to patentiflorin A analogs that are useful     as antivirals, such as anti-HIV, anti-coronaviral, anti-Ebola viral, and     anti-influenza viral agents and methods of use thereof.</t>
  </si>
  <si>
    <t>US20210058736</t>
  </si>
  <si>
    <t>PROXIMITY ALERT AND CONTACT TRACING DEVICE, METHOD AND SYSTEM</t>
  </si>
  <si>
    <t>16/844898</t>
  </si>
  <si>
    <t>OTTOGEE, INC.</t>
  </si>
  <si>
    <t>OTTOGEE</t>
  </si>
  <si>
    <t>Ghazzaoui; Omar; (Dallas, TX); Taylor; Jonathan; (Dallas, TX)</t>
  </si>
  <si>
    <t>G16H 50/80 20180101;  H04W 4/029 20180201;  G08B 21/22 20130101;  G08B 21/02 20130101;  H04W 4/023 20130101;  G06K 19/0723 20130101;  G08B 7/06 20130101;  H04W 4/90 20180201;  H04W 4/80 20180201</t>
  </si>
  <si>
    <t>A system, method and device for tracing contact or proximity between     people and between people and items to be tracked, wherein data is     recorded by the device and contacts between people and other people or     things is traced for disease transmission containment or for optimized     asset utilization and fraud prevention. In a preferred embodiment, the     device communicates stored data to a second device. In a further     preferred embodiment, when a proximity threshold has been violated     between two devices that have come too close to each other, an alarm in     each device is activated to alert the persons bearing the device that a     proximity violation has occurred, such that the proximity violation is     immediately corrected by the individuals involved moving apart so that     the alarm returns to a deactivated state. The device, system and method     of this invention provides a valuable readiness resource for pandemic     disease spread containment.</t>
  </si>
  <si>
    <t>US20210057110</t>
  </si>
  <si>
    <t>DISEASE NETWORK CONSTRUCTION METHOD CONSIDERING STRATIFICATION ACCORDING     TO CONFOUNDING VARIABLE OF COHORT DATA AND OCCURRENCE TIME BETWEEN     DISEASES, METHOD FOR VISUALIZING SAME, AND COMPUTER READABLE RECORDING     MEDIUM RECORDING SAME</t>
  </si>
  <si>
    <t>17/052464</t>
  </si>
  <si>
    <t>CHA UNIVERSITY INDUSTRY-ACADEMIC COOPERATION FOUNDATION</t>
  </si>
  <si>
    <t>HAN; Hyun Wook; (Seongnam-si, Gyeonggi-do, KR); YU; Jong Man; (Seoul, KR); LEE; Dong Hyun; (Seoul, KR); YUN; Ho; (Yongin-si, Gyeonggi-do, KR); HWANG; Tae Sun; (Seongnam-si, Gyeonggi-do, KR); LEE; Chaewon; (Seoul, KR); KIM; Kanghyun; (Yecheon-gun, Gyeongsangbuk-do, KR); NAM; Sangmin; (Seoul, KR)</t>
  </si>
  <si>
    <t>G06Q 40/08 20130101;  G16H 50/80 20180101;  G16H 20/10 20180101;  G16H 10/60 20180101;  G16H 70/60 20180101;  G16H 15/00 20180101;  G16H 50/30 20180101;  G16H 50/70 20180101;  G06Q 50/26 20130101</t>
  </si>
  <si>
    <t>A disease network construction method includes the steps of: (1)     organizing cohort data in time series; (2) stratifying or grouping the     data organized in step (1) by confounding variables; (3) deriving a     correlation of diseases within the stratification in step (2); and (4)     constructing a disease network on the basis of the correlation derived in     step (3). According to the present invention, a disease may be influenced     by a variety of clinical and medical confounding variables such as age,     gender, race, socioeconomic variables, and regional and national health     care systems, and thus a method for more reliably deriving a correlation     between diseases may be provided.</t>
  </si>
  <si>
    <t>US20210057109</t>
  </si>
  <si>
    <t>METHOD FOR IDENTIFYING AND QUANTIFYING POPULATIONS EXPOSED TO     ENVIRONMENTAL HAZARDS ACROSS A GEOGRAPHIC REGION</t>
  </si>
  <si>
    <t>16/996792</t>
  </si>
  <si>
    <t>CYTOGNOMIX, INC.</t>
  </si>
  <si>
    <t>CYTOGNOMIX</t>
  </si>
  <si>
    <t>Rogan; Peter Keith; (London, CA); Mucaki; Eliseos J.; (London, CA)</t>
  </si>
  <si>
    <t>G06Q 30/0205 20130101;  G16H 50/80 20180101</t>
  </si>
  <si>
    <t>The present invention discloses a method for identifying and quantifying     populations exposed to environmental hazards across a geographic region.     The environmental hazards include radiation, pollution and communicable     infectious agent hotspots, such as locations of COVID-19 hotspots. The     method of the present invention uses geographic distributions of infected     individuals over time to develop robust methods that pinpoint locations     of emerging COVID-19 hotspots. The method assays a fraction of infected     individuals of a local population and adjacent locations of the infected     individuals and detects spatial asymmetries and clustered distributions     of infected individuals. The spatial resolution of the assay is increased     by assigning infected cases in each county to subdivisions weighted by     population census and performing spatial interpolation to pinpoint     potential local clusters of infected individuals.</t>
  </si>
  <si>
    <t>US20210053688</t>
  </si>
  <si>
    <t>SAMPLING TO RECORD BIOLOGICAL CONTAMINANTS OF OCCUPANT ZONES IN AIRCRAFT</t>
  </si>
  <si>
    <t>16/892104</t>
  </si>
  <si>
    <t>4031202 CANADA INC.</t>
  </si>
  <si>
    <t>4031202 CANADA</t>
  </si>
  <si>
    <t>Estable; Luis Pablo; (Gatineau, CA)</t>
  </si>
  <si>
    <t>B64D 13/04 20130101;  B64D 2013/0688 20130101;  G07C 5/008 20130101;  B64D 2013/0625 20130101;  B64D 45/00 20130101;  B64D 13/06 20130101</t>
  </si>
  <si>
    <t>Disclosed is a method including sampling an occupant zone of an aircraft     by creating a data record that can be made available in the event of an     outbreak, epidemic, or pandemic involving an occupant of the aircraft.     The data record includes identification information which can be used to     make available records to the relevant authority.</t>
  </si>
  <si>
    <t>US20210052922</t>
  </si>
  <si>
    <t>17/093213</t>
  </si>
  <si>
    <t>Chen; Andy; (Saratoga, CA); Wang; Cindy Jingru; (Palo Alto, CA); Bryan; Allen; (Redwood City, CA); Zhou; Alisa; (San Rafael, CA); Li; Owen Xu; (Mexico City, MX); Zhou; Angel; (San Rafael, CA)</t>
  </si>
  <si>
    <t>A62B 17/001 20130101;  A62B 23/02 20130101;  A41D 2300/32 20130101;  A62B 18/04 20130101;  A41D 2300/324 20130101;  A41D 2300/322 20130101;  A41D 13/02 20130101;  A62B 18/08 20130101;  A62B 17/04 20130101;  A41D 31/30 20190201;  A62B 17/006 20130101;  A41D 13/1153 20130101</t>
  </si>
  <si>
    <t>US20210052803</t>
  </si>
  <si>
    <t>THERAPEUTIC COMPOSITIONS FOR VIRAL-ASSOCIATED DISEASE STATES AND METHODS     OF MAKING AND USING SAME</t>
  </si>
  <si>
    <t>17/091214</t>
  </si>
  <si>
    <t>IMMUTRIX THERAPEUTICS, INC.</t>
  </si>
  <si>
    <t>IMMUTRIX THERAPEUTICS</t>
  </si>
  <si>
    <t>Rae; Carol A.; (Rapid City, SD); Simoni; Jan; (Rapid City, SD); Simoni; Grace; (Rapid City, SD); Moeller; John F.; (Rapid City, SD); Diaz-Aunon; Jose A.; (Rapid City, SD)</t>
  </si>
  <si>
    <t>B01J 20/20 20130101;  A61M 1/3679 20130101;  A61M 2202/0042 20130101;  A61M 2202/0021 20130101;  A61M 2202/0413 20130101;  B01J 47/02 20130101;  A61M 5/165 20130101;  A61M 2202/206 20130101</t>
  </si>
  <si>
    <t>A method comprising obtaining a bodily fluid from a subject; contacting     the bodily fluid with an adsorbent material comprising a synthetic carbon     particle (SCP) to produce a first filtrate having a level of disease     mediators (y); contacting the first filtrate with an adsorbent material     comprising the SCP and an anion exchange resin where the ratio of SCP to     anion exchange resin is from about 0.1:100 to 100:0.1 to produce a second     filtrate; contacting the second filtrate with an adsorbent material     comprising the SCP and a cation exchange resin where the ratio of SCP to     cation exchange resin is from about 1:100 to produce a third filtrate;     and administering the third filtrate to the subject.</t>
  </si>
  <si>
    <t>US20210052231</t>
  </si>
  <si>
    <t>METHOD AND SYSTEM FOR ANALYZING RISK ASSOCIATED WITH RESPIRATORY SOUNDS</t>
  </si>
  <si>
    <t>17/081149</t>
  </si>
  <si>
    <t>SALCIT TECHNOLOGIES PRIVATE LIMITED</t>
  </si>
  <si>
    <t>SALCIT PRIVATE</t>
  </si>
  <si>
    <t>Naga Sripada; Narayana Rao Venkata; (Hyderabad, IN); Jain; Manmohan; (Hyderabad, IN); Palreddy; ShubhaDeepti; (Hyderabad, IN); Vadrev; Srinivas Mukund; (Hyderabad, IN); Yechuri; Venkataramaiah; (Visakhapatnam, IN); Yechuri; Vamsi Priya; (Visakhapatnam, IN); Avasarala; Vardhan Seshasai; (Mason, OH)</t>
  </si>
  <si>
    <t>A61B 5/7475 20130101;  A61B 5/742 20130101;  G16H 10/60 20180101;  A61B 5/01 20130101;  A61B 5/7267 20130101;  A61B 5/746 20130101;  G16H 50/50 20180101;  G06Q 10/105 20130101;  A61B 5/6898 20130101;  A61B 5/14542 20130101;  A61B 2503/20 20130101;  G16H 40/67 20180101;  G16H 50/20 20180101;  G16H 50/30 20180101;  G10L 25/66 20130101;  A61B 5/7275 20130101;  A61B 5/0823 20130101;  G16H 50/70 20180101;  A61B 7/003 20130101;  A61B 2562/06 20130101;  A61B 5/0002 20130101</t>
  </si>
  <si>
    <t>Disclosed herein is a method and system for monitoring health risk of a     user. The system receives a plurality of information related to clinical     symptoms and cough sounds of a user and determines a symptom risk index     and a cough risk index based on analysis of clinical symptoms and cough     sounds. The system further receives body temperature and oxygen     saturation information of the user and determines temperature risk index     and oxygen saturation risk index based on the analysis of the received     body temperature and oxygen saturation information. The system further     determines a final risk index of the user based on the determined symptom     risk index, cough risk index, temperature risk index and oxygen     saturation risk index. The system provides a quick and easy solution to     estimate or predict health risk information of the user.</t>
  </si>
  <si>
    <t>US20210047390</t>
  </si>
  <si>
    <t>NUCLEIC ACID ANTIBODY CONSTRUCTS FOR USE AGAINST RESPIRATORY SYNCYTIAL     VIRUS</t>
  </si>
  <si>
    <t>16/966506</t>
  </si>
  <si>
    <t>Weiner; David; (Merion, PA); Muthumani; Kar; (Cherry Hill, NJ); Chen; Jing; (Merion Station, PA); Smith; Trevor; (San Diego, CA); Schultheis; Katherine; (San Diego, CA)</t>
  </si>
  <si>
    <t>C07K 16/1027 20130101;  A61P 31/14 20180101;  C07K 2317/76 20130101;  A61K 48/005 20130101;  A61P 11/00 20180101;  A61K 39/42 20130101</t>
  </si>
  <si>
    <t>Disclosed herein is a composition including a recombinant nucleic acid     sequence that encodes an antibody to a Respiratory Syncytial Virus     antigen. Also disclosed herein is a method of generating a synthetic     antibody in a subject by administering the composition to the subject.     The disclosure also provides a method of preventing and/or treating an     Respiratory Syncytial virus infection in a subject using said composition     and method of generation.</t>
  </si>
  <si>
    <t>US20210047078</t>
  </si>
  <si>
    <t>COMBINATION CLOSURE FOR FACIAL MASK/COVERING AND ANTIMICROBIAL PRODUCT</t>
  </si>
  <si>
    <t>17/077599</t>
  </si>
  <si>
    <t>MOORE KATHRYN ANNE</t>
  </si>
  <si>
    <t>Moore; Kathryn Anne; (Arlington, VA)</t>
  </si>
  <si>
    <t>B65D 83/0094 20130101;  B65D 77/00 20130101;  B65D 25/22 20130101;  B65D 25/04 20130101</t>
  </si>
  <si>
    <t>A portable dispensing apparatus including a first container including a     first container interior compartment that opens to a first end of the     first container, a second container that detachably connects via a     connection structure disposed at a first end of the second container to     the first end of the first container, the second container including a     second container interior compartment with a second container opening at     a second end of the second container that is opposite to the first end of     the second container, and a cap structure that detachably connects to the     second end of the second container to seal the second container opening.</t>
  </si>
  <si>
    <t>US20210046183</t>
  </si>
  <si>
    <t>COMPOSITIONS AND METHODS FOR PREVENTION AND TREATMENT OF IMMUNE COMPLEX     DISEASE</t>
  </si>
  <si>
    <t>17/064669</t>
  </si>
  <si>
    <t>COWAN FRED M</t>
  </si>
  <si>
    <t>COWAN FRED</t>
  </si>
  <si>
    <t>COWAN; Fred M.; (Colora, MD)</t>
  </si>
  <si>
    <t>A61K 38/164 20130101;  A61K 38/1774 20130101;  A61K 2039/625 20130101;  A61K 38/1725 20130101;  A61K 39/39566 20130101;  A61K 39/215 20130101;  A61K 2039/545 20130101;  A61K 2039/627 20130101</t>
  </si>
  <si>
    <t>The disclosure pertains to methods of immunotherapy for treating diseases     and disorders which involve cellular Fc receptor mediated immune     responses in humans and animals.</t>
  </si>
  <si>
    <t>US20210044925</t>
  </si>
  <si>
    <t>APPARATUS AND METHOD FOR MINIMIZING CROSS-CONTAMINATION OF PATHOGENS     BETWEEN PERSONS WITHIN A FACILITY</t>
  </si>
  <si>
    <t>17/083514</t>
  </si>
  <si>
    <t>H04W 4/023 20130101;  H04W 4/029 20180201;  G06K 7/1417 20130101;  G08B 21/02 20130101;  H04W 4/80 20180201;  H04W 4/33 20180201</t>
  </si>
  <si>
    <t>A method of minimizing cross-contamination of pathogens between persons     within a facility includes placing tags onto shared resources such as     tables, desks, chairs, coffee makers, microwave ovens, sinks, bathroom     stalls, etc. A mobile device senses the tags and approximates their     locations, in embodiments relative to tagged anchor points. The mobile     device can include any combination of tag-sensing and locating features,     including a camera, LIDAR, GPS, sonic distance measurement, and     accelerometers for inertial position sensing. In embodiments, the     approximated tag locations can be verified and corrected as needed by     using augmented reality to project the estimated tag locations onto the     actual scene. The accurately determined tag locations are then used to     assign resources to persons within the facility, whereby spatial     distancing between persons and time intervals between usage of the same     resource are maximized. A log of the resource assignments can be used to     enhance contact tracing.</t>
  </si>
  <si>
    <t>US20210041724</t>
  </si>
  <si>
    <t>Anti-Fog Medical Face Mask and A Device for Preventing Formation of Fog on     Eyewear while Wearing Face Cover</t>
  </si>
  <si>
    <t>17/030410</t>
  </si>
  <si>
    <t>AHI KIARASH</t>
  </si>
  <si>
    <t>Ahi; Kiarash; (San Jose, CA)</t>
  </si>
  <si>
    <t>A41D 13/11 20130101;  G02C 11/08 20130101</t>
  </si>
  <si>
    <t>Toward prevention of the spread of COVID-19 virus and suppressing the     pandemic caused by this outbreak, many local governments, states within     the Unites States, and countries around the globe have mandated wearing     of face covering masks. This mandate has introduced new challenges to the     society. One of these challenges is formation of fog on the eyewear while     wearing a mask. The direction of the leaked exhaled air from the upper     edge of a face covering mask is upward. The location of the portion of     the lens of the eyewear that is in front of the eye of the user is on top     of the upper edge of the mask (because pulling up the mask further than     the eye is not practically possible as the mask would block the     eyesight). Hence, the leaked exhaled air (leaked from the top of the     mask) moves over the surface of the lens of the eyewear and causes     formation of fog on the surface of the lens of the eyewear. To solve the     problem of formation of fog on the lens of an eyewear while wearing a     face cover, this disclosure proposes a device that prevents the eyewear     from getting exposed to the air of exhaling. For this aim, this device     redirects the flow of the exhaled air that leaks from the top of the     mask. Unlike the solutions in the prior art, the main embodiment of the     device disclosed in this application is a standalone device. No     modification to the eyewear is needed (although one embodiment of this     invention is integrated in the eyewear during manufacturing the eyewear).     No modification to the face covering mask is needed either (although one     embodiment of this invention is integrated in the face covering mask     during manufacturing the face covering mask). Hence, people in the     society who need to wear mask, may use this device without needing to     purchase new types of eyewear or new types of mask. This device prevents     formation of fog on eyewear regardless of the type of eyewear or the type     of the mask worn by a user. Hence, compared with the prior art, this     device introduces the least amount of discomfort and financial burden on     the users and on the society. A significant advantage of the disclosed     invention is its contribution to the health of the society and reduction     of the spread of viruses. Thanks to this invention a large portion of the     society (who refuses wearing masks at all, or who wear masks improperly     to avoid formation of fog on their eyewear) shall start using masks and     shall wear masks properly. For example, people who may refuse wearing     masks during pandemics, such as the COVID-19 pandemic, because of     discomfort resulted by formation of fog on their eyewear, or people who     may wear masks improperly (for example by not covering their noses) or     those who may create vents in their masks, to prevent formation of fog on     their eyewear, will start wearing their masks properly since the device     disclosed in this disclosure prevents formation of fog on the eyewear.</t>
  </si>
  <si>
    <t>US20210038111</t>
  </si>
  <si>
    <t>Method and System for Enhancing Resolution of Terahertz Imaging and     Detection of Symptoms of COVID-19</t>
  </si>
  <si>
    <t>17/075725</t>
  </si>
  <si>
    <t>A41D 13/11 20130101;  G06T 3/4053 20130101;  A61B 2576/00 20130101;  A61B 5/0507 20130101</t>
  </si>
  <si>
    <t>A novel method and system for enhanced-resolution THz imaging whereby an     enhanced-resolution THz image is developed by deconvolution of the     original THz image that is developed using THz signals that are     manipulated in time-domain and/or in frequency-domain and a point spread     function (PSF) that is developed according to an equation wherein said     THz signals in time-domain and/or frequency-domain are input parameters.     By using this method and system, enhanced-resolution THz images are     developed for detecting traces of symptoms of COVID-19 as small as a drop     of water. Said novel method and system for enhanced-resolution THz     imaging is used for developing a device, and method, that is: (a) rapid,     (b) economical, (c) able to perform measurements remotely, (d)     non-invasive. This device, and method, is capable of detecting symptoms     of COVID-19 such as runny nose, congestion, and cough. The person under     examination may or may not wear a face covering mask. This device, and     method, is capable of performing examination remotely and without needing     the person to remove the mask.</t>
  </si>
  <si>
    <t>US20210036678</t>
  </si>
  <si>
    <t>STRUCTURES, ACOUSTIC WAVE RESONATORS, DEVICES AND SYSTEMS TO SENSE A     TARGET VARIABLE, INCLUDING AS A NON-LIMITING EXAMPLE CORONA VIRUSES</t>
  </si>
  <si>
    <t>16/940172</t>
  </si>
  <si>
    <t>QXONIX INC.</t>
  </si>
  <si>
    <t>QXONIX</t>
  </si>
  <si>
    <t>Burak; Dariusz; (Fort Collins, CO); Grannen; Kevin J.; (Thornton, CO); Lenell; Jack; (Fort Collins, CO)</t>
  </si>
  <si>
    <t>H03H 9/02157 20130101;  H03H 9/02102 20130101;  H03H 9/02015 20130101;  H03H 9/0211 20130101;  H03H 9/131 20130101;  H03H 2009/02165 20130101;  H03H 9/205 20130101;  H03H 9/02259 20130101;  H03H 9/0207 20130101</t>
  </si>
  <si>
    <t>Techniques for improving Bulk Acoustic Wave (BAW) resonator structures     are disclosed, including fluidic systems, oscillators and systems that     may include such devices. A bulk acoustic wave (BAW) resonator may     comprise a substrate and a first layer of piezoelectric material. The     bulk acoustic wave (BAW) resonator may comprise a top electrode. A     sensing region may be acoustically coupled with the top electrode of the     bulk acoustic wave (BAW) resonator.</t>
  </si>
  <si>
    <t>US20210032576</t>
  </si>
  <si>
    <t>ANTI-VIRAL CLEANING COMPOSITION, METHOD OF MAKING AND USE THEREOF</t>
  </si>
  <si>
    <t>17/065981</t>
  </si>
  <si>
    <t>Hawkins; Walter; (Delafield, WI); Reynolds; Sharon W.; (Brentwood, TN); Lillard, JR.; James W.; (Smyrna, GA)</t>
  </si>
  <si>
    <t>C11D 17/0039 20130101;  A01N 25/26 20130101;  C11D 11/0088 20130101;  C11D 3/48 20130101</t>
  </si>
  <si>
    <t>A method for formulating a cleaning composition contains the step of     coating a granular absorbent material with a coating agent to produce a     coated absorbent material and mixing the coated absorbent material with a     sanitation agent, wherein the coated absorbent material absorbs the     sanitation agent to form the cleaning composition. The resulting cleaning     composition may be used for cleaning up pathogens or hazardous materials.     The cleaning composition may also functions as a liquefiable dry cleaning     powder for public areas in response to bodily fluid incidents. A coating     method of a non-toxic bio static film on a high surface area solid is     disclosed.</t>
  </si>
  <si>
    <t>US20210032355</t>
  </si>
  <si>
    <t>17/067191</t>
  </si>
  <si>
    <t>Francisco; Edgar B.; (San Carlos, CA); Rodrigues; Hallison; (San Carlos, CA); Pise; Amruta; (San Carlos, CA)</t>
  </si>
  <si>
    <t>A61K 2039/505 20130101;  C07K 16/2866 20130101;  A61P 31/14 20180101;  C07K 2317/24 20130101;  A61K 31/46 20130101</t>
  </si>
  <si>
    <t>US20210032323</t>
  </si>
  <si>
    <t>Methods Of Treating Inflammation Associated Airway Diseases And Viral     Infections</t>
  </si>
  <si>
    <t>16/994882</t>
  </si>
  <si>
    <t>WASHINGTON STATE UNIVERSITY</t>
  </si>
  <si>
    <t>BOSE; Santanu; (Pullman, WA); TESSIER; Philippe; (Quebec, CA)</t>
  </si>
  <si>
    <t>A61K 2039/505 20130101;  C07K 16/24 20130101;  C07K 2317/76 20130101</t>
  </si>
  <si>
    <t>The present disclosure provides methods of treating a pathogen-induced     lung inflammation in a subject are provided in which an anti-S100A9     antibody is administered to a subject. Methods of treating a respiratory     virus infection by administering an anti-S100A9 antibody are also     provided.</t>
  </si>
  <si>
    <t>US20210030811</t>
  </si>
  <si>
    <t>USE OF ALVEOLAR OR AIRWAY ORGANOIDS FOR THE TREATMENT OF LUNG DISEASES AND     DISORDERS</t>
  </si>
  <si>
    <t>17/074118</t>
  </si>
  <si>
    <t>CHILDRENS MEDICAL CT CORP</t>
  </si>
  <si>
    <t>CHILDRENS MEDICAL</t>
  </si>
  <si>
    <t>KIM; Carla F.; (Boston Charlestown, MA); LOUIE; Sharon M.; (Boston, MA); ARARAT; Erhan; (Boston, MA); RAISER; David; (Boston, MA)</t>
  </si>
  <si>
    <t>C12N 2513/00 20130101;  A01K 67/0271 20130101;  C12N 2506/27 20130101;  A01K 2207/12 20130101;  C12N 5/0062 20130101;  A61K 9/007 20130101;  C12N 2506/02 20130101;  A01K 2227/105 20130101;  A61K 45/06 20130101;  C12N 5/0688 20130101;  A61K 49/0008 20130101;  C12N 5/0697 20130101;  A61K 35/42 20130101;  A61K 9/0073 20130101;  C12N 2506/45 20130101;  A01K 2267/0337 20130101</t>
  </si>
  <si>
    <t>Various aspects described herein provide methods of generating alveolar     or alveolar/airway organoids from a population of lung cells to     differentiate into alveolar or alveolar/airway organoids. Also provided     herein are methods and compositions for treating lung disease comprising     transplantation of the alveolar or alveolar/airway organoids, or a cell     isolated therefrom to a subject.</t>
  </si>
  <si>
    <t>US20210025881</t>
  </si>
  <si>
    <t>CONVECTIVE FLOW-DRIVEN MICROFABRICATED HYDROGELS FOR RAPID BIOSENSING</t>
  </si>
  <si>
    <t>16/936208</t>
  </si>
  <si>
    <t>University Of Wyoming</t>
  </si>
  <si>
    <t>UNIVERSITY WYOMING</t>
  </si>
  <si>
    <t>OAKEY; John; (Laramie, WY); HARPSTER; Mark H.; (Laramie, WY); CHENG; Cheng; (Laramie, WY)</t>
  </si>
  <si>
    <t>G01N 21/658 20130101;  G01N 2333/165 20130101;  G01N 33/54366 20130101;  G01N 33/582 20130101</t>
  </si>
  <si>
    <t>Embodiments of the present disclosure generally relate to apparatus and     methods for analyte detection. More specifically, embodiments of the     present disclosure relate to a microscale biosensing platform based upon     the rehydration-mediated swelling of functionalized hydrogel structures     and rapid capture of target analyte(s) by induced convective flow. In an     embodiment is provided an apparatus for analyte detection that includes a     fluidic channel coupled to a substrate and a hydrogel structure coupled     to the fluidic channel. The hydrogel structure includes one or more     surface-functionalized hydrogel features, wherein at least one of the one     or more surface-functionalized hydrogel features comprises a     chemically-bound probe, the chemically-bound probe to bind an analyte,     and wherein the hydrogel structure is at least partially dehydrated.     Apparatus described herein can also include a detector. Methods of     detecting analytes are also described herein.</t>
  </si>
  <si>
    <t>US20210025605</t>
  </si>
  <si>
    <t>PANDEMIC TABLETOP SYSTEM AND METHODS FOR PREVENTING PATHOGEN TRANSMISSION</t>
  </si>
  <si>
    <t>17/001914</t>
  </si>
  <si>
    <t>CAMBRIDGE TECHNOLOGY DEVELOPMENT, INC.</t>
  </si>
  <si>
    <t>CAMBRIDGE DEVELOPMENT</t>
  </si>
  <si>
    <t>Bullister; Edward; (Weston, MA)</t>
  </si>
  <si>
    <t>F24F 5/0096 20130101;  F24F 2221/10 20130101;  F24F 2007/001 20130101;  F24F 13/28 20130101;  F24F 7/065 20130101</t>
  </si>
  <si>
    <t>The invention provides, in some aspects, a tabletop-based system to     prevent pathogen transmission that includes a collection vent that     collects airflow from a volumetric region above a tabletop, a filter that     filters the collected airflow and that is in fluid coupling with the     collection vent, an air mover that creates the airflow through the     volumetric region to the vent, and one or more surfaces that define the     region, where those surfaces include at least the tabletop. According to     these aspects of the invention, the vent is disposed in a vicinity of at     least one of the aforesaid surfaces and is elongate along an axis     substantially aligned with a useable edge of the tabletop, i.e., an edge     of the tabletop at which a person who is using the tabletop sits, kneels,     stands or is otherwise disposed.</t>
  </si>
  <si>
    <t>US20210017255</t>
  </si>
  <si>
    <t>HIV VACCINES AND METHODS OF MAKING AND USING</t>
  </si>
  <si>
    <t>16/928571</t>
  </si>
  <si>
    <t>Liu; Xinan; (Shanghai, CN); Makadzange; Azure T.; (Half Moon Bay, CA); Martin; Stephen R.; (Tiburon, CA); Shehata; Hesham; (Daly City, CA); Svarovskaia; Evguenia; (Redwood City, CA)</t>
  </si>
  <si>
    <t>A61K 45/06 20130101;  C07K 16/2818 20130101;  A61K 9/14 20130101;  C12N 15/1082 20130101;  C07K 16/2827 20130101;  C07K 16/1045 20130101</t>
  </si>
  <si>
    <t>Provided are HIV-1 fusion polypeptides, polynucleotides encoding such     fusion polypeptides, vectors expressing such fusion polypeptides for use     in eliciting an immune response against HIV-1; pharmaceutical and     immunogenic compositions and kits comprising such fusion polypeptides,     polynucleotides or vectors, and methods of use in treating and/or     preventing HIV-1. Further provided are methods for design of antiviral     vaccines, including vaccines to elicit an immune response against HIV-1.</t>
  </si>
  <si>
    <t>US20210016216</t>
  </si>
  <si>
    <t>Method and device for holistic protection and virus transmission     suppression</t>
  </si>
  <si>
    <t>17/018177</t>
  </si>
  <si>
    <t>Popa-Simil, Victor; Popa-Simil, Ioana Livia; Popa-Simil, Andrei; Popa-Simil, Liviu</t>
  </si>
  <si>
    <t>POPA-SIMIL VICTOR</t>
  </si>
  <si>
    <t>Popa-Simil; Victor; (Los Alamos, NM); Popa-Simil; Ioana Livia; (Ann Arbor, MI); Popa-Simil; Andrei; (Albuquerque, NM); Popa-Simil; Liviu; (Los Alamos, NM)</t>
  </si>
  <si>
    <t>B01D 46/44 20130101;  B60H 1/00 20130101;  C12M 37/00 20130101</t>
  </si>
  <si>
    <t>COVID-19 is a large virus with remarkable resilience, propagation and     multiplication features that require complex technologic systems and     manners to assure a reasonable protection. A transparent, multiuse face     mask with valves and for inhalation of air from a specialized filter     placed in a cleaner air space, and an exhalation valve that drives the     exhaled air via a tube to a filter bladder placed on wrist and from there     to a tube that has the release end near ground, or can be connected to     the aspiration tube of the infrastructure, that removes it, preventing     recirculation. The general convention that defines the usage method is     that the building, buss, and any other enclosure provide clean antiseptic     air above and consumer s have to release their exhalations down near     floor from where the structure to remove them by a controlled air flow     similar to clean rooms. The main condition is that people to place their exhalation exhaust     sterilized and placed near ground in order to increase the probability to     inhale clean sterile air at the head level. No filter is perfect, and no     sterilization unit, therefore the enclosure has to deal with exhaust gas,     and remove into the atmosphere safely. The work to keep people inside     safe is done by both the enclosure that may provide vacuum lines to     collect the exhaled air, and by the people who will use correctly the     infrastructure. The system is designed for smart communities for     everybody to wear for about 3 weeks when a covid-19 or other virus     infection occurs to suppress its multiplication rate, without     perturbation in their activity and then returning to normality.</t>
  </si>
  <si>
    <t>US20210012905</t>
  </si>
  <si>
    <t>METHOD FOR EVALUATING INFECTION RISK, INFECTION RISK EVALUATION SYSTEM,     AND MEDIUM</t>
  </si>
  <si>
    <t>17/033681</t>
  </si>
  <si>
    <t>Panasonic</t>
  </si>
  <si>
    <t>PANASONIC</t>
  </si>
  <si>
    <t>YUGAWA; KEIKO; (Nara, JP)</t>
  </si>
  <si>
    <t>A method for evaluating an infection risk includes calculating a first     infection risk value, which indicates a degree of an infection risk that     a child is infected with an infectious disease, on the basis of infection     information regarding family members, prevalence information regarding     the infectious disease in organizations to which the family members     belong, and one or more first infection risk coefficients, calculating,     on the basis of the first infection risk value, a second infection risk     value, which indicates a degree of the child's infection risk of being     infected in a group at a children's facility, and performing first     evaluation, in which the infection risk that the child is infected is     evaluated on the basis of the first infection risk value, and second     evaluation, in which the child's infection risk of being infected in the     group is evaluated on the basis of the second infection risk value.</t>
  </si>
  <si>
    <t>US20210012869</t>
  </si>
  <si>
    <t>Systems and Methods for Real-Time Health Certification Using Point-of-Care     Data</t>
  </si>
  <si>
    <t>17/037563</t>
  </si>
  <si>
    <t>BIOSAFETY DIAGNOSTICS INC</t>
  </si>
  <si>
    <t>BIOSAFETY DIAGNOSTICS</t>
  </si>
  <si>
    <t>Kotlarz; Michael; (Short Hills, NJ); Barksdale; Keith; (Hoboken, NJ)</t>
  </si>
  <si>
    <t>G06K 19/06037 20130101;  G16H 15/00 20180101;  G16H 50/70 20180101;  G16B 40/00 20190201;  G16H 50/30 20180101;  G16H 10/40 20180101;  G16B 45/00 20190201;  G16H 10/60 20180101;  G06Q 30/0185 20130101;  G06F 16/258 20190101;  G16H 70/20 20180101</t>
  </si>
  <si>
    <t>A health pass system for COVID-19 is provided. The system includes a     database including information on a plurality of individuals. The     database is configured to receive point-of-care data relating to the     plurality of individuals, the point-of-care data including at least one     medical test result for COVID-19 antibodies for at least one of the     plurality of individuals. The system includes a processing device     configured to analyze the point-of-care data and generate a report. The     system includes means for transmitting the report to a mobile electronic     device of at least one of the plurality of individuals. The system     includes means for displaying the report with a user interface of the     mobile electronic device in the form of a real-time health certification.</t>
  </si>
  <si>
    <t>US20210011444</t>
  </si>
  <si>
    <t>16/927759</t>
  </si>
  <si>
    <t>RISBECK; Michael J.; (Madison, WI); Drees; Kirk H.; (Cedarburg, WI); Douglas; Jonathan D.; (Mequon, WI)</t>
  </si>
  <si>
    <t>G05B 2219/2614 20130101;  F24F 11/70 20180101;  G05B 19/042 20130101</t>
  </si>
  <si>
    <t>A heating, ventilation, or air conditioning (HVAC) system for one or more     building zones includes airside HVAC equipment operable to provide clean     air to the one or more building zones and a controller. The controller is     configured to obtain a dynamic temperature model and a dynamic infectious     quanta model for the one or more building zones, determine an infection     probability, and generate control decisions for the airside HVAC     equipment using the dynamic temperature model, the dynamic infectious     quanta model, and the infection probability.</t>
  </si>
  <si>
    <t>US20210011443</t>
  </si>
  <si>
    <t>HEAT MAPPING SYSTEM</t>
  </si>
  <si>
    <t>16/927281</t>
  </si>
  <si>
    <t>MCNAMARA; Ger; (Old Pallas, IE); ALBINGER; Donald R.; (New Berlin, WI); ELLERMAN; Rachel D. M.; (Shorewood, WI); DREES; Kirk H.; (Cedarburg, WI); SINHA; Vineet; (Brookfield, WI)</t>
  </si>
  <si>
    <t>G05B 2219/25011 20130101;  G16H 50/30 20180101;  G16H 40/20 20180101;  G05B 19/042 20130101;  G05B 2219/2614 20130101</t>
  </si>
  <si>
    <t>Systems and methods for providing visualization of health risks within a     building. Health risk levels for building spaces are determined using     occupancy data and health risk data relating to a risk of contracting or     spreading an infectious disease. A visualization of the health risk     levels is generated and presented on a user interface.</t>
  </si>
  <si>
    <t>US20210010962</t>
  </si>
  <si>
    <t>IN SITU, REAL-TIME IN-LINE DETECTION OF FILLING ERRORS IN PHARMACEUTICAL     PRODUCT MANUFACTURING USING WATER PROTON NMR</t>
  </si>
  <si>
    <t>17/030088</t>
  </si>
  <si>
    <t>YU; Yihua (Bruce); (Ellicott City, MD); TARABAN; Marc B.; (North Potomac, MD)</t>
  </si>
  <si>
    <t>G01N 24/085 20130101;  G01N 24/084 20130101;  G01R 33/46 20130101;  G01N 33/15 20130101</t>
  </si>
  <si>
    <t>A method of using the transverse relaxation rate (R.sub.2) of solvent NMR     signal to detect filling errors of an alum-containing product in     real-time in-line during manufacturing, for example during a fill-finish     unit operation. This technique can be used for quality control in vaccine     manufacturing to ensure the delivery of the correct concentration of     alum-containing product to the product container such as a vial or     pre-filled syringe.</t>
  </si>
  <si>
    <t>US20210008309</t>
  </si>
  <si>
    <t>COMBINATION RESPIRATORY THERAPY DEVICE, SYSTEM AND METHOD</t>
  </si>
  <si>
    <t>17/032328</t>
  </si>
  <si>
    <t>METROHEALTH VENTURES LLC</t>
  </si>
  <si>
    <t>METROHEALTH VENTURES</t>
  </si>
  <si>
    <t>Birnkrant; David J.; (Moreland Hills, OH); Boerst; Chad M.; (Blaine, MN); ChangGuo; Mike Yang; (Singapore, SG)</t>
  </si>
  <si>
    <t>A61H 2201/5058 20130101;  A61M 2016/0039 20130101;  A61M 2205/3592 20130101;  A61M 16/0009 20140204;  A61M 2016/0042 20130101;  A61M 2205/505 20130101;  A61M 16/0069 20140204;  A61M 2205/3584 20130101;  A61M 16/0006 20140204;  A61M 16/16 20130101;  A61H 9/0007 20130101;  A61M 2205/18 20130101;  A61M 2205/50 20130101;  A61H 2201/5012 20130101;  A61M 16/1065 20140204;  A61M 2205/80 20130101;  A61M 2205/583 20130101;  A61M 16/024 20170801;  A61M 16/0051 20130101;  A61M 2205/3561 20130101;  A61M 2205/52 20130101;  A61H 31/00 20130101;  A61H 9/0078 20130101;  A61H 2201/5071 20130101;  A61M 2205/3553 20130101;  A61H 2201/5087 20130101;  A61M 2016/0027 20130101;  A61M 16/06 20130101;  A61M 16/0057 20130101;  A61H 2201/5048 20130101;  A61H 2201/5015 20130101;  A61M 2016/0021 20130101;  A61M 16/107 20140204;  A61M 2209/08 20130101;  A61M 2205/581 20130101</t>
  </si>
  <si>
    <t>A combination respiratory therapy management system creates a combined     respiratory therapy prescription that can be executed by a combined     respiratory therapy device to provide multiple coordinated respiratory     therapies to a patient. The system can update the combined respiratory     therapy prescription and implement the updates while the combined     respiratory therapy device is in use. An integrated graphical user     interface provides the patient and clinician with customization options     and quick access to preselected operations of the combined respiratory     therapy device. Additional features of the system enable remote access     and control of the combination respiratory therapy device by remote     clinicians.</t>
  </si>
  <si>
    <t>US20210008150</t>
  </si>
  <si>
    <t>PEPTIDOMIMETICS FOR THE TREATMENT OF CORONAVIRUS AND PICORNAVIRUS     INFECTIONS</t>
  </si>
  <si>
    <t>16/894407</t>
  </si>
  <si>
    <t>Schinazi; Raymond F.; (Atlanta, GA); Zandi; Keivan; (Atlanta, GA); Amblard; Franck; (Atlanta, GA)</t>
  </si>
  <si>
    <t>A61K 45/06 20130101;  A61K 38/06 20130101;  C07K 5/0819 20130101;  C07K 5/06078 20130101;  A61K 31/53 20130101;  A61K 38/05 20130101;  A61K 31/675 20130101;  C07K 5/0812 20130101;  A61K 31/519 20130101;  A61K 31/7072 20130101;  C07K 5/0827 20130101</t>
  </si>
  <si>
    <t>Compounds, compositions and methods for preventing, treating or curing a     coronavirus, picornavirus, and/or hepeviridae virus infection in human     subjects or other animal hosts. Specific viruses that can be treated     include enteroviruses. In one embodiment, the compounds can be used to     treat an infection with a severe acute respiratory syndrome virus, such     as human coronavirus 229E, SARS, MERS, SARS-CoV-1 (OC43), and SARS-CoV-2.     In another embodiment, the methods are used to treat a patient     co-infected with two or more of these viruses, or a combination of one or     more of these viruses and norovirus.</t>
  </si>
  <si>
    <t>US20210008110</t>
  </si>
  <si>
    <t>ACTIVATED LYMPHOCYTIC CELLS AND METHODS OF USING THE SAME TO TREAT CANCER     AND INFECTIOUS CONDITIONS</t>
  </si>
  <si>
    <t>16/901427</t>
  </si>
  <si>
    <t>A61K 31/616 20130101;  A61K 31/5415 20130101;  A61P 35/00 20180101;  A61K 35/17 20130101;  A61K 31/415 20130101;  A61K 31/138 20130101;  A61K 38/2013 20130101;  A61K 31/7076 20130101;  A61K 31/664 20130101;  A61K 38/212 20130101;  A61P 31/18 20180101</t>
  </si>
  <si>
    <t>Provided herein are methods for treating a patient with HIV, cancer, a     viral infection, or a bacterial infection, comprising administering an     effective amount of activated lymphocytic cellular compositions. Related     compositions, kits, and methods for modulating the immune system using     the activated lymphocytic cellular compositions are also provided.</t>
  </si>
  <si>
    <t>US20210008105</t>
  </si>
  <si>
    <t>Method and composition for the reduction of viral replication, duration     and spread of the COVID-19 and the Flu</t>
  </si>
  <si>
    <t>16/974068</t>
  </si>
  <si>
    <t>CELLULAR SCIENCES, INC.</t>
  </si>
  <si>
    <t>CELLULAR SCIENCES</t>
  </si>
  <si>
    <t>Martin; Alain; (Flemington, NJ)</t>
  </si>
  <si>
    <t>A61K 9/0073 20130101;  A61P 11/06 20180101;  A61K 33/06 20130101;  A61K 31/19 20130101;  A61K 9/08 20130101;  A61P 11/00 20180101;  A61K 33/42 20130101</t>
  </si>
  <si>
    <t>A method for stimulating the synthesis of nasal nitric oxide and nasal     and lung surfactants to inhibit the docking and adhesion of viruses to     cellular receptors, including ACE2, to reduce viral replication,     duration, spread and severity of infections, and also to inhibit lung     fibrosis, increase the synthesis of serotonin to reduce coughing and     mouth breathing, reduce the cytokine storm produced by LI-6 caused by     viruses such as COVID-19 and flu in patients susceptible to these     infections, including patients with hypoxemia, asthma, chronic     obstructive pulmonary disease, cystic fibrosis, diabetics, interstitial     lung disease, pulmonary fibrosis, allergic rhinitis, sinusitis, smokers,     sleep apnea and lung cancer, which includes: contacting mammalian cells     with a therapeutically effective amount of a composition, said     composition including the following constituents: sodium pyruvate; a     phosphate; a salt of calcium; and a salt of magnesium.</t>
  </si>
  <si>
    <t>US20210005324</t>
  </si>
  <si>
    <t>METHODS AND SYSTEMS FOR A HEALTH MONITORING COMMAND CENTER AND WORKFORCE     ADVISOR</t>
  </si>
  <si>
    <t>17/023516</t>
  </si>
  <si>
    <t>HC1 INSIGHT LLC</t>
  </si>
  <si>
    <t>HC1 INSIGHT</t>
  </si>
  <si>
    <t>Bostic; Bradley A.; (Indianapolis, IN); Clarke; Charles J.; (Indianapolis, IN); Kennedy; Ryan C.; (Carmel, IN); Plantes; Peter J.; (Indianapolis, IN); Girard, JR.; Charles David; (Indianapolis, IN)</t>
  </si>
  <si>
    <t>A computerized method for healthcare data management generally includes     receiving a symptom report from an individual, and receiving, at a     healthcare data system computing device, continuous health information     including data related to an individual's health state and data related     to a health state of a population of patients; calculating, at the     healthcare data system computing device, a risk score, wherein the risk     score is based on at least the individual's symptom report, on data     related to an individual's health state, and on the health state of a     population of patients, wherein the population of patients share an     attribute with the individual; and sending, from the healthcare data     system computing device, a return-to-work recommendation to an entity     based at least in part on the calculated risk score.</t>
  </si>
  <si>
    <t>US20210004730</t>
  </si>
  <si>
    <t>PROGRAMMATICALLY ALLOCATING VENUE CAPACITY BASED ON DISTANCING     REQUIREMENTS</t>
  </si>
  <si>
    <t>17/024453</t>
  </si>
  <si>
    <t>KOSLU DOGAN</t>
  </si>
  <si>
    <t>Koslu; Dogan; (El Segundo, CA)</t>
  </si>
  <si>
    <t>Provided are methods, systems, and apparatuses for automatically     allocating physical units of a physical space. In example embodiments, an     allocation request is received from a first computing device. The     allocation request includes a physical space identifier, a physical unit     quantity, and a physical unit arrangement type. A plurality of possible     physical unit allocation subsets matching the allocation request are     retrieved from a physical space repository and based on a physical unit     allocation regulation associated with the physical space identifier. A     physical unit allocation interface including one or more of the possible     physical unit allocation subsets is transmitted to the first computing     device. Available physical units associated with the physical space     identifier are transformed in the physical space repository to     unavailable physical units. The unavailable physical units include first     physical units allocated for physical use by a physical being as well as     second physical units allocated to remain unused by physical beings     according to the physical unit allocation regulation.</t>
  </si>
  <si>
    <t>US20210003528</t>
  </si>
  <si>
    <t>HANDHELD SENSOR FOR RAPID, SENSITIVE DETECTION AND QUANTIFICATION OF     SARS-CoV-2 FROM SALIVA</t>
  </si>
  <si>
    <t>17/025664</t>
  </si>
  <si>
    <t>NATIONAL CHIAO TUNG UNIVERSITY</t>
  </si>
  <si>
    <t>Esquivel-Upshaw; Josephine F.; (Gainesville, FL); Ren; Fan; (Gainesville, FL); Pearton; Stephen J.; (Gainesville, FL); Ghivizzani; Steven Craig; (Gainesville, FL); Camargo; Samira Afonso; (Gainesville, FL); Fares; Chaker; (Gainesville, FL); Xian; Minghan; (Gainesville, FL); Carey; Patrick H.; (Gainesville, FL); Lin; Jenshan; (Gainesville, FL); Shan; Siang-Sin; (Hsinchu City, TW); Liao; Yu-Te; (Hsinchu City, TW); Lu; Shao-Yung; (Hsinchu City, TW)</t>
  </si>
  <si>
    <t>Various examples are provided for disposable medical sensors that can be     used for detection of SARS-CoV-2 antigen, cardiac troponin I, or other     biosensing applications. In one example, a medical sensing system     includes single-use disposable test strip comprising a functionalized     sensing area configured to detect SARS-CoV-2 antigen and a portable     sensing and readout device including pulse generation circuitry that can     generate synchronized gate and drain pulses for detection and     quantification of SARS-CoV-2 antigen in biological samples. In another     example, a method includes providing a saliva sample to a functionalized     sensing area configured to detect SARS-CoV-2 antigen, generating     synchronized gate and drain pulses for a transistor, the gate pulse     provided via electrodes of the functionalized sensing area, and sensing     an output of the transistor that is a function of a concentration of     SARS-CoV-2 antigen in the sample.</t>
  </si>
  <si>
    <t>US20210001339</t>
  </si>
  <si>
    <t>SYSTEM AND METHOD FOR DETECTION AND SORTING OF CELLS</t>
  </si>
  <si>
    <t>17/027253</t>
  </si>
  <si>
    <t>MICROSENSOR LABS, LLC</t>
  </si>
  <si>
    <t>MICROSENSOR LABS</t>
  </si>
  <si>
    <t>Liu; Peng; (Chicago, IL); Filatov; Zerikhun; (Chicago, IL)</t>
  </si>
  <si>
    <t>A system and method for detection of cells and sorting of cells are     disclosed. Target cells, such as circulating tumor cells (CTCs) or     antigen-specific antibody producing circulating memory B cells from     COVID-19 patients, may be of interest. Magnetic beads may be bound to the     target cells. After which, the bead-bound target cells may be identified     using an applied magnetic field. In one example, magnetic sensors may be     used to detect movement of the bead-bound target cells responsive to an     applied magnetic field. In another example, an optical sensor may be used     to detect movement of the bead-bound target cells responsive to an     applied magnetic field. Further, separate from identification of the     target cells, the bead-bound target cells may be sorted using an applied     magnetic field. In this way, a magnetic field may be used for target cell     identification and target cell sorting in order to detect and collect     target cells of interest at the single-cell resolution.</t>
  </si>
  <si>
    <t>US20210001157</t>
  </si>
  <si>
    <t>Personal Protective Face Shield for Preventing Biohazardous, Infectious or     Pathological Aerosol Exposure (COVID-19)</t>
  </si>
  <si>
    <t>16/921720</t>
  </si>
  <si>
    <t>Rashaud, Tarique Jibril; Goudeaux, Xavier Jibril</t>
  </si>
  <si>
    <t>RASHAUD TARIQUE</t>
  </si>
  <si>
    <t>Rashaud; Tarique Jibril; (Humble, TX); Goudeaux; Xavier Jibril; (Humble, TX)</t>
  </si>
  <si>
    <t>This novel face shield/window is designed to provide all the protective     qualities of traditional OSHA approved PPE face shields. Most critically,     however, it also facilitates the creation of a protective Dynamic Ingress     Barrier to prevent fine particles and bioaerosols from crossing the face     shield plane and transport them away from the often breached and     problematic periphery of mask/respirator protective zones. Integral to     this process, the novel design enhances a particle's flocculant     properties by disrupting the structural integrity of the corona virus     electrostatic double layer, and reducing its electrokinetic potential     before accelerating it into the airspace. Increasing its ability to     flocculate with active viral aerosols, and subsequently settle out of the     airspace for cleaning, or captive via a filter.</t>
  </si>
  <si>
    <t>US20210000942</t>
  </si>
  <si>
    <t>16/919943</t>
  </si>
  <si>
    <t>Disclosed herein are methods of forming compounds and exemplary compounds     in the nature of a conjugated compound, which in some embodiments     comprises an antigen and virus particle mixed in a conjugation reaction     to form a conjugate mixture, such that the conditions and steps of     forming these products allow for use of the conjugate mixture as a     vaccine, including but not limited to use as a vaccine against various     pathogens including for treatment of diseases caused by novel     coronaviruses (including SARS-COV 2).</t>
  </si>
  <si>
    <t>US20210000388</t>
  </si>
  <si>
    <t>MOTION POWERED WEARABLE DEVICES AND USES THEREOF IN HEALTH MONITORING</t>
  </si>
  <si>
    <t>16/913647</t>
  </si>
  <si>
    <t>Uddin; Mohammed Jasim; (Edinburg, TX); Chowdhury; Aminur Rashid; (Edinburg, TX); Romero; Ulises Vidaumi; (San Anotnio, TX)</t>
  </si>
  <si>
    <t>A health monitoring device is provided, and may be used in population     health monitoring and disease tracing, as well as for individual subject     health purposes. The health monitoring device comprises a triboelectric     nanogenerator (TENG) for generating and storing electrical energy from     mechanical activity of a user. The device provides a continuous and     uninterrupted stream of physiological data received at a surface of the     device in contact with a surface of the user. The triboelectric     nanogenerator is a paper-based device comprising a paper-based material     layer and a polydimethylsiloxane/polytetrafluoroethylene (PDMS/PTFE)     material layer, each on a copper film. The device has enhanced     sensitivity to motion, providing an improved device capable of converting     small amounts of movement into electrical energy, and of recording and     transmitting data of small physiological changes of a user to a receiver.     The device is lithium free, and eliminates the necessity of recharging.</t>
  </si>
  <si>
    <t>US20200407402</t>
  </si>
  <si>
    <t>17/019825</t>
  </si>
  <si>
    <t>A61P 31/14 20180101;  C12N 2770/20034 20130101;  A61K 2039/57 20130101;  C12N 7/00 20130101;  C12N 2770/20022 20130101;  A61K 2039/575 20130101;  C07K 14/005 20130101;  A61K 39/215 20130101</t>
  </si>
  <si>
    <t>US20200405844</t>
  </si>
  <si>
    <t>COMBINATION HPIV3/HMPV RNA VACCINES</t>
  </si>
  <si>
    <t>16/897734</t>
  </si>
  <si>
    <t>Ciaramella; Giuseppe; (Sudbury, MA); Himansu; Sunny; (Winchester, MA)</t>
  </si>
  <si>
    <t>Y02A 50/30 20180101;  A61K 39/155 20130101;  A61K 2039/55555 20130101;  A61K 2039/55511 20130101;  A61K 2039/6018 20130101;  C12N 2770/20034 20130101;  A61K 39/12 20130101;  C12N 2760/18334 20130101;  C07K 16/10 20130101;  A61K 39/215 20130101;  C12N 2760/18034 20130101;  A61P 11/00 20180101;  C07K 2317/76 20130101;  A61K 2039/53 20130101;  A61K 2039/70 20130101;  C12N 2760/18434 20130101;  C07K 16/1027 20130101;  C12N 2760/18534 20130101;  C12N 2760/18634 20130101</t>
  </si>
  <si>
    <t>The disclosure relates to respiratory virus ribonucleic acid (RNA)     vaccines and combination vaccines, as well as methods of using the     vaccines and compositions comprising the vaccines.</t>
  </si>
  <si>
    <t>US20200405829</t>
  </si>
  <si>
    <t>CIRCULAR STRAINED ZYMOGEN COMPOSITIONS AND METHODS OF USE</t>
  </si>
  <si>
    <t>16/913924</t>
  </si>
  <si>
    <t>Massachusetts Institute of Technology; Wisconsin Alumni Research Foundation</t>
  </si>
  <si>
    <t>MASSACHUSETTS INSTITUTE TECHNOLOGY; WISCONSIN ALUMNI RESEARCH FOUNDATION</t>
  </si>
  <si>
    <t>Raines; Ronald; (Cambridge, MA); Windsor; Ian; (Brighton, MA)</t>
  </si>
  <si>
    <t>A61K 38/55 20130101;  C12N 9/22 20130101</t>
  </si>
  <si>
    <t>Disclosed herein are circular zymogens of RNase 1 that have a proteolytic     cleavage site and are activated by a specific protease. These circular     zymogens are useful for treatment of disorders that are characterized by     a specific protease (e.g., HIV-1 protease).</t>
  </si>
  <si>
    <t>US20200402671</t>
  </si>
  <si>
    <t>SYSTEMS AND METHODS FOR DETERMINING, TRACKING, AND PREDICTING COMMON     INFECTIOUS ILLNESS OUTBREAKS</t>
  </si>
  <si>
    <t>17/010554</t>
  </si>
  <si>
    <t>KNOX SPENCER ASSOCIATES LLC</t>
  </si>
  <si>
    <t>KNOX SPENCER ASSOCIATES</t>
  </si>
  <si>
    <t>Shaw; Daniel F.; (Moon Township, PA)</t>
  </si>
  <si>
    <t>G16H 50/80 20180101</t>
  </si>
  <si>
    <t>Methods and systems for tracking common infectious illnesses and     disseminating information are disclosed. A computer-based method of     tracking a common infectious illness and disseminating information     regarding the common infectious illness to a plurality of users via one     or more of a mobile device and a user computing device includes receiving     data from one or more electronic sources; determining the common     infectious illness from the data; determining one or more of a location     and a frequency of the common infectious illness from the data; and     plotting information relating to the common infectious illness on a map.     The information includes a current severity of the common infectious     illness in a particular area and predicted trend of the severity of the     common infectious illness The method further includes providing, by the     processing device, the map to the plurality of users.</t>
  </si>
  <si>
    <t>US20200402669</t>
  </si>
  <si>
    <t>Proximity Tracing Methods and Systems</t>
  </si>
  <si>
    <t>17/010378</t>
  </si>
  <si>
    <t>Huang, Stuart Tin Fah</t>
  </si>
  <si>
    <t>HUANG STUART</t>
  </si>
  <si>
    <t>Huang; Stuart Tin Fah; (Honolulu, HI)</t>
  </si>
  <si>
    <t>G16H 50/30 20180101</t>
  </si>
  <si>
    <t>Infection control methods and systems associate proximity-detection     devices with people in a population, such as people in a hospital. Each     proximity-detection device detects proximity events with other people.     The methods and systems detect proximity events and, for person-to-person     pairs who were involved in such an event, records at least one risk value     as a measure of risk of an infectious agent having been transferred     between the pair. Upon indication of an infectious agent transfer to a     member of the population, a health worker may conduct an infection     control intervention on members of a subpopulation of people based on     detected proximity events and risk values. The method and system may be     extended to fomites. Correlations may be made over multiple infection     events.</t>
  </si>
  <si>
    <t>US20200401954</t>
  </si>
  <si>
    <t>16/900590</t>
  </si>
  <si>
    <t>G06F 16/906 20190101;  G06Q 10/02 20130101;  G06Q 10/04 20130101;  G06F 16/9035 20190101;  G06F 16/9017 20190101</t>
  </si>
  <si>
    <t>US20200400296</t>
  </si>
  <si>
    <t>Face Mask with UV Light and Light Effect Material</t>
  </si>
  <si>
    <t>17/013857</t>
  </si>
  <si>
    <t>RAPISARDA, CARMEN</t>
  </si>
  <si>
    <t>RAPISARDA CARMEN</t>
  </si>
  <si>
    <t>Rapisarda; Carmen; (Apple Valley, CA)</t>
  </si>
  <si>
    <t>F21V 23/0414 20130101;  F21W 2121/06 20130101;  H05B 47/10 20200101;  F21V 33/0008 20130101;  F21L 4/00 20130101;  F21V 23/005 20130101;  F21V 19/0025 20130101;  F21V 23/045 20130101;  A43B 3/001 20130101;  F21V 31/005 20130101;  H05B 47/12 20200101;  F21Y 2115/10 20160801</t>
  </si>
  <si>
    <t>Ultraviolet light from one or more LEDs is dispersed by a light effect     material containing a plurality of dispersive elements so as to create     dispersed UV light which disinfects air within a chamber formed by     UV-limiting material.</t>
  </si>
  <si>
    <t>US20200399939</t>
  </si>
  <si>
    <t>CONTACT-MINIMIZING DOOR OPENING AND CLOSING SYSTEM</t>
  </si>
  <si>
    <t>16/901768</t>
  </si>
  <si>
    <t>ZAFEIRAKIS, NIKOLAOS; ZAFEIRAKIS, ELENI</t>
  </si>
  <si>
    <t>ZAFEIRAKIS NIKOLAOS</t>
  </si>
  <si>
    <t>ZAFEIRAKIS; NIKOLAOS; (GLYFADA, GR); ZAFEIRAKIS; ELENI; (GLYFADA, GR)</t>
  </si>
  <si>
    <t>E05Y 2201/716 20130101;  E05B 2001/0076 20130101;  E05F 1/12 20130101;  E05Y 2201/702 20130101;  E05B 55/00 20130101;  E05C 1/12 20130101</t>
  </si>
  <si>
    <t>A contact-minimizing door opening and closing system for a door has a     handle including a shaft with an endplate disposed on the shaft opposite     the handle and a latch bolt including a pin positioned to contact the     endplate. The pin prevents movement of the handle when the latch bolt is     extended from a lock housing, and allows movement of the handle when the     latch bolt is retracted into the lock housing. An engaging and     disengaging mechanism couples the handle to a locking pin such that     movement of the handle is configured to operate the engaging and     disengaging mechanism to lock the door.</t>
  </si>
  <si>
    <t>US20200398015</t>
  </si>
  <si>
    <t>COMPENSATED SPLIT VENTILATOR CIRCUIT</t>
  </si>
  <si>
    <t>17/012639</t>
  </si>
  <si>
    <t>Lum; Chee Foo; (Bayan Lepas, MY); P'Ng; Hock Chye; (Tanjung Bungah, MY); Loo; Keng Leong; (George Town, MY); Stearns; Phil; (Colorado Springs, CO)</t>
  </si>
  <si>
    <t>A61M 16/204 20140204;  A61M 16/205 20140204;  A61M 16/107 20140204;  A61M 16/0833 20140204;  A61M 16/1065 20140204</t>
  </si>
  <si>
    <t>In response to the global shortages of medical ventilator due to     emergence of COVID-19 pandemic, the expansion of ventilator availability     can be realized by having a Compensated Split Ventilator Circuit fitted     into a mechanical ventilator. Hence, a single ventilator may be shared by     two patients simultaneously with moderately different lung resistances     and compliances. The Compensated Split Ventilator Circuit enables for     differential gas volume between two patients by adjusting the valves in     the inspiratory and expiratory circuits to control the optimized amount     of gas flow to each patient individually. Embodiments of the present     invention may be implemented using off-the-shelf medical-grade components     to ensure product durability and patient safety.</t>
  </si>
  <si>
    <t>US20200397936</t>
  </si>
  <si>
    <t>Systems and Methods For Internet-Of-Things (IOT) Robotic Sterilization     Device</t>
  </si>
  <si>
    <t>17/001587</t>
  </si>
  <si>
    <t>ATOM, INC.</t>
  </si>
  <si>
    <t>ATOM</t>
  </si>
  <si>
    <t>Deros; Yani; (Phoenix, AZ); Deros; Jodi; (Phoenix, AZ)</t>
  </si>
  <si>
    <t>B25J 9/1689 20130101;  G16Y 40/10 20200101;  A61L 2202/11 20130101;  F24F 11/58 20180101;  A61L 2/10 20130101;  A61L 2/24 20130101;  A61L 2202/16 20130101;  A61L 2202/14 20130101;  F24F 2003/1667 20130101;  F24F 3/16 20130101;  G05B 2219/2614 20130101;  G16Y 10/80 20200101;  G05B 19/042 20130101;  G05B 19/4155 20130101;  A61L 2202/15 20130101;  G16Y 10/60 20200101;  A61L 2101/20 20200801;  G05B 2219/50391 20130101;  A61L 2/22 20130101</t>
  </si>
  <si>
    <t>An internet-of-things (IOT) robotic sterilization system that operates     autonomously for use in the prevention of diseases, e.g., Coronavirus     Disease 2019 (COVID-19), caused by pathogens such as coronavirus     SARS-CoV-2 and other pathogens present within an interior space is     described. A robotic sterilization device is communicatively coupled to     the IOT base module via an IOT network, and includes a misting or fogging     system fluidically coupled to a liquid reservoir, a sensor module     including plurality of sensors, a controller, and a locomotion system.     The robotic sterilization device navigates a path within the interior     space while creating a disinfecting mist with the misting system, and may     coordinate with other IOT-connected devices, such as the HVAC system, UV     Vent sterilizers, scent dispensing appliances, and others to more     efficaciously sanitize the interior space to protect humans by     eliminating pathogens.</t>
  </si>
  <si>
    <t>US20200397795</t>
  </si>
  <si>
    <t>PROPHYLACTIC TREATMENT OF VENOUS THROMBOEMBOLISM</t>
  </si>
  <si>
    <t>16/907119</t>
  </si>
  <si>
    <t>Barnathan; Elliot Stephen; (Havertown, PA); Lipardi; Concetta; (Princeton, NJ)</t>
  </si>
  <si>
    <t>A61P 7/02 20180101;  A61K 9/0053 20130101;  A61K 31/5377 20130101</t>
  </si>
  <si>
    <t>Method of prophylactic treatment of acutely ill medical patients with     rivaroxaban to reduce venous thromboembolism (VTE) and VTE-related death     during hospitalization and post-hospital discharge.</t>
  </si>
  <si>
    <t>US20200397711</t>
  </si>
  <si>
    <t>MICROPARTICLE COMPOSITIONS FOR TREATMENT OF INFECTION OR DISEASE, METHODS     OF MAKING THE SAME, AND METHODS OF TREATING SUBJECTS WITH MICROPARTICLE     COMPOSITIONS</t>
  </si>
  <si>
    <t>16/908586</t>
  </si>
  <si>
    <t>LEE, Gregory Brian</t>
  </si>
  <si>
    <t>LEE GREGORY</t>
  </si>
  <si>
    <t>LEE; Gregory Brian; (Frederick, MD)</t>
  </si>
  <si>
    <t>A61K 9/1075 20130101;  A61K 9/127 20130101;  A61K 9/51 20130101;  A61K 45/06 20130101</t>
  </si>
  <si>
    <t>Provided are microparticle compositions, methods of making the     compositions, and methods of treating a subject with the present     microparticle compositions by administering an effective amount of the     microparticle composition for treating an infection or disease, to a     subject in need thereof. The present microparticle compositions may     include microparticles of essential oils, herbs, and/or supplements. By     way of non-limiting example, the microparticle compositions may be     particularly effective in the treatment of a Lyme tick borne illness     related infection or disease, or a coronavirus, such as COVID-19. Also     included are kits that include one or more of the present microparticle     compositions and/or one or more components of the present compositions,     and optionally one or more components, such as a device to aid in the     delivery of the composition and/or instructions for administration.</t>
  </si>
  <si>
    <t>US20200397306</t>
  </si>
  <si>
    <t>Detecting fever and intoxication from images and temperatures</t>
  </si>
  <si>
    <t>17/009655</t>
  </si>
  <si>
    <t>A61B 5/6803 20130101;  G01J 5/0265 20130101;  G01J 5/12 20130101;  A61B 5/0075 20130101;  A61B 5/015 20130101;  A61B 2562/0276 20130101;  A61B 2562/0271 20130101;  A61B 5/7282 20130101;  A61B 5/748 20130101;  A61B 5/0077 20130101;  G01J 2005/0077 20130101;  A61B 5/165 20130101;  A61B 5/6814 20130101;  G01J 2005/0085 20130101;  A61B 2576/00 20130101</t>
  </si>
  <si>
    <t>Described herein are embodiments of systems and methods that utilize     temperature measurements taken with head-mounted sensors as well as     images of a user's face to detect fever and/or intoxication. One     embodiment of a system to detect fever includes a first head-mounted     temperature sensor that measures skin temperature (T.sub.skin) at a first     region on a user's head, a second head-mounted temperature sensor that     measures a temperature of the environment (T.sub.env), and a computer.     The computer receives images of a second region on the user's face,     captured by a camera sensitive to wavelengths below 1050 nanometer, and     calculates, based on the images, values indicative of hemoglobin     concentrations at three or more regions on the user's face. The computer     can then detect whether the user has a fever based on T.sub.skin,     T.sub.env and the values.</t>
  </si>
  <si>
    <t>US20200394419</t>
  </si>
  <si>
    <t>INFORMATION PROCESSING METHOD, RECORDING MEDIUM, AND INFORMATION     PROCESSING SYSTEM</t>
  </si>
  <si>
    <t>17/005256</t>
  </si>
  <si>
    <t>TAKAYANAGI; TETSUYA; (Osaka, JP)</t>
  </si>
  <si>
    <t>G06K 9/00288 20130101;  G06T 7/70 20170101;  G16H 50/30 20180101;  G06T 7/00 20130101;  G06T 2207/30201 20130101;  G06K 9/00771 20130101;  H04M 11/00 20130101;  G16H 50/80 20180101;  G06F 9/542 20130101;  G06K 9/00362 20130101</t>
  </si>
  <si>
    <t>An information processing method includes obtaining image information     including a first image of a first person in a predetermined facility and     a second image of a second person in the predetermined facility;     classifying each of the first person and the second person as a resident     of the facility or a visitor to the facility, the first person being     classified as the resident, the second person being classified as the     visitor; calculating a distance between the first person and the second     person, based on the first image and the second image; determining     whether the first person and the second person are having a conversation     with each other, based on the calculated distance; measuring, when it is     determined that the first person and the second person are having a     conversation with each other, a conversation time during which the first     person and the second person are having a conversation with each other;     and transmitting, when the measured conversation time exceeds a     predetermined time, infection notification information indicating that a     risk of the first person contracting infectious disease is high to a     terminal apparatus.</t>
  </si>
  <si>
    <t>US20200391210</t>
  </si>
  <si>
    <t>SYSTEM AND METHOD FOR AUTOMATED SINGLE CELL PROCESSING AND ANALYSES</t>
  </si>
  <si>
    <t>16/890417</t>
  </si>
  <si>
    <t>CELSEE DIAGNOSTICS, INC.</t>
  </si>
  <si>
    <t>CELSEE DIAGNOSTICS</t>
  </si>
  <si>
    <t>Handique; Kalyan; (Ann Arbor, MI)</t>
  </si>
  <si>
    <t>B01L 2300/0829 20130101;  B01L 3/502746 20130101;  C12M 47/04 20130101;  G01N 1/4077 20130101;  B01L 3/502761 20130101;  B01L 2200/0652 20130101;  G01N 2015/1006 20130101;  B01L 2200/0668 20130101;  G01N 2015/149 20130101;  G01N 15/1484 20130101;  G01N 1/405 20130101;  B01L 3/502715 20130101;  C12Q 1/6888 20130101;  B01L 2300/0816 20130101;  C12Q 1/6813 20130101</t>
  </si>
  <si>
    <t>A system and method for automated single cell capture and processing is     described, where the system includes a deck supporting and positioning a     set of sample processing elements (including an integrated imaging     subsystem); a gantry for actuating tools for interactions with the set of     sample processing elements supported by the deck; and a base supporting     various processing subsystems and a control subsystems in communication     with the processing subsystems. The system can automatically execute     workflows associated with single cell processing, including antibody     detection, other protein detection, mRNA detection, and/or other     applications associated with spatial transcriptomics.</t>
  </si>
  <si>
    <t>US20200391197</t>
  </si>
  <si>
    <t>Polyiodide Resin Powder for Use with Medical Devices and Personal     Protective Equipment</t>
  </si>
  <si>
    <t>17/008341</t>
  </si>
  <si>
    <t>VALENCELL, INC.</t>
  </si>
  <si>
    <t>VALENCELL</t>
  </si>
  <si>
    <t>Rego; Albert; (Mission Viejo, CA); Detlor; Lynn R.; (Ramona, CA); Law; Aileen; (Denver, CO)</t>
  </si>
  <si>
    <t>A61L 2101/48 20200801;  A61M 16/14 20130101;  B01J 41/14 20130101;  A61L 2/0094 20130101;  A61L 2/232 20130101;  A61L 9/014 20130101;  A61K 9/16 20130101;  A41D 13/1192 20130101;  B01J 41/07 20170101;  A61L 2209/14 20130101;  A61K 33/18 20130101;  A61K 9/0073 20130101;  A61M 2205/0205 20130101</t>
  </si>
  <si>
    <t>Disclosed is a system and method of treatment which provides a direct     response to the treatment of pneumonia as related to infections using a     powder comprising a polyiodide resin with broad spectrum bactericidal,     fungicidal and virucidal properties. When the powder is applied directly     to the lungs of a mammal an immediate contact kill of protozoa, bacteria,     fungi and viruses that cause respiratory tract infections affecting the     lungs of a mammal takes place. Also disclosed is an application of the     polyiodide resin powder for use with personal protective equipment (PPE)     including but not limited to face masks, face shields, and respirators.</t>
  </si>
  <si>
    <t>US20200391045</t>
  </si>
  <si>
    <t>16/889799</t>
  </si>
  <si>
    <t>A61K 31/315 20130101;  A61K 31/197 20130101;  A61N 5/0613 20130101;  A61N 2005/073 20130101;  A61K 41/0057 20130101;  A61N 2005/0666 20130101;  A61K 33/34 20130101;  A61K 31/205 20130101;  A61K 33/00 20130101;  A61K 47/10 20130101;  A61N 2005/0659 20130101;  A61K 47/12 20130101;  A61K 38/06 20130101;  A61N 5/062 20130101</t>
  </si>
  <si>
    <t>US20200390650</t>
  </si>
  <si>
    <t>17/005074</t>
  </si>
  <si>
    <t>A61H 39/04 20130101;  A61H 2201/501 20130101;  A61H 39/086 20130101;  A61H 2201/5048 20130101;  A61H 39/002 20130101;  A61H 23/0236 20130101</t>
  </si>
  <si>
    <t>US20200390337</t>
  </si>
  <si>
    <t>Detecting fever and intoxication from video images and a baseline</t>
  </si>
  <si>
    <t>17/005259</t>
  </si>
  <si>
    <t>A61B 5/015 20130101;  A61B 5/0075 20130101;  A61B 5/7282 20130101;  A61B 2562/0271 20130101;  A61B 5/748 20130101;  A61B 5/0077 20130101;  G01J 2005/0077 20130101;  A61B 5/6814 20130101;  A61B 5/6803 20130101;  A61B 5/165 20130101;  G01J 2005/0085 20130101;  G01J 5/0265 20130101;  A61B 2576/00 20130101;  G01J 5/12 20130101;  A61B 2562/0276 20130101</t>
  </si>
  <si>
    <t>Described herein are embodiments of systems and methods that utilize     images of a user's face to detect fever and intoxication. One embodiment     of a system to detect fever includes first and second inward-facing     head-mounted cameras that are located less than 5 cm from a user's face,     are sensitive to wavelengths below 1050 nanometer, and are configured to     capture images of respective first and second regions on the user's face.     The system also includes a computer that calculates, based on baseline     images captured with the cameras while the user did not have a fever, a     baseline pattern of hemoglobin concentrations at regions on the face. The     computer also calculates, based on a current set of images captured with     the cameras, a current pattern of hemoglobin concentrations at the     regions, and detects whether the user has a fever based on a deviation of     the current pattern from the baseline pattern.</t>
  </si>
  <si>
    <t>US20200390177</t>
  </si>
  <si>
    <t>HEADWEAR WITH INTEGRATED FACECOVER</t>
  </si>
  <si>
    <t>16/943611</t>
  </si>
  <si>
    <t>Garmon, Corey Michael</t>
  </si>
  <si>
    <t>GARMON COREY</t>
  </si>
  <si>
    <t>Garmon; Corey Michael; (Winthrop, WA)</t>
  </si>
  <si>
    <t>A41D 13/1161 20130101;  A42B 1/04 20130101</t>
  </si>
  <si>
    <t>A baseball cap is provided. The baseball cap has a face cover stored in a     pocket in a stowed-away state. The pocket is along with periphery of the     baseball cap. In a deployed state, the face cover can be pulled down by a     user of the baseball hat to cover his face.</t>
  </si>
  <si>
    <t>US20200386766</t>
  </si>
  <si>
    <t>METABOLIC SIGNATURES ASSOCIATED WITH DIAGNOSIS, DISEASE PROGRESSION, AND     IMMUNOLOGICAL RESPONSE TO TREATMENT OF PATIENTS WITH COVID-19</t>
  </si>
  <si>
    <t>16/921113</t>
  </si>
  <si>
    <t>METABOLOMYCS, INC</t>
  </si>
  <si>
    <t>METABOLOMYCS</t>
  </si>
  <si>
    <t>Nagourney; Robert; (Long Beach, CA); Silva; Ismael; (Sau Paulo, BR); D'Amora; Paulo; (San Paulo, BR)</t>
  </si>
  <si>
    <t>G01N 33/6812 20130101;  G01N 33/569 20130101;  G01N 33/56983 20130101;  G01N 2333/165 20130101</t>
  </si>
  <si>
    <t>A system and method for using new biomarkers to assess individual     diseases, including, but not limited to, a patient's prognosis before     and/or after being diagnosed with the disease. In one embodiment of the     present invention, absolute quantification of annotated metabolites by     mass spectrometry is used to identify certain biomarkers and derivatives     thereof (i.e., signatures), which are then used to screen for, diagnose,     predict, prognose, and/or treat various diseases, including, but not     limited to, COVID-19.</t>
  </si>
  <si>
    <t>US20200385613</t>
  </si>
  <si>
    <t>HANDLE COVERS AND HANDLES WITH BIOACTIVE SURFACE COATINGS</t>
  </si>
  <si>
    <t>16/879014</t>
  </si>
  <si>
    <t>C09J 7/29 20180101;  C09J 11/04 20130101;  B32B 7/12 20130101;  A01N 59/20 20130101;  A01N 59/16 20130101;  A61L 2101/02 20200801;  B32B 2307/412 20130101;  C09J 2423/005 20130101;  A01N 59/00 20130101;  B32B 27/40 20130101;  B32B 2307/7145 20130101;  C09J 2423/008 20130101;  C09J 2301/162 20200801;  B32B 2405/00 20130101;  C09J 2400/163 20130101;  C09J 2301/41 20200801;  A61L 2/232 20130101;  C09J 2475/006 20130101;  B32B 7/06 20130101;  C09J 7/405 20180101;  B32B 27/18 20130101</t>
  </si>
  <si>
    <t>Certain embodiments described herein are directed to handle covers that     can reversibly couple to a handle. In some examples, the handle cover     comprises a bioactive material that can kill or inactivate bioorganisms.     The bioactive material can be a photocatalyst and may also comprise one     or more transition metals. Methods of using the handle covers and handles     to reduce spread of infections are also described.</t>
  </si>
  <si>
    <t>US20200384730</t>
  </si>
  <si>
    <t>BUTTON COVERS AND BUTTONS WITH BIOACTIVE MATERIALS</t>
  </si>
  <si>
    <t>16/878988</t>
  </si>
  <si>
    <t>B32B 27/18 20130101;  B32B 27/32 20130101;  B32B 7/12 20130101;  B32B 2307/412 20130101;  B32B 27/40 20130101;  B32B 2307/7145 20130101;  C09J 7/40 20180101;  B32B 3/26 20130101;  C08K 3/22 20130101;  C08K 9/02 20130101;  B66B 1/52 20130101;  C08K 2003/2241 20130101;  B32B 7/06 20130101</t>
  </si>
  <si>
    <t>Certain embodiments described herein are directed to button covers that     can reversibly couple to a button. In some examples, the button cover     comprises a bioactive material that can kill or inactivate bioorganisms.     The bioactive material can be a photocatalyst and/or may comprise one or     more transition metals. The button may be present in an elevator, on an     ATM machine, on a touchpad or on other devices. Methods of using the     buttons covers and buttons to reduce or prevent infections are also     described.</t>
  </si>
  <si>
    <t>US20200384034</t>
  </si>
  <si>
    <t>METHODS FOR ATTENUATING VIRAL INFECTION AND FOR TREATING LUNG INJURY</t>
  </si>
  <si>
    <t>16/893306</t>
  </si>
  <si>
    <t>SPIRITUS THERAPEUTICS, INC.</t>
  </si>
  <si>
    <t>SPIRITUS THERAPEUTICS</t>
  </si>
  <si>
    <t>Glassberg Csete; Marilyn; (Miami, FL); Gurney; Jodi; (New York, NY)</t>
  </si>
  <si>
    <t>C12N 15/113 20130101;  A61K 45/06 20130101;  A61K 35/28 20130101;  A61P 11/00 20180101;  A61K 35/17 20130101;  A61K 9/127 20130101;  A61K 9/0073 20130101</t>
  </si>
  <si>
    <t>The described invention provides compositions and methods for treating a     susceptible subject at risk of pulmonary complications of an acute lung     injury caused by a severe infection with a respiratory virus and for     restoring lung function to donor lungs. The methods include administering     a therapeutic amount of a pharmaceutical composition comprising     extracellular vesicles (EVs) comprising one or more miRNAs and a     pharmaceutically acceptable carrier. The population of EVs can be derived     from a patient who has recovered from an infection with the respiratory     virus or has been exposed to anti-viral antibodies through treatment, can     be derived from MSCs of a normal healthy individual, can be modified by a     viral vector, or can be synthetic.</t>
  </si>
  <si>
    <t>US20200384016</t>
  </si>
  <si>
    <t>16/925740</t>
  </si>
  <si>
    <t>A61K 33/18 20130101;  A61K 9/0043 20130101;  A61K 9/127 20130101;  A61K 47/32 20130101;  A61K 9/08 20130101</t>
  </si>
  <si>
    <t>US20200383323</t>
  </si>
  <si>
    <t>ELECTRONIC DEVICE SCREEN COVERS AND ELECTRONIC DEVICES WITH BIOACTIVE     MATERIALS</t>
  </si>
  <si>
    <t>16/878996</t>
  </si>
  <si>
    <t>Sisson, Mark; Hackemeyer, Dennis</t>
  </si>
  <si>
    <t>SISSON MARK</t>
  </si>
  <si>
    <t>Sisson; Mark; (Forest, VA); Hackemeyer; Dennis; (Forest, VA)</t>
  </si>
  <si>
    <t>B32B 27/32 20130101;  C09J 9/00 20130101;  B32B 7/12 20130101;  B32B 2457/208 20130101;  A61B 2050/0065 20160201;  A01N 59/16 20130101;  A01N 59/00 20130101;  B32B 2307/412 20130101;  B32B 27/40 20130101;  B32B 27/20 20130101;  H04B 1/3827 20130101;  G06F 1/1637 20130101;  A01N 25/10 20130101;  C09J 7/25 20180101;  A61B 2050/002 20160201;  C09J 2475/006 20130101;  B32B 27/08 20130101;  A61B 50/00 20160201;  C09J 2301/16 20200801;  B32B 2255/10 20130101;  C09J 11/04 20130101;  A01N 59/20 20130101</t>
  </si>
  <si>
    <t>Certain embodiments described herein are directed to electronic device     screen covers that include one more bioactive materials. In some     embodiments, the electronic device screen covers can be used with     capacitive touch screens on electronic devices such as cellular phones,     tablets, laptops, kiosk displays or other electronic devices that include     screens. Methods of using the screen covers and screens to reduce spread     of infections are also described.</t>
  </si>
  <si>
    <t>US20200380427</t>
  </si>
  <si>
    <t>SPORTS AND CONCERT EVENT TICKET PRICING AND VISUALIZATION SYSTEM WITH     SOCIAL DISTANCING</t>
  </si>
  <si>
    <t>16/852289</t>
  </si>
  <si>
    <t>SIGNATURE BRANDS, LLC</t>
  </si>
  <si>
    <t>SIGNATURE BRANDS</t>
  </si>
  <si>
    <t>SUNSHINE; Steven A.; (Pasadena, CA); GOODMAN; Rod; (Long Beach, CA); ARYA; Michael; (Pasadena, CA); CHU; Larry; (Van Nuys, CA); RIPBERGER; Michael; (Venice, CA)</t>
  </si>
  <si>
    <t>G06Q 30/0206 20130101;  G06Q 10/02 20130101;  G06Q 30/0202 20130101;  G06Q 30/02 20130101;  G06Q 30/0283 20130101;  G06Q 10/04 20130101;  G06Q 50/00 20130101;  G06Q 30/0601 20130101</t>
  </si>
  <si>
    <t>A system and method for arranging the sale of tickets to achieve a social     distance between participates within a venue.</t>
  </si>
  <si>
    <t>US20200380178</t>
  </si>
  <si>
    <t>16/935857</t>
  </si>
  <si>
    <t>G06T 17/05 20130101;  G01S 19/01 20130101;  G01S 19/48 20130101;  G06T 19/006 20130101;  G06F 30/13 20200101;  G06Q 99/00 20130101</t>
  </si>
  <si>
    <t>Methods and apparatus for electronically quantifying conditions of a     person and an environment containing the person, as well as a sequence of     positions occupied by the person and a direction the person faced at     those positions. Wireless communications track a series of positions over     time and provide user interfaces indicating where a person has been and     who the person has come within a minimum distance of. In addition,     sensors provide ongoing evaluation of a condition of the person, such as     a body temperature and heartrate which may trigger an alarm state if the     body temperature rises above a specified value. Ongoing environmental     conditions may also be quantified and presented in the user interface.</t>
  </si>
  <si>
    <t>US20200377617</t>
  </si>
  <si>
    <t>COMPOSITIONS AND METHODS FOR DETECTION AND MEASUREMENT OF RNA     MODIFICATIONS THROUGH TARGETED RNA EDITING</t>
  </si>
  <si>
    <t>16/886037</t>
  </si>
  <si>
    <t>Meyer; Kathryn; (Durham, NC)</t>
  </si>
  <si>
    <t>C12N 9/78 20130101;  C12Q 1/686 20130101;  C12Y 305/04005 20130101;  C12Q 2600/154 20130101;  C12Q 1/6876 20130101;  C07K 16/44 20130101;  C12Y 305/04004 20130101;  C07K 2319/30 20130101</t>
  </si>
  <si>
    <t>Provided herein are compositions and methods for detection of     N.sup.6-methyladenosine (m.sup.6A) in ribonucleic acid (RNA). The     provided compositions include fusion proteins that can be used to edit     RNA and detect m6A residues. Also provided are nucleic acids, vectors,     constructs, host cells, and transgenic animals that encode or express     such fusions proteins.</t>
  </si>
  <si>
    <t>US20200376494</t>
  </si>
  <si>
    <t>PORTABLE DEVICES AND METHODS FOR ANALYZING SAMPLES</t>
  </si>
  <si>
    <t>16/899810</t>
  </si>
  <si>
    <t>DeJohn; Marc Dominic; (Philadelphia, PA); Welsh; Tom; (Philadelphia, PA); Gary; Luke; (Philadelphia, PA)</t>
  </si>
  <si>
    <t>G01N 2201/0221 20130101;  B01L 3/50851 20130101;  B01L 2400/0442 20130101;  G01N 21/645 20130101;  B01L 2300/1861 20130101;  B01L 7/52 20130101;  C12Q 1/686 20130101;  B01L 2200/16 20130101;  B01L 2300/023 20130101;  B01L 1/52 20190801</t>
  </si>
  <si>
    <t>The present disclosure provides devices, systems, methods for processing     and/or analyzing a biological sample. An analytic device for processing     and/or analyzing a biological sample may comprise a moving carriage. The     analytic device may be portable. The analytic device may receive     instructions for performing an assay from a mobile electronic device     external to a housing of the analytic device.</t>
  </si>
  <si>
    <t>US20200376305</t>
  </si>
  <si>
    <t>16/933935</t>
  </si>
  <si>
    <t>Lang; Noah; (Lexington, MA)</t>
  </si>
  <si>
    <t>A62B 9/02 20130101;  A62B 7/10 20130101;  A41D 13/11 20130101;  A62B 18/025 20130101;  A62B 23/02 20130101;  A62B 18/006 20130101</t>
  </si>
  <si>
    <t>US20200376213</t>
  </si>
  <si>
    <t>MINIATURE AIR FILTRATION ASSEMBLY FOR A MEDICAL FIELD</t>
  </si>
  <si>
    <t>17/001450</t>
  </si>
  <si>
    <t>EFK CONSULTING INC</t>
  </si>
  <si>
    <t>EFK CONSULTING</t>
  </si>
  <si>
    <t>He; Kongyuan; (Encino, CA); Xu; Kanru; (Encino, CA)</t>
  </si>
  <si>
    <t>A61M 2205/8206 20130101;  A61M 2205/7509 20130101;  A61M 16/105 20130101;  A61M 16/0009 20140204;  A61M 2202/0208 20130101;  A61M 16/06 20130101</t>
  </si>
  <si>
    <t>The present invention is directed to an assembly and method of use     thereof for reducing microbial load in an airway of a patient. The     assembly includes a miniature vacuum unit. The miniature vacuum unit     includes a housing, at least one air inlet configured in the housing for     air intake; a vacuum motor for sucking the air through the at least one     air inlet; vents configured in the housing for blowing the sucked air out     of the housing, a filter media covering inner side of the vents, such as     the sucked air passes through the filter media, the filter media     configured to retain microbes suspended in the sucked air; and at least     one suction tube. The suction tube is having a proximal end and a distal     end, the proximal end of the at least one suction tube configured to     sealably and releasably coupled to the at least one air inlet, a     plurality of apertures configured in the wall of the suction tube near     its distal end. The suction tube configured to be positioned within the     mouth of the patient.</t>
  </si>
  <si>
    <t>US20200376094</t>
  </si>
  <si>
    <t>WIDE-SPECTRUM ANTIBACTERIAL PHARMACEUTICAL FORMULATIONS COMPRISING     LYSOZYME AND METHODS OF USING THE SAME</t>
  </si>
  <si>
    <t>16/885537</t>
  </si>
  <si>
    <t>AYBAR ECOTECHNOLOGIES CORP.</t>
  </si>
  <si>
    <t>AYBAR ECOTECHNOLOGIES</t>
  </si>
  <si>
    <t>AYBAR-BATISTA; Diogenes; (Santo Domingo, DO)</t>
  </si>
  <si>
    <t>A61K 47/183 20130101;  A61K 38/47 20130101;  A61K 9/0019 20130101;  A61K 47/02 20130101;  A61K 9/0078 20130101;  A61K 9/0056 20130101</t>
  </si>
  <si>
    <t>A wide-spectrum antibacterial pharmaceutical formulation comprising     lysozyme and methods of treatment to prevent or cure diseases of     bacterial etiology. Excipients provided in the pharmaceutical formulation     comprising lysozyme enhance the stability and efficacy of lysozyme for     treating bacterial infections in a mammal. The pharmaceutical formulation     comprising lysozyme does not produce harmful secondary effects on tissues     or organs during prolonged treatment. The formulation can be used to     treat bacterial infections of the skin, mucosal regions, and administered     into the blood stream of a patient, including respiratory infections. The     formulation is useful in treating bacterial infections, including those     that occur along with viral infections, particularly viral infections     with a respiratory component, including COVID-19.</t>
  </si>
  <si>
    <t>US20200376014</t>
  </si>
  <si>
    <t>METHODS OF TREATING FELINE CORONAVIRUS INFECTIONS</t>
  </si>
  <si>
    <t>16/852102</t>
  </si>
  <si>
    <t>Perron; Michel Joseph; (Morgan Hill, CA); Pedersen; Niels C.; (Oakland, CA)</t>
  </si>
  <si>
    <t>A61P 31/12 20180101;  A61K 31/706 20130101;  A61P 31/14 20180101</t>
  </si>
  <si>
    <t>Provided are methods of treating feline Coronavirus infections comprising     administering a therapeutically effective amount of a compound of     Compound 1 to Compound 9, or a pharmaceutically acceptable salt thereof.</t>
  </si>
  <si>
    <t>US20200373018</t>
  </si>
  <si>
    <t>METHOD OF DIAGNOSING PATHOGENESIS OF VIRAL INFECTION FOR EPIDEMIC     PREVENTION</t>
  </si>
  <si>
    <t>16/895449</t>
  </si>
  <si>
    <t>YEDA RESEARCH AND DEVELOPMENT CO., LTD</t>
  </si>
  <si>
    <t>YEDA RESEARCH</t>
  </si>
  <si>
    <t>SEGAL; Eran; (Ramat-HaSharon, IL)</t>
  </si>
  <si>
    <t>G16H 50/80 20180101;  G16H 50/70 20180101;  G16H 50/30 20180101;  G16H 10/20 20180101</t>
  </si>
  <si>
    <t>There is provided a method of diagnosing pathogenesis of viral infections     for epidemic prevention, comprising: receiving a geographic location and     responses to a questionnaire provided to undiagnosed persons, in each of     iteration: inputting a first subset of answers and the geographical     location of one of the undiagnosed persons into a geographic-level ML     model component trained on a first training dataset including, for each     subject: the first subset of answers, an indication of a certain     geographic zone, and a label indicative of whether the respective subject     is diagnosed or undiagnosed with the viral disease, inputting a second     subset of the answers to a human-level ML model component trained on a     second training dataset including, for each subject, the second subset of     answers, and the label, and combining the outcome from the ML model     components to calculate a combined likelihood of the respective     undiagnosed person to be diagnosed with the viral disease.</t>
  </si>
  <si>
    <t>US20200372743</t>
  </si>
  <si>
    <t>FACE BASED DOOR ENTRY</t>
  </si>
  <si>
    <t>16/879097</t>
  </si>
  <si>
    <t>POPID INC</t>
  </si>
  <si>
    <t>POPID</t>
  </si>
  <si>
    <t>Miller; John; (Santa Monica, CA); Olson; Sean; (Diamond Bar, CA)</t>
  </si>
  <si>
    <t>G06T 2200/24 20130101;  G06K 9/00295 20130101;  G07C 9/27 20200101;  G07C 9/257 20200101;  G06K 2009/00939 20130101;  G06T 2207/30201 20130101;  G06Q 20/208 20130101;  H04L 9/3271 20130101;  G06K 9/00335 20130101;  G06Q 10/02 20130101;  G06K 9/00885 20130101;  G06T 2207/10048 20130101;  G06T 7/74 20170101</t>
  </si>
  <si>
    <t>In some embodiments, a system for regulating a digital door lock based on     facial recognition includes a graphical user interface, an optical     camera, communication circuitry, and processing circuitry configured to     receive a signal corresponding to an image of the face of an individual     captured by the optical camera. The processing circuitry may determine an     identity of the individual based on the image of the face and determine     whether or not to instruct the digital door lock to unlock or cause the     interface to display instructions for the individual to access reserved     goods or services based on the identity the individual. In any     embodiments, a system may include a temperature sensor or other     physiological parameter sensor to enable the processing circuitry to     determine whether to unlock a door or provide access to goods or services     based on the individual's health status, which may include a body     temperature and/or other parameter.</t>
  </si>
  <si>
    <t>US20200370037</t>
  </si>
  <si>
    <t>SAMPLE EXTRACTION AND PREPARATION DEVICE</t>
  </si>
  <si>
    <t>16/898865</t>
  </si>
  <si>
    <t>DeJOHN; Marc Dominic; (Philadelphia, PA); vanWestrienen; Jesse Wilson; (Philadelphia, PA)</t>
  </si>
  <si>
    <t>B01L 2400/049 20130101;  B01L 2400/0478 20130101;  B01L 2200/0631 20130101;  B01L 3/502 20130101;  B01L 2300/0681 20130101;  B01L 3/0217 20130101;  C12N 15/1017 20130101</t>
  </si>
  <si>
    <t>A fluid sample extraction device is disclosed comprising a housing     defining an internal fluid passage having a distal open end and a     proximal open end and a porous medium within the fluid passage, between     the distal open end and proximal open end. The porous medium, which may     be glass, is configured to allow fluid flow in the fluid passage to flow     around the porous medium, toward the proximal open end of the housing,     when fluid is drawn from the distal open end toward the proximal open     end, and to allow fluid in the fluid passage to flow toward the distal     open end of the housing, through the porous medium when the fluid is     forced toward the distal open end. The porous medium is also configured     to capture nucleic acids in the porous medium from the fluid when fluid     is forced through the porous medium. Devices and kits are also disclosed.</t>
  </si>
  <si>
    <t>US20200369538</t>
  </si>
  <si>
    <t>Copper Foam for Water Purification</t>
  </si>
  <si>
    <t>16/880941</t>
  </si>
  <si>
    <t>CELLMO MATERIALS INNOVATION, INC.</t>
  </si>
  <si>
    <t>CELLMO MATERIALS INNOVATION</t>
  </si>
  <si>
    <t>Park; Hyeji; (Seoul, KR); Park; Junhyeong; (Gyeonggi-do, KR); Rhee; Kendrick Hanjun; (Danville, CA); Choe; Heeman; (Walnut Creek, CA)</t>
  </si>
  <si>
    <t>B01D 2239/1216 20130101;  B01D 2239/10 20130101;  C02F 2303/04 20130101;  C02F 1/001 20130101;  B01D 2239/1208 20130101;  C02F 1/505 20130101;  B01D 39/2051 20130101</t>
  </si>
  <si>
    <t>A metal foam, such as copper metal foam, is used for water filtration and     purification. A method is used to manufacture a new water purification     device with the capability of killing bacteria and viruses using three     dimensionally connected copper foam filter consisting of random or     elongated channel pores and large surface area, thereby increasing the     copper surface area in contact with contaminated water drops and     purifying them. The copper foam water filter has pores on the order of     several to tens of micrometers and porosity ranging from 50 percent to 75     percent to properly control the water filtration time and the contact     time between the copper foam pore surface and water drops during     filtration.</t>
  </si>
  <si>
    <t>US20200368194</t>
  </si>
  <si>
    <t>AMINO ACID COMPOSITIONS FOR THE TREATMENT OF SYMPTOMS OF DISEASE</t>
  </si>
  <si>
    <t>16/987507</t>
  </si>
  <si>
    <t>ENTRINSIC, INC.</t>
  </si>
  <si>
    <t>ENTRINSIC</t>
  </si>
  <si>
    <t>VIDYASAGAR; Sadasivan; (Gainesville, FL); GATTO; Stephen J.; (Norwood, MA); DENNISON; Daniel B.; (Tallahassee, FL)</t>
  </si>
  <si>
    <t>A61K 31/00 20130101;  A61K 31/197 20130101;  A61K 31/405 20130101;  A61K 31/198 20130101</t>
  </si>
  <si>
    <t>The subject invention provides therapeutic compositions, and uses thereof     for the treatment or amelioration of symptoms of a disease selected from     the group consisting of: Ebola virus infection, HIV infection, ataxia,     environmental enteropathy, cancer, hangover, inflammatory disease, and     porcine epidemic diarrhea. In preferred embodiments, the composition     includes a combination of one or more amino acids selected from the group     comprising lysine, aspartic acid, glycine, isoleucine, threonine,     tyrosine, valine, tryptophan, asparagine and/or serine.</t>
  </si>
  <si>
    <t>US20200367761</t>
  </si>
  <si>
    <t>PORTABLE DEVICE FOR QUANTITATIVE MEASUREMENT OF TISSUE AUTOREGULATION AND     NEUROVASCULAR COUPLING USING EEG, METABOLISM, AND BLOOD FLOW DIAGNOSTICS</t>
  </si>
  <si>
    <t>16/985113</t>
  </si>
  <si>
    <t>Akbari; Yama; (Irvine, CA); Wilson; Robert H.; (Irvine, CA); Crouzet; Christian; (Irvine, CA); Milner; Thomas; (Irvine, CA); Choi; Bernard; (Irvine, CA)</t>
  </si>
  <si>
    <t>A61N 2005/0643 20130101;  A61N 1/36025 20130101;  A61B 5/0261 20130101;  A61B 5/14553 20130101;  A61B 5/02028 20130101;  A61B 5/6814 20130101;  A61N 2/006 20130101;  A61B 5/4875 20130101;  A61B 5/0205 20130101;  A61B 5/0476 20130101;  A61B 5/14546 20130101;  A61B 5/4866 20130101;  A61B 5/4836 20130101;  A61N 5/0622 20130101;  A61B 5/6841 20130101</t>
  </si>
  <si>
    <t>The present invention is directed to a portable device for quantitative     measurement of tissue autoregulation and neurovascular coupling via     portable measurement of blood flow, oxygenation, metabolism, and/or EEG     signals and methods for using said device. The device may comprise a body     and a plurality of legs pivotably attached to the body. The plurality of     legs may comprise at least one reference electrode leg and at least one     measurement electrode leg for electrical measurement, and an optical     detection fiber leg and at least one optical source fiber leg for optical     blood flow, oxygenation, and metabolism measurement. The present     invention is additionally directed to a portable device for blood flow     measurement and therapeutic photobiomodulation. The device may comprise a     body and a plurality of legs. The plurality of legs may comprise at least     one optical detection fiber leg and at least one optical source fiber     leg, and at least one leg for therapeutic photobiomodulation.</t>
  </si>
  <si>
    <t>US20200367334</t>
  </si>
  <si>
    <t>FEEDBACK CONTROL OF LIGHT EMITTING DEVICES USING FLUORESCENT COMPONENTS     AND LIGHT SENSORS</t>
  </si>
  <si>
    <t>16/875861</t>
  </si>
  <si>
    <t>GLOWCZWSKI, ALAN</t>
  </si>
  <si>
    <t>GLOWCZWSKI ALAN</t>
  </si>
  <si>
    <t>GLOWCZWSKI; Alan; (College Station, TX)</t>
  </si>
  <si>
    <t>A61L 2/0052 20130101;  A61L 2300/404 20130101;  A61L 15/42 20130101;  H05B 45/12 20200101;  A61L 2202/11 20130101;  H05B 45/325 20200101</t>
  </si>
  <si>
    <t>A method of controlling application of a dose of light energy for     treatment to disinfect an area includes causing the dose of light energy     to be emitted from at least one light emitting device, receiving a     wavelength and intensity of light emitted from a fluorescent component     within the area being disinfected by the dose of light energy, and     adjusting at least one of a current, a voltage, a pulse width, and a     pulse frequency applied to the at least one light emitting device based     on the received wavelength and intensity of the light emitted from the     fluorescent component.</t>
  </si>
  <si>
    <t>US20200365002</t>
  </si>
  <si>
    <t>CROWD MANAGEMENT IN AN ENCLOSED PREMISES</t>
  </si>
  <si>
    <t>16/945893</t>
  </si>
  <si>
    <t>Modiano, Paul Edward Moshe</t>
  </si>
  <si>
    <t>MODIANO PAUL</t>
  </si>
  <si>
    <t>Modiano; Paul Edward Moshe; (Montclair, NJ)</t>
  </si>
  <si>
    <t>G08B 21/0476 20130101;  G07C 9/10 20200101;  A61B 5/015 20130101;  G08B 3/10 20130101;  A61B 5/6887 20130101;  G06K 9/00778 20130101;  G08B 21/245 20130101;  A61B 5/7405 20130101;  G06K 9/00281 20130101</t>
  </si>
  <si>
    <t>The present invention is directed to a system and method for automating     crowd management in an enclosed premises. The system comprises an     entrance sensor provided at the entry gate, an exit sensor provided at     the exit gate, wherein the entrance sensor is configured to detect entry     of a person through the entry gate, and the exit sensor is configured to     detect exit of a person through the exit. The system further includes a     control unit connected to the entrance sensor and the exit sensor. The     control unit can keep a tally of the persons present inside the enclosed     premises at a given time based on the difference between the persons     entered and left the enclosed premises. The system also comprises a     plurality of cameras installed in the enclosed premises and at the entry     gate, wherein the plurality of cameras is coupled to the control unit.     The control unit can analyze the images captured by the plurality of     cameras using machine learning algorithms to extract one or more     features, the one or more features including the persons wearing the     facemask, and distances between adjacent persons.</t>
  </si>
  <si>
    <t>US20200362052</t>
  </si>
  <si>
    <t>COMPOSITIONS AND METHODS FOR TREATING TOLL-LIKE RECEPTOR-DRIVEN     INFLAMMATORY DISEASES</t>
  </si>
  <si>
    <t>16/986063</t>
  </si>
  <si>
    <t>SOUVIE BIODELIVERY, LLC</t>
  </si>
  <si>
    <t>SOUVIE BIODELIVERY</t>
  </si>
  <si>
    <t>Tachado; Souvenir; (Tucson, AZ)</t>
  </si>
  <si>
    <t>A61K 38/00 20130101;  C07K 2319/30 20130101;  C07K 16/2896 20130101;  A61P 29/00 20180101;  C07K 14/70596 20130101</t>
  </si>
  <si>
    <t>Many disorders wherein inflammation is a hallmark such as rheumatoid     arthritis, sepsis, or cancer, are chronic and impose a significant burden     on family and society due to their high morbidity and mortality. Each     year the United States government spends $2.6T to treat chronic     Inflammatory diseases, which are linked to 70% of the deaths every year.     Protein therapeutics, such as anti-TNF.alpha. antibodies that selectively     block the TNF.alpha. cascade, have become the mainstay therapy for the     management of chronic inflammatory diseases. Despite the promise of these     early studies, concerns about the side effects of these protein drugs,     including induction of auto-antibodies and immuno-suppression, may limit     the applications to disease treatments. Thus, there is a need to develop     new drugs and delivery systems for the prevention and treatment of     inflammatory diseases. The present invention relates to extracellular     vesicle composition, system, and methods for treating Toll-like     receptor-driven inflammatory disease.</t>
  </si>
  <si>
    <t>US20200362044</t>
  </si>
  <si>
    <t>16/932636</t>
  </si>
  <si>
    <t>C07K 14/523 20130101;  A61P 31/14 20180101;  C07K 2317/21 20130101;  C07K 16/2866 20130101;  A61K 31/46 20130101;  A61K 2039/505 20130101;  C07K 14/4722 20130101;  C07K 2317/24 20130101;  C07D 451/00 20130101</t>
  </si>
  <si>
    <t>US20200360513</t>
  </si>
  <si>
    <t>NANOFIBER COMPOSITIONS FOR A VACCINE ADJUVANT, POROUS SCAFFOLD OR POROUS     MEMBRANE</t>
  </si>
  <si>
    <t>16/877185</t>
  </si>
  <si>
    <t>SILA NANOTECHNOLOGIES INC.</t>
  </si>
  <si>
    <t>SILA NANOTECHNOLOGIES</t>
  </si>
  <si>
    <t>YUSHIN; Gleb; (Atlanta, GA); TURCHENIUK; Kostiantyn; (Atlanta, GA); KULINSKI; Kyle; (Oakland, CA)</t>
  </si>
  <si>
    <t>A61K 39/39 20130101;  A61K 2039/55505 20130101;  A61K 2039/55511 20130101</t>
  </si>
  <si>
    <t>An aspect is directed to a vaccine adjuvant including a nanofiber that     comprises an oxide or a salt of one, two, three or more metals selected     from the group of Al, Ca, Mg, Li, Na, K, La, Y, Si, Fe and Zn. Another     aspect is directed to a porous scaffold or a porous membrane that     comprises nanofibers comprising an oxide or a salt of one, two, three or     more metals selected from the group of Al, Ca, Mg, Li, Na, K, La, Y, Si,     Fe and Zn, where the porous scaffold or the porous membrane is configured     for use in an environment where the nanofibers are exposed to a direct     contact with extracellular body fluids.</t>
  </si>
  <si>
    <t>US20200360507</t>
  </si>
  <si>
    <t>INFLUENZA VACCINE</t>
  </si>
  <si>
    <t>16/722437</t>
  </si>
  <si>
    <t>HANON; Emmanuel Jules; (Rixensart, BE); STEPHENNE; Jean; (Rixensart, BE)</t>
  </si>
  <si>
    <t>C12N 2760/16234 20130101;  C12N 7/00 20130101;  C12N 2760/16134 20130101;  C12N 2760/16171 20130101;  A61K 39/39 20130101;  A61K 39/145 20130101;  A61K 2039/5252 20130101;  A61K 2039/545 20130101;  A61K 2039/575 20130101;  A61K 2039/55566 20130101;  A61K 2039/572 20130101;  A61K 39/12 20130101</t>
  </si>
  <si>
    <t>The present invention relates to monovalent influenza vaccine     formulations and vaccination regimes for immunising against influenza     disease, their use in medicine, in particular their use in augmenting     immune responses to various antigens, and to methods of preparation. In     particular, the invention relates to monovalent influenza immunogenic     compositions comprising an influenza antigen or antigenic preparation     thereof from an influenza virus strain being associated with a pandemic     outbreak or having the potential to be associated with a pandemic     outbreak, in combination with an oil-in-water emulsion adjuvant     comprising a metabolisable oil, a sterol and/or a tocopherol such as     alpha tocopherol, and an emulsifying agent.</t>
  </si>
  <si>
    <t>US20200358762</t>
  </si>
  <si>
    <t>NON-INVASIVE, INTERNAL IMAGING FOR DUAL BIOMETRIC AUTHENTICATION AND     BIOMETRIC HEALTH MONITORING FOR GRANTING ACCESS UTILIZING UNIQUE INTERNAL     CHARACTERISTICS OF SPECIFIC USERS</t>
  </si>
  <si>
    <t>16/940266</t>
  </si>
  <si>
    <t>G06K 9/00087 20130101;  G06F 16/955 20190101;  G06K 9/00885 20130101;  G06K 2009/00932 20130101;  G06F 21/30 20130101;  G06F 21/32 20130101;  G06F 16/2365 20190101;  H04L 63/0861 20130101</t>
  </si>
  <si>
    <t>US20200357512</t>
  </si>
  <si>
    <t>16/941087</t>
  </si>
  <si>
    <t>COGHLAN; ROBERT GEORGE; (Hialeah, FL)</t>
  </si>
  <si>
    <t>G16H 10/60 20180101;  G16H 70/60 20180101;  G16H 40/60 20180101</t>
  </si>
  <si>
    <t>US20200357510</t>
  </si>
  <si>
    <t>Proximity Based Systems For Contact Tracing</t>
  </si>
  <si>
    <t>16/936895</t>
  </si>
  <si>
    <t>TAGNOS, INC.</t>
  </si>
  <si>
    <t>TAGNOS</t>
  </si>
  <si>
    <t>Bhavani; Neeraj; (Aliso Viejo, CA); Padala; Jagadesh Appla; (Irving, TX)</t>
  </si>
  <si>
    <t>Contemplated systems and methods provide an integration platform to     facilitate the exchange of information between RFID tagged objects and     non-RFID systems. In especially preferred aspects, RFID tagged objects     include patients, personnel, and assets of a healthcare facility, while     preferred non-RFID systems include asset management systems, timekeeping     systems, electronic medical records systems, and hospital and pharmacy     information systems. Contemplated systems and methods will apply rules to     associate RFID information with events, which will then be correlated     with appropriate steps that can be effected in a varied and automated     manner. In further preferred aspects, RFID technology is employed to     upgrade patient telemetry to provide positional information the hospital     system.</t>
  </si>
  <si>
    <t>US20200357114</t>
  </si>
  <si>
    <t>16/842630</t>
  </si>
  <si>
    <t>G06T 2207/10008 20130101;  C12Q 1/04 20130101;  G06T 2207/30088 20130101;  G06T 7/0012 20130101;  G06T 2207/10056 20130101;  G06T 2207/10048 20130101</t>
  </si>
  <si>
    <t>A microbe scanning device and methods are disclosed. The device includes     a housing that includes a sensor(s), output device(s) that conveys     text/audio/images, and control circuit(s) coupled to the sensor(s) and     output device(s). the sensor captures first ASD and second ASD. The first     and second ASD each includes an image of an appendage captured using one     or more of radio waves, visible light ("VL"), and infrared light ("IR").     The control circuit is configured to determine, using ASD, whether a user     is present; determine, using ASD, whether hands are present when the user     is present; determine, using ASD, whether microbiol material is present     on the hands; generate a notification when the microbial material is     present on the hands; transmit, via the output device, the notification;     generate a notification when the microbial material is not present on the     hands; and transmit the second notification when generated.</t>
  </si>
  <si>
    <t>US20200354410</t>
  </si>
  <si>
    <t>MODIFIED S1 SUBUNIT OF THE CORONAVIRUS SPIKE PROTEIN</t>
  </si>
  <si>
    <t>16/867650</t>
  </si>
  <si>
    <t>BOEHRINGER INGELHEIM INTERNATIONAL GMBH</t>
  </si>
  <si>
    <t>BOEHRINGER INGELHEIM</t>
  </si>
  <si>
    <t>KRAEMER-KUEHL; Annika; (Seesen, DE); STEPHAN; Thomas Min; (Hannover, DE); PHILIPP; Hans-Christian; (Hemmingen, DE)</t>
  </si>
  <si>
    <t>C12N 2770/20023 20130101;  C12N 2800/10 20130101;  C07K 14/005 20130101;  A61K 39/215 20130101;  A61P 31/14 20180101;  C12N 15/85 20130101;  C12N 2770/20022 20130101;  C12N 7/00 20130101</t>
  </si>
  <si>
    <t>The present invention relates i.a. to a recombinant avian coronavirus     spike protein or fragment thereof comprising a mutation at amino acid     position 267 to Cysteine. Further, the present invention relates to an     immunogenic composition comprising an avian coronavirus with such spike     protein.</t>
  </si>
  <si>
    <t>US20200352986</t>
  </si>
  <si>
    <t>METHODS AND COMPOSITIONS FOR ALLEVIATING RESPIRATORY DYSFUNCTION</t>
  </si>
  <si>
    <t>16/936036</t>
  </si>
  <si>
    <t>GREEN SWAN, INC.</t>
  </si>
  <si>
    <t>GREEN SWAN</t>
  </si>
  <si>
    <t>Green; Shawn J.; (Bethesda, MD)</t>
  </si>
  <si>
    <t>A61K 33/00 20130101;  A61K 31/375 20130101;  A61P 31/14 20180101</t>
  </si>
  <si>
    <t>Compositions, methods of manufacturing compositions, methods of     protecting against respiratory problems including coronavirus and     coronavirus-associated severe acute respiratory syndrome (SARS) in humans     and animals, are provided. Compositions comprising inorganic nitrate used     for improving nitric oxide levels, improving health and/or reducing     symptoms of SARS are provided. The compositions and methods are     applicable for subjects experiencing SARS, and for protecting     non-infected subjects against SARS. Compositions and methods for     improving nitric oxide levels in a subject disclosed herein comprise     administration of compositions comprising inorganic nitrate such as     potassium nitrate or sodium nitrate optionally combined with ascorbate.</t>
  </si>
  <si>
    <t>US20200352967</t>
  </si>
  <si>
    <t>16/863566</t>
  </si>
  <si>
    <t>Clarke; Michael O' Neil Hanrahan; (Redwood City, CA); Feng; Joy Yang; (Hillsborough, CA); Jordan; Robert; (Foster City, CA); Mackman; Richard L.; (Millbrae, CA); Ray; Adrian S.; (Burlingame, CA); Siegel; Dustin; (Half Moon Bay, CA)</t>
  </si>
  <si>
    <t>US20200352456</t>
  </si>
  <si>
    <t>ACOUSTIC SENSOR AND VENTILATION MONITORING SYSTEM</t>
  </si>
  <si>
    <t>16/937691</t>
  </si>
  <si>
    <t>THOMAS JEFFERSON UNIVERSITY</t>
  </si>
  <si>
    <t>Joseph; Jeffrey I.; (Penn Valley, PA); Torjman; Marc C.; (South Hampton, PA); Devine; Denise L.; (Media, PA); Dicciani; Nance K.; (Fort Washington, PA); Loeum; Channy; (Philadelphia, PA)</t>
  </si>
  <si>
    <t>A61B 5/0816 20130101;  A61B 5/02055 20130101;  A61B 5/024 20130101;  A61B 5/14542 20130101;  A61B 5/486 20130101;  A61B 5/746 20130101;  A61B 2562/0204 20130101;  A61B 5/091 20130101;  A61B 5/7275 20130101</t>
  </si>
  <si>
    <t>A method of monitoring respiration with an acoustic measurement device,     the acoustic measurement device having a sound transducer, the sound     transducer configured to measure sound associated with airflow through a     mammalian trachea, the method includes correlating the measured sound     into a measurement of tidal volume and generating at least one from the     group consisting of an alert and an alarm if the measured tidal volume     falls outside of a predetermined range.</t>
  </si>
  <si>
    <t>US20200350989</t>
  </si>
  <si>
    <t>System and Method for Interactively Engaging Devices with a Matching     Signal Display</t>
  </si>
  <si>
    <t>16/935530</t>
  </si>
  <si>
    <t>G06F 3/016 20130101;  H04B 10/116 20130101;  G02B 27/0172 20130101;  G06Q 20/123 20130101;  H04W 4/80 20180201;  G02B 2027/0178 20130101;  G06Q 20/321 20200501;  H04W 4/023 20130101;  G02B 27/0176 20130101;  G06F 1/163 20130101</t>
  </si>
  <si>
    <t>A method for interactively engaging a first user worn device comprising     the steps of: communicating the first user worn device with a first user     networked device and at least a second user worn device via an interface     disposed within a housing on any part of a worn device of said first user     worn device, wherein said housing is coupled to a lighting element or     display disposed on at least a portion of said worn device displaying a     color-coded communication of interaction rules; and decoding a tag by the     at least second user worn device when the at least second user worn     device interaction rules displayed match the interaction rules displayed     on the first user worn device triggering a digital event.</t>
  </si>
  <si>
    <t>US20200350079</t>
  </si>
  <si>
    <t>Epidemic Alert System</t>
  </si>
  <si>
    <t>16/863598</t>
  </si>
  <si>
    <t>THOMAS, JAMES C., JR.</t>
  </si>
  <si>
    <t>THOMAS JAMES</t>
  </si>
  <si>
    <t>Thomas; James; (Whiting, IN); Munoz; Yanette B.; (Hammond, IN)</t>
  </si>
  <si>
    <t>G06Q 50/265 20130101;  G06Q 50/14 20130101;  G01C 21/20 20130101;  G16H 10/60 20180101;  G16H 20/10 20180101;  G16H 50/80 20180101;  G06Q 10/1093 20130101;  G16H 50/20 20180101</t>
  </si>
  <si>
    <t>The present disclosure provides a method for providing vaccination     information. The method includes the steps of receiving vaccination     records about a person, receiving travel information about the person     including a destination of travel, receiving infectious outbreak     information about the destination, determining vaccination need and/or     timing information based on the travel information and the vaccination     records of the person, and transmitting the vaccination need and/or     timing information to the person.</t>
  </si>
  <si>
    <t>US20200348038</t>
  </si>
  <si>
    <t>HVAC SYSTEM DESIGN AND OPERATIONAL TOOL FOR BUILDING INFECTION CONTROL</t>
  </si>
  <si>
    <t>16/927766</t>
  </si>
  <si>
    <t>F24F 11/47 20180101;  F24F 11/52 20180101;  F24F 2120/20 20180101;  F24F 2110/20 20180101;  F24F 2110/10 20180101;  F24F 11/64 20180101;  F24F 3/1603 20130101;  F24F 2140/60 20180101;  F24F 2003/1667 20130101</t>
  </si>
  <si>
    <t>A heating, ventilation, or air conditioning system (HVAC) design and     operational tool includes one or more processors and memory storing     instructions that, when executed by the one or more processors, cause the     one or more processors to perform operations including obtaining a     dynamic temperature model and a dynamic infectious quanta model for one     or more building zones, determining an infection probability, and     performing a plurality of simulations for a plurality of different     equipment configurations using the dynamic temperature model, the dynamic     infectious quanta model, and the infection probability to generate     results. The operations include generating, using the results of the     plurality of simulations, at least one of design including one or more     recommended design parameters data or operational data including one or     more recommended operational parameters for the HVAC system and     initiating an automated action using at least one of the design data or     the operational data.</t>
  </si>
  <si>
    <t>US20200345920</t>
  </si>
  <si>
    <t>METHOD AND SYSTEM FOR CONTROLLED HYPERTHERMIA</t>
  </si>
  <si>
    <t>16/846291</t>
  </si>
  <si>
    <t>A61M 2205/3334 20130101;  A61M 5/1413 20130101;  B01D 15/08 20130101;  B01D 2215/00 20130101;  A61M 2202/0423 20130101;  A61M 2230/50 20130101;  B01D 2311/2649 20130101;  A61M 1/3666 20130101;  A61M 2205/3606 20130101;  B01J 20/10 20130101;  B01D 2311/2626 20130101;  A61M 2230/20 20130101;  A61M 2230/208 20130101;  B01J 20/28052 20130101;  A61M 1/3679 20130101;  A61M 1/369 20130101;  B01J 20/282 20130101;  A61M 1/267 20140204;  B01J 20/20 20130101;  A61M 1/1696 20130101;  A61M 1/1656 20130101;  A61M 1/1629 20140204</t>
  </si>
  <si>
    <t>Methods and for treatment of cancer and other diseases including     complications from late stage viral infections by inducing hyperthermia     in a patient relying on withdrawing blood from the patient and returning     the withdrawn blood to the patient to establish an extracorporeal flow     circuit. Blood is heated by passing through the extracorporeal circuit at     a controlled rate until a target body core temperature in is achieved.     Usually, the blood will be subjected to a continuously re-circulating     dialysis to balance electrolytes. Additionally, the blood will be     subjected to a continuously recirculating regeneration through a carbon     sorbent column where toxins and contaminants are removed. The blood     temperature is maintained at the target blood temperature for a treatment     period, and the blood is cooled after the treatment period has been     completed. The method can also be effective in treating rheumatoid     arthritis, scleroderma, hepatitis, sepsis, the Epstein-Barr virus, and     patients with life threatening complications from other viruses,     including the COVID-19 virus. A method for removing viruses from the     blood supply in an external circuit is also presented.</t>
  </si>
  <si>
    <t>US20200345873</t>
  </si>
  <si>
    <t>MINIATURIZED DEVICE TO STERILIZE FROM COVID-19 AND OTHER VIRUSES</t>
  </si>
  <si>
    <t>16/925107</t>
  </si>
  <si>
    <t>A61L 2202/17 20130101;  A61L 2202/16 20130101;  A61L 2202/20 20130101;  A61L 2/12 20130101;  A61L 2/025 20130101;  A61L 2202/14 20130101</t>
  </si>
  <si>
    <t>US20200345840</t>
  </si>
  <si>
    <t>QUIL A FRACTION WITH LOW TOXICITY AND USE THEREOF</t>
  </si>
  <si>
    <t>16/701948</t>
  </si>
  <si>
    <t>MOREIN; Bror; (Uppsala, SE); LOVGREN BENGTSSON; Karin; (Uppsala, SE); EKSTROM; Jill; (Uppsala, SE); RANLUND; Katarina; (Uppsala, SE); HU; Kefei; (Uppsala, SE)</t>
  </si>
  <si>
    <t>A61K 2039/55577 20130101;  A61K 2039/57 20130101;  A61K 39/39 20130101</t>
  </si>
  <si>
    <t>Fraction A of Quil A can be used together with at least one other     adjuvant for the preparation of an adjuvant composition, where the     included adjuvant components act synergistically to enhance level of     immune response and have synergistic immunomodulating activity on the     co-administered antigens or immunogens. Other adjuvants can comprise     saponins, naturally occurring, synthetic or semisynthetic saponin     molecules; e.g. saponins and saponin fractions from Quil A, cell wall     skeleton, block polymers, TDM, lipopeptides, LPS and LPS-derivatives,     Lipid A from different bacterial species and derivatives thereof, e.g.,     monophosphoryl lipid A, CpG variants, CT and LT or fractions thereof.</t>
  </si>
  <si>
    <t>US20200345699</t>
  </si>
  <si>
    <t>HIV PROTEASE INHIBITORS</t>
  </si>
  <si>
    <t>16/849747</t>
  </si>
  <si>
    <t>Cho; Aesop; (Mountain View, CA); Link; John O.; (San Francisco, CA); Xu; Jie; (Foster City, CA)</t>
  </si>
  <si>
    <t>A61K 31/4196 20130101;  A61K 45/06 20130101;  C07D 403/10 20130101;  A61K 31/52 20130101;  A61K 31/7076 20130101;  A61K 31/537 20130101;  C07D 403/14 20130101;  A61K 31/675 20130101;  A61P 31/18 20180101</t>
  </si>
  <si>
    <t>The present disclosure provides compounds, or a pharmaceutically     acceptable salt thereof as described herein, useful for treating the     proliferation of the HIV virus, treating AIDS or delaying the onset of     AIDS symptoms in a subject. The disclosure also provides pharmaceutical     compositions comprising these compounds, processes for preparing them,     therapeutic methods for treating the proliferation of the HIV virus,     treating AIDS or delaying the onset of AIDS symptoms in a subject using     these compounds. The present disclosure also provides compounds, or a     pharmaceutically acceptable salt thereof as described herein, useful for     treating the proliferation of a coronavirus, treating coronavirus     symptoms or delaying the onset of coronavirus symptoms in a subject. The     disclosure also provides pharmaceutical compositions comprising these     compounds, processes for preparing them, therapeutic methods for treating     the proliferation of a coronavirus, treating coronavirus symptoms or     delaying the onset of coronavirus symptoms in a subject using these     compounds.</t>
  </si>
  <si>
    <t>US20200340945</t>
  </si>
  <si>
    <t>16/924718</t>
  </si>
  <si>
    <t>Abdolahad, Mohammad; Sadat Miripour, Zohreh; Sanati koloukhi, Hassan; Shojaeian Zanjani, Fatemeh Zahra</t>
  </si>
  <si>
    <t>ABDOLAHAD MOHAMMAD</t>
  </si>
  <si>
    <t>Abdolahad; Mohammad; (Tehran, IR); Sadat Miripour; Zohreh; (Tehran, IR); Sanati koloukhi; Hassan; (Tehran, IR); Shojaeian Zanjani; Fatemeh Zahra; (Tehran, IR)</t>
  </si>
  <si>
    <t>G01N 2333/165 20130101;  G01N 33/48714 20130101;  A61B 10/0051 20130101;  G01N 27/48 20130101;  G01N 27/327 20130101</t>
  </si>
  <si>
    <t>A method for diagnosing COVID-19 infection of a person. The method     includes acquiring a sputum sample of a person, measuring a level of ROS     in the sputum sample, and detecting a COVID-19 infection status of the     person based on the measured level of ROS. Measuring the level of ROS in     the sputum sample includes recording a cyclic voltammetry (CV) pattern     from the sputum sample and measuring a current peak of the recorded CV     pattern. Detecting the COVID-19 infection status of the person includes     detecting COVID-19 infection of the person responsive to the measured     current peak being in a first range of more than 230 .mu.A and detecting     COVID-19 non-infection of the person responsive to the measured current     peak being in a second range of less than 190 .mu.A.</t>
  </si>
  <si>
    <t>US20200340270</t>
  </si>
  <si>
    <t>Automatic Door Knob Disinfector</t>
  </si>
  <si>
    <t>16/923124</t>
  </si>
  <si>
    <t>SnowCart, LLC.</t>
  </si>
  <si>
    <t>SNOWCART</t>
  </si>
  <si>
    <t>Arif; Rajwan Mohammad; (Casa Grande, AZ)</t>
  </si>
  <si>
    <t>E05B 1/0069 20130101</t>
  </si>
  <si>
    <t>When we understand the risk we are taking by not having a device that can     disinfect the door knob automatically. We find that we could potentially     get in contact many very deadly germs. The automatic door knob     disinfector has the ability to spray and project disinfecting liquid onto     directly the door knob, providing a safe and sterilized knob without     leaving any residue anywhere on the door. This ensures the safety and     convenience of having a clean and sterilized knob. Especially in a     pandemic where social distancing, washing hands, using hand sanitizer,     wearing face mask is required this invention should help to lower the     exchange of harmful germs especially since the door knob is the most     physically touched part of the door.</t>
  </si>
  <si>
    <t>US20200337942</t>
  </si>
  <si>
    <t>Method for Treating Coronavirus Infection Using a Stimulating Device for     Improvement of Respiratory Function</t>
  </si>
  <si>
    <t>16/867952</t>
  </si>
  <si>
    <t>SATINA MEDICAL UG (HAFTUNGSBESCHRÄNKT)</t>
  </si>
  <si>
    <t>SATINA MEDICAL</t>
  </si>
  <si>
    <t>Fotev; Zisi; (Wandlitz, DE); Potzch; Jorg; (Berlin, DE)</t>
  </si>
  <si>
    <t>A61H 2201/0165 20130101;  A61H 2201/1621 20130101;  A61H 2230/40 20130101;  A61H 2201/165 20130101;  A61H 2205/083 20130101;  A61H 2205/084 20130101;  A61H 2201/5043 20130101;  A61H 23/0254 20130101</t>
  </si>
  <si>
    <t>A method for treating a human patient with a coronavirus infection     improves the respiratory function of the patient to resist the onset of     pneumonia or other severe respiratory distress that would require     mechanical ventilation, or to improve respiratory function after the     patient is removed from a mechanical ventilator. The method includes the     step of stimulating the diaphragm of the patient using a stimulating     device. The method may be initiated prior to or after the patient     exhibiting symptoms of respiratory distress, and/or may be initiated     after the patient has been removed from a mechanical ventilator.</t>
  </si>
  <si>
    <t>US20200337594</t>
  </si>
  <si>
    <t>BIOMARKERS FOR SYSTEMS, METHODS, AND DEVICES FOR DETECTING AND IDENTIFYING     SUBSTANCES IN A SUBJECT'S BREATH, AND DIAGNOSING AND TREATING HEALTH     CONDITIONS</t>
  </si>
  <si>
    <t>16/823082</t>
  </si>
  <si>
    <t>CANARY HEALTH TECHNOLOGIES INC.</t>
  </si>
  <si>
    <t>CANARY HEALTH</t>
  </si>
  <si>
    <t>REDDY; Raj; (Toronto, CA)</t>
  </si>
  <si>
    <t>G01N 2033/4975 20130101;  A61B 5/082 20130101;  G01N 33/497 20130101;  G06N 3/04 20130101;  G01N 2800/12 20130101;  A61B 5/097 20130101</t>
  </si>
  <si>
    <t>Embodiments of the disclosure can include biomarkers for systems,     methods, and devices for detecting and identifying certain substances,     such as chemicals, volatile organic compounds (VOCs), volatile gases     (VGs), ketones, cannabis, controlled substances, pharmaceuticals, or     anesthetics, in the exhaled breath of a subject or person in real-time;     and further diagnosing, treating, and addressing one or more associated     health conditions or diseases, including a virus, such as COVID-19,     tuberculosis (TB), lung cancer, or chronic obstructive lung disease     (COPD).</t>
  </si>
  <si>
    <t>US20200335226</t>
  </si>
  <si>
    <t>PATHOGEN DISTRIBUTION INFORMATION PROVISION SYSTEM, PATHOGEN DISTRIBUTION     INFORMATION PROVISION SERVER, AND METHOD FOR PROVIDING PATHOGEN     DISTRIBUTION INFORMATION</t>
  </si>
  <si>
    <t>16/918000</t>
  </si>
  <si>
    <t>HARA; KOHEI; (Osaka, JP); MURATA; AKIKO; (Osaka, JP); TAKAYANAGI; TETSUYA; (Osaka, JP)</t>
  </si>
  <si>
    <t>G16H 70/60 20180101;  G16H 50/80 20180101;  G16H 50/30 20180101;  G01N 33/56983 20130101;  G16H 50/50 20180101;  G16B 45/00 20190201</t>
  </si>
  <si>
    <t>An infection risk map provision system includes virus sensors for     detecting viruses in the air, the virus sensors being provided at     different positions, a communication unit that collects detection     information obtained by the virus sensors, and a control unit that     provides, on the basis of the detection information, an infection risk     map representing the distribution of infection risk information. The     control unit sets display granularity for the infection risk information     on the infection risk map displayed on an information terminal on the     basis of granularity information corresponding to the virus sensors and     creates the infection risk map by superimposing the infection risk     information upon a map on the basis of the set display granularity and     positional information.</t>
  </si>
  <si>
    <t>US20200330782</t>
  </si>
  <si>
    <t>ELECTROMAGNETIC RADIATION TREATMENT</t>
  </si>
  <si>
    <t>16/908990</t>
  </si>
  <si>
    <t>ZABARA JACOB</t>
  </si>
  <si>
    <t>Zabara; Jacob; (Miami Beach, FL)</t>
  </si>
  <si>
    <t>A61N 2/02 20130101;  A61N 2/002 20130101;  A61N 2/004 20130101</t>
  </si>
  <si>
    <t>An electromagnetic radiation treatment regime includes identifying a     target area of a patient. In one embodiment, the target area is a     virally-infected cell or tissue. An electromagnetic radiation source, for     example, a low frequency and/or radio frequency electromagnetic radiation     source, is selected, along with treatment session parameters, such as,     pulse frequency, pulse duration, electrical current, magnetic flux     density, and/or treatment session exposure time. An amount of     electromagnetic radiation is applied to the target area, and a response     to the electromagnetic radiation in the target area is measured. Based on     an evaluation of the measured response, the treatment parameters may be     modified for one or more subsequent electromagnetic radiation treatment     session.</t>
  </si>
  <si>
    <t>US20200330487</t>
  </si>
  <si>
    <t>PREVENTION AND TREATMENT OF FLU-TYPE VIRAL INFECTIONS AND RELATED     COMPLICATIONS</t>
  </si>
  <si>
    <t>16/920640</t>
  </si>
  <si>
    <t>Javid, Mihan Jafari; Dadgari, Amir</t>
  </si>
  <si>
    <t>JAVID MIHAN</t>
  </si>
  <si>
    <t>Javid; Mihan Jafari; (Tehran, IR); Dadgari; Amir; (Tehran, IR)</t>
  </si>
  <si>
    <t>A61K 31/167 20130101;  A61K 9/0053 20130101;  A61K 9/007 20130101;  A61K 31/375 20130101;  A61K 31/192 20130101;  A61K 9/0019 20130101;  A61K 36/28 20130101;  A61K 31/585 20130101;  A61K 45/06 20130101;  A61K 31/4402 20130101</t>
  </si>
  <si>
    <t>The present invention is directed to composition and method for the     treatment, prevention, or reducing the complication of flu-like viral     infections, including SARS-Coronaviruses. The composition comprises     ibuprofen, spironolactone, acetaminophen, chlorpheniramine, and     phenylephrine.</t>
  </si>
  <si>
    <t>US20200330473</t>
  </si>
  <si>
    <t>COMPOUND AND METHOD FOR THE PREVENTION OF TRANSMISSION OF INFLUENZA VIRUS</t>
  </si>
  <si>
    <t>16/830764</t>
  </si>
  <si>
    <t>NOSHI; Takeshi; (Osaka, JP); NODA; Takahiro; (Osaka, JP); YOSHIDA; Ryu; (Osaka, JP); SHISHIDO; Takao; (Osaka, JP); BABA; Kaoru; (Osaka, JP); HURT; Aeron C.; (Basel, CH); LEE; Leo Yi Yang; (Melbourne, AU); WILDUM; Steffen; (Basel, CH); KUHLBUSCH; Klaus; (Basel, CH); CLINCH; Barry; (Basel, CH); NEBESKY; Michael J.; (Basel, CH); LEMENUEL-DIOT; Annabelle; (Basel, CH); BARCLAY; Wendy S.; (London, GB); CHAROIN; Jean-Eric; (Basel, CH); ANDO; Yoshinori; (Osaka, JP)</t>
  </si>
  <si>
    <t>A61K 31/5383 20130101</t>
  </si>
  <si>
    <t>The present invention relates to a method for preventing transmission of     influenza, wherein said method comprises administering an effective     amount of a compound to a patient having an influenza virus infection,     herein referred to as "index patient", wherein the compound has one of     the formulae (I) and (II), or its pharmaceutically acceptable salt. The     compound to be used in the present invention reduces infectivity of the     influenza virus of the index patient, and therefore, reduces the risk of     the index patient to trigger an influenza epidemic or an influenza     pandemic as compared to a control patient. Therefore, one aspect of the     present invention relates to a method for preventing an influenza     epidemic or an influenza pandemic, wherein the method comprises     administering an effective amount of a compound to patients having an     influenza virus infection (index patients), wherein the compound is     administered to at least 10% of all influenza infected persons of a     city's or country's population, and wherein the compound has one of the     formulae (I) and (II), or is a pharmaceutically acceptable salt thereof.</t>
  </si>
  <si>
    <t>US20200329792</t>
  </si>
  <si>
    <t>FACE MASK HAVING CLOSABLE OPENING AND METHOD OF REDUCING EXPOSURE TO     RESPIRATORY ILLNESS</t>
  </si>
  <si>
    <t>16/918819</t>
  </si>
  <si>
    <t>OFF CAMPUS SOCIAL LLC</t>
  </si>
  <si>
    <t>OFF CAMPUS SOCIAL</t>
  </si>
  <si>
    <t>Howard; Charles; (Chicago, IL); Dawson; James Connor; (Chicago, IL); Grace; Taylor; (Chicago, IL)</t>
  </si>
  <si>
    <t>A face mask having an opening covered by a flap is disclosed. Also     disclosed is a method of reducing exposure to a respiratory illness while     eating or drinking.</t>
  </si>
  <si>
    <t>US20200327977</t>
  </si>
  <si>
    <t>Delivery of an Extended Digital Therapeutic (ExRx) Based on an     Emotional/Mental State (EMS) and/or Home-Bound State (HBS)</t>
  </si>
  <si>
    <t>16/911651</t>
  </si>
  <si>
    <t>AEBEZE LABS</t>
  </si>
  <si>
    <t>Moskowitz; Michael Phillips; (Palo Alto, CA)</t>
  </si>
  <si>
    <t>G16H 50/50 20180101;  G16H 80/00 20180101;  G16H 10/60 20180101;  G16H 50/30 20180101;  G16H 50/20 20180101;  G16H 20/70 20180101</t>
  </si>
  <si>
    <t>The current invention describes a method and system for delivering     reconfigured digital content or reconfigured delivery of digital content     designed to allay the effects of Q/D-related EMS. Disclosed is a     system/method for delivering an extended digital therapeutic (ExRx) based     on a selected emotional/mental state (EMS) and home-bound state (HBS).</t>
  </si>
  <si>
    <t>US20200325182</t>
  </si>
  <si>
    <t>ALPHAHERPESVIRUS GLYCOPROTEIN D-ENCODING NUCLEIC ACID CONSTRUCTS AND     METHODS</t>
  </si>
  <si>
    <t>16/917899</t>
  </si>
  <si>
    <t>MBF THERAPEUTICS, INC.</t>
  </si>
  <si>
    <t>MBF THERAPEUTICS</t>
  </si>
  <si>
    <t>Keller; Lorraine; (Pipersville, PA); Padidam; Malla; (Chalfont, PA)</t>
  </si>
  <si>
    <t>C07K 14/70539 20130101;  C12N 2760/16121 20130101;  C07K 14/005 20130101;  A61K 2039/80 20180801;  A61K 2039/53 20130101;  A61K 2039/575 20130101;  A61P 35/00 20180101;  C12N 2710/16021 20130101;  C07K 2319/70 20130101;  A61K 2039/552 20130101;  C12N 2770/20021 20130101;  A61K 2039/572 20130101</t>
  </si>
  <si>
    <t>This invention provides new compositions comprising nucleotide     sequence(s) encoding alphaherpesvirus glycoprotein D protein(s) (gDP(s))     and antigen(s) that induce immune responses. Such sequences typically     encode gDP:antigen fusion proteins and typically also include feature(s)     that significantly enhance immune responses such as (a) sequences     encoding ITIC signal transducing adaptor proteins, e.g., SLAM-associated     proteins (SAPs), Ewing's sarcoma-associated transcript 2 proteins, or     both, or non-gDP checkpoint inhibitor(s); (b) sequences encoding     antigen-associated targeting sequences, e.g., polyubiquitin sequences;     (c) deimmunized/modified antigen-encoding sequences; (d) gDP(s) with     modified sequence(s); (e) expression-enhancing introns; (f)     transfection-facilitating agents; or (g) combinations thereof. Methods of     using such constructs to induce immune responses and other methods and     compositions also are provided, including methods of using such     constructs in animals not known to express Herpesvirus entry mediator     (HVEM) receptors (e.g., pigs), animals not under disease agent-associated     checkpoint inhibition, and other contexts.</t>
  </si>
  <si>
    <t>US20200323979</t>
  </si>
  <si>
    <t>COMPOSITION COMPRISING ISCOM PARTICLES AND LIVE MICRO-ORGANISMS</t>
  </si>
  <si>
    <t>15/876630</t>
  </si>
  <si>
    <t>MOREIN; Bror; (Uppsala, SE); LOVGREN-BENGTSSON; Karin; (Stockholm, SE)</t>
  </si>
  <si>
    <t>A61K 39/145 20130101;  A61K 2039/70 20130101;  A61K 2039/55577 20130101;  C12N 7/00 20130101;  C12N 2760/16134 20130101;  A61K 2039/525 20130101;  A61K 2039/55511 20130101;  A61K 2039/5252 20130101;  A61K 39/155 20130101;  C12N 2760/18634 20130101;  A61K 39/39 20130101</t>
  </si>
  <si>
    <t>Iscom particles can be used as an adjuvant for preparing of an antigenic     composition which comprises live micro-organisms and/or killed     micro-organisms and/or antigenic molecules. A composition may comprise at     least one iscom particle and one or more live micro-organisms and/or     killed micro-organisms and/or antigenic molecules. A kit can comprise at     least one compartment containing at least one living organism and at     least one compartment containing at least one iscom particle.</t>
  </si>
  <si>
    <t>US20200323917</t>
  </si>
  <si>
    <t>DNASE1-LIKE 3 AND ITS USE IN THERAPY</t>
  </si>
  <si>
    <t>16/915547</t>
  </si>
  <si>
    <t>C12N 9/22 20130101;  C07K 14/76 20130101;  C07K 2319/00 20130101;  C12N 15/86 20130101;  A61K 35/17 20130101</t>
  </si>
  <si>
    <t>US20200323484</t>
  </si>
  <si>
    <t>METHOD AND SYSTEM FOR SCREENING FOR COVID-19 WITH A VOCAL BIOMARKER</t>
  </si>
  <si>
    <t>16/906091</t>
  </si>
  <si>
    <t>VOCALIS HEALTH</t>
  </si>
  <si>
    <t>ARONOVICH; Daniel; (Haifa, IL); HASSAN; Shadi; (Julis, IL)</t>
  </si>
  <si>
    <t>G10L 25/30 20130101;  A61B 5/7257 20130101;  G10L 19/26 20130101;  A61B 5/4803 20130101;  G10L 17/02 20130101;  G10L 17/18 20130101;  A61B 5/749 20130101;  G10L 25/66 20130101;  A61B 5/7267 20130101</t>
  </si>
  <si>
    <t>A computer-based method for screening unknown subjects for COVID-19,     including steps of recording at least one voice clip from a screened     subject, pre-processing the screened subject voice clip, computing a     spectrogram of the pre-processed screened subject voice clip, extracting     a feature vector from said screened subject spectrogram, applying a     machine learning classifier of a COVID-19 vocal biomarker on the     extracted screened subject feature vector thereby receiving a COVID-19     vocal biomarker value, and outputting that the screened subject is     COVID-19 positive or COVID-19 negative, based on the COVID-19 vocal     biomarker value. The step of extracting the feature vector employs a     pre-trained deep convolutional neural network.</t>
  </si>
  <si>
    <t>US20200321127</t>
  </si>
  <si>
    <t>PREDICTIVE MODELING OF RESPIRATORY DISEASE RISK AND EVENTS</t>
  </si>
  <si>
    <t>16/904508</t>
  </si>
  <si>
    <t>RECIPROCAL LABS CORPORATION (D/B/A PROPELLER HEALTH)</t>
  </si>
  <si>
    <t>RECIPROCAL LABS</t>
  </si>
  <si>
    <t>Su; Guangquan; (Alameda, CA); Barrett; Meredith Ann; (Redwood City, CA); Humblet; Oliver; (Palo Alto, CA); Hogg; Christopher; (San Francisco, CA); Van Sickle; John David; (Oregon, WI); Henderson; Kelly Anne; (San Francisco, CA); Tracy; Gregory; (Madison, WI)</t>
  </si>
  <si>
    <t>G16H 50/50 20180101;  G06N 20/00 20190101;  G16H 50/20 20180101;  Y02A 90/10 20180101;  G16H 20/13 20180101;  G16H 50/80 20180101</t>
  </si>
  <si>
    <t>An application server predicts respiratory disease risk, rescue     medication usage, exacerbation, and healthcare utilization using trained     predictive models. The application server includes model modules and     submodel modules, which communicate with a database server, data sources,     and client devices. The submodel modules train submodels by determining     submodel coefficients based on training data from the database server.     The submodel modules further determine statistical analysis data and     estimates for medication usage events, healthcare utilization, and other     related events. The model modules combine submodels to predict     respiratory disease risk, exacerbation, rescue medication usage,     healthcare utilization, and other related information. Model outputs are     provided to users, including patients, providers, healthcare companies,     electronic health record systems, real estate companies and other     interested parties.</t>
  </si>
  <si>
    <t>US20200318117</t>
  </si>
  <si>
    <t>Influenza-Activated Constructs and Methods of Use Thereof</t>
  </si>
  <si>
    <t>16/908346</t>
  </si>
  <si>
    <t>Johns Hopkins Univ.</t>
  </si>
  <si>
    <t>JOHNS HOPKINS</t>
  </si>
  <si>
    <t>Bradburne; Christopher E.; (Ellicott City, MD); Carruth; Lucy M.; (Columbia, MD)</t>
  </si>
  <si>
    <t>C12N 2310/336 20130101;  C12N 15/1131 20130101;  C12Q 1/701 20130101;  C12Q 2600/158 20130101;  C12N 2310/317 20130101;  C12N 2310/531 20130101;  C12Q 2600/178 20130101;  C12N 2320/30 20130101;  C12N 2310/14 20130101</t>
  </si>
  <si>
    <t>The presently disclosed subject matter provides a novel approach for the     treatment, prevention, and diagnosis of Cap-Snatching virus infections,     particularly all classes of human influenza, including pandemic     influenza. The methods involve the use of constructs for RNA-interference     (RNAi).</t>
  </si>
  <si>
    <t>US20200308262</t>
  </si>
  <si>
    <t>16/856407</t>
  </si>
  <si>
    <t>KEANE; Robert W.; (Miami, FL); DIETRICH; W. Dalton; (Miami, FL); VACCARI; Juan Pablo De Rivero; (Miami, FL); BRAMBILLA; Roberta; (Miami, FL); BRAMLETT; Helen M.; (Miami, FL)</t>
  </si>
  <si>
    <t>C07K 2317/24 20130101;  C07K 16/18 20130101;  C07K 2317/76 20130101;  C07K 2317/34 20130101;  C07K 2317/21 20130101;  C07K 2317/565 20130101</t>
  </si>
  <si>
    <t>US20200308232</t>
  </si>
  <si>
    <t>15/929356</t>
  </si>
  <si>
    <t>C07K 14/005 20130101;  C12N 2770/20022 20130101;  C12N 2770/20051 20130101;  A61K 39/215 20130101;  A61K 39/12 20130101;  C12N 2770/20034 20130101;  C07K 2319/735 20130101;  A61P 31/14 20180101</t>
  </si>
  <si>
    <t>Provided are polypeptides derived from the coronaviruses (CoVs) Spike     protein (S) characterized by high affinity and specificity the S receptor     and its neutralizing antibodies. Further provided are compositions and     vaccines, and vaccine-based therapies targeting CoVs, and SARS and MERS     viruses in particular.</t>
  </si>
  <si>
    <t>US20200307749</t>
  </si>
  <si>
    <t>VENTILATOR MASK SYSTEM</t>
  </si>
  <si>
    <t>16/863615</t>
  </si>
  <si>
    <t>XIAO, WENHUI</t>
  </si>
  <si>
    <t>XIAO WENHUI</t>
  </si>
  <si>
    <t>XIAO; Wenzi; (Shenzhen, CN)</t>
  </si>
  <si>
    <t>A61F 9/027 20130101;  B63C 11/16 20130101;  B63C 2011/165 20130101;  B63C 11/14 20130101;  B63C 2011/128 20130101;  A61F 9/026 20130101;  B63C 2011/125 20130101</t>
  </si>
  <si>
    <t>A ventilator mask system is disclosed comprising a faceplate having a     lateral partition on an interior surface delineating an upper and lower     section, the lower section comprising a region that extends away from the     upper section and includes at least one cutout opening fitted with a     complementary-shaped flexible insert that enables a user to grasp the     nose. The faceplate further includes a snorkel coupling having a     passageway contained therein and conduits connecting the passageways with     a lower chamber. The faceplate further includes a tubular ventilating     sleeve which provides separate passageways for supplying fresh air and     exhausting exhaled air through the faceplate. The tubular ventilating     sleeve has a tubular body and an inhalation conduit defining a passageway     that connects a snorkel coupling and to an inhalation tube of a     ventilating device. The tubular inhalation conduit fluidly connects a     snorkel coupling passageway of said scuba-enabled mask to said inhalation     tube of said ventilating device.</t>
  </si>
  <si>
    <t>US20200306476</t>
  </si>
  <si>
    <t>Hydro-gravitational method and device for lung refurbishment</t>
  </si>
  <si>
    <t>16/847926</t>
  </si>
  <si>
    <t>Popa-Simil; Victor; (Los Alamos, NM); Popa-Simil; Andrei; (Los Alamos, NM)</t>
  </si>
  <si>
    <t>A61M 2205/3396 20130101;  A61M 2210/1039 20130101;  A61M 2016/003 20130101;  A61L 2/08 20130101;  A61M 2205/82 20130101;  A61M 16/0006 20140204;  A61M 2205/3331 20130101;  A61M 2205/3306 20130101;  A61L 2202/22 20130101;  A61M 2205/3368 20130101;  A61M 2205/583 20130101;  A61M 16/0481 20140204;  A61M 16/201 20140204;  G16H 20/40 20180101;  A61M 2205/3324 20130101;  A61M 16/044 20130101;  A61M 2205/35 20130101;  A61M 16/10 20130101</t>
  </si>
  <si>
    <t>Many pneumonia diseases and lung malfunctions can be quickly repaired     using an improved lung lavage technique where the patient is rotated in     specific 3D orientations to increase the efficiency of the lavage     procedure. The process involves filling and emptying the lungs with fluid     and rotating the patient makes this process "natural" and effective.     Supplementary, a hydro-pneumatic system facilitates the operations with     the patient sustained in various positions such as being immersed in     water and having various control mechanisms such as variable pressures,     temperatures, and performing assisted breathing. Additionally, immersed     devices are implanted that "shake-up of alveolar wall" and other devices     perform ultrasound imaging with a 0.1 mm resolution, a resolution in     competition with stereoscopic X-ray. The bio-medical data acquisition     system allows physicians to completely assess patient status in real time     and guide the treatment to ensure optimum patient care, under quality     assurance procedures.</t>
  </si>
  <si>
    <t>US20200306400</t>
  </si>
  <si>
    <t>SILVER NANOPARTICLES IMPREGNATED COVERS FOR ELECTRONIC DEVICES TO COMBAT     NOSOCOMIAL INFECTIONS</t>
  </si>
  <si>
    <t>16/894235</t>
  </si>
  <si>
    <t>INFECTION SCIENCES, LLC</t>
  </si>
  <si>
    <t>INFECTION SCIENCES</t>
  </si>
  <si>
    <t>Arora; Sumit; (Mobile, AL); Jha; Om Prakash; (Mobile, AL); Ross, JR.; Robert C.; (Fairhope, AL); Swanzy; J. Mark; (Mobile, AL)</t>
  </si>
  <si>
    <t>B82Y 30/00 20130101;  A61L 2/238 20130101;  A01N 59/16 20130101</t>
  </si>
  <si>
    <t>An anti-microbial covering for use with electronic devices used in a     healthcare environment is disclosed. The covering is impregnated during     manufacturing with nano-sized silver particles and wrapped around the     electronic device to stop the spread of nosocomial infections. The silver     particles vary in shape and size to maximize the anti-microbial effects     of each sheet, and each particle is sized to be less than 60 nanometers     in diameter. The covering may be used in a process to disrupt nosocomial     infections in a healthcare facility by having employees use the covering     to cover electronic devices in the facility. The process includes a     method for tailoring the anti-microbial covering to target specific     pathogens present in the facility or, alternatively, tailor the covering     to target pandemic level threats, such as for example the Covid-19 virus     or seasonal influenza viruses.</t>
  </si>
  <si>
    <t>US20200306338</t>
  </si>
  <si>
    <t>ANTIVIRAL PEPTIDES FOR TREATMENT OF THE MIDDLE EAST RESPIRATORY SYNDROME</t>
  </si>
  <si>
    <t>16/831187</t>
  </si>
  <si>
    <t>NATIONAL GUARD HEALTH AFFAIRS</t>
  </si>
  <si>
    <t>GABERE; Musa Nur; (Riyadh, SA); MUSTAFA; Sabeena; (Riyadh, SA); BALKHY; Hanan; (Riyadh, SA); HUSSEIN; Mohamed; (Riyadh, SA); BUSHNAK; Ibraheem Abdulaziz; (Riyadh, SA)</t>
  </si>
  <si>
    <t>A61K 9/0029 20130101;  A61K 9/0078 20130101;  A61P 31/14 20180101;  A61K 38/08 20130101</t>
  </si>
  <si>
    <t>A peptide that binds to the Si spike protein of Middle East Respiratory     syndrome coronavirus or MERS-CoV and a method for inhibiting infection of     a subject exposed to or having MERS-CoV by administering the peptide.</t>
  </si>
  <si>
    <t>US20200304944</t>
  </si>
  <si>
    <t>16/894030</t>
  </si>
  <si>
    <t>H04W 4/029 20180201;  G06K 7/1417 20130101;  H04W 4/023 20130101;  G08B 21/02 20130101;  H04W 4/33 20180201;  H04W 4/80 20180201</t>
  </si>
  <si>
    <t>An apparatus and method of minimizing pathogen cross-contamination and     enhancing infection mitigation at a workplace includes placing tags at     selected locations, requiring at least some workplace personnel to carry     mobile devices, and logging interactions between the mobile devices and     tags as tapping events. Tags can be powered or unpowered. Tapping can     include RF or Bluetooth communication, and/or indicia scanning. Tapping     events can be wirelessly directed to a server by the tags and/or mobile     devices. The logged tapping can be used to identify high risk locations,     record user movements, monitor user compliance with assigned schedules     and locations, and monitor compliance with specified sanitation     schedules. During mitigation of an infection event, the logged tapping     can be used to identify users at high risk of direct cross-contamination     due to proximity to an infected user and/or surface-mitigated     cross-contamination due to occupation of a location shortly after     occupation thereof by the infected user.</t>
  </si>
  <si>
    <t>US20200302452</t>
  </si>
  <si>
    <t>Method and system for using Bluetooth and other nearby-communications     technologies to help governments and health agencies reduce the spread of     novel corona viruses and other highly-contagious diseases, with user     privacy and security central to the design</t>
  </si>
  <si>
    <t>16/858670</t>
  </si>
  <si>
    <t>POKOS COMMUNICATIONS CORP</t>
  </si>
  <si>
    <t>POKOS COMMUNICATIONS</t>
  </si>
  <si>
    <t>Platt; Timo; (Bozeman, MT); Krueger; Stephan; (Salem, NH); Roselle; Barbara; (Andover, MA)</t>
  </si>
  <si>
    <t>H04L 67/16 20130101;  H04W 76/14 20180201;  H04W 4/06 20130101;  H04L 67/42 20130101;  H04L 67/125 20130101;  H04W 8/005 20130101;  H04L 63/08 20130101;  H04L 41/12 20130101;  H04W 12/06 20130101;  H04W 4/029 20180201;  G06Q 30/0256 20130101;  G06Q 30/02 20130101;  H04L 67/141 20130101;  H04L 67/18 20130101;  H04L 65/403 20130101</t>
  </si>
  <si>
    <t>A communications method is established enabling exposure notification,     contact tracing and movement tracking by using Bluetooth or other nearby     communications technology for communicating with nearby smartphones and     mobile devices, and for data exchange both to alert participants of     possible exposure to someone who they have recently been in contact with,     and who has subsequently been positively diagnosed, or potentially     diagnosed as having, a novel coronavirus or other highly contagious     disease, and to trace and identify containers, packages, envelopes and     other objects that may have been in contact with a person or object     carrying or potentially carrying the virus or disease</t>
  </si>
  <si>
    <t>US20200299359</t>
  </si>
  <si>
    <t>16/651435</t>
  </si>
  <si>
    <t>WEINER; David; (Merion, PA); SMITH; Trevor RF; (San Diego, CA)</t>
  </si>
  <si>
    <t>C07K 16/10 20130101;  C12N 15/63 20130101</t>
  </si>
  <si>
    <t>US20200294680</t>
  </si>
  <si>
    <t>ADVANCED SMART PANDEMIC AND INFECTIOUS DISEASE RESPONSE ENGINE</t>
  </si>
  <si>
    <t>16/887608</t>
  </si>
  <si>
    <t>G16H 40/20 20180101;  G16H 50/20 20180101;  G06N 7/005 20130101;  G16H 50/80 20180101;  G06F 16/29 20190101;  G06K 9/6256 20130101</t>
  </si>
  <si>
    <t>A method of predicting a spread of an infectious disease and evaluating     pandemic response resources is disclosed. The method includes generating     a predictive model, obtaining a set of patient data and a set of resource     data from a plurality of data sources, geocoding the patient and resource     data, loading the data into a geospatial data analytic application (or     spatial data infrastructure) and applying the predictive model to the     patient data and the resource data. The method further includes     determining resource levels based on an output of the predictive model,     outputting the resource levels formatted for integration into a data     processing system such as an electronic health records system , other     clinical application, emergency response management system, supply chain     management system, or any other suitable data processing system, to     trigger a resource allocation and/or procurement, and adjusting the set     of resource data based on the resource allocation and/or procurement.</t>
  </si>
  <si>
    <t>US20200291490</t>
  </si>
  <si>
    <t>Risk Stratification for Contagious Disease</t>
  </si>
  <si>
    <t>16/855046</t>
  </si>
  <si>
    <t>SENSIVA HEALTH, LLC</t>
  </si>
  <si>
    <t>SENSIVA HEALTH</t>
  </si>
  <si>
    <t>Jolly; Tarun; (New Orleans, LA); Silliman; James; (Georgetown, SC); Vigerust; David; (Nashville, TN)</t>
  </si>
  <si>
    <t>C12Q 2600/112 20130101;  G01N 2800/26 20130101;  G06K 19/06037 20130101;  G01N 33/6854 20130101;  C12Q 1/70 20130101;  G16H 50/80 20180101;  G16H 10/60 20180101;  G16H 10/40 20180101;  G16H 50/30 20180101</t>
  </si>
  <si>
    <t>A method of risk stratification for contagious disease is provided. The     method performs a reverse transcriptase polymerase chain reaction     (RT-PCR) test on a patient to determine the presence of a viral     infection. The method next performs tests for the presence of antibody     Immunoglobulin M (IgM) and Immunoglobulin G (IgG) assays. The method     assigns the patient a level of readiness to return to society     corresponding to the combination of the results of the qualitative     RT-PCR, IgM, and IgG tests and quantitative IgG+ antibody testing. The     levels of readiness to return to society may be verified by a QR code on     a mobile device.</t>
  </si>
  <si>
    <t>US20200289989</t>
  </si>
  <si>
    <t>16/889764</t>
  </si>
  <si>
    <t>US20200289534</t>
  </si>
  <si>
    <t>16/861128</t>
  </si>
  <si>
    <t>A61K 31/4045 20130101;  A61K 31/7072 20130101;  A61K 31/727 20130101;  A61K 31/13 20130101;  A61K 31/513 20130101;  A61M 2205/05 20130101;  A61K 31/7064 20130101;  A61M 2202/0208 20130101;  A61K 31/522 20130101;  A61K 31/7056 20130101;  A61K 31/352 20130101;  A61P 31/14 20180101;  A61K 31/706 20130101;  A61M 1/3496 20130101;  A61K 47/06 20130101;  A61K 9/0053 20130101;  A61K 9/0019 20130101;  A61M 1/16 20130101;  A61K 9/0073 20130101</t>
  </si>
  <si>
    <t>A method of treating, reducing, or alleviating a medical condition in a     patient is disclosed herein. The method includes administering to a     patient in need thereof a biocompatible drug comprising one or more     antiviral medications together with one or more cell pathway inhibitors     dissolved in a non-toxic semifluorinated alkane, the patient having one     or more respiratory tract inflammatory diseases, the one or more cell     pathway inhibitors blocking an inflammatory response of inflamed tissue     without inhibiting an immune response of the patient, and the     semifluorinated alkane evaporating quickly upon administration to the     patient so as to leave the biocompatible drug at a desired treatment     location. The administration of the biocompatible drug to the patient     treats the one or more respiratory tract inflammatory diseases, reduces     the symptoms associated with the one or more respiratory tract     inflammatory diseases, and/or alleviates one or more respiratory tract     inflammatory diseases.</t>
  </si>
  <si>
    <t>US20200286590</t>
  </si>
  <si>
    <t>SYSTEMS, APPARATUS, AND METHODS FOR GENERATING AND ANALYZING RESISTOME     PROFILES</t>
  </si>
  <si>
    <t>16/679927</t>
  </si>
  <si>
    <t>OPGEN, INC.</t>
  </si>
  <si>
    <t>OPGEN</t>
  </si>
  <si>
    <t>Jones; Evan; (Potomac, MD); Sapiro; Vadim; (North Potomac, MD); Walker; George Terrance; (Chevy Chase, MD); Saeed; Alex; (Germantown, MD)</t>
  </si>
  <si>
    <t>G16B 40/00 20190201;  G16B 20/00 20190201;  G16B 45/00 20190201;  G16H 50/80 20180101;  G16B 20/40 20190201</t>
  </si>
  <si>
    <t>Systems, apparatus, and methods are disclosed for generating a resistome     profile for a subject, monitoring an infection state of one or more     subjects, and/or identifying a potential infection outbreak at a     facility, for example, by obtaining first data representative of at least     one measure of antibiotic resistance of an organism from a first sample,     identifying the organism, determining at least one of an antibiotic     susceptibility phenotype, an identity of an antibiotic resistance gene,     and an antibiotic to which the organism is non-susceptible, generating     and comparing a first pattern to at least one known pattern to determine     and generate a profile uniqueness identifier indicating a degree of     similarity above a threshold between the first pattern and the at least     one known pattern.</t>
  </si>
  <si>
    <t>US20200283644</t>
  </si>
  <si>
    <t>METHODS AND COATINGS FOR PROTECTING SURFACES FROM BIO-FOULING SPECIES</t>
  </si>
  <si>
    <t>16/880493</t>
  </si>
  <si>
    <t>REDJAK L L C</t>
  </si>
  <si>
    <t>REDJAK L</t>
  </si>
  <si>
    <t>Phillips; Reed E.; (Glen Cove, NY)</t>
  </si>
  <si>
    <t>C09D 5/1693 20130101;  C09D 5/1625 20130101;  B05D 7/54 20130101;  C09D 5/1618 20130101</t>
  </si>
  <si>
    <t>Methods of protecting a submerged surface from biofouling animal     organisms include applying a first biologically active inner polymer     layer on a surface, impregnated with at least one first biologically     active agent that kills a juvenile stage of a biofouling animal organism.     A second biologically active outer polymer layer is applied on the first     biologically active inner polymer layer, impregnated with at least one     second biologically active agent that inhibits a larval stage of the     biofouling animal organism from attaching to the second biologically     active outer polymer layer. The second biologically active outer polymer     layer includes a friction-reducing additive selected from the group     consisting of silicone powder, PTFE powder, molybdenum disulfide powder,     graphene nano-platelets, graphene oxide, and fluorinated graphene powder.</t>
  </si>
  <si>
    <t>US20200282046</t>
  </si>
  <si>
    <t>BETACORONAVIRUS MRNA VACCINE</t>
  </si>
  <si>
    <t>16/880829</t>
  </si>
  <si>
    <t>A61K 2039/70 20130101;  C12N 2760/18034 20130101;  C12N 2760/18434 20130101;  A61K 39/155 20130101;  C07K 16/1027 20130101;  C12N 2760/18534 20130101;  Y02A 50/30 20180101;  C12N 2760/18634 20130101;  A61K 2039/55555 20130101;  A61K 2039/55511 20130101;  A61K 39/12 20130101;  C12N 2770/20034 20130101;  C12N 2760/18334 20130101;  A61K 2039/6018 20130101;  C07K 16/10 20130101;  A61K 39/215 20130101;  A61P 11/00 20180101;  C07K 2317/76 20130101;  A61K 2039/53 20130101</t>
  </si>
  <si>
    <t>US20200282042</t>
  </si>
  <si>
    <t>CLINICAL AND IMMUNOLOGIC BIOMARKERS FOR REGRESSION OF HIGH GRADE CERVICAL     DYSPLASIA AND CLEARANCE OF HPV16 AND HPV18 INFECTION AFTER IMMUNOTHERAPY</t>
  </si>
  <si>
    <t>16/612556</t>
  </si>
  <si>
    <t>KRAYNYAK; Kimberly; (Norristown, PA); MORROW; Matthew; (Bala Cynwyd, PA); SYLVESTER; Albert J.; (Croydon, PA)</t>
  </si>
  <si>
    <t>G01N 2333/025 20130101;  A61K 2039/892 20180801;  A61K 2039/572 20130101;  A61K 45/06 20130101;  C12N 2710/20034 20130101;  G01N 33/5088 20130101;  A61K 39/12 20130101;  C12N 15/86 20130101;  A61K 2039/585 20130101;  G01N 2333/96411 20130101</t>
  </si>
  <si>
    <t>Methods for treating a subject infected with human papillomavirus and     accompanying symptoms comprise assessing a sample obtained from the     patient after the treatment is administered to detect the presence or     absence of biomarkers associated with lesion regression and/or clearance     of the virus from the subject.</t>
  </si>
  <si>
    <t>US20200281972</t>
  </si>
  <si>
    <t>16/881937</t>
  </si>
  <si>
    <t>US20200281518</t>
  </si>
  <si>
    <t>ARRANGEMENT FOR PROACTIVELY NOTIFYING AND ADVISING USERS IN TERMS OF     POTENTIALLY HEALTH-AFFECTING LOCATION-RELATED PHENOMENA, RELATED METHOD     AND COMPUTER PROGRAM</t>
  </si>
  <si>
    <t>16/645002</t>
  </si>
  <si>
    <t>MEDIKRO OY</t>
  </si>
  <si>
    <t>MEDIKRO</t>
  </si>
  <si>
    <t>Salorinne; Seppo; (Helsinki, FI)</t>
  </si>
  <si>
    <t>G16H 10/65 20180101;  A61B 5/02405 20130101;  A61B 5/411 20130101;  A61B 5/1118 20130101;  A61B 5/14542 20130101;  G16H 10/60 20180101;  A61B 5/08 20130101;  A61B 5/7275 20130101;  A61B 5/021 20130101;  A61B 5/01 20130101;  G16H 50/80 20180101;  A61B 5/7475 20130101;  A61B 5/4836 20130101;  A61B 5/0022 20130101</t>
  </si>
  <si>
    <t>An arrangement (100) for prediction of data related to health conditions,     wherein the arrangement comprises at least one communication interface     (103) configured to receive health-related data, preferably comprising     measurement data, from a first user device (104) of a first user,     associated with a first time and a first location. The arrangement     additionally comprises at least one processor (102) configured to utilize     said received health-related data to generate predictive data to be     indicated to a second user device (112) of a second user associated with     a second time and a second location.</t>
  </si>
  <si>
    <t>US20200279657</t>
  </si>
  <si>
    <t>INFECTIOUS DISEASE PROLIFERATION PREVENTION SYSTEM AND METHOD</t>
  </si>
  <si>
    <t>16/643370</t>
  </si>
  <si>
    <t>KT CORPORATION</t>
  </si>
  <si>
    <t>KT</t>
  </si>
  <si>
    <t>LEE; Jae-Ho; (Seoul,, KR); CHOI; Joon-Ki; (Seoul, KR)</t>
  </si>
  <si>
    <t>H04W 4/029 20180201;  G16H 50/80 20180101;  H04W 64/00 20130101;  H04W 4/12 20130101;  G06F 21/6245 20130101</t>
  </si>
  <si>
    <t>Disclosed is system for preventing proliferation of an infectious disease     comprising: at least one processor; and a memory including at least one     command in which at least one processor can be executed, wherein at least     one processor: collects infectious disease information; receives consent     for a collection and use of personal information from a service user     which wants to use an infectious disease proliferation prevention     service; transmits, to a plurality of mobile communication systems, the     infectious disease information and the consent for a collection and use     of personal information; receives, from the plurality of mobile     communication systems, information on a mobile terminal which has visited     a contaminated area, calculated on the basis of the infectious disease     information, the consent for a collection and use of personal information     and wireless communication information of the mobile terminal; and     classifies, by infectious diseases, and manages the information on a     mobile terminal which has visited a contaminated area, received from the     plurality of mobile communication systems.</t>
  </si>
  <si>
    <t>US20200279654</t>
  </si>
  <si>
    <t>SOFTWARE, HEALTH STATUS DETERMINATION DEVICE AND HEALTH STATUS     DETERMINATION METHOD</t>
  </si>
  <si>
    <t>16/633143</t>
  </si>
  <si>
    <t>FUYO KAIHATSU CO., LTD.</t>
  </si>
  <si>
    <t>FUYO KAIHATSU</t>
  </si>
  <si>
    <t>MAETA; Shunsuke; (Fukuoka-shi, JP)</t>
  </si>
  <si>
    <t>A61B 5/021 20130101;  A61B 5/02108 20130101;  A61B 5/165 20130101;  G16H 10/60 20180101;  G16H 50/30 20180101;  A61B 5/14542 20130101;  A61B 5/742 20130101;  G16H 50/50 20180101;  A61B 5/02055 20130101;  A61B 5/024 20130101;  G16H 50/20 20180101</t>
  </si>
  <si>
    <t>A health status determination device which reflects vital signs or daily     conditions to contribute to a subject's health care, or the provision of     medical care, includes a processing unit that executes one or more     programs to cause the health status determination device to function as     an information input means, an information recording means, a reference     calculation means, a scoring processing means, and a determination     processing means to perform transmission and reception of information,     recording of information, scoring based on the contents of vital     information, configuring of scoring conditions (scoring reference     information), abnormality determination in score value information, and     configuring of abnormality determination reference, notification of the     determination result, creation or display of display information.</t>
  </si>
  <si>
    <t>US20200279585</t>
  </si>
  <si>
    <t>System and Method for Testing for COVID-19</t>
  </si>
  <si>
    <t>16/876114</t>
  </si>
  <si>
    <t>ROTHSCHILD RICHARD A</t>
  </si>
  <si>
    <t>ROTHSCHILD RICHARD</t>
  </si>
  <si>
    <t>Rothschild; Richard A.; (London, GB)</t>
  </si>
  <si>
    <t>G06K 9/00892 20130101;  H04N 9/8205 20130101;  G11B 27/10 20130101;  G16H 40/63 20180101;  G11B 27/102 20130101;  H04N 5/76 20130101;  G06K 2009/00939 20130101;  G11B 27/031 20130101</t>
  </si>
  <si>
    <t>A method is provided for acquiring and transmitting biometric data (e.g.,     vital signs) of a user, where the data is analyzed to determine whether     the user is suffering from a viral infection, such as COVID-19. The     method includes using a pulse oximeter to acquire at least pulse and     blood oxygen saturation percentage, which is transmitted wirelessly to a     smartphone. To ensure that the data is accurate, an accelerometer within     the smartphone is used to measure movement of the smartphone and/or the     user. Once accurate data is acquired, it is uploaded to the cloud (or     host), where the data is used (alone or together with other vital signs)     to determine whether the user is suffering from (or likely to suffer     from) a viral infection, such as COVID-19. Depending on the specific     requirements, the data, changes thereto, and/or the determination can be     used to alert medical staff and take corresponding actions.</t>
  </si>
  <si>
    <t>US20200279464</t>
  </si>
  <si>
    <t>CERTIFICATION AND DISTANCING DISPLAY ON A USER-WORN DIGITAL BADGE DEVICE     FOR INFECTION PREVENTION</t>
  </si>
  <si>
    <t>16/867413</t>
  </si>
  <si>
    <t>H04W 4/029 20180201;  G07C 9/22 20200101;  G16H 50/80 20180101;  H04W 4/80 20180201;  G08B 21/02 20130101;  G16H 10/60 20180101;  G09G 5/36 20130101;  G06K 7/10366 20130101;  G06F 1/163 20130101;  G06F 3/14 20130101;  G07C 9/28 20200101;  G16H 15/00 20180101;  G09G 5/02 20130101;  H04L 9/30 20130101;  G09G 2354/00 20130101</t>
  </si>
  <si>
    <t>A system and method for certification and distancing display on a     user-worn badge device for infection prevention. In one embodiment, the     system and method entails uploading a decrypted health token from the at     least first user-networked device for displaying the "clean" health     certification in a form of a color and/or symbol code on the at least     first user-worn badge device; and uploading a pre-defined distancing     rules for displaying at least one of color/symbol/audio-coded warning of     registering presence at least a second user-worn badge device within a     threshold distance of the first user-worn badge device based on the     pre-defined distancing rule.</t>
  </si>
  <si>
    <t>US20200279339</t>
  </si>
  <si>
    <t>16/875013</t>
  </si>
  <si>
    <t>G06Q 50/12 20130101;  A61B 10/0064 20130101;  G06Q 30/0207 20130101;  H04L 51/32 20130101;  H04L 51/14 20130101;  G06Q 10/1095 20130101;  H04L 65/403 20130101;  G06Q 30/0201 20130101;  G06F 16/90324 20190101;  G16H 40/63 20180101;  H04L 51/20 20130101;  G06Q 50/01 20130101</t>
  </si>
  <si>
    <t>US20200277321</t>
  </si>
  <si>
    <t>SUBSTITUTED NUCLEOSIDES, NUCLEOTIDES AND ANALAOGS THEREOF</t>
  </si>
  <si>
    <t>16/648405</t>
  </si>
  <si>
    <t>JANSSEN BIOPHARMA, INC.</t>
  </si>
  <si>
    <t>JANSSEN BIOPHARMA</t>
  </si>
  <si>
    <t>BEIGELMAN; Leonid; (San Mateo, CA); DEVAL; Jerome; (El Granada, CA); PRHAVC; Marija; (Encinitas, CA)</t>
  </si>
  <si>
    <t>C07H 7/06 20130101;  A61P 31/14 20180101;  A61P 31/16 20180101;  C07H 9/04 20130101</t>
  </si>
  <si>
    <t>Disclosed herein are compounds of the Formula (I) and pharmaceutically     acceptable salts thereof: (I) where the variables in Formula (I) are     described herein. Methods of synthesizing such compounds and methods of     using them to treat diseases and/or conditions such as a Picornaviridae,     Flaviviridae, Filoviridae, Pneumoviridae and/or Coronaviridae viral     infections are also disclosed.  ##STR00001##</t>
  </si>
  <si>
    <t>US20200276582</t>
  </si>
  <si>
    <t>METHODS AND SYSTEMS FOR AUTOMATED SAMPLE PROCESSING</t>
  </si>
  <si>
    <t>16/817733</t>
  </si>
  <si>
    <t>DeJohn; Marc; (Philadelphia, PA); Cox; Christopher; (Elkins Park, PA)</t>
  </si>
  <si>
    <t>B01L 3/5027 20130101;  B01L 3/5082 20130101;  B01L 3/502715 20130101;  B01L 3/527 20130101;  B01L 2300/0816 20130101;  B01L 2300/0874 20130101;  B01L 2400/0487 20130101;  B01L 2400/0661 20130101;  C12Q 1/68 20130101;  B01L 7/52 20130101;  B01L 2400/0633 20130101;  B01L 2200/10 20130101;  B01L 2200/16 20130101;  C12Q 1/686 20130101;  B01L 2300/0867 20130101;  B01L 2300/0681 20130101;  C12Q 1/68 20130101;  C12Q 2565/629 20130101</t>
  </si>
  <si>
    <t>The present disclosure provides devices, systems, methods and kits for     processing a sample. In some cases, a sample is processed in preparation     for an assay (e.g., polymerase chain reaction and     immunofluorescence-based target detection) by an analytic device. In some     cases, the processing is automated. In some cases, the processing is     substantially automated. The systems provided herein can comprise a     cartridge (e.g., one-time use) and a dock (e.g., re-useable) for     receiving the cartridge. In some cases, the devices and systems provided     herein are portable.</t>
  </si>
  <si>
    <t>US20200268601</t>
  </si>
  <si>
    <t>SYSTEM AND METHODS FOR PULMONARY EXPANSION THERAPY (PXT)</t>
  </si>
  <si>
    <t>16/860814</t>
  </si>
  <si>
    <t>DELTA DYNAMICS LLC</t>
  </si>
  <si>
    <t>DELTA DYNAMICS</t>
  </si>
  <si>
    <t>Antros; Peter; (Bourbonnais, IL)</t>
  </si>
  <si>
    <t>A61H 2201/5025 20130101;  A61H 2201/1604 20130101;  A61H 2201/5089 20130101;  A61H 2201/5092 20130101;  A61H 2201/013 20130101;  A61H 31/02 20130101;  A61H 23/02 20130101;  A61H 2201/5082 20130101;  A61H 9/0057 20130101;  A61H 23/004 20130101;  A61H 2201/0153 20130101</t>
  </si>
  <si>
    <t>A pulmonary expansion therapy (PXT) device may be a handheld or wearable     device that covers specific lung fields and may generate negative     pressure fields locally. The device also may provide vibratory/percussion     therapy for airway clearance. The PXT may generate a localized negative     pressure field non-invasively to the exterior of the chest wall, thereby     increasing the functional residual capacity in underlying lung fields. As     a result, increased ventilation and perfusion to the targeted internal     lung field may be achieved by creating a decrease in the external     barometric pressure relative to the more positive intrinsic airway     pressures. The PXT device also may improve lung compliance by elevating     the chest wall to compensate for the dysfunction of the respiratory     musculature responsible for lifting the chest wall. In some embodiments,     once a targeted functional residual capacity (FRC) has been established,     vibration or percussion may be applied.</t>
  </si>
  <si>
    <t>US20200267876</t>
  </si>
  <si>
    <t>Personal Microwave Autoclave and Process Using the Same for Sterilizing     N95 Masks</t>
  </si>
  <si>
    <t>16/858502</t>
  </si>
  <si>
    <t>NGUYEN TRONG D</t>
  </si>
  <si>
    <t>NGUYEN TRONG</t>
  </si>
  <si>
    <t>Nguyen; Trong D.; (Sacramento, CA)</t>
  </si>
  <si>
    <t>A61L 2/0064 20130101;  H05K 9/0056 20130101</t>
  </si>
  <si>
    <t>An autoclave including a Faraday cage, which when placed in a microwave     oven sterilizes N95 masks or any other metal surgical devices through     pressurized steam. The Faraday cage prevents metal inside the cage from     arching when inside the microwave oven. Pressure build up occurs inside a     container, which includes an umbrella valve. The container encloses the     Faraday cage, which is adjustable to fit many sized objects.</t>
  </si>
  <si>
    <t>US20200265960</t>
  </si>
  <si>
    <t>INFORMATION PROCESSING APPARATUS, INFORMATION PROCESSING METHOD, AND     INFORMATION PROCESSING PROGRAM</t>
  </si>
  <si>
    <t>16/736838</t>
  </si>
  <si>
    <t>ISHIKAWA; Shigetoshi; (Kanagawa, JP); KANEKO; Yasuhisa; (Kanagawa, JP); NAKATSUGAWA; Haruyasu; (Kanagawa, JP)</t>
  </si>
  <si>
    <t>G08B 21/02 20130101;  G16H 50/30 20180101;  G16H 50/80 20180101</t>
  </si>
  <si>
    <t>An information processing apparatus, an information processing method,     and an information processing program which are capable of suppressing an     increase in consumption of system resources used for suppressing a spread     of an infection disease are acquired. An information processing apparatus     includes an acquisition unit that acquires information regarding an     infection disease of a first animal infected with the infection disease,     a specification unit that specifies a second animal positioned within a     behavior area of the first animal, a determination unit that determines     whether or not the infection disease of the first animal is likely to     infect the second animal, and a notification unit that notifies an owner     of the second animal of an alarm regarding the infection disease in a     case where it is determined that the infection disease of the first     animal is likely to infect the second animal.</t>
  </si>
  <si>
    <t>US20200265701</t>
  </si>
  <si>
    <t>SYSTEMS AND METHODS FOR DETECTING AND MONITORING HAZARDOUS OBSTACLES</t>
  </si>
  <si>
    <t>16/862229</t>
  </si>
  <si>
    <t>SCHENKER, Eran; Schenker, Ronny</t>
  </si>
  <si>
    <t>SCHENKER ERAN</t>
  </si>
  <si>
    <t>SCHENKER; Eran; (Tel Aviv, IL); Schenker; Ronny; (Jerusalem, IL)</t>
  </si>
  <si>
    <t>G01C 21/36 20130101;  G01S 19/01 20130101;  A61H 3/066 20130101;  G08B 21/0461 20130101;  G08B 21/0476 20130101;  G01C 21/3415 20130101;  G06K 9/00671 20130101;  G06K 9/0063 20130101</t>
  </si>
  <si>
    <t>A health hazards geolocation control system for monitoring potential     health hazards (PHHs) endangering users using the system for detecting     PHHs endangering them, for example a pedestrian, wherein the system may     include a personal health hazards monitoring system having an image     capturing and processing units, and wherein the image sensor is situated     in the vicinity of the user, for example, by wearing it or is flown by a     drone associated with that system. Upon detecting a PHH the system warns     the user to prevent their fall. The geolocation control system, or     similar systems of, may be by the user or other users, to form a pool of     health hazards and associated score. Thus, other users on that location     may be warned of the reported health hazard. The system may advise a user     which is the safest path to walk, having a minimal, level or number of     PHHs, and highest safety score.</t>
  </si>
  <si>
    <t>US20200261608</t>
  </si>
  <si>
    <t>STANDALONE UV-C SANITIZING APPARATUS AND METHOD</t>
  </si>
  <si>
    <t>16/853081</t>
  </si>
  <si>
    <t>CROSBY INNOVATIONS, LLC</t>
  </si>
  <si>
    <t>CROSBY INNOVATIONS</t>
  </si>
  <si>
    <t>Crosby; Douglas A.; (Port Huron, MI); Crampton; Thomas; (Otisville, MI); Sweet; Andrew; (Burton, MI)</t>
  </si>
  <si>
    <t>A61L 2202/11 20130101;  A61L 2/0047 20130101;  A61L 2202/14 20130101</t>
  </si>
  <si>
    <t>A standalone UV-C sanitizing apparatus and method is provided that is     operable to sanitize and disinfect a user's hands or protective gloves.     The apparatus includes a housing with light emitting diodes (LEDs)     positioned to emit ultraviolet (UV-C) light connected to a circuit board     which are individually connected to a power source. The apparatus is     configured so that when the user positions the hands or gloves under the     housing, the UV-C light is emitted for a predetermined period of time     based on the distance to the hands and the power output of the LEDs. The     UV-C light is emitted at a wavelength suitable to kill, destroy, or     reduce growth of microorganisms/germs. The housing can be configured with     a sensor to detect motion under the housing and include a limiter hand     guard.</t>
  </si>
  <si>
    <t>US20200258639</t>
  </si>
  <si>
    <t>MEDICAL DEVICE AND COMPUTER-IMPLEMENTED METHOD OF PREDICTING RISK,     OCCURRENCE OR PROGRESSION OF ADVERSE HEALTH CONDITIONS IN TEST SUBJECTS     IN SUBPOPULATIONS ARBITRARILY SELECTED FROM A TOTAL POPULATION</t>
  </si>
  <si>
    <t>16/754579</t>
  </si>
  <si>
    <t>FRESENIUS MEDICAL CARE DEUTSCHLAND GMBH</t>
  </si>
  <si>
    <t>FRESENIUS MEDICAL CARE DEUTSCHLAND</t>
  </si>
  <si>
    <t>TSCHULENA; Ulrich; (Frankfurt/Main, DE); BELLOCCHIO; Francesco; (Casaletto, IT); NERI; Luca; (Milano, IT); ARMSEN; Wencke; (Eppstein, DE); BARBIERI; Carlo; (Crema, IT)</t>
  </si>
  <si>
    <t>G16H 10/60 20180101;  G16H 20/40 20180101;  G16H 20/60 20180101;  G16H 50/80 20180101;  G16H 50/30 20180101;  G16H 20/30 20180101;  G16H 50/70 20180101;  G16H 50/50 20180101</t>
  </si>
  <si>
    <t>A computer-implemented method of generating a generalized model for     adaptively predicting occurrence or progression of a first adverse health     condition for a first subpopulation arbitrarily selected from a total     population, includes extracting information about characterizing features     of a plurality of second subpopulations, about occurrences and/or     severity of the first adverse health condition found therein and/or about     corresponding prognostic results, from a plurality of publications. One     or more of the characterizing features are associated with corresponding     first factors indicating a relation with an adverse or beneficial     contribution of the characterizing feature to the occurrence or     progression of the first adverse health condition, and with corresponding     second factors indicating the relative frequency of occurrence in the     respective second subpopulation considered in the respective publication.     The characterizing features and their first and second factors are     combined into a generalized model for the total population, including     calculating a baseline risk of patient. The generalized model is stored     on a computer accessible and readable medium in a retrievable manner.</t>
  </si>
  <si>
    <t>US20200254086</t>
  </si>
  <si>
    <t>EFFICACIOUS MRNA VACCINES</t>
  </si>
  <si>
    <t>16/639403</t>
  </si>
  <si>
    <t>Hoge; Stephen; (Cambridge, MA); Ciaramella; Giuseppe; (Sudbury, MA)</t>
  </si>
  <si>
    <t>A61K 9/127 20130101;  C12N 15/1131 20130101;  G01N 33/505 20130101;  A61K 39/145 20130101;  A61K 9/0019 20130101;  C12N 2320/30 20130101</t>
  </si>
  <si>
    <t>High quality vaccines are identified and formulated based on a threshold     differential T-cell activation potential. The vaccines are mRNA vaccines     formulated in a carrier, wherein the mRNA encodes an antigen.</t>
  </si>
  <si>
    <t>US20200253562</t>
  </si>
  <si>
    <t>SYSTEM AND METHOD FOR SCREENING AND PREDICTION OF SEVERITY OF INFECTION</t>
  </si>
  <si>
    <t>16/848646</t>
  </si>
  <si>
    <t>A61B 5/7275 20130101;  A61B 5/6893 20130101;  A61B 5/0002 20130101;  A61B 5/01 20130101;  G16H 40/63 20180101;  A61B 5/0022 20130101;  A61B 5/4845 20130101;  A61B 5/6817 20130101;  A61B 5/1455 20130101;  A61B 5/681 20130101;  A61B 5/6826 20130101;  A61B 5/14551 20130101;  A61B 5/14532 20130101;  A61B 5/02416 20130101;  A61B 5/7225 20130101;  A61B 2560/0223 20130101;  A61B 5/743 20130101</t>
  </si>
  <si>
    <t>US20200246613</t>
  </si>
  <si>
    <t>MINIMALLY INVASIVE DERMAL ELECTROPORATION DEVICE</t>
  </si>
  <si>
    <t>16/857963</t>
  </si>
  <si>
    <t>Broderick; Kate; (San Diego, CA); McCoy; Jay; (Temecula, CA); Kemmerrer; Stephen V.; (San Diego, CA)</t>
  </si>
  <si>
    <t>A61N 1/0412 20130101;  C12N 15/87 20130101;  A61M 2037/0007 20130101;  C12M 35/02 20130101;  A61N 1/327 20130101;  A61N 1/0424 20130101;  A61K 2039/53 20130101;  A61N 1/0476 20130101</t>
  </si>
  <si>
    <t>The disclosure is directed to a device for electroporating and delivering     one or more antigens and a method of electroporating and delivering one     or more antigens to cells of epidermal tissues using the device. The     device comprises a housing, a plurality of electrode arrays projecting     from the housing, each electrode array including at least one electrode,     a pulse generator electrically coupled to the electrodes, a programmable     microcontroller electrically coupled to the pulse generator, and an     electrical power source coupled to the pulse generator and the     microcontroller. The electrode arrays define spatially separate sites.</t>
  </si>
  <si>
    <t>US20200246533</t>
  </si>
  <si>
    <t>MEDICAL APPARATUS AND METHOD FOR STERILIZING MEDICAL APPARATUS</t>
  </si>
  <si>
    <t>16/840899</t>
  </si>
  <si>
    <t>BEE SIGHT LIMITED</t>
  </si>
  <si>
    <t>BEE SIGHT</t>
  </si>
  <si>
    <t>Patel; Timir; (Clarksville, MD); Patel; Harish; (Clarksville, MD)</t>
  </si>
  <si>
    <t>B65B 55/10 20130101;  A61B 17/06114 20130101;  A61B 17/3215 20130101;  A61M 5/002 20130101;  A61L 2/208 20130101;  A61L 2202/182 20130101;  A61L 2202/181 20130101;  A61L 2202/23 20130101;  A61L 2/081 20130101;  A61B 50/30 20160201;  A61L 2/08 20130101;  B65B 55/12 20130101;  A61L 2/206 20130101;  A61M 25/002 20130101;  B65B 55/04 20130101;  A61M 2205/0205 20130101;  B65B 55/06 20130101;  B65B 55/08 20130101;  A61L 2/07 20130101;  A61L 2/202 20130101;  A61M 5/001 20130101</t>
  </si>
  <si>
    <t>According to embodiments, there is provided a medical apparatus including     one or more sterile pre-filled syringe, one or more first protective     container including the one or more sterile pre-filled syringe, wherein     the first protective container may be completely or partially filled with     an inert or non-inert gas, wherein the one or more first protective     container is impermeable to moisture and/or sterilizing agents, and a     second protective container including one or more medical components and     the one or more first protective container, wherein the second protective     container may be, but is not necessarily, completely or partially filled     with an inert or non-inert gas. In some aspects, a package mostly     impermeable to bacteria including the first and second protective     containers is also completely or partially filled with an inert or     non-inert gas.</t>
  </si>
  <si>
    <t>US20200246496</t>
  </si>
  <si>
    <t>FLEXIBLE PLASMA APPLICATORS BASED ON FIBROUS LAYERS</t>
  </si>
  <si>
    <t>16/853983</t>
  </si>
  <si>
    <t>Mazzeo; Aaron; (Dunellen, NJ); Xie; Jingjin; (Piscataway, NJ); Chen; Qiang; (Somerset, NJ); Roy; Subrata; (Gainesville, FL)</t>
  </si>
  <si>
    <t>A23L 3/3445 20130101;  H05H 1/2406 20130101;  B32B 2255/28 20130101;  G01N 33/0027 20130101;  B32B 3/266 20130101;  B32B 2437/02 20130101;  A61L 2/14 20130101;  A23V 2002/00 20130101;  A61L 2/0094 20130101;  A61L 2202/11 20130101;  C01B 13/115 20130101;  A61L 2202/26 20130101;  B32B 29/005 20130101;  A61L 2/26 20130101;  A61L 2209/212 20130101;  A61L 2/202 20130101;  B32B 2255/26 20130101;  B32B 2535/00 20130101;  B32B 2307/202 20130101;  A23L 3/34095 20130101;  B32B 2457/208 20130101;  A23L 3/26 20130101;  B32B 2255/12 20130101;  A61L 15/18 20130101;  B32B 7/12 20130101;  A61L 9/22 20130101;  C01B 2201/12 20130101;  H05H 2001/2418 20130101;  A61L 9/046 20130101;  A61L 9/12 20130101;  B32B 2255/205 20130101;  A61L 2202/24 20130101;  B32B 2307/204 20130101;  A61L 2/0011 20130101</t>
  </si>
  <si>
    <t>Disclosed herein are flexible plasma applicators based on fibrous layers     that are capable of rapidly sanitizing a surface via either direct or     indirect contact with said surface.</t>
  </si>
  <si>
    <t>US20200245873</t>
  </si>
  <si>
    <t>Detecting respiratory tract infection based on changes in coughing sounds</t>
  </si>
  <si>
    <t>16/854883</t>
  </si>
  <si>
    <t>A61B 5/015 20130101;  A61B 2576/00 20130101;  A61B 5/748 20130101;  G01J 2005/0085 20130101;  G01J 5/12 20130101;  A61B 5/0075 20130101;  A61B 5/0077 20130101;  A61B 2562/0271 20130101;  A61B 5/7282 20130101;  G01J 2005/0077 20130101;  A61B 5/6803 20130101;  A61B 5/6814 20130101;  A61B 5/165 20130101;  G01J 5/0265 20130101;  A61B 2562/0276 20130101</t>
  </si>
  <si>
    <t>Detecting a respiratory tract infection (RTI) based on changes in     coughing sounds, which can provide an early warning of infection with a     disease like COVID-19, as well as indications of its progression and     severity. In one embodiment, the system includes smartglasses, with     sensors mounted thereto, which include an acoustic sensor mounted at a     fixed position relative to a user's head, and a movement sensor. A     computer receives current measurements of the user, taken with the     sensors, while there were head movements that characterize coughing, and     also earlier measurements of the user, taken with the sensors, while the     user had a known extent of the RTI and while there were head movements     that characterize coughing. The computer detects a change relative to the     known extent of the RTI based on a difference between the current     measurements and the earlier measurements.</t>
  </si>
  <si>
    <t>US20200237689</t>
  </si>
  <si>
    <t>PREVENTION AND TREATMENT OF CORONAVIRUS AND OTHER RESPIRATORY INFECTIONS     USING NANOEMULSION COMPOSITIONS</t>
  </si>
  <si>
    <t>16/828542</t>
  </si>
  <si>
    <t>BLUEWILLOW BIOLOGICS, INC.</t>
  </si>
  <si>
    <t>BLUEWILLOW BIOLOGICS</t>
  </si>
  <si>
    <t>Peralta; David; (Ann Arbor, MI); Ciotti; Susan; (Ann Arbor, MI)</t>
  </si>
  <si>
    <t>A61K 9/1075 20130101;  A61K 31/7064 20130101;  A61K 38/215 20130101;  A61K 47/34 20130101;  A61K 9/0014 20130101;  A61K 31/14 20130101;  A61K 47/44 20130101;  A61K 45/06 20130101;  A61K 31/34 20130101;  A61K 47/26 20130101;  A61K 9/0043 20130101;  A61P 31/14 20180101;  A61K 31/4706 20130101;  A61K 31/53 20130101;  A61K 31/513 20130101;  A61K 31/685 20130101;  A61K 31/427 20130101</t>
  </si>
  <si>
    <t>The present disclosure relates to nanoemulsion compositions with certain     surfactant blend ratios that impart enhanced permeability. Such     compositions are useful for mucosal and intranasal applications and allow     for the greater delivery of one or more active agents to the application     site to prevent infection by coronavirus.</t>
  </si>
  <si>
    <t>US20200234804</t>
  </si>
  <si>
    <t>SYSTEMS and METHODS for DETECTING INFECTIOUS DISEASES</t>
  </si>
  <si>
    <t>16/712545</t>
  </si>
  <si>
    <t>Lui; Clarissa; (Menlo Park, CA); Holmes; Elizabeth A.; (San Francisco, CA)</t>
  </si>
  <si>
    <t>C12Q 2521/501 20130101;  C12Q 2600/158 20130101;  G16H 20/10 20180101;  C12Q 1/707 20130101;  Y02A 50/58 20180101;  Y02A 90/26 20180101;  G01N 2035/00237 20130101;  G01N 33/56988 20130101;  G01N 33/56983 20130101;  C12Q 1/703 20130101;  G01N 33/56994 20130101;  C12Q 1/6806 20130101;  G01N 2333/11 20130101;  G16H 10/40 20180101;  Y10T 436/11 20150115;  G01N 33/56911 20130101;  C12Q 1/70 20130101;  G01N 33/56916 20130101;  C12Q 1/689 20130101;  G01N 33/56938 20130101;  C12Q 1/705 20130101;  G16H 50/20 20180101;  G01N 35/10 20130101;  C12Q 1/6895 20130101;  C12Q 1/6893 20130101;  G01N 2469/20 20130101;  C12Q 1/6844 20130101;  Y02A 90/24 20180101;  C12Q 1/701 20130101;  C12Q 2600/16 20130101;  C12Q 1/706 20130101;  G01N 2469/10 20130101;  C12Q 1/68 20130101;  G01N 33/56944 20130101</t>
  </si>
  <si>
    <t>Systems, methods, and devices for detecting infections in a clinical     sample are provided. Small-volume clinical samples obtained at a     point-of-service (POS) location and may be tested at the POS location for     multiple markers for multiple diseases, including upper and lower     respiratory diseases. Samples may be tested for cytokines, or for     inflammation indicators. Dilution of samples, or levels of detection, may     be determined by the condition or past history of a subject. Test results     may be obtained within a short amount of time after sample placement in a     testing device, or within a short amount of time after being obtained     from the subject. A prescription for treatment of a detected disorder may     be provided, and may be filled, at the POS location. A bill may be     automatically generated for the testing, or for the prescription, may be     automatically sent to an insurance provider, and payment may be     automatically obtained.</t>
  </si>
  <si>
    <t>US20200231128</t>
  </si>
  <si>
    <t>Apparatus And Systems With Timer For Air-Borne Cleaning Of Surfaces</t>
  </si>
  <si>
    <t>16/835851</t>
  </si>
  <si>
    <t>NUVINAIR, LLC</t>
  </si>
  <si>
    <t>NUVINAIR</t>
  </si>
  <si>
    <t>Bailey; Kyle; (Plano, TX); Bailey; Jason; (Plano, TX)</t>
  </si>
  <si>
    <t>B60S 3/008 20130101;  B08B 3/02 20130101;  A61L 9/14 20130101;  A61L 2/22 20130101;  B08B 3/04 20130101;  B08B 9/00 20130101</t>
  </si>
  <si>
    <t>There is provided a system and method of cleaning surfaces of an     enclosable environment of a contamination comprising a microbial and     viral load. The method includes the steps of sealing the enclosable     environment and placing water, and a solid or gel pack, into a container     and generating a vortex the container by rotating an impeller. The     agitation causes the solid or gel pack to release a gaseous cleaning     agent. An air-borne spray exiting from the container spreads throughout     the enclosable environment to contact the surfaces to be cleaned within     the enclosable environment. The enclosable environment is maintained     closed for an effective time period while the air-borne spray dwells on     the surfaces to eliminate or substantially reduce the load of the     contamination.</t>
  </si>
  <si>
    <t>US20200230408</t>
  </si>
  <si>
    <t>SYSTEMS AND METHODS FOR TREATING PATIENTS WITH DISEASES ASSOCIATED WITH     REPLICATING PATHOGENS</t>
  </si>
  <si>
    <t>16/838953</t>
  </si>
  <si>
    <t>Errico; Joseph P.; (Warren, NJ); Simon; Bruce J.; (Santa Fe, NM); Staats; Peter; (Atlantic Beach, FL); Errico; Thomas; (Coral Gables, FL)</t>
  </si>
  <si>
    <t>A61N 2/006 20130101;  A61N 2/02 20130101;  A61N 1/0456 20130101;  A61N 2/008 20130101;  A61N 1/40 20130101;  A61N 1/36014 20130101</t>
  </si>
  <si>
    <t>Systems and methods are provided for treating an inflammatory or allergic     response associated with a replicating pathogen, such as a virus in the     coronaviridae family. The methods include emitting an electrical impulse     near a vagus nerve within the patient sufficient to inhibit or reduce an     inflammatory or allergic response in the patient. The systems and methods     of the present invention reduce the expression of inflammatory mediators     that are elevated in ARDS and other inflammatory or allergic disorders,     thereby ameliorating the overactivity of the immune reaction in patient's     suffering from certain disorders, such as the coronavirus. This therapy     may include a feedback mechanism to provide potent anti-inflammatory     benefits without the negative side effects of conventional immune     suppression techniques and drugs, such as steroids and other nebulized     drugs.</t>
  </si>
  <si>
    <t>US20200230198</t>
  </si>
  <si>
    <t>SMALL MOLECULE THERAPEUTIC INHIBITORS AGAINST PICORNAVIRUSES,     CALICIVIRUSES, AND CORONAVIRUSES</t>
  </si>
  <si>
    <t>16/311108</t>
  </si>
  <si>
    <t>WICHITA STATE UNIVERSITY</t>
  </si>
  <si>
    <t>Chang; Kyeong-Ok; (Manhattan, KS); Kim; Yunjeong; (Manhattan, KS); Groutas; William C.; (Wichita, KS)</t>
  </si>
  <si>
    <t>A61P 31/14 20180101;  A61K 38/05 20130101</t>
  </si>
  <si>
    <t>Antiviral protease inhibitors are disclosed, along with related antiviral     dipeptidyl compounds, macrocyclic derivatives thereof and methods of     using the same to treat or prevent viral infection and disease from     coronaviruses, caliciviruses, and picornaviruses.</t>
  </si>
  <si>
    <t>US20200222718</t>
  </si>
  <si>
    <t>PHOTOERADICATION OF MICROORGANISMS WITH PULSED PURPLE OR BLUE LIGHT</t>
  </si>
  <si>
    <t>16/826229</t>
  </si>
  <si>
    <t>SAN DIEGO STATE UNIVERSITY (SDSU) FOUNDATION</t>
  </si>
  <si>
    <t>SAN DIEGO STATE UNIVERSITY</t>
  </si>
  <si>
    <t>ENWEMEKA; CHUKUKA S.; (SAN DIEGO, CA); CASTEL; JOHN C.; (RENO, NV)</t>
  </si>
  <si>
    <t>A61N 5/062 20130101;  A61M 16/06 20130101;  A61K 41/0061 20130101;  A61N 2005/0652 20130101;  A61N 5/0624 20130101;  A61L 2/28 20130101;  A61L 2/0052 20130101;  A61N 2005/0645 20130101;  A61N 2005/0663 20130101;  A61K 41/0071 20130101;  A61N 2005/0607 20130101;  A61L 2/24 20130101;  A61N 2005/0606 20130101;  A61L 2/0076 20130101;  A61B 2017/00154 20130101;  A61L 2202/11 20130101;  A61M 2205/051 20130101;  A61K 41/0057 20130101</t>
  </si>
  <si>
    <t>The present invention is directed to a system and method for     photoeradication of microorganisms from a target. The method includes the     step of obtaining test data for a plurality of experiments each of which     comprises irradiating test microorganisms with a plurality of light     pulses having a wavelength that ranges from 380 nm to 500 nm. The light     pulses have a plurality of pulse parameters (peak irradiance, pulse     duration, and off time between adjacent light pulses) and are provided at     a radiant exposure that ranges from 0.5 J/cm.sup.2 to 60 J/cm.sup.2     during each of a plurality of irradiation sessions. The test data     comprises a survival rate for the test microorganisms after irradiation     with the light pulses. The method also includes the step of analyzing the     test data to identify the pulse parameters for the light pulses and the     radiant exposure for each of the irradiation sessions that result in a     desired survival rate for the test microorganisms. The method further     includes the step of irradiating the microorganisms of the target with     light pulses having the identified pulse parameters at the identified     radiant exposure for each of the irradiation sessions so as to     photoeradicate all or a portion of the microorganisms.</t>
  </si>
  <si>
    <t>US20200222527</t>
  </si>
  <si>
    <t>16/781433</t>
  </si>
  <si>
    <t>A61K 39/12 20130101;  A61K 2039/53 20130101;  A61K 39/215 20130101;  C12N 2770/20034 20130101;  C12N 7/00 20130101</t>
  </si>
  <si>
    <t>US20200219623</t>
  </si>
  <si>
    <t>RISK EVALUATION SYSTEM AND RISK EVALUATION METHOD</t>
  </si>
  <si>
    <t>16/819238</t>
  </si>
  <si>
    <t>KUSHIDA; YUKI; (Kyoto, JP)</t>
  </si>
  <si>
    <t>G06Q 50/22 20130101;  G01S 17/46 20130101;  G16H 50/30 20180101;  G16H 50/80 20180101;  G06Q 10/06315 20130101;  G06K 9/00362 20130101;  G06T 2207/30196 20130101;  A61G 12/00 20130101;  G16H 40/20 20180101;  G06T 7/70 20170101;  G06K 9/00335 20130101</t>
  </si>
  <si>
    <t>A risk evaluation system is provided with an imager and a controller. The     imager takes images at different times of equipment having zones that do     not overlap each other, and outputs the images that are taken. The     controller detects a contact count of a number of times a living body     contacts each of the zones in accordance with the images, decides     evaluation information about a contact infection risk in each of the     zones in accordance with the contact count, and outputs the evaluation     information.</t>
  </si>
  <si>
    <t>US20200215189</t>
  </si>
  <si>
    <t>ISCOM PREPARATION AND USE THEREOF</t>
  </si>
  <si>
    <t>16/823836</t>
  </si>
  <si>
    <t>MOREIN; Bror; (Uppsala, SE); LOVGREN-BENGTSSON; Karin; (Uppsala, SE)</t>
  </si>
  <si>
    <t>A61K 39/39 20130101;  A61K 2039/55577 20130101</t>
  </si>
  <si>
    <t>The invention relates to a composition comprising a mixture of at least     two iscom complexes each complex comprising essentially one saponin     fraction from Quillaja saponaria Molina. The complexes may be iscom     complexes or iscom matrix complexes. The invention also pertains to the     use of such a mixture for the preparation of an immunomodulating     pharmaceutical, and adjuvant, formulations for immunization, e.g. for     production of monoclonal antibodies, and a vaccine. Kits of parts     comprising at least two parts, wherein each part comprises one iscom     complex or one iscom matrix complex according to the invention are also     embraced.</t>
  </si>
  <si>
    <t>US20200215184</t>
  </si>
  <si>
    <t>INFLUENZA VIRUS REASSORTMENT</t>
  </si>
  <si>
    <t>16/657082</t>
  </si>
  <si>
    <t>SYNTHETIC GENOMICS, INC.</t>
  </si>
  <si>
    <t>SYNTHETIC GENOMICS</t>
  </si>
  <si>
    <t>DORMITZER; Philip; (Cambridge, MA); MASON; Peter; (Cambridge, MA); SUPHAPHIPHAT; Pirada; (Cambridge, MA); GOMILA; Raul; (Cambridge, MA)</t>
  </si>
  <si>
    <t>C12N 2760/16251 20130101;  A61P 31/16 20180101;  C12N 2760/16234 20130101;  A61K 39/12 20130101;  C12N 2760/16252 20130101;  A61K 39/145 20130101;  C12N 2760/16134 20130101;  C12N 7/00 20130101</t>
  </si>
  <si>
    <t>New influenza donor strains for the production of reassortant influenza B     viruses are provided.</t>
  </si>
  <si>
    <t>US20200214649</t>
  </si>
  <si>
    <t>DETECTION OF COVID-19</t>
  </si>
  <si>
    <t>16/824178</t>
  </si>
  <si>
    <t>COGLEY THOMAS PAUL</t>
  </si>
  <si>
    <t>COGLEY; THOMAS PAUL; (PINELLAS PARK, FL)</t>
  </si>
  <si>
    <t>A61B 5/7445 20130101;  A61B 5/05 20130101;  G16H 50/20 20180101;  A61B 6/08 20130101;  A61B 5/7415 20130101;  G16H 30/20 20180101;  A61B 6/462 20130101;  A61B 5/746 20130101</t>
  </si>
  <si>
    <t>The steps of the method are: providing a generator adapted to produce     specific wavelengths to maximize light emissions; providing a     scintillator in operative proximity to the generator, the scintillator     having an associated scintillator screen of a specific phosphor or other     excitive type sensitive to various wavelengths, the scintillator being     sensitive to a wavelength that maximizes light emissions; positioning a     patient to be diagnosed between the generator and the scintillator;     emitting a specific wavelength from the generator to and through the     patient onto the scintillator screen whereby the associated scintillator     screen will light up and sparkle to produce a light image of the patient;     providing a camera in operative proximity to the scintillator screen to     record the light image produced on the scintillator screen; providing a     computer with a computer screen and software; capturing and analyzing the     recorded light images from the camera; and obtaining a diagnosis for     treatment of the patient.</t>
  </si>
  <si>
    <t>US20200214264</t>
  </si>
  <si>
    <t>METHOD AND SYSTEM FOR MONITORING EPIDEMIC DISEASE IN PIGGERY</t>
  </si>
  <si>
    <t>16/590761</t>
  </si>
  <si>
    <t>BEIJING EASY AI TECHNOLOGY CO., LTD.</t>
  </si>
  <si>
    <t>BEIJING EASY</t>
  </si>
  <si>
    <t>Zhou; Xingfu; (Beijing, CN); Ren; Jiping; (Beijing, CN); Pang; Chao; (Beijing, CN); Hu; Dongge; (Beijing, CN)</t>
  </si>
  <si>
    <t>G16H 50/30 20180101;  G16H 50/80 20180101;  G06Q 50/02 20130101;  A01K 29/005 20130101;  G16H 10/60 20180101</t>
  </si>
  <si>
    <t>The present invention discloses a method and system for monitoring an     epidemic disease in a piggery. The monitoring method includes: obtaining     a historical food intake amount, historical environmental parameters, a     historical health state and a historical epidemic disease state of a live     pig, where the historical environmental parameters include a temperature,     a humidity, and concentration of gas in the air; establishing a piggery     monitoring model by taking the historical food intake amount and the     historical environmental parameters as an input and the historical health     state and the historical epidemic disease state as an output; determining     a first current state of the live pig according to the piggery monitoring     model, where the first current state includes a healthy state and an     epidemic disease state; and monitoring a monitored piggery according to     the first current state.</t>
  </si>
  <si>
    <t>US20200210143</t>
  </si>
  <si>
    <t>Attribute Combination Discovery for Predisposition Determination</t>
  </si>
  <si>
    <t>16/814243</t>
  </si>
  <si>
    <t>23ANDME, INC.</t>
  </si>
  <si>
    <t>23ANDME</t>
  </si>
  <si>
    <t>Kenedy; Andrew Alexander; (Brooklyn, NY); Eldering; Charles Anthony; (Brooklyn, NY)</t>
  </si>
  <si>
    <t>G06F 16/955 20190101;  G16H 10/60 20180101;  G06F 40/20 20200101;  G06F 16/24575 20190101;  G16H 40/63 20180101;  G06Q 50/22 20130101;  G06F 16/285 20190101;  G09B 19/00 20130101;  G16H 50/30 20180101;  G06Q 40/00 20130101;  G06F 16/9535 20190101;  G16H 70/20 20180101;  G06F 17/00 20130101;  G16H 70/60 20180101;  G06F 16/00 20190101;  G06F 16/2282 20190101;  G16B 20/00 20190201;  G06F 16/951 20190101;  H04L 51/32 20130101;  G16H 40/20 20180101;  H04L 65/403 20130101;  G06Q 40/08 20130101;  G06F 16/24578 20190101;  G06F 7/00 20130101</t>
  </si>
  <si>
    <t>A method and system are presented in which a query attribute is used as     the basis for accessing stored attribute combinations and their     frequencies of occurrence for query-attribute-positive individuals and     query-attribute-negative individuals and tabulating, based on frequencies     of occurrence, those attribute combinations that are most likely to     co-occur with the query attribute.</t>
  </si>
  <si>
    <t>US20200206362</t>
  </si>
  <si>
    <t>COMPOSITIONS AND METHODS FOR DELIVERY OF AGENTS</t>
  </si>
  <si>
    <t>16/599661</t>
  </si>
  <si>
    <t>Besin; Gilles; (Brookline, MA); Hoge; Stephen; (Brookline, MA); Senn; Joseph; (Cambridge, MA); Benenato; Kerry; (Sudbury, MA); Sabnis; Staci; (Cambridge, MA)</t>
  </si>
  <si>
    <t>A61K 47/543 20170801;  C08G 65/33324 20130101;  A61K 47/10 20130101;  C12N 2310/17 20130101;  C12N 15/117 20130101;  A61K 47/14 20130101;  C12N 2320/32 20130101;  A61K 9/1271 20130101;  C12N 15/88 20130101;  A61K 48/0066 20130101;  A61K 2039/55555 20130101;  C08G 65/3322 20130101;  C08G 65/33317 20130101;  C08G 65/33306 20130101;  A61K 39/39 20130101;  A61K 47/18 20130101;  A61K 47/60 20170801;  C08G 2650/04 20130101;  C08G 65/3348 20130101;  A61K 47/6929 20170801;  A61K 48/0033 20130101;  A61K 9/127 20130101;  C08G 65/3326 20130101;  C12N 2310/141 20130101;  A61K 31/713 20130101;  C08G 65/3356 20130101;  C08G 65/3331 20130101;  A61K 47/544 20170801;  A61K 31/7115 20130101</t>
  </si>
  <si>
    <t>This disclosure provides improved lipid-based compositions, including     lipid nanoparticle compositions, and methods of use thereof for     delivering agents in vivo including nucleic acids and proteins. These     compositions are not subject to accelerated blood clearance and they have     an improved toxicity profile in vivo.</t>
  </si>
  <si>
    <t>US20200203021</t>
  </si>
  <si>
    <t>VISUALIZATION OF HEALTH QUALITY MEASURES</t>
  </si>
  <si>
    <t>16/644230</t>
  </si>
  <si>
    <t>TORRANCE; JAMES H; (ALPHARETTA, GA); MENN; BRYANT; (ALPHARETTA, GA)</t>
  </si>
  <si>
    <t>G06F 16/2246 20190101;  G16H 50/80 20180101;  G16H 50/70 20180101;  G06F 3/0483 20130101</t>
  </si>
  <si>
    <t>In one embodiment, a quality measure analysis system that visually     presents a quality measure as a tree structure where anomalies inpatient     care or processes are indicated to a user at one or more nodes of the     tree to trigger additional investigation.</t>
  </si>
  <si>
    <t>US20200200764</t>
  </si>
  <si>
    <t>INFLUENZA POTENCY ASSAYS</t>
  </si>
  <si>
    <t>16/524280</t>
  </si>
  <si>
    <t>WEN; Yingxia; (Cambridge, MA); SETTEMBRE; Ethan; (Cambridge, MA); WANG; Zihao; (Cambridge, MA)</t>
  </si>
  <si>
    <t>G01N 33/56983 20130101;  C12N 7/00 20130101;  A61P 31/16 20180101;  A61K 39/145 20130101;  C12N 2760/16034 20130101;  G01N 2333/11 20130101;  C12N 2760/16051 20130101;  G01N 33/6848 20130101</t>
  </si>
  <si>
    <t>The present application discloses stability-indicating potency assays for     influenza vaccines.</t>
  </si>
  <si>
    <t>US20200197510</t>
  </si>
  <si>
    <t>RESPIRATORY VIRUS VACCINES</t>
  </si>
  <si>
    <t>16/805587</t>
  </si>
  <si>
    <t>A61K 2039/6018 20130101;  A61P 11/00 20180101;  A61K 2039/70 20130101;  C12N 2760/18434 20130101;  C12N 2760/18634 20130101;  Y02A 50/39 20180101;  A61K 39/155 20130101;  C12N 2760/18534 20130101;  C07K 16/1027 20130101;  A61K 2039/55511 20130101;  Y02A 50/381 20180101;  A61K 2039/55555 20130101;  C12N 2770/20034 20130101;  C12N 2760/18334 20130101;  A61K 39/12 20130101;  C07K 16/10 20130101;  A61K 39/215 20130101;  C12N 2760/18034 20130101;  C07K 2317/76 20130101;  A61K 2039/53 20130101</t>
  </si>
  <si>
    <t>US20200197458</t>
  </si>
  <si>
    <t>CYANOBACTERIAL EXTRACTS, PROCESSES FOR PREPARING THE SAME AND USES THEREOF</t>
  </si>
  <si>
    <t>16/803439</t>
  </si>
  <si>
    <t>FAR EAST BIOTEC CO., LTD.</t>
  </si>
  <si>
    <t>FAR EAST BIOTEC</t>
  </si>
  <si>
    <t>CHIUH; Chuang-Chun; (Taipei City, TW); CHEN; Yi-Hsiang; (Taipei City, TW); CHANG; Gi-Kung; (New Taipei City, TW); CHEN; Jing-Yun; (Taichung City, TW); LIAO; Ya-Chun; (Taipei City, TW); HUANG; Xin-Wen; (Taipei City, TW); SHIH; Shin-Ru; (Taoyuan, TW); CHEN; Wei; (Miaoli City, TW)</t>
  </si>
  <si>
    <t>A61K 9/0014 20130101;  A61L 15/58 20130101;  A61K 2236/331 20130101;  A61P 11/00 20180101;  A61K 36/02 20130101;  A61K 31/715 20130101;  A23L 33/135 20160801;  A61P 31/12 20180101</t>
  </si>
  <si>
    <t>The present disclosure provides various cyanobacterial extracts     exhibiting antiviral activity to a wide spectrum of viruses, such as     enterovirus (EV), respiratory syncytial virus (RSV), Human Herpesvirus     (HHV), Ebola virus, porcine epidemic diarrhea virus (PEDV), and porcine     reproductive and respiratory syndrome virus (PRRSV). The cyanobacterial     extract is prepared from biomass of A. maxima (or Spirulina maxima). Also     disclosed herein are process for preparing the cyanobacterial extract and     uses of the cyanobacterial extract.</t>
  </si>
  <si>
    <t>US20200194130</t>
  </si>
  <si>
    <t>METHOD AND DEVICE FOR ESTIMATING A LOCAL PARTICLE CONCENTRATION</t>
  </si>
  <si>
    <t>16/473269</t>
  </si>
  <si>
    <t>SCHEJA; Michael Martin; (SHANGHAI, CN); KELLY; Declan Patrick; (SHANGHAI, CN); RONDA; Cornelis Reinder; (AACHEN, DE)</t>
  </si>
  <si>
    <t>G16H 50/80 20180101;  G06F 30/25 20200101</t>
  </si>
  <si>
    <t>The present invention relates to a device and method for estimating a     local particle concentration indicating the local concentration of pollen     and/or microorganisms and to a device and method for generating or     refining a particle concentration map of a region. To increase the     resolution and accuracy and to enable tracking and monitoring of exposure     of a user a particle concentration map (40, 40') of a region (30)     including the actual location (33) is used, which may be generated and     refined by crowdsourcing.</t>
  </si>
  <si>
    <t>US20200194101</t>
  </si>
  <si>
    <t>Methods and Systems for Monitoring Bacterial Ecosystems and Providing     Decision Support for Antibiotic Use</t>
  </si>
  <si>
    <t>16/472710</t>
  </si>
  <si>
    <t>SPOKADE PTY LTD</t>
  </si>
  <si>
    <t>SPOKADE PTY</t>
  </si>
  <si>
    <t>Tsafnat; Guy; (Sydney, AU); Partridge; Sally Rachel; (Sydney, AU)</t>
  </si>
  <si>
    <t>G16H 30/40 20180101;  G16B 20/40 20190201;  G16B 45/00 20190201;  G16B 30/00 20190201;  G16B 50/10 20190201</t>
  </si>
  <si>
    <t>The present disclosure provides computer-implemented methods for     annotating a query nucleic acid sequence. Methods of the present     disclosure provide for the accurate annotation of nucleic acid sequences     having functional or other important implications. Subject methods also     provide for generating an assembly for longer DNA sequences that comprise     shorter annotated sequences. Also provided are methods for monitoring the     genetic material within a defined physical location. Such methods may     find use in a variety of applications, for example, monitoring the spread     of a pandemic, monitoring the prevalence of antibiotic resistance,     provide guidance in making clinical decisions, and others. Also provided     are related systems and non-transitory computer-readable recording media.</t>
  </si>
  <si>
    <t>US20200188508</t>
  </si>
  <si>
    <t>PORCINE EPIDEMIC DIARRHEA VIRUS S PROTEIN AND SUBUNIT VACCINE THEREOF AS     WELL AS METHOD FOR PREPARING SUBUNIT VACCINE AND APPLICATION THEREOF</t>
  </si>
  <si>
    <t>16/600334</t>
  </si>
  <si>
    <t>NOVO BIOTECH CORP</t>
  </si>
  <si>
    <t>NOVO BIOTECH</t>
  </si>
  <si>
    <t>QIAN; Hong; (Shaoxing, CN); WU; Youqiang; (Shaoxing, CN); BIAN; Guanglin; (Shaoxing, CN); ZHANG; Qiang; (Shaoxing, CN); XU; Yulan; (Shaoxing, CN); BAI; Zhijun; (Shaoxing, CN); WU; Sufang; (Shaoxing, CN); CHE; Ying; (Shaoxing, CN); LV; Yangping; (Shaoxing, CN); ZHA; Yinhe; (Shaoxing, CN)</t>
  </si>
  <si>
    <t>C12N 7/00 20130101;  C12N 2710/14043 20130101;  C12N 2710/14143 20130101;  A61K 2039/5252 20130101;  A61K 39/215 20130101;  A61K 2039/552 20130101</t>
  </si>
  <si>
    <t>The disclosure discloses a porcine epidemic diarrhea virus S protein and     a subunit vaccine thereof as well as a method for preparing the subunit     vaccine and application thereof. The vaccine contains 30.about.220 .mu.g     of a recombinant porcine epidemic diarrhea virus S protein and a     pharmaceutically acceptable ISA 201 VG adjuvant. A method for preparing     the subunit vaccine comprises the following steps: (1) cloning the     recombinant porcine epidemic diarrhea virus S protein; (2) expressing and     purifying the recombinant porcine epidemic diarrhea virus S protein; (3)     preparing the recombinant porcine epidemic diarrhea virus S protein     prepared in (2) into a water phase; (4) emulsifying the water phase and     the ISA 201 VG adjuvant in a volume ratio of 46:54 to obtain a vaccine.     The vaccine is high in safety, good in immunogenicity, stable in batches,     low in production cost and strong in immunogenicity. On the other hand,     CHO cell strains suspending and stably and efficiently expressing the     PEDV-S protein are successfully constructed and screened for the first     time. The CHO cell strain can express the PEDV-S protein in high yield,     the yield can reach 1 g/L, and the expressed PEDV-S protein is easy to     purify.</t>
  </si>
  <si>
    <t>US20200188499</t>
  </si>
  <si>
    <t>DRIED COMPOSITION</t>
  </si>
  <si>
    <t>16/613111</t>
  </si>
  <si>
    <t>JULLY; Vanessa; (Rixensart, BE); BOURLES; Erwan; (Rixensart, BE)</t>
  </si>
  <si>
    <t>A61K 2039/55572 20130101;  A61K 2039/55577 20130101;  C07K 2319/00 20130101;  A61K 9/19 20130101;  A61K 39/00 20130101;  A61K 2039/55555 20130101;  A61K 39/04 20130101;  A61K 2039/6068 20130101</t>
  </si>
  <si>
    <t>A composition dried under reduced pressure from a liquid mixture     comprising: an adjuvant which comprises a TLR-4 agonist and a saponin in     a liposomal formulation, wherein the liposomes contain a neutral lipid     and a sterol, amorphous sugar, wherein the amorphous sugar is present in     an amount of more than 7.5% (w/v) of the liquid mixture, and an antigen     derived from Mycobacterium tuberculosis.</t>
  </si>
  <si>
    <t>US20200187786</t>
  </si>
  <si>
    <t>MODULAR, PORTABLE AND RAPIDLY DEPLOYABLE SYSTEM FOR HEALTH ASSESSMENT</t>
  </si>
  <si>
    <t>16/711564</t>
  </si>
  <si>
    <t>MORGAN STATE UNIVERSITY</t>
  </si>
  <si>
    <t>Akers; Timothy A.; (Baltimore, MD)</t>
  </si>
  <si>
    <t>A61B 5/7435 20130101;  A61B 5/02 20130101;  A61B 5/4869 20130101;  G16H 10/60 20180101;  G16H 10/20 20180101;  G16H 40/63 20180101;  G16H 50/20 20180101;  G16H 50/80 20180101;  G16H 50/30 20180101</t>
  </si>
  <si>
    <t>Disclosed is a modular, portable and rapidly deployable system for health     assessment comprising a portable, rapidly deployable structure configured     to provide immediate and real-time clinical prevention assessment     services, which system allows for rapid assembly and disassembly,     immediate deployment to even highly remote locations, and provides basic     clinical prevention data and screening for a patient user, along with     health education and awareness. In certain configurations, the system     comprises modular walls that connect to one another to form the shell of     a structure, and a plurality of medical instruments, all of which are     configured for self-administration by a medically-untrained user. The     user may engage one or more user interface devices that guide the user     through the use of each medical instrument and collect the user's     clinical data for analysis. Once the desired medical assessment devices     have been used and the data collected, the data may be analyzed to     provide the user a customized health assessment.</t>
  </si>
  <si>
    <t>US20200185074</t>
  </si>
  <si>
    <t>HEALTHCARE DELIVERY SYSTEM</t>
  </si>
  <si>
    <t>16/794129</t>
  </si>
  <si>
    <t>CZERSKA BARBARA</t>
  </si>
  <si>
    <t>Czerska; Barbara; (Winter Park, FL)</t>
  </si>
  <si>
    <t>G16H 50/30 20180101;  G16H 10/60 20180101;  G16H 50/70 20180101;  G16H 20/00 20180101;  G16H 80/00 20180101</t>
  </si>
  <si>
    <t>A healthcare delivery system that embodies methods of empowering     collaborative multidisciplinary healthcare and the clinics that support     them for providing everyday care to patients with chronic conditions,     through in part by eliminating the current referral system to multiple     specialists and providing collaborative multidisciplinary healthcare. A     healthcare delivery that upends the traditional model where primary care     physician, who has an essentially blind first visit with a patient, tries     to develop plan of coordinated care in a very fragmented manner by     referring patient to multiple specialist as needed. The present invention     takes an unconventional ordering of combined steps to deliver improved     healthcare drastically different from the traditional model.</t>
  </si>
  <si>
    <t>US20200185071</t>
  </si>
  <si>
    <t>FACILITATING SEXUALLY TRANSMITTED INFECTION SERVICES</t>
  </si>
  <si>
    <t>16/707721</t>
  </si>
  <si>
    <t>BINX HEALTH LIMITED</t>
  </si>
  <si>
    <t>BINX HEALTH</t>
  </si>
  <si>
    <t>Luber; Jeffrey; (Cambridge, MA)</t>
  </si>
  <si>
    <t>G16H 50/80 20180101;  G16H 10/60 20180101;  G06F 21/32 20130101;  C12N 15/1132 20130101;  G16H 10/20 20180101;  G16H 15/00 20180101</t>
  </si>
  <si>
    <t>Systems and methods to facilitate services related to sexually     transmitted disease (STI) testing and therapy are described herein. The     invention relates to secure systems, methods, and devices for receiving,     generating and managing user health data, creating user-specific     profiles, and controls to facilitate requisition and delivery of services     and products related to diagnostic testing and therapy. User-specific     devices may be used to facilitate STI services described herein and may     be used to provide information to a user and to collect information about     a user.</t>
  </si>
  <si>
    <t>US20200179367</t>
  </si>
  <si>
    <t>Method of Treating Coronavirus</t>
  </si>
  <si>
    <t>16/792492</t>
  </si>
  <si>
    <t>MyMD Pharmaceuticals, Inc.</t>
  </si>
  <si>
    <t>MYMD PHARMACEUTICALS</t>
  </si>
  <si>
    <t>Williams; Jonnie R.; (Sarasota, FL)</t>
  </si>
  <si>
    <t>A61P 3/08 20180101;  A61K 31/465 20130101;  A61K 8/4926 20130101;  Y02A 50/414 20180101;  A61K 31/4439 20130101;  C07K 14/4747 20130101</t>
  </si>
  <si>
    <t>In one aspect, a coronavirus is treated by administering a pharmaceutical     composition containing a therapeutically effective amount of isomyosmine     or a pharmaceutically acceptable salt thereof. In another aspect,     oxidative stress is reduced in an individual suffering from a coronavirus     by administering a pharmaceutical composition containing a     therapeutically effective amount of isomyosmine or a pharmaceutically     acceptable salt thereof. In another aspect, mitochondrial reactive oxygen     species (mtROS) are inhibited in an individual suffering from a     coronavirus by administering a pharmaceutical composition containing a     therapeutically effective amount of isomyosmine or a pharmaceutically     acceptable salt thereof. In one example, the coronavirus is Covid-19.</t>
  </si>
  <si>
    <t>US20200176125</t>
  </si>
  <si>
    <t>PREDICTING, PREVENTING, AND CONTROLLING INFECTION TRANSMISSION WITHIN A     HEALTHCARE FACILITY USING A REAL-TIME LOCATING SYSTEM AND NEXT GENERATION     SEQUENCING</t>
  </si>
  <si>
    <t>16/636373</t>
  </si>
  <si>
    <t>CHATTERJEA; SUPRIYO; (EINDHOVEN, NL); VAN LOENEN; EVERT JAN; (WAALRE, NL); CHATTERJEA; ANINDITA; (BEST, NL)</t>
  </si>
  <si>
    <t>G16H 40/40 20180101;  G16H 50/30 20180101;  G16H 70/60 20180101;  G16H 40/20 20180101;  G06K 7/10366 20130101;  G16H 15/00 20180101;  G06F 16/22 20190101;  G16H 50/80 20180101</t>
  </si>
  <si>
    <t>A system (10) includes a real-time locating system (RTLS) (12) configured     to track locations of tags (14, 15) in a monitored area. A non-transitory     storage medium stores, a map (30) of the monitored area; a nodes database     (32) storing information on nodes (18); and a pathogen database (34)     storing infectious transmission information. The non-transitory storage     medium includes instructions readable and executable by an electronic     processor to perform an infectious disease transmission tracking method     (100) including: computing a pathway (35) on the map of at least one     infected node using locations of the tag wherein an infected node has a     non-zero infection likelihood; computing an infectious zone (36) on the     map along the pathway; for each node contacting the infectious zone,     adjusting the infection likelihood of the contacting node and designating     the contacting node as an infected node if the updated infection     likelihood of the contacting node satisfies an infected criterion.</t>
  </si>
  <si>
    <t>US20200176124</t>
  </si>
  <si>
    <t>MONITORING DIRECT AND INDIRECT TRANSMISSION OF INFECTIONS IN A HEALTHCARE     FACILITY USING A REAL-TIME LOCATING SYSTEM</t>
  </si>
  <si>
    <t>16/633039</t>
  </si>
  <si>
    <t>G16H 50/80 20180101;  G06K 7/12 20130101;  G06K 7/10366 20130101;  G06K 19/0723 20130101</t>
  </si>
  <si>
    <t>An infectious disease transmission tracking system (10) includes a     real-time locating system (RTLS) (12) configured to track locations of     tags (14, 15) in a monitored area. At least one electronic processor (22)     is in operative communication with the RTLS to receive locations of tags     in the monitored area. A non-transitory storage medium stores, a map (30)     of the monitored area; a nodes database (32) storing information on nodes     (18) in which each node is a person, a mobile object, or a map zone and     the nodes database stores information on the nodes including at least (i)     an identification of each node as a person, a mobile object, or a map     zone, (ii) an identification of a tag associated with each node that is     identified as a person or a mobile object, (iii) locational information     on the map for each node that is identified as a map zone, and (iv) an     infection likelihood for each node with respect to a tracked pathogen;     and a pathogen database (34) storing infectious transmission information     for at least the tracked pathogen including one or more transmission     modes for the tracked pathogen and at least one node residency time for     the tracked pathogen. The non-transitory storage medium includes     instructions readable and executable by the at least one electronic     processor to perform an infectious disease transmission tracking method     (100) including: computing a pathway (35) on the map of at least one     infected node using locations of the tag associated with the infected     node received from the RTLS wherein an infected node has a non-zero     infection likelihood respective to the tracked pathogen which satisfies     an infected criterion; computing an infectious zone (36) on the map along     the pathway using the infectious transmission information stored in the     pathogen database; for each node contacting the infectious zone,     adjusting the infection likelihood of the contacting node in the nodes     database based on at least the infectious transmission information for     the tracked pathogen and designating the contacting node as an infected     node if the updated infection likelihood of the contacting node satisfies     the infected criterion.</t>
  </si>
  <si>
    <t>US20200172920</t>
  </si>
  <si>
    <t>APPLICATION OF PLANT AS HOST IN EXPRESSING VACCINE OF MIDDLE EAST     RESPIRATORY SYNDROME</t>
  </si>
  <si>
    <t>16/621853</t>
  </si>
  <si>
    <t>WANG KEVIN</t>
  </si>
  <si>
    <t>WANG; Kevin; (West Linn, OR); LI; Wen; (Wuhan, Hubei, CN); JIAO; Shunchang; (Beijing, CN); ZHOU; Weibin; (Seattle, WA); TANG; Shunxue; (Camarillo, CA)</t>
  </si>
  <si>
    <t>C07K 14/005 20130101;  C12N 15/8205 20130101;  C07K 2319/55 20130101;  C12N 2800/22 20130101;  C07K 2319/30 20130101;  C12N 2770/20034 20130101;  C12N 2770/20022 20130101;  C12N 15/8258 20130101</t>
  </si>
  <si>
    <t>Provided is an application of a plant as a host in expressing a vaccine     of Middle East respiratory syndrome. In particular, lettuce is utilized     to transiently express fusion proteins to prepare a vaccine for Middle     East respiratory syndrome.</t>
  </si>
  <si>
    <t>US20200170234</t>
  </si>
  <si>
    <t>MONITORING DISEASE VECTORS</t>
  </si>
  <si>
    <t>16/207223</t>
  </si>
  <si>
    <t>Dlamini; Gciniwe Simphiwe; (Johannesburg, ZA); Mapiye; Darlington Shingirirai; (Randburg, ZA); Mashiyane; James; (Selcourt, ZA)</t>
  </si>
  <si>
    <t>A01M 1/026 20130101;  A01M 1/22 20130101;  A01M 2200/01 20130101;  G06K 9/6289 20130101;  G16H 50/80 20180101</t>
  </si>
  <si>
    <t>A computer-implemented method for monitoring disease vectors is     disclosed. A vector sensor obtains vector data relating to disease     vectors in a monitored area. An environmental data obtaining component     obtains environmental data relating to the monitored area. Based on at     least one of the vector data and the environmental data, a population     characteristic component may estimate or determine a vector population     characteristic associated with the monitored area. A structural data     obtaining component may obtain structural data relating to the monitored     area. A vector travel estimation component may estimate or determine a     vector travel characteristic. The vector characteristic may be indicative     of predicted disease vector movement from outdoors to indoors in the     monitored area and may allow for or facilitate a vector control action     based at least partially on the vector travel characteristic. A device     and a system for monitoring disease vectors are also disclosed.</t>
  </si>
  <si>
    <t>US20200165630</t>
  </si>
  <si>
    <t>16/097446</t>
  </si>
  <si>
    <t>Paul; Steven; (Cambridge, MA); Ward; Donna T.; (Groton, MA)</t>
  </si>
  <si>
    <t>C07K 2317/24 20130101;  C12N 2750/14143 20130101;  C12N 15/113 20130101;  C07K 2317/14 20130101;  A61K 38/00 20130101;  C07K 2317/31 20130101;  C12N 2310/141 20130101;  C07K 16/1282 20130101;  A61K 9/0019 20130101;  C07K 2317/76 20130101;  C12N 15/86 20130101</t>
  </si>
  <si>
    <t>US20200164058</t>
  </si>
  <si>
    <t>16/201409</t>
  </si>
  <si>
    <t>Hashem; Anwar M.; (Jeddah, SA)</t>
  </si>
  <si>
    <t>A61K 39/215 20130101;  C07K 14/70575 20130101;  C12N 15/62 20130101;  A61P 31/14 20180101</t>
  </si>
  <si>
    <t>US20200156071</t>
  </si>
  <si>
    <t>DEVICES AND METHODS FOR CELLULAR SECRETION ANALYSIS</t>
  </si>
  <si>
    <t>16/081401</t>
  </si>
  <si>
    <t>THE UNIVERSITY OF BRITISH COLUMBIA</t>
  </si>
  <si>
    <t>THE UNIVERSITY BRITISH COLUMBIA</t>
  </si>
  <si>
    <t>Hansen; Carl Lars Genghis; (Vancouver, BC, CA); Lisaingo; Kathleen; (Port Moody, BC, CA); Lecault; Veronique; (Vancouver, BC, CA)</t>
  </si>
  <si>
    <t>B01L 2400/06 20130101;  B01L 3/502707 20130101;  C12Q 1/04 20130101;  B01L 2300/0809 20130101;  B01L 2400/0403 20130101;  G01N 33/54366 20130101;  B01L 3/502761 20130101;  B01L 2200/0647 20130101;  B01L 2200/12 20130101;  B01L 3/50273 20130101</t>
  </si>
  <si>
    <t>Methods and devices for identifying a cell population comprising an     effector cell exhibiting an extracellular effect are provided. The method     comprises retaining in a plurality of open chambers a plurality of cell     populations, each optionally comprising one or more effector cells. The     open chambers can each comprise a readout particle population, and the     open chambers are present in a first component of a device comprising a     first component and optionally a second component. The open chambers have     an average aspect ratio of .gtoreq.0.6 and the first component forms a     reversible seal with the second component. The method further comprises     incubating the plurality of cell populations or a subset thereof, and the     one or more readout particles, or a subset thereof, within the chambers,     assaying the cell populations for the presence of the extracellular     effect, wherein the readout particle(s) provides a direct or indirect     readout of the extracellular effect, and determining, based on the     results of the assaying step, whether one or more cells within one or     more cell populations of the plurality exhibits the extracellular effect.</t>
  </si>
  <si>
    <t>US20200155667</t>
  </si>
  <si>
    <t>VACCINE COMPOSITIONS</t>
  </si>
  <si>
    <t>16/751635</t>
  </si>
  <si>
    <t>MEDI-IMMUNE LTD.</t>
  </si>
  <si>
    <t>MEDI-IMMUNE</t>
  </si>
  <si>
    <t>JAMES; John Paul; (Staffordshire, GB); LOVE; James Prince; (Staffordshire, GB); MAUDSLEY; David John; (Staffordshire, GB)</t>
  </si>
  <si>
    <t>A61K 39/145 20130101;  A61K 2039/5252 20130101;  A61K 2039/525 20130101;  A61K 2039/541 20130101;  A61K 2039/544 20130101;  A61K 39/12 20130101;  A61K 9/0078 20130101;  A61P 31/16 20180101;  C12N 2760/16134 20130101</t>
  </si>
  <si>
    <t>The invention relates to vaccines for the prevention or treatment of     infectious diseases, and to methods of preparing or delivering such     vaccines. In particular, a vaccine for use in the prevention or treatment     of disease is used in a dose of, via a parenteral route without adjuvant     less than 0.03 .mu.g antigen and with adjuvant less than 0.003 .mu.g     antigen, and via a mucosal route without adjuvant less than 1 .mu.g     antigen and/or the equivalent of 1.6.times.10.sup.7 PFU and with adjuvant     less than 0.04 .mu.g antigen and/or the equivalent of 1.6.times.10.sup.7     PFU</t>
  </si>
  <si>
    <t>US20200155664</t>
  </si>
  <si>
    <t>INFLUENZA VACCINES WITH REDUCED AMOUNTS OF SQUALENE</t>
  </si>
  <si>
    <t>16/452783</t>
  </si>
  <si>
    <t>CONTORNI; Mario; (Siena, IT); O'HAGAN; Derek; (Cambridge, MA); GROTH; Nicola; (Buonconvento, IT)</t>
  </si>
  <si>
    <t>A61K 2039/70 20130101;  A61K 2039/545 20130101;  A61K 2039/55566 20130101;  A61P 31/16 20180101;  A61K 39/145 20130101;  C12N 2760/16134 20130101;  A61K 39/12 20130101;  A61P 37/04 20180101;  C12N 2760/16234 20130101;  C12N 7/00 20130101</t>
  </si>
  <si>
    <t>Influenza vaccines include hemagglutinin from at least one influenza A     virus strain and at least one influenza B virus strain. They also include     an oil-in-water emulsion adjuvant with submicron oil droplets, comprising     squalene. In some embodiments the hemagglutinin concentration is &amp;gt;12     .mu.g/ml per strain. In some embodiments the squalene concentration is     &amp;lt;19 mg/ml. In some embodiments the vaccine is mercury-free. In some     embodiments the vaccine has a unit dose volume between 0.2-0.3 mL. In     some embodiments the squalene concentration is 9.75 mg/mL or 4.88 mg/mL.     In some embodiments the vaccine includes antigens from two influenza A     virus strains and two influenza B virus strains.</t>
  </si>
  <si>
    <t>US20200155660</t>
  </si>
  <si>
    <t>COMPOSITIONS AND METHODS FOR MODIFIED DENDRIMER NANOPARTICLE DELIVERY</t>
  </si>
  <si>
    <t>16/692624</t>
  </si>
  <si>
    <t>Massachusetts Institute of Technology; Whitehead Institute for Biomedical Research</t>
  </si>
  <si>
    <t>MASSACHUSETTS INSTITUTE TECHNOLOGY; WHITEHEAD INSTITUTE FOR BIOMEDICAL RESEARCH</t>
  </si>
  <si>
    <t>Khan; Omar F.; (Cambridge, MA); Chahal; Jasdave S.; (Arlington, MA); Anderson; Daniel G.; (Cambridge, MA); Ploegh; Hidde; (Brookline, MA); Langer; Robert S.; (Cambridge, MA); Jacks; Tyler E.; (Cambridge, MA); Canner; David A.; (Cambridge, MA)</t>
  </si>
  <si>
    <t>C12N 2770/24134 20130101;  C12N 15/87 20130101;  A61K 2039/645 20130101;  A61K 2039/53 20130101;  A61K 48/00 20130101;  A61K 39/145 20130101;  C12N 2760/16034 20130101;  A61K 39/0012 20130101;  A61K 9/5146 20130101;  C12N 2770/36143 20130101;  C12N 15/88 20130101;  A61K 39/12 20130101;  Y02A 50/392 20180101;  C12N 2740/16234 20130101;  A61K 31/713 20130101;  A61K 39/002 20130101;  C12N 2760/14134 20130101;  A61K 9/0019 20130101;  A61K 2039/70 20130101</t>
  </si>
  <si>
    <t>Compositions and methods for modified dendrimer nanoparticle ("MDNP")     delivery of therapeutic, prophylactic and/or diagnostic agent such as     large repRNA molecules to the cells of a subject have been developed.     MDNPs efficiently drive proliferation of antigen-specific T cells against     intracellular antigen, and potentiate antigen-specific antibody     responses. MDNPs can be multiplexed to deliver two or more different     repRNAs to modify expression kinetics of encoded antigens and to     simultaneous deliver repRNAs and mRNAs including the same UTR elements     that promote expression of encoded antigens.</t>
  </si>
  <si>
    <t>US20200155646</t>
  </si>
  <si>
    <t>EV576 For Use in the Treatment of Viral Infections of the Respiratory     Tract</t>
  </si>
  <si>
    <t>16/434737</t>
  </si>
  <si>
    <t>VOLUTION IMMUNO PHARMACEUTICALS SA</t>
  </si>
  <si>
    <t>VOLUTION IMMUNO PHARMACEUTICALS</t>
  </si>
  <si>
    <t>Weston-Davies; Wynne; (Cheltenham, GB)</t>
  </si>
  <si>
    <t>A61K 38/16 20130101;  A61K 38/1767 20130101</t>
  </si>
  <si>
    <t>The present invention relates to methods of treating and preventing the     inflammatory effects of viral infection of the upper and lower     respiratory tracts, including infection by SARS coronovirus (SARS),     pandemic Influenza A H5N1 (avian influenza) and pandemic influenza A H1N1     (swine `flu).</t>
  </si>
  <si>
    <t>US20200149031</t>
  </si>
  <si>
    <t>HIGHLY PARALLEL ASSAYS FOR SIMULTANEOUS IDENTIFICATION OF ANTIBODY     SEQUENCES AND BINDING PARTNERS</t>
  </si>
  <si>
    <t>16/063394</t>
  </si>
  <si>
    <t>FALCONER; Ester; (Vancouver, CA); HANSEN; Carl Lars Genghis; (Vancouver, CA); LECAULT; Veronique; (Vancouver, CA); LISAINGO; Kathleen; (Port Moody, CA); HEYRIES; Kevin Albert; (Vancouver, CA)</t>
  </si>
  <si>
    <t>G01N 33/566 20130101;  C12N 15/1037 20130101;  C12N 15/1034 20130101;  C40B 40/02 20130101;  C40B 50/06 20130101;  G01N 33/6845 20130101;  C12Q 1/68 20130101;  C12Q 1/6874 20130101;  G01N 33/6854 20130101</t>
  </si>
  <si>
    <t>The present invention relates to methods for isolating the sequences of     an antibody that reacts with a disease related antigen, e.g., an     autoantigen, without knowing the identity of the antigen (sequence or     structural epitope) a priori. The methods can also be used to identify an     antigen that mediates a disease state, e.g., an autoantigen implicated in     an autoimmune disorder or a tumor response.</t>
  </si>
  <si>
    <t>US20200147203</t>
  </si>
  <si>
    <t>VACCINATION OF IMMUNOCOMPROMISED SUBJECTS</t>
  </si>
  <si>
    <t>16/739358</t>
  </si>
  <si>
    <t>NOVARTIS AG</t>
  </si>
  <si>
    <t>NOVARTIS</t>
  </si>
  <si>
    <t>DEL GIUDICE; Giuseppe; (Berkshire, GB); RAPPUOLI; Rino; (Berkshire, GB); BLACK; Steven; (Berkshire, GB); NICOLAY; Uwe; (Berkshire, GB)</t>
  </si>
  <si>
    <t>C12N 7/00 20130101;  A61K 39/39 20130101;  A61K 39/12 20130101;  C12N 2760/16234 20130101;  C12N 2760/16134 20130101;  A61K 39/145 20130101;  A61K 2039/545 20130101;  A61K 2039/55566 20130101</t>
  </si>
  <si>
    <t>Disclosed herein are methods for enhancing immune responses to a vaccine     in immunocompromised individuals, including those receiving a statin     therapy. Related products are also provided.</t>
  </si>
  <si>
    <t>US20200147028</t>
  </si>
  <si>
    <t>TREATMENT OF RESPIRATORY INFECTION WITH A TLR2 AGONIST</t>
  </si>
  <si>
    <t>16/495829</t>
  </si>
  <si>
    <t>ENA RESPIRATORY PTY LTD</t>
  </si>
  <si>
    <t>ENA RESPIRATORY PTY</t>
  </si>
  <si>
    <t>BARTLETT; Nathan; (Melbourne, AU); GIRKIN; Jason; (Melbourne, AU); JACKSON; David; (Melbourne, AU); ZENG; Weiguang; (Melbourne, AU); HOLMES; Ian; (Melbourne, AU); DEMAISON; Christophe; (Melbourne, AU)</t>
  </si>
  <si>
    <t>A61K 31/20 20130101;  A61K 9/0043 20130101;  A61K 47/42 20130101;  A61P 31/16 20180101;  A61K 31/573 20130101;  A61K 31/23 20130101;  A61K 9/0075 20130101</t>
  </si>
  <si>
    <t>The present invention relates to methods, compositions and kits for the     treatment or prevention of respiratory conditions. In particular, the     methods, compositions and kits are particularly useful, but not limited     to, the prevention and/or treatment of rhinovirus infection and the     prevention and/or treatment of asthma exacerbation. The invention     provides a method inhibiting a rhinovirus infection in a subject     comprising administering a composition consisting of a compound     comprising a TLR2 agonist and a pharmaceutically acceptable carrier.</t>
  </si>
  <si>
    <t>US20200145956</t>
  </si>
  <si>
    <t>INFORMATION PROCESSING USING A POPULATION OF DATA ACQUISITION DEVICES</t>
  </si>
  <si>
    <t>16/736820</t>
  </si>
  <si>
    <t>STATON TECHIYA, LLC</t>
  </si>
  <si>
    <t>STATON TECHIYA</t>
  </si>
  <si>
    <t>H04M 2250/12 20130101;  G06F 11/3058 20130101;  H04M 1/72522 20130101;  G06F 11/3013 20130101;  G16H 40/63 20180101;  H04W 64/00 20130101;  G16H 50/80 20180101</t>
  </si>
  <si>
    <t>Distributed systems, controllers and methods for processing information     from a plurality of devices are provided. A distributed system includes a     plurality of devices distributed in an environment. Each device has at     least a communication capability for interchanging information with     others of the devices and/or with a communication system. Each of at     least some of the devices has one or more sensors for acquiring sensor     data related to the environment proximate to the device. At least one of     the communication system or one or more of the devices is configured as a     controller configured to: select a subset of devices from among the     plurality of devices, receive information based on the acquired sensor     data of the selected subset, and combine the received information from     the selected subset to determine a characteristic of the environment     proximate to one or more of the devices.</t>
  </si>
  <si>
    <t>US20200140547</t>
  </si>
  <si>
    <t>MULTIFUNCTIONAL ANTIBODY-LIGAND TRAPS TO MODULATE IMMUNE TOLERANCE</t>
  </si>
  <si>
    <t>16/615785</t>
  </si>
  <si>
    <t>Bedi; Atul; (Baltimore, MD); Ravi; Rajani; (Baltimore, MD)</t>
  </si>
  <si>
    <t>A61K 2039/505 20130101;  C07K 2319/30 20130101;  C07K 16/2818 20130101;  A61P 35/00 20180101;  A61K 45/06 20130101;  C07K 16/2863 20130101;  C07K 16/2827 20130101;  C07K 2317/31 20130101;  C07K 16/2866 20130101;  C07K 16/2803 20130101;  A61K 39/3955 20130101;  C07K 16/2878 20130101</t>
  </si>
  <si>
    <t>The invention provides multifunctional antibody-ligand traps and methods     of using them to counteract immune tolerance and/or immune dysfunction.     The multifunctional antibody-ligand traps and fusion proteins of the     invention can counteract immune dysfunction in order to restore and     unleash antitumor or pathogen-directed immune responses. Provided here     are promising immunotherapeutic agents for treatment and prevention of     cancers, infectious diseases, and immuno-inflammatory disorders.</t>
  </si>
  <si>
    <t>US20200138749</t>
  </si>
  <si>
    <t>PHARMACEUTICAL COMPOSITION FOR VIRAL INFECTIONS</t>
  </si>
  <si>
    <t>16/593422</t>
  </si>
  <si>
    <t>THE ADMINISTRATORS OF THE TULANE EDUCATIONAL FUND</t>
  </si>
  <si>
    <t>THE ADMINISTRATORS TULANE EDUCATIONAL FUND</t>
  </si>
  <si>
    <t>ROY; Chad; (Madisonville, LA)</t>
  </si>
  <si>
    <t>A61P 31/20 20180101;  A61P 31/14 20180101;  A61P 31/22 20180101;  A61K 31/14 20130101;  A61P 31/18 20180101</t>
  </si>
  <si>
    <t>Disclosed herein are topical compositions comprising a quaternary     ammonium salt and optionally ammonium chloride and/or stabilized chlorine     dioxide. Also disclosed herein are methods of reducing the severity     and/or duration of a dermal and or mucosal infection such as herpes or     shingles. Also disclosed herein are methods of preventing the spread of a     viral infection such as HIV. Also disclosed herein are methods of     treating a viral infection such as keratoconjunctivitis.</t>
  </si>
  <si>
    <t>US20200126664</t>
  </si>
  <si>
    <t>SUPPORT SYSTEM FOR ESTIMATING AN INTERNAL STATE OF A TARGET SYSTEM</t>
  </si>
  <si>
    <t>16/619386</t>
  </si>
  <si>
    <t>AXION RESEARCH INC.</t>
  </si>
  <si>
    <t>AXION RESEARCH</t>
  </si>
  <si>
    <t>SATO; Tomoyoshi; (Ibaraki, JP)</t>
  </si>
  <si>
    <t>G16H 50/20 20180101;  G06Q 50/22 20130101;  G06N 20/00 20190101;  G16H 50/70 20180101;  G16H 10/60 20180101;  G06N 5/04 20130101;  G06N 99/00 20130101;  G16H 50/30 20180101</t>
  </si>
  <si>
    <t>A support system (10) estimates the internal state of a target system and     includes: an inference module (22) configured to output a first estimated     state estimated according to at least one predetermined rule, based on     first test data; an AI module (21) that includes a learning module (210)     configured to learn to estimate a state of the target system based on the     first test data and the first estimated state, and is configured to     output a second estimated state for second test data; a verification     module (23) configured to verify the accuracy of the state estimated by     the inference module and the state estimated by the artificial     intelligence module; and a determination module (28) that switches     priority rankings between the state estimated by the inference module and     the state estimated by the artificial intelligence module to output,     based on a verification result of the verification module.</t>
  </si>
  <si>
    <t>US20200124599</t>
  </si>
  <si>
    <t>ACCURATE, RAPID AND CONVENIENT SINGLE-STEP DISEASE DIAGNOSTIC METHOD USING     SELF-AMPLIFICATION PRINCIPLE OF DETECTION SIGNAL</t>
  </si>
  <si>
    <t>16/604806</t>
  </si>
  <si>
    <t>KOREA UNIVERSITY RESEARCH AND BUSINESS FOUNDATION</t>
  </si>
  <si>
    <t>LEE; Jeewon; (Seoul, KR); KWON; Jeong-Hyeok; (Seongnam-si, KR)</t>
  </si>
  <si>
    <t>G01N 33/56988 20130101;  G01N 33/52 20130101;  G01N 33/553 20130101;  G01N 33/6893 20130101</t>
  </si>
  <si>
    <t>A method for detecting a disease marker using self-amplification of a     detection signal is disclosed. The method can include (a) a step of     simultaneously inducing an antigen-antibody immune response and an Au     particle formation reaction by reduction of Au ions in an assay solution     prepared by, to a pre-assay solution in which all of an antibody or     antigen for detection of a disease-specific marker, free Au ions, and     adsorbed Au ions are present, adding a sample, which contains a     disease-specific antigen or antibody binding specifically to the antibody     or the antigen, and a reducing agent; and (b) a step of confirming the     presence or absence of a disease-specific marker by a chromogenic     reaction through the Au particle formation.</t>
  </si>
  <si>
    <t>US20200123235</t>
  </si>
  <si>
    <t>BIOMIMETIC POLYMERS FOR THE PREVENTION AND TREATMENT OF VIRAL DISEASES</t>
  </si>
  <si>
    <t>16/733734</t>
  </si>
  <si>
    <t>RENSAVIR, INC.</t>
  </si>
  <si>
    <t>RENSAVIR</t>
  </si>
  <si>
    <t>Martin; Mark T.; (Rockville, US); Rees; Anthony R.; (Uppsala, SE)</t>
  </si>
  <si>
    <t>G01N 2430/60 20130101;  G01N 2333/08 20130101;  A61M 1/3486 20140204;  A61L 2/23 20130101;  C08F 222/102 20200201;  A61M 1/34 20130101;  C08F 220/28 20130101;  C08F 220/06 20130101;  C07K 16/1027 20130101;  A01N 25/00 20130101;  G01N 33/56983 20130101;  C08F 220/281 20200201;  G01N 2500/04 20130101;  C07K 16/10 20130101;  A61M 1/3601 20140204;  A61K 2039/505 20130101;  G01N 33/68 20130101;  C08F 222/1006 20130101;  G01N 2333/135 20130101;  G01N 2500/20 20130101;  A01N 37/18 20130101;  A01N 37/06 20130101;  A61M 2202/206 20130101;  C07K 2318/20 20130101</t>
  </si>
  <si>
    <t>Antiviral biomimetic polymers (ABPs) are disclosed that can be used to     prevent and/or treat viral disease. The ABPs are discovered by a process     involving high-throughput screening of polymer libraries using     disease-relevant bioactive molecules as target molecules. ABPs can be     nanoscale (termed nanoABPs) or larger. Methods are described for the     preparation and use of ABPs as prophylactics and therapeutics (in vivo)     and as preventative agents, for example, in personal protective equipment     (ex vivo). ABPs can be used to prevent and treat viral diseases including     those caused by Filoviridae.</t>
  </si>
  <si>
    <t>US20200123132</t>
  </si>
  <si>
    <t>ANTIVIRAL COMPOUNDS</t>
  </si>
  <si>
    <t>16/421330</t>
  </si>
  <si>
    <t>Bacon; Elizabeth M.; (Burlingame, CA); Cottell; Jeromy J.; (Redwood City, CA); Katana; Ashley Anne; (Fairview Park, OH); Kato; Darryl; (San Francisco, CA); Krygowski; Evan S.; (Washington, DC); Link; John O.; (San Francisco, CA); Taylor; James G.; (San Mateo, CA); Tran; Chinh; (San Diego, CA); Trejo Martin; Teresa Alejandra; (Belmont, CA); Yang; Zheng-Yu; (Palo Alto, CA); Zipfel; Sheila; (San Mateo, CA)</t>
  </si>
  <si>
    <t>A61K 31/4184 20130101;  C07D 513/04 20130101;  C07D 491/113 20130101;  A61K 31/5377 20130101;  A61K 31/4178 20130101;  C07D 471/08 20130101;  C07D 491/107 20130101;  C07D 417/14 20130101;  A61P 31/14 20180101;  A61P 31/18 20180101;  A61P 43/00 20180101;  C07D 495/04 20130101;  A61P 31/00 20180101;  A61P 1/16 20180101;  A61P 31/12 20180101;  A61K 45/06 20130101;  C07D 493/04 20130101;  C07D 403/14 20130101;  C07D 405/14 20130101;  C07D 491/10 20130101;  A61K 31/4188 20130101;  A61K 31/4178 20130101;  A61K 2300/00 20130101;  A61K 31/4184 20130101;  A61K 2300/00 20130101;  A61K 31/4188 20130101;  A61K 2300/00 20130101</t>
  </si>
  <si>
    <t>The invention is related to anti-viral compounds, compositions containing     such compounds, and therapeutic methods that include the administration     of such compounds, as well as to processes and intermediates useful for     preparing such compounds.</t>
  </si>
  <si>
    <t>US20200118692</t>
  </si>
  <si>
    <t>SYSTEM FOR COLLECTING AND DISPLAYING DIAGNOSTICS FROM DIAGNOSTIC     INSTRUMENTS</t>
  </si>
  <si>
    <t>16/714618</t>
  </si>
  <si>
    <t>QUIDEL CORPORATION</t>
  </si>
  <si>
    <t>QUIDEL</t>
  </si>
  <si>
    <t>BOOKER; David Dickson; (Albuquerque, NM); MILLER; Cheryl Marie; (Evanston, IL)</t>
  </si>
  <si>
    <t>G06F 16/951 20190101;  G16H 50/80 20180101;  G01N 33/48792 20130101;  G16H 10/40 20180101</t>
  </si>
  <si>
    <t>A system including multiple diagnostic instruments, each diagnostic     instrument including a detector that interacts with a test assay is     provided. At least one diagnostic instrument is configured to     automatically associate the test assay with multiple values to generate a     diagnostic. The diagnostic may be stored within a memory of the     diagnostic instrument, and the multiple values may be related to one or     more of: a test assay identifier, a test assay result, a patient     identifier, and a diagnostic instrument identifier. At least one     diagnostic instrument in the system may be configured to transmit the     diagnostic to a first server for storage. The first server being     configured to generate a report based on the diagnostic from each     diagnostic instrument for display on a second server or on an end-user     workstation. Methods for use the above system are also provided.</t>
  </si>
  <si>
    <t>US20200117840</t>
  </si>
  <si>
    <t>INJECTION OF SIMULATED SOURCES IN A SYSTEM OF NETWORKED SENSORS</t>
  </si>
  <si>
    <t>16/713566</t>
  </si>
  <si>
    <t>PASSPORT SYSTEMS, INC.</t>
  </si>
  <si>
    <t>PASSPORT SYSTEMS</t>
  </si>
  <si>
    <t>Cooper; Daniel A.; (Acton, MA); Costales; James B.; (Winchester, MA); Kamieniecki; Krzysztof E.; (Acton, MA); Ledoux; Robert J.; (Harvard, MA); Thompson; Jeffrey K.; (Freemont, CA); Korbly; Stephen E.; (Acton, MA)</t>
  </si>
  <si>
    <t>G08B 21/12 20130101;  G06F 30/20 20200101;  G08B 29/14 20130101;  G06N 20/00 20190101;  G09B 9/00 20130101;  H04L 67/12 20130101;  G06N 5/04 20130101;  G16H 50/80 20180101</t>
  </si>
  <si>
    <t>Simulated sources can be injected into a networked system for use in     training and/or testing.</t>
  </si>
  <si>
    <t>US20200108140</t>
  </si>
  <si>
    <t>ANTIBODIES TO IL-6 AND USE THEREOF</t>
  </si>
  <si>
    <t>16/550625</t>
  </si>
  <si>
    <t>VITAERIS INC.</t>
  </si>
  <si>
    <t>VITAERIS</t>
  </si>
  <si>
    <t>GARCIA-MARTINEZ; Leon F.; (Woodinville, WA); Carvalho Jensen; Anne Elisabeth; (Mill Creek, WA); Anderson; Katie; (Kirkland, WA); Dutzar; Benjamin H.; (Seattle, WA); Latham; John A.; (Seattle, WA); Kovacevich; Brian R.; (Snohomish, WA); Smith; Jeffrey T.L.; (Dublin, IE); Litton; Mark; (Seattle, WA); Schatzman; Randall; (Redmond, WA)</t>
  </si>
  <si>
    <t>A61K 51/1033 20130101;  A61P 9/10 20180101;  A61P 17/02 20180101;  A61P 19/00 20180101;  C07K 2317/56 20130101;  C07K 2317/90 20130101;  A61K 49/0058 20130101;  A61P 3/10 20180101;  A61P 25/00 20180101;  A61P 35/02 20180101;  A61P 37/06 20180101;  A61K 38/2013 20130101;  A61P 35/00 20180101;  Y02A 50/412 20180101;  A61P 7/06 20180101;  A61P 9/12 20180101;  A61P 31/18 20180101;  C07K 16/462 20130101;  Y02A 50/58 20180101;  A61K 45/06 20130101;  C07K 2317/76 20130101;  A61K 39/3955 20130101;  A61P 37/02 20180101;  A61P 9/04 20180101;  C07K 2317/33 20130101;  C07K 2317/41 20130101;  A61P 7/00 20180101;  A61P 7/04 20180101;  A61P 13/12 20180101;  A61P 29/00 20180101;  A61P 43/00 20180101;  G01N 33/6863 20130101;  A61P 5/14 20180101;  A61K 31/454 20130101;  A61P 17/06 20180101;  A61P 1/16 20180101;  A61P 33/06 20180101;  C07K 2317/24 20130101;  C07K 2317/92 20130101;  A61K 38/208 20130101;  A61P 1/02 20180101;  C07K 2317/94 20130101;  A61P 3/04 20180101;  A61P 21/00 20180101;  A61P 31/12 20180101;  A61P 19/10 20180101;  A61K 2039/505 20130101;  A61P 9/00 20180101;  A61P 17/00 20180101;  A61P 25/24 20180101;  A61P 37/08 20180101;  A61P 1/04 20180101;  A61P 1/18 20180101;  A61P 15/06 20180101;  C07K 2317/565 20130101;  A61P 19/08 20180101;  A61P 7/02 20180101;  A61P 19/02 20180101;  C07K 16/248 20130101;  C07K 2317/34 20130101;  A61P 17/14 20180101;  A61P 31/04 20180101;  A61K 2039/545 20130101;  A61P 13/08 20180101;  A61P 9/02 20180101;  A61P 11/00 20180101;  A61P 25/28 20180101;  A61K 49/0004 20130101;  A61P 31/16 20180101</t>
  </si>
  <si>
    <t>The present invention is directed to therapeutic methods using IL-6     antagonists such as an Ab1 antibody or anti-body fragment having binding     specificity for IL-6 to prevent or treat disease or to improve     survivability or quality of lift of a patient in need thereof. In     preferred embodiments these patients will comprise those exhibiting (oral     risk of developing) an elevated serum C-reactive protein level reduced     serum albumin level, elevated D-dimer or other coagulation cascade     related protein(s), cachexia, fever, weakness and/or fatigue prior to     treatment. The subject therapies also may include the administration of     other actives such as chemotherapeutics, anti-coagulants, statins, and     others. Additional preferred embodiments of the subject invention relate     to therapeutic compositions and methods treating or preventing rheumatoid     arthritis, especially subcutaneous and intro-venous formulations and     dosage regimens using IL-6 antagonists according to the invention, as     well as methods for preventing or treating GVHD or leukemia relapse in     subjects receiving transplanted cells, tissue or organs, use thereof fat     the treatment or prevention of mucositis, and use thereof to potentiate     the cytotoxic, apoptotic, and anti-metastatic or anti-invasive effects of     chemotherapeutics and radiation on canoers, especially cancers that have     developed a resistance to radiation or chemotherapy, such as an EGFR     inhibitor.</t>
  </si>
  <si>
    <t>US20200108086</t>
  </si>
  <si>
    <t>ANTIVIRAL SUPPLEMENT FORMULATIONS</t>
  </si>
  <si>
    <t>16/582657</t>
  </si>
  <si>
    <t>VYMEDIC, LLC</t>
  </si>
  <si>
    <t>VYMEDIC</t>
  </si>
  <si>
    <t>Phillips; Kenneth E.; (Tulsa, OK); Winning; Cynthia A.; (Parker, CO)</t>
  </si>
  <si>
    <t>A61P 31/16 20180101;  Y02A 50/465 20180101;  A61K 31/4415 20130101;  A61K 31/221 20130101;  A61K 45/06 20130101;  A61P 31/14 20180101;  A61K 31/7028 20130101;  A61K 31/145 20130101;  A61P 31/12 20180101;  A61K 31/7048 20130101;  A61K 31/513 20130101;  A61K 31/44 20130101;  A61K 31/455 20130101;  A61K 31/198 20130101;  A61K 31/185 20130101;  A61K 31/375 20130101;  A61K 31/185 20130101;  A61K 2300/00 20130101;  A61K 31/198 20130101;  A61K 2300/00 20130101;  A61K 31/221 20130101;  A61K 2300/00 20130101;  A61K 31/375 20130101;  A61K 2300/00 20130101;  A61K 31/4415 20130101;  A61K 2300/00 20130101;  A61K 31/513 20130101;  A61K 2300/00 20130101;  A61K 31/7048 20130101;  A61K 2300/00 20130101</t>
  </si>
  <si>
    <t>The disclosure provides an oral antiviral supplement composition     comprising a lysine, an ascorbic compound, a flavonoid glycoside, a     threonine, and a pyridoxine. The disclosure also provides a method of     reducing viral replication in a cell comprising treating a virus-infected     cell with a composition of the disclosure. The disclosure further     provides a method for the treatment and prophylaxis of a viral infection     in a patient comprising administering a composition of the disclosure.</t>
  </si>
  <si>
    <t>US20200101142</t>
  </si>
  <si>
    <t>PDE5 COMPOSITIONS AND METHODS FOR IMMUNOTHERAPY</t>
  </si>
  <si>
    <t>16/621593</t>
  </si>
  <si>
    <t>THE CONSULTING BIOCHEMIST, LLC</t>
  </si>
  <si>
    <t>CONSULTING BIOCHEMIST</t>
  </si>
  <si>
    <t>SURI; Vipin; (Belmont, MA); DELABARRE; Byron; (Arlington, MA); GLADSTONE; Michael N.; (Cambridge, MA); RICHARDSON; Celeste; (Brookline, MA); DOLINSKI; Brian; (Cambridge, MA); KULKARNI; Abhishek; (Brookline, MA); INNISS; Mara Christine; (Beverly, MA); SUN; Dexue; (Cambridge, MA); LI; Dan Jun; (Cambridge, MA); OLINGER; Grace Y.; (Cambridge, MA); HELLER; Scott Francis; (Stoughton, MA)</t>
  </si>
  <si>
    <t>C12Y 301/04035 20130101;  C07K 2319/03 20130101;  C07K 2317/622 20130101;  C07K 14/70578 20130101;  A61P 35/00 20180101;  A61K 35/17 20130101;  C07K 14/7155 20130101;  C07K 16/2803 20130101;  C07K 2317/53 20130101;  C07K 2319/33 20130101;  C07K 14/7051 20130101;  C07K 14/5443 20130101;  C07K 14/70517 20130101;  C07K 2319/02 20130101;  A61K 38/1793 20130101;  A61K 2039/505 20130101;  A61K 38/465 20130101;  A61K 38/177 20130101;  A61K 38/2086 20130101;  C07K 2319/30 20130101;  C12N 9/16 20130101;  A61K 31/4985 20130101;  A61K 39/3955 20130101;  A61K 38/1774 20130101</t>
  </si>
  <si>
    <t>The present invention relates to compositions and methods for the     regulated and controlled expression of proteins. Methods for inducing     anti-cancer immune responses in a subject are also provided.</t>
  </si>
  <si>
    <t>US20200101087</t>
  </si>
  <si>
    <t>PHARMACEUTICAL COMPOSITIONS AND METHODS</t>
  </si>
  <si>
    <t>16/690282</t>
  </si>
  <si>
    <t>POP TEST ONCOLOGY LLC</t>
  </si>
  <si>
    <t>POP TEST ONCOLOGY</t>
  </si>
  <si>
    <t>Altschul; Randice Lisa; (Cliffside Park, NJ); Theise; Neil David; (New York, NY); Kesel; Andreas J.; (Munich, DE); Rapkin; Myron; (Indianapolis, IN); O'Brien; Rebecca; (Shell Knob, MO); Arment; Anthony; (Fairborn, OH)</t>
  </si>
  <si>
    <t>A61K 31/513 20130101;  C07H 19/067 20130101;  A61K 45/06 20130101;  C07H 19/06 20130101;  A61K 31/485 20130101;  A61K 31/7068 20130101;  C07J 17/00 20130101;  A61K 31/57 20130101;  A61K 31/58 20130101;  C07J 41/0005 20130101</t>
  </si>
  <si>
    <t>This invention relates the use of cortisol blockers (e.g., glucocorticoid     receptor [GR] antagonists) for the treating or preventing viral     infections, treating or preventing treatment resistant prostate cancer,     treating or preventing neoplasia, and treating or preventing infection     related to acute or chronic injury or disease.</t>
  </si>
  <si>
    <t>US20200093921</t>
  </si>
  <si>
    <t>ANTAGONISTS OF IL-6 TO RAISE ALBUMIN AND/OR LOWER CRP</t>
  </si>
  <si>
    <t>16/591668</t>
  </si>
  <si>
    <t>Smith; Jeffrey T.L.; (Bellevue, WA)</t>
  </si>
  <si>
    <t>A61K 39/3955 20130101;  C07K 2317/565 20130101;  A61K 49/0004 20130101;  A61P 13/08 20180101;  A61P 1/16 20180101;  A61P 7/02 20180101;  A61P 33/06 20180101;  A61P 9/04 20180101;  A61K 38/2013 20130101;  A61P 19/10 20180101;  A61P 25/28 20180101;  A61P 37/08 20180101;  A61K 31/454 20130101;  A61P 15/06 20180101;  C07K 2317/33 20130101;  C07K 2317/90 20130101;  Y02A 50/58 20180101;  A61K 38/208 20130101;  A61P 1/04 20180101;  A61P 5/14 20180101;  A61P 35/00 20180101;  A61P 37/02 20180101;  A61P 17/02 20180101;  A61P 43/00 20180101;  A61P 17/06 20180101;  A61P 25/24 20180101;  A61P 35/02 20180101;  A61P 9/12 20180101;  C07K 2317/41 20130101;  A61K 49/0058 20130101;  A61K 2039/505 20130101;  A61P 7/00 20180101;  A61P 7/04 20180101;  A61P 31/16 20180101;  C07K 16/462 20130101;  C07K 2317/34 20130101;  C07K 2317/76 20130101;  C07K 2317/94 20130101;  A61P 11/00 20180101;  A61P 13/12 20180101;  A61P 17/14 20180101;  A61P 31/18 20180101;  C07K 2317/92 20130101;  A61P 1/18 20180101;  A61P 3/04 20180101;  A61P 9/00 20180101;  A61P 31/04 20180101;  A61K 51/1033 20130101;  A61P 25/00 20180101;  A61P 29/00 20180101;  A61P 31/12 20180101;  A61P 1/02 20180101;  A61P 19/02 20180101;  A61P 19/08 20180101;  A61P 21/00 20180101;  A61K 2039/545 20130101;  A61P 9/10 20180101;  C07K 16/248 20130101;  G01N 33/6863 20130101;  A61P 3/10 20180101;  A61P 19/00 20180101;  A61P 37/06 20180101;  Y02A 50/412 20180101;  A61P 17/00 20180101;  A61K 45/06 20130101;  A61P 9/02 20180101;  A61P 7/06 20180101;  C07K 2317/24 20130101;  C07K 2317/56 20130101</t>
  </si>
  <si>
    <t>The present invention is directed to therapeutic methods using IL-6     antagonists such as antibodies and fragments thereof having binding     specificity for IL-6 to improve survivability or quality of life of a     patient in need thereof. In preferred embodiments, the anti-IL-6     antibodies will be humanized and/or will be aglycosylated. Also, in     preferred embodiments these patients will comprise those exhibiting (or     at risk of developing) an elevated serum C-reactive protein level or a     reduced serum albumin level prior to treatment. In another preferred     embodiment, the patient's Glasgow Prognostic Score will be increased and     survivability will preferably be improved.</t>
  </si>
  <si>
    <t>US20200093919</t>
  </si>
  <si>
    <t>MODIFIED PEDV SPIKE PROTEIN</t>
  </si>
  <si>
    <t>16/575106</t>
  </si>
  <si>
    <t>NIKOLIN; Veljko; (Hannover, DE); GALLEI; Andreas; (Wedemark, DE)</t>
  </si>
  <si>
    <t>A61K 39/225 20130101;  C12N 15/85 20130101;  A61P 31/14 20180101</t>
  </si>
  <si>
    <t>The present invention relates to a modified porcine epidemic diarrhea     virus (PEDV) spike (S) protein. Further, the present invention relates to     immunogenic compositions comprising said modified PEDV spike protein and     methods for immunizing a subject comprising the administration of said     immunogenic composition to a subject.</t>
  </si>
  <si>
    <t>US20200093918</t>
  </si>
  <si>
    <t>INTRANASAL VECTOR VACCINE AGAINST PORCINE EPIDEMIC DIARRHEA</t>
  </si>
  <si>
    <t>16/575121</t>
  </si>
  <si>
    <t>C07K 14/005 20130101;  C12N 2760/18441 20130101;  C12N 15/86 20130101;  C12N 2770/20034 20130101;  C12N 2770/20022 20130101;  A61K 2039/543 20130101;  A61P 31/14 20180101;  C12N 2760/18451 20130101;  A61K 2039/552 20130101;  A61K 39/215 20130101;  A61K 2039/5254 20130101;  C12N 2760/18434 20130101;  C12N 7/00 20130101</t>
  </si>
  <si>
    <t>The present invention relates to the field of (vector) vaccines, and     especially to a canine distemper virus (CDV) vector comprising a     heterologous nucleotide sequence which encodes a porcine epidemic     diarrhea virus (PEDV) antigen. Said PEDV antigen is preferably a PEDV     spike (S) protein. The viral vector of the present invention is useful     for producing an immunogenic composition or vaccine for intranasally     immunizing sows, and thereby protecting piglets, suckled by said sows,     against the clinical signs associated with a PEDV infection.</t>
  </si>
  <si>
    <t>US20200087709</t>
  </si>
  <si>
    <t>DIRECT-TO-CONSUMER GENOMIC DIAGNOSTIC DEVICE</t>
  </si>
  <si>
    <t>16/352083</t>
  </si>
  <si>
    <t>MICROINVESTIGATE LLC</t>
  </si>
  <si>
    <t>MICROINVESTIGATE</t>
  </si>
  <si>
    <t>BRACHT; John; (Washington, DC); NELSON; Megan; (Arlington, VA); BELLOWS; William; (Lincoln, VA); WALTERS-CONTE; Kathryn; (Silver Spring, MD)</t>
  </si>
  <si>
    <t>C12Q 1/6844 20130101;  C12Q 2522/101 20130101;  C12Q 1/6818 20130101;  C12Q 2600/16 20130101;  C12Q 1/689 20130101;  C12Q 1/6818 20130101;  C12Q 2600/158 20130101;  C12Q 2563/107 20130101;  C12Q 2565/1015 20130101;  C12Q 2527/101 20130101;  C12Q 2521/301 20130101;  C12Q 2525/119 20130101</t>
  </si>
  <si>
    <t>A point-of-care diagnostic system comprising a method and related device     is provided for detecting and/or quantitating pathogens and/or     antimicrobial resistance in a sample, such as a bodily fluid. In various     embodiments, the described method comprises Recombinase Polymerase Assay     (RPA) using specifically designed primer sets and probes. In various     embodiments, the described system comprises a detection module, and a     data analysis and processing module, where the detection module comprises     a fluid handling system for performing Recombinase Polymerase Assay (RPA)     on the sample.</t>
  </si>
  <si>
    <t>US20200087684</t>
  </si>
  <si>
    <t>METHOD OF DETECTING AND/OR IDENTIFYING ADENO-ASSOCIATED VIRUS (AAV)     SEQUENCES AND ISOLATING NOVEL SEQUENCES IDENTIFIED THEREBY</t>
  </si>
  <si>
    <t>16/698412</t>
  </si>
  <si>
    <t>Gao; Guangping; (Westborough, MA); Wilson; James M.; (Philadelphia, PA); Alvira; Mauricio R.; (Philadelphia, PA)</t>
  </si>
  <si>
    <t>A61P 25/00 20180101;  A61P 1/04 20180101;  A61P 21/00 20180101;  C12N 2750/14121 20130101;  C12N 2750/14122 20130101;  C12N 2830/48 20130101;  A61K 38/177 20130101;  C12N 2750/14143 20130101;  A61P 7/04 20180101;  C12N 2750/14162 20130101;  C12N 2750/14171 20130101;  A61P 5/14 20180101;  A61P 37/02 20180101;  C12N 2750/14152 20130101;  C07K 14/005 20130101;  A61K 38/4846 20130101;  A61P 11/00 20180101;  A61P 3/10 20180101;  C12N 2830/85 20130101;  C12Q 2600/158 20130101;  C12N 7/00 20130101;  A61P 19/02 20180101;  A61P 17/06 20180101;  C12N 2830/008 20130101;  C12N 2750/14151 20130101;  A61P 9/00 20180101;  A61P 37/06 20180101;  A61K 48/00 20130101;  C12N 15/86 20130101;  A61P 29/00 20180101;  C12N 2830/90 20130101;  C12Q 1/701 20130101;  C12Y 304/21022 20130101</t>
  </si>
  <si>
    <t>Adeno-associated virus rh.20 sequences, vectors containing same, and     methods of use are provided.</t>
  </si>
  <si>
    <t>US20200087391</t>
  </si>
  <si>
    <t>16/421803</t>
  </si>
  <si>
    <t>AlderBio Holdings LLC</t>
  </si>
  <si>
    <t>ALDERBIO</t>
  </si>
  <si>
    <t>GARCIA-MARTINEZ; Leon F.; (Woodinville, WA); CARVALHO JENSEN; Anne Elisabeth; (Mill Creek, WA); ANDERSON; Katie; (Kirkland, WA); DUTZAR; Benjamin H.; (Seattle, WA); OJALA; Ethan W.; (Snohomish, WA); KOVACEVICH; Brian R.; (Snohomish, WA); LATHAM; John A.; (Seattle, WA); SMITH; Jeffrey T.L.; (Dublin, GB)</t>
  </si>
  <si>
    <t>C07K 2317/24 20130101;  C12N 9/64 20130101;  C07K 2317/41 20130101;  C07K 2317/76 20130101;  C12N 9/60 20130101;  C07K 2317/34 20130101;  C07K 2317/565 20130101;  C07K 16/248 20130101;  C12N 15/81 20130101;  C07K 2317/56 20130101;  C07K 2317/92 20130101;  A61P 35/00 20180101;  A61K 2039/505 20130101;  C12P 21/02 20130101</t>
  </si>
  <si>
    <t>The present invention is directed to antibodies and fragments thereof and     humanized versions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</si>
  <si>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US20200087337</t>
  </si>
  <si>
    <t>2'-CHLORO AMINOPYRIMIDINONE AND PYRIMIDINE DIONE NUCLEOSIDES</t>
  </si>
  <si>
    <t>16/565888</t>
  </si>
  <si>
    <t>Clarke; Michael O' Neil Hanrahan; (Redwood City, CA); Mackman; Richard L.; (Millbrae, CA); Siegel; Dustin; (Half Moon Bay, CA)</t>
  </si>
  <si>
    <t>C07H 19/06 20130101;  A61K 31/7072 20130101;  C07H 19/073 20130101;  A61P 31/14 20180101;  A61K 31/7068 20130101;  A61P 31/12 20180101;  A61P 11/00 20180101;  C07H 19/10 20130101</t>
  </si>
  <si>
    <t>Provided herein are formulations, methods and substituted 2'-chloro     aminopyrimidinone and pyrimidine dione compounds of Formula (I) for     treating Pneumovirinae virus infections, including respiratory syncytial     virus infections, as well as methods and intermediates for synthesis of     substituted 2'-chloro aminopyrimidinone and pyrimidine dione compounds.  ##STR00001##</t>
  </si>
  <si>
    <t>US20200087313</t>
  </si>
  <si>
    <t>NUCLEAR TRANSPORT MODULATORS AND USES THEREOF</t>
  </si>
  <si>
    <t>16/394986</t>
  </si>
  <si>
    <t>KARYOPHARM THERAPEUTICS INC.</t>
  </si>
  <si>
    <t>KARYOPHARM THERAPEUTICS</t>
  </si>
  <si>
    <t>Sandanayaka; Vincent P.; (Northboro, MA); Shacham; Sharon; (Newton, MA); Kauffman; Michael; (Newton, MA); Shechter; Sharon; (Andover, MA); McCauley; Dilara; (Arlington, MA); Landesman; Yosef; (Brookline, MA); Senapedis; William; (Millis, MA); Saint-Martin; Jean-Richard; (Randolph, MA)</t>
  </si>
  <si>
    <t>C07D 401/06 20130101;  C07D 401/08 20130101;  C07D 401/14 20130101;  A61P 13/12 20180101;  A61P 43/00 20180101;  C07D 413/12 20130101;  A61P 35/00 20180101;  C07D 403/06 20130101;  C07D 405/14 20130101;  A61P 31/12 20180101;  C07D 487/10 20130101;  C07D 403/14 20130101;  C07D 401/12 20130101;  A61P 29/00 20180101;  C07D 403/12 20130101;  C07D 213/50 20130101</t>
  </si>
  <si>
    <t>The invention generally relates to nuclear transport modulators, e.g.,     CRM1 inhibitors, and more particularly to a compound represented by     formula I:  ##STR00001## or a pharmaceutically acceptable salt thereof, wherein the variables are     as defined and described herein. The invention also includes the     synthesis and use of a compound of structural formula I, or a     pharmaceutically acceptable salt or composition thereof, e.g., in the     treatment, modulation and/or prevention of physiological conditions     associated with CRM1 activity.</t>
  </si>
  <si>
    <t>US20200085943</t>
  </si>
  <si>
    <t>PHARMACEUTICAL COMPOSITION COMPRISING A POLYMERIC CARRIER CARGO COMPLEX     AND AT LEAST ONE PROTEIN OR PEPTIDE ANTIGEN</t>
  </si>
  <si>
    <t>16/555881</t>
  </si>
  <si>
    <t>BAUMHOF; Patrick; (Dusslingen, DE); KRAMPS; Thomas; (Tubingen, DE); VOSS; Sohnke; (Neckargemund, DE); KALLEN; Karl-Josef; (Konigsdorf, DE); FOTIN-MLECZEK; Mariola; (Sindelfingen, DE)</t>
  </si>
  <si>
    <t>A61K 39/12 20130101;  A61P 37/02 20180101;  C12N 2760/20171 20130101;  A61P 31/22 20180101;  A61K 39/0011 20130101;  A61K 2039/53 20130101;  A61P 31/04 20180101;  C12N 2760/16134 20130101;  A61K 39/205 20130101;  C12N 7/00 20130101;  C12N 2760/20134 20130101;  A61P 31/06 20180101;  C12N 2730/10171 20130101;  A61P 31/12 20180101;  Y02A 50/416 20180101;  A61K 2039/55561 20130101;  A61K 39/29 20130101;  A61K 2039/6093 20130101;  A61P 37/00 20180101;  A61K 2039/55511 20130101;  A61K 2039/55516 20130101;  A61P 35/00 20180101;  A61K 39/39 20130101;  C12N 2710/20034 20130101;  A61P 31/16 20180101;  A61K 2039/572 20130101;  A61K 48/0041 20130101;  A61P 31/14 20180101;  C12N 2710/20071 20130101;  A61P 31/00 20180101;  A61K 47/646 20170801;  A61K 39/35 20130101;  A61K 2039/575 20130101;  A61K 47/645 20170801;  A61K 39/145 20130101;  A61K 2039/5252 20130101;  A61P 31/20 20180101;  A61P 37/08 20180101;  C12N 2730/10134 20130101;  C12N 2760/16171 20130101</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</si>
  <si>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</si>
  <si>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US20200085935</t>
  </si>
  <si>
    <t>COMBINATION VACCINE FOR SWINE</t>
  </si>
  <si>
    <t>16/471606</t>
  </si>
  <si>
    <t>INTERVET INC.</t>
  </si>
  <si>
    <t>INTERVET</t>
  </si>
  <si>
    <t>Jansen; Theodorus; (Venray, NL); Witvliet; Maarten Hendrik; (Oostrum, NL)</t>
  </si>
  <si>
    <t>A61K 47/06 20130101;  A61K 2039/555 20130101;  A61K 2039/5254 20130101;  C12N 2770/10034 20130101;  A61K 2039/552 20130101;  A61K 9/1075 20130101;  A61K 2039/55511 20130101;  C12N 7/00 20130101;  A61K 47/22 20130101;  A61K 2039/55566 20130101;  A61K 2039/70 20130101;  A61K 39/12 20130101;  A61K 39/04 20130101;  C12N 2750/10034 20130101;  A61K 39/105 20130101;  A61K 9/19 20130101;  A61K 39/0241 20130101</t>
  </si>
  <si>
    <t>The present invention relates to a combination vaccine for swine,     comprising non-replicating antigen from porcine circovirus type 2 (PCV2),     and live porcine reproductive and respiratory syndrome virus (PRRSV); the     combination vaccine is formulated as an oil-in-water emulsion, and is     adjuvated with squalane and vitamin E-acetate. This combination vaccine     was found to be immunologically effective against all pathogens: PCV2,     and PRRSV.</t>
  </si>
  <si>
    <t>US20200085852</t>
  </si>
  <si>
    <t>EPIDERMAL MRNA VACCINE</t>
  </si>
  <si>
    <t>15/749778</t>
  </si>
  <si>
    <t>FOTIN-MLECZEK; Mariola; (Sindelfingen, DE)</t>
  </si>
  <si>
    <t>A61K 39/00 20130101;  A61K 2039/54 20130101;  A61K 31/7105 20130101;  A61K 2039/53 20130101</t>
  </si>
  <si>
    <t>The invention concerns the field of genetic vaccination, in particular     RNA vaccines. The present invention provides an mRNA for use in the     treatment and/or prevention of a disease, wherein the mRNA is     administered to the epidermis. Furthermore, the invention provides     compositions comprising the mRNA for epidermal administration or kits     comprising the mRNA for epidermal administration. Moreover, the invention     concerns the medical use of the mRNA or compositions comprising the mRNA,     wherein the mRNA or compositions comprising the mRNA are administered to     the epidermis.</t>
  </si>
  <si>
    <t>US20200082947</t>
  </si>
  <si>
    <t>Methods and Systems for Pedigree Enrichment and Family-Based Analyses     Within Pedigrees</t>
  </si>
  <si>
    <t>16/563222</t>
  </si>
  <si>
    <t>Staples; Jeffrey; (Tarrytown, NY); Gonzaga-Jauregui; Claudia; (Tarrytown, NY); Reid; Jeffrey; (Tarrytown, NY); Habegger; Lukas; (Tarrytown, NY)</t>
  </si>
  <si>
    <t>G16H 50/80 20180101;  G06N 3/126 20130101;  G16H 10/60 20180101</t>
  </si>
  <si>
    <t>Methods, non-transitory computer-implemented methods and systems for     creating enriched pedigree are provided. Also provided are methods,     non-transitory computer-implemented methods and systems for determining a     disease-causing variant.</t>
  </si>
  <si>
    <t>US20200080133</t>
  </si>
  <si>
    <t>ANALYTIC DEVICE</t>
  </si>
  <si>
    <t>16/571535</t>
  </si>
  <si>
    <t>DeJohn; Marc Dominic; (Philadelphia, PA); vanWestrienen; Jesse Wilson; (Philadelphia, PA); Maksutovic; Maximilian; (Philadelphia, PA)</t>
  </si>
  <si>
    <t>B01L 2300/0627 20130101;  C12Q 1/686 20130101;  B01L 7/52 20130101;  B01L 2300/0609 20130101;  B01L 2300/1805 20130101;  B01L 2200/147 20130101;  B01L 2200/025 20130101;  B01L 2300/1894 20130101;  G01N 2035/00881 20130101;  B01L 2300/1844 20130101;  B01L 2300/023 20130101;  G01N 2035/00445 20130101;  G01N 35/00871 20130101;  B01L 2300/1822 20130101;  B01L 2200/028 20130101;  G01N 2021/7786 20130101;  B01L 2300/1827 20130101;  B01L 2300/0832 20130101;  B01L 2300/0654 20130101;  G01N 2035/00366 20130101;  G01N 21/77 20130101</t>
  </si>
  <si>
    <t>An analytic device comprising a device housing, a dock to receive a     camera enabled mobile electronic device, such as a smartphone and other     smart devices, and a processing device to communicate with the mobile     electronic device and to control a condition of the assay tube, such as     temperature. In another example, the analytic device comprises a device     housing and a circuit board. A processing device, a heating block     defining a recess to support assay tube, and a resistive heater are     surface mounted to the circuit board. A light source and a fan are also     provided. A dock may be provided to support a mobile electronic device.     The mobile electronic device communicates with the processing device to     cause the application of reaction conditions to the assay tube, to     perform a PCR procedure, for example. Methods are also disclosed.</t>
  </si>
  <si>
    <t>US20200080109</t>
  </si>
  <si>
    <t>16/691227</t>
  </si>
  <si>
    <t>C12N 2750/14122 20130101;  C12N 2750/14171 20130101;  C12Q 2600/158 20130101;  A61P 9/00 20180101;  C12N 2750/14143 20130101;  A61K 38/4846 20130101;  C12N 15/86 20130101;  C12N 2830/85 20130101;  C12Y 304/21022 20130101;  A61P 3/10 20180101;  A61P 5/14 20180101;  C12N 2750/14121 20130101;  A61P 25/00 20180101;  A61K 48/00 20130101;  C07K 14/005 20130101;  C12N 2830/008 20130101;  A61P 7/04 20180101;  C12N 7/00 20130101;  A61P 37/02 20180101;  C12N 2830/48 20130101;  A61P 11/00 20180101;  C12N 2830/90 20130101;  A61K 38/177 20130101;  C12N 2750/14152 20130101;  A61P 29/00 20180101;  A61P 19/02 20180101;  A61P 1/04 20180101;  A61P 37/06 20180101;  A61P 17/06 20180101;  A61P 21/00 20180101;  C12N 2750/14151 20130101;  C12Q 1/701 20130101;  C12N 2750/14162 20130101</t>
  </si>
  <si>
    <t>Adeno-associated virus rh.10 sequences, vectors containing same, and     methods of use are provided.</t>
  </si>
  <si>
    <t>US20200080101</t>
  </si>
  <si>
    <t>EXPRESSION OF PEDV SEQUENCES IN PLANTS AND PLANT PRODUCED VACCINE FOR SAME</t>
  </si>
  <si>
    <t>16/566330</t>
  </si>
  <si>
    <t>MAZEN ANIMAL HEALTH INC</t>
  </si>
  <si>
    <t>MAZEN ANIMAL HEALTH</t>
  </si>
  <si>
    <t>Howard; John; (San Luis Obispo, CA); Egelkrout; Erin; (San Luis Obispo, CA); Hayden; Celine; (San Louis Obispo, CA)</t>
  </si>
  <si>
    <t>C12N 2770/20071 20130101;  C12N 2770/20034 20130101;  A61K 39/225 20130101;  C07K 14/005 20130101;  C12N 7/00 20130101;  A61P 31/14 20180101;  C12N 15/8258 20130101;  C12N 2770/20022 20130101</t>
  </si>
  <si>
    <t>A plant produced vaccine for Porcine Epidemic Diarrhea Virus (PEDV) is     provided where the Spike protein of the virus is expressed in a plant by     introducing into a plant a construct comprising a promoter preferentially     directing expression to seed of said plant, a nucleoic acid encoding the     Spike protein and a nucleic acid targeting expression to the endoplasmic     reticulum of the plant. The plant expresses the S1 polypeptide at levels     of at least 10 mg/kg of seed of said plant. When orally administered to     an animal, a protective response is observed including a serum antibody     response.</t>
  </si>
  <si>
    <t>US20200075173</t>
  </si>
  <si>
    <t>Method and Apparatus for Responding to the Presence of a Communicable     Condition</t>
  </si>
  <si>
    <t>16/543911</t>
  </si>
  <si>
    <t>Hill-rom Services, Inc.</t>
  </si>
  <si>
    <t>HILL-ROM</t>
  </si>
  <si>
    <t>Christie; John D.; (Batesville, IN)</t>
  </si>
  <si>
    <t>G16H 50/80 20180101;  G16H 40/20 20180101</t>
  </si>
  <si>
    <t>A method of responding to the presence of a communicable condition     includes the steps of 1) acquiring a spatial/temporal trajectory of each     member of a population of interest, 2) acquiring a spatial/temporal     trajectory of zero or more objects of interest, 3) identifying a     communicable condition associated with at least a first member of the     population, 4) and, subsequent to the identifying step, assessing     possible transfer of the communicable condition to one or more other     members of the population. The assessment is based, at least in part, on     the acquired spatial/temporal trajectories. A related apparatus includes     a processor and machine readable instructions. The instructions, when     executed by the processor, carry out the above enumerated steps 1, 2, 3     and 4.</t>
  </si>
  <si>
    <t>US20200071421</t>
  </si>
  <si>
    <t>BISPECIFIC ANTIBODY</t>
  </si>
  <si>
    <t>16/377712</t>
  </si>
  <si>
    <t>WUHAN YZY BIOPHARMA CO LTD</t>
  </si>
  <si>
    <t>WUHAN YZY BIOPHARMA</t>
  </si>
  <si>
    <t>Zhou; Pengfei; (Wuhan, CN); Zhang; Jing; (Wuhan, CN); Yan; Yongxiang; (Wuhan, CN)</t>
  </si>
  <si>
    <t>A61P 35/00 20180101;  C07K 2317/21 20130101;  C07K 16/468 20130101;  C07K 2317/51 20130101;  C07K 2317/732 20130101;  C07K 2317/64 20130101;  C07K 16/2809 20130101;  C07K 2317/31 20130101;  C07K 2317/35 20130101;  C07K 2317/515 20130101;  A61P 31/04 20180101;  C07K 2317/94 20130101;  C07K 2317/52 20130101;  C07K 2317/56 20130101;  C07K 16/32 20130101;  C07K 2317/622 20130101</t>
  </si>
  <si>
    <t>Provided are bispecific antibodies comprised of a single-chain unit     having specificity to an immune cell and a monovalent unit having     specificity to a tumor cell or a microorganism. The single-chain unit     includes a single-chain variable fragment (scFv) fused to an Fc fragment     and the monovalent unit includes a light chain and heavy chain pair. Also     provided are methods of preparing bispecific antibodies and     pharmaceutical and diagnostic uses of these antibodies.</t>
  </si>
  <si>
    <t>US20200071337</t>
  </si>
  <si>
    <t>16/378089</t>
  </si>
  <si>
    <t>Bacon; Elizabeth M.; (Burlingame, CA); Cottell; Jeromy J.; (Redwood City, CA); Katana; Ashley Anne; (North Olmsted, OH); Kato; Darryl; (San Francisco, CA); Krygowski; Evan S.; (Washington, DC); Link; John O.; (San Francisco, CA); Taylor; James G.; (Burlingame, CA); Tran; Chinh Viet; (San Diego, CA); Trejo Martin; Teresa Alejandra; (Belmont, CA); Yang; Zheng-Yu; (Palo Alto, CA); Zipfel; Sheila; (San Mateo, CA)</t>
  </si>
  <si>
    <t>A61K 31/7064 20130101;  A61K 31/7072 20130101;  A61K 38/07 20130101;  A61K 38/06 20130101;  A61P 1/16 20180101;  A61K 31/4188 20130101;  A61P 31/14 20180101;  A61K 38/21 20130101;  A61K 31/7056 20130101;  A61K 47/60 20170801;  A61K 45/06 20130101;  A61K 31/7064 20130101;  A61P 43/00 20180101;  A61K 31/4188 20130101;  A61K 31/7056 20130101;  A61P 31/12 20180101;  A61K 2300/00 20130101;  C07F 5/025 20130101;  A61K 31/7072 20130101;  Y10S 514/894 20130101;  C07D 405/12 20130101;  C07D 491/052 20130101;  A61K 2300/00 20130101;  A61K 2300/00 20130101;  A61K 2300/00 20130101</t>
  </si>
  <si>
    <t>The disclosure is related to anti-viral compounds, compositions     containing such compounds, and therapeutic methods that include the     administration of such compounds, as well as to processes and     intermediates useful for preparing such compounds.</t>
  </si>
  <si>
    <t>US20200069708</t>
  </si>
  <si>
    <t>TOPICAL ANTIVIRAL FORMULATIONS</t>
  </si>
  <si>
    <t>16/252124</t>
  </si>
  <si>
    <t>Cihlar; Tomas; (Foster City, CA); Karim; Quarraisha Abdool; (Durban, ZA); Karim; Salim S. Abdool; (Durban, ZA); Kharsany; Ayesha; (Durban, ZA); Rooney; James Francis; (Portola Valley, CA)</t>
  </si>
  <si>
    <t>A61K 31/675 20130101;  A61P 31/18 20180101;  A61K 9/0034 20130101;  A61P 31/22 20180101</t>
  </si>
  <si>
    <t>The present invention relates to formulations of antiviral compounds, in     particular [2-(6-amino-purin-9-yl)-1-methyl-ethoxymethyl]-phosphonic acid     (tenofovir, PMPA), suitable for topical application, and to their use in     the reduction of or prevention of acquisition and transmission of herpes     simplex virus.</t>
  </si>
  <si>
    <t>US20200063197</t>
  </si>
  <si>
    <t>QUANTITATIVE DETECTION AND ANALYSIS OF TARGET DNA WITH COLORIMETRIC     RT-QLAMP</t>
  </si>
  <si>
    <t>16/611799</t>
  </si>
  <si>
    <t>Meldrum; Deirdre; (Phoenix, AZ); Ci; Shufang; (Tempe, AZ); Chao; Shih-Hui (Joseph); (Phoenix, AZ); Martineau; Rhett; (Gilbert, AZ); Gao; Weimin; (Chandler, AZ)</t>
  </si>
  <si>
    <t>C12Q 1/6851 20130101;  G06T 2207/30072 20130101;  G06T 2207/10024 20130101;  G01N 21/78 20130101;  G01N 21/272 20130101;  G06T 7/0012 20130101;  C12Q 1/6844 20130101;  G16H 50/80 20180101;  C12Q 1/702 20130101;  G16B 40/10 20190201;  G06T 7/90 20170101;  C12Q 1/6844 20130101;  C12Q 2527/101 20130101;  C12Q 2537/165 20130101;  C12Q 2545/114 20130101;  C12Q 1/6851 20130101;  C12Q 2527/101 20130101;  C12Q 2537/165 20130101</t>
  </si>
  <si>
    <t>The present disclosure relates to real-time quantification using     loop-mediated isothermal amplification, in particular real-time     colorimetric reverse transcription quantitative loop-mediated isothermal     amplification (RT-qLAMP). In some embodiments, RT-qLAMP is used to     diagnose the presence of and also quantitate the amount of Zika virus in     a sample.</t>
  </si>
  <si>
    <t>US20200061185</t>
  </si>
  <si>
    <t>16/344774</t>
  </si>
  <si>
    <t>Graham; Barney; (Rockville, MD); McLellan; Jason; (Austin, TX); Ward; Andrew; (La Jolla, CA); Kirchdoerfer; Robert; (La Jolla, CA); Cottrell; Christopher; (La Jolla, CA); Joyce; Michael Gordon; (Washington, DC); Kanekiyo; Masaru; (Chevy Chase, MD); Wang; Nianshuang; (Hanover, NH); Pallesen; Jesper; (La Jolla, CA); Yassine; Hadi; (Doha, QA); Turner; Hannah; (La Jolla, CA); Corbett; Kizzmekia; (Bethesda, MD)</t>
  </si>
  <si>
    <t>A61K 39/12 20130101;  C12N 2770/20071 20130101;  A61P 31/14 20180101;  C12N 2770/20022 20130101;  C07K 14/005 20130101;  C12N 2770/20034 20130101;  A61K 39/215 20130101;  C12N 7/00 20130101</t>
  </si>
  <si>
    <t>US20200046865</t>
  </si>
  <si>
    <t>DECONTAMINATION DEVICE AND METHOD USING ULTRASONIC CAVITATION</t>
  </si>
  <si>
    <t>16/548434</t>
  </si>
  <si>
    <t>SHANE; Halden Stuart; (Beverly Hills, CA); CATO; Johnny Sullivan; (Lynwood, CA)</t>
  </si>
  <si>
    <t>A61L 2/24 20130101;  A61L 2/22 20130101;  A61L 2202/25 20130101;  A61L 2/204 20130101;  A61L 2/206 20130101;  A61L 2202/122 20130101;  A61L 2202/14 20130101;  A61L 2/10 20130101;  H05H 2245/1225 20130101;  A61L 2/202 20130101;  A61L 2/0011 20130101;  A61L 2/14 20130101;  A61L 2202/15 20130101;  A61L 2202/24 20130101;  A61L 2202/11 20130101</t>
  </si>
  <si>
    <t>US20200046826</t>
  </si>
  <si>
    <t>METHODS AND COMPOSITIONS FOR IMMUNIZATION AGAINST VIRUS</t>
  </si>
  <si>
    <t>16/431099</t>
  </si>
  <si>
    <t>ACADEMIA SINICA</t>
  </si>
  <si>
    <t>Wong; Chi-Huey; (Taipei, TW); Ma; Che; (Taipei, TW); Wang; Cheng-Chi; (Taipei, TW); Chen; Juine-Ruey; (Sansing Township, TW)</t>
  </si>
  <si>
    <t>C12N 2740/16034 20130101;  C12N 2760/16122 20130101;  A61P 31/14 20180101;  A61K 39/145 20130101;  C12N 7/00 20130101;  C07K 16/1018 20130101;  C12N 2740/11034 20130101;  A61P 31/12 20180101;  C12N 2770/24134 20130101;  A61P 31/18 20180101;  A61P 21/02 20180101;  C12N 2760/16134 20130101;  A61P 31/16 20180101;  C12N 2760/16171 20130101;  A61K 2039/55505 20130101;  C07K 2317/76 20130101;  A61K 39/12 20130101;  Y02A 50/386 20180101</t>
  </si>
  <si>
    <t>Immunogenic compositions comprising partially glycosylated viral     glycoproteins for use as vaccines against viruses are provided. Vaccines     formulated using mono-, di-, or tri-glycosylated viral surface     glycoproteins and polypeptides provide potent and broad protection     against viruses, even across strains. Pharmaceutical compositions     comprising monoglycosylated hemagglutinin polypeptides and vaccines     generated therefrom and methods of their use for prophylaxis or treatment     of viral infections are disclosed. Methods and compositions are disclosed     for influenza virus HA, NA and M2, RSV proteins F, G and SH, Dengue virus     glycoproteins M or E, hepatitis C virus glycoprotein E1 or E2 and HIV     glycoproteins gp120 and gp41.</t>
  </si>
  <si>
    <t>US20200040074</t>
  </si>
  <si>
    <t>16/356468</t>
  </si>
  <si>
    <t>Garcia-Martinez; Leon F.; (Woodinville, WA); Carvalho Jensen; Anne Elisabeth; (Mill Creek, WA); Anderson; Katie; (Kirkland, WA); Dutzar; Benjamin H.; (Seattle, WA); Ojala; Ethan W.; (Snohomish, WA); Kovacevich; Brian R.; (Snohomish, WA); Latham; John A.; (Seattle, WA); Smith; Jeffrey T.L.; (Dublin, IE)</t>
  </si>
  <si>
    <t>C12N 9/64 20130101;  A61K 2039/505 20130101;  C07K 2317/56 20130101;  C07K 2317/76 20130101;  C12N 15/81 20130101;  C07K 16/248 20130101;  C07K 2317/34 20130101;  C07K 2317/24 20130101;  C12P 21/02 20130101;  C07K 2317/92 20130101;  C12N 9/60 20130101;  C07K 2317/565 20130101;  A61P 35/00 20180101;  C07K 2317/41 20130101</t>
  </si>
  <si>
    <t>US20200040042</t>
  </si>
  <si>
    <t>16/498865</t>
  </si>
  <si>
    <t>C12N 2770/10022 20130101;  C12N 15/1034 20130101;  C07K 14/08 20130101;  C12N 2760/16122 20130101;  C12N 2760/18022 20130101;  C07K 2319/35 20130101;  C12N 2770/20022 20130101;  C12N 2760/14134 20130101;  C12N 2760/14034 20130101;  C12N 2770/10034 20130101;  C12N 2760/10034 20130101;  C12N 2770/20034 20130101;  C12N 2760/14122 20130101;  C07K 14/005 20130101;  A61P 31/14 20180101;  C12N 2740/16134 20130101;  C12N 2760/14022 20130101;  C12N 2760/18034 20130101;  C07K 2317/55 20130101;  C07K 14/15 20130101;  C07K 19/00 20130101;  C12N 2740/16122 20130101;  C12N 2760/10022 20130101;  C12N 2760/16134 20130101;  C07K 14/16 20130101</t>
  </si>
  <si>
    <t>US20200038504</t>
  </si>
  <si>
    <t>PORCINE CORONAVIRUS VACCINES</t>
  </si>
  <si>
    <t>16/481010</t>
  </si>
  <si>
    <t>ACKERMAN; Scott; (Huxley, IA); HERMANN; Joseph Ralph; (Waukee, IA); HERNANDEZ; Luis Alejandro; (Story City, IA); HOBBS; Lea Ann; (Nevada, IA); IYER; Arun V.; (Ames, IA); O'CONNER; Sean; (Ankeny, IA); PATTERSON; Abby Rea; (Story City, IA); VAUGHN; Eric Martin; (Ames, IA); VICTORIA; Joseph Gilbert; (Ames, IA)</t>
  </si>
  <si>
    <t>A61K 2039/5252 20130101;  C12N 2770/20034 20130101;  A61K 2039/552 20130101;  A61K 39/215 20130101;  A61K 39/12 20130101;  A61K 2039/70 20130101;  A61P 31/14 20180101;  C12N 2710/14071 20130101;  A61K 2039/55566 20130101;  C12N 2710/14043 20130101;  C12N 2770/20071 20130101;  C12N 7/00 20130101</t>
  </si>
  <si>
    <t>The present invention relates to a vaccine for protecting a pig against     diseases associated with corona virus infection including porcine     epidemic diarrhea virus (PEDV) and/or porcine deltacorona virus (PDCoV).     The vaccine commonly includes inactivated/killed PEDV (e.g., chemically     inactivated PED virus), and/or recombinant PEDV antigen, and/or an     adjuvant inactivated/killed PDCoV (e.g., chemically inactivated PDCoV     virus), and/or recombinant PDCoV antigen and an adjuvant. Methods for     protecting pigs against diseases associated with PEDV and/or PDCoV and     methods of producing the porcine epidemic diarrhea virus and/or porcine     deltacorona virus vaccine are also provided.</t>
  </si>
  <si>
    <t>US20200038389</t>
  </si>
  <si>
    <t>CAPSID INHIBITORS FOR THE TREATMENT OF HIV</t>
  </si>
  <si>
    <t>16/512166</t>
  </si>
  <si>
    <t>Bauer; Laura Elizabeth; (Santa Clara, CA); Chiu; Anna; (Burlingame, CA); Gorman; Eric M.; (Hayward, CA); Mulato; Andrew Stephen; (Dublin, CA); Rhee; Martin Sunkwang; (Foster City, CA); Rowe; Charles William; (San Bruno, CA); Sellers; Scott P.; (Hillsborough, CA); Stefanidis; Dimitrios; (Saratoga, CA); Tse; Winston C.; (Redwood City, CA); Yant; Stephen R.; (Boulder Creek, CA)</t>
  </si>
  <si>
    <t>A61K 31/34 20130101;  A61K 9/0019 20130101;  A61K 9/0053 20130101;  A61K 9/0095 20130101;  A61K 31/4427 20130101;  A61K 31/4439 20130101;  A61K 31/5365 20130101;  A61K 31/4418 20130101;  A61K 47/10 20130101;  A61K 9/4858 20130101;  A61P 31/18 20180101;  A61K 31/536 20130101;  A61K 31/685 20130101;  A61K 9/4825 20130101;  A61K 9/2018 20130101;  A61K 31/4427 20130101;  A61K 9/08 20130101;  A61K 31/4439 20130101;  A61K 45/06 20130101;  A61K 2300/00 20130101;  A61K 2300/00 20130101</t>
  </si>
  <si>
    <t>The present disclosure relates to compounds of Formula (Ia) and (Ib):  ##STR00001## or a pharmaceutically acceptable salt thereof, which are useful in the     treatment of an HIV infection in heavily treatment-experienced patients     with multidrug resistant HIV infection.</t>
  </si>
  <si>
    <t>US20200038373</t>
  </si>
  <si>
    <t>16/414479</t>
  </si>
  <si>
    <t>BIOGEN MA INC.</t>
  </si>
  <si>
    <t>BIOGEN</t>
  </si>
  <si>
    <t>Sandanayaka; Vincent; (Northboro, MA); Shechter; Sharon; (Andover, MA); Shacham; Sharon; (Newton, MA); McCauley; Dilara; (Arlington, MA); Baloglu; Erkan; (Stoneham, MA)</t>
  </si>
  <si>
    <t>A61P 3/04 20180101;  C07D 401/10 20130101;  A61K 31/454 20130101;  A61K 45/06 20130101;  A61P 27/02 20180101;  A61K 31/5377 20130101;  C07D 413/12 20130101;  A61P 35/02 20180101;  A61P 17/06 20180101;  A61P 35/00 20180101;  Y02A 50/465 20180101;  A61P 37/02 20180101;  A61P 17/02 20180101;  A61P 3/10 20180101;  A61P 11/00 20180101;  A61P 43/00 20180101;  A61K 31/4196 20130101;  A61P 25/00 20180101;  C07D 401/12 20130101;  A61P 29/00 20180101;  A61P 1/00 20180101;  C07D 403/12 20130101;  A61P 37/06 20180101;  A61K 31/497 20130101;  A61P 37/08 20180101;  A61P 25/28 20180101;  C07D 249/08 20130101;  A61P 31/12 20180101;  A61P 19/02 20180101</t>
  </si>
  <si>
    <t>The present invention relates to compounds of formula I:  ##STR00001## and pharmaceutically acceptable salts thereof, pharmaceutical     compositions comprising the compounds of formula I, and methods of using     said compounds, salts and compositions in the treatment of various     disorders associated with CRM1 activity.</t>
  </si>
  <si>
    <t>US20200031923</t>
  </si>
  <si>
    <t>16/297866</t>
  </si>
  <si>
    <t>C07K 2317/56 20130101;  C07K 2317/76 20130101;  A61K 45/06 20130101;  C07K 2317/34 20130101;  A61P 35/00 20180101;  C07K 2317/94 20130101;  A61K 2039/505 20130101;  A61K 39/3955 20130101;  C07K 2317/41 20130101;  A61P 21/06 20180101;  C07K 2317/565 20130101;  C07K 16/248 20130101;  C07K 2317/92 20130101;  A61K 2039/545 20130101;  A61K 39/395 20130101;  G01N 2800/52 20130101;  C07K 2317/24 20130101;  G01N 2333/4737 20130101;  G01N 2333/765 20130101</t>
  </si>
  <si>
    <t>The present invention is directed to therapeutic methods using IL-6     antagonists such as antibodies and fragments thereof having binding     specificity for IL-6 to improve survivability or quality of life of a     patient in need thereof. In preferred embodiments these patients will     comprise those exhibiting (or at risk of developing) an elevated serum     C-reactive protein level or a reduced serum albumin level prior to     treatment. In another preferred embodiment, the patient's Glasgow     Prognostic Score will be increased and survivability will preferably be     improved.</t>
  </si>
  <si>
    <t>US20200030436</t>
  </si>
  <si>
    <t>MODIFIED RSV F PROTEINS AND METHODS OF THEIR USE</t>
  </si>
  <si>
    <t>16/599568</t>
  </si>
  <si>
    <t>PUSHKO; Peter M.; (Frederick, MD); WU; Yingyun; (Clarksburg, MD); MASSARE; Michael J.; (Mt. Airy, MD); LIU; Ye; (Clarksville, MD); SMITH; Gale; (Germantown, MD); ZHOU; Bin; (Clarksburg, MD)</t>
  </si>
  <si>
    <t>C12N 2760/18562 20130101;  A61K 2039/55 20130101;  A61K 2039/575 20130101;  A61K 39/00 20130101;  A61K 39/12 20130101;  A61K 39/39 20130101;  C12N 2760/18534 20130101;  A61K 2039/5258 20130101;  C07K 14/005 20130101;  A61K 2039/545 20130101;  C07K 2319/00 20130101;  A61K 2039/54 20130101;  A61K 9/0019 20130101;  C12N 2760/18522 20130101;  A61K 2039/55505 20130101;  A61K 2039/57 20130101;  A61K 9/1075 20130101;  A61K 39/155 20130101;  A61P 31/12 20180101;  A61P 37/04 20180101;  C12N 2760/18523 20130101;  A61P 31/14 20180101;  C12N 2760/18571 20130101;  C12N 7/00 20130101</t>
  </si>
  <si>
    <t>The present invention is generally related to modified or mutated     respiratory syncytial virus fusion (F) proteins and methods for making     and using them, including immunogenic compositions such as vaccines for     the treatment and/or prevention of RSV infection.</t>
  </si>
  <si>
    <t>US20200030432</t>
  </si>
  <si>
    <t>16/494988</t>
  </si>
  <si>
    <t>A61K 31/7105 20130101;  A61P 37/04 20180101;  C12N 2760/18634 20130101;  A61K 31/7115 20130101;  A61K 39/12 20130101;  A61P 31/16 20180101;  A61K 31/7105 20130101;  A61K 2300/00 20130101;  C12N 15/86 20130101;  C12N 2760/14134 20130101;  A61K 2300/00 20130101;  A61K 2039/545 20130101;  A61K 31/7115 20130101;  A61K 2039/53 20130101;  A61P 31/14 20180101;  C12N 2770/20034 20130101</t>
  </si>
  <si>
    <t>US20200030426</t>
  </si>
  <si>
    <t>TERT IMMUNOGENIC COMPOSITIONS AND METHODS OF TREATMENT USING THE SAME</t>
  </si>
  <si>
    <t>16/337637</t>
  </si>
  <si>
    <t>WEINER; David; (Merion, PA); Yan; Jian; (Wallingford, PA)</t>
  </si>
  <si>
    <t>A61K 39/001156 20180801;  A61K 2039/575 20130101;  A61K 39/001188 20180801;  A61K 2039/53 20130101;  A61K 2039/876 20180801;  C12N 9/1276 20130101;  A61K 39/39 20130101;  A61K 45/06 20130101;  A61K 2039/572 20130101;  A61P 35/00 20180101;  C12Y 207/07049 20130101;  C07K 2319/02 20130101;  A61K 39/001189 20180801;  A61K 2039/55538 20130101;  A61K 39/001157 20180801</t>
  </si>
  <si>
    <t>Disclosed herein are compositions comprising optimized consensus TERT     antigens and methods for treating cancer and in particular immunogenic     compositions that treat and provide protection against tumor.</t>
  </si>
  <si>
    <t>US20200030425</t>
  </si>
  <si>
    <t>ANTI-ICOS AGONIST ANTIBODIES AND USES THEREOF</t>
  </si>
  <si>
    <t>16/601231</t>
  </si>
  <si>
    <t>BRISTOL-MYERS SQUIBB</t>
  </si>
  <si>
    <t>ENGELHARDT; John J.; (Fremont, CA); SELBY; Mark J.; (San Francisco, CA); KORMAN; Alan J.; (Piedmont, CA); FEINGERSH; Mary Diane; (Hayward, CA); STEVENS; Brenda L.; (Seattle, WA)</t>
  </si>
  <si>
    <t>C07K 2317/24 20130101;  A61K 39/0011 20130101;  A61K 2039/505 20130101;  C07K 2317/56 20130101;  C07K 2317/92 20130101;  A61P 35/00 20180101;  C07K 16/2818 20130101;  C07K 16/2896 20130101;  A61K 2039/507 20130101;  C07K 2317/33 20130101;  A61K 39/39558 20130101;  C07K 2317/75 20130101;  C07K 2317/21 20130101</t>
  </si>
  <si>
    <t>The present invention provides isolated monoclonal antibodies (e.g.,     humanized and human monoclonal antibodies) that bind to human Inducible T     Cell COStimulator (ICOS) and exhibit therapeutically desirable functional     properties, e.g., the ability to stimulate human ICOS activity. Nucleic     acid molecules encoding the antibodies of the invention, expression     vectors, host cells, and methods for expressing the antibodies of the     invention are also provided. Immunoconjugates, bispecific molecules, and     pharmaceutical compositions comprising the antibodies of the invention     are also provided. The antibodies of the invention can be used, for     example, as an agonist to stimulate or enhance an immune response in a     subject, e.g., antigen-specific T cell responses against a tumor or viral     antigen. The antibodies of the invention can also be used in combination     with other antibodies (e.g., PD-1, PD-L1, and/or CTLA-4 antibodies) to     treat, for example, cancer. Accordingly, the antibodies can be used in     therapeutic applications and methods to detect ICOS protein.</t>
  </si>
  <si>
    <t>US20200030422</t>
  </si>
  <si>
    <t>COMBINATION OF VACCINATION AND OX40 AGONISTS</t>
  </si>
  <si>
    <t>16/384904</t>
  </si>
  <si>
    <t>FOTIN-MLECZEK; Mariola; (Sindelfingen, DE); KALLEN; Karl-Josef; (Konigsdorf, DE); SCHMOLLINGER; Jan C.; (Munchen, DE)</t>
  </si>
  <si>
    <t>A61K 2039/55516 20130101;  Y02A 50/412 20180101;  A61K 39/0011 20130101;  Y02A 50/416 20180101;  A61K 2039/505 20130101;  C07K 16/30 20130101;  Y02A 50/403 20180101;  Y02A 50/47 20180101;  C07K 16/2878 20130101;  Y02A 50/489 20180101;  C07K 2319/30 20130101;  A61K 39/39558 20130101;  A61K 39/39 20130101;  A61K 39/0011 20130101;  C07K 2319/00 20130101;  A61K 2039/53 20130101;  Y02A 50/466 20180101;  A61K 2300/00 20130101;  A61K 2300/00 20130101;  A61K 39/39558 20130101;  A61P 35/00 20180101;  Y02A 50/487 20180101</t>
  </si>
  <si>
    <t>The present invention relates to a vaccine/agonist combination comprising     an RNA vaccine comprising at least one RNA comprising at least one open     reading frame (ORF) coding for at least one antigen and a composition     comprising at least one OX40 agonist. The present invention furthermore     relates to a pharmaceutical composition and a kit of parts comprising the     components of such a vaccine/agonist combination. Additionally the     present invention relates to medical use of such a vaccine/agonist     combination, the pharmaceutical composition and the kit of parts     comprising such a vaccine/agonist combination, particularly for the     prevention or treatment of tumor or cancer diseases or infectious     diseases. Furthermore, the present invention relates to the use of an RNA     vaccine in therapy in combination with an OX40 agonist.</t>
  </si>
  <si>
    <t>US20200030327</t>
  </si>
  <si>
    <t>ANTI-HIV COMPOUNDS</t>
  </si>
  <si>
    <t>16/525203</t>
  </si>
  <si>
    <t>Chin; Elbert; (San Mateo, CA); Kato; Darryl; (San Francisco, CA); Link; John O.; (San Francisco, CA); Shapiro; Nathan; (Belmont, CA); Yang; Zheng-Yu; (Palo Alto, CA)</t>
  </si>
  <si>
    <t>A61P 31/18 20180101;  A61K 31/4995 20130101;  A61K 31/55 20130101;  C07D 487/08 20130101;  C07D 487/04 20130101;  A61K 31/506 20130101</t>
  </si>
  <si>
    <t>The invention provides compounds having Formula (I):  ##STR00001## or a pharmaceutically acceptable salt thereof, as well as pharmaceutical     compositions comprising the same, processes for their preparation, and     methods of treating and preventing HIV infection by their administration.</t>
  </si>
  <si>
    <t>US20200027558</t>
  </si>
  <si>
    <t>A METHOD AND APPARATUS FOR AUTOMATIC DISEASE STATE DIAGNOSIS</t>
  </si>
  <si>
    <t>16/336269</t>
  </si>
  <si>
    <t>UNIVERSITY OF QUEENSLAND, THE</t>
  </si>
  <si>
    <t>UNIVERSITY QUEENSLAND</t>
  </si>
  <si>
    <t>ABEYRATNE; Udantha; (St. Lucia, Queensland, AU); KOSASIH; Keegan; (St. Lucia, Queensland, AU)</t>
  </si>
  <si>
    <t>G16H 50/50 20180101;  G06F 3/16 20130101;  H04M 1/72522 20130101;  A61B 5/1455 20130101;  G06F 9/542 20130101;  G16H 40/63 20180101;  A61B 5/7264 20130101;  A61B 5/024 20130101;  G16H 10/20 20180101;  A61B 5/0823 20130101;  G16H 50/70 20180101;  G16H 50/30 20180101;  A61B 5/0022 20130101;  A61B 5/01 20130101;  A61B 5/0816 20130101;  G16H 50/20 20180101</t>
  </si>
  <si>
    <t>A method of automatically diagnosing pneumonia in a patient includes     using an input/output interface device to obtain values of two or more     diagnostic parameters of the patient from a carer for the patient. The     method includes using a processor coupled to the input/output interface     to apply the two or more diagnostic parameters to an electronic memory     storing a plurality of precompiled pneumonia diagnostic models to     identify an optimal diagnostic model for making a diagnosis. The values     of the two or more diagnostic signs are applied to the identified optimal     diagnostic model to generate a diagnosis output. The input/output     interface device is operated in accordance with the diagnosis output to     indicate the presence or absence of pneumonia in the patient to the     carer. The carer may use the diagnosis to provide appropriate care to the     patient. The pneumonia diagnostic models are derived from investigation     of a population of pneumonia positive and non-pneumonia subjects.</t>
  </si>
  <si>
    <t>US20200023076</t>
  </si>
  <si>
    <t>RNA ENCODING AN ANTIBODY</t>
  </si>
  <si>
    <t>16/097084</t>
  </si>
  <si>
    <t>FOTIN-MLECZEK; Mariola; (Sindelfingen, DE); HOERR; Ingmar; (Stuttgart, DE)</t>
  </si>
  <si>
    <t>Y02A 50/412 20180101;  C07K 16/1282 20130101;  C07K 2317/565 20130101;  C07K 16/32 20130101;  A61K 48/0066 20130101;  C07K 16/1018 20130101;  C07K 16/2887 20130101;  C07K 16/2809 20130101;  C07K 16/10 20130101;  A61K 2039/505 20130101;  C07K 16/2863 20130101;  C07K 16/00 20130101;  C07K 16/2803 20130101;  C07K 2317/73 20130101;  C07K 16/1045 20130101;  C07K 2317/10 20130101;  C12N 15/85 20130101;  C07K 2317/52 20130101;  C07K 2317/31 20130101;  C07K 16/1027 20130101</t>
  </si>
  <si>
    <t>The present invention relates to a RNA encoding an antibody or a fragment     or variant thereof and a composition, in particular a passive vaccine,     comprising such an RNA. The present invention further relates to the use     of such an RNA or of such a composition for treatment of tumours and     cancer diseases, cardiovascular diseases, infectious diseases, autoimmune     diseases, virus diseases and monogenetic diseases, e.g. also in gene     therapy. The present invention also relates to a combination of at least     two modified RNA's, in particular wherein one RNA encodes a heavy chain     variable region of an antibody and another RNA encodes the corresponding     light chain variable region of said antibody.</t>
  </si>
  <si>
    <t>US20200017553</t>
  </si>
  <si>
    <t>16/416663</t>
  </si>
  <si>
    <t>C12N 2770/32122 20130101;  G01N 2333/09 20130101;  A61K 2039/523 20130101;  A61K 39/12 20130101;  A61M 37/00 20130101;  C12N 7/00 20130101;  A61K 2039/552 20130101;  G01N 33/56983 20130101;  G01N 2469/20 20130101;  A61P 37/04 20180101;  C07K 14/005 20130101;  A61K 2039/53 20130101;  A61K 39/39 20130101;  A61N 1/327 20130101;  C12N 2770/32134 20130101;  A61P 31/14 20180101;  A61K 39/135 20130101</t>
  </si>
  <si>
    <t>US20200017514</t>
  </si>
  <si>
    <t>ADAMANTANE DERIVATIVES FOR THE TREATMENT OF FILOVIRUS INFECTION</t>
  </si>
  <si>
    <t>16/033636</t>
  </si>
  <si>
    <t>ARISAN THERAPEUTICS INC.</t>
  </si>
  <si>
    <t>ARISAN THERAPEUTICS</t>
  </si>
  <si>
    <t>Plewe; Michael; (San Diego, CA); Brown; Eric; (San Diego, CA); Gantla; Vidyasagar; (San Diego, CA); Henkel; Gregory; (San Diego, CA); McCormack; Kenneth; (San Diego, CA); Sokolova; Nadezda; (San Diego, CA)</t>
  </si>
  <si>
    <t>C07C 235/40 20130101;  C07C 233/62 20130101;  C07D 205/04 20130101;  A61P 31/14 20180101;  C07C 2602/50 20170501;  C07D 211/98 20130101;  C07D 295/195 20130101;  C07D 487/08 20130101;  C07C 2601/14 20170501;  C07D 487/10 20130101;  C07C 2603/74 20170501;  C07D 207/12 20130101;  C07B 2200/07 20130101</t>
  </si>
  <si>
    <t>Compounds of structural Formula I were developed for the treatment of     infections by filoviruses including Ebolavirus and Marburgvirus, wherein,     R.sup.1, R.sup.2, R.sup.3, X and Y are defined in the specification.  ##STR00001##</t>
  </si>
  <si>
    <t>US20200013488</t>
  </si>
  <si>
    <t>16/382593</t>
  </si>
  <si>
    <t>Lui; Clarissa; (Menlo Park, CA); Holmes; Elizabeth A.; (San Francisco, CA); Patel; Pranav; (Fremont, CA); Tabakman; Scott; (Palo Alto, CA); Belhocine; Zahra Kamila; (Fremont, CA); Richardson; Aaron; (Palo Alto, CA); Lee; Josephine; (Hayward, CA)</t>
  </si>
  <si>
    <t>C12Q 1/68 20130101;  C12Q 1/70 20130101;  G01N 35/10 20130101;  Y02A 90/24 20180101;  C12Q 1/705 20130101;  G01N 33/56983 20130101;  Y02A 50/58 20180101;  G01N 2333/11 20130101;  G16H 20/10 20180101;  C12Q 1/703 20130101;  G01N 2469/10 20130101;  C12Q 1/706 20130101;  G01N 2035/00237 20130101;  C12Q 1/689 20130101;  C12Q 1/6844 20130101;  C12Q 2600/16 20130101;  G01N 33/56911 20130101;  G01N 33/56994 20130101;  C12Q 2521/501 20130101;  G01N 2469/20 20130101;  G01N 33/56916 20130101;  C12Q 1/6893 20130101;  C12Q 1/701 20130101;  G01N 33/56988 20130101;  Y10T 436/11 20150115;  G16H 50/20 20180101;  G16H 10/40 20180101;  C12Q 1/6895 20130101;  C12Q 2600/158 20130101;  G01N 33/56938 20130101;  C12Q 1/6806 20130101;  G01N 33/56944 20130101;  Y02A 90/26 20180101;  C12Q 1/707 20130101</t>
  </si>
  <si>
    <t>US20200009244</t>
  </si>
  <si>
    <t>16/440067</t>
  </si>
  <si>
    <t>A61K 2039/55555 20130101;  C12N 2770/24234 20130101;  A61K 39/015 20130101;  A61K 39/12 20130101;  C12N 2740/16034 20130101;  C12N 2760/18534 20130101;  C12N 2770/24134 20130101;  C12N 2760/14134 20130101;  A61K 47/6425 20170801;  A61K 39/21 20130101;  C12N 2770/20034 20130101;  A61P 33/06 20180101;  A61K 2039/55516 20130101;  A61P 31/14 20180101;  A61K 47/6929 20170801;  C12N 2760/10034 20130101;  B82Y 5/00 20130101;  A61K 39/0005 20130101;  A61P 31/18 20180101;  C12N 2740/16111 20130101</t>
  </si>
  <si>
    <t>US20200004904</t>
  </si>
  <si>
    <t>SYSTEM AND METHOD FOR MULTI-MODEL GENERATIVE SIMULATION MODELING OF     COMPLEX ADAPTIVE SYSTEMS</t>
  </si>
  <si>
    <t>16/248133</t>
  </si>
  <si>
    <t>QPX, LLC.</t>
  </si>
  <si>
    <t>QPX</t>
  </si>
  <si>
    <t>Crabtree; Jason; (Vienna, VA); Sellers; Andrew; (Monument, CO)</t>
  </si>
  <si>
    <t>G06F 30/20 20200101;  G16H 50/80 20180101;  G06N 5/047 20130101;  G06Q 40/08 20130101</t>
  </si>
  <si>
    <t>A system and method for multi-model generative simulation modeling of     complex adaptive systems, comprising a generative simulation platform, a     multidimension time series datastore, and a directed computational graph,     capable of running a multitude of simulations with complex and shifting     model data, and an optimization engine which can introduce changes into a     simulation to represent unforeseen or random changes and events to     introduce changes and shifts in the simulation that might not otherwise     occur.</t>
  </si>
  <si>
    <t>US20200004746</t>
  </si>
  <si>
    <t>16/460335</t>
  </si>
  <si>
    <t>G06T 11/206 20130101;  G06F 3/0484 20130101;  G16H 10/60 20180101;  G16H 70/60 20180101;  G16H 50/80 20180101;  G06F 16/9024 20190101;  G06T 2200/24 20130101;  H04L 67/42 20130101;  G06F 16/2455 20190101</t>
  </si>
  <si>
    <t>US20200000913</t>
  </si>
  <si>
    <t>TREATMENT METHOD AND SYSTEM FOR EPIDEMIC KERATOCONJUNCTIVITIS</t>
  </si>
  <si>
    <t>16/448650</t>
  </si>
  <si>
    <t>CSP ADVANCED SOLUTIONS INC.</t>
  </si>
  <si>
    <t>CSP ADVANCED SOLUTIONS</t>
  </si>
  <si>
    <t>Kobayashi; Masahiko; (Aichi, JP); Takasu; Masayuki; (Abiko, JP); Mizuno; Akira; (Nagoya, JP)</t>
  </si>
  <si>
    <t>A61K 41/10 20200101;  A61F 9/0008 20130101;  A61K 41/0004 20130101</t>
  </si>
  <si>
    <t>A plasma activated ophthalmic solution generating device operable to     generate a therapeutic ophthalmic solution for curing epidemic     keratoconjunctivitis includes a plasma generating electrode operable to     generate a plasma activated ophthalmic solution for epidemic     keratoconjunctivitis, wherein the plasma generating electrode is arranged     surrounding an insert space where a unit dose ophthalmic eyedrop     container with a container body, which seals a certain solution in a     sterile state, is inserted; a power supply unit; and a high voltage     generating unit, which is connected to the power supply unit, operable to     be supplied with power source from the power supply unit and to apply     high voltage electric current to the plasma generating electrode. This     configuration makes it possible to provide a novel and effective     therapeutic ophthalmic solution for epidemic keratoconjunctivitis (EKC).</t>
  </si>
  <si>
    <t>US20190392927</t>
  </si>
  <si>
    <t>PROCESS FOR PERSONALIZING BEHAVIOR TREATMENT PLANS TO CURE CHRONIC DISEASE</t>
  </si>
  <si>
    <t>16/448479</t>
  </si>
  <si>
    <t>KU ROSEMARY</t>
  </si>
  <si>
    <t>Ku; Rosemary; (San Francisco, CA)</t>
  </si>
  <si>
    <t>A61B 5/4076 20130101;  G16H 80/00 20180101;  G16H 20/70 20180101;  G16H 50/30 20180101;  A61B 5/14532 20130101;  G16H 10/20 20180101;  G16H 50/20 20180101;  A61B 5/0002 20130101;  G16H 20/30 20180101;  G16H 20/60 20180101;  G16H 50/80 20180101;  A61B 5/02 20130101;  G16H 50/50 20180101;  G16H 20/10 20180101;  G16H 10/60 20180101</t>
  </si>
  <si>
    <t>The invention is a process for integrating the science of chronic disease     reversal with individual health and psychosocial data to generate     personalized treatment plans to reverse a user's chronic condition(s).     The user is an individual who has been diagnosed with a chronic disease     and the treatment plans are delivered via web and mobile user interfaces.     The treatment plans provide daily guidance on strategic behaviors,     supplementary information on how those behaviors impact disease, and how     progress is measured. In order to optimize clinical effectiveness of the     treatment plans, the recommendations are not static but rather dynamic     and iterate based on new user data and feedback loops from compliance and     disease monitoring. Data for these feedback loops are collected     objectively through devices or by self-report through the user interface.</t>
  </si>
  <si>
    <t>US20190389816</t>
  </si>
  <si>
    <t>ANTIVIRAL COMPOUNDS AND METHODS</t>
  </si>
  <si>
    <t>16/554990</t>
  </si>
  <si>
    <t>BIOTRION CO., LTD.</t>
  </si>
  <si>
    <t>BIOTRION</t>
  </si>
  <si>
    <t>Gage; Peter William; (Via Queanbeyan, AU); Ewart; Gary Dinneen; (Hackett, AU); Wilson; Lauren Elizabeth; (Ainslie, AU); Best; Wayne; (Gosnells, AU); Premkumar; Anita; (Nicholls, AU)</t>
  </si>
  <si>
    <t>A61P 31/12 20180101;  A61K 31/165 20130101;  A61P 31/14 20180101;  A61K 31/4406 20130101;  A61K 31/381 20130101;  A61K 31/55 20130101;  A61P 11/00 20180101;  C07D 241/34 20130101;  A61P 31/00 20180101;  C07C 279/22 20130101;  A61P 1/16 20180101;  A61K 31/4965 20130101;  A61K 45/06 20130101;  A61K 31/47 20130101;  A61K 31/15 20130101;  A61P 31/16 20180101;  A61P 31/18 20180101</t>
  </si>
  <si>
    <t>The invention relates to compounds having antiviral and methods utilizing     the compounds to treat viral infections.</t>
  </si>
  <si>
    <t>US20190388535</t>
  </si>
  <si>
    <t>BACULOVIRUS AND COMPOSITION FOR DETECTION AND PREVENTING OF PORCINE     EPIDEMIC DIARRHEA VIRUS INFECTION</t>
  </si>
  <si>
    <t>16/450810</t>
  </si>
  <si>
    <t>CHAO; Yu-Chan; (Taipei, TW); HSU; Wei-Ting; (Taipei, TW); CHANG; Hui-Wen; (Taipei, TW); CHANG; Chia-Yu; (Taipei, TW)</t>
  </si>
  <si>
    <t>C12N 2710/14043 20130101;  G01N 2469/20 20130101;  A61K 39/12 20130101;  C12N 2770/20034 20130101;  A61K 2039/55544 20130101;  G01N 33/569 20130101;  C12N 15/86 20130101;  A61P 31/14 20180101;  G01N 33/56983 20130101;  C07K 14/01 20130101;  G01N 2333/165 20130101;  A61K 39/225 20130101;  A61K 2039/552 20130101</t>
  </si>
  <si>
    <t>A baculovirus displaying a porcine epidemic diarrhea virus S protein or     S1 domain thereof is provided for preventing porcine epidemic diarrhea     virus infection.</t>
  </si>
  <si>
    <t>US20190388534</t>
  </si>
  <si>
    <t>16/260557</t>
  </si>
  <si>
    <t>OSTERHAUS; Albertus D.M.E.; (Amsterdam, NL); MOREIN; Bror; (Uppsala, SE); LOVGREN BENGTSSON; Karin; (Uppsala, SE)</t>
  </si>
  <si>
    <t>A61K 2039/55577 20130101;  C12N 2760/16111 20130101;  A61K 39/12 20130101;  A61P 37/04 20180101;  A61P 37/02 20180101;  A61K 2039/70 20130101;  A61K 39/145 20130101;  C12N 2760/16134 20130101;  A61P 31/16 20180101</t>
  </si>
  <si>
    <t>The present invention relates to a composition comprising at least one     ISCOM complex and at least one ectodomain from at least one hemagglutinin     (HA) domain and at least one ectodomain from at least one neuraminidase     (NA) domain from one or lore influenza virus, wherein the extodomains     represent ectodomains isolated from the influenza virus. The invention     also regards a kit. The composition may be used as an immune stimulating     medicine, immune modulating pharmaceutical or a vaccine e.g. against     influenza for vertebrates, e.g. birds and mammals.</t>
  </si>
  <si>
    <t>US20190381180</t>
  </si>
  <si>
    <t>HYBRID CARRIERS FOR NUCLEIC ACID CARGO</t>
  </si>
  <si>
    <t>16/308471</t>
  </si>
  <si>
    <t>BAUMHOF; Patrick; (Dusslingen, DE); THIELE; Carolin; (Tubingen, DE)</t>
  </si>
  <si>
    <t>C07K 14/46 20130101;  A61P 43/00 20180101;  B82Y 5/00 20130101;  A61K 47/646 20170801;  A61K 47/6929 20170801;  A61K 47/645 20170801;  A61K 48/0041 20130101;  A61K 9/1272 20130101</t>
  </si>
  <si>
    <t>The invention relates to carrier compositions for nucleic acid delivery     which comprise a cationic peptide or polymer in combination with a     cationic lipid. The peptide or polymer comprises a disulfide linkage or     an --SH moiety capable of forming a disulfide linkage. In a further     aspect, the invention relates to nanoparticles comprising a complex of a     bioactive cargo material with the peptide or polymer and the lipid. The     invention further relates to the preparation and the uses of the     nanoparticles.</t>
  </si>
  <si>
    <t>US20190381165</t>
  </si>
  <si>
    <t>Vaccines and Diagnostics for Novel Porcine Orthoreoviruses</t>
  </si>
  <si>
    <t>16/557210</t>
  </si>
  <si>
    <t>Meng; Xiang-Jin; (Blacksburg, VA); Cao; Dianjun; (Blacksburg, VA); Narayanappa; Athmaran; (Blacksburg, VA); Subbiah; Elankumaran; (Blacksburg, VA)</t>
  </si>
  <si>
    <t>A61K 2039/541 20130101;  A61K 39/12 20130101;  A61K 39/15 20130101;  C12N 2720/12221 20130101;  C07K 14/005 20130101;  C12N 2720/12271 20130101;  A61K 2039/5252 20130101;  C12N 7/00 20130101;  A61K 2039/5254 20130101;  C12N 2720/12234 20130101;  A61K 2039/555 20130101;  C12N 2720/12252 20130101;  C12N 2720/12261 20130101;  A61K 2039/552 20130101;  A61K 2039/575 20130101</t>
  </si>
  <si>
    <t>Provided herein are diagnostics and vaccines to identify control and     prevent novel porcine orthoreovirus type 3 (POV3) isolated from diarrheic     feces of piglets from outbreaks in three states and ring-dried swine     blood meal from multiple sources.</t>
  </si>
  <si>
    <t>US20190381155</t>
  </si>
  <si>
    <t>COMBINATION OF VACCINATION AND INHIBITION OF THE PD-1 PATHWAY</t>
  </si>
  <si>
    <t>16/555586</t>
  </si>
  <si>
    <t>FOTIN-MLECZEK; Mariola; (Sindelfingen, DE); KALLEN; Karl-Josef; (Konigsdorf, DE); PROBST; Jochen; (Wolfschlugen, DE)</t>
  </si>
  <si>
    <t>A61P 35/00 20180101;  A61K 39/3955 20130101;  A61P 43/00 20180101;  C07K 16/2818 20130101;  A61K 2039/53 20130101;  A61P 31/12 20180101;  C07K 16/2803 20130101;  C07K 2317/76 20130101;  A61P 33/00 20180101;  A61K 39/0005 20130101;  A61K 39/39 20130101;  A61K 2039/505 20130101;  Y02A 50/491 20180101;  A61K 39/39558 20130101;  A61P 31/04 20180101;  A61K 39/39558 20130101;  A61K 39/0011 20130101;  A61P 31/10 20180101;  A61K 2039/55516 20130101;  A61K 2300/00 20130101</t>
  </si>
  <si>
    <t>The present invention relates to a vaccine/inhibitor combination     comprising an RNA vaccine comprising at least one RNA comprising at least     one open reading frame (ORF) coding for at least one antigen and a     composition comprising at least one PD-1 pathway inhibitor, preferably     directed against PD-1 receptor or its ligands PD-L1 and PD-L2. The     present invention furthermore relates to a pharmaceutical composition and     a kit of parts comprising the components of such a vaccine/inhibitor     combination. Additionally the present invention relates to medical use of     such a vaccine/inhibitor combination, the pharmaceutical composition and     the kit of parts comprising such a vaccine/inhibitor combination,     particularly for the prevention or treatment of tumor or cancer diseases     or infectious diseases. Furthermore, the present invention relates to the     use of an RNA vaccine in therapy in combination with a PD-1 pathway     inhibitor and to the use of a PD-1 pathway inhibitor in therapy in     combination with an RNA vaccine.</t>
  </si>
  <si>
    <t>US20190381038</t>
  </si>
  <si>
    <t>THERAPEUTIC AGENTS AND METHODS:</t>
  </si>
  <si>
    <t>16/338547</t>
  </si>
  <si>
    <t>Altschul; Randice Lisa; (Cliffside Park, NJ); Theise; Neil David; (New York City, NY); Kesel; Andreas J.; (Munich, DE); Rapkin; Myron; (Indianapolis, IN); O'Brien; Rebecca; (Shell Knob, MO); Arment; Anthony R.; (Fairborn, OH)</t>
  </si>
  <si>
    <t>C07J 41/005 20130101;  C07J 17/00 20130101;  A61K 31/695 20130101;  A61K 31/58 20130101;  A61K 9/00 20130101;  C07C 309/00 20130101;  A61K 31/395 20130101;  C07C 211/41 20130101;  A61K 31/506 20130101;  C07H 99/00 20130101;  C07C 335/40 20130101;  A61K 31/395 20130101;  C07C 2603/74 20170501;  C07C 309/51 20130101;  A61K 45/06 20130101;  A61K 2300/00 20130101;  A61K 2300/00 20130101;  A61K 9/0014 20130101;  A61K 31/14 20130101;  A61K 31/175 20130101;  C07J 41/0083 20130101;  C07D 498/08 20130101;  C07D 317/54 20130101;  A61K 31/695 20130101;  A61K 31/195 20130101;  C07H 19/067 20130101;  A61P 31/12 20180101</t>
  </si>
  <si>
    <t>The invention provides glucocorticoid receptor antagonists for treatment     of infection, neoplasia, and fatty liver disease.</t>
  </si>
  <si>
    <t>US20190380995</t>
  </si>
  <si>
    <t>PREVENTION AND TREATMENT OF VIRAL INFECTIONS</t>
  </si>
  <si>
    <t>16/502150</t>
  </si>
  <si>
    <t>BARANOWITZ STEVEN</t>
  </si>
  <si>
    <t>Baranowitz; Steven; (Wyncote, PA)</t>
  </si>
  <si>
    <t>A61P 31/14 20180101;  A61K 31/343 20130101</t>
  </si>
  <si>
    <t>The present disclosure targets the Zika virus and other disease-causing     microbes including viruses, bacteria, fungi, and parasites. It does this     using agents and methods with little toxicity compared to existing     therapies.</t>
  </si>
  <si>
    <t>US20190375801</t>
  </si>
  <si>
    <t>HSP FUSION PROTEIN WITH ANTI-CHEMOREPELLANT AGENT FOR TREATMENT OF     INFECTIOUS DISEASE</t>
  </si>
  <si>
    <t>16/331847</t>
  </si>
  <si>
    <t>THE GENERAL HOSPITAL CORPORATION</t>
  </si>
  <si>
    <t>THE GENERAL HOSPITAL</t>
  </si>
  <si>
    <t>Poznansky; Mark C.; (Newton Center, MA); Gelfand; Jeffrey A.; (Cambridge, MA)</t>
  </si>
  <si>
    <t>A61K 38/1709 20130101;  A61P 33/00 20180101;  A61K 38/00 20130101;  A61K 31/395 20130101;  C07K 14/35 20130101;  A61K 35/17 20130101;  A61K 45/06 20130101;  A61K 35/74 20130101;  A61K 38/162 20130101;  A61P 31/00 20180101;  C07K 14/4702 20130101;  A61K 31/395 20130101;  C07K 19/00 20130101;  A61K 2300/00 20130101</t>
  </si>
  <si>
    <t>This disclosure is directed to immune treatment of a disease (e.g., an     infectious disease) using a fusion protein in combination with an     anti-chemorepellant agent. In particular, the fusion protein comprises an     antigen-binding domain (e.g., an antibody or antibody fragment) and a     stress protein domain.</t>
  </si>
  <si>
    <t>US20190375726</t>
  </si>
  <si>
    <t>COMPOUNDS FOR THE TREATMENT OF HIV</t>
  </si>
  <si>
    <t>16/419578</t>
  </si>
  <si>
    <t>Bondy; Steven S.; (Haiku, HI); Cannizzaro; Carina E.; (Foster City, CA); Chou; Chien-Hung; (Dublin, CA); Halcomb; Randall L.; (Foster City, CA); Hu; Yunfeng E.; (San Mateo, CA); Link; John O.; (San Francisco, CA); Liu; Qi; (Union City, CA); Schroeder; Scott D.; (Union City, CA); Tse; Winston C.; (Redwood City, CA); Zhang; Jennifer R.; (Union City, CA)</t>
  </si>
  <si>
    <t>C07D 471/04 20130101;  C07D 409/14 20130101;  A61K 31/4439 20130101;  A61K 31/4709 20130101;  C07D 413/14 20130101;  C07D 491/04 20130101;  A61P 43/00 20180101;  C07D 403/12 20130101;  A61K 31/5377 20130101;  C07D 487/04 20130101;  A61K 31/444 20130101;  A61P 31/14 20180101;  C07D 491/052 20130101;  C07D 471/06 20130101;  A61K 31/506 20130101;  A61K 31/4545 20130101;  A61P 31/18 20180101;  C07D 401/12 20130101;  A61K 31/50 20130101;  C07D 401/14 20130101;  C07D 213/40 20130101;  A61K 45/06 20130101;  C07D 405/12 20130101;  C07D 403/14 20130101;  A61K 31/4985 20130101;  C07D 495/04 20130101</t>
  </si>
  <si>
    <t>The invention provides compounds of formula (I): or a salt thereof as     described herein. The invention also provides pharmaceutical compositions     comprising a compound of formula (I), processes for preparing compounds     of formula (I), intermediates useful for preparing compounds of formula I     and therapeutic methods for treating a Retroviridae viral infection     including an infection caused by the HIV virus.  ##STR00001##</t>
  </si>
  <si>
    <t>US20190369126</t>
  </si>
  <si>
    <t>Integrated Diagnostic Instrument</t>
  </si>
  <si>
    <t>15/996164</t>
  </si>
  <si>
    <t>Nguyen; Michael Thomas; (Carlsbad, CA); Ginzburg; Margaret; (Encinitas, CA); Hall; Shawn Andre; (San Diego, CA); Filippone; Lisa M.; (San Marcos, CA)</t>
  </si>
  <si>
    <t>C12Q 1/689 20130101;  G01N 35/00722 20130101;  G16H 50/20 20180101;  G16H 10/40 20180101;  G16H 50/80 20180101;  C12Q 1/04 20130101;  G16H 15/00 20180101;  G01N 27/3276 20130101;  G01N 2035/0091 20130101</t>
  </si>
  <si>
    <t>A pathogen detection device is provided. The pathogen detection device     may include a pathogen detector circuit configured to detect a target     analyte in a patient sample, determine the presence of a pathogen from     the target analyte, and generate a detection result including the     identity of the pathogen and resistance genes (if any); and a decision     support generator circuit configured to generate decision support     information for the pathogen by application of user configurable rules to     the detection result, wherein each of the configurable rules include a     logic expression that indicates the corresponding decision support     information of the rule to be included in the detection report.</t>
  </si>
  <si>
    <t>US20190369094</t>
  </si>
  <si>
    <t>IMMUNOLOGICAL TEST APPARATUS AND OPERATION METHOD THEREOF, INFORMATION     PROCESSING APPARATUS AND OPERATION METHOD THEREOF, AND INFORMATION     PROCESSING SYSTEM</t>
  </si>
  <si>
    <t>16/541153</t>
  </si>
  <si>
    <t>ISHIKAWA; Shigetoshi; (Kanagawa, JP); ODA; Yoshinari; (Kanagawa, JP)</t>
  </si>
  <si>
    <t>G01N 33/53 20130101;  G01N 2800/26 20130101;  G01N 33/56983 20130101;  G01N 33/543 20130101;  G01N 2800/56 20130101;  G16H 50/80 20180101;  G01N 2469/10 20130101;  G16B 45/00 20190201;  G16H 40/60 20180101</t>
  </si>
  <si>
    <t>A main controller of an immunological test apparatus counts an elapsed     time TP. An information output unit outputs required determination time     information regarding a required determination time so as to be     associated with information of a determination result. The required     determination time information is at least information indicating that     the elapsed time TP exceeds a set time TS at which sensitization     processing, in which a chemical solution for sensitizing the coloration     state of a reagent that is combined with influenza virus to be colored is     spread onto a carrier, is started, that is, information indicating that     the sensitization processing has been performed.</t>
  </si>
  <si>
    <t>US20190367860</t>
  </si>
  <si>
    <t>System and Method for Microfluidic Cell Culture</t>
  </si>
  <si>
    <t>16/526654</t>
  </si>
  <si>
    <t>Hansen; Carl L. G.; (Vancouver, CA); Lecault; Veronique; (Vancouver, CA); Piret; James M.; (Vancouver, CA); Singhal; Anupam; (Mississauga, CA)</t>
  </si>
  <si>
    <t>C12M 23/16 20130101;  C12M 29/10 20130101</t>
  </si>
  <si>
    <t>Microfluidic devices and methods for perfusing a cell with perfusion     fluid are provided herein, wherein the gravitational forces acting on the     cell to keep the cell at or near a retainer or a retaining position     exceed the hydrodynamic forces acting on the cell to move it toward an     outlet. Also provided, are methods for assaying cell products within the     microfluidic device.</t>
  </si>
  <si>
    <t>US20190365748</t>
  </si>
  <si>
    <t>INHIBITORS OF HEPATITIS C VIRUS</t>
  </si>
  <si>
    <t>16/409610</t>
  </si>
  <si>
    <t>Canales; Eda; (San Mateo, CA); Cottell; Jeromy J.; (Redwood City, CA); Karki; Kapil K.; (Foster City, CA); Katana; Ashley A.; (North Olmsted, OH); Kato; Darryl; (San Francisco, CA); Kobayashi; Tetsuya; (Pleasanton, CA); Link; John O.; (San Francisco, CA); Martinez; Ruben; (San Diego, CA); Phillips; Barton W.; (San Mateo, CA); Pyun; Hyung-jung; (Fremont, CA); Ramey; Kyla; (San Lorenzo, CA); Sangi; Michael; (San Mateo, CA); Schrier; Adam J.; (Redwood City, CA); Siegel; Dustin; (Half Moon Bay, CA); Taylor; James G.; (Burlingame, CA); Tran; Chinh V.; (San Diego, CA); Trejo Martin; Teresa A.; (Belmont, CA); Vivian; Randall W.; (San Mateo, CA); Yang; Zheng-Yu; (Palo Alto, CA); Zablocki; Jeff; (Los Altos, CA); Zipfel; Sheila; (San Mateo, CA)</t>
  </si>
  <si>
    <t>A61K 31/498 20130101;  A61K 31/519 20130101;  C07K 5/08 20130101;  C07D 498/22 20130101;  A61P 31/12 20180101;  A61K 38/06 20130101;  A61K 31/4745 20130101;  A61K 38/21 20130101;  A61K 45/06 20130101;  C07K 5/0808 20130101;  A61K 31/10 20130101;  C07K 5/0827 20130101;  A61P 1/16 20180101;  A61P 43/00 20180101;  A61K 38/00 20130101;  C07D 403/14 20130101;  A61K 2300/00 20130101;  A61K 31/506 20130101;  A61K 38/21 20130101;  A61P 31/00 20180101;  A61K 31/4985 20130101;  C07D 241/36 20130101;  C07K 5/0812 20130101;  A61P 31/14 20180101;  A61K 31/401 20130101;  A61P 31/10 20180101;  C07D 498/16 20130101</t>
  </si>
  <si>
    <t>Compounds of Formula I are disclosed  ##STR00001## As well as pharmaceutically acceptable salts thereof. Methods of using     said compounds and pharmaceutical compositions containing said compounds     are also disclosed.</t>
  </si>
  <si>
    <t>US20190359987</t>
  </si>
  <si>
    <t>COMPOSITION AND METHOD FOR OLIGONUCLEOTIDE DELIVERY</t>
  </si>
  <si>
    <t>16/421781</t>
  </si>
  <si>
    <t>Lieberman; Judy; (Brookline, MA); Wheeler; Lee Adams; (Boston, MA)</t>
  </si>
  <si>
    <t>C12N 2310/14 20130101;  C12N 15/1132 20130101;  A61P 31/18 20180101;  C12N 2310/16 20130101;  C12N 15/111 20130101;  C12N 2310/3183 20130101;  C12N 15/1138 20130101;  C12N 2310/3519 20130101</t>
  </si>
  <si>
    <t>The invention provides aptamer-gene modulator conjugates, where the     aptamer and the gene modulator are linked together. The invention further     provides a method for cell-specific delivery of gene modulators to hard     to transfect cells such as CD4+ cell.</t>
  </si>
  <si>
    <t>US20190359644</t>
  </si>
  <si>
    <t>PROCESSES AND INTERMEDIATES FOR PREPARING ANTI-HIV AGENTS</t>
  </si>
  <si>
    <t>16/226811</t>
  </si>
  <si>
    <t>Yu; Richard Hung Chiu; (San Francisco, CA); Brown; Brandon Heath; (Burlingame, CA); Polniaszek; Richard P.; (Menlo Park, CA); Graetz; Benjamin R.; (San Mateo, CA); Sujino; Keiko; (Edmonton, CA); Tran; Duong; (Edmonton, CA); Triman; Alan Scott; (Sunnyvale, CA); Kent; Kenneth M.; (Sunnyvale, CA); Pfeiffer; Steven; (Camarillo, CA)</t>
  </si>
  <si>
    <t>C07H 19/02 20130101;  A61K 31/66 20130101;  C07D 473/34 20130101;  C07H 19/173 20130101;  C07F 9/4075 20130101;  C07F 9/65616 20130101;  C07H 19/16 20130101;  C07H 23/00 20130101;  C07H 19/04 20130101;  C07F 9/4449 20130101;  C07H 19/20 20130101</t>
  </si>
  <si>
    <t>The invention provides synthetic processes and synthetic intermediates     that can be used to prepare compounds having useful anti-HIV properties.</t>
  </si>
  <si>
    <t>US20190358168</t>
  </si>
  <si>
    <t>SINTERED FERROUS AMINO ACID PARTICLES AND USE OF THE SAME AGAINST A VIRUS</t>
  </si>
  <si>
    <t>16/527648</t>
  </si>
  <si>
    <t>PROFEAT BIOTECHNOLOGY CO LTD</t>
  </si>
  <si>
    <t>PROFEAT BIOTECHNOLOGY</t>
  </si>
  <si>
    <t>LIN; Tsun-Yuan; (Taoyuan City, TW); CHEN; Mu-Kuei; (Taoyuan City, TW); WANG; Kai-Ting; (Taoyuan City, TW); JAN; Hsun-Jin; (Taoyuan City, TW)</t>
  </si>
  <si>
    <t>A61K 9/14 20130101;  A61P 31/14 20180101;  A61K 9/51 20130101;  A61K 31/295 20130101;  A61K 9/0053 20130101;  A61P 31/16 20180101</t>
  </si>
  <si>
    <t>A composition includes sintered ferrous amino acid particles prepared by     sintering a ferrous amino acid chelate which includes ferrous ions and an     amino acid. The sintered ferrous amino acid particles have an average     particle size ranging from 500 to 2600 nm and a weight average molecular     weight ranging from 1,500 Dalton to 600,000 Dalton. Also disclosed herein     are a method for inhibiting and/or killing a virus in a subject and     applications of such method. The method includes administering to the     subject the composition.</t>
  </si>
  <si>
    <t>US20190355480</t>
  </si>
  <si>
    <t>Biosurveillance Notifications</t>
  </si>
  <si>
    <t>16/423232</t>
  </si>
  <si>
    <t>AT&amp;T INC</t>
  </si>
  <si>
    <t>AT&amp;T</t>
  </si>
  <si>
    <t>Goodall; Colin; (Rumson, NJ); Jacobson; Guy; (Bridgewater, NJ); Tse; Simon; (Holmdel, NJ); Mocenigo; John Mark F.; (Califon, NJ); Drechsler; Richard; (Morristown, NJ)</t>
  </si>
  <si>
    <t>Systems and methods mediate anomaly notifications in health data to     health alerts using data structures and logic to organize, contain, and     dispose of identified health anomalies. Multiple detection algorithms,     operating asynchronously and independently, run against one or more     health data streams. Examples of data streams are electronic laboratory     requisitions and results, OTC sales of medicines and medical supplies,     emergency department visit data, and others. The outputs of anomaly     detection generators--anomaly notifications (anomalies)--are processed by     the invention. The case manager organizes anomaly notifications and     supports collaborative decision making and disposition among expert     users.</t>
  </si>
  <si>
    <t>US20190355082</t>
  </si>
  <si>
    <t>USE OF WEB-BASED SYMPTOM CHECKER DATA TO PREDICT INCIDENCE OF A DISEASE OR     DISORDER</t>
  </si>
  <si>
    <t>16/523238</t>
  </si>
  <si>
    <t>McMillan; Nancy; (Columbus, OH); Feng; Jingyu; (Columbus, OH); Stamps; Kathryn; (Suffolk, VA); Burr; Robert E.; (Salt Lake City, UT)</t>
  </si>
  <si>
    <t>A61M 5/16813 20130101;  G06Q 10/04 20130101;  G16H 15/00 20180101;  G06Q 50/22 20130101;  A61M 2039/082 20130101;  A61M 5/16877 20130101;  A61M 5/1413 20130101;  A61M 5/1456 20130101;  A61M 5/16881 20130101;  A61M 25/002 20130101;  G16H 50/80 20180101;  A61M 39/08 20130101;  A61M 39/28 20130101;  A61M 5/162 20130101</t>
  </si>
  <si>
    <t>Symptoms and methods for predicting the incidence of a disease or     disorder are disclosed. A system for predicting the incidence of a     disease or disorder includes a web-based symptom checker for producing a     structured dataset, a data analysis component for producing a     multivariate dataset from the structured dataset, and a feature     construction component for producing a linear combination of orthogonal     symbols representative of a disease or disorder. A method for predicting     the incidence of a disease or disorder includes producing a multivariate     dataset representing patient symptom counts, performing feature     construction analysis on the multivariate dataset, creating a time series     model using weekly illness incidence data, and applying the time series     model to new illness incidence data to predict the incidence of a disease     or disorder in the future.</t>
  </si>
  <si>
    <t>US20190351049</t>
  </si>
  <si>
    <t>Human Antibodies to Middle East Respiratory Syndrome - Coronavirus Spike     Protein</t>
  </si>
  <si>
    <t>16/530140</t>
  </si>
  <si>
    <t>KYRATSOUS; Christos; (Irvington, NY); STAHL; Neil; (Carmel, NY); SIVAPALASINGAM; Sumathi; (Brooklyn, NY)</t>
  </si>
  <si>
    <t>A61K 39/215 20130101;  C07K 2317/21 20130101;  A61P 31/04 20180101;  A61K 2039/505 20130101;  A61P 31/14 20180101;  A61P 11/00 20180101;  A61K 38/00 20130101;  C07K 2317/92 20130101;  A61K 39/12 20130101;  C07K 2317/76 20130101;  A61K 39/39583 20130101;  G01N 33/569 20130101;  A61P 31/12 20180101;  C07K 2317/565 20130101;  A61P 29/00 20180101;  C07K 14/165 20130101;  C12N 7/00 20130101;  C07K 2317/56 20130101;  C07K 2317/31 20130101;  C07K 2317/30 20130101;  A61P 1/12 20180101;  C07K 16/10 20130101;  C12N 2770/20034 20130101;  A61K 2039/507 20130101;  A61K 45/06 20130101;  C12N 2770/20022 20130101</t>
  </si>
  <si>
    <t>The present invention provides monoclonal antibodies that bind to the     Middle East Respiratory Syndrome--Coronavirus (MERS-CoV) spike protein,     and methods of use. In various embodiments of the invention, the     antibodies are fully human antibodies that bind to MERS-CoV spike     protein. In some embodiments, the antibodies of the invention are useful     for inhibiting or neutralizing MERS-CoV activity, thus providing a means     of treating or preventing MERS infection in humans. In some embodiments,     the invention provides for a combination of one or more antibodies that     bind to the MERS-CoV spike protein for use in treating MERS infection. In     certain embodiments, the one or more antibodies bind to distinct     non-competing epitopes comprised in the receptor binding domain of the     MERS-CoV spike protein.</t>
  </si>
  <si>
    <t>US20190351048</t>
  </si>
  <si>
    <t>16/471539</t>
  </si>
  <si>
    <t>G01N 2333/08 20130101;  C12N 15/86 20130101;  A61K 2039/53 20130101;  C07K 14/165 20130101;  C12N 2770/20011 20130101;  A61K 39/215 20130101</t>
  </si>
  <si>
    <t>US20190345190</t>
  </si>
  <si>
    <t>PHOSPHONATE ANALOGS OF HIV INHIBITOR COMPOUNDS</t>
  </si>
  <si>
    <t>16/196075</t>
  </si>
  <si>
    <t>Boojamra; Constantine G.; (San Francisco, CA); Lin; Kuei-Ying; (Sunnyvale, CA); Mackman; Richard L.; (Millbrae, CA); Markevitch; David Y.; (Los Angeles, CA); Petrakovsky; Oleg V.; (San Mateo, CA); Ray; Adrian S.; (Burlingame, CA); Zhang; Lijun; (Los Altos Hills, CA)</t>
  </si>
  <si>
    <t>A61K 31/675 20130101;  A61K 31/513 20130101;  C07H 19/00 20130101;  A61K 31/683 20130101;  A61P 31/20 20180101;  C07H 19/16 20130101;  A61K 31/341 20130101;  A61K 45/06 20130101;  A61K 31/513 20130101;  A61P 43/00 20180101;  A61P 31/18 20180101;  A61K 31/683 20130101;  A61K 2300/00 20130101;  C07F 9/65616 20130101;  A61P 31/12 20180101;  A61K 31/675 20130101;  A61P 31/14 20180101;  C07H 19/20 20130101;  A61K 31/662 20130101;  A61K 31/341 20130101;  A61P 31/00 20180101;  A61K 2300/00 20130101;  A61K 2300/00 20130101;  A61K 2300/00 20130101</t>
  </si>
  <si>
    <t>The invention is related to phosphorus substituted anti-viral inhibitory     compounds, compositions containing such compounds, and therapeutic     methods that include the administration of such compounds, as well as to     processes and intermediates useful for preparing such compounds.</t>
  </si>
  <si>
    <t>US20190337960</t>
  </si>
  <si>
    <t>16/209860</t>
  </si>
  <si>
    <t>Bacon; Elizabeth M.; (Burlingame, CA); Cottell; Jeromy J.; (Redwood City, CA); Link; John O.; (San Francisco, CA); Trejo Martin; Teresa Alejandra; (Belmont, CA)</t>
  </si>
  <si>
    <t>A61K 31/7068 20130101;  A61P 31/12 20180101;  A61P 31/00 20180101;  C07D 491/052 20130101;  A61P 43/00 20180101;  A61K 31/4188 20130101;  A61K 45/06 20130101;  A61K 38/21 20130101;  A61K 38/21 20130101;  A61K 31/7072 20130101;  A61K 31/7072 20130101;  A61P 1/16 20180101;  A61K 31/7056 20130101;  A61P 31/14 20180101;  A61K 2300/00 20130101;  A61K 2300/00 20130101;  A61K 2300/00 20130101;  A61K 31/7056 20130101;  A61K 2300/00 20130101;  A61K 31/7068 20130101;  C07D 491/04 20130101</t>
  </si>
  <si>
    <t>US20190333647</t>
  </si>
  <si>
    <t>Contact tracing; Outbreaks</t>
  </si>
  <si>
    <t>IDENTIFICATION OF EPIDEMIOLOGY TRANSMISSION HOT SPOTS IN A MEDICAL     FACILITY</t>
  </si>
  <si>
    <t>16/504565</t>
  </si>
  <si>
    <t>Hoss; Andrew G.; (Cambridge, MA)</t>
  </si>
  <si>
    <t>G06F 30/13 20200101;  G16H 50/80 20180101;  G06N 7/005 20130101</t>
  </si>
  <si>
    <t>In an epidemiology transmission probability analysis for a medical     facility, ray origin points are distributed over a medical facility floor     map. Rays are cast from the ray origin points. The cast rays stop upon     encountering a physical barrier mapped in the medical facility floor map.     An infectious transmission probability map is computed from intersections     of the cast rays. At least a portion of the medical facility floor map is     displayed on a display, overlaid with the infectious transmission     probability map. The distributing, the casting, and the computing are     suitably performed by one or more electronic processors.</t>
  </si>
  <si>
    <t>US20190333645</t>
  </si>
  <si>
    <t>USING DISEASE SIMILARITY METRICS TO MAKE PREDICTIONS</t>
  </si>
  <si>
    <t>15/966064</t>
  </si>
  <si>
    <t>MERATIVE US L.P.</t>
  </si>
  <si>
    <t>MERATIVE</t>
  </si>
  <si>
    <t>Fokoue-Nkoutche; Achille B.; (White Plains, NY); Iyengar; Arun K.; (Yorktown Heights, NY)</t>
  </si>
  <si>
    <t>A method, computer system, and a computer program product for analyzing     data belonging to a plurality of data types wherein data belonging to a     first data type of the plurality of data types may be correlated with     data belonging to a second data type of the plurality of data types is     provided. The present invention may include providing at least one first     metric quantifying similarity of entities belonging to the first data     type. The present invention may then include providing a second metric     quantifying correlation of entities belonging to the first data type and     entities belonging to the second data type. The present invention may     also include inferring a value of the second metric correlating a first     entity of the first data type with a second entity of the second data     type.</t>
  </si>
  <si>
    <t>US20190328865</t>
  </si>
  <si>
    <t>IMMUNOGENIC COMPOSITION FOR MERS CORONAVIRUS INFECTION</t>
  </si>
  <si>
    <t>16/462125</t>
  </si>
  <si>
    <t>NEW YORK BLOOD CENTER, INC.</t>
  </si>
  <si>
    <t>NEW YORK BLOOD CENTER</t>
  </si>
  <si>
    <t>Du; Lanying; (Rego Park, NY); Li; Fang; (Roseville, MN); Jiang; Shibo; (Flushing, NY); Zhou; Yusen; (Beijing, CN)</t>
  </si>
  <si>
    <t>C07K 2319/30 20130101;  C07K 2319/35 20130101;  C12N 7/00 20130101;  A61K 2039/545 20130101;  A61K 2039/55561 20130101;  C12N 2770/20034 20130101;  A61K 2039/55516 20130101;  C12N 2770/20071 20130101;  C12N 2770/20022 20130101;  A61K 2039/55566 20130101;  A61K 2039/555 20130101;  A61K 39/215 20130101;  C07K 14/005 20130101;  A61K 39/12 20130101;  A61P 31/14 20180101;  A61K 2039/54 20130101;  A61K 2039/575 20130101;  A61K 2039/627 20130101;  A61K 2039/543 20130101</t>
  </si>
  <si>
    <t>Described herein are immunogenic compositions for preventing infection     with Middle East respiratory syndrome coronavirus (MERS-CoV) wherein the     immunogenic compositions comprise at least a portion of the MERS-CoV S     protein and an immunopotentiator.</t>
  </si>
  <si>
    <t>US20190315792</t>
  </si>
  <si>
    <t>MODIFIED FLUORINATED NUCLEOSIDE ANALOGUES</t>
  </si>
  <si>
    <t>16/162634</t>
  </si>
  <si>
    <t>Clark; Jeremy; (Birmingham, AL)</t>
  </si>
  <si>
    <t>A61K 31/7072 20130101;  C07H 19/14 20130101;  C07H 19/04 20130101;  C07H 19/16 20130101;  A61P 31/14 20180101;  A61P 35/00 20180101;  A61P 31/00 20180101;  A61P 31/12 20180101;  A61P 43/00 20180101;  A61P 31/04 20180101;  A61K 31/7068 20130101;  A61P 31/16 20180101;  C07H 19/06 20130101;  C07H 19/048 20130101;  C07H 19/00 20130101;  A61P 1/16 20180101</t>
  </si>
  <si>
    <t>The disclosed invention provides compositions and methods of treating a     Flaviviridae infection, including hepatitis C virus, West Nile Virus,     yellow fever virus, and a rhinovirus infection in a host, including     animals, and especially humans, using a     (2'R)-2'-deoxy-2'-fluoro-2'-C-methyl nucleosides, or a pharmaceutically     acceptable salt or prodrug thereof.</t>
  </si>
  <si>
    <t>US20190315785</t>
  </si>
  <si>
    <t>16/195152</t>
  </si>
  <si>
    <t>A61K 31/513 20130101;  A61P 31/00 20180101;  C07F 9/65616 20130101;  A61P 43/00 20180101;  A61K 31/683 20130101;  A61P 31/12 20180101;  C07H 19/00 20130101;  A61P 31/14 20180101;  A61K 31/675 20130101;  A61K 2300/00 20130101;  A61P 31/20 20180101;  A61K 2300/00 20130101;  A61K 2300/00 20130101;  A61K 2300/00 20130101;  A61K 31/683 20130101;  A61K 31/662 20130101;  A61K 31/513 20130101;  A61P 31/18 20180101;  C07H 19/16 20130101;  A61K 31/675 20130101;  A61K 45/06 20130101;  A61K 31/341 20130101;  A61K 31/341 20130101;  C07H 19/20 20130101</t>
  </si>
  <si>
    <t>US20190314487</t>
  </si>
  <si>
    <t>16/357876</t>
  </si>
  <si>
    <t>C12N 2760/16234 20130101;  C12N 2760/16134 20130101;  A61K 2039/55577 20130101;  A61K 9/0051 20130101;  A61K 39/145 20130101;  C12N 2760/16271 20130101;  A61K 2039/70 20130101;  C12N 2760/16171 20130101;  A61P 31/16 20180101;  A61K 39/12 20130101;  A61K 2039/55555 20130101;  A61K 9/51 20130101</t>
  </si>
  <si>
    <t>US20190314484</t>
  </si>
  <si>
    <t>FUNCTIONAL INFLUENZA VIRUS LIKE PARTICLES (VLPs)</t>
  </si>
  <si>
    <t>16/210501</t>
  </si>
  <si>
    <t>SMITH; Gale; (Germantown, MD); BRIGHT; Rick; (Washington, DC); PUSHKO; Peter M.; (Frederick, MD); ZHANG; Jinyou; (Plainsboro, NJ); MAHMOOD; Kutub; (Cupertino, CA)</t>
  </si>
  <si>
    <t>A61K 39/145 20130101;  A61K 2039/5258 20130101;  A61K 2039/58 20130101;  C12N 7/00 20130101;  C12N 2760/16023 20130101;  A61K 2039/70 20130101;  A61K 2039/55561 20130101;  A61K 2039/543 20130101;  C12N 2710/14143 20130101;  A61K 39/12 20130101;  C12N 2760/16034 20130101;  C12N 2760/16134 20130101;  C12N 2760/16122 20130101;  A61K 2039/55555 20130101;  C07K 14/005 20130101;  C12N 2760/16022 20130101;  C12N 2760/16123 20130101;  A61K 2039/55505 20130101</t>
  </si>
  <si>
    <t>The present invention discloses and claims virus like particles (VLPs)     that express and/or contains seasonal influenza virus proteins, avian     influenza virus proteins and/or influenza virus proteins from viruses     with pandemic potential. The invention includes vector constructs     comprising said proteins, cells comprising said constructs, formulations     and vaccines comprising VLPs of the inventions. The invention also     includes methods of making and administrating VLPs to vertebrates,     including methods of inducing substantial immunity to either seasonal and     avian influenza, or at least one symptom thereof.</t>
  </si>
  <si>
    <t>US20190309052</t>
  </si>
  <si>
    <t>ANTIBODIES AND FRAGMENTS THEREOF THAT BIND HEPATITIS B VIRUS PROTEIN X</t>
  </si>
  <si>
    <t>16/372163</t>
  </si>
  <si>
    <t>Fletcher; Simon Paul; (Burlingame, CA); Voitenleitner; Christian Alfons; (San Francisco, CA)</t>
  </si>
  <si>
    <t>C12N 2320/11 20130101;  G01N 33/56983 20130101;  C12N 2310/14 20130101;  G01N 33/502 20130101;  C12N 15/1131 20130101;  G01N 2800/26 20130101;  G01N 2469/10 20130101;  G01N 2333/02 20130101;  C07K 2317/82 20130101;  C07K 16/082 20130101;  G01N 33/5761 20130101</t>
  </si>
  <si>
    <t>Provided herein are, inter alia, antibodies, antigen-binding antibody     fragments, cells, polynucleotides, compositions, kits, and methods     relating to the detection of HBV protein X (HBx), e.g., in vitro and in     vivo. Included are antibodies and fragments thereof that bind HBx, as     well as kits, cells, and compositions comprising such antibodies and     fragments.</t>
  </si>
  <si>
    <t>US20190308983</t>
  </si>
  <si>
    <t>HIV INHIBITOR COMPOUNDS</t>
  </si>
  <si>
    <t>16/364487</t>
  </si>
  <si>
    <t>Bacon; Elizabeth M.; (Burlingame, CA); Chin; Elbert; (San Mateo, CA); Cottell; Jeromy J.; (Redwood City, CA); Katana; Ashley Anne; (North Olmsted, OH); Kato; Darryl; (San Francisco, CA); Link; John O.; (San Francisco, CA); Shapiro; Nathan; (Belmont, CA); Trejo Martin; Teresa Alejandra; (Belmont, CA); Yang; Zheng-Yu; (Palo Alto, CA)</t>
  </si>
  <si>
    <t>C07D 405/14 20130101;  C07C 275/16 20130101;  C07D 491/04 20130101;  A61K 45/06 20130101;  C07D 487/08 20130101;  A61K 31/688 20130101;  A61K 31/55 20130101;  C07D 487/10 20130101;  A61K 31/52 20130101;  A61K 31/685 20130101;  C07D 401/12 20130101;  C07D 403/12 20130101;  C07D 471/08 20130101;  A61K 31/553 20130101;  C07C 243/28 20130101;  A61P 31/18 20180101</t>
  </si>
  <si>
    <t>The invention provides a compound of Formula I:  ##STR00001## or a pharmaceutically acceptable salt thereof as described herin. The     invention also provides pharmaceutical compositions comprising a compound     of Formula I, processes for preparing compounds of Formula I, therapeutic     methods for treating the proliferation of the HIV virus, treating AIDS or     delaying the onset of AIDS symptoms in a mammal using compounds of     Formula I.</t>
  </si>
  <si>
    <t>US20190307870</t>
  </si>
  <si>
    <t>SYNTHETIC MALARIA IMMUNOGENS, COMBINATIONS THEREOF, AND THEIR USE TO     PREVENT AND TREAT MALARIA INFECTIONS</t>
  </si>
  <si>
    <t>16/302718</t>
  </si>
  <si>
    <t>Weiner; David; (Merion, PA); Reuschel; Emma; (Philadelphia, PA); Ferraro; Bernadette; (La Jolla, CA); Aly; Ahmed S.I.; (New Orleans, LA)</t>
  </si>
  <si>
    <t>A61K 2039/55538 20130101;  A61K 2039/55527 20130101;  C07K 2319/20 20130101;  A61P 33/06 20180101;  C07K 14/445 20130101;  A61K 2039/53 20130101;  C12N 2800/107 20130101;  C07K 2319/42 20130101;  C07K 2319/02 20130101;  C12N 2800/22 20130101;  A61K 39/015 20130101;  Y02A 50/412 20180101</t>
  </si>
  <si>
    <t>Provided herein are sequences of Plasmodium spp. liver stage exported     proteins as well as expression constructs expressing the sequences. Also     provided herein are methods for generating an immune response against     malaria using the expression constructs provided herein.</t>
  </si>
  <si>
    <t>US20190307722</t>
  </si>
  <si>
    <t>ANTIVIRAL COMPOSITIONS FOR THE TREATMENT OF INFECTIONS LINKED TO     CORONAVIRUSES</t>
  </si>
  <si>
    <t>16/340346</t>
  </si>
  <si>
    <t>CNRS-CENTRE NATIONAL DE LA RECHERCHE SCIENTIFIQUE</t>
  </si>
  <si>
    <t>CENTRE NATIONAL LA RECHERCHE</t>
  </si>
  <si>
    <t>ROSA-CALATRAVA; Manuel; (Lyon, FR); TERRIER; Olivier; (Lyon, FR); PROUST; Anais; (Lyon, FR); MOULES; Vincent; (Belleville, FR)</t>
  </si>
  <si>
    <t>A61K 31/351 20130101;  A61K 31/352 20130101;  A61K 38/21 20130101;  A61K 31/353 20130101;  A61P 31/14 20180101;  A61K 31/352 20130101;  A61K 31/4375 20130101;  A61K 31/4375 20130101;  A61K 2300/00 20130101;  A61K 2300/00 20130101;  A61K 31/35 20130101;  A61K 31/351 20130101;  A61K 9/007 20130101;  A61K 2300/00 20130101;  A61K 38/21 20130101;  A61K 2300/00 20130101;  A61K 2300/00 20130101;  A61K 31/7056 20130101;  A61K 31/7056 20130101;  A61K 45/06 20130101</t>
  </si>
  <si>
    <t>The present invention relates to a pharmaceutical or veterinary     composition for its use in preventing and/or treating a MERS-CoV     (Middle-East Respiratory Syndrome) coronavirus infection, characterised     in that it comprises, in a suitable pharmaceutical vehicle, at least one     compound chosen from apigenin and berberine.</t>
  </si>
  <si>
    <t>US20190300954</t>
  </si>
  <si>
    <t>METHODS FOR DETERMINING LYMPHOCYTE RECEPTOR CHAIN PAIRS</t>
  </si>
  <si>
    <t>16/423861</t>
  </si>
  <si>
    <t>HANSEN; Carl Lars Genghis; (Vancouver, CA); MEWIS; Georgia Elizabeth; (Vancouver, CA); HEYRIES; Kevin Albert; (Vancouver, CA); VANINSBERGHE; Michael Andrew; (Vancouver, CA); DA COSTA; Daniel Jay; (Pitt Meadows, CA); RICICOVA; Marketa; (Vancouver, CA)</t>
  </si>
  <si>
    <t>G01N 33/68 20130101;  C12Q 2600/158 20130101;  C40B 20/00 20130101;  G16B 40/00 20190201;  C12Q 1/6876 20130101;  C40B 30/04 20130101;  C07K 14/7051 20130101;  C12Q 1/6876 20130101;  G16B 30/00 20190201;  C12Q 2535/122 20130101</t>
  </si>
  <si>
    <t>Provided herein are high-throughput sequencing methods to study the     diversity and functionality of lymphocyte receptor chains and pairing of     the same. Specifically, the methods provided herein are used to identify     with confidence one or more lymphocyte receptor chain pairs in a sample,     for example one or more functional chain pairs.</t>
  </si>
  <si>
    <t>US20190300625</t>
  </si>
  <si>
    <t>16/256560</t>
  </si>
  <si>
    <t>PURCELL; Lisa; (Garnerville, NY)</t>
  </si>
  <si>
    <t>C07K 2317/565 20130101;  C07K 16/283 20130101;  C07K 2317/21 20130101;  C07K 2317/52 20130101;  A61K 9/0019 20130101;  C07K 2317/76 20130101;  C12N 9/6424 20130101;  A61P 31/16 20180101;  C07K 16/40 20130101;  C07K 2317/31 20130101;  C07K 2317/94 20130101;  C07K 2317/24 20130101;  C07K 16/1018 20130101;  C07K 2317/92 20130101;  C07K 16/28 20130101;  A61K 2039/507 20130101;  A61K 2039/505 20130101;  C07K 2319/30 20130101;  A61K 2039/54 20130101</t>
  </si>
  <si>
    <t>US20190295732</t>
  </si>
  <si>
    <t>APPARATUS FOR PREDICTING OUTBREAK OF AVIAN INFLUENZA</t>
  </si>
  <si>
    <t>16/044740</t>
  </si>
  <si>
    <t>G-LAND</t>
  </si>
  <si>
    <t>KIM; Tai-Jin; (Gyeonggi-do, KR)</t>
  </si>
  <si>
    <t>G06F 19/00 20130101;  G16H 50/80 20180101;  G16H 20/40 20180101;  G06F 9/06 20130101</t>
  </si>
  <si>
    <t>There is provided a prediction apparatus. The prediction apparatus     includes a storage unit storing information on the amount of CO.sub.2     measured in the atmosphere and the number of sunspots and a prediction     unit configured to determine possibility of an AI outbreak while     considering the amount of CO.sub.2 measured in the atmosphere or the     number of sunspots that are stored in the storage unit.</t>
  </si>
  <si>
    <t>US20190295725</t>
  </si>
  <si>
    <t>Detect&amp;Monitor; Tracking</t>
  </si>
  <si>
    <t>Patient Tracking and Diagnosis System of Transmissible Disease</t>
  </si>
  <si>
    <t>15/933386</t>
  </si>
  <si>
    <t>Morrow, JR., Donnie R.</t>
  </si>
  <si>
    <t>MORROW</t>
  </si>
  <si>
    <t>Morrow, JR.; Donnie R.; (Houston, TX)</t>
  </si>
  <si>
    <t>G16H 50/80 20180101;  G16H 50/70 20180101;  G16H 50/30 20180101;  G16H 10/60 20180101;  G16H 40/67 20180101;  G01S 5/0027 20130101;  G16H 50/20 20180101</t>
  </si>
  <si>
    <t>A patient tracking and diagnosis system is disclosed for providing a     physician, medical diagnosis information related to a patient suspected     with transmissible diseases based on the geo-location of the patient. In     specific, the system comprises a mobile application module accessed by a     patient to record patient location information, health information and     the like, a data collection and analysis storage unit to collect, store     and analyze the recorded data of various patients, a physician     application module to access the patient's information and retrieve     medical diagnosis information based on the geo-locations of the patient,     proximity from other patients with suspected/conformed diagnosis and     thereof. The invention is advantageous in aiding physicians to get     knowledge of suspected diagnosis for a patient and thereby performing     only those treatment tests that are necessary and thus eliminate     unnecessary tests.</t>
  </si>
  <si>
    <t>US20190291110</t>
  </si>
  <si>
    <t>DISEASE DIAGNOSTIC SYSTEM AND METHOD</t>
  </si>
  <si>
    <t>16/359589</t>
  </si>
  <si>
    <t>CHARLES R. DREW UNIVERSITY OF MEDICINE AND SCIENCE</t>
  </si>
  <si>
    <t>CHARLES DREW UNIVERSITY MEDICINE AND SCIENCE</t>
  </si>
  <si>
    <t>Liu; Benjamin; (Los Angeles, CA); McGhee; Eva; (Los Angeles, CA); Liu; Robin; (Los Angeles, CA); Nava; Miguel; (Los Angeles, CA)</t>
  </si>
  <si>
    <t>B01L 2200/027 20130101;  C12Q 1/686 20130101;  B01L 2200/0684 20130101;  C12Q 1/6883 20130101;  B01L 2400/0439 20130101;  B01L 2400/0487 20130101;  B01L 2200/0668 20130101;  B01L 3/502761 20130101;  B01L 3/50273 20130101;  B01L 3/502738 20130101;  B01L 2400/0481 20130101</t>
  </si>
  <si>
    <t>Infectious diseases have been sources of large-scale epidemics and     pandemics resulting in millions of casualties worldwide. Detection of     these biological agents normally involves several lab processes including     sample preparation, nucleic acid separation and amplification, and     diagnostic analysis. These steps, either performed manually or automated     by high-throughput machinery, are tedious, expensive, and highly     susceptible to cross-contamination. The present system is an integrated     lab-on-a-device designed, developed, and tested in compatibility with a     mechanical fixture for sample-to-answer biological analysis of infectious     diseases.</t>
  </si>
  <si>
    <t>US20190276519</t>
  </si>
  <si>
    <t>IMMUNOGENETIC RESTRICTION ON ELICITATION OF ANTIBODIES</t>
  </si>
  <si>
    <t>16/259209</t>
  </si>
  <si>
    <t>Marasco; Wayne A.; (Wellesley, MA); Avnir; Yuval; (Boston, MA)</t>
  </si>
  <si>
    <t>A61K 47/6841 20170801;  C07K 2317/565 20130101;  C07K 2317/21 20130101;  C12Q 1/6876 20130101;  A61P 31/14 20180101;  C07K 2317/55 20130101;  C07K 2317/54 20130101;  C07K 2317/56 20130101;  C07K 2317/567 20130101;  G01N 33/5052 20130101;  C07K 2317/76 20130101;  C12Q 2600/106 20130101;  C07K 2317/622 20130101;  C07K 16/1018 20130101;  C07K 2317/92 20130101;  G01N 2800/52 20130101;  C12Q 2600/158 20130101</t>
  </si>
  <si>
    <t>The present invention provides structural determinants important for     binding to the stem domain of the HA protein of influenza virus, and     methods of use thereof for production of high affinity neutralizing     influenza virus antibodies based upon these determinants. The present     invention further provides tools for determining the efficacy of an     influenza virus vaccine. The present invention further provides a     molecular signature useful for determining the efficacy of an influenza     virus vaccine in a subject, or for predicting prior immunologic exposure     or antigen responsiveness to vaccine or influenza virus infection.</t>
  </si>
  <si>
    <t>US20190276468</t>
  </si>
  <si>
    <t>16/158204</t>
  </si>
  <si>
    <t>Bacon; Elizabeth M.; (Burlingame, CA); Cottell; Jeromy J.; (Redwood City, CA); Katana; Ashley Anne; (North Olmsted, OH); Kato; Darryl; (San Francisco, CA); Krygowski; Evan S.; (Washington, DC); Link; John O.; (San Francisco, CA); Taylor; James G.; (Burlingame, CA); Tran; Chinh Viet; (San Diego, CA); Trejo Martin; Teresa Alejandra; (Belmont, CA); Yang; Zheng-Yu; (Palo Alto, CA); Zipfel; Sheila M.; (San Mateo, CA)</t>
  </si>
  <si>
    <t>A61K 31/7064 20130101;  C07D 491/052 20130101;  A61K 38/21 20130101;  A61P 31/14 20180101;  A61K 31/4188 20130101;  C07D 405/12 20130101;  A61K 31/7072 20130101;  C07F 5/025 20130101;  A61K 31/7056 20130101;  A61K 45/06 20130101;  A61P 1/16 20180101;  Y10S 514/894 20130101;  A61K 31/7056 20130101;  A61K 31/7072 20130101;  A61K 31/7064 20130101;  A61K 2300/00 20130101;  A61K 38/07 20130101;  A61K 38/06 20130101;  A61K 31/4188 20130101;  A61P 31/12 20180101;  A61K 47/60 20170801;  A61P 43/00 20180101;  A61K 2300/00 20130101;  A61K 2300/00 20130101;  A61K 2300/00 20130101</t>
  </si>
  <si>
    <t>US20190275063</t>
  </si>
  <si>
    <t>METHODS FOR TREATING FILOVIRIDAE VIRUS INFECTIONS</t>
  </si>
  <si>
    <t>16/274049</t>
  </si>
  <si>
    <t>Chun; Byoung Kwon; (Pleasanton, CA); Clarke; Michael O' Neil Hanrahan; (Redwood City, CA); Doerffler; Edward; (Union City, CA); Hui; Hon Chung; (San Mateo, CA); Jordan; Robert; (Foster City, CA); Mackman; Richard L.; (Millbrae, CA); Parrish; Jay P.; (El Dorado Hills, CA); Ray; Adrian S.; (Burlingame, CA); Siegel; Dustin; (Half Moon Bay, CA)</t>
  </si>
  <si>
    <t>A61K 31/6615 20130101;  C07H 11/00 20130101;  A61K 31/683 20130101;  C07F 9/2429 20130101;  A61K 45/06 20130101;  A61K 31/00 20130101;  A61K 31/665 20130101;  A61K 31/685 20130101;  C07D 519/00 20130101;  C07H 15/18 20130101;  A61P 43/00 20180101;  A61P 31/00 20180101;  A61K 31/706 20130101;  A61K 31/53 20130101;  C07H 1/00 20130101;  C07H 1/02 20130101;  C07F 9/65616 20130101;  C07D 487/04 20130101;  A61K 31/675 20130101;  A61K 31/7056 20130101;  A61P 31/12 20180101;  A61P 31/14 20180101;  A61K 31/53 20130101;  A61K 2300/00 20130101;  A61K 31/675 20130101;  A61K 2300/00 20130101;  A61K 31/685 20130101;  A61K 2300/00 20130101</t>
  </si>
  <si>
    <t>Provided are compounds, methods, and pharmaceutical compositions for     treating Filoviridae virus infections by administering ribosides,     riboside phosphates and prodrugs thereof, of Formula IV:  ##STR00001## The compounds, compositions, and methods provided are particularly useful     for the treatment of Marburg virus, Ebola virus and Cueva virus     infections.</t>
  </si>
  <si>
    <t>US20190272925</t>
  </si>
  <si>
    <t>EVALUATION OF RESPIRATORY DISEASE RISK IN A GEOGRAPHIC REGION BASED ON     MEDICAMENT DEVICE MONITORING</t>
  </si>
  <si>
    <t>16/290820</t>
  </si>
  <si>
    <t>Barrett; Meredith A.; (Redwood City, CA); Su; Guangquan; (Alameda, CA); Tuffli; Michael J.; (Kentfield, CA); Lohmeier; Michael; (Sun Prairie, WI); Lee; Robert Austin; (San Francisco, CA); Hogg; Christopher; (San Francisco, CA); Van Sickle; John David; (Oregon, WI); Tracy; Gregory F.; (Madison, WI); Hirons; Nicholas John; (Oakland, CA)</t>
  </si>
  <si>
    <t>G16H 20/10 20180101;  G16H 50/80 20180101;  G16H 40/67 20180101;  G16H 10/20 20180101;  G16H 50/30 20180101</t>
  </si>
  <si>
    <t>A respiratory disease analytics system provides respiratory disease risk     reports to a patient, provider, or third-party entity describing a     patient's risk of experiencing a medication usage event given data in a     geographic region. Regional data, including air pollutant conditions,     weather conditions, demographic information, built environment factors,     and regional health conditions for a geographic region are accessed from     other sources and assigned based on event data recorded during a     medicament usage event, as collected by sensors associated with the     patient's medicament device/s. The regional data is assigned to     medicament usage events occurring within a period of time. The assigned     regional data is analyzed to determine an expected number of medication     usage events for the geographic region occurring over the period of time.</t>
  </si>
  <si>
    <t>US20190270805</t>
  </si>
  <si>
    <t>ANTAGONISTS OF IL-6 TO PREVENT OR TREAT CACHEXIA, WEAKNESS, FATIGUE,     AND/OR FEVER</t>
  </si>
  <si>
    <t>16/191514</t>
  </si>
  <si>
    <t>H. LUNDBECK A/S</t>
  </si>
  <si>
    <t>LUNDBECK A/S</t>
  </si>
  <si>
    <t>SMITH; JEFFREY T.L.; (BELLEVUE, WA); SCHATZMAN; RANDALL C.; (REDMOND, WA); LITTON; MARK; (SEATTLE, WA); LATHAM; JOHN; (SEATTLE, WA)</t>
  </si>
  <si>
    <t>A61P 21/00 20180101;  A61P 37/06 20180101;  A61K 2039/505 20130101;  A61P 3/00 20180101;  C07K 2317/52 20130101;  C07K 2317/76 20130101;  C07K 16/248 20130101;  C07K 2317/34 20130101;  C07K 2317/56 20130101;  C07K 2317/41 20130101;  C07K 2317/24 20130101;  C07K 2317/94 20130101;  C07K 2317/92 20130101;  C07K 2317/565 20130101</t>
  </si>
  <si>
    <t>The present invention is directed to therapeutic methods using antibodies     and fragments thereof having binding specificity for IL-6 to prevent or     treat cachexia, fever, weakness and/or fatigue in a patient in need     thereof. In preferred embodiments these patients will comprise those     exhibiting (or at risk of developing) an elevated serum C-reactive     protein level. In another preferred embodiment, the patient's     survivability or quality of life will preferably be improved.</t>
  </si>
  <si>
    <t>US20190270750</t>
  </si>
  <si>
    <t>SOLID FORMS OF AN ANTIVIRAL COMPOUND</t>
  </si>
  <si>
    <t>15/845837</t>
  </si>
  <si>
    <t>Lapina; Olga Viktorovna; (Newark, CA); Shi; Bing; (Redwood City, CA); Wang; Fang; (Foster City, CA); Wolckenhauer; Scott Alan; (Redwood City, CA)</t>
  </si>
  <si>
    <t>C07D 491/052 20130101;  C07B 2200/13 20130101;  A61P 31/00 20180101;  A61P 31/14 20180101</t>
  </si>
  <si>
    <t>Crystalline solid forms of methyl     {(2S)-1-[(2S,5S)-2-(9-{2-[(2S,4S)-1-{(2R)-2-[(methoxycarbonyl)amino]-2-ph-    enylacetyl}-4-(methoxymethyl)pyrrolidin-2-yl]-1H-imidazol-5-yl}-1,11-dihyd-    roisochromeno[4',3':6,7]naphtho[1,2-d]imidazol-2-yl)-5-methylpyrrolidin-1--    yl]-3 -methyl-1-oxobutan-2-yl}carbamate (Compound I) were prepared and     characterized in the solid state:  ##STR00001## Also provided are processes of manufacture and methods of using these     crystalline forms.</t>
  </si>
  <si>
    <t>US20190268426</t>
  </si>
  <si>
    <t>CROWD-SOURCED COMPUTER-IMPLEMENTED METHODS AND SYSTEMS OF COLLECTING AND     TRANSFORMING PORTABLE DEVICE DATA</t>
  </si>
  <si>
    <t>16/408731</t>
  </si>
  <si>
    <t>KNOWMADICS, INC.</t>
  </si>
  <si>
    <t>KNOWMADICS</t>
  </si>
  <si>
    <t>MAGUIRE; Paul; (Manassas, VA); CINNAMON; Lisa; (Hammonds Plain, CA); OSTRUM; Claire; (Leesburg, VA); O'TOOLE; Brian; (McLean, VA); EDGETT; Steven; (Kanata, CA); CORCORAN; Charles; (Duluth, GA)</t>
  </si>
  <si>
    <t>H04L 67/125 20130101;  H04L 67/36 20130101;  G16H 50/80 20180101;  H04L 67/22 20130101;  H04W 4/02 20130101</t>
  </si>
  <si>
    <t>The present invention broadly comprises crowd-sourced     computer-implemented methods and systems of collecting and transforming     portable device data. One embodiment of the invention may be implemented     as a system including an electronic device including a sensor configured     to collect data, the device configured to begin collection of data based     on a command from a user of the electronic device; and a server     configured to issue a command to the electronic device to turn on the     sensor and transmit data collected by the sensor to the server without     any input by the user of the electronic device when a condition is met.</t>
  </si>
  <si>
    <t>US20190266540</t>
  </si>
  <si>
    <t>METHOD AND SYSTEM FOR TRACKING HEALTH STATISTICS</t>
  </si>
  <si>
    <t>16/409429</t>
  </si>
  <si>
    <t>Foster; David A.; (Chelsea, MI)</t>
  </si>
  <si>
    <t>G06Q 50/22 20130101;  G06F 19/328 20130101;  G06Q 10/06395 20130101;  G16H 50/80 20180101;  G16H 50/30 20180101</t>
  </si>
  <si>
    <t>A computer program product for modeling a quality of healthcare based on     a level of consolidation of a healthcare region is disclosed. The program     causes a processor to identify a plurality of healthcare regions     comprising healthcare providers and access healthcare statistics of a     plurality of patients in the plurality of healthcare regions. The     processor accesses a consolidation index for each of the healthcare     regions and calculates a correlation of at least one care factor of the     healthcare statistics to the consolidation index. The processor generates     a consolidation influence model for the at least one care factor based on     the correlation.</t>
  </si>
  <si>
    <t>US20190263771</t>
  </si>
  <si>
    <t>PROCESSES FOR PREPARING ANTIVIRAL COMPOUNDS</t>
  </si>
  <si>
    <t>16/404550</t>
  </si>
  <si>
    <t>Allan; Kevin M.; (Belmont, CA); Fujimori; Shinji; (San Francisco, CA); Heumann; Lars V.; (Redwood City, CA); May; Grace; (Burlingame, CA); Brown; Katie Ann; (Burlingame, CA); Levins; Christopher M.; (Redwood City, CA); Pamulapati; Ganapati Reddy; (Warrington, PA); Roberts; Benjamin James; (San Francisco, CA); Sarma; Keshab; (Sunnyvale, CA); Teresk; Martin Gerald; (Parkville, MO); Wang; Xiang; (Foster City, CA); Wolckenhauer; Scott Alan; (Redwood City, CA)</t>
  </si>
  <si>
    <t>C07C 49/82 20130101;  C07C 49/755 20130101;  C07D 405/14 20130101;  C07C 2602/10 20170501;  C07C 49/80 20130101;  C07D 311/78 20130101;  C07D 491/052 20130101;  C07D 405/12 20130101;  A61P 31/14 20180101</t>
  </si>
  <si>
    <t>The present disclosure provides processes for the preparation of a     compound of formula:  ##STR00001## which is useful as an antiviral agent. The disclosure also provides     compounds that are synthetic intermediates.</t>
  </si>
  <si>
    <t>US20190257829</t>
  </si>
  <si>
    <t>High-Accuracy Statistical Detection and Discernment of Pathogens,     Substances, and Biomarkers Using Binary Classifiers Operating on     Processed Measurements from Groups of Less-Accurate Sensors</t>
  </si>
  <si>
    <t>16/399498</t>
  </si>
  <si>
    <t>NRI R&amp;D PATENT LICENSING, LLC</t>
  </si>
  <si>
    <t>NRI PATENT LICENSING</t>
  </si>
  <si>
    <t>LUDWIG; Lester F.; (San Antonio, TX); TIPGUNLAKANT; Pooncharas; (Belmont, CA)</t>
  </si>
  <si>
    <t>G01N 33/54373 20130101</t>
  </si>
  <si>
    <t>This invention provides novel statistical processing approaches on     measurements from diverse or varied sensors to collectively implement     high-accuracy testing for detections and/or discernments of pathogens,     substances, and/or biomarkers. For example, a group of inexpensive     sensors can approach, match, or exceed the performance of existing     high-accuracy methods. In an implementation, measurements are obtained     from disposable optical and/or bioFET sensors arrayed on a substrate     using printing techniques. In an example application, the invention     operates together with or within a platform technology comprising a rich     ability to flexibly perform, create, deploy, maintain, and update a range     of panels, assay, array, and/or test sequences for a wide range of     substances and pathogens using a wide range and large number of     collocated highly-selective sensors and supplemental sensors (such as     temperature, pH, selective ions, etc.). The invention addresses many     problematic aspects of field testing for food safety, water safety,     epidemic outbreaks, routine diagnosis, and disease monitoring.</t>
  </si>
  <si>
    <t>US20190256579</t>
  </si>
  <si>
    <t>MIDDLE EAST RESPIRATORY SYNDROME CORONAVIRUS IMMUNOGENS, ANTIBODIES, AND     THEIR USE</t>
  </si>
  <si>
    <t>16/403211</t>
  </si>
  <si>
    <t>Graham; Barney; (Rockville, MD); Kong; Wing-Pui; (Germantown, MD); Modjarrad; Kayvon; (Bethesda, MD); Wang; Lingshu; (North Potomac, MD); Shi; Wei; (Rockville, MD); Joyce; Michael Gordon; (Washington, DC); Kanekiyo; Masaru; (Chevy Chase, MD); Mascola; John; (Rockville, MD)</t>
  </si>
  <si>
    <t>A61K 2039/55566 20130101;  C12N 2770/20034 20130101;  C07K 14/165 20130101;  C07K 2317/92 20130101;  G01N 33/56983 20130101;  C07K 2317/54 20130101;  A61K 2039/55572 20130101;  C07K 2317/33 20130101;  A61K 39/12 20130101;  A61K 2039/545 20130101;  A61K 2039/55505 20130101;  A61K 2039/53 20130101;  A61K 2039/57 20130101;  C07K 2317/24 20130101;  C07K 14/005 20130101;  C07K 2317/567 20130101;  C07K 2317/55 20130101;  G01N 2333/165 20130101;  A61K 39/215 20130101;  C07K 2317/21 20130101;  C07K 2317/56 20130101;  C07K 16/10 20130101;  C07K 2317/76 20130101;  C07K 2317/622 20130101;  C07K 2317/565 20130101;  C07K 2317/52 20130101;  C07K 2317/34 20130101</t>
  </si>
  <si>
    <t>Methods of inducing an immune response in a subject to the Middle East     respiratory syndrome coronavirus (MERS-CoV) are provided. In several     embodiments, the immune response is a protective immune response that     inhibits or prevents MERS-CoV infection in the subject. Recombinant     MERS-CoV polypeptides and nucleic acid molecules encoding same are also     provided. Additionally, neutralizing antibodies that specifically bind to     MERS-CoV S protein and antigen binding fragments thereof are disclosed.     The antibodies and antigen binding fragments are useful, for example, in     methods of detecting MERS-CoV S protein in a sample or in a subject, as     well as methods of preventing and treating a MERS-CoV infection in a     subject.</t>
  </si>
  <si>
    <t>US20190255125</t>
  </si>
  <si>
    <t>VACCINE COMPOSITIONS COMPRISING AN ATTENUATED MUTANT ZIKA VIRUS</t>
  </si>
  <si>
    <t>16/307689</t>
  </si>
  <si>
    <t>INSERM (INSTITUT NATIONAL DE LA SANTÈ ET DE LA RECHERCHE MÉDICALE)</t>
  </si>
  <si>
    <t>INSERM</t>
  </si>
  <si>
    <t>DESPRES; Philippe; (Sainte Clotilde la Reunion, FR); GADEA; Gilles; (Sainte Clotilde la Reunion, FR); MAVINGUI; Patrick; (Sainte Clotilde la Reunion, FR); VIRANAICKEN; Wildriss; (Sainte Clotilde la Reunion, FR)</t>
  </si>
  <si>
    <t>A61K 35/76 20130101;  A61P 31/14 20180101</t>
  </si>
  <si>
    <t>The present invention relates to vaccine compositions comprising an     attenuated mutant Zika virus. The inventors have introduced mutations at     very specific positions that abrogate the N-glycosylation site on the E     protein of the epidemic strain which will prevent the generation of     auto-antibodies responsible for Guillain-Barre syndrome. The inventors     have also produced additional mutations of the virus that result to a     dramatic reduction of the cytopathic effects without affecting the     capacity to produce high titers of virus. In particular, the present     invention relates to an attenuated mutant Zika virus comprising a protein     E of the epidemic strain wherein at least one amino acid residue at     position 152, 156 or 158 is mutated.</t>
  </si>
  <si>
    <t>US20190255085</t>
  </si>
  <si>
    <t>16/265016</t>
  </si>
  <si>
    <t>A61K 2300/00 20130101;  A61P 31/12 20180101;  A61K 31/706 20130101;  A61K 31/7056 20130101;  A61K 31/706 20130101;  A61P 43/00 20180101</t>
  </si>
  <si>
    <t>US20190252078</t>
  </si>
  <si>
    <t>PREDICTING THE SPREAD OF CONTAGIONS</t>
  </si>
  <si>
    <t>15/897324</t>
  </si>
  <si>
    <t>X Development (Formerly Google X)</t>
  </si>
  <si>
    <t>X DEV</t>
  </si>
  <si>
    <t>Schubert; Martin Friedrich; (Mountain View, CA); Sadilek; Adam; (San Jose, CA)</t>
  </si>
  <si>
    <t>G16H 50/80 20180101;  G16H 50/70 20180101;  G06N 3/0445 20130101;  G16H 10/60 20180101;  G06N 20/00 20190101</t>
  </si>
  <si>
    <t>Methods, systems, and apparatus, including computer programs encoded on a     computer storage medium, for obtaining internet search data, the search     data indicating internet searches performed by a population of users.     Obtaining location data associated with each user in the population where     the location data represents one or more geographic locations of each     user over a period of time. Identifying a subset of the population who     are likely carrying a contagion based on the search data. Determining an     exposure level of a user to the contagion based on a correlation of a     first location data associated with the user with a second location data     associated with one or more users in the subset of the population who are     likely carrying the contagion. Determining whether the user is likely to     be or become ill based on the exposure level. Providing a notification     indicating that the user has been exposed to the contagion.</t>
  </si>
  <si>
    <t>US20190252077</t>
  </si>
  <si>
    <t>16/387601</t>
  </si>
  <si>
    <t>G16H 50/80 20180101;  G16H 50/70 20180101;  G06Q 10/103 20130101;  G06Q 50/22 20130101;  G16H 80/00 20180101</t>
  </si>
  <si>
    <t>US20190247529</t>
  </si>
  <si>
    <t>METHOD AND SYSTEM FOR DECONTAMINATING SMALL ENCLOSURES</t>
  </si>
  <si>
    <t>16/391812</t>
  </si>
  <si>
    <t>SHANE; Halden Stuart; (Beverly Hills, CA); Cato; Johnny Sullivan; (Lynwood, CA)</t>
  </si>
  <si>
    <t>A61L 2202/15 20130101;  A61L 2202/14 20130101;  A61L 2/22 20130101</t>
  </si>
  <si>
    <t>A method, system and apparatus are described for decontaminating small     enclosures, semi-enclosed and closed areas of pathogens by using a very     dry mist comprising ionized hydrogen peroxide. The system can be     controlled manually by the user, or by a remote connection, such as a     wireless network connection. The method includes use of a handheld,     point-and-spray device that sprays a very dry mist comprising ionized     hydrogen peroxide under manual or automated control.</t>
  </si>
  <si>
    <t>US20190247490</t>
  </si>
  <si>
    <t>COMPOSITION COMPRISING ANTIGENS AND A MUCOSAL ADJUVANT AND A METHOD FOR     USING</t>
  </si>
  <si>
    <t>16/386535</t>
  </si>
  <si>
    <t>PHIBRO ANIMAL HEALTH CORPORATION</t>
  </si>
  <si>
    <t>PHIBRO ANIMAL HEALTH</t>
  </si>
  <si>
    <t>Weaver; Grant; (Kingsley, IA); Kula; Jeffrey Alan; (Lincoln, NE); Lin; Boh Chang; (Omaha, NE); Brown; Karen; (Parksville, MO); Johnson; Wesley W.; (Platte City, MO); Murphy; Michael Dennis; (Atlantic, IA)</t>
  </si>
  <si>
    <t>A61K 39/102 20130101;  A61K 39/12 20130101;  A61K 39/145 20130101;  A61K 2039/543 20130101;  A61K 2039/552 20130101;  A61K 2039/55505 20130101;  A61K 2039/55511 20130101;  A61K 2039/55555 20130101;  A61K 2039/55566 20130101;  C12N 7/00 20130101;  C12N 2760/16134 20130101</t>
  </si>
  <si>
    <t>The majority of the mortality observed in young pigs occurs between three     and five weeks post-weaning for S. suis infections and between four and     six weeks post-weaning for H. parasuis and Actinobacillus suis     infections. Clinical disease control associated with S. suis, A. suis and     H. parasuis has been attempted using antibiotic treatment, by controlled     exposure with live organisms, and by vaccination, using either     inactivated commercial or autogenous bacterins administered parenterally.     A similar lack of protection in very young pigs is observed with various     viruses including swine influenza virus, porcine reproductive and     respiratory syndrome virus, porcine epidemic diarrhea virus and     rotavirus. Disclosed herein is an immunogenic composition comprising     inactivated antigens and a mucosal adjuvant. The composition may be     administered to subjects, such as animals, particularly piglets from     pre-weaning through the nursery phase, such as from birth or from three     to five days of age, to protect from these diseases.</t>
  </si>
  <si>
    <t>US20190240317</t>
  </si>
  <si>
    <t>HPIV3 RNA VACCINES</t>
  </si>
  <si>
    <t>16/368270</t>
  </si>
  <si>
    <t>C12N 2760/18034 20130101;  A61K 2039/55555 20130101;  C12N 2770/20034 20130101;  C12N 2760/18334 20130101;  C07K 2317/76 20130101;  A61K 39/155 20130101;  A61P 11/00 20180101;  C12N 2760/18534 20130101;  C07K 16/1027 20130101;  A61K 39/12 20130101;  C12N 2760/18434 20130101;  C12N 2760/18634 20130101;  Y02A 50/39 20180101;  C07K 16/10 20130101;  A61K 2039/53 20130101;  A61K 2039/70 20130101;  A61K 2039/55511 20130101;  A61K 2039/6018 20130101</t>
  </si>
  <si>
    <t>US20190240246</t>
  </si>
  <si>
    <t>COMBINATION FORMULATION OF TWO ANTIVIRAL COMPOUNDS</t>
  </si>
  <si>
    <t>16/124111</t>
  </si>
  <si>
    <t>Gorman; Eric; (San Francisco, CA); Mogalian; Erik; (San Francisco, CA); Oliyai; Reza; (Burlingame, CA); Stefanidis; Dimitrios; (Saratoga, CA); Wiser; Lauren; (San Francisco, CA); Zia; Vahid; (Palo Alto, CA)</t>
  </si>
  <si>
    <t>A61K 9/284 20130101;  A61K 9/1623 20130101;  A61P 1/16 20180101;  A61P 43/00 20180101;  A61K 9/1635 20130101;  A61P 31/12 20180101;  A61K 9/2054 20130101;  A61K 31/7072 20130101;  A61P 31/14 20180101;  A61K 31/4188 20130101;  A61K 31/7056 20130101;  A61K 31/4188 20130101;  A61K 2300/00 20130101;  A61K 31/7072 20130101;  A61K 2300/00 20130101</t>
  </si>
  <si>
    <t>Disclosed are pharmaceutical compositions comprising Compound I, having     the formula:  ##STR00001## and an effective amount of sofosbuvir wherein the sofosbuvir is     substantially crystalline. Also disclosed are methods of use for the     pharmaceutical composition.</t>
  </si>
  <si>
    <t>US20190237202</t>
  </si>
  <si>
    <t>Methods, Systems And Computer Program Products For Aggregating Medical     Information</t>
  </si>
  <si>
    <t>16/381705</t>
  </si>
  <si>
    <t>Craine; Ari; (Marietta, GA); Reeves; Jonathan; (Roswell, GA); Tischer; Steven; (Atlanta, GA)</t>
  </si>
  <si>
    <t>G06F 19/3418 20130101;  G16H 40/63 20180101;  G16H 40/67 20180101;  G16H 50/80 20180101</t>
  </si>
  <si>
    <t>A method of aggregating medical information can include receiving, at a     remote aggregation system, individual syndromes collected by mobile     personal medical devices associated with respective bodies as the mobile     personal medical devices move within an environment, aggregating the     individual syndromes at the remote aggregation system, and determining     whether an environmental syndrome exists for at least some of the     individual syndromes. Related systems and computer program products are     also disclosed.</t>
  </si>
  <si>
    <t>US20190234962</t>
  </si>
  <si>
    <t>ENTROPY OF IMMUNE HEALTH</t>
  </si>
  <si>
    <t>16/116592</t>
  </si>
  <si>
    <t>Johnston; Stephen; (Tempe, AZ); Whittemore; Kurt; (Cedar City, UT); Stafford; Phillip; (Phoenix, AZ); Wang; Lu; (Tempe, AZ)</t>
  </si>
  <si>
    <t>G16H 50/20 20180101;  G16H 50/50 20180101;  G16H 50/30 20180101;  G01N 33/6854 20130101;  G16H 50/80 20180101;  G01N 33/6848 20130101</t>
  </si>
  <si>
    <t>In certain embodiments, the present invention provides methods and     compositions to measure unbiasedly the immune health status of an     individual or population. A number of measures, including Shannon's     entropy, can provide a measure of the diversity and disorder in the     population of antibodies in a subject. The measure can be established by     reacting the population of antibodies in a subject's blood with a complex     surface, such as a peptide array.</t>
  </si>
  <si>
    <t>US20190231864</t>
  </si>
  <si>
    <t>16/353877</t>
  </si>
  <si>
    <t>US20190224339</t>
  </si>
  <si>
    <t>16/097431</t>
  </si>
  <si>
    <t>Paul; Steven; (Cambridge, MA); Liu; Wencheng; (Cambridge, MA); Hou; Jinzhao; (Cambridge, MA); Shu; Yanqun; (Cambridge, MA)</t>
  </si>
  <si>
    <t>A61K 48/0058 20130101;  C12N 15/113 20130101;  A61P 35/00 20180101;  C12N 15/62 20130101;  C07K 14/005 20130101;  C12N 2710/14044 20130101;  A61K 9/141 20130101;  C07K 14/47 20130101;  C12N 7/00 20130101;  A61P 25/28 20180101;  A61P 25/16 20180101;  C07K 16/18 20130101;  A61K 2039/505 20130101;  C07K 2317/14 20130101;  C12N 15/86 20130101;  A61K 9/0019 20130101;  C12N 2750/14143 20130101;  A61K 48/0066 20130101</t>
  </si>
  <si>
    <t>US20190224206</t>
  </si>
  <si>
    <t>METABOLITES OF BICTEGRAVIR</t>
  </si>
  <si>
    <t>16/251454</t>
  </si>
  <si>
    <t>Jin; Haolun; (Foster City, CA); Pyun; Hyung-Jung; (Fremont, CA); Smith; Bill J.; (San Mateo, CA); Subramanian; Raju; (San Mateo, CA); Wang; Jianhong; (Foster City, CA)</t>
  </si>
  <si>
    <t>C07H 17/00 20130101;  A61K 31/553 20130101;  A61K 45/06 20130101;  A61K 31/706 20130101;  A61P 31/18 20180101;  A61K 31/553 20130101;  G01N 33/94 20130101;  A61K 31/537 20130101;  C07D 498/18 20130101;  A61K 2300/00 20130101</t>
  </si>
  <si>
    <t>The present invention provides metabolites of the antiviral drug     bictegravir, including compositions and salts thereof, which are useful     in the prevention and/or treatment of HIV as well as analytical methods     related to the administration of bictegravir.</t>
  </si>
  <si>
    <t>US20190216919</t>
  </si>
  <si>
    <t>Novel Vaccine Compositions for Porcine Epidemic Diarrhea Virus and Porcine     Deltacoronavirus</t>
  </si>
  <si>
    <t>16/282953</t>
  </si>
  <si>
    <t>Marx; Jacqueline Gayle; (Portage, MI); Hardham; John Morgan; (Kalamazoo, MI); Dominowski; Paul J.; (Kalamazoo, MI); Rapp Gabrielson; Vicki Jon; (Kalamazoo, MI); Balasch Sanuy; Monica; (Barcelona, ES); Cabana Sumsi; Marta; (Barcelona, ES); Plaja Dilme; Laia; (Girona, ES); Urniza Hostench; Alicia; (Girona, ES); Romero Galindo; Oscar; (White Plains, NY)</t>
  </si>
  <si>
    <t>A61K 39/12 20130101;  A61K 39/215 20130101;  A61K 2039/5252 20130101;  A61K 2039/552 20130101;  A61K 2039/55505 20130101;  A61K 2039/55566 20130101;  A61K 2039/575 20130101;  A61K 2039/70 20130101;  C12N 7/00 20130101;  C12N 2770/20022 20130101;  C12N 2770/20034 20130101;  C12N 2770/20063 20130101;  C12N 2770/20071 20130101</t>
  </si>
  <si>
    <t>The present invention is directed to novel immunogenic compositions that     protect swine from disease caused by porcine epidemic diarrhea virus     (PEDV). The present invention is also directed to novel immunogenic     compositions that protect swine from disease caused by porcine     deltacoronavirus (PDCoV), alone or as combination vaccine to protect     against PEDV. The compositions of the invention provide killed viruses     whose effectiveness is enhanced by the selection of preferred adjuvants.     Novel culture methods are also employed to increase reproducible yield of     cultured viruses. Live vaccines are also provided from the Calaf14 PEDV     isolate.</t>
  </si>
  <si>
    <t>US20190216918</t>
  </si>
  <si>
    <t>Mumps</t>
  </si>
  <si>
    <t>RECOMBINANT MUMPS VIRUS VACCINE</t>
  </si>
  <si>
    <t>16/352135</t>
  </si>
  <si>
    <t>He; Biao; (Bogart, GA); Rubin; Steven A.; (Silver Spring, MD)</t>
  </si>
  <si>
    <t>A61K 39/12 20130101;  A61K 39/155 20130101;  A61K 39/165 20130101;  A61K 2039/5254 20130101;  A61K 2039/5256 20130101;  A61K 2039/543 20130101;  C07K 16/1027 20130101;  C07K 16/241 20130101;  C07K 2317/34 20130101;  C12N 7/00 20130101;  C12N 2760/18534 20130101;  C12N 2760/18721 20130101;  C12N 2760/18734 20130101;  C12N 2760/18743 20130101;  C12N 2760/18762 20130101</t>
  </si>
  <si>
    <t>The present invention provides the complete genomic sequence of the     epidemic mumps virus (MuV) strain MuV.sup.Iowa/US/06. Further, a reverse     genetics system was constructed and used to rescue recombinant viral     constructs that are attenuated compared to rMuV.sup.Iowa/US/06 and JL     vaccine viruses. Such constructs include viral constructs lacking the     open reading frame (ORF) of the SH gene (rMuV.DELTA.SH) and/or incapable     of expressing the V protein (rMuV.DELTA.V).</t>
  </si>
  <si>
    <t>US20190216917</t>
  </si>
  <si>
    <t>HMPV RNA VACCINES</t>
  </si>
  <si>
    <t>16/368099</t>
  </si>
  <si>
    <t>C12N 2760/18034 20130101;  C12N 2760/18434 20130101;  A61K 2039/6018 20130101;  C12N 2760/18634 20130101;  C12N 2760/18534 20130101;  A61K 39/12 20130101;  Y02A 50/39 20180101;  C07K 16/10 20130101;  A61K 39/155 20130101;  A61K 2039/55511 20130101;  C07K 2317/76 20130101;  A61P 11/00 20180101;  A61K 2039/55555 20130101;  C07K 16/1027 20130101;  C12N 2760/18334 20130101;  A61K 2039/53 20130101;  A61K 2039/70 20130101;  C12N 2770/20034 20130101</t>
  </si>
  <si>
    <t>US20190213302</t>
  </si>
  <si>
    <t>SYSTEM AND METHOD FOR PREDICTION-MODEL-BASED DISPLAY OF DISTRIBUTIONS OF     HEALTH OUTCOME INFORMATION FOR PATIENT POPULATIONS IN GEOGRAPHICAL AREAS</t>
  </si>
  <si>
    <t>16/199701</t>
  </si>
  <si>
    <t>ABDOLAHI; Amir; (Waltham, MA); Meijer; Cecillia; (Cambridge, MA); Simhon; Eran; (Boston, MA); Schuurkamp; Gertjan Laurens; (Utrecht, NL); Sharifi Sedeh; Reza; (Malden, MA); Lento; Jordan; (Alpharetta, GA)</t>
  </si>
  <si>
    <t>G16B 40/00 20190201;  G16B 45/00 20190201;  G16H 50/30 20180101;  G16H 50/70 20180101;  G16H 50/80 20180101</t>
  </si>
  <si>
    <t>The present system is configured to display distributions of predicted     health outcome information for patient populations in geographical areas.     The system is configured to obtain demographic, social (e.g., including     environmental), and prior health outcome information for a patient     population in a geographical area. The system is configured to train a     prediction model based on the demographic, social, and prior health     outcome information, which outputs weighted features of the demographic     and social information that are predictive of health outcomes for the     patient population. The system is configured to cause display of a     distribution of predicted health outcome information for the patient     population in the geographical area based on the weighted features.</t>
  </si>
  <si>
    <t>US20190211083</t>
  </si>
  <si>
    <t>HUMAN IMMUNODEFICIENCY VIRUS NEUTRALIZING ANTIBODIES</t>
  </si>
  <si>
    <t>16/273753</t>
  </si>
  <si>
    <t>Balakrishnan; Mini; (Foster City, CA); Carr; Brian A.; (Foster City, CA); Corbin; John; (Oakland, CA); Pace; Craig S.; (Belmont, CA); Thomsen; Nathan D.; (Castro Valley, CA); Zhang; Xue; (San Diego, CA)</t>
  </si>
  <si>
    <t>C07K 2317/567 20130101;  C07K 2317/56 20130101;  C07K 2317/51 20130101;  C07K 2317/33 20130101;  A61P 31/12 20180101;  C07K 2317/72 20130101;  C07K 2317/565 20130101;  C07K 2317/52 20130101;  C07K 2317/732 20130101;  C07K 16/1063 20130101;  C07K 2317/55 20130101;  C07K 2317/41 20130101;  C07K 2317/76 20130101;  A61K 2039/505 20130101;  C07K 2317/92 20130101;  A61P 31/18 20180101;  C07K 2317/515 20130101;  C07K 2317/94 20130101</t>
  </si>
  <si>
    <t>The present invention provides novel anti-HIV antibodies with improved     therapeutic properties, related pharmaceutical compositions, and methods     of use thereof.</t>
  </si>
  <si>
    <t>US20190211065</t>
  </si>
  <si>
    <t>HIGH POTENCY IMMUNOGENIC COMPOSITIONS</t>
  </si>
  <si>
    <t>16/362366</t>
  </si>
  <si>
    <t>Ciaramella; Giuseppe; (Sudbury, MA)</t>
  </si>
  <si>
    <t>A61P 31/14 20180101;  C07K 16/1081 20130101;  A61K 2039/55555 20130101;  C12N 2770/24123 20130101;  A61K 31/7105 20130101;  A61K 39/12 20130101;  A61K 31/7115 20130101;  C12N 2770/24034 20130101;  C07K 14/1825 20130101;  A61K 2039/51 20130101;  A61K 39/39 20130101;  C12N 2770/24134 20130101</t>
  </si>
  <si>
    <t>Provided herein, in some embodiments, are immunogenic compositions that     include a cationic lipid nanoparticle (LNP) encapsulating messenger     ribonucleic acid (mRNA) having an open reading frame encoding a viral,     bacterial or parasitic antigen, a pan HLA DR-binding epitope (PADRE), and     a 5' terminal cap modified to increase mRNA translation efficiency.</t>
  </si>
  <si>
    <t>US20190210978</t>
  </si>
  <si>
    <t>16/158446</t>
  </si>
  <si>
    <t>Cai; Zhenhong R.; (Palo Alto, CA); Cho; Aesop; (Mountain View, CA); Gonzalez Buenrostro; Ana Zurisadai; (San Mateo, CA); Han; Xiaochun; (Santa Clara, CA); Jabri; Salman Y.; (San Francisco, CA); McFadden; Ryan; (Foster City, CA); Qi; Yingmei; (Foster City, CA); Voigt; Johannes; (Cambridge, MA); Yang; Hong; (Fremont, CA); Xu; Jie; (Foster City, CA); Xu; Lianhong; (Palo Alto, CA)</t>
  </si>
  <si>
    <t>C07D 403/14 20130101;  C07D 403/10 20130101;  C07D 413/14 20130101;  C07D 417/14 20130101;  C07D 401/14 20130101;  C07D 233/88 20130101;  A61K 45/06 20130101;  C07D 471/04 20130101;  C07D 487/04 20130101;  C07D 413/10 20130101;  C07D 401/10 20130101;  A61P 31/18 20180101;  C07D 491/107 20130101;  C07D 417/10 20130101;  C07D 405/14 20130101;  C07D 247/00 20130101</t>
  </si>
  <si>
    <t>US20190209676</t>
  </si>
  <si>
    <t>Porcine Epidemic Diarrhea Preventative or Therapeutic Method, Vaccine, and     Vaccine Kit</t>
  </si>
  <si>
    <t>16/325615</t>
  </si>
  <si>
    <t>NIPPON INSTITUTE FOR BIOLOGICAL SCIENCE</t>
  </si>
  <si>
    <t>Sato; Tetsuo; (Shin-machi, Ome-shi, Tokyo, JP); Oroku; Kazuki; (Shin-machi, Ome-shi, Tokyo, JP); Ohshima; Yoshiyuki; (Shin-machi, Ome-shi, Tokyo, JP); Furuya; Yoshiaki; (Shin-machi, Ome-shi, Tokyo, JP); Tsutsumi; Nobuyuki; (Shin-machi, Ome-shi, Tokyo, JP)</t>
  </si>
  <si>
    <t>A61K 9/0019 20130101;  A61K 9/0043 20130101;  A61K 39/225 20130101;  A61K 39/39 20130101;  A61K 2039/5254 20130101;  A61K 2039/54 20130101;  A61K 2039/545 20130101;  A61K 2039/552 20130101;  A61K 2039/555 20130101;  A61P 31/12 20180101</t>
  </si>
  <si>
    <t>A method for preventing or treating porcine epidemic diarrhea, the method     including: administering a live vaccine of a porcine epidemic diarrhea     virus and an adjuvant to a pig through oral administration or nasal     administration; and administering an inactivated vaccine of the porcine     epidemic diarrhea virus and an adjuvant to the pig through intramuscular     administration.</t>
  </si>
  <si>
    <t>US20190202868</t>
  </si>
  <si>
    <t>CORONAVIRUS PROTEINS AND ANTIGENS</t>
  </si>
  <si>
    <t>16/354547</t>
  </si>
  <si>
    <t>Kim; Byoung-Kwan; (Mankato, MN)</t>
  </si>
  <si>
    <t>A61K 39/12 20130101;  A61K 2039/552 20130101;  C07K 14/005 20130101;  C12N 2770/20011 20130101;  C12N 2770/20034 20130101;  C12N 2770/20051 20130101;  C12N 2770/20071 20130101</t>
  </si>
  <si>
    <t>Disclosed herein are embodiments of a method for collecting, extracting     or eluting proteins and antigens from cells infected with coronavirus.     The coronavirus may be a porcine coronavirus, such as porcine epidemic     diarrhea virus (PEDV) or porcine delta coronavirus (PDCoV). Also     disclosed are embodiments of a composition comprising the coronavirus     proteins and antigens, and embodiments of a method of using such a     composition. Applications for the composition include, but are not     limited to, use in the preparation of antibodies against the proteins and     antigens, use as reference markers for coronavirus proteins, and/or use     in an immunogenic composition, such as in a vaccine composition.</t>
  </si>
  <si>
    <t>US20190202852</t>
  </si>
  <si>
    <t>16/212374</t>
  </si>
  <si>
    <t>A61P 31/14 20180101;  C07H 19/073 20130101;  A61K 31/7072 20130101;  A61P 31/12 20180101;  C07H 19/10 20130101;  A61P 11/00 20180101;  C07H 19/06 20130101;  A61K 31/7068 20130101</t>
  </si>
  <si>
    <t>US20190201565</t>
  </si>
  <si>
    <t>16/127915</t>
  </si>
  <si>
    <t>SHANE; Halden Stuart; (Beverly Hills, CA); CATO; Johnny Sullivan; (Lynwood, CA); LIU; Charles; (Belle Mead, NJ)</t>
  </si>
  <si>
    <t>A61L 2202/14 20130101;  A61L 2/202 20130101;  A61L 2202/122 20130101;  A61L 2/204 20130101;  A61L 2/10 20130101;  A61L 2202/25 20130101;  A61L 2202/15 20130101;  A61L 2202/11 20130101;  H05H 2245/1225 20130101;  A61L 2/206 20130101;  A61L 2/22 20130101;  A61L 2/0011 20130101;  A61L 2202/24 20130101;  A61L 2/14 20130101;  A61L 2/24 20130101</t>
  </si>
  <si>
    <t>US20190201564</t>
  </si>
  <si>
    <t>15/858446</t>
  </si>
  <si>
    <t>TOMI ENVIORONMENTAL SOLUTIONS, INC.</t>
  </si>
  <si>
    <t>TOMI ENVIORONMENTAL SOLUTIONS</t>
  </si>
  <si>
    <t>A61L 2202/15 20130101;  A61L 2/10 20130101;  A61L 2202/122 20130101;  A61L 2202/14 20130101;  A61L 2202/11 20130101;  A61L 2202/25 20130101;  A61L 2/14 20130101;  A61L 2/206 20130101;  A61L 2202/24 20130101;  A61L 2/0011 20130101;  A61L 2/22 20130101;  A61L 2/202 20130101;  H05H 2245/1225 20130101;  A61L 2/204 20130101;  A61L 2/24 20130101</t>
  </si>
  <si>
    <t>US20190194299</t>
  </si>
  <si>
    <t>16/195116</t>
  </si>
  <si>
    <t>Marasco; Wayne A.; (Wellesley, MA); Tang; Xianchun; (West Roxbury, MA)</t>
  </si>
  <si>
    <t>C07K 2317/92 20130101;  C07K 2317/21 20130101;  C12N 2740/16043 20130101;  C12N 2770/20022 20130101;  C07K 2317/56 20130101;  C07K 16/10 20130101;  C07K 2317/622 20130101;  C07K 2317/76 20130101;  C07K 2317/13 20130101;  C07K 2319/43 20130101;  C07K 2317/52 20130101;  C07K 2317/34 20130101;  G01N 2469/10 20130101;  C07K 2319/40 20130101;  G01N 2333/165 20130101;  G01N 33/56983 20130101;  C12N 2810/609 20130101;  G01N 33/577 20130101;  A61K 2039/507 20130101</t>
  </si>
  <si>
    <t>US20190194223</t>
  </si>
  <si>
    <t>THIENO[3,2-d]PYRIMIDINE, FURO[3,2-d]PYRIMIDINE, AND     PYRROLO[3,2-D]PYRIMIDINES USEFUL FOR TREATING RESPIRATORY SYNCITIAL VIRUS     INFECTIONS</t>
  </si>
  <si>
    <t>16/203112</t>
  </si>
  <si>
    <t>C07H 11/04 20130101;  A61P 31/14 20180101;  A61P 11/00 20180101;  C07D 519/00 20130101;  A61P 31/12 20180101;  C07D 495/04 20130101;  A61P 31/16 20180101;  C07H 7/06 20130101</t>
  </si>
  <si>
    <t>Provided herein are formulations, methods and substituted     thieno[3,2-d]pyrimidine, furo[3,2-d]pyrimidine, and     pyrrolo[3,2-d]pyrimidine compounds of Formula (I) for treating     Pneumovirinae virus infections, including respiratory syncytial virus     infections, as well as methods and intermediates for synthesis of     substituted thieno[3,2-d]pyrimidine, furo[3,2-d]pyrimidine, and     pyrrolo[3,2-d]pyrimidine compounds.  ##STR00001##</t>
  </si>
  <si>
    <t>US20190192010</t>
  </si>
  <si>
    <t>DETECTION OF FLU USING THERMAL IMAGING</t>
  </si>
  <si>
    <t>16/225793</t>
  </si>
  <si>
    <t>Mane, Viraj; Yakub, Syed Imtiaz</t>
  </si>
  <si>
    <t>MANE VIRAJ</t>
  </si>
  <si>
    <t>Mane; Viraj; (Toronto, CA); Yakub; Syed Imtiaz; (Pearland, TX)</t>
  </si>
  <si>
    <t>G16H 50/30 20180101;  G16H 30/20 20180101;  G16H 40/63 20180101;  A61B 5/746 20130101;  A61B 5/0022 20130101;  A61B 2010/0019 20130101;  A61B 5/7264 20130101;  A61B 5/165 20130101;  A61B 10/0012 20130101;  G16H 50/20 20180101;  G16H 50/80 20180101;  Y02A 90/10 20180101;  A61B 5/6898 20130101;  A61B 5/015 20130101</t>
  </si>
  <si>
    <t>Methods for determining change in physical condition or illness of a     mammal by obtaining a thermal image of the subject and determining the     body temperature of the mammal based on the thermal image are described.     An example method is implemented on a first electronic device having a     first display and a thermal imaging hardware. The method includes     obtaining the thermal image of a mammal using the first electronic     device; comparing said thermal image to a reference thermal image of the     subject at healthy state with no symptoms or characteristics of the     physical condition or illness such as by way of example, flu, fever,     hypothermia, ovulation, heat stress, cardiac condition; comparing the     intensity of said thermal image to the reference thermal image; and in     response to such comparison, determining whether the subject shows     symptoms or hallmarks of a certain illness or condition marked by a     change in body temperature and associated intensity of the thermal image;     and displaying information regarding said determination on the first     display of the first electronic device. The method includes first     obtaining a reference thermal image of a mammal in a "normal" and/or     "healthy" condition, then later obtaining additional image(s) for     comparison to the reference image; and in response to such comparison,     determining whether the subject shows symptoms of a certain illness or     condition marked by a change in body temperature and associated intensity     of the thermal image.</t>
  </si>
  <si>
    <t>US20190177373</t>
  </si>
  <si>
    <t>GENOMIC SEQUENCES ENCODING FOR AN ATTENUATED MUTANT ZIKA VIRUS</t>
  </si>
  <si>
    <t>16/311913</t>
  </si>
  <si>
    <t>GADEA; Gilles; (Sainte Clotilde, La Reunion, FR); GIRARDOT; Michael; (Castelnau-Le-Lez, FR); DESPRES; Philippe; (Sainte Clotilde, La Reunion, FR)</t>
  </si>
  <si>
    <t>C12N 15/111 20130101;  C12N 2310/141 20130101;  C12N 2320/30 20130101;  C12N 2999/005 20130101;  Y02A 50/392 20180101;  C12N 2770/24134 20130101;  C12N 7/00 20130101;  C12N 2770/24122 20130101;  A61K 39/00 20130101;  C12N 2770/24162 20130101;  A61K 2039/5254 20130101;  C07K 14/005 20130101</t>
  </si>
  <si>
    <t>The present invention relates to a genomic sequences encoding for an     attenuated mutant Zika virus. The inventors have introduced some specific     substitutions at very specific positions in the epidemic genomic sequence     for restoring some fixation sites for miR-4279 that were originally     present in the endemic genomic sequence. Moreover the inventors have     additionally introduced mutation leading to the abrogation of the     N-glycosylation site on the E protein which will prevent the generation     of auto-antibodies responsible for Guillain-Barre syndrome. The inventors     have produced additional mutations of the virus that result to a dramatic     reduction of the cytopathic effects without affecting the capacity to     produce high titers of virus. In particular the present invention relates     to a genomic sequence characterized by the sequence represented by SEQ ID     NO:1 wherein at least one site of fixation for miR-4279 is restored.</t>
  </si>
  <si>
    <t>US20190175721</t>
  </si>
  <si>
    <t>SYNERGISTIC CO-ADMINISTRATION OF COMPUTATIONALLY OPTIMIZED BROADLY     REACTIVE ANTIGENS FOR H1N1 INFLUENZA</t>
  </si>
  <si>
    <t>16/258094</t>
  </si>
  <si>
    <t>Ross; Ted Milburn; (Watkinsville, GA); Alefantis; Tim; (Springbrook TWP, PA); Carter, JR.; Donald Martin; (Athens, GA); Darby; Christopher Austin; (Port Saint Lucie, FL); Kleanthous; Harold; (Chelmsford, MA)</t>
  </si>
  <si>
    <t>A61K 2039/55505 20130101;  A61K 2039/55566 20130101;  C12N 2760/16134 20130101;  A61K 39/12 20130101;  A61K 39/145 20130101;  C12N 2760/16123 20130101;  A61K 2039/70 20130101</t>
  </si>
  <si>
    <t>The present invention provides co-administration (for example,     immunogenic cocktail compositions and/or prime-boost regimens) of     computationally optimized H1N1 influenza hemagglutinin (HA) polypeptides.     Co-administration of the optimized H1N1 influenza hemagglutinin (HA)     polypeptides facilitates synergistic neutralization of viral infection     and provides for improved protective immunity (e.g., a broad reactive     immune response) to diverse and multiple H1N1 influenza virus strains,     including both seasonal and pandemic strains.</t>
  </si>
  <si>
    <t>US20190169288</t>
  </si>
  <si>
    <t>ANTAGONISTS OF IL-6 TO PREVENT OR TREAT THROMBOSIS</t>
  </si>
  <si>
    <t>16/131216</t>
  </si>
  <si>
    <t>SMITH; Jeffrey T.L.; (Bellevue, WA)</t>
  </si>
  <si>
    <t>A61P 9/00 20180101;  C07K 2317/76 20130101;  C07K 2317/94 20130101;  A61K 45/06 20130101;  C07K 16/248 20130101;  C07K 2317/52 20130101;  A61P 35/00 20180101;  C07K 2317/51 20130101;  C07K 2317/33 20130101;  A61K 39/3955 20130101;  C07K 2317/92 20130101;  C07K 2317/565 20130101;  A61K 2039/505 20130101;  C07K 2317/515 20130101;  C07K 2317/34 20130101;  A61P 7/00 20180101;  C07K 2317/41 20130101;  C07K 2317/56 20130101</t>
  </si>
  <si>
    <t>The present invention is directed to therapeutic methods using IL-6     antagonists such as antibodies and fragments thereof having binding     specificity for IL-6 to prevent or treat thrombosis in diseases     associated with abnormal blood coagulation or fibrinolysis. In preferred     embodiments these patients will comprise those exhibiting elevated     D-dimer or other coagulation cascade related proteins and optionally will     further exhibit elevated C reactive protein prior to treatment. The     subject therapies also may include the administration of other actives     such as chemotherapeutics, anti-coagulants, statins, et al.</t>
  </si>
  <si>
    <t>US20190167780</t>
  </si>
  <si>
    <t>INFLUENZA VIRUS VACCINES</t>
  </si>
  <si>
    <t>16/032182</t>
  </si>
  <si>
    <t>PODDA; Audino; (Siena, IT); Popova; Olga; (Siena, IT); Piccinetti; Francesca; (Siena, IT)</t>
  </si>
  <si>
    <t>A61K 39/145 20130101;  A61K 39/12 20130101;  C12N 2760/16134 20130101;  A61K 2039/58 20130101</t>
  </si>
  <si>
    <t>The invention provides a vaccine for protecting a human patient against     infection by a human influenza virus strain, wherein the vaccine     comprises an antigen from an avian influenza virus strain that can cause     highly pathogenic avian influenza. The antigen can invoke an antibody     response in the patient that is capable of neutralising said human     influenza virus strain. Whereas the prior art used known non-pathogenic     avian strains to generate antibodies in humans against known pathogenic     avian strains, the invention uses known pathogenic avian strains to     protect against emerging pathogenic human strains. Furthermore, whereas     the prior art focused on achieving a close antigenic match between the     vaccine strain and the target strain, the invention selects vaccine     strains based on their pathogenicity, regardless of any perceived close     antigenic relationship to the target strain. As the invention does not     require detailed knowledge of an emerging strain, a vaccine can be     provided further in advance to reduce the risk and potential effects of a     human pandemic outbreak.</t>
  </si>
  <si>
    <t>US20190161554</t>
  </si>
  <si>
    <t>16/270761</t>
  </si>
  <si>
    <t>Gray; John Dixon; (San Diego, CA); Zhou; Heyue; (San Diego, CA)</t>
  </si>
  <si>
    <t>A61P 15/00 20180101;  A61P 1/16 20180101;  C07K 2317/75 20130101;  A61P 35/00 20180101;  A61P 37/06 20180101;  C07K 2317/70 20130101;  A61P 43/00 20180101;  C07K 2317/21 20130101;  A61P 11/00 20180101;  A61P 1/04 20180101;  C07K 16/2878 20130101;  C07K 2317/56 20130101;  A61P 13/12 20180101;  C07K 2317/92 20130101;  A61P 17/00 20180101;  A61P 37/04 20180101;  A61P 31/12 20180101;  C07K 2317/33 20130101</t>
  </si>
  <si>
    <t>US20190156959</t>
  </si>
  <si>
    <t>METHOD, COMMUNICATION SYSTEM AND COMPUTER PROGRAM FOR PROVIDING     INFORMATION INDICATIVE OF CONCENTRATION OF ALLERGENS IN THE ENVIRONMENT</t>
  </si>
  <si>
    <t>16/300279</t>
  </si>
  <si>
    <t>ZAMBON S.P.A.</t>
  </si>
  <si>
    <t>ZAMBON</t>
  </si>
  <si>
    <t>MUZIO; Massimiliano; (Bresso (MI), IT)</t>
  </si>
  <si>
    <t>G16H 10/60 20180101;  G16H 50/80 20180101;  G06Q 50/01 20130101;  A61B 5/0022 20130101;  A61B 5/08 20130101;  G16H 80/00 20180101</t>
  </si>
  <si>
    <t>A method, a communication system and a computer program for providing     information indicative of concentration of allergens in the environment.     A person detecting a respiratory difficulty symptom (presumably due to     the presence of an allergen in the environment) records information     relating to the detected symptom using her/his mobile device. The     recording comprises providing subjective information relating to the     detected respiratory difficulty symptom via a graphical interface of the     mobile device. The mobile device completes the information relating to     the detected symptom with automatically generated objective information     (date and time). Then, at least part of the recorded information relating     to the detected symptom is shared by the mobile device on a sharing     server. Any other mobile device may receive the share part of the     recorded information relating to the detected symptom from the sharing     server and display it on a map shown by its display.</t>
  </si>
  <si>
    <t>US20190153076</t>
  </si>
  <si>
    <t>DNA Antibody Constructs for Use against Pseudomonas Aeuruginosa</t>
  </si>
  <si>
    <t>16/098908</t>
  </si>
  <si>
    <t>Weiner; David; (Merion, PA); Patel; Ami; (Philadelphia, PA); Yan; Jian; (Wallingford, PA)</t>
  </si>
  <si>
    <t>C07K 16/1214 20130101;  C07K 2317/31 20130101;  A61P 31/04 20180101;  A61K 2039/505 20130101;  A61K 2039/53 20130101;  C07K 16/00 20130101;  C07K 16/12 20130101;  C07K 16/468 20130101;  A61K 31/407 20130101;  A61K 39/40 20130101</t>
  </si>
  <si>
    <t>Disclosed herein are mono and bispecific DNA antibodies (DMAbs) targeting     Pseudomonas aeruginosa. Also disclosed herein is a method of generating a     synthetic antibody in a subject by administering the DMAbs to the     subject. The disclosure also provides a method of preventing and/or     treating Pseudomonas aeruginosa infection in a subject using said     composition and method of generation.</t>
  </si>
  <si>
    <t>US20190153040</t>
  </si>
  <si>
    <t>16/098912</t>
  </si>
  <si>
    <t>A61K 38/00 20130101;  A61K 2039/545 20130101;  A61K 2039/55538 20130101;  A61K 2039/58 20130101;  C07K 14/5434 20130101;  A61K 2039/55527 20130101;  C07K 14/005 20130101;  C12N 2760/14134 20130101;  C07K 14/54 20130101;  A61P 31/12 20180101;  C07K 14/5443 20130101;  A61K 39/39 20130101;  A61K 2039/54 20130101;  A61K 2039/53 20130101;  A61K 39/12 20130101;  C07K 2319/02 20130101;  A61K 2039/70 20130101;  C12N 2760/14122 20130101;  A61K 9/0009 20130101</t>
  </si>
  <si>
    <t>US20190152974</t>
  </si>
  <si>
    <t>SUBSTITUTED PTERIDINES USEFUL FOR THE TREATMENT AND PREVENTION OF VIRAL     INFECTIONS</t>
  </si>
  <si>
    <t>16/162887</t>
  </si>
  <si>
    <t>HERDEWIJN; Piet Andre Maurits Maria; (Rotselaar/Wezemaal, BE); DE JONGHE; Steven Cesar Alfons; (Brussels, BE); WATKINS; William John; (Saratoga, CA); CHONG; Lee Shun; (Newark, CA)</t>
  </si>
  <si>
    <t>A61P 31/14 20180101;  C07D 475/02 20130101;  C07D 475/04 20130101;  C07D 475/08 20130101;  C07D 475/00 20130101;  C07D 475/06 20130101</t>
  </si>
  <si>
    <t>The invention provides 4,6-di- and 2,4,6-tri-substituted pteridine     derivatives with a specific substitution pattern which exhibit a     significant and selective activity against certain types of viral     infections, in particular selectively inhibit replication of Flaviridae     such as the hepatitis C virus, and are useful for the prevention and     treatment of such viral infections.</t>
  </si>
  <si>
    <t>US20190151474</t>
  </si>
  <si>
    <t>RNA-BASED LOGIC CIRCUITS WITH RNA BINDING PROTEINS, APTAMERS AND SMALL     MOLECULES</t>
  </si>
  <si>
    <t>15/509258</t>
  </si>
  <si>
    <t>KYOTO UNIVERSITY</t>
  </si>
  <si>
    <t>Weiss; Ron; (Newton, MA); Wroblewska; Liliana; (Wilmington, MA); Siciliano; Velia; (Cambridge, MA); Kitada; Tasuku; (Ghent, BE); Hottelet Foley; Maria; (Cambridge, MA); Bodner; Katie; (Stanford, CA); Saito; Hirohide; (Kyoto, JP); Endo; Kei; (Chiba, JP); Irvine; Darrell J.; (Arlington, MA); Wagner; Tyler; (Bel Air, MD); Becraft; Jacob; (Boston, MA)</t>
  </si>
  <si>
    <t>C12N 15/63 20130101;  C12N 15/10 20130101;  C12N 15/85 20130101;  C12N 2840/102 20130101;  A61K 48/0066 20130101</t>
  </si>
  <si>
    <t>Engineered synthetic RNA-based genetic circuits are provided that are     regulated exclusively at the post-transcriptional level.</t>
  </si>
  <si>
    <t>US20190151462</t>
  </si>
  <si>
    <t>CLEAVABLE CONJUGATES OF TLR7/8 AGONIST COMPOUNDS, METHODS FOR PREPARATION,     AND USES THEREOF</t>
  </si>
  <si>
    <t>16/190010</t>
  </si>
  <si>
    <t>COFFMAN; Robert L.; (Portola Valley, CA); CHIPMAN; Stewart D.; (Bainbridge Island, WA); KIWAN; Radwan; (Richmond, CA); ZALIPSKY; Samuel; (Redwood City, CA); OTT; Gary S.; (Oakland, CA)</t>
  </si>
  <si>
    <t>A61K 47/6855 20170801;  C07D 519/00 20130101;  A61K 47/6939 20170801;  A61P 35/00 20180101;  A61K 47/54 20170801;  A61K 47/545 20170801;  A61K 47/65 20170801;  A61K 31/4745 20130101;  A61K 47/60 20170801;  A61K 47/6803 20170801;  A61K 47/6889 20170801;  C07D 471/04 20130101</t>
  </si>
  <si>
    <t>The present disclosure relates to cleavable conjugates (for example,     particle-based or antibody-based conjugates) of TLR7/8 agonists (for     example, 1H-imidazo[4,5-c]quinoline derivatives) containing a conjugation     linker, a cleavable linker, and a self-eliminating linker. The present     disclosure also related to methods for preparation of the cleavable     conjugates, uses thereof for stimulating an effective immune response,     and uses thereof for the treatment of cancer.</t>
  </si>
  <si>
    <t>US20190151400</t>
  </si>
  <si>
    <t>PROTEASE TRANSITION STATE INHIBITOR PRODRUGS</t>
  </si>
  <si>
    <t>16/320681</t>
  </si>
  <si>
    <t>KANSAS STATE UNIVERSITY RESEARCH FOUNDATION</t>
  </si>
  <si>
    <t>Chang; Kyeong-Ok; (Manhattan, KS); Groutas; William C.; (Wichita, KS)</t>
  </si>
  <si>
    <t>A61P 31/14 20180101;  A61K 38/05 20130101;  A61K 31/223 20130101;  A61K 45/06 20130101;  Y02A 50/411 20180101;  A61K 31/5375 20130101;  A61K 31/662 20130101;  A61K 47/10 20130101;  Y02A 50/463 20180101;  A61K 31/225 20130101;  A61K 47/50 20170801;  A61K 31/4015 20130101;  C07K 5/06 20130101</t>
  </si>
  <si>
    <t>Disclosed herein are protease transition state inhibitor/analogue prodrug     compounds selected from the group consisting of esters, carbamates, ester     phosphates, and pharmaceutically acceptable salts thereof. Compositions     containing such prodrugs are also disclosed, along with methods of using     such compounds therapeutically or prophylactically against calicivirus,     picornavirus, and/or coronavirus infection, as well as other conditions,     such as malaria, cancer, stroke, heart attack, neural degeneration,     cataracts, and glaucoma through inhibition of the variety of proteases     associated with progression of such conditions.</t>
  </si>
  <si>
    <t>US20190151307</t>
  </si>
  <si>
    <t>METHODS OF TREATING PATIENTS CO-INFECTED WITH A VIRUS AND TUBERCULOSIS</t>
  </si>
  <si>
    <t>16/168472</t>
  </si>
  <si>
    <t>Custodio; Joseph Marcello; (San Francisco, CA)</t>
  </si>
  <si>
    <t>A61P 31/14 20180101;  A61K 31/553 20130101;  A61P 31/18 20180101;  A61K 2300/00 20130101;  A61K 31/506 20130101;  A61K 45/06 20130101;  A61K 31/513 20130101;  A61K 31/675 20130101;  A61K 31/496 20130101;  A61P 31/20 20180101;  A61K 9/20 20130101;  A61P 31/06 20180101</t>
  </si>
  <si>
    <t>The disclosure describes methods for the treatment of patients     co-infected with a virus and tuberculosis (TB), wherein the patient     receives a therapeutically effective amount of tenofovir alafenamide     (TAF) and a therapeutically effective amount of an antimycobacterial     agent such as rifampin (RIF).</t>
  </si>
  <si>
    <t>US20190148023</t>
  </si>
  <si>
    <t>Machine-Learned Epidemiology</t>
  </si>
  <si>
    <t>15/869215</t>
  </si>
  <si>
    <t>Google (Alphabet)</t>
  </si>
  <si>
    <t>GOOGLE</t>
  </si>
  <si>
    <t>Sadilek; Adam; (San Jose, CA); Gabrilovich; Evgeniy; (Saratoga, CA)</t>
  </si>
  <si>
    <t>G06N 20/00 20190101;  G06F 16/951 20190101;  G16H 50/80 20180101</t>
  </si>
  <si>
    <t>The present disclosure provides systems and methods that leverage machine-learned models in conjunction with online data to monitor and detect the spread of a disease, such as, for example, a communicable illness. In one example, a computing system can include or otherwise leverage a machine-learned disease detection model. The computing system can input search engine data and, optionally, location data respectively associated with a first plurality of users into the machine-learned disease detection model. The computing system can receive identification of a second plurality of users predicted to have the disease as an output of the machine-learned disease detection model. The second plurality of users can be a subset of the first plurality of users. The computing system can identify one or more locations associated with elevated levels of the disease based at least in part on the location data respectively associated with at least the second plurality of users.</t>
  </si>
  <si>
    <t>US20190142930</t>
  </si>
  <si>
    <t>Influenza Vaccines</t>
  </si>
  <si>
    <t>16/246876</t>
  </si>
  <si>
    <t>KJ BIOSCIENCES LLC</t>
  </si>
  <si>
    <t>KJ BIOSCIENCES</t>
  </si>
  <si>
    <t>Ni; Yawei; (College Station, TX); Guo; Jianhua; (College Station, TX)</t>
  </si>
  <si>
    <t>A61K 39/12 20130101;  A61K 2039/5252 20130101;  A61K 2039/58 20130101;  A61K 2039/70 20130101;  C12N 2760/16134 20130101;  C12N 2760/16234 20130101;  A61K 39/145 20130101;  A61K 2039/525 20130101;  C12N 7/00 20130101;  C12N 2760/16151 20130101;  C12N 2760/16161 20130101</t>
  </si>
  <si>
    <t>An influenza vaccine comprising an influenza hemagglutinin-containing     antigen which is subjected to a treatment at a suitable low pH or other     suitable conditions to obtain a suitable degree of loss of potency, and     the method of making it are provided. The vaccine not only induces an     increased cross-reactive immune response and cross protection, but can     also induce a strain-specific immune response and protection like current     inactivated vaccines. A method of administering influenza vaccines is     also provided to induce an increased cross-reactive immune response and     cross protection, which is especially suitable for use in emergency     situations such as a pandemic.</t>
  </si>
  <si>
    <t>US20190142929</t>
  </si>
  <si>
    <t>INFLUENZA VACCINE REGIMENS FOR PANDEMIC ASSOCIATED STRAINS</t>
  </si>
  <si>
    <t>16/160041</t>
  </si>
  <si>
    <t>GROTH; Nicola; (Buonconvento, IT); FRAGAPANE; Elena; (Sovicille, IT)</t>
  </si>
  <si>
    <t>A61K 39/145 20130101;  A61K 2039/545 20130101;  C12N 2760/16134 20130101;  A61K 2039/55566 20130101;  A61K 39/12 20130101</t>
  </si>
  <si>
    <t>In contrast to known regimens where pandemic-associated antigens are     given 3-4 weeks apart for immunisation, according to the invention two     doses of a pandemic-associated antigen are administered to a human 1 week     apart, 2 weeks apart or 6 weeks apart. Thus the invention provides a     method for immunizing a human, comprising steps of: (a) administering to     the man a first vaccine comprising antigen from a pandemic-associated     influenza virus strain; and then 1/2/6 week(s) later, (b) administering     to the same human a second influenza vaccine comprising antigen from the     pandemic-associated influenza virus strain.</t>
  </si>
  <si>
    <t>US20190142920</t>
  </si>
  <si>
    <t>DNA Monoclonal Antibodies Targeting Checkpoint Molecules</t>
  </si>
  <si>
    <t>16/098925</t>
  </si>
  <si>
    <t>Weiner; David B.; (Merion, PA); Muthumani; Karuppiah; (Cherry Hill, NJ); Sardesai; Niranjan; (Blue Bell, PA)</t>
  </si>
  <si>
    <t>A61K 2039/505 20130101;  C07K 16/2878 20130101;  A61K 2039/53 20130101;  C12N 15/85 20130101;  C07K 16/2803 20130101;  A61P 35/00 20180101;  A61K 39/395 20130101;  A61K 31/7088 20130101;  A61K 39/001129 20180801;  C07K 16/2818 20130101</t>
  </si>
  <si>
    <t>Disclosed herein is a composition including a recombinant nucleic acid     sequence that encodes an antibody or fragment thereof that targets an     immune checkpoint molecule. The disclosure also provides a method of     preventing and/or treating disease in a subject using said composition     and method of generation.</t>
  </si>
  <si>
    <t>US20190141914</t>
  </si>
  <si>
    <t>SYSTEMS AND METHODS FOR MONITORING MOVEMENT OF DISEASE FIELD</t>
  </si>
  <si>
    <t>16/241281</t>
  </si>
  <si>
    <t>BE SEEN BE SAFE LTD.</t>
  </si>
  <si>
    <t>BE SEEN SAFE</t>
  </si>
  <si>
    <t>NELSON; Timothy; (Toronto, CA); SOTOMAYOR; Joel Roberto; (Guelph, CA)</t>
  </si>
  <si>
    <t>G06F 16/248 20190101;  G16H 50/80 20180101;  H04W 4/021 20130101;  H04L 67/12 20130101;  H04W 4/029 20180201;  A01K 11/008 20130101;  A01G 22/00 20180201;  G06F 16/29 20190101;  H04W 4/30 20180201;  G06F 16/23 20190101;  G06Q 50/02 20130101</t>
  </si>
  <si>
    <t>A method for monitoring movement of disease across agricultural areas of     interest including providing, using one or more processors and one or     more data storage devices, a virtual zone generator and disease movement     monitor, defining, using the virtual zone generator, a plurality a     virtual zones, each virtual zone corresponding to an agricultural     geographic area of interest and identifying a location for the     agricultural geographic area of interest, receiving a plurality of     raw-data sets from a plurality of tracking devices, each tracking device     corresponding to a vector or fomite that has the potential to carry a     disease detrimental to agriculture, each raw data set corresponding to a     tracking device and comprising an identification code identifying the     tracking device, a timestamp corresponding to the time the raw data was     generated by the tracking device, and location information for the     tracking device, and generating disease movement data, using the disease     movement monitor, by correlating the raw data sets to the virtual zones     to detect movement of the tracking devices within, between and across the     virtual zones.</t>
  </si>
  <si>
    <t>US20190134187</t>
  </si>
  <si>
    <t>16/009257</t>
  </si>
  <si>
    <t>C12N 7/00 20130101;  A61K 2039/57 20130101;  C07K 2319/00 20130101;  A61K 39/39 20130101;  A61K 2039/5258 20130101;  A61P 31/14 20180101;  A61P 37/04 20180101;  A61K 2039/54 20130101;  C12N 2760/18571 20130101;  A61K 39/155 20130101;  A61K 2039/55505 20130101;  C12N 2760/18522 20130101;  A61P 31/12 20180101;  C12N 2760/18534 20130101;  A61K 39/00 20130101;  A61K 2039/575 20130101;  A61K 2039/55 20130101;  A61K 2039/545 20130101;  C07K 14/005 20130101;  C12N 2760/18523 20130101;  C12N 2760/18562 20130101;  A61K 9/0019 20130101;  A61K 9/1075 20130101;  A61K 39/12 20130101</t>
  </si>
  <si>
    <t>US20190131018</t>
  </si>
  <si>
    <t>SYSTEM AND METHOD FOR ANALYZING DISEASES</t>
  </si>
  <si>
    <t>16/172351</t>
  </si>
  <si>
    <t>R ZERO TRACING, INC.</t>
  </si>
  <si>
    <t>ZERO TRACING</t>
  </si>
  <si>
    <t>SONES; KEN; (Ridgeland, MS)</t>
  </si>
  <si>
    <t>G06N 20/00 20190101;  G16H 10/20 20180101;  G16H 50/20 20180101;  G16H 50/80 20180101</t>
  </si>
  <si>
    <t>We disclose herein a system and method to help health scientists identify how diseases develop. This software toolkit contains tools for analyzing spatiotemporal factors pertaining to health in real-time and retrospect for individuals and populations. With the individualized location tracking and hyperlocal environmental monitoring, the system could help prevent diseases and find causes of diseases of unknown origin</t>
  </si>
  <si>
    <t>US20190122759</t>
  </si>
  <si>
    <t>IN-FACILITY MONITORING SYSTEM, IN-FACILITY MONITORING APPARATUS, AND     COMPUTER PROGRAM</t>
  </si>
  <si>
    <t>16/160232</t>
  </si>
  <si>
    <t>Wakimoto; Tatsuru; (Itoshima-shi, JP)</t>
  </si>
  <si>
    <t>G16H 40/20 20180101;  G16H 50/30 20180101;  G16H 50/80 20180101;  G01C 21/206 20130101</t>
  </si>
  <si>
    <t>A system is provided for comprehending the risk of occurrence of disease     arising from environmental conditions by monitoring the environmental     conditions in a facility. The present disclosure describes an in-facility     monitoring system including a display unit for displaying an area layout     diagram showing the positions of a plurality of areas in the facility,     sensors provided in each of the areas to measure environmental parameters     related to the risk of the occurrence of disease, and a control unit for     generating display data for identifiably displaying the environmental     conditions representing the risk of occurrence of disease in each area in     the area layout diagram based on the measured values of the environmental     parameter output from the sensors.</t>
  </si>
  <si>
    <t>US20190112285</t>
  </si>
  <si>
    <t>Aminothiazole Derivatives Useful As Antiviral Agents</t>
  </si>
  <si>
    <t>16/088852</t>
  </si>
  <si>
    <t>INNOVATIVE MOLECULES GMBH</t>
  </si>
  <si>
    <t>INNOVATIVE MOLECULES</t>
  </si>
  <si>
    <t>Kleymann; Gerald; (Bad Salzuflen, DE); Gege; Christian; (Ehingen, DE)</t>
  </si>
  <si>
    <t>A61P 25/00 20180101;  A61P 25/28 20180101;  C07F 9/65583 20130101;  A61P 1/16 20180101;  A61P 31/12 20180101;  A61P 31/18 20180101;  A61P 43/00 20180101;  C07F 9/44 20130101;  A61P 31/22 20180101;  A61P 37/02 20180101;  A61P 35/00 20180101;  C07D 277/54 20130101;  C07F 9/6539 20130101;  C07F 9/40 20130101;  A61P 37/06 20180101;  A61P 11/00 20180101</t>
  </si>
  <si>
    <t>The invention relates to novel compounds of the Formula (I), to a process     for their preparation and to their use as medicaments, in particular as     antiviral medicaments.  ##STR00001##</t>
  </si>
  <si>
    <t>US20190111068</t>
  </si>
  <si>
    <t>16/040959</t>
  </si>
  <si>
    <t>Chal; Ben; (Millbrae, CA); Mogalian; Erik; (San Francisco, CA); Oliyai; Reza; (Burlingame, CA); Pakdaman; Rowchanak; (San Carlos, CA); Stefanidis; Dimitrios; (Mountain View, CA); Zia; Vahid; (San Carlos, CA)</t>
  </si>
  <si>
    <t>A61K 9/1623 20130101;  A61K 31/675 20130101;  A61K 31/4025 20130101;  A61K 31/497 20130101;  A61K 31/5025 20130101;  A61K 9/2013 20130101;  A61K 31/7076 20130101;  A61K 31/5377 20130101;  A61K 9/2027 20130101;  A61P 1/16 20180101;  A61P 31/14 20180101;  A61K 9/28 20130101;  A61K 31/4985 20130101;  A61K 9/2009 20130101;  A61K 31/513 20130101;  A61K 31/4709 20130101;  A61K 9/209 20130101;  A61P 31/12 20180101;  A61K 9/2054 20130101;  A61K 31/7056 20130101;  A61K 31/4184 20130101;  A61K 31/4178 20130101;  A61K 9/2018 20130101;  A61K 31/439 20130101;  A61K 31/381 20130101;  A61K 31/7072 20130101;  A61K 9/1635 20130101;  A61K 31/4184 20130101;  A61K 2300/00 20130101;  A61K 31/7072 20130101;  A61K 2300/00 20130101;  A61K 31/7056 20130101;  A61K 2300/00 20130101;  A61K 31/4709 20130101;  A61K 2300/00 20130101;  A61K 31/5025 20130101;  A61K 2300/00 20130101;  A61K 31/4025 20130101;  A61K 2300/00 20130101;  A61K 31/381 20130101;  A61K 2300/00 20130101;  A61K 31/7076 20130101;  A61K 2300/00 20130101;  A61K 31/513 20130101;  A61K 2300/00 20130101;  A61K 31/4985 20130101;  A61K 2300/00 20130101;  A61K 31/675 20130101;  A61K 2300/00 20130101;  A61K 31/497 20130101;  A61K 2300/00 20130101;  A61K 31/5377 20130101;  A61K 2300/00 20130101;  A61K 31/439 20130101;  A61K 2300/00 20130101</t>
  </si>
  <si>
    <t>Disclosed are pharmaceutical compositions having an effective amount of     substantially amorphous ledipasvir and an effective amount of     substantially crystalline sofosbuvir.</t>
  </si>
  <si>
    <t>US20190102721</t>
  </si>
  <si>
    <t>METHOD AND SYSTEM FOR TRACKING HEALTH STATISTICS IN CONSOLIDATED MARKETS</t>
  </si>
  <si>
    <t>15/720275</t>
  </si>
  <si>
    <t>G16H 50/30 20180101;  G06F 19/328 20130101;  G06Q 50/22 20130101;  G16H 50/80 20180101;  G06Q 10/06395 20130101</t>
  </si>
  <si>
    <t>US20190096532</t>
  </si>
  <si>
    <t>METHOD AND SYSTEM FOR TRACKING ILLNESS</t>
  </si>
  <si>
    <t>16/143005</t>
  </si>
  <si>
    <t>SICKWEATHER INC.</t>
  </si>
  <si>
    <t>SICKWEATHER</t>
  </si>
  <si>
    <t>Dodge; Graham; (Windsor Mill, MD)</t>
  </si>
  <si>
    <t>G16H 15/00 20180101;  G16H 50/80 20180101;  G16H 10/60 20180101;  G16H 50/50 20180101;  H04W 4/029 20180201;  G16H 40/67 20180101;  G16H 50/30 20180101</t>
  </si>
  <si>
    <t>A system for tracking a spread of an illness is described herein. The     system includes one or more processors configured to receive disease     information of a user, a pseudonymous identifier associated with the     user, and a position information of the user from a mobile device of the     user, the mobile device being configured to communicate with the one or     more processors. The one or more processors are configured to track a     location of the user based on the position information and the     pseudonymous identifier. The pseudonymous identifier contains anonymous     data about the user.</t>
  </si>
  <si>
    <t>US20190092787</t>
  </si>
  <si>
    <t>SUBSTITUTED     2,3,4,5,7,9,13,13A-OCTAHYDRO-1,5-METHANOPYRIDO[1',2':4,5]PYRAZINO[1,3]DIA-    ZEPINES AND METHODS FOR TREATING VIRAL INFECTIONS</t>
  </si>
  <si>
    <t>16/017371</t>
  </si>
  <si>
    <t>Bacon; Elizabeth M.; (Burlingame, CA); Cai; Zhenhong R.; (Palo Alto, CA); Chen; Xiaowu; (Hillsborough, CA); Cottell; Jeromy J.; (Redwood City, CA); Desai; Manoj C.; (Foster City, CA); Ji; Mingzhe; (Union City, CA); Jin; Haolun; (Foster City, CA); Lazerwith; Scott E.; (Burlingame, CA); Mish; Michael R.; (Foster City, CA); Morganelli; Philip Anthony; (Oakland, CA); Pyun; Hyung-Jung; (Fremont, CA); Taylor; James G.; (Burlingame, CA); Trejo Martin; Teresa Alejandra; (Belmont, CA)</t>
  </si>
  <si>
    <t>C07D 471/18 20130101;  A61P 43/00 20180101;  C07D 498/14 20130101;  A61K 31/498 20130101;  C07D 471/22 20130101;  A61K 31/553 20130101;  A61K 31/537 20130101;  C07D 498/18 20130101;  C07D 487/14 20130101;  A61K 31/4985 20130101;  A61K 31/529 20130101;  A61K 45/06 20130101;  A61P 31/12 20180101;  A61P 31/18 20180101;  A61K 31/551 20130101;  A61K 31/553 20130101;  A61K 2300/00 20130101;  A61K 31/4985 20130101;  A61K 2300/00 20130101;  A61K 31/529 20130101;  A61K 2300/00 20130101</t>
  </si>
  <si>
    <t>Compounds for use in the treatment of human immunodeficiency virus (HIV)     infection are disclosed. The compounds have the following Formula (I):  ##STR00001## including stereoisomers and pharmaceutically acceptable salts thereof,     wherein R.sup.1, X, W, Y.sup.1, Y.sup.2, Z.sup.1, and Z.sup.4 are as     defined herein. Methods associated with preparation and use of such     compounds, as well as pharmaceutical compositions comprising such     compounds, are also disclosed.</t>
  </si>
  <si>
    <t>US20190091334</t>
  </si>
  <si>
    <t>Compositions and Methods for Treating Chronic Inflammation and Inflammatory Diseases</t>
  </si>
  <si>
    <t>16/206789</t>
  </si>
  <si>
    <t>BIOCOPEA LIMITED</t>
  </si>
  <si>
    <t>BIOCOPEA</t>
  </si>
  <si>
    <t>Bannister; Robin M.; (Essex, GB); Brew; John; (Hertfordshire, GB); Caparros-Wanderely; Wilson; (Buckinghamshire, GB); Dilly; Suzanne J.; (Oxfordshire, GB); Pleguezeulos Mateo; Olga; (Bicester, GB); Stoloff; Gregory A.; (London, GB)</t>
  </si>
  <si>
    <t>A61K 47/14 20130101;  A61K 47/10 20130101;  A61K 31/60 20130101;  A61K 9/2013 20130101;  A61K 47/44 20130101;  A61K 31/19 20130101;  A61K 31/25 20130101;  A61K 31/704 20130101;  A61K 31/337 20130101;  A61K 31/202 20130101;  A61K 31/192 20130101;  A61K 9/08 20130101</t>
  </si>
  <si>
    <t>The present specification discloses pharmaceutical compositions, methods of preparing such pharmaceutical compositions, and methods and uses of treating a chronic inflammation and/or an inflammatory disease in an individual using such pharmaceutical compositions.</t>
  </si>
  <si>
    <t>US20190085071</t>
  </si>
  <si>
    <t>Antagonists to IL-6 to Raise Albumin and/or Lower CRP</t>
  </si>
  <si>
    <t>16/015431</t>
  </si>
  <si>
    <t>C07K 2317/56 20130101;  C07K 2317/92 20130101;  A61P 43/00 20180101;  G01N 2800/52 20130101;  A61K 39/395 20130101;  A61K 39/3955 20130101;  C07K 2317/24 20130101;  C07K 2317/34 20130101;  C07K 2317/76 20130101;  G01N 2333/765 20130101;  A61K 45/06 20130101;  C07K 16/248 20130101;  A61K 2039/505 20130101;  C07K 2317/565 20130101;  C07K 2317/41 20130101;  G01N 2333/4737 20130101</t>
  </si>
  <si>
    <t>US20190085070</t>
  </si>
  <si>
    <t>ANTAGONISTS OF IL-6 TO PREVENT OR TREAT CACHEXIA, WEAKNESS, FATIGUE, AND /OR FEVER</t>
  </si>
  <si>
    <t>15/987415</t>
  </si>
  <si>
    <t>Smith; Jeffrey T.L.; (Bellevue, WA); Latham; John A.; (Seattle, WA); Litton; Mark; (Seattle, WA); Schatzman; Randall; (Redmond, WA)</t>
  </si>
  <si>
    <t>C07K 2317/92 20130101;  C07K 2317/76 20130101;  Y02A 50/412 20180101;  A61K 39/3955 20130101;  A61K 45/06 20130101;  A61K 2039/505 20130101;  A61K 2039/545 20130101;  C07K 16/248 20130101;  C07K 2317/34 20130101</t>
  </si>
  <si>
    <t>The present invention is directed to therapeutic methods using antibodies and fragments thereof having binding specificity for IL-6 to prevent or treat cachexia, fever, weakness and/or fatigue in a patient in need thereof. In preferred embodiments, the anti-IL-6 antibodies will be humanized and/or will be aglycosylated. Also, in preferred embodiments these patients will comprise those exhibiting (or at risk of developing) an elevated serum C-reactive protein level. In another preferred embodiment, the patient's survivability or quality of life will preferably be improved.</t>
  </si>
  <si>
    <t>US20190085058</t>
  </si>
  <si>
    <t>16/142457</t>
  </si>
  <si>
    <t>A61P 31/18 20180101;  C12N 2770/24111 20130101;  A61K 2039/53 20130101;  C07K 16/10 20130101;  C07K 2317/76 20130101;  A61M 2037/0007 20130101;  A61K 48/005 20130101;  Y02A 50/386 20180101;  C12N 7/00 20130101;  C12N 2740/16134 20130101;  C07K 16/1063 20130101;  A61K 39/12 20130101;  C07K 16/32 20130101;  C12N 2740/16111 20130101;  C07K 2317/55 20130101;  A61K 31/7088 20130101;  C07K 2317/10 20130101;  C07K 16/1081 20130101;  A61K 2039/505 20130101;  C07K 2317/21 20130101;  C07K 2317/60 20130101;  C12N 2740/16034 20130101;  C12N 2770/36034 20130101;  C12N 2770/36111 20130101;  A61K 39/21 20130101;  A61K 48/00 20130101;  A61P 31/14 20180101;  Y02A 50/383 20180101;  C07K 2317/14 20130101;  C12N 2770/24134 20130101</t>
  </si>
  <si>
    <t>US20190084963</t>
  </si>
  <si>
    <t>Solid Forms Of an HIV Capsid Inhibitor</t>
  </si>
  <si>
    <t>15/998786</t>
  </si>
  <si>
    <t>Shi; Bing; (Redwood City, CA)</t>
  </si>
  <si>
    <t>A61P 31/18 20180101;  A61K 45/06 20130101;  C07B 2200/13 20130101;  C07D 401/14 20130101</t>
  </si>
  <si>
    <t>The present disclosure relates to pharmaceutically acceptable salts,     cocrystals, and crystalline forms thereof, of a compound which is     N--((S)-1-(3-(4-chloro-3-(methylsulfonamido)-1-(2,2,2-trifluoroethyl)-1H--    indazol-7-yl)-6-(3-methyl-3-(methylsulfonyl)but-1-yn-1     -yl)pyridin-2-yl)-2-(3,5-difluorophenypethyl)-2-     ((3bS,4aR)-5,5-difluoro-3-(trifluoromethyl)-3b,4,4a,5-tetrahydro-1H-cyclo-    propa[3,4]cyclopenta[1,2-c]pyrazol-1-yl)acetamide, which is useful in the     treatment of a Retroviridae viral infection including an infection caused     by the HIV virus.</t>
  </si>
  <si>
    <t>US20190083665</t>
  </si>
  <si>
    <t>16/148073</t>
  </si>
  <si>
    <t>Garcia-Martinez; Leon F.; (Woodinville, WA); Carvalho Jensen; Anne Elisabeth; (Wenatchee, WA); Anderson; Katie Olson; (Kirkland, WA); Dutzar; Benjamin H.; (Seattle, WA); Latham; John A.; (Seattle, WA); Kovacevich; Brian R.; (Snohomish, WA); Smith; Jeffrey T.L.; (Bellevue, WA); Litton; Mark; (Seattle, WA); Schatzman; Randall C.; (Redmond, WA)</t>
  </si>
  <si>
    <t>C07K 2317/76 20130101;  A61K 51/1033 20130101;  C07K 2317/92 20130101;  C07K 2317/565 20130101;  C07K 2317/56 20130101;  C07K 2317/24 20130101;  C07K 16/248 20130101;  A61K 2039/505 20130101;  A61K 49/0058 20130101;  Y02A 50/412 20180101;  G01N 2800/7095 20130101;  G01N 2333/5412 20130101;  G01N 33/6869 20130101;  C07K 2317/515 20130101;  C07K 2317/51 20130101;  C07K 2317/34 20130101</t>
  </si>
  <si>
    <t>The present invention is directed to therapeutic methods using IL-6 antagonists such as an Ab1 antibody or antibody fragment having binding specificity for IL-6 to prevent or treat disease or to improve survivability or quality of life of a patient in need thereof. In preferred embodiments these patients will comprise those exhibiting (or at risk of developing) an elevated serum C-reactive protein level, reduced serum albumin level, elevated D-dimer or other coagulation cascade related protein(s), cachexia, fever, weakness and/or fatigue prior to treatment. The subject therapies also may include the administration of other actives such as chemotherapeutics, anti-coagulants, statins, and others.</t>
  </si>
  <si>
    <t>US20190083525</t>
  </si>
  <si>
    <t>COMPOSITIONS COMPRISING AN RNA POLYMERASE INHIBITOR AND CYCLODEXTRIN FOR     TREATING VIRAL INFECTIONS</t>
  </si>
  <si>
    <t>16/031620</t>
  </si>
  <si>
    <t>Larson; Nate; (Saint George, UT)</t>
  </si>
  <si>
    <t>A61K 9/0019 20130101;  A61K 47/6951 20170801;  A61P 31/12 20180101;  A61K 31/724 20130101;  A61K 9/19 20130101;  A61K 47/40 20130101;  A61K 31/683 20130101</t>
  </si>
  <si>
    <t>The present disclosure provides a composition comprising Compound 1, or a     pharmaceutically acceptable salt thereof, cyclodextrin, and, optionally,     pH adjusting agents.</t>
  </si>
  <si>
    <t>US20190083478</t>
  </si>
  <si>
    <t>Choline salt forms of an HIV capsid inhibitor</t>
  </si>
  <si>
    <t>15/998717</t>
  </si>
  <si>
    <t>Houston; Travis Lee; (Lafayette, IN); Shi; Bing; (Redwood City, CA)</t>
  </si>
  <si>
    <t>A61P 31/18 20180101;  A61K 45/06 20130101;  C07D 401/14 20130101;  A61K 31/454 20130101</t>
  </si>
  <si>
    <t>The present disclosure relates to choline salts, and crystalline forms     thereof, of a compound which is     N--((S)-1-(3-(4-chloro-3-(methylsulfonamido)-1-(2,2,2-trifluoroethyl)-1H--    indazol-7-yl)-6-(3-methyl-3-(methylsulfonyl)but-1-yn-1     -yl)pyridin-2-yl)-2-(3,5-difluorophenyl)ethyl)-2-((3bS,4aR)-5,5-difluoro--    3-(trifluoromethyl)-3b,4,4a,5-tetrahydro-1H-cyclopropa[3,4]cyclopenta[1,2--    c]pyrazol-1-yl)acetamide, which is useful in the treatment and prevention     of a Retroviridae viral infection including an infection caused by the     HIV virus.</t>
  </si>
  <si>
    <t>US20190062785</t>
  </si>
  <si>
    <t>MULTIVALENT VACCINES FOR RABIES VIRUS AND CORONOVIRUSES</t>
  </si>
  <si>
    <t>16/091005</t>
  </si>
  <si>
    <t>Johnson; Reed F.; (Frederick, MD); Schnell; Matthias; (Harleysville, PA); Hensley; Lisa E.; (Frederick, MD); Wirblich; Christoph; (Philadelphia, PA); Coleman; Christopher M.; (Owings Mills, MD); Frieman; Matthew B.; (Baltimore, MD)</t>
  </si>
  <si>
    <t>A61K 39/12 20130101;  C12N 2760/20034 20130101;  C12N 2760/20043 20130101;  A61K 39/215 20130101;  C12N 15/86 20130101;  C12N 2760/20143 20130101;  A61K 2039/5254 20130101;  A61K 39/205 20130101;  C12N 2760/20134 20130101;  C12N 2770/20034 20130101;  A61K 2039/5256 20130101;  C12N 2770/20022 20130101</t>
  </si>
  <si>
    <t>US20190062408</t>
  </si>
  <si>
    <t>CONSERVED HEMAGGLUTININ EPITOPE, ANTIBODIES TO THE EPITOPE, AND METHODS OF     USE</t>
  </si>
  <si>
    <t>16/013085</t>
  </si>
  <si>
    <t>MARASCO; Wayne A.; (Wellesley, MA); Sui; Jianhua; (Boston, MA); Liddington; Robert C.; (La Jolla, CA)</t>
  </si>
  <si>
    <t>C07K 16/1018 20130101;  C12N 2760/16022 20130101;  C12N 2760/16034 20130101;  C07K 14/005 20130101;  A61K 39/00 20130101;  A61P 37/04 20180101;  C07K 2299/00 20130101;  A61P 31/16 20180101;  C07K 2317/76 20130101;  C07K 2319/40 20130101;  A61K 2039/505 20130101;  C07K 2317/92 20130101</t>
  </si>
  <si>
    <t>Disclosed are antibodies that bind to the stem region of influenza     hemagglutinin in the neutral pH conformation, hemagglutinin epitopes to     the stem region, and methods of making and using both.</t>
  </si>
  <si>
    <t>US20190060447</t>
  </si>
  <si>
    <t>Vaccines Having an Antigen and Interleukin-21 As An Adjuvant</t>
  </si>
  <si>
    <t>16/181594</t>
  </si>
  <si>
    <t>Weiner; David B.; (Merion, PA); Morrow; Matthew P.; (Bala Cynwyd, PA)</t>
  </si>
  <si>
    <t>C12N 2740/16134 20130101;  A61P 43/00 20180101;  A61K 39/08 20130101;  A61K 39/21 20130101;  A61N 1/327 20130101;  C07K 14/54 20130101;  A61K 41/0047 20130101;  A61K 2039/55527 20130101;  A61P 37/04 20180101;  A61K 39/39 20130101;  A61K 39/12 20130101;  A61K 2039/53 20130101;  Y02A 50/412 20180101;  A61K 48/00 20130101</t>
  </si>
  <si>
    <t>Disclosed herein is a vaccine comprising an antigen and IL-21. Also     disclosed herein are methods for increasing an immune response in a     subject. The methods may comprise administering the vaccine to the     subject in need thereof.</t>
  </si>
  <si>
    <t>US20190059724</t>
  </si>
  <si>
    <t>DETECTION OF CONTAGIOUS DISEASES USING UNMANNED AERIAL VEHICLE</t>
  </si>
  <si>
    <t>15/688915</t>
  </si>
  <si>
    <t>COMPUTER TASK GROUP, INC.</t>
  </si>
  <si>
    <t>COMPUTER TASK</t>
  </si>
  <si>
    <t>ASTIGARRAGA; TARA; (FAIRPORT, NY); DEROBERTIS; CHRISTOPHER V.; (HOPEWELL JUNCTION, NY); DICKENS; LOUIE A.; (TUCSON, AZ); MOSQUEDA MEJIA; JOSE R.; (MICHOACAN, MX); WINARSKI; DANIEL J.; (TUCSON, AZ)</t>
  </si>
  <si>
    <t>A61B 5/0002 20130101;  G01S 7/04 20130101;  B64C 2201/088 20130101;  G05D 1/00 20130101;  H04N 21/4223 20130101</t>
  </si>
  <si>
    <t>Methods, systems and computer program products for detecting contagious diseases in a wildlife population using a drone are provided. Aspects include monitoring, by a drone, a geographic area and capture images of the geographic area and analyzing the captured images to identify a deceased wildlife in a region of the geographic area. Aspects also include performing increased monitoring of the region and capture supplemental images of the region using the drone and analyzing the supplemental images to identify a number of deceased wildlife in the region. Based on a determination that number of deceased wildlife in the region, greater than a threshold number, a corrective action is taken.</t>
  </si>
  <si>
    <t>US20190055253</t>
  </si>
  <si>
    <t>PYRROLO[1,2-f][1,2,4]TRIAZINES USEFUL FOR TREATING RESPIRATORY SYNCITIAL     VIRUS INFECTIONS</t>
  </si>
  <si>
    <t>16/045371</t>
  </si>
  <si>
    <t>Clarke; Michael O' Neil Hanrahan; (Redwood City, CA); Doerffler; Edward; (Foster City, CA); Mackman; Richard L.; (Millbrae, CA); Siegel; Dustin; (Half Moon Bay, CA)</t>
  </si>
  <si>
    <t>C07D 405/04 20130101;  C07F 9/6561 20130101;  C07H 7/06 20130101;  A61P 31/16 20180101;  C07D 487/04 20130101;  C07D 405/14 20130101</t>
  </si>
  <si>
    <t>Provided herein are formulations, methods and substituted     tetrahydrofuranyl-pyrrolo[1,2-f][1,2,4]triazine-4-amine compounds of     Formula (I) for treating Pneumovirinae virus infections, including     respiratory syncytial virus infections, as well as methods and     intermediates for synthesis of     tetrahydrofuranyl-pyrrolo[1,2-f][1,2,4]triazine-4-amine compounds.  ##STR00001##</t>
  </si>
  <si>
    <t>US20190055251</t>
  </si>
  <si>
    <t>METHODS AND COMPOUNDS FOR TREATING PARAMYXOVIRIDAE VIRUS INFECTIONS</t>
  </si>
  <si>
    <t>16/042085</t>
  </si>
  <si>
    <t>Mackman; Richard L.; (Millbrae, CA); Parrish; Jay P.; (Redwood City, CA); Ray; Adrian S.; (Redwood City, CA); Theodore; Dorothy Agnes; (Castro Valley, CA)</t>
  </si>
  <si>
    <t>A61K 9/0078 20130101;  C07H 7/06 20130101;  A61K 31/706 20130101;  A61P 31/16 20180101;  A61K 45/06 20130101;  A61P 31/14 20180101;  C07D 487/04 20130101;  A61P 31/12 20180101;  C07F 9/6561 20130101;  C07H 19/04 20130101;  A61P 43/00 20180101</t>
  </si>
  <si>
    <t>Provided are methods for treating Paramyxoviridae virus infections by     administering ribosides, riboside phosphates and prodrugs thereof, of     Formula I:  ##STR00001## wherein the 1' position of the nucleoside sugar is substituted. The     compounds, compositions, and methods provided are particularly useful for     the treatment of Human parainfluenza and Human respiratory syncytial     virus infections.</t>
  </si>
  <si>
    <t>US20190054162</t>
  </si>
  <si>
    <t>15/920519</t>
  </si>
  <si>
    <t>A61K 2039/545 20130101;  A61K 2039/572 20130101;  C12N 7/00 20130101;  C12N 2760/16234 20130101;  A61K 39/145 20130101;  C12N 2760/16134 20130101;  C12N 2760/16171 20130101;  A61K 2039/575 20130101;  A61K 39/12 20130101;  A61K 39/39 20130101;  A61K 2039/55566 20130101;  A61K 2039/5252 20130101</t>
  </si>
  <si>
    <t>US20190038738</t>
  </si>
  <si>
    <t>FUNCTIONAL INFLUENZA VIRUS-LIKE PARTICLES (VLPS)</t>
  </si>
  <si>
    <t>15/901000</t>
  </si>
  <si>
    <t>SMITH; Gale; (Gaithersburg, MD); BRIGHT; Rick; (Gaithersburg, MD); PUSHKO; Peter M.; (Gaithersburg, MD); ZHANG; Jinyou; (Gaithersburg, MD); MAHMOOD; Kutub; (Gaithersburg, MD)</t>
  </si>
  <si>
    <t>C12N 15/86 20130101;  C12N 7/00 20130101;  A61K 39/12 20130101;  A61K 39/39 20130101;  C12N 2760/16134 20130101;  C12N 2710/14143 20130101;  C12N 2760/16071 20130101;  A61K 39/145 20130101;  C12N 2760/16123 20130101;  A61K 2039/5258 20130101;  A61K 2039/55505 20130101;  C07K 14/005 20130101;  C12N 2760/16034 20130101;  C12N 2760/16023 20130101;  A61K 2039/543 20130101;  A61K 2039/70 20130101;  A61K 2039/55555 20130101;  C12N 2760/16122 20130101</t>
  </si>
  <si>
    <t>US20190032064</t>
  </si>
  <si>
    <t>Personalized Delivery Vector-Based Immunotherapy and Uses Thereof</t>
  </si>
  <si>
    <t>16/073194</t>
  </si>
  <si>
    <t>ADVAXIS, INC.</t>
  </si>
  <si>
    <t>ADVAXIS</t>
  </si>
  <si>
    <t>PETIT; Robert; (Newtown, PA); PERRY; Kyle; (Lawrenceville, NJ); PRINCIOTTA; Michael F.; (Hightstown, NJ)</t>
  </si>
  <si>
    <t>C12N 15/74 20130101;  A61P 35/00 20180101;  C12R 1/01 20130101;  A61K 39/0011 20130101;  A61K 2039/523 20130101</t>
  </si>
  <si>
    <t>Disclosed herein is a personalized immunotherapy composition for a subject having a disease or condition, including therapeutic vaccine delivery vectors and methods of making the same comprising gene expression constructs expressing frameshift-mutation-derived peptides associated with one or more neo-epitopes encoded by nucleic acid sequences comprising at least one frameshift mutation, wherein the frameshift mutation is specific to a subject's cancer or unhealthy tissue. A delivery vector of this disclosure includes bacterial vectors; or viral vectors, or peptide vaccine vectors; or DNA vaccine vectors including Listeria bacterial vectors comprising one or more fusion proteins comprising one or more frameshift-mutation-derived peptides comprising one or more neo-epitopes present in disease-bearing biological samples obtained from the subject. Disclosed are also methods of using these compositions for inducing an immune response against a disease or condition, including a tumor or cancer, or an infection in the subject.</t>
  </si>
  <si>
    <t>US20190030187</t>
  </si>
  <si>
    <t>sirna/Nanoparticle Formulations for Treatment of Middle-East Respiratory     Syndrome Coronaviral Infection</t>
  </si>
  <si>
    <t>15/758312</t>
  </si>
  <si>
    <t>Lu; Patrick Y.; (Potomac, MD); Simonenko; Vera; (Gaithersburg, MD); Cai; Yibin; (Gaithersburg, MD); Xu; John; (Germantown, MD); Evans; David; (North Potomac, MD)</t>
  </si>
  <si>
    <t>C12N 15/88 20130101;  A61P 31/14 20180101;  A61K 47/543 20170801;  C12N 2320/32 20130101;  C12N 2310/14 20130101;  C12N 15/1131 20130101;  A61K 47/28 20130101;  A61K 48/0008 20130101;  A61K 48/0066 20130101;  B82Y 5/00 20130101;  A61K 9/127 20130101;  A61K 9/5153 20130101;  C12N 2320/31 20130101</t>
  </si>
  <si>
    <t>The present invention relates to compositions and methods for siRNA     therapeutics for prevention and treatment of Middle East Respiratory     Syndrome Corona Virus (MERS-CoV) infections. The compositions include a     pharmaceutical composition comprising siRNA cocktails that target viral     genes and pharmaceutically acceptable polymeric nanoparticle carriers and     liposomal nanoparticle carriers.</t>
  </si>
  <si>
    <t>US20190022214</t>
  </si>
  <si>
    <t>Attenuated Infectious Bronchitis Virus</t>
  </si>
  <si>
    <t>16/071938</t>
  </si>
  <si>
    <t>THE PIRBRIGHT INSTITUTE</t>
  </si>
  <si>
    <t>Bickerton; Erica; (Pirbright, Woking, GB); Keep; Sarah; (Pirbright, Woking, GB); Britton; Paul; (Pirbright, Woking, GB)</t>
  </si>
  <si>
    <t>A61P 31/12 20180101;  C12N 2770/20034 20130101;  A61K 2039/5254 20130101;  A61K 2039/543 20130101;  A61K 39/215 20130101;  C12N 2770/20021 20130101;  C12N 2770/20062 20130101;  C12N 2770/20071 20130101;  C12N 2770/20022 20130101;  C12N 7/00 20130101;  C07K 14/005 20130101;  C12N 2770/20051 20130101</t>
  </si>
  <si>
    <t>The present invention provides a live, attenuated coronavirus comprising     a mutation in non-structural protein nsp-3 and/or deletion of accessory     proteins 3a and 3b. The coronavirus may be used as a vaccine for treating     and/or preventing a disease, such as infectious bronchitis, in a subject.</t>
  </si>
  <si>
    <t>US20190022213</t>
  </si>
  <si>
    <t>16/022839</t>
  </si>
  <si>
    <t>A61K 39/215 20130101;  A61P 31/14 20180101;  A61P 37/04 20180101;  A61K 39/12 20130101;  C12N 7/00 20130101;  C12N 2770/20034 20130101;  A61K 2039/53 20130101</t>
  </si>
  <si>
    <t>US20190022113</t>
  </si>
  <si>
    <t>Compositions and Methods of Treating HIV</t>
  </si>
  <si>
    <t>16/040324</t>
  </si>
  <si>
    <t>JANSSEN SCIENCES IRELAND UC</t>
  </si>
  <si>
    <t>JANSSEN SCIENCES IRELAND</t>
  </si>
  <si>
    <t>Boven; Katia; (Titusville, NJ); De Smedt; Goedele; (Geel, BE); Driesen; Regina; (Kessel, BE); Henrist; Dominiek; (Zoersel, BE); Kauwenberghs; Greet; (Schoten, BE); Mathur; Sandeep; (Furlong, PA); McCallister; Scott; (San Francisco, CA); Mertens; Roel; (Balen, BE); Nettles; Richard; (New Hope, PA); Opsomer; Magda; (Sint-Pieters-Leeuw, BE); Pyrz; William; (Belmont, CA); Zia; Vahid; (Palo Alto, CA)</t>
  </si>
  <si>
    <t>A61K 31/683 20130101;  A61K 31/675 20130101;  A61P 31/18 20180101;  A61K 31/513 20130101;  A61K 31/635 20130101;  A61K 31/7068 20130101;  A61K 31/7068 20130101;  A61K 31/5377 20130101;  A61K 31/683 20130101;  A61K 2300/00 20130101;  A61K 2300/00 20130101;  A61K 2300/00 20130101;  A61K 2300/00 20130101;  A61K 2300/00 20130101;  A61K 31/675 20130101;  A61K 9/2054 20130101;  A61K 31/635 20130101;  A61K 31/5377 20130101</t>
  </si>
  <si>
    <t>The disclosure is directed to methods of treating subjects infected with     HIV, once daily, with single unit dosage forms that include darunavir (or     a hydrate or solvate thereof), cobicistat, emtricitabine, and a tenofovir     prodrug, or salt thereof.</t>
  </si>
  <si>
    <t>US20190017068</t>
  </si>
  <si>
    <t>ADENO-ASSOCIATED VIRUS (AAV) SEROTYPE 8 SEQUENCES, VECTORS CONTAINING SAME, AND USES THEREFOR</t>
  </si>
  <si>
    <t>16/142921</t>
  </si>
  <si>
    <t>C12Y 304/21022 20130101;  C12Y 304/21021 20130101;  A61K 9/0019 20130101;  A61K 38/4846 20130101;  A61K 38/177 20130101;  A61K 38/45 20130101;  A61K 35/761 20130101;  C12N 2830/85 20130101;  C12N 2830/48 20130101;  C12N 2830/008 20130101;  C12N 2750/14143 20130101;  C12N 2750/14122 20130101;  C12N 15/86 20130101;  C12N 7/00 20130101;  C07K 14/755 20130101;  C07K 14/005 20130101;  A61K 48/00 20130101;  C12N 2750/14152 20130101;  C12Y 201/03003 20130101;  C07K 14/705 20130101;  C12N 9/1018 20130101;  C12N 9/644 20130101</t>
  </si>
  <si>
    <t>Sequences of a serotype 8 adeno-associated virus and vectors and host cells containing these sequences are provided. Also described are methods of using such host cells and vectors in production of rAAV particles.</t>
  </si>
  <si>
    <t>US20190016749</t>
  </si>
  <si>
    <t>2'-SUBSTITUTED CARBA-NUCLEOSIDE ANALOGS FOR ANTIVIRAL TREATMENT</t>
  </si>
  <si>
    <t>16/016369</t>
  </si>
  <si>
    <t>Clarke; Michael O' Neil Hanrahan; (Redwood City, CA)</t>
  </si>
  <si>
    <t>A61K 45/06 20130101;  A61K 31/706 20130101;  C07H 19/12 20130101;  A61P 31/14 20180101;  A61P 31/16 20180101;  A61P 43/00 20180101;  C07H 19/23 20130101;  A61P 31/00 20180101</t>
  </si>
  <si>
    <t>Provided are compounds of Formula I,  ##STR00001## as well as pharmaceutical compositions containing compounds of Formula I     and methods for treating Orthomyxoviridae virus infections by     administering these compounds. The compounds, compositions, and methods     provided are particularly useful for the treatment of Human Influenza     virus infections.</t>
  </si>
  <si>
    <t>US20190015501</t>
  </si>
  <si>
    <t>16/144394</t>
  </si>
  <si>
    <t>A61K 48/00 20130101;  A61K 31/7105 20130101;  A61K 39/12 20130101;  A61K 39/39 20130101;  A61K 2039/53 20130101;  A61K 2039/55555 20130101;  C12N 2760/16134 20130101;  C12N 2760/16234 20130101;  A61K 2039/545 20130101;  A61K 39/145 20130101;  C12N 7/00 20130101;  A61K 9/5146 20130101;  A61K 9/5123 20130101;  A61K 9/1271 20130101;  C12N 2760/16122 20130101;  A61K 39/155 20130101;  A61K 9/0019 20130101</t>
  </si>
  <si>
    <t>The invention relates to compositions and methods for the preparation, manufacture and therapeutic use ribonucleic acid vaccines (NAVs) comprising polynucleotide molecules encoding one or more antigens.</t>
  </si>
  <si>
    <t>US20190010225</t>
  </si>
  <si>
    <t>15/942836</t>
  </si>
  <si>
    <t>A61P 19/02 20180101;  A61P 35/02 20180101;  A61K 45/00 20130101;  A61P 19/08 20180101;  A61K 38/16 20130101;  A61P 1/00 20180101;  A61P 1/16 20180101;  A61K 2039/54 20130101;  A61K 38/2013 20130101;  A61K 2039/545 20130101;  C07K 2317/41 20130101;  A61P 25/00 20180101;  C07K 16/248 20130101;  A61P 35/00 20180101;  C07K 2317/34 20130101;  A61K 45/06 20130101;  C07K 2317/76 20130101;  C07K 2317/92 20130101;  A61P 35/04 20180101;  C07K 2317/24 20130101;  A61K 39/3955 20130101;  A61P 1/04 20180101;  A61K 31/7088 20130101;  A61P 9/10 20180101;  A61K 38/208 20130101;  A61K 2039/505 20130101</t>
  </si>
  <si>
    <t>US20190010223</t>
  </si>
  <si>
    <t>15/902041</t>
  </si>
  <si>
    <t>SMITH; Jeffrey T.L.; (Dublin, GB)</t>
  </si>
  <si>
    <t>A61K 2039/545 20130101;  A61P 7/02 20180101;  C07K 2317/92 20130101;  C07K 16/248 20130101;  C07K 16/461 20130101;  C07K 2317/76 20130101;  A61K 39/395 20130101;  C07K 16/241 20130101;  C07K 2317/33 20130101;  C07K 2317/94 20130101;  C07K 2317/34 20130101;  C07K 2317/24 20130101;  A61K 2039/505 20130101</t>
  </si>
  <si>
    <t>The present invention is directed to therapeutic methods using IL-6     antagonists such as antibodies and fragments thereof having binding     specificity for IL-6 to prevent or treat thrombosis in diseases     associated with abnormal blood coagulation or fibrinolysis. In preferred     embodiments these patients will comprise those exhibiting elevated     D-dimer or other cogulation cascade related proteins and optionally will     further exhibit elevated C reactive protein prior to treatment. The     subject therapies also may include the administration of other actives     such as chemotherapeutics, anti-coagulants, statins, et al.</t>
  </si>
  <si>
    <t>US20190008948</t>
  </si>
  <si>
    <t>16/036318</t>
  </si>
  <si>
    <t>A61P 31/16 20180101;  C12N 2760/16134 20130101;  A61K 31/7105 20130101;  A61K 9/5123 20130101;  A61K 39/155 20130101;  A61K 48/00 20130101;  C12N 2760/16122 20130101;  A61K 2039/53 20130101;  A61K 39/39 20130101;  A61K 2039/55555 20130101;  C12N 7/00 20130101;  A61K 39/12 20130101;  C12N 2760/16234 20130101;  A61K 9/1271 20130101;  A61K 9/0019 20130101;  A61K 2039/545 20130101;  A61K 9/5146 20130101;  A61K 39/145 20130101</t>
  </si>
  <si>
    <t>US20190008882</t>
  </si>
  <si>
    <t>TREATMENT OF AUTOPHAGY-BASED DISORDERS AND RELATED PHARMACEUTICAL COMPOSITIONS, DIAGNOSTIC AND SCREENING ASSAYS AND KITS</t>
  </si>
  <si>
    <t>16/130015</t>
  </si>
  <si>
    <t>University of New Mexico</t>
  </si>
  <si>
    <t>University New Mexico</t>
  </si>
  <si>
    <t>Deretic; Vojo P.; (Placitas, NM); Castillo; Eliseo F.; (Albuquerque, NM)</t>
  </si>
  <si>
    <t>A61K 31/277 20130101;  A61K 31/38 20130101;  A61K 31/381 20130101;  A61K 31/4184 20130101;  A61K 38/00 20130101;  G01N 2500/02 20130101;  A61K 31/4365 20130101;  A61K 31/4453 20130101;  A61K 31/4535 20130101;  A61K 31/472 20130101;  A61K 31/473 20130101;  A61K 31/475 20130101;  A61K 31/495 20130101;  A61K 31/5415 20130101;  A61K 31/57 20130101;  A61K 31/65 20130101;  A61K 38/177 20130101;  A61K 38/1793 20130101;  C07K 16/245 20130101;  C07K 16/28 20130101;  C07K 2317/76 20130101;  G01N 33/6893 20130101;  G01N 2333/4703 20130101;  G01N 2500/20 20130101;  G01N 2333/4724 20130101;  A61K 45/06 20130101;  A61K 31/713 20130101;  A61K 31/704 20130101;  A61K 31/506 20130101;  A61K 31/00 20130101;  A61K 31/436 20130101;  G01N 33/6842 20130101;  G01N 33/5695 20130101;  G01N 33/5055 20130101;  A61K 9/0073 20130101;  G01N 2333/4719 20130101;  G01N 2333/54 20130101;  G01N 2333/545 20130101;  G01N 2333/90212 20130101</t>
  </si>
  <si>
    <t>In one embodiment, the invention provides a method of treating a subject suffering from a Mycobacterium infection by administering to the subject a therapeutically-effective amount of a degradative autophagy agonist or a secretory autophagy antagonist. In another embodiment, the invention provides a method of treating a subject suffering from one or more diseases selected from the group consisting of a Mycobacterium infection, an inflammatory disorder, an immune disorder, a cancer and a neurodegenerative disorder by administering to the subject a therapeutically-effective amount of a TBK-1 antagonist (e.g. BX795 or amlexanox). Related pharmaceutical compositions, diagnostic and screening assays and kits are also provided.</t>
  </si>
  <si>
    <t>US20190008858</t>
  </si>
  <si>
    <t>16/005111</t>
  </si>
  <si>
    <t>Bjornson; Kyla; (San Lorenzo, CA); Canales; Eda; (San Mateo, CA); Cottell; Jeromy J.; (Redwood City, CA); Karki; Kapil K.; (Foster City, CA); Katana; Ashley A.; (North Olmsted, OH); Kato; Darryl; (San Francisco, CA); Kobayashi; Tetsuya; (Pleasanton, CA); Link; John O.; (San Francisco, CA); Martinez; Ruben; (San Diego, CA); Phillips; Barton W.; (San Mateo, CA); Pyun; Hyung-jung; (Fremont, CA); Sangi; Michael; (San Mateo, CA); Schrier; Adam J.; (Redwood City, CA); Siegel; Dustin; (Half Moon Bay, CA); Taylor; James G.; (Burlingame, CA); Tran; Chinh V.; (San Diego, CA); Trejo Martin; Teresa A.; (Belmont, CA); Vivian; Randall W.; (San Mateo, CA); Yang; Zheng-Yu; (Palo Alto, CA); Zablocki; Jeff; (Los Altos, CA); Zipfel; Sheila; (San Mateo, CA)</t>
  </si>
  <si>
    <t>C07K 5/08 20130101;  A61K 38/00 20130101;  A61P 43/00 20180101;  C07D 498/16 20130101;  C07D 498/22 20130101;  A61P 31/00 20180101;  A61K 31/401 20130101;  A61K 45/06 20130101;  A61K 31/4985 20130101;  A61P 31/14 20180101;  A61K 31/10 20130101;  A61P 1/16 20180101;  A61K 31/4745 20130101;  A61K 31/506 20130101;  A61K 38/21 20130101;  A61K 38/06 20130101;  A61K 2300/00 20130101;  C07D 241/36 20130101;  A61K 31/519 20130101;  C07K 5/0812 20130101;  C07K 5/0827 20130101;  A61P 31/10 20180101;  A61K 31/498 20130101;  C07K 5/0808 20130101;  A61P 31/12 20180101;  A61K 38/21 20130101;  C07D 403/14 20130101</t>
  </si>
  <si>
    <t>US20190008811</t>
  </si>
  <si>
    <t>SOLID SOLUTION COMPOSITIONS AND USE IN CHRONIC INFLAMMATION</t>
  </si>
  <si>
    <t>15/794197</t>
  </si>
  <si>
    <t>Bannister; Robin M.; (Essex, GB); Brew; John; (Hertfordshire, GB); Reiley, III; Richard R.; (London, GB); Caparros Wanderley; Wilson; (Buckinghamshire, GB)</t>
  </si>
  <si>
    <t>A61K 9/08 20130101;  Y02A 50/411 20180101;  A61K 9/2013 20130101;  A61K 31/60 20130101;  A61K 31/192 20130101;  A61K 31/616 20130101;  A61K 31/25 20130101;  A61K 31/704 20130101;  A61K 31/337 20130101;  A61K 31/202 20130101;  A61K 31/201 20130101;  A61K 47/10 20130101;  A61K 47/14 20130101;  A61K 47/22 20130101;  A61K 31/12 20130101;  A61K 31/121 20130101;  A61K 31/196 20130101;  A61K 47/44 20130101</t>
  </si>
  <si>
    <t>US20190001010</t>
  </si>
  <si>
    <t>16/035179</t>
  </si>
  <si>
    <t>Kang; Jason; (New York, NY); Tyan; Kevin; (New York, NY); Jin; Katherine; (New York, NY)</t>
  </si>
  <si>
    <t>C11D 3/24 20130101;  C11D 3/3418 20130101;  A61L 2/22 20130101;  C11D 3/3951 20130101;  C11D 1/12 20130101;  C11D 3/3956 20130101;  C11D 1/62 20130101;  C11D 3/40 20130101;  A01N 25/00 20130101;  A01N 59/00 20130101;  C11D 3/044 20130101;  C11D 17/0043 20130101;  A61L 2/28 20130101;  C11D 17/045 20130101;  C11D 3/3947 20130101;  C11D 3/48 20130101;  A01N 37/16 20130101;  A01N 33/12 20130101;  C11D 11/0064 20130101</t>
  </si>
  <si>
    <t>US20190000959</t>
  </si>
  <si>
    <t>16/048154</t>
  </si>
  <si>
    <t>A61K 39/145 20130101;  A61K 9/5146 20130101;  A61K 39/39 20130101;  C12N 7/00 20130101;  A61K 9/5123 20130101;  A61K 9/0019 20130101;  A61K 31/7105 20130101;  A61P 31/16 20180101;  A61K 2039/55555 20130101;  C12N 2760/16122 20130101;  C12N 2760/16134 20130101;  A61K 39/155 20130101;  C12N 2760/16234 20130101;  A61K 2039/545 20130101;  A61K 9/1271 20130101;  A61K 2039/53 20130101;  A61K 48/00 20130101;  A61K 39/12 20130101</t>
  </si>
  <si>
    <t>US20190000785</t>
  </si>
  <si>
    <t>Solid Solution Compositions and Use in Chronic Inflammation</t>
  </si>
  <si>
    <t>15/794178</t>
  </si>
  <si>
    <t>US20180374582</t>
  </si>
  <si>
    <t>15/952983</t>
  </si>
  <si>
    <t>G16H 50/80 20180101;  G16H 50/70 20180101;  G16H 50/20 20180101;  Y02A 90/24 20180101;  G06F 19/00 20130101;  Y02A 90/22 20180101;  Y02A 90/26 20180101;  G16H 50/50 20180101</t>
  </si>
  <si>
    <t>The present invention provides an integrated health care surveillance and monitoring system that provides real-time sampling, modeling, analysis, and recommended interventions. The system can be used to monitor infectious and chronic diseases. When faced with outbreak of an infectious disease agent, e.g., influenza virus, the system can identify active cases through pro-active sampling in high risk locations, such as schools or crowded commercial areas. The system can notify appropriate entities, e.g., local, regional and national governments, when an event is detected, thereby allowing for proactive management of a possible outbreak. The system also predicts the best response for deployment of scarce resources.</t>
  </si>
  <si>
    <t>US20180374580</t>
  </si>
  <si>
    <t>RISK IDENTIFICATION AND RESPONSE</t>
  </si>
  <si>
    <t>16/024387</t>
  </si>
  <si>
    <t>G16H 50/30 20180101;  G16H 50/80 20180101;  G16H 10/60 20180101;  G16H 70/40 20180101</t>
  </si>
  <si>
    <t>A method, system, and computer-readable medium to stratify a health risk acquires structured information and unstructured information from a plurality of sources, converts at least some of the unstructured information to structured information, and geocodes the acquired structured information and converted structured information to produce geocoded data. Health information of a plurality of subjects are similarly geocoded to produce geocoded subject health data and merged with the geocoded data and mapped to a dashboard. First geographical correlations between at least some of the health information and the structured and unstructured information derived from the merged geocoded data and geocoded subject health data are output for display, and a risk stratification base score is developed in accordance with second geographical correlations between at least some of the health information and the acquired structured and unstructured information derived from the merged geocoded data and geocoded subject health data. The risk stratification base score is adjusted in accordance with positive and/or negative variables, and a total risk score is determined from the adjusted risk stratification base score and output for integration into an electronic health records system.</t>
  </si>
  <si>
    <t>US20180371424</t>
  </si>
  <si>
    <t>PRRSV</t>
  </si>
  <si>
    <t>PRRSV SX-105 strain and use thereof</t>
  </si>
  <si>
    <t>14/917010</t>
  </si>
  <si>
    <t>INSTITUTE OF ANIMAL SCIENCE AND VETERINARY MEDICINE,SHANDONG ACADEMY OF AGRICULTURAL SCIENCES</t>
  </si>
  <si>
    <t>INSTITUTE ANIMAL SCIENCE AND VETERINARY MEDICINE</t>
  </si>
  <si>
    <t>Wu; Jiaqiang; (Jinan, Shandong, CN); Yu; Jiaug; (Jinan, Shandong, CN); Zhang; Yayu; (Jinan, Shandong, CN); Zhu; Xiwang; (Jinan, Shandong, CN); Du; Yijun; (Jinan, Shandong, CN); Li; Jun; (Jinan, Shandong, CN); Cong; Xiaoyan; (Jinan, Shandong, CN); Wang; Jinbao; (Jinan, Shandong, CN)</t>
  </si>
  <si>
    <t>A61K 39/12 20130101;  C12N 7/00 20130101;  C12N 2770/10021 20130101;  C12N 2770/10064 20130101;  A61P 31/14 20180101;  C12N 2770/10034 20130101;  A61K 2039/543 20130101;  A61K 2039/552 20130101;  A61K 2039/545 20130101;  A61K 2039/5254 20130101</t>
  </si>
  <si>
    <t>The present invention relates to porcine reproductive and respiratory     syndrome virus (PRRSV) vaccines in a field of veterinary biological     products, and more particularly to a PRRSV SX-105 strain having a deposit     number of CGMCC No. 9906, and a use thereof in preparing PRRSV live     vaccines. PRRSV SX-1 original strains are strongly pathogenic to swine. A     PRRSV SX-105 attenuated strain shows safety and good immunogenicity on     the swine. The PRRSV live vaccines, prepared from the PRRSV SX-105     strain, are safe and reliable, and able to generate strong immunity after     immunization. The PRRSV live vaccines significantly decrease morbidity     and mortality in inoculated swine groups, and have immunization effects     reaching and slightly better than conventional commercial vaccines on the     market, showing advantages to compete with the same kind of products     around the world. The PRRSV live vaccines are capable of effectively     preventing PRRS epidemic and transmission, and has broad application     prospects.</t>
  </si>
  <si>
    <t>US20180371086</t>
  </si>
  <si>
    <t>MULTISPECIFIC ANTIBODIES THAT TARGET HIV GP120 AND CD3</t>
  </si>
  <si>
    <t>16/014153</t>
  </si>
  <si>
    <t>Cihlar; Tomas; (Burlingame, CA); Goldsmith; Joshua; (San Francisco, CA); Pace; Craig S.; (Belmont, CA); Sloan; Derek; (Belmont, CA); Stephenson; Heather; (San Jose, CA); Thomsen; Nathan D.; (Castro Valley, CA); Kukolj; George; (Cambridge, MA); Rehder; Doug; (Bonsall, CA)</t>
  </si>
  <si>
    <t>A61K 2039/572 20130101;  A61P 31/18 20180101;  C07K 2317/64 20130101;  C07K 2317/72 20130101;  C07K 2317/94 20130101;  C07K 16/2803 20130101;  C07K 2317/56 20130101;  C07K 2317/71 20130101;  C07K 2317/73 20130101;  C07K 2317/92 20130101;  A61K 51/1006 20130101;  A61K 47/6841 20170801;  C07K 2317/732 20130101;  C07K 2317/52 20130101;  C07K 16/2809 20130101;  C07K 2317/21 20130101;  A61K 47/6849 20170801;  C07K 16/1063 20130101;  C07K 2317/33 20130101;  C07K 2317/524 20130101;  C07K 2317/31 20130101;  C07K 2317/76 20130101;  C07K 2317/526 20130101;  C07K 2317/567 20130101;  A61K 51/1042 20130101;  A61K 2039/505 20130101;  C07K 2317/565 20130101</t>
  </si>
  <si>
    <t>Multispecific antibodies (e.g., bispecific antibodies) that bind to HIV     gp120 and CD3 are disclosed. Also disclosed are methods of using such     antibodies to treat or prevent HIV infection.</t>
  </si>
  <si>
    <t>US20180371079</t>
  </si>
  <si>
    <t>15/849720</t>
  </si>
  <si>
    <t>GARCIA-MARTINEZ; Leon F.; (Woodinville, WA); Carvalho Jensen; Anne Elisabeth; (Wenatchee, WA); Anderson; Katie; (Kirkland, WA); Dutzar; Benjamin H.; (Seattle, WA); Ojala; Ethan W.; (Snohomish, WA); Kovacevich; Brian R.; (Snohomish, WA); Latham; John A.; (Seattle, WA); Smith; Jeffrey T.L.; (Bellevue, WA)</t>
  </si>
  <si>
    <t>C07K 2317/565 20130101;  C07K 2317/515 20130101;  C07K 2317/41 20130101;  A61K 2039/505 20130101;  C07K 16/248 20130101;  C07K 2317/34 20130101;  C07K 2317/51 20130101;  C07K 2317/76 20130101;  C07K 2317/24 20130101;  C07K 2317/64 20130101;  C07K 2317/56 20130101</t>
  </si>
  <si>
    <t>US20180369369</t>
  </si>
  <si>
    <t>A61P 31/20 20180101;  C12N 2760/18634 20130101;  A61K 2039/55577 20130101;  A61K 2039/55511 20130101;  A61K 2039/70 20130101;  C12N 2760/16134 20130101;  A61K 39/39 20130101;  A61P 31/16 20180101;  A61K 2039/525 20130101;  A61K 39/145 20130101;  A61K 39/155 20130101;  C12N 7/00 20130101;  A61K 2039/5252 20130101;  A61P 31/14 20180101</t>
  </si>
  <si>
    <t>US20180369363</t>
  </si>
  <si>
    <t>Genetically Engineered Swine Influenza Virus And Uses Thereof</t>
  </si>
  <si>
    <t>16/126791</t>
  </si>
  <si>
    <t>Palese; Peter; (New York, NY); Garcia-Sastre; Adolfo; (New York, NY); Webby; Richard J.; (Memphis, TN); Richt; Juergen A.; (Ames, IA); Webster; Robert G.; (Memphis, TN); Lager; Kelly M.; (Colo, IA)</t>
  </si>
  <si>
    <t>A61K 39/145 20130101;  A61K 2039/5254 20130101;  C12N 7/00 20130101;  C12N 2760/16034 20130101;  C12N 2760/16061 20130101;  A61K 2039/544 20130101;  A61K 2039/5256 20130101;  C12N 2760/16134 20130101;  A61K 39/12 20130101;  A61K 2039/552 20130101;  C12N 2760/16151 20130101;  C12N 2760/16121 20130101;  C12N 2760/16171 20130101;  A61K 2039/58 20130101</t>
  </si>
  <si>
    <t>The present invention relates, in general, to attenuated swine influenza viruses having an impaired ability to antagonize the cellular interferon (IFN) response, and the use of such attenuated viruses in vaccine and pharmaceutical formulations. In particular the invention relates to attenuated swine influenza viruses having modifications to a swine NS1 gene that diminish or eliminate the ability of the NS1 gene product to antagonize the cellular IFN response. These viruses replicate in vivo, but demonstrate decreased replication, virulence and increased attenuation, and therefore are well suited for use in live virus vaccines, and pharmaceutical formulations.</t>
  </si>
  <si>
    <t>US20180366230</t>
  </si>
  <si>
    <t>SYSTEM AND METHOD FOR EPIDEMIC TRACKING ON MOBILE DEVICE</t>
  </si>
  <si>
    <t>15/842735</t>
  </si>
  <si>
    <t>RELIANT IMMUNE DIAGNOSTICS, LLC</t>
  </si>
  <si>
    <t>RELIANT IMMUNE DIAGNOSTICS</t>
  </si>
  <si>
    <t>PULITZER; JOVAN HUTTON; (FRISCO, TX); LEGERE, III; HENRY JOSEPH; (AUSTIN, TX)</t>
  </si>
  <si>
    <t>G16H 50/80 20180101;  G16H 10/40 20180101;  G06F 16/22 20190101;  G16H 50/70 20180101;  G16H 80/00 20180101;  G16H 40/67 20180101;  G16C 20/90 20190201</t>
  </si>
  <si>
    <t>A method for epidemic tracking on a mobile device is provided, comprising     collecting a plurality of test results associated with a particular     medical condition from a plurality of users, wherein the test results are     achieved by testing a biologic sample with a testing device, receiving     the plurality of test results at a server disposed on a network, wherein     the server has configured thereon a database, collecting and storing on     the database a plurality of user information from the plurality of users,     storing the plurality of test results in the database, wherein each of     the plurality of test results is associated with the user information of     the plurality of user information that corresponds to the user who     provided the test results, and tracking the particular medical condition     based on the plurality of test results and the plurality of user     information.</t>
  </si>
  <si>
    <t>US20180366221</t>
  </si>
  <si>
    <t>PLATFORM FOR CONTEXT BASED SYNDROMIC SURVEILLANCE</t>
  </si>
  <si>
    <t>16/007839</t>
  </si>
  <si>
    <t>RLDATIX NORTH AMERICA INC.</t>
  </si>
  <si>
    <t>RLDATIX NORTH AMERICA</t>
  </si>
  <si>
    <t>CREHORE; Yves; (Toronto, CA); BELCHER; Tom; (Toronto, CA); LLORIN; Jason; (Toronto, CA)</t>
  </si>
  <si>
    <t>G16H 40/60 20180101;  G16H 50/30 20180101;  G16H 70/00 20180101;  G06F 17/30292 20130101</t>
  </si>
  <si>
    <t>Embodiments described herein relates to a platform for infection surveillance that can assist infection preventionists and antimicrobial stewardship teams with infection detection rules and dynamic alerts by aggregating and processing infection surveillance data with contextual healthcare data regarding a facility, organization, and so on. The platform can enable proactive prevention of infection risks by detecting risk patterns in the data and generating alerts.</t>
  </si>
  <si>
    <t>US20180365382</t>
  </si>
  <si>
    <t>POWER-EFFICIENT HEALTH AFFLICTION CLASSIFICATION</t>
  </si>
  <si>
    <t>15/627801</t>
  </si>
  <si>
    <t>BHUIYA; Subhajit; (Bangalore, IN); EKAMBARAM; Vijay; (Tamilnadu, IN); NARAYANAM; Ramasuri; (Bangalore, IN); NARVEKAR; Ashwin M.; (Bangalore, IN)</t>
  </si>
  <si>
    <t>G16H 20/10 20180101;  G16H 40/67 20180101;  G16H 50/30 20180101;  G06F 19/3456 20130101;  G06F 1/163 20130101;  G16H 40/63 20180101;  G16H 40/20 20180101</t>
  </si>
  <si>
    <t>Power-efficient health affliction classification. A method controls     execution of a set of health affliction classification applications on a     wearable device of a user. The controlling includes monitoring device     notifications on at least one mobile device of the user for health     affliction information. The controlling further includes invoking an     analysis of one or more notifications of the monitored device     notifications, the analysis attempting to ascertain a health affliction     and an afflicted individual having the health affliction. Based on the     analyzing being initially unable to ascertain a health affliction, the     controlling initiates execution of the set of health affliction     classification applications in a prioritized order of execution.</t>
  </si>
  <si>
    <t>US20180360958</t>
  </si>
  <si>
    <t>16/117320</t>
  </si>
  <si>
    <t>A61K 39/39 20130101;  A61K 2039/55527 20130101;  C07K 14/35 20130101;  C12N 7/00 20130101;  A61K 2039/54 20130101;  C07K 14/025 20130101;  A61K 39/015 20130101;  A61K 2039/585 20130101;  A61P 31/00 20180101;  C07K 14/54 20130101;  A61K 2039/575 20130101;  A61P 43/00 20180101;  A61K 2039/53 20130101;  A61K 39/0011 20130101;  A61K 39/12 20130101;  A61K 2039/57 20130101;  A61K 2039/572 20130101;  A61P 35/00 20180101;  Y02A 50/412 20180101;  A61K 38/162 20130101;  A61P 35/02 20180101;  A61K 38/20 20130101;  C07K 14/445 20130101;  C12N 2710/20034 20130101;  C07K 14/005 20130101;  A61K 39/21 20130101;  A61K 38/164 20130101;  C07K 14/16 20130101;  C12N 2760/10034 20130101;  C12N 2740/16034 20130101;  A61P 37/04 20180101;  A61K 39/04 20130101</t>
  </si>
  <si>
    <t>US20180358131</t>
  </si>
  <si>
    <t>ASSIGNING PATIENTS TO HOSPITAL BEDS</t>
  </si>
  <si>
    <t>15/775066</t>
  </si>
  <si>
    <t>Teodoro; Douglas Henrique; (Sao Paulo, BR); Oliveira; Lucas de Melo; (Melrose, MA)</t>
  </si>
  <si>
    <t>G16H 50/30 20180101;  G16H 50/80 20180101;  G16H 40/20 20180101</t>
  </si>
  <si>
    <t>Methods and apparatus for assigning patients to hospital beds to prevent     the spread of healthcare-associated infection (HAI). HAI is a major     patient safety problem worldwide, affecting hundreds of millions of     individuals each year. By considering probabilities that patients will     acquire and/or spread infections, embodiments of the present invention     can reduce the spread of HAI by selectively assigning patients to beds     within healthcare institutions.</t>
  </si>
  <si>
    <t>US20180340202</t>
  </si>
  <si>
    <t>Method for Rapid High Volume Production of Synthetic Vaccines</t>
  </si>
  <si>
    <t>15/719322</t>
  </si>
  <si>
    <t>C12P 21/00 20130101;  C07K 14/005 20130101;  C12M 21/18 20130101;  C12M 25/00 20130101;  C12M 23/44 20130101</t>
  </si>
  <si>
    <t>The present invention features an on demand programmable machine and process for producing synthetic vaccine or other protein product(s). This system includes modular machine components with programmable inputs to responsively and rapidly synthesize selected protein product(s) in desired amounts. When the device is programmed to produce multiple proteins in a single run, the amount of each protein produced is independently controlled. The programmability and modularity is scalable permitting e.g., low volume output to manage an incipient local outbreak, and in cases where higher production volumes are necessary to prevent epidemic or pandemic events, high levels of production can be planned at the outset or scaled up as greater need is recognized.</t>
  </si>
  <si>
    <t>US20180340004</t>
  </si>
  <si>
    <t>15/950442</t>
  </si>
  <si>
    <t>C07H 19/073 20130101;  A61K 31/7068 20130101;  C07H 19/06 20130101;  A61K 31/7072 20130101;  A61P 31/14 20180101;  A61P 31/12 20180101;  A61P 11/00 20180101;  C07H 19/10 20130101</t>
  </si>
  <si>
    <t>US20180334480</t>
  </si>
  <si>
    <t>15/760878</t>
  </si>
  <si>
    <t>GERSHONI; Jonathan; (Herzliya, IL)</t>
  </si>
  <si>
    <t>A61P 31/14 20180101;  C12N 2770/20034 20130101;  C07K 2319/735 20130101;  C12N 2770/20022 20130101;  A61K 39/12 20130101;  A61K 39/215 20130101;  C07K 14/005 20130101;  C12N 2770/20051 20130101</t>
  </si>
  <si>
    <t>US20180333482</t>
  </si>
  <si>
    <t>CORONAVIRUSES, VACCINES COMPRISING THE SAME, AND METHODS FOR PREVENTING     DISEASE</t>
  </si>
  <si>
    <t>15/910617</t>
  </si>
  <si>
    <t>Baker; Susan; (Elmhurst, IL); Deng; Xufang; (Lyons, IL); Hackbart; Matthew; (River Forest, IL); Mettelman; Robert; (Oak Park, IL); Mielech; Anna; (Mount Airy, MD); O'Brien; Amornrat; (Evanston, IL); Faaberg; Kay; (Ames, IA); Lager; Kelly Milton; (Colo, IA)</t>
  </si>
  <si>
    <t>A61P 31/14 20180101;  A61K 39/215 20130101;  A61K 2039/5254 20130101;  C12N 9/16 20130101;  C12N 2770/20022 20130101;  A61K 39/12 20130101;  C12N 2770/20034 20130101</t>
  </si>
  <si>
    <t>Coronaviruses, vaccines comprising the same, and methods for preventing     disease. One embodiment of such includes a live, attenuated coronavirus     comprising a variant replicase gene encoding polyproteins comprising a     non-structural protein (nsp)-15, the replicase gene encoding the nsp15     and causes any change, including mutations and/or deletions, that affects     the stability or activity of the nsp15.</t>
  </si>
  <si>
    <t>US20180330806</t>
  </si>
  <si>
    <t>SYSTEM AND METHOD FOR VIRTUAL ENABLEMENT OF HEALTH CARE SERVICES</t>
  </si>
  <si>
    <t>15/977664</t>
  </si>
  <si>
    <t>Krishnamurthy; Girish; (Bangalore, IN); GOEL; Rupesh; (Mumbai, IN); SESHADRI; SRIKRISHNA; (Banagalore, IN)</t>
  </si>
  <si>
    <t>G16H 30/20 20180101;  G16H 80/00 20180101;  G16H 50/80 20180101;  G16H 50/20 20180101;  G16H 40/67 20180101;  G16H 10/60 20180101</t>
  </si>
  <si>
    <t>The disclosure presents a DiNC system and method to contextually     communicate and share data amongst networked healthcare entities. It is     configured to dynamically design virtual enablement services for the     networked healthcare entities. DiNC is a service focused arrangement     where communication is core to effect healthcare delivery. It allows user     interaction both in context of a case management or in general     communication. These interactions can be performed using multiple     communication channels. It also facilitates healthcare services between     the patients, who visit hospital and present in remote areas, with     hospitals and doctors. The services provided are one amongst a catalog     including but not limited to appointment scheduling, virtual doctor     consultation, care follow ups of the patients and maintaining the case     history of individual patients. It can predicts possible treatment     outcome and possible epidemic outbreak. Further it provides triaging in     healthcare provision by identifying level of care required and a     probability of outcome.</t>
  </si>
  <si>
    <t>US20180326047</t>
  </si>
  <si>
    <t>PORCINE EPIDEMIC DIARRHEA VIRUS VACCINES AND METHODS OF USE THEREOF</t>
  </si>
  <si>
    <t>16/020648</t>
  </si>
  <si>
    <t>Marthaler; Douglas; (Minneapolis, MN); Rossow; Kurt; (Minneapolis, MN)</t>
  </si>
  <si>
    <t>A61K 39/215 20130101;  C07K 14/165 20130101;  C12N 2770/00021 20130101;  C12N 2770/00022 20130101;  C12N 2770/20034 20130101;  C12N 7/00 20130101;  A61K 2039/552 20130101;  A61K 2039/54 20130101;  A61K 2039/53 20130101;  A61K 2039/525 20130101;  A61K 2039/55583 20130101;  A61K 2039/55516 20130101</t>
  </si>
  <si>
    <t>The present disclosure provides an isolated or purified Porcine Epidemic     Diarrhea Virus (PEDV) or Porcine Epidemic Diarrhea Virus (PEDV) S1     protein, and methods of use thereof.</t>
  </si>
  <si>
    <t>US20180326045</t>
  </si>
  <si>
    <t>COMBINATION PIV3/HMPV RNA VACCINES</t>
  </si>
  <si>
    <t>16/040981</t>
  </si>
  <si>
    <t>A61K 2039/55511 20130101;  C12N 2760/18334 20130101;  A61K 2039/55555 20130101;  A61K 2039/70 20130101;  C07K 2317/76 20130101;  A61K 39/12 20130101;  A61P 11/00 20180101;  A61K 39/155 20130101;  A61K 2039/53 20130101;  Y02A 50/39 20180101;  C12N 2760/18634 20130101;  C12N 2770/20034 20130101;  C12N 2760/18034 20130101;  C12N 2760/18434 20130101;  C07K 16/1027 20130101;  A61K 2039/6018 20130101;  C12N 2760/18534 20130101;  C07K 16/10 20130101</t>
  </si>
  <si>
    <t>US20180326037</t>
  </si>
  <si>
    <t>Novel Vaccines Against Multiple Subtypes Of Dengue Virus</t>
  </si>
  <si>
    <t>15/981962</t>
  </si>
  <si>
    <t>Weiner; David B.; (Merion, PA); Yan; Jian; (Wallingford, PA); Sardesai; Niranjan; (Blue Bell, PA)</t>
  </si>
  <si>
    <t>A61N 1/0412 20130101;  A61N 1/0476 20130101;  A61K 2039/575 20130101;  Y02A 50/386 20180101;  C07K 14/005 20130101;  A61K 2039/54 20130101;  C12N 2770/24122 20130101;  A61K 2039/55527 20130101;  A61K 31/7088 20130101;  A61K 2039/55538 20130101;  A61K 39/12 20130101;  A61N 1/327 20130101;  A61K 2039/53 20130101;  Y02A 50/394 20180101;  A61P 31/14 20180101;  A61P 37/04 20180101;  C12N 2770/24134 20130101;  C12N 2770/24141 20130101;  C12N 7/00 20130101</t>
  </si>
  <si>
    <t>An aspect of the present invention is related to nucleic acid constructs     capable of expressing a polypeptide, such as a consensus dengue prME that     elicits an immune response in a mammal against more than one subtype of     dengue virus, and methods of use thereof. Additionally, there are DNA     plasmid vaccines capable of generating in a mammal an immune response     against a plurality of dengue virus subtypes, comprising a DNA plasmid     and a pharmaceutically acceptable excipient, and methods of use thereof.     The DNA plasmid is capable of expressing a consensus dengue antigen in a     cell of the mammal in a quantity effective to elicit an immune response     in the mammal that is cross reactive against all 4 dengue subtypes.</t>
  </si>
  <si>
    <t>US20180325076</t>
  </si>
  <si>
    <t>ANTIMICROBIAL COMPOSITIONS AND METHODS WITH NOVEL POLYMERIC BINDING SYSTEM</t>
  </si>
  <si>
    <t>16/043469</t>
  </si>
  <si>
    <t>CLINTON MEADE, LENDER RESPRESENTATIVE</t>
  </si>
  <si>
    <t>CLINTON MEADE</t>
  </si>
  <si>
    <t>Cao; Zhengbing; (Bothell, WA); Sun; Xinbo; (Bothell, WA); Johnston; Simon; (Bellevue, WA); Williams; Jeffrey F.; (Langley, WA)</t>
  </si>
  <si>
    <t>A01K 1/0152 20130101;  A01N 43/50 20130101;  A61K 31/53 20130101;  A61K 31/4166 20130101;  A61L 15/46 20130101;  A01K 1/0155 20130101;  A01K 1/0154 20130101;  A61L 2300/404 20130101;  A01N 43/50 20130101;  A01N 25/08 20130101;  A01N 25/22 20130101;  A01N 25/26 20130101;  A01N 33/12 20130101;  A01N 59/00 20130101;  A01N 43/66 20130101;  A01N 25/08 20130101;  A01N 25/22 20130101;  A01N 25/26 20130101;  A01N 33/12 20130101;  A01N 59/00 20130101;  A01N 59/00 20130101;  A01N 25/08 20130101;  A01N 25/22 20130101;  A01N 25/26 20130101;  A61L 15/28 20130101;  C08L 1/00 20130101;  A61K 31/00 20130101;  A01N 43/66 20130101;  A01N 59/00 20130101;  A61L 15/28 20130101;  A61L 15/22 20130101;  A61L 2300/204 20130101;  A61L 2300/606 20130101;  A01N 33/12 20130101</t>
  </si>
  <si>
    <t>The present invention includes multifunctional compositions, methods and binding systems to provide disinfecting and deodorizing coatings for hard and soft surfaces, inorganic and organic solid surfaces and particulate media and other related substrates, including human and animal skin and skin lesions; to provide neutralizing functions for malodors generated by both human, animal and industrial fluids and solid wastes; and to provide neutralizing and degrading functions for nuisance and noxious chemicals. The present invention provides compositions and methods for producing disinfecting, oxidizing and enzyme-inhibiting fluids enabling preparation of durable, stable biocidal and deodorizing coatings and media which can be widely used for biological agent control, prevention and elimination of odors, and degradation of noxious agents susceptible to chemical oxidation, and which take forms that are inoffensive to users and offer high convenience.</t>
  </si>
  <si>
    <t>US20180322959</t>
  </si>
  <si>
    <t>IDENTIFICATION OF LOW-EFFICACY PATIENT POPULATION</t>
  </si>
  <si>
    <t>15/773207</t>
  </si>
  <si>
    <t>3M</t>
  </si>
  <si>
    <t>Stankiewicz; Brian J.; (Mahtomedi, MN); Schumacher; Jennifer F.; (Woodbury, MN); Brooks; Brian E.; (St. Paul, MN); Asendorf; Nicholas A.; (St. Paul, MN); Peterson; Kelly S.; (Salt Lake City, UT)</t>
  </si>
  <si>
    <t>G16H 70/20 20180101;  G16H 50/70 20180101</t>
  </si>
  <si>
    <t>A method of evaluating a plurality of patient protocols associated with a medical context, the method including, with a computer system, accessing a database including medical information for a plurality of patients associated with the medical context items. For each of the patients, the medical information includes an indication that one of the patient protocols is associated with the patient. The method further includes, with the computer system, evaluating each of the patient protocols based on medical information associated with patients within a patient population, the patient population representing a subset of the patients, to estimate an efficacy of each of the patient protocols for the patient population, and identifying the patient population represents a low-efficacy patient population based on the efficacy estimates for the patient population. The method further includes storing, within the database, an indication that the patient population represents the low-efficacy patient population.</t>
  </si>
  <si>
    <t>US20180312575</t>
  </si>
  <si>
    <t>ANTIBODIES AGAINST INFLUENZA VIRUS AND METHODS OF USE THEREOF</t>
  </si>
  <si>
    <t>15/926295</t>
  </si>
  <si>
    <t>BURNHAM INSTITUTE FOR MEDICAL RESEARCH</t>
  </si>
  <si>
    <t>Marasco; Wayne A.; (Wellesley, MA); Sui; Jianhua; (Boston, MA); Liddington; Robert C.; (La Jolla, CA)</t>
  </si>
  <si>
    <t>C07K 14/005 20130101;  C07K 16/1018 20130101;  C07K 2317/565 20130101;  C07K 2319/00 20130101;  C07K 2317/92 20130101;  A61P 31/16 20180101;  C07K 2317/76 20130101;  A61K 2039/505 20130101;  C07K 2317/52 20130101;  C07K 2319/40 20130101;  C07K 2317/622 20130101;  C12N 2760/16122 20130101;  C07K 2317/21 20130101</t>
  </si>
  <si>
    <t>The invention provides human scFv antibodies and monoclonal antibodies     that neutralize influenza virus. Also provided are methods of treating     and/or preventing a influenza related disease or disorder such bird flu     The invention also provides methods of vaccinating a patient against     influenza. Also provided are methods of diagnosing influenza-related     diseases or disorders and methods of detecting the presence of a     influenza in a sample.</t>
  </si>
  <si>
    <t>US20180312549</t>
  </si>
  <si>
    <t>16/031951</t>
  </si>
  <si>
    <t>A61K 39/39 20130101;  A61K 39/12 20130101;  A61K 2039/51 20130101;  A61P 31/14 20180101;  C12N 2770/24134 20130101;  A61K 31/7105 20130101;  A61K 31/7115 20130101;  C12N 2770/24123 20130101;  C07K 14/1825 20130101;  C12N 2770/24034 20130101;  A61K 2039/55555 20130101;  C07K 16/1081 20130101</t>
  </si>
  <si>
    <t>US20180311336</t>
  </si>
  <si>
    <t>BROAD SPECTRUM INFLUENZA VIRUS VACCINE</t>
  </si>
  <si>
    <t>15/767609</t>
  </si>
  <si>
    <t>Ciaramella; Giuseppe; (Sudbury, MA); Huang; Eric Yi-Chun; (Boston, MA); Babaoglu; Kerim; (Lansdale, PA); Flynn; Jessica Ann; (Lansdale, PA); Zhang; Lan; (Chalfont, PA)</t>
  </si>
  <si>
    <t>A61K 2039/6018 20130101;  A61K 39/12 20130101;  A61K 2039/545 20130101;  C12N 2760/16134 20130101;  A61K 2039/53 20130101;  A61K 2039/70 20130101;  A61K 39/145 20130101</t>
  </si>
  <si>
    <t>The disclosure relates to influenza virus ribonucleic acid (RNA)     vaccines, as well as methods of using the vaccines and compositions     comprising the vaccines.</t>
  </si>
  <si>
    <t>US20180311263</t>
  </si>
  <si>
    <t>15/902690</t>
  </si>
  <si>
    <t>Chun; Byoung Kwon; (Pleasanton, CA); Clarke; Michael O' Neil Hanrahan; (Redwood City, CA); Doerffler; Edward; (Foster City, CA); Hui; Hon Chung; (Foster City, CA); Jordan; Robert; (Foster City, CA); Mackman; Richard L.; (Millbrae, CA); Parrish; Jay P.; (El Dorado Hills, CA); Ray; Adrian S.; (Burlingame, CA); Siegel; Dustin; (San Carlos, CA)</t>
  </si>
  <si>
    <t>A61P 31/00 20180101;  A61K 31/706 20130101;  A61K 31/00 20130101;  A61K 31/6615 20130101;  A61K 31/675 20130101;  A61P 43/00 20180101;  A61K 31/665 20130101;  C07F 9/2429 20130101;  A61K 31/7056 20130101;  A61K 31/53 20130101;  A61K 31/683 20130101;  A61K 31/685 20130101;  C07H 15/18 20130101;  C07H 1/02 20130101;  C07D 487/04 20130101;  A61K 45/06 20130101;  A61P 31/14 20180101;  C07H 11/00 20130101;  C07D 519/00 20130101;  C07H 1/00 20130101;  A61P 31/12 20180101;  C07F 9/65616 20130101;  A61K 31/53 20130101;  A61K 2300/00 20130101;  A61K 31/675 20130101;  A61K 2300/00 20130101;  A61K 31/685 20130101;  A61K 2300/00 20130101</t>
  </si>
  <si>
    <t>US20180310890</t>
  </si>
  <si>
    <t>METHODS AND SYSTEMS FOR DISEASE MONITORING AND ASSESSMENT</t>
  </si>
  <si>
    <t>15/947641</t>
  </si>
  <si>
    <t>COYOTE BIOSCIENCE CO., LTD.</t>
  </si>
  <si>
    <t>COYOTE BIOSCIENCE</t>
  </si>
  <si>
    <t>Li; Xiang; (Beijing, CN)</t>
  </si>
  <si>
    <t>A61B 5/7275 20130101;  G06F 17/30241 20130101;  G06F 17/30864 20130101;  G16H 50/80 20180101;  A61B 5/1112 20130101;  A61B 5/117 20130101;  A61B 5/7435 20130101;  A61B 5/746 20130101;  A61B 5/4842 20130101;  A61B 5/7475 20130101</t>
  </si>
  <si>
    <t>The present disclosure provides methods and systems for analyzing biological samples and information associated with a disease.</t>
  </si>
  <si>
    <t>US20180308585</t>
  </si>
  <si>
    <t>15/952957</t>
  </si>
  <si>
    <t>HOLMES; Elizabeth A.; (Palo Alto, CA); GIBBONS; Ian; (Newark, CA); YOUNG; Daniel; (Palo Alto, CA); MICHELSON; Seth G.; (San Jose, CA)</t>
  </si>
  <si>
    <t>G06F 19/00 20130101;  G16H 50/50 20180101;  G16H 50/70 20180101;  Y02A 90/24 20180101;  G16H 50/80 20180101;  Y02A 90/26 20180101;  Y02A 90/22 20180101;  G16H 50/20 20180101</t>
  </si>
  <si>
    <t>US20180303929</t>
  </si>
  <si>
    <t>HERPES SIMPLEX VIRUS VACCINE</t>
  </si>
  <si>
    <t>15/767618</t>
  </si>
  <si>
    <t>Ciaramella; Giuseppe; (Sudbury, MA); John; Shinu; (Somerville, MA); Bett; Andrew J.; (Lansdale, PA); Casimiro; Danilo R.; (Harleysville, PA)</t>
  </si>
  <si>
    <t>Y02A 50/39 20180101;  A61K 2039/55555 20130101;  A61K 39/245 20130101;  A61K 31/7115 20130101;  A61K 31/7105 20130101;  C12N 2710/16634 20130101;  A61P 31/22 20180101;  A61K 2039/53 20130101;  A61K 39/12 20130101</t>
  </si>
  <si>
    <t>The disclosure relates to herpes simplex virus (HSV) ribonucleic acid     (RNA) vaccines, as well as methods of using the vaccines and compositions     comprising the vaccines.</t>
  </si>
  <si>
    <t>US20180301228</t>
  </si>
  <si>
    <t>GEOGRAPHIC UTILIZATION OF ARTIFICIAL INTELLIGENCE IN REAL-TIME FOR DISEASE IDENTIFICATION AND ALERT NOTIFICATION</t>
  </si>
  <si>
    <t>16/010215</t>
  </si>
  <si>
    <t>Silva; Julio Cesar; (Naperville, IL); Rumoro; Dino Peter; (Winfield, IL)</t>
  </si>
  <si>
    <t>Y02A 90/22 20180101;  Y02A 90/26 20180101;  G06F 19/00 20130101;  G16H 50/70 20180101;  G16H 10/60 20180101;  G16H 50/20 20180101;  G16H 50/80 20180101;  G06Q 10/101 20130101;  G06Q 30/0205 20130101;  G06Q 50/22 20130101;  Y02A 90/24 20180101</t>
  </si>
  <si>
    <t>Systems and methods for generating a diagnosis are provided. In some aspects, a computing device receives medical information for a patient, wherein each medical information item in the medical information comprises a date, a source, and a medical state. The computing device constructs, in a memory of the computing device, a diagnosis tree for the patient, wherein the diagnosis tree comprises a patient node, the patient node having first children nodes corresponding to the dates or the sources, and the first children nodes having second children nodes corresponding to the medical states. The computing device generates a diagnosis for the patient using the constructed diagnosis tree.</t>
  </si>
  <si>
    <t>US20180298011</t>
  </si>
  <si>
    <t>PYRAZOLO[1,5-A]PYRIMIDINES FOR ANTIVIRAL TREATMENT</t>
  </si>
  <si>
    <t>15/923726</t>
  </si>
  <si>
    <t>Babaoglu; Kerim; (Lansdale, PA); Boojamra; Constantine G.; (San Francisco, CA); Eisenberg; Eugene J.; (San Carlos, CA); Hui; Hon Chung; (San Mateo, CA); Mackman; Richard L.; (Millbrae, CA); Parrish; Jay P.; (El Dorado Hills, CA); Sangi; Michael; (San Mateo, CA); Saunders; Oliver L.; (Clovis, CA); Siegel; Dustin; (Half Moon Bay, CA); Sperandio; David; (Palo Alto, CA); Yang; Hai; (San Mateo, CA)</t>
  </si>
  <si>
    <t>A61K 31/55 20130101;  C07D 487/04 20130101;  A61K 31/519 20130101;  A61P 31/16 20180101;  C07D 519/00 20130101;  A61K 31/675 20130101;  C07D 513/04 20130101;  C07F 9/65616 20130101;  A61P 11/00 20180101;  A61K 45/06 20130101;  A61P 31/14 20180101;  C07D 495/04 20130101;  A61K 31/551 20130101;  A61K 31/5377 20130101;  A61P 31/12 20180101</t>
  </si>
  <si>
    <t>The invention provides compounds of Formula I or Formula II:  ##STR00001## or a pharmaceutically acceptable salt or ester, thereof, as described     herein. The compounds and compositions thereof are useful for treating     Pneumovirinae virus infections. The compounds, compositions, and methods     provided are particularly useful for the treatment of Human respiratory     syncytial virus infections.</t>
  </si>
  <si>
    <t>US20180296702</t>
  </si>
  <si>
    <t>Weiss; Ron; (Newton, MA); Wroblewska; Liliana; (Arlington, MA); Siciliano; Velia; (Cambridge, MA); Kitada; Tasuku; (Ghent, BE); Hottelet Foley; Maria; (Cambridge, MA); Bodner; Katie; (Boca Raton, FL); Saito; Hirohide; (Kyoto-shi, JP); Endo; Kei; (Chibo, JP); Irvine; Darrell J.; (Arlington, MA); Wagner; Tyler; (Bel Air, MD); Becraft; Jacob; (Boston, MA)</t>
  </si>
  <si>
    <t>A61K 48/0066 20130101;  C12N 15/85 20130101;  C12N 2840/102 20130101;  C12N 15/63 20130101;  C12N 15/10 20130101</t>
  </si>
  <si>
    <t>US20180296584</t>
  </si>
  <si>
    <t>15/919750</t>
  </si>
  <si>
    <t>Perron; Michel Joseph; (Morgan Hill, CA)</t>
  </si>
  <si>
    <t>A61P 31/14 20180101;  A61P 31/12 20180101;  A61K 31/706 20130101</t>
  </si>
  <si>
    <t>Provided are methods of treating feline Coronavirus infections comprising     administering a therapeutically effective amount of a compound of     Compound 1 to Compound 9, or a pharmaceutically acceptable salt thereof</t>
  </si>
  <si>
    <t>US20180296511</t>
  </si>
  <si>
    <t>16/012036</t>
  </si>
  <si>
    <t>INFIRST HEALTHCARE LIMITED</t>
  </si>
  <si>
    <t>INFIRST HEALTHCARE</t>
  </si>
  <si>
    <t>Bannister; Robin Mark; (Essex, GB); Brew; John; (Hertfordshire, GB); Caparros-Wanderley; Wilson; (Buckinghamshire, GB); Stoloff; Gregory Alan; (London, GB); Dilly; Suzanne Jane; (Oxfordshire, GB); Szucs; Gemma; (Oxfordshire, GB); Pleguezuelos Mateo; Olga; (Bicester, GB)</t>
  </si>
  <si>
    <t>A61K 9/08 20130101;  Y02A 50/463 20180101;  A61K 9/2013 20130101;  A61K 31/192 20130101;  A61K 31/60 20130101;  A61K 47/10 20130101;  A61K 47/14 20130101;  A61K 47/34 20130101;  A61K 31/215 20130101;  A61K 31/22 20130101;  A61K 31/40 20130101;  A61K 31/216 20130101;  A61K 31/19 20130101;  A61K 31/196 20130101;  A61K 47/44 20130101</t>
  </si>
  <si>
    <t>US20180291473</t>
  </si>
  <si>
    <t>A primer combination and GeXP detection method for simultaneously     identifying eight kinds of bovine pathogens</t>
  </si>
  <si>
    <t>15/567612</t>
  </si>
  <si>
    <t>GUANGXI VETERINARY RESEARCH INSTITUTE</t>
  </si>
  <si>
    <t>XIE; Zhixun; (Nanning, CN); FAN; Qing; (Nanning, CN); XIE; Zhiqin; (Nanning, CN); DENG; Xianwen; (Nanning, CN); XIE; Liji; (Nanning, CN); HUANG; Li; (Nanning, CN); LUO; Sisi; (Nanning, CN); HUANG; Jiaoling; (Nanning, CN); ZHANG; Yanfang; (Nanning, CN); ZENG; Tingting; (Nanning, CN); WANG; Sheng; (Nanning, CN); LIU; Jiabo; (Nanning, CN); PANG; Yaoshan; (Nanning, CN)</t>
  </si>
  <si>
    <t>C12N 15/11 20130101;  C12Q 1/689 20130101;  C12Q 2600/16 20130101;  C12Q 1/701 20130101</t>
  </si>
  <si>
    <t>The present disclosure discloses a primer combination and GeXP detection     method for simultaneously identifying eight kinds of bovine pathogens.     The primer combination of the present disclosure consists of primer pair     I, primer pair II, primer pair III, primer pair IV, primer pair, primer     pair VI, primer pair VII and primer pair VIII. The present disclosure     also discloses a GeXP detection method that can simultaneously identify     bovine infectious diseases of foot-and-mouth disease virus, bluetongue     virus, vesicular stomatitis virus, bovine viral diarrhea virus, bovine     rotavirus, enterotoxigenic E. coli, infectious bovine rhinotracheitis     virus and peste des petits ruminants virus. The GeXP detection method     established can simultaneously identify the eight pathogens of bovine     infectious diseases. The method has the characteristics of high     throughput, high specificity and sensitivity, and can be used for the     bovine epidemiological monitoring and the differential diagnosis of     sudden epidemic situation, and guarantees the healthy development of     cattle industry.</t>
  </si>
  <si>
    <t>US20180289648</t>
  </si>
  <si>
    <t>16/000792</t>
  </si>
  <si>
    <t>Vidyasagar; Sadasivan; (Gainesville, FL); Gatto; Stephen J.; (Norwood, MA); Dennison; Daniel B.; (Tallahassee, FL)</t>
  </si>
  <si>
    <t>A61K 31/00 20130101;  A61K 31/405 20130101;  A61K 31/197 20130101;  A61K 31/198 20130101;  A61K 31/197 20130101;  A61K 2300/00 20130101;  A61K 31/198 20130101;  A61K 2300/00 20130101;  A61K 31/405 20130101;  A61K 2300/00 20130101</t>
  </si>
  <si>
    <t>US20180282704</t>
  </si>
  <si>
    <t>Norovirus</t>
  </si>
  <si>
    <t>CULTIVATION OF HUMAN NOROVIRUSES</t>
  </si>
  <si>
    <t>15/763695</t>
  </si>
  <si>
    <t>BAYLOR COLLEGE OF MEDICINE</t>
  </si>
  <si>
    <t>BAYLOR COLLEGE MEDICINE</t>
  </si>
  <si>
    <t>Estes; Mary K.; (Houston, TX); Graham; David; (Houston, TX); Atmar; Robert Legare; (Houston, TX); Crawford; Sue Ellen; (Conroe, TX); Ettayebi; Khalil; (Pearland, TX); Murakami; Kosuke; (Houston, TX)</t>
  </si>
  <si>
    <t>C12N 7/02 20130101;  A61K 31/575 20130101;  C12N 5/0018 20130101;  G01N 33/569 20130101;  C12N 5/0679 20130101;  C12N 2770/16051 20130101</t>
  </si>
  <si>
    <t>Embodiments of the disclosure concern systems, methods, and/or compositions for cultivation of mammalian viruses, including at least human noroviruses and sapoviruses within the Caliciviridae family of viruses. The ex vivo culture systems include intestinal enteroids in combination with bile or a functionally active fraction or component thereof. In specific embodiments, the culture system is utilized to test inactivation compounds for therapeutic or environmental efficacy and to test contaminated comestibles and/or environmental entities for determination of the presence of infectious virus. Furthermore, antiviral compositions may be tested using systems of the disclosure, including drugs, small molecule inhibitors, and biologies such as neutralizing monoclonal antibodies.</t>
  </si>
  <si>
    <t>US20180263985</t>
  </si>
  <si>
    <t>MODULATORS OF TOLL-LIKE RECEPTORS FOR THE TREATMENT OF HIV</t>
  </si>
  <si>
    <t>15/759177</t>
  </si>
  <si>
    <t>GELEZIUNAS; ROMAS; (Belmont, CA); HESSELGESSER; JOSEPH E.; (San Mateo, CA); KAUR; JASMINE; (Fremont, CA); MURRY; JEFFREY PATRICK; (Castro Valley, CA); SLOAN; DEREK DEAN; (Belmont, CA)</t>
  </si>
  <si>
    <t>A61K 31/519 20130101;  A61K 39/3955 20130101;  A61P 31/18 20180101;  A61K 45/06 20130101;  A61K 2300/00 20130101</t>
  </si>
  <si>
    <t>Provided are methods, uses, pharmaceutical regimens, pharmaceutical     compositions, and kits comprising modulators of TLR8 and pharmaceutically     acceptable salts thereof, useful in treating HIV infections.</t>
  </si>
  <si>
    <t>US20180258160</t>
  </si>
  <si>
    <t>Optimized Crosslinkers for Trapping a Target on a Substrate</t>
  </si>
  <si>
    <t>15/977432</t>
  </si>
  <si>
    <t>Lai; Samuel; (Carrboro, NC); Forest; Gregory; (Chapel Hill, NC); Henry; Christine; (Chapel Hill, NC); Wessler; Timothy; (Durham, NC); Chen; Alexander; (Glenville, NY); Schiller; Jennifer; (Chapel Hill, NC); Newby; Jay; (Carrboro, NC)</t>
  </si>
  <si>
    <t>C07K 16/1235 20130101;  C07K 16/087 20130101;  A61P 31/00 20180101;  C07K 16/1045 20130101;  A61K 38/00 20130101;  C07K 2317/41 20130101</t>
  </si>
  <si>
    <t>The presently-disclosed subject matter relates to crosslinkers, compositions, and methods for trapping a target of interest on a substrate of interest. The methods may be used to inhibit and treat pathogen infection and provide contraception. The methods may be used to trap or separate particles and other substances. The subject matter further relates to methods of identifying and preparing optimal crosslinkers and methods for manipulating targets of interest.</t>
  </si>
  <si>
    <t>US20180258097</t>
  </si>
  <si>
    <t>15/888749</t>
  </si>
  <si>
    <t>A61K 31/52 20130101;  C07C 243/28 20130101;  C07C 275/16 20130101;  C07D 405/14 20130101;  C07D 403/12 20130101;  A61K 31/55 20130101;  C07D 471/08 20130101;  A61K 31/688 20130101;  A61K 45/06 20130101;  C07D 487/10 20130101;  A61P 31/18 20180101;  A61K 31/553 20130101;  A61K 31/685 20130101;  C07D 491/04 20130101;  C07D 487/08 20130101;  C07D 401/12 20130101</t>
  </si>
  <si>
    <t>The invention provides a compound of Formula I:  ##STR00001## or a pharmaceutically acceptable salt thereof as described herein. The     invention also provides pharmaceutical compositions comprising a compound     of Formula I, processes for preparing compounds of Formula I, therapeutic     methods for treating the proliferation of the HIV virus, treating AIDS or     delaying the onset of AIDS symptoms in a mammal using compounds of     Formula I.</t>
  </si>
  <si>
    <t>US20180256106</t>
  </si>
  <si>
    <t>In-Ear Health Monitoring</t>
  </si>
  <si>
    <t>15/976518</t>
  </si>
  <si>
    <t>Rogers; Jeffrey L.; (San Carlos, CA); DeBusschere; Brian Derek; (Los Gatos, CA)</t>
  </si>
  <si>
    <t>A61B 5/6898 20130101;  A61B 5/0022 20130101;  G01J 5/0011 20130101;  G01J 2005/063 20130101;  A61B 2562/0271 20130101;  G01J 5/049 20130101;  A61B 5/6817 20130101;  G01K 7/22 20130101;  G01J 2005/067 20130101;  G06Q 50/22 20130101;  A61B 5/01 20130101;  A61B 5/7246 20130101;  A61F 7/12 20130101;  A61B 5/0008 20130101;  A61B 5/7221 20130101;  G16H 40/67 20180101;  G16H 50/80 20180101;  A61B 5/7405 20130101;  Y02A 90/10 20180101;  A61B 5/4836 20130101</t>
  </si>
  <si>
    <t>This document describes techniques for, and systems that enable, in-ear     health monitoring. The techniques described herein enable early detection     of health conditions (e.g., contagious disease) through use of an in-ear     health-monitoring and audio device. These techniques prompt a user, often     through the user's smart phone, to listen to audio content through the     device, which also takes the user's temperature. Through repetitive use,     the techniques are capable of determining a temperature differential for     the user, which aids in early detection of a contagious disease or other     malady.</t>
  </si>
  <si>
    <t>US20180251460</t>
  </si>
  <si>
    <t>COMPOUNDS FOR THE TREATMENT OF HEPATITIS B VIRUS INFECTION</t>
  </si>
  <si>
    <t>15/885390</t>
  </si>
  <si>
    <t>Aktoudianakis; Evangelos; (Redwood City, CA); Canales; Eda; (San Mateo, CA); Currie; Kevin S.; (North Bend, WA); Kato; Darryl; (San Francisco, CA); Li; Jiayao; (Foster City, CA); Link; John O.; (San Francisco, CA); Metobo; Samuel E.; (Newark, CA); Saito; Roland D.; (San Mateo, CA); Schroeder; Scott D.; (Union City, CA); Shapiro; Nathan; (Belmont, CA); Tse; Winston C.; (Redwood City, CA); Wu; Qiaoyin; (Foster City, CA)</t>
  </si>
  <si>
    <t>C07D 491/22 20130101;  A61P 31/20 20180101;  C07B 2200/05 20130101;  C07B 59/002 20130101;  C07D 471/14 20130101;  C07D 519/00 20130101;  C07D 498/14 20130101</t>
  </si>
  <si>
    <t>The present disclosure generally relates to compounds and pharmaceutical     compositions which may be used in methods of treating a hepatitis B virus     infection.</t>
  </si>
  <si>
    <t>US20180250381</t>
  </si>
  <si>
    <t>SOLUBLE NEEDLE ARRAYS FOR DELIVERY OF INFLUENZA VACCINES</t>
  </si>
  <si>
    <t>15/730833</t>
  </si>
  <si>
    <t>O'HAGAN; Derek; (Cambridge, MA); SINGH; Manmohan; (Cambridge, MA); KWON; Sung-Yun; (Cambridge, MA)</t>
  </si>
  <si>
    <t>A61M 2202/30 20130101;  A61K 2039/70 20130101;  A61K 39/12 20130101;  C12N 2760/16134 20130101;  A61K 2039/54 20130101;  A61K 9/146 20130101;  A61M 2037/0046 20130101;  A61M 37/0015 20130101;  A61M 2037/0023 20130101;  A61K 2039/5252 20130101;  G01N 2333/11 20130101;  A61K 39/145 20130101;  C12N 2760/16211 20130101;  A61B 2017/00004 20130101;  C12N 2760/16111 20130101;  A61B 17/205 20130101;  G01N 33/68 20130101;  C12N 2760/16234 20130101</t>
  </si>
  <si>
    <t>Influenza vaccines are administered using solid biodegradable     microneedles. The microneedles are fabricated from the influenza vaccine     in combination with solid excipient(s) and, after penetrating the skin,     they dissolve in situ and release the vaccine to the immune system. The     influenza vaccine is (i) a purified influenza virus surface antigen     vaccine, rather than a live vaccine or a whole-virus or split inactivated     vaccine (ii) an influenza vaccine prepared from viruses grown in cell     culture, not eggs, (iii) a monovalent influenza vaccine e.g. for     immunising against a pandemic strain, (iv) a bivalent vaccine, (v) a     tetravalent or &amp;gt;4-valent vaccine, (vi) a mercury-free vaccine, or     (vii) a gelatin-free vaccine.</t>
  </si>
  <si>
    <t>US20180247716</t>
  </si>
  <si>
    <t>15/962128</t>
  </si>
  <si>
    <t>US20180244756</t>
  </si>
  <si>
    <t>15/553466</t>
  </si>
  <si>
    <t>C07K 14/005 20130101;  C07K 14/165 20130101;  A61K 2039/55566 20130101;  G01N 33/56983 20130101;  C07K 2317/92 20130101;  C07K 2317/55 20130101;  C07K 2317/34 20130101;  C07K 2317/33 20130101;  C07K 16/10 20130101;  C12N 2770/20034 20130101;  C07K 2317/565 20130101;  A61K 2039/55505 20130101;  A61K 39/215 20130101;  G01N 2333/165 20130101;  A61K 2039/545 20130101;  C07K 2317/567 20130101;  C07K 2317/622 20130101;  C07K 2317/76 20130101;  A61K 39/12 20130101;  C07K 2317/54 20130101;  A61K 2039/57 20130101;  A61K 2039/53 20130101;  C07K 2317/56 20130101;  C07K 2317/24 20130101;  A61K 2039/55572 20130101;  C07K 2317/21 20130101;  C07K 2317/52 20130101</t>
  </si>
  <si>
    <t>US20180244684</t>
  </si>
  <si>
    <t>15/876909</t>
  </si>
  <si>
    <t>LINK; JOHN O.; (San Francisco, CA); Cottell; Jeromy J.; (Redwood City, CA); Trejo Martin; Teresa Alejandra; (Belmont, CA); Bacon; Elizabeth M.; (Burlingame, CA)</t>
  </si>
  <si>
    <t>A61K 31/352 20130101;  A61K 31/7056 20130101;  A61K 31/7072 20130101;  C07D 491/04 20130101;  A61K 31/4188 20130101;  A61K 38/21 20130101;  A61K 45/06 20130101;  A61P 1/16 20180101;  A61K 31/7068 20130101;  A61P 31/00 20180101;  A61P 31/14 20180101;  A61P 31/12 20180101;  C07D 491/052 20130101</t>
  </si>
  <si>
    <t>US20180244683</t>
  </si>
  <si>
    <t>15/725193</t>
  </si>
  <si>
    <t>Y10S 514/894 20130101;  A61K 31/7056 20130101;  C07D 491/052 20130101;  A61K 31/7072 20130101;  C07F 5/025 20130101;  A61K 31/7064 20130101;  A61K 31/4188 20130101;  A61K 31/7056 20130101;  A61K 38/06 20130101;  A61K 38/07 20130101;  C07D 405/12 20130101;  A61P 1/16 20180101;  A61K 38/21 20130101;  A61K 31/7072 20130101;  A61K 47/60 20170801;  A61P 31/12 20180101;  A61K 2300/00 20130101;  A61K 45/06 20130101;  A61P 43/00 20180101;  A61P 31/14 20180101;  A61K 31/7064 20130101;  A61K 2300/00 20130101;  A61K 31/4188 20130101;  A61K 2300/00 20130101;  A61K 2300/00 20130101</t>
  </si>
  <si>
    <t>US20180230201</t>
  </si>
  <si>
    <t>BROADLY NEUTRALIZING HUMAN ANTIBODY THAT RECOGNIZES THE RECEPTOR-BINDING POCKET OF INFLUENZA HEMAGGLUTININ</t>
  </si>
  <si>
    <t>15/628544</t>
  </si>
  <si>
    <t>Children's Hospital Boston; Duke University</t>
  </si>
  <si>
    <t>CHILDREN'S HOSPITAL BOSTON; DUKE UNIVERSITY</t>
  </si>
  <si>
    <t>Whittle; James; (Chevy Chase, MD); Harrison; Stephen C.; (Brighton, MA); Haynes; Barton F.; (Durham, NC); Liao; Hua-Xin; (Durham, NC); Moody; Michael Anthony; (Durham, NC); Kepler; Thomas B.; (Boston, MA); Schmidt; Aaron G.; (Boston, MA)</t>
  </si>
  <si>
    <t>C07K 16/1018 20130101;  C07K 2299/00 20130101;  C07K 2317/33 20130101;  C07K 2317/55 20130101;  A61K 47/6841 20170801;  C07K 2317/76 20130101;  A61K 31/713 20130101;  A61K 38/02 20130101;  A61K 51/1006 20130101;  C07K 2317/565 20130101</t>
  </si>
  <si>
    <t>The invention features a novel influenza antibody that specifically binds to influenza hemagglutinin and reduces or inhibits hemagglutinin binding to sialic acid. The invention also provides methods, compositions, and kits featuring the novel antibody and its use in preventing or treating influenza infection.</t>
  </si>
  <si>
    <t>US20180228888</t>
  </si>
  <si>
    <t>LIVE RECOMBINANT MEASLES-M2 VIRUS - ITS USE IN ELICITING IMMUNITY AGAINST INFLUENZA VIRUSES</t>
  </si>
  <si>
    <t>15/580764</t>
  </si>
  <si>
    <t>ESCRIOU; Nicolas Robert Xavier; (Paris, FR); TANGY; Frederic; (Les Lilas, FR); VO; Ho Hong Hai; (Ivry Sur Seine, FR)</t>
  </si>
  <si>
    <t>A61K 39/12 20130101;  C12N 2760/16122 20130101;  A61K 2039/5258 20130101;  A61K 2039/5256 20130101;  A61K 39/145 20130101;  C12N 2760/18434 20130101;  A61K 2039/55 20130101;  C12N 2760/18441 20130101;  C12N 2760/16134 20130101;  C12N 2760/16123 20130101;  A61K 2039/70 20130101</t>
  </si>
  <si>
    <t>The invention relates to an active ingredient which is a live attenuated recombinant measles virus expressing influenza A virus antigen(s) and to its use in the elicitation of immunity, in particular protective immunity and advantageously broad-spectrum protective immunity against influenza A virus. In particular, the influenza A virus is selected among epidemic seasonal viruses and/or endemic viruses circulating in the human population and advantageously encompasses a pandemic virus such as H1N1v.</t>
  </si>
  <si>
    <t>US20180225421</t>
  </si>
  <si>
    <t>PERSONALIZED HEALTH TRACKER AND METHOD FOR DESTINATION SELECTION BASED ON TRACKED PERSONALIZED HEALTH INFORMATION</t>
  </si>
  <si>
    <t>15/427871</t>
  </si>
  <si>
    <t>BALASUBRAMANIAN; SWAMINATHAN; (TROY, MI); LAWLESS, III; THOMAS G.; (WALLKILL, NY); MALINOWSKI; JASON R.; (BRENTWOOD, TN); VASUDEVAN; CHERANELLORE; (BASTROP, TX)</t>
  </si>
  <si>
    <t>G16H 50/30 20180101;  G06F 19/3481 20130101;  G16H 10/60 20180101;  G01C 21/362 20130101;  G01C 21/3484 20130101;  G06Q 50/01 20130101</t>
  </si>
  <si>
    <t>A method for providing destination guidance based on health risk information, includes receiving a destination request and searching, based on the request, to get a set of destination candidates. Susceptibility of the first user is identified based on retrieved health condition information of the first user. A second user from the plurality of second users that carries a communicable ailment is identified. Rules are applied to determine whether the communicable ailment represents a health risk to the susceptibility of the first user. When it is determined that the communicable ailment represents a health risk to the susceptibility of the first user, the set of destination candidates is filtered to remove candidates that would bring the first user into proximity with the second user that carries the communicable ailment.</t>
  </si>
  <si>
    <t>US20180208659</t>
  </si>
  <si>
    <t>ANTI-PD-L1 ANTIBODIES AND USES THEREOF</t>
  </si>
  <si>
    <t>15/744737</t>
  </si>
  <si>
    <t>I-MAB BIOPHARMA US LIMITED</t>
  </si>
  <si>
    <t>I-MAB BIOPHARMA</t>
  </si>
  <si>
    <t>Fang; Lei; (Shanghai, CN); Wang; Zhengyi; (Shanghai, CN); Guo; Bingshi; (Shanghai, CN); Zang; Jingwu; (Shanghai, CN)</t>
  </si>
  <si>
    <t>C07K 16/2827 20130101;  A61P 31/04 20180101;  A61P 31/14 20180101;  A61P 31/16 20180101;  A61P 31/18 20180101;  A61P 31/20 20180101;  A61P 31/22 20180101;  A61P 31/08 20180101;  A61P 31/06 20180101;  A61P 35/02 20180101;  A61P 35/00 20180101;  A61K 35/17 20130101;  C07K 2317/565 20130101;  C07K 2317/52 20130101;  C07K 2317/24 20130101;  A61K 2039/5158 20130101;  C07K 2317/92 20130101;  C07K 2317/21 20130101;  C07K 2317/33 20130101;  C07K 2317/76 20130101;  A61K 2039/575 20130101;  C07K 2317/32 20130101;  A61K 2039/505 20130101</t>
  </si>
  <si>
    <t>Provided are anti-PD-L1 antibodies or fragments thereof. The antibodies or fragments thereof specifically bind to the immunoglobulin C domain of the PD-L1 protein. In various example, the antibodies or fragments thereof include a VH CDR1 of SEQ ID NO: 1, a VH CDR2 of SEQ ID NO: 2, a VH CDR3 of SEQ ID NO: 3, a VL CDR1 of SEQ ID NO: 4, a VL CDR2 of SEQ ID NO: 5, and a VL CDR3 of SEQ ID NO: 6, or variants of each thereof. Methods of using the antibodies or fragments thereof for treating and diagnosing diseases such as cancer and infectious diseases are also provided.</t>
  </si>
  <si>
    <t>US20180207260</t>
  </si>
  <si>
    <t>PORCINE EPIDEMIC DIARRHEA VIRUS VACCINE</t>
  </si>
  <si>
    <t>15/920565</t>
  </si>
  <si>
    <t>HERNANDEZ; Luis Alejandro; (Story City, IA); IYER; Arun V.; (Ames, IA); JORDAN; Dianna M. Murphy; (Ames, IA); PATTERSON; Abby Rae; (Story City, IA); ROOF; Michael B.; (Ames, IA); VAUGHN; Eric Martin; (Ames, IA); VICTORIA; Joseph Gilbert; (Ames, IA)</t>
  </si>
  <si>
    <t>C12N 2710/14143 20130101;  C07K 14/005 20130101;  C12N 2770/20063 20130101;  C12N 2770/20034 20130101;  C12N 7/00 20130101;  A61K 2039/552 20130101;  C07K 16/10 20130101;  A61K 45/06 20130101;  A61K 39/215 20130101;  C12N 2770/20022 20130101;  C12N 2770/20021 20130101;  C12N 2710/14043 20130101;  C07K 2317/76 20130101;  A61K 2039/5252 20130101</t>
  </si>
  <si>
    <t>The present invention relates to a vaccine for protecting a pig against diseases associated with porcine epidemic diarrhea virus. The vaccine commonly includes inactivated/killed PEDV (e.g., chemically inactivated PED virus), and/or recombinant PEDV antigen and an adjuvant. Methods for protecting pigs against diseases associated with PEDV and methods of producing the porcine epidemic diarrhea virus vaccine are also provided.</t>
  </si>
  <si>
    <t>US20180207258</t>
  </si>
  <si>
    <t>ADJUVANTED INFLUENZA VACCINES FOR PEDIATRIC USE</t>
  </si>
  <si>
    <t>15/911362</t>
  </si>
  <si>
    <t>PODDA; Audino; (Sovicille, IT); Groth; Nicola; (Buonconvento, IT); Pellegrini; Michele; (Castelnuovo Beradenga, IT)</t>
  </si>
  <si>
    <t>A61K 39/12 20130101;  C12N 2760/16234 20130101;  A61K 2039/70 20130101;  A61K 2039/58 20130101;  A61K 2039/5252 20130101;  A61K 39/145 20130101;  C12N 2760/16134 20130101;  A61K 2039/55566 20130101;  A61K 2039/55 20130101;  A61K 2039/545 20130101;  A61K 39/39 20130101</t>
  </si>
  <si>
    <t>An influenza vaccine adjuvanted with a sub-micron oil-in-water emulsion elicits significantly higher immune responses in human pediatric populations. Compared to an existing unadjuvanted pediatric influenza vaccine, the adjuvanted vaccines provided herein can induce in children a longer persistence of high serum antibody titers and also longer seroconversion and seroprotection. The improvement in immune responses is seen for both influenza A virus and influenza B virus strains, but it is particularly marked for influenza B virus. Moreover, while the existing vaccine provides poor immunity in children after a single dose, the adjuvanted vaccine provides high seroprotection rates against the influenza A virus H3N2 subtype even after a single dose. Furthermore, the adjuvanted vaccine offers significantly better seroprotection against mismatched strains of influenza A virus.</t>
  </si>
  <si>
    <t>US20180201906</t>
  </si>
  <si>
    <t>METHOD FOR PORCINE CIRCOVIRUS PRODUCTION AND PCV2 VACCINES</t>
  </si>
  <si>
    <t>15/914420</t>
  </si>
  <si>
    <t>Lawrence; Paulraj; (Arden Hills, MN); Dumas; Frederic; (Athens, GA)</t>
  </si>
  <si>
    <t>A61K 39/12 20130101;  C12N 2750/10051 20130101;  A61K 2039/552 20130101;  C12N 2750/10034 20130101;  A61K 2039/5252 20130101;  C12N 7/00 20130101</t>
  </si>
  <si>
    <t>This invention relates to a method for rapid production of PCV2 such that an optimum yield of the virus can be obtained. This invention also relates to the vaccine useful against PCV2 which includes the PCV2 propagated using such a method.</t>
  </si>
  <si>
    <t>US20180201675</t>
  </si>
  <si>
    <t>15/816063</t>
  </si>
  <si>
    <t>Garcia-Martinez; Leon F.; (Woodinville, WA); Carvalho Jensen; Anne Elisabeth; (Wenatchee, WA); Anderson; Katie; (Kirkland, WA); Dutzar; Benjamin H.; (Seattle, WA); Ojala; Ethan W.; (Snohomish, WA); Kovacevich; Brian R.; (Snohomish, WA); Latham; John A.; (Seattle, WA); Smith; Jeffrey T.L.; (Bellevue, WA)</t>
  </si>
  <si>
    <t>C07K 2317/41 20130101;  C07K 2317/56 20130101;  C07K 2317/565 20130101;  C07K 2317/34 20130101;  C07K 2317/76 20130101;  C07K 16/248 20130101;  C07K 2317/24 20130101;  A61K 2039/505 20130101</t>
  </si>
  <si>
    <t>The present invention is directed to antibodies and fragments thereof and humanized versions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</si>
  <si>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US20180200224</t>
  </si>
  <si>
    <t>Antiviral Activity from Medicinal Mushrooms and Their Active Constituents</t>
  </si>
  <si>
    <t>15/918082</t>
  </si>
  <si>
    <t>STAMETS PAUL EDWARD</t>
  </si>
  <si>
    <t>Stamets; Paul Edward; (Shelton, WA)</t>
  </si>
  <si>
    <t>A61K 36/074 20130101;  A61K 31/37 20130101;  A61K 31/192 20130101;  A61K 36/07 20130101;  A61K 31/05 20130101;  A61K 36/06 20130101;  A61K 31/352 20130101;  A61K 31/7048 20130101;  A61K 31/12 20130101</t>
  </si>
  <si>
    <t>Compounds having unique antiviral properties found in mushroom mycelium and their analogs are extracted, concentrated, isolated or manufactured to create compositions useful in preventing the spread and proliferation of various viruses afflicting animals, particularly viruses harming humans, pigs, birds, bats and bees. Such compounds and compositions can be used individually or in combination with known medicines or natural products to improve health.</t>
  </si>
  <si>
    <t>US20180197637</t>
  </si>
  <si>
    <t>CONSUMER WELLBEING ALGORITHM</t>
  </si>
  <si>
    <t>15/740725</t>
  </si>
  <si>
    <t>DERMAL DIAGNOSTICS LTD</t>
  </si>
  <si>
    <t>DERMAL DIAGNOSTICS</t>
  </si>
  <si>
    <t>Chowdhury; Dewan Fazlul Hoque; (Leicestershire, GB)</t>
  </si>
  <si>
    <t>G16H 50/30 20180101;  A61B 5/6801 20130101;  G16H 40/63 20180101;  G16H 20/10 20180101</t>
  </si>
  <si>
    <t>The disclosure relates to a method for monitoring the health or wellbeing of a user, comprising: receiving data associated with an output parameter resulting from a physiological response of the user to an input parameter; and enabling the data to be viewed by the user only after a period of time has elapsed such that the viewable data is not indicative of a real time value of the output parameter.</t>
  </si>
  <si>
    <t>US20180194746</t>
  </si>
  <si>
    <t>Compounds For the Treatment of HIV</t>
  </si>
  <si>
    <t>15/902883</t>
  </si>
  <si>
    <t>Bondy; Steven S.; (Haiku, HI); Cannizzaro; Carina E.; (Foster City, CA); Chou; Chien-Hung; (Dublin, CA); Halcomb; Randall L.; (Foster City, CA); Hu; Yunfeng Eric; (San Mateo, CA); Link; John O.; (San Francisco, CA); Liu; Qi; (Union City, CA); Schroeder; Scott D.; (Union City, CA); Tse; Winston C.; (Redwood City, CA); Zhang; Jennifer R.; (Union City, CA)</t>
  </si>
  <si>
    <t>A61K 31/4545 20130101;  C07D 213/40 20130101;  C07D 409/14 20130101;  C07D 413/14 20130101;  A61K 31/4439 20130101;  A61K 31/444 20130101;  C07D 491/052 20130101;  A61K 31/4709 20130101;  A61K 31/4985 20130101;  A61K 31/50 20130101;  A61K 31/506 20130101;  A61K 31/5377 20130101;  C07D 495/04 20130101;  C07D 491/04 20130101;  C07D 487/04 20130101;  C07D 471/06 20130101;  C07D 471/04 20130101;  C07D 405/12 20130101;  C07D 403/14 20130101;  C07D 403/12 20130101;  C07D 401/14 20130101;  C07D 401/12 20130101;  A61K 45/06 20130101</t>
  </si>
  <si>
    <t>The invention provides compounds of formula (I): or a salt thereof as described herein. The invention also provides pharmaceutical compositions comprising a compound of formula (I), processes for preparing compounds of formula (I), intermediates useful for preparing compounds of formula I and therapeutic methods for treating a Retroviridae viral infection including an infection caused by the HIV virus. ##STR00001##</t>
  </si>
  <si>
    <t>US20180192620</t>
  </si>
  <si>
    <t>Application of Dry Hydrogen Peroxide (DHP) Gas to Methods of Poultry Production</t>
  </si>
  <si>
    <t>15/866198</t>
  </si>
  <si>
    <t>SYNEXIS LLC</t>
  </si>
  <si>
    <t>SYNEXIS</t>
  </si>
  <si>
    <t>LEE; James D.; (Kansas City, MO); STEPHENS; James Russell; (Kennesaw, GA)</t>
  </si>
  <si>
    <t>A01K 45/007 20130101;  A01K 41/06 20130101;  A01K 41/04 20130101;  A01K 41/023 20130101</t>
  </si>
  <si>
    <t>An improved poultry production method comprising providing dry hydrogen peroxide (DHP) to poultry eggs, chicks and birds, and devices for providing DHP to poultry production during laying, incubating, hatching, and growing.</t>
  </si>
  <si>
    <t>US20180192619</t>
  </si>
  <si>
    <t>15/866208</t>
  </si>
  <si>
    <t>A01K 41/04 20130101;  A01K 41/023 20130101;  A01K 41/06 20130101;  A01K 45/007 20130101</t>
  </si>
  <si>
    <t>US20180190379</t>
  </si>
  <si>
    <t>METHOD AND APPARATUS FOR SETTING IMAGING ENVIRONMENT BY USING SIGNALS TRANSMITTED BY PLURALITY OF CLIENTS</t>
  </si>
  <si>
    <t>15/903804</t>
  </si>
  <si>
    <t>DESAI; Nasir; (Suwon-si, KR); RIFU; Toshihiro; (Suwon-si, KR); LEE; Yeon-ju; (Suwon-si, KR); JUNG; Jin-mo; (Cheongju-si, KR)</t>
  </si>
  <si>
    <t>G16H 50/80 20180101;  G16H 30/20 20180101;  A61B 6/548 20130101;  A61B 6/566 20130101;  H04N 7/15 20130101;  A61B 6/03 20130101;  A61B 6/464 20130101;  A61B 6/465 20130101;  A61B 6/469 20130101;  G16H 40/63 20180101;  G16H 80/00 20180101</t>
  </si>
  <si>
    <t>A method and apparatus for setting an imaging environment of a medical apparatus based on one or more signals transmitted from a plurality of clients are provided. The method of setting an imaging environment of a medical apparatus based on one or more signals transmitted from a plurality of clients includes transmitting information regarding an imaging operation of the medical apparatus to the plurality of clients, receiving one or more response signals with respect to the information from the plurality of clients, and setting the imaging environment of the medical apparatus based on the one or more response signals.</t>
  </si>
  <si>
    <t>US20180186874</t>
  </si>
  <si>
    <t>15/700374</t>
  </si>
  <si>
    <t>C07K 2317/76 20130101;  C07K 2317/92 20130101;  C07K 2317/34 20130101;  C07K 2317/565 20130101;  C07K 2317/56 20130101;  C07K 2317/41 20130101;  C12N 9/64 20130101;  C07K 16/248 20130101;  A61K 2039/505 20130101;  C12N 15/81 20130101;  C12N 9/60 20130101;  C12P 21/02 20130101;  C07K 2317/24 20130101</t>
  </si>
  <si>
    <t>US20180186806</t>
  </si>
  <si>
    <t>15/828377</t>
  </si>
  <si>
    <t>Bacon; Elizabeth M.; (Burlingame, CA); Cottell; Jeromy J.; (Redwood City, CA); Katana; Ashley Anne; (San Mateo, CA); Kato; Darryl; (San Francisco, CA); Krygowski; Evan S.; (Washington, DC); Link; John O.; (San Francisco, CA); Taylor; James G.; (Burlingame, CA); Tran; Chinh Viet; (San Diego, CA); Trejo Martin; Teresa Alejandra; (Belmont, CA); Yang; Zheng-Yu; (Palo Alto, CA); Zipfel; Sheila; (San Mateo, CA)</t>
  </si>
  <si>
    <t>A61K 45/06 20130101;  A61K 31/7072 20130101;  A61K 47/60 20170801;  C07D 405/12 20130101;  Y10S 514/894 20130101;  C07F 5/025 20130101;  A61K 38/07 20130101;  C07D 491/052 20130101;  A61K 38/21 20130101;  A61K 31/7056 20130101;  A61K 31/4188 20130101;  A61K 31/7064 20130101;  A61K 38/06 20130101</t>
  </si>
  <si>
    <t>The disclosure is related to anti-viral compounds, compositions containing such compounds, and therapeutic methods that include the administration of such compounds, as well as to processes and intermediates useful for preparing such compounds.</t>
  </si>
  <si>
    <t>US20180185392</t>
  </si>
  <si>
    <t>Pharmaceutical Compositions and Methods</t>
  </si>
  <si>
    <t>15/825982</t>
  </si>
  <si>
    <t>Altschul; Randice Lisa; (Cliffside Park, NJ); Theise; Neil David; (New York, NY); Kesel; Andreas J.; (Munich, DE); Rapkin; Myron; (Indianapolis, IN); O'Brien; Rebecca; (Shell Knob, MO); Arment; Anthony R.; (Fairborn, OH)</t>
  </si>
  <si>
    <t>A61K 31/485 20130101;  A61K 45/06 20130101;  A61K 31/58 20130101</t>
  </si>
  <si>
    <t>This invention relates the use of cortisol blockers (e.g., glucocorticoid receptor [GR] antagonists) for the treating or preventing viral infections, treating or preventing treatment resistant prostate cancer, treating or preventing neoplasia, and treating or preventing infection related to acute or chronic injury or disease.</t>
  </si>
  <si>
    <t>US20180185345</t>
  </si>
  <si>
    <t>METHODS AND COMPOSITIONS FOR TREATING HERPESVIRUS INDUCED CONDITIONS</t>
  </si>
  <si>
    <t>15/737701</t>
  </si>
  <si>
    <t>FALLER; Douglas V.; (Weston, MA)</t>
  </si>
  <si>
    <t>A61K 31/4406 20130101;  A61K 31/4155 20130101;  A61K 31/522 20130101;  A61K 45/06 20130101;  A61P 31/22 20180101;  A61P 35/00 20180101;  A61P 37/02 20180101;  A61P 29/00 20180101;  A61K 2300/00 20130101</t>
  </si>
  <si>
    <t>Provided are methods and compositions for the prevention and/or treatment of viral conditions, virally-induced conditions and inflammatory conditions. The methods can comprise administering to a subject a viral inducing agent with an antiviral agent, and optionally an additional agent. The viral inducing agent can be a HDAC inhibitor administered orally. The HDAC inhibitor can be chidamide or 4SC-202.</t>
  </si>
  <si>
    <t>US20180181714</t>
  </si>
  <si>
    <t>Healthcare System Based on Devices and Wearables</t>
  </si>
  <si>
    <t>15/392720</t>
  </si>
  <si>
    <t>G16H 50/30 20180101;  G06F 19/3418 20130101;  G16H 10/60 20180101;  G06F 17/30477 20130101;  G06F 17/30377 20130101</t>
  </si>
  <si>
    <t>A computerized method is presented for improving medical records of an individual based on received information from a device or wearable, the method comprising: retrieving from a record-keeping database medical-related information associated with the individual; retrieving from a device associated with the individual a measurable factor; determining, based at least partly on the medical-related information, that the measurable factor poses a medical risk to the individual; and communicating instructions to the record-keeping database to store, in association with the individual, information related to the medical risk. Other methods may associate a location with a medical risk. Other methods may aggregate medical information received from devices or wearables and associate it with a location. Mapping this information with regard to locations may allow early prediction of an epidemic.</t>
  </si>
  <si>
    <t>US20180181713</t>
  </si>
  <si>
    <t>Location-Based Healthcare System</t>
  </si>
  <si>
    <t>15/391552</t>
  </si>
  <si>
    <t>G16H 50/30 20180101;  G16H 10/60 20180101;  G06F 17/3087 20130101;  G06F 19/3418 20130101</t>
  </si>
  <si>
    <t>A computerized method is presented for communicating an alert to an individual of a medical-related risk and storing in the individual's healthcare records information related to the individual's exposure to the medical-related risk. The method comprises constantly monitoring the individual's location; receiving an environmental report from a service provider containing current environmental factors, where the report is associated with an area; determining that the individual is within or proximate to the area associated with the report; retrieving medical records for the individual; determining, according to the medical records, that the environmental factors pose a medical-related risk to the individual; communicating the alert to the individual of the medical-related risk associated with the area; determining the individual was exposed to the medical-related risk; storing in the individual's healthcare records information related to the exposure. The methods may also comprise recommending orders, based on the exposure, for a medical professional to write.</t>
  </si>
  <si>
    <t>US20180179555</t>
  </si>
  <si>
    <t>TARGETED GENE DELIVERY FOR DENDRITIC CELL VACCINATION</t>
  </si>
  <si>
    <t>15/820741</t>
  </si>
  <si>
    <t>Wang; Pin; (Arcadia, CA); Yang; Lili; (Arcadia, CA); Baltimore; David; (Pasadena, CA)</t>
  </si>
  <si>
    <t>A61K 39/21 20130101;  A61K 38/2026 20130101;  C12N 2740/15043 20130101;  C12N 2810/855 20130101;  C12N 2740/13045 20130101;  A61K 38/1793 20130101;  A61K 35/76 20130101;  A61K 38/204 20130101;  A61K 38/2086 20130101;  A61K 2039/5256 20130101;  A61K 31/70 20130101;  A61K 38/177 20130101;  A61K 38/191 20130101;  A61K 38/2013 20130101;  A61K 38/2046 20130101;  C12N 2770/36122 20130101;  A61K 38/20 20130101;  C07K 14/005 20130101;  C12N 2740/15041 20130101;  C12N 2810/609 20130101;  C12N 2740/15045 20130101;  C12N 15/86 20130101;  C12N 7/00 20130101;  A61K 38/1774 20130101;  C12N 2770/36134 20130101;  A61K 38/193 20130101;  A61K 38/178 20130101</t>
  </si>
  <si>
    <t>Methods and compositions are provided for delivery of a polynucleotide encoding a gene of interest, typically an antigen, to a dendritic cell (DC). The virus envelope comprises a DC-SIGN specific targeting molecule. The methods and related compositions can be used to treat patients suffering from a wide range of conditions, including infection, such as HIV/AIDS, and various types of cancers.</t>
  </si>
  <si>
    <t>US20180179175</t>
  </si>
  <si>
    <t>15/847803</t>
  </si>
  <si>
    <t>Allan; Kevin M.; (San Francisco, CA); Fujimori; Shinji; (San Francisco, CA); Heumann; Lars V.; (Redwood City, CA); Huynh; Grace May; (San Mateo, CA); Keaton; Katie Ann; (Burlingame, CA); Levins; Christopher M.; (Redwood City, CA); Pamulapati; Ganapati Reddy; (San Ramon, CA); Roberts; Benjamin James; (San Francisco, CA); Sarma; Keshab; (Sunnyvale, CA); Teresk; Martin Gerald; (Parkville, MO); Wang; Xiang; (Foster City, CA); Wolckenhauer; Scott Alan; (Redwood City, CA)</t>
  </si>
  <si>
    <t>C07D 311/78 20130101;  C07C 49/755 20130101;  C07C 2602/10 20170501</t>
  </si>
  <si>
    <t>The present disclosure provides processes for the preparation of a compound of formula: ##STR00001## which is useful as an antiviral agent. The disclosure also provides compounds that are synthetic intermediates.</t>
  </si>
  <si>
    <t>US20180177862</t>
  </si>
  <si>
    <t>ANTIGENICALLY MATCHED INFLUENZA VACCINES</t>
  </si>
  <si>
    <t>15/739222</t>
  </si>
  <si>
    <t>SETTEMBRE; Ethan; (Cambridge, MA); DORMITZER; Philip; (Armonk, NY)</t>
  </si>
  <si>
    <t>A61K 39/145 20130101;  A61K 39/39 20130101;  C12N 7/00 20130101;  A61K 2039/70 20130101;  A61K 2039/545 20130101;  A61K 2039/55566 20130101;  A61K 2039/53 20130101;  A61K 2039/5252 20130101;  C12N 2760/16121 20130101;  C12N 2760/16122 20130101;  C12N 2760/16134 20130101</t>
  </si>
  <si>
    <t>Disclosed herein are influenza vaccine compositions, related preparations and intermediates, formulations, production methods, immunization methods, and use thereof, for achieving improved immune-protection in human subjects. More specifically, non-egg-based influenza vaccines are described, which provide improved antigenic match.</t>
  </si>
  <si>
    <t>US20180169279</t>
  </si>
  <si>
    <t>APPARATUS, METHOD AND SYSTEM FOR SELECTIVELY AFFECTING AND/OR KILLING A VIRUS</t>
  </si>
  <si>
    <t>15/579093</t>
  </si>
  <si>
    <t>RANDERS-PEHRSON; Gerhard; (Ossining, NY); BRENNER; David Jonatha; (New York, NY); BIGELOW; Alan; (Hasting-on-Hudson, NY)</t>
  </si>
  <si>
    <t>A61L 2/10 20130101;  A61L 2/0047 20130101;  A61L 2/26 20130101;  A61N 5/0624 20130101;  A61L 2202/11 20130101;  A61N 2005/0667 20130101;  A61N 2005/0654 20130101;  A61N 2005/0661 20130101;  A61N 2005/0656 20130101</t>
  </si>
  <si>
    <t>Certain exemplary embodiments of the present disclosure can provide an apparatus and method for generating at least one radiation can be provided. The exemplary apparatus and/or method can selectively kill and/or affect at least one virus. For example, a radiation source first arrangement can be provided which is configured to generate at least one radiation having one or more wavelengths provided in a range of about 200 nanometers (nm) to about 230 nm, and at least one second arrangement can be provided which is configured to prevent the at least one radiation from having any wavelength that is outside of the range can be provided or which can be substantially harmful to cells of the body.</t>
  </si>
  <si>
    <t>US20180169218</t>
  </si>
  <si>
    <t>NUCLEIC ACID COMPRISING OR CODING FOR A HISTONE STEM-LOOP AND A POLY(A) SEQUENCE OR A POLYADENYLATION SIGNAL FOR INCREASING THE EXPRESSION OF AN ENCODED PATHOGENIC ANTIGEN</t>
  </si>
  <si>
    <t>15/892330</t>
  </si>
  <si>
    <t>THESS; Andreas; (Kusterdingen, DE); SCHLAKE; Thomas; (Gundelfingen, DE); PROBST; Jochen; (Wolfschlugen, DE)</t>
  </si>
  <si>
    <t>C12N 7/00 20130101;  A61K 39/145 20130101;  C12N 2760/16134 20130101;  A61K 2039/64 20130101;  C12N 15/63 20130101;  A61K 39/12 20130101;  C12N 2830/50 20130101;  C12N 15/67 20130101;  A61K 39/00 20130101;  A61K 2039/53 20130101</t>
  </si>
  <si>
    <t>The present invention relates to a nucleic acid sequence, comprising or coding for a coding region, encoding at least one peptide or protein comprising a pathogenic antigen or a fragment, variant or derivative thereof, at least one histone stem-loop and a poly(A) sequence or a polyadenylation signal. Furthermore the present invention provides the use of the nucleic acid for increasing the expression of said encoded peptide or protein. It also discloses its use for the preparation of a pharmaceutical composition, especially a vaccine, e.g. for use in the treatment of infectious diseases. The present invention further describes a method for increasing the expression of a peptide or protein comprising a pathogenic antigen or a fragment, variant or derivative thereof, using the nucleic acid comprising or coding for a histone stem-loop and a poly(A) sequence or a polyadenylation signal.</t>
  </si>
  <si>
    <t>US20180169202</t>
  </si>
  <si>
    <t>15/890736</t>
  </si>
  <si>
    <t>A61K 39/0011 20130101;  C07K 2317/76 20130101;  C07K 16/2803 20130101;  A61K 2039/505 20130101;  A61K 39/3955 20130101;  A61K 39/0005 20130101;  C07K 16/2818 20130101;  A61K 39/39558 20130101;  A61K 2039/55516 20130101;  A61K 2039/53 20130101;  A61K 39/39 20130101</t>
  </si>
  <si>
    <t>The present invention relates to a vaccine/inhibitor combination comprising an RNA vaccine comprising at least one RNA comprising at least one open reading frame (ORF) coding for at least one antigen and a composition comprising at least one PD-1 pathway inhibitor, preferably directed against PD-1 receptor or its ligands PD-L1 and PD-L2. The present invention furthermore relates to a pharmaceutical composition and a kit of parts comprising the components of such a vaccine/inhibitor combination. Additionally the present invention relates to medical use of such a vaccine/inhibitor combination, the pharmaceutical composition and the kit of parts comprising such a vaccine/inhibitor combination, particularly for the prevention or treatment of tumor or cancer diseases or infectious diseases. Furthermore, the present invention relates to the use of an RNA vaccine in therapy in combination with a PD-1 pathway inhibitor and to the use of a PD-1 pathway inhibitor in therapy in combination with an RNA vaccine.</t>
  </si>
  <si>
    <t>US20180169201</t>
  </si>
  <si>
    <t>15/890413</t>
  </si>
  <si>
    <t>US20180165419</t>
  </si>
  <si>
    <t>BIOMETRIC DISEASE GROWTH PREDICTION</t>
  </si>
  <si>
    <t>15/372815</t>
  </si>
  <si>
    <t>KRISHNAMURTHY; RAJARAM B.; (Pleasant Valley, NY); MIKIJANIC; CHRISTINE D.; (Monroe, NY)</t>
  </si>
  <si>
    <t>G16H 50/50 20180101</t>
  </si>
  <si>
    <t>Embodiments include methods, systems and computer program products for patterning and predicting the growth of infectious diseases through analysis of portable objects. Aspects include receiving biometric data from a plurality of nodes. Aspects also include optionally receiving personalized node data. Aspects also include storing biometric data. Aspects also include determining a growth pattern from the biometric data. Aspects also include calculating a projected growth pattern for the pathogen. Aspects also include outputting the projected growth pattern to a user interface.</t>
  </si>
  <si>
    <t>US20180163277</t>
  </si>
  <si>
    <t>COMPOSITIONS AND METHODS FOR DETECTION AND DISCRIMINATION OF EMERGING INFLUENZA VIRUS SUBTYPES</t>
  </si>
  <si>
    <t>15/834555</t>
  </si>
  <si>
    <t>Shu; Bo; (Lilburn, GA); Lindstrom; Stephen; (Chamblee, GA)</t>
  </si>
  <si>
    <t>C12Q 1/701 20130101;  C12Q 1/6818 20130101;  C12Q 1/682 20130101;  C12N 2760/16111 20130101</t>
  </si>
  <si>
    <t>Compositions and methods for detecting presence of an emerging influenza virus in a sample, such as a biological sample obtained from a subject or an environmental sample, are disclosed. In some embodiments, the compositions and methods can be used to quickly identify particular subtypes of influenza virus (such as a pandemic and/or emerging influenza virus subtype). Probes and primers are provided herein that permit the rapid detection and/or discrimination of pandemic influenza virus subtype nucleic acids in a sample. Devices (such as arrays) and kits for detection and/or discrimination of influenza virus subtype nucleic acids are also provided.</t>
  </si>
  <si>
    <t>US20180163166</t>
  </si>
  <si>
    <t>15/841194</t>
  </si>
  <si>
    <t>C12M 29/10 20130101;  C12M 23/16 20130101</t>
  </si>
  <si>
    <t>Microfluidic devices and methods for perfusing a cell with perfusion fluid are provided herein, wherein the gravitational forces acting on the cell to keep the cell at or near a retainer or a retaining position exceed the hydrodynamic forces acting on the cell to move it toward an outlet. Also provided, are methods for assaying cell products within the microfluidic device.</t>
  </si>
  <si>
    <t>US20180161422</t>
  </si>
  <si>
    <t>15/892356</t>
  </si>
  <si>
    <t>US20180155410</t>
  </si>
  <si>
    <t>THERAPY FOR ENTERIC INFECTIONS</t>
  </si>
  <si>
    <t>15/828260</t>
  </si>
  <si>
    <t>BORODY THOMAS J</t>
  </si>
  <si>
    <t>BORODY THOMAS</t>
  </si>
  <si>
    <t>Borody; Thomas Julius; (Sydney, AU)</t>
  </si>
  <si>
    <t>C07K 16/1282 20130101;  A61K 2039/505 20130101;  C07K 2317/11 20130101;  A61K 35/74 20130101;  C07K 16/02 20130101</t>
  </si>
  <si>
    <t>A method and composition for treating enteric pathogen infections in animals suffering from such infections or displaying diseases or conditions consistent with such infections or for preventing or reducing the likelihood of enteric pathogen infections in animals at risk for developing such infections.</t>
  </si>
  <si>
    <t>US20180155317</t>
  </si>
  <si>
    <t>15/651856</t>
  </si>
  <si>
    <t>Baloglu; Erkan; (Stoneham, MA); Shacham; Sharon; (Newton, MA); McCauley; Dilara; (Arlington, MA); Kashyap; Trinayan; (Framingham, MA); Senapedis; William; (Millis, MA); Landesman; Yosef; (Brookline, MA); Golan; Gali; (Mesilat Zion, IL); Kalid; Ori; (Pardes Hanna, IL); Shechter; Sharon; (Andover, MA)</t>
  </si>
  <si>
    <t>C07D 401/06 20130101;  C07D 403/06 20130101;  C07D 405/06 20130101;  C07D 413/06 20130101;  C07D 417/06 20130101;  C07D 249/08 20130101</t>
  </si>
  <si>
    <t>The present invention relates to compounds of formula I: ##STR00001## and pharmaceutically acceptable salts thereof, pharmaceutical compositions comprising the compounds of formula I or their pharmaceutically acceptable salts, and methods of using said compounds, salts and compositions in the treatment of various disorders associated with CRM1 activity.</t>
  </si>
  <si>
    <t>US20180150601</t>
  </si>
  <si>
    <t>REDUCING CONTAGIOUS DISEASE SPREAD UTILIZING TRAVEL INFORMATION</t>
  </si>
  <si>
    <t>15/796246</t>
  </si>
  <si>
    <t>TURTLE B.V.</t>
  </si>
  <si>
    <t>TURTLE</t>
  </si>
  <si>
    <t>Astigarraga; Tara; (Fairport, NY); DeRobertis; Christopher V.; (Hopewell Junction, NY); Dickens; Louie A.; (Tucson, AZ); Mosqueda Mejia; Jose Roberto; (Puruandiro, MX); Winarski; Daniel J.; (Tucson, AZ)</t>
  </si>
  <si>
    <t>G16H 50/30 20180101;  G06Q 50/01 20130101;  G06F 19/324 20130101;  G06Q 50/14 20130101;  G06F 19/3431 20130101</t>
  </si>
  <si>
    <t>In an approach, one or more computer processors receive a notification of one or more incidences of a contagious disease in at least one geographic region. The approach includes one or more computer processors retrieving a plurality of information associated with the contagious disease and a plurality of information associated to one or more travelers to at least one geographic region in a timeframe associated with the one or more incidences of the contagious disease. Furthermore, the approach includes one or more computer processors determining at least one action associated with the one or more incidences of the contagious disease.</t>
  </si>
  <si>
    <t>US20180150600</t>
  </si>
  <si>
    <t>15/364693</t>
  </si>
  <si>
    <t>G16H 50/30 20180101;  G06F 19/324 20130101;  G06Q 50/01 20130101;  G06F 19/3431 20130101;  G06Q 50/14 20130101</t>
  </si>
  <si>
    <t>US20180147278</t>
  </si>
  <si>
    <t>VACCINE AGAINST PORCINE PARVOVIRUS AND PORCINE REPRODUCTIVE AND RESPIRATORY SYNDROME VIRUS AND METHODS OF PRODUCTION THEREOF</t>
  </si>
  <si>
    <t>15/801754</t>
  </si>
  <si>
    <t>KLOCKE; Sonja; (Porta Westfalica, DE); COOL; Robert Thomas; (St. Joseph, MO); EDWARDS; Curtis Robert; (Gower, MO); HADDADIN; Fuad Tawfiq; (St. Joseph, MO); HAIWICK; Gregory Brian; (Ankeny, IA); KAISER; Troy James; (Dearborn, MO); KROLL; Jeremy; (Urbandale, IA); MALBURG; Sonia Regina Cantisano; (Platte City, MO); NOGUERA SERRAT; Marta; (Hannover, DE); SCHAEFFER; Merrill Lynn; (St. Joseph, MO); STARKS; Andrea J. Headrick; (Agency, MO); STEWART; Michael Landon; (Edgewood, TX); VAUGHN; Eric Martin; (Ames, IA); ZHAO; Guosong; (St. Joseph, MO)</t>
  </si>
  <si>
    <t>A61K 39/23 20130101;  A61K 39/12 20130101;  A61P 31/20 20180101;  A61P 31/14 20180101;  A61K 2039/5254 20130101;  A61K 2039/5252 20130101</t>
  </si>
  <si>
    <t>The present invention relates to a porcine parvovirus and porcine reproductive and respiratory syndrome virus vaccine for protecting a subject, preferably swine, against diseases associated with porcine parvovirus and porcine reproductive and respiratory syndrome virus. The present invention further relates to methods of producing immunogenic compositions as well as such immunogenic compositions exhibiting reduced virucidal activity.</t>
  </si>
  <si>
    <t>US20180147276</t>
  </si>
  <si>
    <t>ATTENUATED SWINE INFLUENZA VACCINES AMD METHODS OF MAKING AND USE THEREOF</t>
  </si>
  <si>
    <t>15/828067</t>
  </si>
  <si>
    <t>Mebatsion; Teshome; (Watkinsville, GA); Kim; Taejoong; (Bogart, GA); Dorr; Paul Michael; (Columbia, MO); Liebstein-Bellia; Martin Leonardo; (Columbia, MO); Leard; Alton Timothy; (Lavonia, GA)</t>
  </si>
  <si>
    <t>A61K 39/145 20130101;  C12N 15/85 20130101;  C12N 7/00 20130101;  C12N 2760/16034 20130101;  A61K 2039/5254 20130101;  A61K 2039/552 20130101;  A61K 2039/70 20130101;  C12N 2760/16022 20130101</t>
  </si>
  <si>
    <t>This disclosure provides attenuated swine influenza strains, particularly those produced via a reverse genetics approach, compositions comprising same, and methods of production and use thereof.</t>
  </si>
  <si>
    <t>US20180144103</t>
  </si>
  <si>
    <t>METHOD AND APPARATUS FOR PREDICTING PROBABILITY OF OUTBREAK OF DISEASE</t>
  </si>
  <si>
    <t>15/403996</t>
  </si>
  <si>
    <t>THE SELVA GROUP, LLC</t>
  </si>
  <si>
    <t>SELVA</t>
  </si>
  <si>
    <t>Chae; Myung Hun; (Dongducheon-si, KR); Choi; Sang Hun; (Yongin-si, KR); Park; Seo Jin; (Seo-gu, KR); Lee; Kwan Hong; (Suwon-si, KR)</t>
  </si>
  <si>
    <t>G06F 19/3443 20130101;  G16H 50/70 20180101;  G06F 17/18 20130101;  G06F 19/36 20130101</t>
  </si>
  <si>
    <t>The present disclosure relates to a method and an apparatus for predicting an outbreak of disease. An exemplary embodiment of the present disclosure provides a disease outbreak predicting method including: receiving original data including a plurality of fields from at least one external database; generating processing data, wherein each of processing data represents one medical treatment or one health examination as one event in accordance with a predetermined criteria based on the original data; inputting the processing data into a disease outbreak predicting model; and calculating a disease outbreak probability for at least one disease using the disease outbreak predicting model. The present disclosure provides a disease outbreak predicting method and a disease outbreak predicting apparatus which represent various types of health related data as one event to input various data to a disease outbreak predicting model.</t>
  </si>
  <si>
    <t>US20180140659</t>
  </si>
  <si>
    <t>ANALOGS OF C5a AND METHODS OF USING SAME</t>
  </si>
  <si>
    <t>15/869396</t>
  </si>
  <si>
    <t>BOARD OF REGENTS OF THE UNIVERSITY OF NEBRASKA</t>
  </si>
  <si>
    <t>BOARD REGENTS UNIVERSITY NEBRASKA</t>
  </si>
  <si>
    <t>Sanderson; Sam D.; (Omaha, NE); Phillips; Joy Arlene; (San Diego, CA); Morgan; Edward Leroy; (San Diego, CA); Thoman; Marilyn Louise; (San Diego, CA); Sheen; Tamsin; (San Diego, NZ); Doran; Kelly S.; (San Diego, CA); Virts; Elizabeth Louise; (Carlsbad, CA); Kielian; Tammy; (Omaha, NE); Hanke; Mark; (Seattle, WA)</t>
  </si>
  <si>
    <t>A61K 45/06 20130101;  A61K 38/10 20130101;  A61K 38/08 20130101</t>
  </si>
  <si>
    <t>Materials and methods for treating an infection or disease, activating an immune cell at a site of infection or disease, and for directly killing microorganisms, using response-selective carboxy-terminal C5a analogs, are provided.</t>
  </si>
  <si>
    <t>US20180140625</t>
  </si>
  <si>
    <t>PRODUCTION OF STABLE NON-POLYADENYLATED RNAS</t>
  </si>
  <si>
    <t>15/664017</t>
  </si>
  <si>
    <t>Wilusz; Jeremy E.; (Philadelphia, PA); Sharp; Phillip A.; (Cambridge, MA)</t>
  </si>
  <si>
    <t>A61K 31/7088 20130101;  A61K 31/7105 20130101;  C12N 15/113 20130101;  C12N 15/67 20130101;  C12N 2310/15 20130101;  C12N 2310/3519 20130101;  C12N 2320/52 20130101;  A61K 48/00 20130101</t>
  </si>
  <si>
    <t>The invention relates in aspects to hybrid RNAs lacking a poly-A tail and nucleic acid vectors for expressing the RNA. The hybrid RNAs in some instances have a stabilizing triple helical structure. Related methods for expressing RNA in vivo and in vitro are also disclosed.</t>
  </si>
  <si>
    <t>US20180133303</t>
  </si>
  <si>
    <t>VIRUS-LIKE PARTICLES</t>
  </si>
  <si>
    <t>15/566069</t>
  </si>
  <si>
    <t>WEN; Fei; (Ann Arbor, MI); KHERA; Eshita; (Ann Arbor, MI); HILL; Brett Dallas; (Ann Arbor, MI); RIZV1; Syed; (Ann Arbor, MI)</t>
  </si>
  <si>
    <t>A61K 39/12 20130101;  C12N 15/81 20130101;  A61K 39/145 20130101;  A61K 39/21 20130101;  C12N 2760/16123 20130101;  C12N 2760/16134 20130101;  C12N 2760/14123 20130101;  C12N 2760/14134 20130101;  C12N 2740/16023 20130101;  C12N 2740/16034 20130101;  A61K 2039/5258 20130101;  A61K 2039/70 20130101</t>
  </si>
  <si>
    <t>Provided herein are membrane enveloped virus-like particles (VLPs), and methods of use and synthesis thereof. In particular, yeast-cell-derived VLPs are provided that comprise surface-displayed glycoproteins and/or multiple virally-derived proteins.</t>
  </si>
  <si>
    <t>US20180127836</t>
  </si>
  <si>
    <t>IMPROVED COMPOSITIONS AND METHODS FOR DETECTION OF VIRUSES</t>
  </si>
  <si>
    <t>15/572125</t>
  </si>
  <si>
    <t>CHAN; Fuk Woo Jasper; (Hong Kong, CN); YEUNG; Man Lung; (Hong Kong, CN); TO; Kai Wang Kelvin; (Hong Kong, CN); YUEN; Kwok Yung; (Hong Kong, CN); LAU; Johnson Yiu-Nam; (Newport Beach, CA); FOK; Manson; (Hong Kong, CN)</t>
  </si>
  <si>
    <t>C12Q 1/6888 20130101;  C12Q 1/702 20130101;  C12Q 1/6811 20130101;  C12Q 1/6809 20130101;  C12Q 1/686 20130101;  C12Q 2600/112 20130101;  C12Q 2600/156 20130101;  C12N 2770/20011 20130101;  C12Q 2600/16 20130101</t>
  </si>
  <si>
    <t>Highly conserved, short untranslated leader sequences have been identified in MERS-CoV and other human pathogenic Coronaviruses that provide the basis for highly sensitive and accurate assays for these viruses. Use of locked nucleic acids is shown to be useful in amplification reactions for these short sequences. RT-PCR using locked nucleic acids is shown to provide accurate detection of a variety of human pathogen Coronaviruses present at 10 copies per reaction or less.</t>
  </si>
  <si>
    <t>US20180127783</t>
  </si>
  <si>
    <t>CRISPR-RELATED METHODS AND COMPOSITIONS WITH GOVERNING gRNAS</t>
  </si>
  <si>
    <t>15/825616</t>
  </si>
  <si>
    <t>EDITAS MEDICINE, INC.</t>
  </si>
  <si>
    <t>EDITAS MEDICINE</t>
  </si>
  <si>
    <t>ZHANG; Feng; (Cambridge, MA); PALESTRANT; Deborah; (Newton, MA); DAVIDSON; Beverly; (Iowa City, IA); MATA-FINK; Jordi; (Somerville, MA); RODRIGUEZ; Edgardo; (Gainesville, FL); BORISY; Alexis; (Arlington, MA)</t>
  </si>
  <si>
    <t>C12N 9/22 20130101;  C12N 15/11 20130101;  C12N 2800/80 20130101;  C12N 15/902 20130101</t>
  </si>
  <si>
    <t>Disclosed herein are methods and compositions useful in targeting a payload to, or editing a target nucleic acid, where a governing gRNA molecule is used to target, optionally inactivate, a Cas9 molecule or a Cas9 molecule/gRNA complex.</t>
  </si>
  <si>
    <t>US20180127384</t>
  </si>
  <si>
    <t>HYDRAZIDE CONTAINING NUCLEAR TRANSPORT MODULATORS AND USES THEREOF</t>
  </si>
  <si>
    <t>15/629307</t>
  </si>
  <si>
    <t>Sandanayaka; Vincent P.; (Northboro, MA); Shacham; Sharon; (Newton, MA); McCauley; Dilara; (Arlington, MA); Shechter; Sharon; (Andover, MA)</t>
  </si>
  <si>
    <t>A61K 31/5377 20130101;  A61K 31/496 20130101;  A61K 31/55 20130101;  A61K 31/454 20130101;  A61K 31/498 20130101;  A61K 31/506 20130101;  A61K 31/497 20130101;  A61K 31/4439 20130101;  C07D 249/08 20130101;  C07D 409/12 20130101;  C07D 401/12 20130101;  C07D 403/12 20130101;  C07D 241/20 20130101;  A61K 31/4196 20130101</t>
  </si>
  <si>
    <t>The invention generally relates to nuclear transport modulators, e.g., CRM1 inhibitors, and more particularly to a compound represented by structural formula I: ##STR00001## or a pharmaceutically acceptable salt thereof, wherein the values and alternative values for the variables are as defined and described herein. The invention also includes the synthesis and use of a compound of structural formula I, or a pharmaceutically acceptable salt or composition thereof, e.g., in the treatment, modulation and/or prevention of physiological conditions associated with CRM1 activity.</t>
  </si>
  <si>
    <t>US20180126003</t>
  </si>
  <si>
    <t>NEW TARGETS FOR RNA THERAPEUTICS</t>
  </si>
  <si>
    <t>15/585561</t>
  </si>
  <si>
    <t>HOERR; Ingmar; (Tubingen, DE)</t>
  </si>
  <si>
    <t>A61K 48/00 20130101;  A61K 48/0075 20130101;  A61K 9/0014 20130101</t>
  </si>
  <si>
    <t>The present invention relates to a method for treating or preventing a disease, disorder or condition by administration of a polynucleotide, e.g. a modified RNA, encoding a peptide or protein related to this disease, disorder or condition. The present invention also relates to pharmaceutical compositions for use in such method.</t>
  </si>
  <si>
    <t>US20180125952</t>
  </si>
  <si>
    <t>PRIME-BOOST REGIMENS INVOLVING ADMINISTRATION OF AT LEAST ONE mRNA CONSTRUCT</t>
  </si>
  <si>
    <t>15/574146</t>
  </si>
  <si>
    <t>FOTIN-MLECZEK; Mariola; (Sindelfingen, DE); PROBST; Jochen; (Wolfschlugen, DE)</t>
  </si>
  <si>
    <t>A61K 39/00 20130101;  A61K 39/0011 20130101;  A61K 39/12 20130101;  A61K 2039/53 20130101;  A61K 2039/545 20130101;  A61K 2039/54 20130101;  A61K 2039/5256 20130101;  C12N 2710/10043 20130101;  C12N 2760/00034 20130101;  A61K 2039/55583 20130101</t>
  </si>
  <si>
    <t>The present invention relates to prime-boost regimens that involve the administration of at least one mRNA construct, such as the use of such constructs in "boost" administration subsequently to "prime" administration of certain other antigenic composition(s). Such inventive regimens may, in particular, be useful for the induction of an immune response in a subject, and/or the vaccination of such subject against infection from one or more pathogens, and/or the treatment or prevention of one or more diseases or conditions, including a tumour or cancer, allergy or autoimmune conditions, and/or a disease or condition associated with infection from a pathogen. The present invention further describes methods, uses, vaccination compositions, kits and packaged vaccine components related to or useful for one or more of such regimens.</t>
  </si>
  <si>
    <t>US20180118725</t>
  </si>
  <si>
    <t>PYRONE DERIVATIVES FOR USE AS ANTIVIRAL AGENTS</t>
  </si>
  <si>
    <t>15/565585</t>
  </si>
  <si>
    <t>HELMHOLTZ ZENTRUM MÜNCHEN-DEUTSCHES FORSCHUNGSZENTRUM FÜR GESUNDHEIT UND UMWELT (GMBH)</t>
  </si>
  <si>
    <t>HELMHOLTZ ZENTRUM MÜNCHEN-DEUTSCHES FORSCHUNGSZENTRUM FÜR GESUNDHEIT UND UMWELT</t>
  </si>
  <si>
    <t>BRACK-WERNER; Ruth; (Muenchen, DE); HELFER; Markus; (Muenchen, DE); ROSNER; Manfred; (Eppstein/Ts, DE); SCHNEIDER; Martha; (Feldkirchen-Westerham, DE); PROTZER; Ulrike; (Muenchen, DE); HERTWECK; Christian; (Leipzig, DE); WERNEBURG; Martina; (Berlin, DE)</t>
  </si>
  <si>
    <t>C07D 407/04 20130101;  A61K 31/351 20130101;  A61K 9/0053 20130101;  A61P 31/18 20180101;  A61P 31/20 20180101;  A61P 31/22 20180101;  A61P 31/16 20180101;  A61P 31/14 20180101;  A61K 45/06 20130101</t>
  </si>
  <si>
    <t>The present invention relates to compounds and compositions for use in methods of treating and/or preventing conditions, disorders or diseases that are mediated or caused by a virus. ##STR00001##</t>
  </si>
  <si>
    <t>US20180118679</t>
  </si>
  <si>
    <t>N-Methyl Pyrazoles</t>
  </si>
  <si>
    <t>15/561933</t>
  </si>
  <si>
    <t>PROSETTA ANTIVIRAL, INC.</t>
  </si>
  <si>
    <t>PROSETTA ANTIVIRAL</t>
  </si>
  <si>
    <t>Selvarajah; Suganya; (San Francisco, CA); Paulvannan; Kumar; (San Jose, CA)</t>
  </si>
  <si>
    <t>C07D 207/36 20130101;  A61P 31/16 20180101;  A61P 31/12 20180101</t>
  </si>
  <si>
    <t>This invention provides, among other things, compounds useful for treating viral infections, pharmaceutical formulations containing such compounds, as well as methods of inhibiting the replication of a virus or treating a disease.</t>
  </si>
  <si>
    <t>US20180117149</t>
  </si>
  <si>
    <t>ANTAGONISTS OF IL-6 TO PREVENT OR TREAT CACHEXIA, WEAKNESS, FATIGUE, AND/OR FEVER</t>
  </si>
  <si>
    <t>15/797209</t>
  </si>
  <si>
    <t>SMITH; Jeffrey T.L.; (Dublin, GB); Latham; John A.; (Seattle, WA); Litton; Mark; (Seattle, WA); Schatzman; Randall; (Redmond, WA)</t>
  </si>
  <si>
    <t>A61K 31/454 20130101;  C07K 2317/92 20130101;  A61K 39/3955 20130101;  C07K 2317/94 20130101;  A61K 38/208 20130101;  A61K 38/2013 20130101;  A61K 45/06 20130101;  C07K 16/248 20130101;  C07K 16/462 20130101;  A61K 2039/505 20130101;  A61K 2039/545 20130101;  C07K 2317/24 20130101;  C07K 2317/33 20130101;  C07K 2317/34 20130101;  C07K 2317/41 20130101;  C07K 2317/565 20130101;  C07K 2317/76 20130101;  C07K 2317/90 20130101</t>
  </si>
  <si>
    <t>The present invention is directed to therapeutic methods and compositions, especially subcutaneous and intravenous composition using antibodies and fragments thereof having binding specificity for IL-6 to prevent or treat cachexia, fever, weakness and/or fatigue in a patient in need thereof. In preferred embodiments, the anti-IL-6 antibodies will be humanized and/or will be aglycosylated. Also, in preferred embodiments these patients will comprise those exhibiting (or at risk of developing) an elevated serum C-reactive protein level. In another preferred embodiment, the patient's survivability or quality of life will preferably be improved.</t>
  </si>
  <si>
    <t>US20180117116</t>
  </si>
  <si>
    <t>Conformationally Specific Viral Immunogens</t>
  </si>
  <si>
    <t>15/424107</t>
  </si>
  <si>
    <t>CALDER BIOSCIENCES INC.</t>
  </si>
  <si>
    <t>CALDER BIOSCIENCES</t>
  </si>
  <si>
    <t>Marshall; Christopher Patrick; (New York, NY)</t>
  </si>
  <si>
    <t>C12N 2740/16134 20130101;  C12N 2740/16051 20130101;  C12N 7/00 20130101;  C12P 21/00 20130101;  A61K 38/162 20130101;  G01N 33/56988 20130101;  C07K 14/005 20130101;  C12N 2740/16122 20130101</t>
  </si>
  <si>
    <t>The present invention provides methods of making engineered viral proteins and protein complexes that are useful as vaccine immunogens, engineered viral proteins and protein complexes made using such methods, and pharmaceutical compositions comprising such engineered viral proteins and protein complexes. Such engineered viral proteins and protein complexes may comprise one or more cross-links that stabilize the conformation of an antibody epitope, such as a quaternary neutralizing antibody, and may exhibit an enhanced ability to elicit a protective immune response when administered to a subject as a component of a vaccine.</t>
  </si>
  <si>
    <t>US20180110851</t>
  </si>
  <si>
    <t>15/608532</t>
  </si>
  <si>
    <t>SMITH; Gale; (Rockville, MD); BRIGHT; Rick; (Washington, DC); PUSHKO; Peter M.; (Rockville, MD); ZHANG; Jinyou; (Plainsboro, NJ); MAHMOOD; Kutub; (Cupertino, CA)</t>
  </si>
  <si>
    <t>C12N 2760/16134 20130101;  C12N 2760/16123 20130101;  A61K 39/145 20130101;  A61K 39/12 20130101;  C07K 14/005 20130101;  C12N 7/00 20130101;  A61K 2039/5258 20130101;  A61K 2039/543 20130101;  A61K 2039/55505 20130101;  A61K 2039/55555 20130101;  A61K 2039/55561 20130101;  A61K 2039/58 20130101;  A61K 2039/70 20130101;  C12N 2710/14143 20130101;  C12N 2760/16022 20130101;  C12N 2760/16023 20130101;  C12N 2760/16034 20130101;  C12N 2760/16122 20130101</t>
  </si>
  <si>
    <t>The present invention discloses and claims virus like particles (VLPs) that express and/or contains seasonal influenza virus proteins, avian influenza virus proteins and/or influenza virus proteins from viruses with pandemic potential. The invention includes vector constructs comprising said proteins, cells comprising said constructs, formulations and vaccines comprising VLPs of the inventions. The invention also includes methods of making and administrating VLPs to vertebrates, including methods of inducing substantial immunity to either seasonal and avian influenza, or at least one symptom thereof.</t>
  </si>
  <si>
    <t>US20180108240</t>
  </si>
  <si>
    <t>AQUATIC EPIDEMIC ALERT METHODS AND SYSTEMS</t>
  </si>
  <si>
    <t>15/296245</t>
  </si>
  <si>
    <t>FUSCO; Francesco; (Kildare, IE); MCKENNA; Sean; (Dublin, IE); O'DONNCHA; Fearghal; (Galway, IE); RAGNOLI; Emanuele; (Dublin, IE)</t>
  </si>
  <si>
    <t>G08B 21/10 20130101</t>
  </si>
  <si>
    <t>Embodiments for providing aquatic epidemic alerts by a processor are described. Information associated with an aquatic epidemic in a body of water is received. A threat level associated with the aquatic epidemic for a location within the body of water is determined based on the information associated with the aquatic epidemic and water flow data associated with the body of water. An indication of the threat level is generated.</t>
  </si>
  <si>
    <t>US20180105812</t>
  </si>
  <si>
    <t>SHORT INTERFERING NUCLEIC ACID (siNA) COMPOSITIONS</t>
  </si>
  <si>
    <t>15/684902</t>
  </si>
  <si>
    <t>SIRNA THERAPEUTICS</t>
  </si>
  <si>
    <t>Carr; Brian Allen; (West Point, PA); Jadhav; Vasant R.; (Sharon, MA); Kenski; Denise M.; (San Francisco, CA); Tellers; David M.; (West Point, PA); Willingham; Aarron T.; (San Francisco, CA)</t>
  </si>
  <si>
    <t>C12N 2320/51 20130101;  C12N 15/111 20130101;  C12N 2310/321 20130101;  C12N 15/113 20130101;  C12N 2320/32 20130101;  C12N 2310/315 20130101;  C12N 2310/3231 20130101;  C12N 2310/351 20130101;  C12N 2310/346 20130101;  C12N 2310/344 20130101;  C12N 2310/14 20130101</t>
  </si>
  <si>
    <t>The present invention relates to compounds, compositions, and methods for the study, diagnosis, and treatment of traits, diseases and conditions that respond to the modulation of gene expression and/or activity, and/or modulate a gene expression pathway. Specifically, the invention relates to double-stranded nucleic acid molecules including small nucleic acid molecules, such as short interfering nucleic acid (siNA) molecules that are capable of mediating or that mediate RNA interference (RNAi) against target gene expression.</t>
  </si>
  <si>
    <t>US20180105810</t>
  </si>
  <si>
    <t>15/682675</t>
  </si>
  <si>
    <t>DeJohn; Marc Dominic; (Philadelphia, PA); vanWestrienen; Jesse Wilson; (Philadelphia, PA)</t>
  </si>
  <si>
    <t>B01L 2400/049 20130101;  B01L 3/0217 20130101;  B01L 2300/0681 20130101;  B01L 3/502 20130101;  C12N 15/1017 20130101;  B01L 2400/0478 20130101;  B01L 2200/0631 20130101</t>
  </si>
  <si>
    <t>A fluid sample extraction device is disclosed comprising a housing defining an internal fluid passage having a distal open end and a proximal open end and a porous medium within the fluid passage, between the distal open end and proximal open end. The porous medium, which may be glass, is configured to allow fluid flow in the fluid passage to flow around the porous medium, toward the proximal open end of the housing, when fluid is drawn from the distal open end toward the proximal open end, and to allow fluid in the fluid passage to flow toward the distal open end of the housing, through the porous medium when the fluid is forced toward the distal open end. The porous medium is also configured to capture nucleic acids in the porous medium from the fluid when fluid is forced through the porous medium. Devices and kits are also disclosed.</t>
  </si>
  <si>
    <t>US20180104327</t>
  </si>
  <si>
    <t>CELLS FOR PRODUCING INFLUENZA VIRUS AND METHOD FOR PRODUCING INFLUENZA VIRUS</t>
  </si>
  <si>
    <t>15/511988</t>
  </si>
  <si>
    <t>Japan Agency Of Industrial Science And Technology</t>
  </si>
  <si>
    <t>JAPAN AGENCY INDUSTRIAL SCIENCE AND TECH</t>
  </si>
  <si>
    <t>KAWAOKA; Yoshihiro; (Minato-ku, JP); WATANABE; Tokiko; (Suginami-ku, JP); KAWAKAMI; Eiryo; (Yokohama-shi, JP); WATANABE; Shinji; (Suginami-ku, JP)</t>
  </si>
  <si>
    <t>A61K 39/145 20130101;  C12N 5/10 20130101;  C12N 5/0686 20130101;  C12N 7/02 20130101;  C12N 15/113 20130101;  C12N 7/08 20130101;  C12N 2760/16051 20130101</t>
  </si>
  <si>
    <t>The present invention provides cells which have a high ability to propagate influenza virus, are suitable for use in production of an influenza virus for preparing a vaccine, and are able to be cultured in vitro, and a method for producing an influenza virus using the cells. That is, the present invention provides cells for producing an influenza virus in which expression of one or more genes that encode proteins involved in an effect of suppressing influenza virus production in a cell is suppressed and the gene is at least one selected from the group including ACTG1 gene and the like, and a method for producing an influenza virus that includes infecting the cells for producing an influenza virus with an influenza virus and then culturing.</t>
  </si>
  <si>
    <t>US20180100181</t>
  </si>
  <si>
    <t>METHODS FOR DETECTING AGGLUTINATION AND COMPOSITIONS FOR USE IN PRACTICING THE SAME</t>
  </si>
  <si>
    <t>15/566594</t>
  </si>
  <si>
    <t>Robinson; Peter; (Berkeley, CA); Tsai; Cheng-Ting; (Berkeley, CA); Bertozzi; Carolyn; (Stanford, CA)</t>
  </si>
  <si>
    <t>C12Q 1/6804 20130101;  G01N 33/54306 20130101;  C12Q 1/686 20130101;  C12Q 1/6806 20130101;  C12Q 2525/117 20130101;  C12Q 2531/113 20130101;  C12Q 2525/155 20130101;  C12Q 2525/197 20130101</t>
  </si>
  <si>
    <t>Methods are provided for detecting antigen binding agents in samples. Aspects of the methods include detection of the aggregation of antigen binding agents with polynucleotide-bound antigens by sensitive proximity-based association of the antigen-bound polynucleotides. Aspects of the methods also include methods for the detection of such proximity-based association through nucleic acid amplification. In addition, compositions, e.g., reagents, kits, and devices, useful in practicing various embodiments of the methods are provided.</t>
  </si>
  <si>
    <t>US20180099999</t>
  </si>
  <si>
    <t>FUSION PROTEINS, RECOMBINANT BACTERIA, AND METHODS FOR USING RECOMBINANT BACTERIA</t>
  </si>
  <si>
    <t>15/842062</t>
  </si>
  <si>
    <t>SPOGEN BIOTECH INC.</t>
  </si>
  <si>
    <t>SPOGEN BIOTECH</t>
  </si>
  <si>
    <t>Thompson; Brian; (Creve Coeur, MO); Siegel; Ashley; (St. Louis, MO)</t>
  </si>
  <si>
    <t>A23K 20/147 20160501;  A23K 10/18 20160501;  C12N 1/20 20130101;  C12N 3/00 20130101;  C12N 15/62 20130101;  C12N 15/75 20130101;  C07K 2319/01 20130101;  C07K 2319/035 20130101;  A01N 63/02 20130101;  A61K 39/00 20130101;  C02F 3/348 20130101;  C02F 2103/002 20130101;  C02F 2103/003 20130101;  C02F 2103/007 20130101;  C02F 2103/06 20130101;  C02F 2103/10 20130101;  C02F 2103/14 20130101;  C02F 2103/16 20130101;  C02F 2103/26 20130101;  C02F 2103/28 20130101;  A61L 2/18 20130101;  E21B 43/16 20130101;  C07K 14/32 20130101;  A01N 37/44 20130101;  C09K 8/62 20130101;  C07K 2319/40 20130101;  C09K 2208/24 20130101;  C12P 21/02 20130101</t>
  </si>
  <si>
    <t>Fusion proteins containing a targeting sequence, an exosporium protein, or an exosporium protein fragment that targets the fusion protein to the exosporium of a Bacillus cereus family member are provided. Recombinant Bacillus cereus family members expressing such fusion proteins are also provided. Genetically inactivated Bacillus cereus family members and recombinant Bacillus cereus family members that overexpress exosporium proteins are also provided. Seeds coated with the recombinant Bacillus cereus family members and methods for using the recombinant Bacillus cereus family members (e.g., for stimulating plant growth) are also provided. Various modifications of the recombinant Bacillus cereus family members that express the fusion proteins are further provided. Fusion proteins comprising a spore coat protein and a protein or peptide of interest, recombinant bacteria that express such fusion proteins, seeds coated with such recombinant bacteria, and methods for using such recombinant bacteria (e.g., for stimulating plant growth) are also provided.</t>
  </si>
  <si>
    <t>US20180098972</t>
  </si>
  <si>
    <t>TREATMENT OF INFECTIOUS DISEASES</t>
  </si>
  <si>
    <t>15/546390</t>
  </si>
  <si>
    <t>GOLDFELD; Anne; (Cambridge, MA); JASENOSKY; Luke; (Boston, MA); HARIDAS; Viraga; (Woburn, MA); RANJBAR; Shahin; (Boston, US)</t>
  </si>
  <si>
    <t>A61K 31/426 20130101;  A61K 45/06 20130101;  A61K 2300/00 20130101</t>
  </si>
  <si>
    <t>Disclosed herein are methods for treating or preventing a disease comprising administering a pharmaceutical composition comprising a therapeutically-effective amount of nitazoxanide to a subject having the disease, wherein the disease is causally linked to infection by one or more pathogens selected from the group consisting of members of the genus Ebolavirus, members of the genus Marburgvirus, members of the species dengue virus, human immunodeficiency viruses 1 and 2, and members of the species Mycobacterium tuberculosis.</t>
  </si>
  <si>
    <t>US20180092999</t>
  </si>
  <si>
    <t>15/715467</t>
  </si>
  <si>
    <t>GARCIA-MARTINEZ; Leon F.; (Woodinville, WA); Carvalho Jensen; Anne Elisabeth; (Mill Creek, WA); Anderson; Katie; (Kirkland, WA); Dutzar; Benjamin H.; (Seattle, WA); Latham; John A.; (Seattle, WA); Kovacevich; Brian R.; (Snohomish, WA); Smith; Jeffrey T.L.; (Dublin, GB); Litton; Mark; (Seattle, WA); Schatzman; Randall; (Redmond, WA)</t>
  </si>
  <si>
    <t>C07K 2317/76 20130101;  A61K 51/1033 20130101;  C07K 16/248 20130101;  A61K 2039/505 20130101;  C07K 2317/34 20130101;  A61K 49/0058 20130101;  C07K 2317/56 20130101;  C07K 2317/565 20130101;  C07K 2317/92 20130101;  A61K 49/0004 20130101;  G01N 33/6863 20130101;  C07K 2317/24 20130101</t>
  </si>
  <si>
    <t>The present invention is directed to therapeutic methods using IL-6 antagonists such as an Ab1 antibody or antibody fragment having binding specificity for IL-6 to prevent or treat disease or to improve survivability or quality of life of a patient in need thereof. In preferred embodiments these patients will comprise those exhibiting (or at risk of developing) an elevated serum C-reactive protein level, reduced serum albumin level, elevated D-dimer or other coagulation cascade related protein(s), cachexia, fever, weakness and/or fatigue prior to treatment. The subject therapies also may include the administration of other actives such as chemotherapeutics, anti-coagulants, statins, and others. Additional preferred embodiments of the subject invention relate to therapeutic compositions and methods treating or preventing rheumatoid arthritis, especially subcutaneous and intravenous formulations and dosage regimens using IL-6 antagonists according to the invention, as well as methods for preventing or treating GVHD or leukemia relapse in subjects receiving transplanted cells, tissue or organs, use thereof in the treatment or prevention of mucositis, and use thereof to potentiate the cytotoxic, apoptotic, and anti-metastatic or anti-invasive effects of chemotherapeutics and radiation on cancers, especially cancers that have developed a resistance to radiation or chemotherapy, such as an EGFR inhibitor.</t>
  </si>
  <si>
    <t>US20180086784</t>
  </si>
  <si>
    <t>Phosphonate analogs of HIV inhibitor compounds</t>
  </si>
  <si>
    <t>15/643168</t>
  </si>
  <si>
    <t>C07H 19/16 20130101</t>
  </si>
  <si>
    <t>The invention is related to phosphorus substituted anti-viral inhibitory compounds, compositions containing such compounds, and therapeutic methods that include the administration of such compounds, as well as to processes and intermediates useful for preparing such compounds.</t>
  </si>
  <si>
    <t>US20180085451</t>
  </si>
  <si>
    <t>Vaccines with CD40 Ligand as an adjuvant</t>
  </si>
  <si>
    <t>15/559432</t>
  </si>
  <si>
    <t>The Trustees of the University of Pennsylvania; INOVIO PHARMACEUTICALS. INC.</t>
  </si>
  <si>
    <t>THE TRUSTEES UNIVERSITY PENNSYLVANIA; INOVIO PHARMACEUTIC</t>
  </si>
  <si>
    <t>Weiner; David; (Merion, PA); Morrow; Matthew; (Bala Cynwyd, PA); Wise; Megan; (Raleigh, NC)</t>
  </si>
  <si>
    <t>A61K 39/39 20130101;  C07K 14/70578 20130101;  A61K 39/145 20130101;  A61K 39/21 20130101;  A61K 2039/55516 20130101;  A61K 2039/53 20130101;  C12N 2710/20034 20130101;  C12N 2740/16134 20130101;  C12N 2760/16134 20130101</t>
  </si>
  <si>
    <t>Disclosed herein is a vaccine comprising an antigen and CD40L. Also disclosed herein are methods for increasing an immune response in a subject. The methods may comprise administering the vaccine to the subject in need thereof.</t>
  </si>
  <si>
    <t>US20180085387</t>
  </si>
  <si>
    <t>THERAPEUTIC COMPOSITIONS FOR TREATMENT OF HUMAN IMMUNODEFICIENCY VIRUS</t>
  </si>
  <si>
    <t>15/716249</t>
  </si>
  <si>
    <t>Bischofberger; Norbert W.; (Hillsborough, CA); Cheng; Andrew; (San Francisco, CA); Lee; William A.; (Foster City, CA); Sperger; Diana; (Belmont, CA); Tijerina; Monica; (Foster City, CA)</t>
  </si>
  <si>
    <t>A61K 31/7076 20130101;  A61K 31/426 20130101;  A61K 31/42 20130101;  A61K 31/4995 20130101;  A61K 31/4375 20130101;  A61K 31/27 20130101;  A61K 31/664 20130101;  A61K 31/18 20130101</t>
  </si>
  <si>
    <t>Pharmaceutical formulations suitable for treating viral infections such as HIV are provided, in particular solid oral dosage forms including the compounds of Formula I, Formula II, Formula III, Formula IV, or pharmaceutically acceptable salts or solvates thereof, and one or more excipients.</t>
  </si>
  <si>
    <t>US20180085336</t>
  </si>
  <si>
    <t>Method for Treating a Glycoprotein-Related Disease</t>
  </si>
  <si>
    <t>15/732554</t>
  </si>
  <si>
    <t>Lu, Ming-Chang</t>
  </si>
  <si>
    <t>LU MING</t>
  </si>
  <si>
    <t>Lu; Ming-Chang; (New Taipei city, TW)</t>
  </si>
  <si>
    <t>A61K 31/285 20130101;  A61K 31/185 20130101</t>
  </si>
  <si>
    <t>A method for treating a glycoprotein-related disease is disclosed, which comprises: administering a first effective amount of phenol red and a second effective amount of an organic arsenic compound to a subject in need thereof.</t>
  </si>
  <si>
    <t>US20180082423</t>
  </si>
  <si>
    <t>KIND OF LUNG LOBE CONTOUR EXTRACTION METHOD AIMING AT DR RADIOGRAPHY</t>
  </si>
  <si>
    <t>15/598686</t>
  </si>
  <si>
    <t>SICHUAN UNIVERSITY</t>
  </si>
  <si>
    <t>WANG; Junfeng; (Chengdu, CN); TANG; Peng; (Chengdu, CN); JI; Yulin; (Chengdu, CN); LIANG; Zongan; (Chengdu, CN); DU; Yihua; (Chengdu, CN)</t>
  </si>
  <si>
    <t>G06T 7/13 20170101;  G06T 2207/20016 20130101;  A61B 6/5211 20130101;  G16H 50/30 20180101;  G06T 7/0014 20130101;  A61B 5/7225 20130101;  G06T 2207/20081 20130101;  G06T 2207/30061 20130101;  G06T 2207/10116 20130101;  A61B 6/5217 20130101;  G06T 7/74 20170101;  A61B 6/50 20130101</t>
  </si>
  <si>
    <t>A lung lobe contour extraction method aiming at DR radiography, which     includes the steps: Obtain the representative lung lobe contour template     through offline training; initialize the extraction system of contour     lobe area in the chest DR radiography; According to dimension of DICOM     image, conduct three-layer pyramid decomposition on the images; Use Gabor     filter bank to rebuild pending images; Convert residual error of the     rebuilt image by the Gabor filter into black and white image; Use     Zhan-Suen refinement algorithm to refine the black and white image; Call     every template of the offline training and use them as the convolution     kernel operator, conduct convolution on the contour imagep; Filter the     local optimum convolution value with optimum possibility from the     convolution results and combine the evaluations; Generate the lung lobe     contour shape in accordance with the upper and lower templates of optimum     matching and its position.</t>
  </si>
  <si>
    <t>US20180079773</t>
  </si>
  <si>
    <t>15/697136</t>
  </si>
  <si>
    <t>C07F 9/4449 20130101;  C07D 473/34 20130101;  C07F 9/65616 20130101;  C07H 23/00 20130101;  C07F 9/4075 20130101;  C07H 19/02 20130101;  A61K 31/66 20130101;  C07H 19/20 20130101;  C07H 19/16 20130101;  C07H 19/173 20130101;  C07H 19/04 20130101</t>
  </si>
  <si>
    <t>US20180079772</t>
  </si>
  <si>
    <t>SALTS OF HIV INHIBITOR COMPOUNDS</t>
  </si>
  <si>
    <t>15/697075</t>
  </si>
  <si>
    <t>Graetz; Benjamin R.; (San Mateo, CA); Polniaszek; Richard P.; (Menlo Park, CA)</t>
  </si>
  <si>
    <t>A61K 31/675 20130101;  A61K 31/7076 20130101;  A61K 31/675 20130101;  A61P 31/18 20180101;  C07H 19/20 20130101;  A61K 45/06 20130101;  A61K 9/2018 20130101;  A61K 2300/00 20130101;  A61K 9/20 20130101</t>
  </si>
  <si>
    <t>The invention is related to salts of anti-viral compounds, compositions     containing such salts, and therapeutic methods that include the     administration of such salts, as well as to process and intermediates     useful for preparing such salts.</t>
  </si>
  <si>
    <t>US20180077894</t>
  </si>
  <si>
    <t>METHODS AND SYSTEMS FOR DETECTION AND TRACKING OF MASTITIS IN DAIRY CATTLE</t>
  </si>
  <si>
    <t>15/712750</t>
  </si>
  <si>
    <t>ACUMEN DETECTION, LLC,</t>
  </si>
  <si>
    <t>ACUMEN DETECTION</t>
  </si>
  <si>
    <t>Moshier; Timothy Francis; (Fulton, NY); Suliman; Huda S.; (Liverpool, NY); Doctor; Kenton Arthur; (East Syracuse, NY); Mills; Jeffrey H.; (Chittenango, NY); Nydam; Daryl V.; (Freeville, NY); Rauch; Bradley J.; (Dryden, NY); Sipka; Anja S.; (Ithaca, NY); Plochocki; Deborah L.; (Marcellus, NY); Edinger; Linsay E.; (Truxton, NY)</t>
  </si>
  <si>
    <t>G16H 10/40 20180101;  A01J 5/013 20130101;  G01N 33/04 20130101;  A01K 11/004 20130101;  G16H 50/80 20180101;  A01K 11/003 20130101;  G06F 19/3493 20130101;  G06F 19/366 20130101;  A01J 5/007 20130101;  A01K 2227/101 20130101</t>
  </si>
  <si>
    <t>A method for identifying mastitis in a dairy animal, the method including     the steps of: (i) identifying a dairy animal suspected of being affected     by mastitis; (ii) collecting a sample of milk from the identified dairy     animal; (iii) analyzing the sample for the presence of one or more     mastitic bacteria; (iv) analyzing the sample for the presence of one or     more mastitic pathogens; (v) identifying, if the presence of one or more     mastitic bacteria is indicated, the mastitic bacteria in the sample; and     (vi) determining, based on the identified mastitic bacteria in the     sample, a management decision for the dairy animal.</t>
  </si>
  <si>
    <t>US20180072755</t>
  </si>
  <si>
    <t>THIENO[3,2-d]PYRIMIDINE, FURO[3,2-d]PYRIMIDINE, AND     PYRROLO[3,2-D]PYRIMIDINES  USEFUL FOR TREATING RESPIRATORY SYNCITIAL     VIRUS INFECTIONS</t>
  </si>
  <si>
    <t>15/717493</t>
  </si>
  <si>
    <t>A61P 31/12 20180101;  A61P 31/14 20180101;  A61P 11/00 20180101;  C07H 7/06 20130101;  A61P 31/16 20180101;  C07D 519/00 20130101;  C07H 11/04 20130101;  C07D 495/04 20130101</t>
  </si>
  <si>
    <t>US20180070827</t>
  </si>
  <si>
    <t>METHOD AND SYSTEM FOR MICROBIOME-DERIVED CHARACTERIZATION, DIAGNOSTICS AND     THERAPEUTICS FOR CONDITIONS ASSOCIATED WITH FUNCTIONAL FEATURES</t>
  </si>
  <si>
    <t>15/815636</t>
  </si>
  <si>
    <t>Psomagen</t>
  </si>
  <si>
    <t>PSOMAGEN</t>
  </si>
  <si>
    <t>Apte; Zachary; (San Francisco, CA); Almonacid; Daniel; (San Francisco, CA); Richman; Jessica; (San Francisco, CA)</t>
  </si>
  <si>
    <t>G16H 50/80 20180101;  G06F 19/3493 20130101;  G06F 19/24 20130101;  C12Q 2600/112 20130101;  A61B 5/4836 20130101;  G16H 50/20 20180101;  A61B 5/0022 20130101;  G06F 19/345 20130101;  G06F 19/28 20130101;  G06F 19/3418 20130101;  C12Q 1/689 20130101</t>
  </si>
  <si>
    <t>A method for at least one of characterizing, diagnosing, and treating a     condition associated with microbiome-derived functional features in at     least a subject, the method comprising: receiving an aggregate set of     biological samples from a population of subjects; generating at least one     of a microbiome composition dataset and a microbiome functional diversity     dataset for the population of subjects; generating a characterization of     the condition based upon features extracted from at least one of the     microbiome composition dataset and the microbiome functional diversity     dataset; based upon the characterization, generating a therapy model     configured to correct the condition; and at an output device associated     with the subject, promoting a therapy to the subject based upon the     characterization and the therapy model.</t>
  </si>
  <si>
    <t>US20180070826</t>
  </si>
  <si>
    <t>15/815622</t>
  </si>
  <si>
    <t>US20180070825</t>
  </si>
  <si>
    <t>15/815365</t>
  </si>
  <si>
    <t>US20180064804</t>
  </si>
  <si>
    <t>15/556446</t>
  </si>
  <si>
    <t>A61K 39/12 20130101;  C07K 14/165 20130101;  A61K 39/215 20130101;  A61K 2039/552 20130101;  A61K 2039/51 20130101;  C12N 2770/20034 20130101</t>
  </si>
  <si>
    <t>The present invention is directed to novel nucleotide and amino acid     sequences of Porcine Epidemic Diarrhea Virus ("PEDV"), including novel     genotypes thereof, all of which are useful in the preparation of vaccines     for treating and preventing diseases in swine and other animals. Vaccines     provided according to the practice of the invention are effective against     multiple swine PEDV genotypes and isolates. Diagnostic and therapeutic     polyclonal and monoclonal antibodies are also a feature of the present     invention, as are infectious clones useful in the propagation of the     virus and in the preparation of vaccines. Particularly important aspects     of the invention include polynucleotide constructs that replicate in     tissue culture and in host swine. The invention also provides for novel     full length PEDV genomes that can replicate efficiently in host animals     and tissue culture.</t>
  </si>
  <si>
    <t>US20180058939</t>
  </si>
  <si>
    <t>WIRELESS TRANSMISSION OF TEMPERATURE DATA FOR A GEOGRAPHIC AREA</t>
  </si>
  <si>
    <t>15/803218</t>
  </si>
  <si>
    <t>EXERGEN CORPORATION</t>
  </si>
  <si>
    <t>EXERGEN</t>
  </si>
  <si>
    <t>Pompei; Francesco; (Boston, MA); Lee; Janette H.; (Everett, MA); Jarboe; Jason N.; (Somerville, MA)</t>
  </si>
  <si>
    <t>G06F 17/18 20130101;  A61B 5/0008 20130101;  G01J 5/02 20130101;  G01K 13/002 20130101;  G01J 5/027 20130101;  G01J 5/0022 20130101;  G01K 1/026 20130101;  G01J 5/0025 20130101;  G01K 1/02 20130101;  G01K 1/024 20130101;  G01J 5/025 20130101</t>
  </si>
  <si>
    <t>A user obtains an individual's body temperature data and transmits the     data to a medical monitor (e.g., a medical device) for display.     Additional data includes a timestamp and location of the body temperature     data. Once the data is transmitted, a user may view the medical monitor     for a temperature reading. For example, a doctor may take a patient's     temperature and the temperature reading is displayed on a medical     monitor. The body temperature data of each patient is detected using a     preferred temperature detector, such as a temporal artery thermometer     using an arterial heat balance approach. After collecting an individual's     body temperature data, the body temperature data can be transferred to a     processor. By sending body temperature data for many individuals for a     geographic region, the processor can identify a pattern (e.g., a     pandemic) in the body temperature data.</t>
  </si>
  <si>
    <t>US20180052970</t>
  </si>
  <si>
    <t>TRACKING PATHOGEN EXPOSURE</t>
  </si>
  <si>
    <t>15/238099</t>
  </si>
  <si>
    <t>Kyndryl</t>
  </si>
  <si>
    <t>KYNDRYL</t>
  </si>
  <si>
    <t>Boss; Gregory J.; (Saginaw, MI); Finn; Peter G.; (Markham, CA); Hamilton, II; Rick A.; (Charlottesville, VA); Kozloski; James R.; (New Fairfield, CT)</t>
  </si>
  <si>
    <t>G16H 50/30 20180101;  G06F 19/3431 20130101;  G06F 21/602 20130101;  G16H 50/20 20180101;  G06F 17/30312 20130101;  G06F 19/345 20130101;  G06Q 2220/00 20130101;  G06F 21/6218 20130101</t>
  </si>
  <si>
    <t>Approaches presented herein enable identifying an individual exposed to an illness carried by another individual by securely tracking interactions between individuals and using this information during a public health emergency to alert a public health authority and/or individuals who might be at risk of exposure to an illness. Specifically, a first mobile device of a user detects a second mobile device of another individual via low-energy radio frequency communication. The first device records contact data, including an identification of the second device, a distance between the devices, and a duration that the devices are within a specified distance from one another, and then encrypts and stores this contact data. In response to a public health emergency, the first device conducts an exposure analysis of the stored set of data using distance and duration thresholds to determine if the user came into contact with an individual carrying an illness.</t>
  </si>
  <si>
    <t>US20180046778</t>
  </si>
  <si>
    <t>FEVER EPIDEMIC DETECTION SYSTEM AND METHOD THEREOF</t>
  </si>
  <si>
    <t>15/130572</t>
  </si>
  <si>
    <t>National Taiwan University Of Technology</t>
  </si>
  <si>
    <t>NATIONAL TAIWAN UNIVERSITY</t>
  </si>
  <si>
    <t>JIANG; JOE-AIR; (Taipei City, TW); WANG; CHIEN-HAO; (Taipei City, TW); CHAN; YA-AN; (Taipei City, TW); SU; LIN-KUEI; (Taipei City, TW); LIU; CHENG-YUE; (Taipei City, TW); CHEN; PO-HAN; (Taipei City, TW); CHEN; WEI-SHENG; (Taipei City, TW); TSENG; CHING-YA; (Taipei City, TW)</t>
  </si>
  <si>
    <t>A61B 5/746 20130101;  G06F 19/3493 20130101;  A61B 5/01 20130101;  G16H 50/80 20180101;  G06Q 50/22 20130101</t>
  </si>
  <si>
    <t>The fever epidemic detection system comprises a detection module, a     control module and a communication module. The detection module measures     and obtains a body-temperature measured value. The control module     comprises a first operation unit, a determination unit and an alert unit.     The first operation unit receives and calibrates the body-temperature     measured value with a calibration factor, and generates a     body-temperature calibrated value. The determination unit receives and     determines whether the body-temperature calibrated value is within a     preset normal body-temperature range and generates a determination     result. The alert unit receives the determination result. The     communication module transmits data to an external device. The alert unit     generates a first alerting message, if the determination result shows     that the body-temperature calibrated value is not within a preset normal     body-temperature range. The control module transmits the first alerting     message and the corresponding body-temperature to the external device via     the communication module.</t>
  </si>
  <si>
    <t>US20180044649</t>
  </si>
  <si>
    <t>INFLUENZA A 2009 PANDEMIC H1N1 POLYPEPTIDE FRAGMENTS COMPRISING     ENDONUCLEASE ACTIVITY AND THEIR USE</t>
  </si>
  <si>
    <t>15/672091</t>
  </si>
  <si>
    <t>EUROPEAN MOLECULAR BIOLOGY LABORATORY</t>
  </si>
  <si>
    <t>CUSACK; Stephen; (Seyssinet-Pariset, FR); KOWALINSKI; Eva; (Hirschberg, DE); ZUBIETA; Chloe; (Le Fontanil-Cornillon, FR)</t>
  </si>
  <si>
    <t>A61K 31/33 20130101;  A61K 38/00 20130101;  C07K 14/005 20130101;  C07K 2299/00 20130101;  C12N 2760/16122 20130101;  C12N 9/22 20130101;  G16B 15/00 20190201;  C07K 16/40 20130101;  C07H 19/10 20130101;  C07D 311/62 20130101;  C07D 211/96 20130101;  C07D 211/32 20130101;  C07K 2317/34 20130101</t>
  </si>
  <si>
    <t>The present invention relates to polypeptide fragments comprising an     amino-terminal fragment of the PA subunit of a viral RNA-dependent RNA     polymerase possessing endonuclease activity, wherein said PA subunit is     from Influenza A 2009 pandemic H1N1 virus or is a variant thereof. This     invention also relates to (i) crystals of the polypeptide fragments which     are suitable for structure determination of said polypeptide fragments     using X-ray crystallography and (ii) computational methods using the     structural coordinates of said polypeptide to screen for and design     compounds that modulate, preferably inhibit the endonucleolytically     active site within the polypeptide fragment. In addition, this invention     relates to methods identifying compounds that bind to the PA polypeptide     fragments possessing endonuclease activity and preferably inhibit said     endonucleolytic activity, preferably in a high throughput setting. This     invention also relates to compounds which are able to modulate,     preferably to inhibit, the endonuclease activity of the PA subunit     polypeptide fragment or variant thereof of the present invention and     pharmaceutical compositions comprising said compounds for the treatment     of disease conditions caused by viral infections with viruses of the     Orthomyxoviridae family, Bunyaviridae family and/or Arenviridae family,     preferably caused by viral infections with Influenza A 2009 pandemic H1N1     virus. Preferably, said compounds are identifiable by the methods     disclosed herein or said pharmaceutical compositions are producible by     the methods disclosed herein.</t>
  </si>
  <si>
    <t>US20180043010</t>
  </si>
  <si>
    <t>15/653226</t>
  </si>
  <si>
    <t>A61P 7/00 20180101;  A61P 25/28 20180101;  C07K 2317/94 20130101;  A61K 51/1033 20130101;  A61P 25/00 20180101;  Y02A 50/58 20180101;  A61P 19/10 20180101;  A61P 9/02 20180101;  C07K 2317/24 20130101;  A61P 17/14 20180101;  A61P 31/04 20180101;  A61P 35/02 20180101;  A61P 37/06 20180101;  A61P 43/00 20180101;  A61P 17/02 20180101;  A61P 31/12 20180101;  A61P 35/00 20180101;  A61P 1/18 20180101;  A61P 19/08 20180101;  C07K 16/462 20130101;  A61P 31/18 20180101;  C07K 2317/90 20130101;  A61P 5/14 20180101;  A61P 7/06 20180101;  A61P 21/00 20180101;  A61P 7/02 20180101;  A61P 7/04 20180101;  A61P 15/06 20180101;  A61P 17/06 20180101;  A61P 13/08 20180101;  A61P 29/00 20180101;  C07K 2317/56 20130101;  A61K 31/454 20130101;  A61P 19/02 20180101;  Y02A 50/412 20180101;  A61K 38/2013 20130101;  A61P 1/02 20180101;  A61P 1/16 20180101;  A61P 9/00 20180101;  A61P 11/00 20180101;  C07K 2317/33 20130101;  A61K 2039/545 20130101;  A61P 1/04 20180101;  A61P 3/04 20180101;  C07K 16/248 20130101;  C07K 2317/565 20130101;  A61P 37/08 20180101;  G01N 33/6863 20130101;  A61K 49/0058 20130101;  A61K 2039/505 20130101;  A61P 37/02 20180101;  A61P 19/00 20180101;  C07K 2317/76 20130101;  A61P 9/10 20180101;  C07K 2317/41 20130101;  A61K 38/208 20130101;  A61K 39/3955 20130101;  A61K 49/0004 20130101;  A61P 25/24 20180101;  C07K 2317/92 20130101;  A61P 9/04 20180101;  A61P 9/12 20180101;  A61P 33/06 20180101;  A61K 45/06 20130101;  C07K 2317/34 20130101;  A61P 3/10 20180101;  A61P 17/00 20180101;  A61P 31/16 20180101;  A61P 13/12 20180101</t>
  </si>
  <si>
    <t>US20180042946</t>
  </si>
  <si>
    <t>15/442378</t>
  </si>
  <si>
    <t>Karim, Quarraisha Abdool; Karim, Salim S. Abdool; Kharsany, Ayesha; Gilead Sciences, Inc.</t>
  </si>
  <si>
    <t>KARIM QUARRAISHA</t>
  </si>
  <si>
    <t>A61K 9/0034 20130101;  A61P 31/18 20180101;  A61K 31/675 20130101;  A61P 31/22 20180101</t>
  </si>
  <si>
    <t>US20180042905</t>
  </si>
  <si>
    <t>METHODS OF TREATING HEPATITIS B VIRUS</t>
  </si>
  <si>
    <t>15/689985</t>
  </si>
  <si>
    <t>Aguayo; Esmeralda; (Modesto, CA); Appleby; Todd; (San Francisco, CA); Birkus; Gabriel; (San Francisco, CA); Cheng; Guofeng; (Foster City, CA); Dornan; David; (Burlingame, CA); Kobayashi; Tetsuya; (Pleasanton, CA); Mello; Christopher Charles; (Sunnyvale, CA); Schmitz; Uli; (Foster City, CA); Willkom; Madeleine; (Foster City, CA); Yu; Mei; (Foster City, CA)</t>
  </si>
  <si>
    <t>A61P 43/00 20180101;  A61P 31/20 20180101;  A61K 45/06 20130101;  A61K 31/4418 20130101;  A61K 31/44 20130101</t>
  </si>
  <si>
    <t>The present invention relates to novel methods of treating Hepatitis B     Virus by administering a KDM5 inhibitor.</t>
  </si>
  <si>
    <t>US20180028522</t>
  </si>
  <si>
    <t>QUINOLINE DERIVATIVES FOR USE IN THE TREATMENT OR PREVENTION OF VIRAL     INFECTION</t>
  </si>
  <si>
    <t>15/552921</t>
  </si>
  <si>
    <t>ABIVAX</t>
  </si>
  <si>
    <t>SCHERRER; Didier; (Castelnau Le Lez, FR); GARCEL; Aude; (Le Cres, FR); CAMPOS; Noelie; (Le Cres, FR); TAZI; Jamal; (Clapiers, FR); VAUTRIN; Audrey; (Castelnau Le Lez, FR); MAHUTEAU; Florence; (Saint Remy les Chevreuses, FR); NAJMAN; Romain; (L'Hay-les-Roses, FR); FORNARELLI; Pauline; (Villebon Sur Yvette, FR)</t>
  </si>
  <si>
    <t>A61K 31/4709 20130101;  A61P 31/12 20180101;  A61K 2300/00 20130101;  A61K 31/4709 20130101;  A61P 31/18 20180101;  A61K 31/47 20130101;  A61K 31/706 20130101</t>
  </si>
  <si>
    <t>The present invention relates to a quinoline derivative of formula (I) or     anyone of its pharmaceutically acceptable salt, or anyone of its     metabolites, for use for treating or preventing a viral infection, in     particular a HIV infection or a HIV-related condition in a patient; and     then terminating said treatment when: the viral load is low or     undetectable; and/or the level of CD4+ cell count is maintained or     restored. The present invention further relates to a quinoline derivative     of formula (I) as defined in claim 1, or anyone of its pharmaceutically     acceptable salts and metabolites, for use for treating or preventing a     viral infection, in particular a HIV infection or a HIV-related condition     in a patient, for which an ineffectiveness or a decline in a prior     anti-retroviral treatment effectiveness has been stated and to a     quinoline derivative of formula (I) as defined above, or anyone of its     pharmaceutically acceptable salts and metabolites, for use for treating     or preventing a viral infection, in particular a HIV infection or a     HIV-related condition in a patient, wherein the patient is infected by a     drug-resistant viral strain, and more particularly by a drug-resistant     HIV strain.  ##STR00001##</t>
  </si>
  <si>
    <t>US20180022801</t>
  </si>
  <si>
    <t>15/668989</t>
  </si>
  <si>
    <t>C07K 2317/41 20130101;  C07K 2317/92 20130101;  C12P 21/02 20130101;  C12N 9/60 20130101;  C07K 2317/56 20130101;  C12N 15/81 20130101;  C07K 2317/34 20130101;  C07K 16/248 20130101;  A61P 35/00 20180101;  C07K 2317/565 20130101;  A61K 2039/505 20130101;  C12N 9/64 20130101;  C07K 2317/76 20130101;  C07K 2317/24 20130101</t>
  </si>
  <si>
    <t>US20180021362</t>
  </si>
  <si>
    <t>15/670283</t>
  </si>
  <si>
    <t>A61K 9/1635 20130101;  A61P 31/12 20180101;  A61K 31/7072 20130101;  A61K 9/284 20130101;  A61K 31/4188 20130101;  A61P 31/14 20180101;  A61K 31/7056 20130101;  A61K 9/2054 20130101;  A61K 9/1623 20130101;  A61P 43/00 20180101;  A61P 1/16 20180101;  A61K 31/4188 20130101;  A61K 2300/00 20130101;  A61K 31/7072 20130101;  A61K 2300/00 20130101</t>
  </si>
  <si>
    <t>US20180016280</t>
  </si>
  <si>
    <t>15/610104</t>
  </si>
  <si>
    <t>C07H 7/06 20130101;  C07F 9/6561 20130101;  C07D 487/04 20130101;  C07D 405/14 20130101;  A61P 31/16 20180101;  C07D 405/04 20130101</t>
  </si>
  <si>
    <t>US20180015161</t>
  </si>
  <si>
    <t>Checkpoint Inhibitor and Vaccine Combinations and Use of Same For     Immunotherapy</t>
  </si>
  <si>
    <t>15/546740</t>
  </si>
  <si>
    <t>WEINER, David; YAN, Jian; THE TRUSTEES OF THE UNIVERSITY OF PENNSYLVANIA; INOVIO PHARMACEUTICALS, INC.</t>
  </si>
  <si>
    <t>WEINER DAVID</t>
  </si>
  <si>
    <t>Weiner; David; (Merion, PA); Muthumani; Karuppiah; (Cherry Hill, NJ); Sardesai; Niranjan; (Blue Bell, PA)</t>
  </si>
  <si>
    <t>A61K 39/39558 20130101;  A61K 2039/505 20130101;  A61K 39/39558 20130101;  C07K 16/2803 20130101;  C12N 2710/20034 20130101;  A61K 39/12 20130101;  A61K 39/12 20130101;  A61K 2300/00 20130101;  A61K 2300/00 20130101;  A61K 2039/53 20130101;  C07K 2317/76 20130101;  A61K 2039/545 20130101;  A61K 2300/00 20130101;  C07K 16/2818 20130101;  A61K 39/0011 20130101;  Y02A 50/412 20180101;  C07K 16/2827 20130101;  A61K 2039/585 20130101;  A61K 39/395 20130101;  A61K 39/0011 20130101</t>
  </si>
  <si>
    <t>Disclosed herein is a vaccine comprising an antigen and checkpoint     inhibitor. Also disclosed herein is a method for enhancing an immune     response in a subject. The method may comprise administering the vaccine     to the subject in need thereof.</t>
  </si>
  <si>
    <t>US20180010179</t>
  </si>
  <si>
    <t>METHODS AND DEVICES FOR ANALYZING PARTICLES</t>
  </si>
  <si>
    <t>15/548292</t>
  </si>
  <si>
    <t>Hansen; Carl Lars Genghis; (Vancouver, CA); Zahn; Hans; (Munich, DE); Huft; Jens; (Marburg, DE); Van Loenhout; Marinus Theodorus Johannes; (Vancouver, CA); Leung; Kaston; (Vancouver, CA); Lin; Bill Kengli; (Richmond, CA); Klaus; Anders; (Vancouver, CA); Aparicio; Samuel Alves Jana Rodrigues; (Vancouver, CA); Shah; Sohrab Prakash; (Vancouver, CA); Steif; Adi; (Vancouver, CA)</t>
  </si>
  <si>
    <t>C12Q 1/6806 20130101;  B01L 3/502761 20130101;  C12Q 1/686 20130101;  B01L 2300/123 20130101;  C12Q 1/6806 20130101;  C12Q 1/6869 20130101;  C12Q 2565/629 20130101;  C12Q 2531/119 20130101;  C12Q 2531/113 20130101;  C12Q 2531/119 20130101;  C12Q 2563/149 20130101;  C12N 15/1093 20130101;  C12Q 2525/191 20130101;  B01L 2300/0887 20130101;  B01L 2300/14 20130101;  C12Q 1/6869 20130101;  B01L 3/505 20130101</t>
  </si>
  <si>
    <t>Methods, devices and systems for analyzing precious samples of cells,     including single cells are provided. The methods, devices, and systems in     various embodiments of the invention are used to assess genomic     heterogeneity, which has been recognized as a central feature of many     cancers and plays a critical role in disease initiation, progression, and     response to treatment. The methods devices and systems are also used to     analyze embryonic biopsies for reimplantation genetic diagnosis (PGD). In     one embodiment, the devices, systems and methods provided herein allow     for the construction of genomic and RNA-seq libraries without a     pre-amplification step.</t>
  </si>
  <si>
    <t>US20180008699</t>
  </si>
  <si>
    <t>VACCINES FOR PORCINE EPIDEMIC DIARRHEA VIRUS INFECTIONS</t>
  </si>
  <si>
    <t>15/548074</t>
  </si>
  <si>
    <t>Chang; Kyeong-Ok; (Manhattan, KS); Kim; Yunjeong; (Manhattan, KS); Hesse; Richard A.; (Valley, NE)</t>
  </si>
  <si>
    <t>A61K 39/12 20130101;  A61K 2039/5254 20130101;  A61K 39/225 20130101;  C12N 2770/18034 20130101;  A61K 2039/552 20130101</t>
  </si>
  <si>
    <t>Isolated porcine epidemic diarrhea virus (PEDV) deposited under ATCC     Accession No. PTA-121847, and attenuated strains generated by serial     passage in culture of the deposited strain. Immunogenic compositions for     reducing the incidence or severity of clinical symptoms from PEDV     infection, and methods of making and using the same.</t>
  </si>
  <si>
    <t>US20180005515</t>
  </si>
  <si>
    <t>BIO-THREAT ALERT SYSTEM</t>
  </si>
  <si>
    <t>15/703245</t>
  </si>
  <si>
    <t>FIO CORPORATION</t>
  </si>
  <si>
    <t>FIO</t>
  </si>
  <si>
    <t>Dupoteau; Francois; (Toronto, CA)</t>
  </si>
  <si>
    <t>G08B 27/005 20130101;  G16H 50/80 20180101;  G08B 31/00 20130101</t>
  </si>
  <si>
    <t>In a bio-threat alert infrastructure system and method, an analyzing     processor applies statistical algorithms to the collected quantitative     data to precisely estimate event data, including time and position data,     associated the development of a bio-threat. An encoding processor encodes     the event data into a bio-threat alert signal. A transmitting element     transmits the signal for reception by a bio-threat alert device. In the     bio-threat alert device, and an associated method, a receiving element     receives the signal. A decoding processor decodes the signal into the     event data. A presentation element presents the event data to a user of     the device.</t>
  </si>
  <si>
    <t>US20180000928</t>
  </si>
  <si>
    <t>Immunogenicity of an Optimized Synthetic Consensus DNA Vaccine for Porcine     Epidemic Diarrhea Virus</t>
  </si>
  <si>
    <t>15/545409</t>
  </si>
  <si>
    <t>Weiner; David; (Merion, PA); Reuschel; Emma L.; (Philadelphia, PA); Muthumani; Karuppiah; (Cherry Hill, NJ)</t>
  </si>
  <si>
    <t>A61K 35/12 20130101;  C12N 2770/20034 20130101;  C12N 7/00 20130101;  C07K 14/005 20130101;  A61N 1/327 20130101;  A61K 2039/54 20130101;  C12N 2770/20071 20130101;  A61K 2039/53 20130101;  A61K 2039/5256 20130101;  A61K 39/215 20130101;  A61K 2039/575 20130101</t>
  </si>
  <si>
    <t>Provided herein is a vaccine comprising a Porcine Epidemic Diarrhea Virus     (PEDV) antigen. The antigen can be a consensus antigen. Also disclosed     herein is a method of treating a porcine in need thereof, by     administering the vaccine to the porcine.</t>
  </si>
  <si>
    <t>US20180000830</t>
  </si>
  <si>
    <t>INHIBITORS OF HEMOPOIETIC CELL KINASE (P-59-HCK) AND THEIR USE IN THE     TREATMENT OF INFLUENZA INFECTION</t>
  </si>
  <si>
    <t>15/706152</t>
  </si>
  <si>
    <t>RESPIVERT LIMITED</t>
  </si>
  <si>
    <t>RESPIVERT</t>
  </si>
  <si>
    <t>Charron; Catherine Elisabeth; (London, GB); Fenton; Robert; (London, GB); Crowe; Scott; (Letchworth, GB); Ito; Kazuhiro; (London, GB); Strong; Peter; (London, GB); Rapeport; William Garth; (London, GB); Ray; Keith; (Prestwood, GB)</t>
  </si>
  <si>
    <t>A61K 31/4155 20130101;  A61K 45/06 20130101;  G01N 2333/11 20130101;  G01N 2333/91215 20130101;  G01N 2500/04 20130101;  G01N 2500/10 20130101;  G01N 33/56983 20130101;  A61K 31/496 20130101;  A61K 31/4439 20130101;  G01N 33/5023 20130101;  C12N 2310/141 20130101;  C12N 15/1137 20130101;  G01N 2333/91205 20130101;  A61K 31/5377 20130101;  A61K 31/506 20130101;  A61K 31/4155 20130101;  A61K 2300/00 20130101</t>
  </si>
  <si>
    <t>The present invention relates inter alia to the treatment or prevention     of influenza virus infection (including subtypes influenza A virus,     influenza B virus, avian strain H5N1, A/H1N1, H3N2 and/or pandemic     influenza) using compounds which inhibit the activity of p59-HCK and to a     method of screening for a candidate drug substance intended to prevent or     treat influenza virus infection in a subject, said method comprising     identifying a test substance capable of inhibiting p59-HCK activity.</t>
  </si>
  <si>
    <t>US20180000428</t>
  </si>
  <si>
    <t>Methods and Systems for Pre-Symptomatic Detection of Exposure to an Agent</t>
  </si>
  <si>
    <t>15/598520</t>
  </si>
  <si>
    <t>Swiston; Albert; (Somerville, MA); Casale; Amanda; (Acton, MA); Davis; Shakti; (Arlington, MA); Hernandez; Mark; (Cambridge, MA); Milechin; Lauren; (Acton, MA)</t>
  </si>
  <si>
    <t>G16H 50/30 20180101;  A61B 5/0488 20130101;  A61B 5/02055 20130101;  A61B 5/7267 20130101;  G06F 19/3431 20130101;  A61B 5/024 20130101;  A61B 5/021 20130101;  G06F 19/324 20130101;  A61B 5/112 20130101;  A61B 5/0476 20130101;  A61B 3/112 20130101;  A61B 5/4266 20130101;  A61B 5/082 20130101;  A61B 5/0402 20130101;  A61B 5/7282 20130101</t>
  </si>
  <si>
    <t>Systems and methods for predicting exposure to an agent. One or more features are extracted from physiological data. For each respective classifier, (i) the respective classifier is identified, wherein the respective classifier is trained using training data for a respective physiological state, (ii) the respective classifier is applied to the one or more features to obtain a classifier output that represents a likelihood of exposure, (iii) a respective first threshold is applied to the classifier output to determine a patient state classification, and (iv) the patient state classifications are aggregated across a number of time intervals to obtain an aggregate patient state classification for each classifier. The aggregate patient state classifications are combined across the plurality of classifiers to obtain a combined classification, and an indication that the patient has been exposed to the agent is provided when the combined classification exceeds a second threshold.</t>
  </si>
  <si>
    <t>US20170369502</t>
  </si>
  <si>
    <t>15/679014</t>
  </si>
  <si>
    <t>Link; John O.; (San Francisco, CA); Cottell; Jeromy J.; (Redwood City, CA); Trejo Martin; Teresa Alejandra; (Belmont, CA); Bacon; Elizabeth M.; (Burlingame, CA)</t>
  </si>
  <si>
    <t>A61K 31/7056 20130101;  A61K 31/352 20130101;  A61P 1/16 20180101;  A61P 31/14 20180101;  A61K 38/21 20130101;  A61K 45/06 20130101;  A61P 31/12 20180101;  A61K 31/7068 20130101;  A61K 31/4188 20130101;  A61P 31/00 20180101;  C07D 491/052 20130101;  C07D 491/04 20130101;  A61K 31/7072 20130101</t>
  </si>
  <si>
    <t>US20170368164</t>
  </si>
  <si>
    <t>15/537081</t>
  </si>
  <si>
    <t>Ross; Ted Milburn; (Watkinsville, GA); Alefantis; Tim; (Springbrook TWP, PA); Carter; Donald Martin; (Athens, GA); Darby; Christopher Austin; (Port Saint Lucie, FL); Kleanthous; Harold; (Chelmsford, MA)</t>
  </si>
  <si>
    <t>A61K 39/145 20130101;  A61K 2039/55505 20130101;  C12N 2760/16123 20130101;  A61K 2039/70 20130101;  A61K 39/12 20130101;  A61K 2039/55566 20130101;  C12N 2760/16134 20130101</t>
  </si>
  <si>
    <t>US20170368006</t>
  </si>
  <si>
    <t>USE OF TAURINE IN PREVENTION AND/OR TREATMENT OF DISEASES INDUCED BY     VIRUSES OF GENUS CORONAVIRUS AND/OR GENUS ROTAVIRUS</t>
  </si>
  <si>
    <t>15/543311</t>
  </si>
  <si>
    <t>GUANG ZHOU YUAN TU BIOLOGICAL AND CHEMICAL TECHNOLOGY CO., LTD</t>
  </si>
  <si>
    <t>GUANG ZHOU YUAN BIOLOGICAL AND CHEMICAL</t>
  </si>
  <si>
    <t>WANG; Yongdong; (Guangdong, CN); CAO; Jiyuan; (Guangdong, CN); ZHU; Shifa; (Guangdong, CN); CHENG; Wen; (Guangdong, CN); HUANG; Zhipeng; (Guangdong, CN)</t>
  </si>
  <si>
    <t>A61P 1/12 20180101;  A61P 31/14 20180101;  A61K 31/185 20130101</t>
  </si>
  <si>
    <t>The present invention provides use of taurine in prevention and/or     treatment of diseases induced by viruses of genus coronavirus and/or     genus rotavirus, for example, porcine epidemic diarrhea, porcine     transmissible gastroenteritis, rotavirus diarrhea and the like.</t>
  </si>
  <si>
    <t>US20170362297</t>
  </si>
  <si>
    <t>CHIMERIC ANTIGEN RECEPTORS AND METHODS OF USE THEREOF</t>
  </si>
  <si>
    <t>15/537779</t>
  </si>
  <si>
    <t>MARASCO; Wayne A.; (Wellesley, MA)</t>
  </si>
  <si>
    <t>C07K 14/70521 20130101;  C07K 14/7051 20130101;  C07K 14/70535 20130101;  C07K 14/70578 20130101;  C07K 2319/03 20130101;  C07K 19/00 20130101;  C07K 2319/02 20130101;  C07K 14/705 20130101</t>
  </si>
  <si>
    <t>The present invention provides chimeric antigen receptors, cells     expressing same and methods of using same for treatment various disorders     such as cancer.</t>
  </si>
  <si>
    <t>US20170362244</t>
  </si>
  <si>
    <t>15/639970</t>
  </si>
  <si>
    <t>A61P 31/16 20180101;  A61K 31/519 20130101;  A61K 45/06 20130101;  C07D 519/00 20130101;  C07D 495/04 20130101;  A61K 31/5377 20130101;  C07F 9/65616 20130101;  A61K 31/55 20130101;  C07D 487/04 20130101;  A61P 31/14 20180101;  A61P 31/12 20180101;  A61K 31/675 20130101;  A61K 31/551 20130101;  C07D 513/04 20130101;  A61P 11/00 20180101</t>
  </si>
  <si>
    <t>US20170360874</t>
  </si>
  <si>
    <t>COMBINATION FORMULATION OF THREE ANTIVIRAL COMPOUNDS</t>
  </si>
  <si>
    <t>15/611603</t>
  </si>
  <si>
    <t>Chal; Ben; (Millbrae, CA); Nejati; Elham; (San Mateo, CA); Pakdaman; Rowchanak; (San Carlos, CA); Stefanidis; Dimitrios; (Saratoga, CA)</t>
  </si>
  <si>
    <t>A61K 31/4985 20130101;  A61K 9/2027 20130101;  A61K 2300/00 20130101;  A61K 2300/00 20130101;  A61K 38/06 20130101;  A61K 9/1635 20130101;  A61K 2300/00 20130101;  A61K 9/146 20130101;  A61P 31/12 20180101;  A61K 31/4985 20130101;  A61K 9/1652 20130101;  A61K 31/4188 20130101;  A61K 9/2009 20130101;  A61P 43/00 20180101;  A61K 9/2013 20130101;  A61K 31/7072 20130101;  A61K 31/4188 20130101;  A61K 31/7072 20130101;  A61P 31/14 20180101;  A61K 9/1611 20130101;  A61K 9/2054 20130101;  A61K 9/1617 20130101</t>
  </si>
  <si>
    <t>Disclosed are pharmaceutical compositions comprising three antiviral     compounds. In particular, the pharmaceutical compositions comprise an     effective amount of velpatasvir, an effective amount of sofosbuvir, and     an effective amount of voxilaprevir. Also disclosed are methods of use     for the pharmaceutical composition.</t>
  </si>
  <si>
    <t>US20170360702</t>
  </si>
  <si>
    <t>15/684214</t>
  </si>
  <si>
    <t>A61K 47/14 20130101;  A61K 31/201 20130101;  A61K 31/357 20130101;  A61K 31/616 20130101;  A61K 31/4178 20130101;  A61K 31/196 20130101;  A61K 31/216 20130101;  A61K 31/167 20130101;  A61K 31/12 20130101;  A61K 31/522 20130101;  A61K 31/137 20130101;  A61K 31/366 20130101;  A61K 31/4184 20130101;  A61K 9/08 20130101;  A61K 31/192 20130101;  A61K 31/60 20130101;  A61K 9/148 20130101;  A61K 31/704 20130101;  A61K 31/25 20130101;  A61K 31/337 20130101;  A61K 31/19 20130101;  A61K 47/10 20130101</t>
  </si>
  <si>
    <t>US20170356028</t>
  </si>
  <si>
    <t>BACTERIAL EPIGENOMIC ANALYSIS</t>
  </si>
  <si>
    <t>15/521211</t>
  </si>
  <si>
    <t>Motley; Stanley; (Carlsbad, CA)</t>
  </si>
  <si>
    <t>G06F 19/18 20130101;  C12Q 1/689 20130101;  G16H 50/80 20180101;  C12Q 1/70 20130101;  G06F 19/28 20130101;  C12Q 2600/154 20130101</t>
  </si>
  <si>
    <t>Provided herein are systems and methods for determining the epigenetic     sequences and signatures of bacteria, methods of characterizing bacteria     based thereon, and methods of use thereof.</t>
  </si>
  <si>
    <t>US20170354729</t>
  </si>
  <si>
    <t>VACCINE COMPOSITIONS CONTAINING MODIFIED ZIKA VIRUS ANTIGENS</t>
  </si>
  <si>
    <t>15/460775</t>
  </si>
  <si>
    <t>LIU; Ye; (Gaithersburg, MD); TIAN; Jing-Hui; (Gaithersburg, MD); SMITH; Gale; (Gaithersburg, MD); MASSARE; Michael J.; (Gaithersburg, MD); BODDAPATI; Sarathi; (Gaithersburg, MD)</t>
  </si>
  <si>
    <t>C07K 16/1081 20130101;  Y02A 50/392 20180101;  C07K 2317/34 20130101;  A61K 2039/55577 20130101;  A61K 2039/505 20130101;  C07K 14/005 20130101;  C12N 2770/24131 20130101;  C12N 2770/24122 20130101;  C12N 2770/24134 20130101;  C07K 2317/76 20130101;  A61K 39/12 20130101;  C07K 2319/21 20130101;  C07K 2319/50 20130101;  C12N 7/00 20130101</t>
  </si>
  <si>
    <t>The present disclosure relates to vaccine compositions that comprise a     Zika virus antigen and an adjuvant. The present disclosure also provides     methods for inducing a protective immune response by administering the     disclosed vaccine compositions in a subject in needs thereof. The present     methods also comprise the binding of the Zika virus vaccine to Zika virus     cellular receptor proteins.</t>
  </si>
  <si>
    <t>US20170352119</t>
  </si>
  <si>
    <t>TRACKING PROXIMITY RELATIONSHIPS AND USES THEREOF</t>
  </si>
  <si>
    <t>15/612844</t>
  </si>
  <si>
    <t>BENTLEY SYSTEMS, INCORPORATED</t>
  </si>
  <si>
    <t>BENTLEY SYSTEMS</t>
  </si>
  <si>
    <t>Pittman; Mark Eric; (Salt Lake City, UT); Robison; Chris; (Salt Lake City, UT); Cosmano; Justin; (Salt Lake City, UT)</t>
  </si>
  <si>
    <t>G06Q 50/22 20130101;  G06F 19/3493 20130101;  G16H 50/80 20180101;  G06F 17/30386 20130101;  H04W 4/02 20130101</t>
  </si>
  <si>
    <t>A method may include receiving data about a first person and a second     person, the first person having a contagion. The method may include     determining whether a first location is within a proximity distance to a     second location. The method may include determining whether a first time     is within a proximity time period with a second time. The method may     include defining a proximity relationship for the second person relative     to the first person. The defined proximity relationship may be positive     when the first location is within the proximity distance and first time     is within the proximity time period, or the defined proximity     relationship may be negative when either the first location is not within     the proximity distance or first time is not within the proximity time     period. When the proximity relationship is positive, the second person     may be labeled as being contaminated by the contagion.</t>
  </si>
  <si>
    <t>US20170351841</t>
  </si>
  <si>
    <t>MEDICAL DEVICE CONNECTION STATUS MONITORING</t>
  </si>
  <si>
    <t>15/601279</t>
  </si>
  <si>
    <t>FENWAL, INC.</t>
  </si>
  <si>
    <t>FENWAL</t>
  </si>
  <si>
    <t>Moskal; Witold; (Park Ridge, IL)</t>
  </si>
  <si>
    <t>G16H 50/30 20180101;  G06F 19/3468 20130101;  A61B 5/0031 20130101;  G06F 19/322 20130101;  G06F 19/3412 20130101;  G16H 10/60 20180101;  G06F 19/3431 20130101;  A61B 5/742 20130101;  G16H 50/80 20180101;  G16H 40/40 20180101;  G06F 19/3493 20130101</t>
  </si>
  <si>
    <t>A computer configured to monitor medical device data for presentation on     a user interface. The computer comprises a processing circuit and a     network interface circuit configured to provide communications over a     network. The processing circuit is configured to receive at configurable     time intervals a medical device status message from a medical device over     the network; set a device last connection time, comprising a date and     time that a most recent status message was received over the network by     the computer from the medical device; receive input from a user interface     in communication with the computer to retrieve pump information;     calculate a delta between the device last connection time and a date and     time the processing circuit received the input from the user interface;     compare the delta with a device connection threshold value; and display a     warning on the user interface if the delta is greater than the threshold     value.</t>
  </si>
  <si>
    <t>US20170348343</t>
  </si>
  <si>
    <t>METHODS OF TREATING HEPATITIS E VIRAL INFECTION</t>
  </si>
  <si>
    <t>15/611307</t>
  </si>
  <si>
    <t>Bischofberger; Norbert W.; (Hillsborough, CA); McHutchison; John G.; (Woodside, CA)</t>
  </si>
  <si>
    <t>A61K 2300/00 20130101;  A61K 2300/00 20130101;  A61K 31/7068 20130101;  A61K 31/7056 20130101;  A61K 31/706 20130101;  A61P 31/14 20180101;  A61K 31/7056 20130101;  A61K 31/7072 20130101;  A61K 31/7072 20130101;  A61K 31/7064 20130101</t>
  </si>
  <si>
    <t>Disclosed herein are methods of treating a hepatitis E viral infection     comprising administering to a human subject in need thereof a     therapeutically effective amount of the compound sofosbuvir, also known     as (S)-isopropyl     2-(((S)-(((2R,3R,4R,5R)-5-(2,4-dioxo-3,4-dihydropyrimidin-1(2H)-yl)-4-flu-    oro-3-hydroxy-4-methyltetrahydrofuran-2-yl)methoxy)(phenoxy)phosphoryl)ami-    no) propanoate. Some methods further comprise concomitantly administering     ribavirin to the subject. In some methods, the treatment is     ribavirin-free. In some methods, the subject is immunocompromised. In     some methods, the subject is pregnant.</t>
  </si>
  <si>
    <t>US20170348342</t>
  </si>
  <si>
    <t>COMPOSITIONS AND METHODS FOR TREATING HEPATITIS C VIRUS</t>
  </si>
  <si>
    <t>15/410438</t>
  </si>
  <si>
    <t>Berrey; Miriam Michelle; (Durham, NC); Casteel; Melissa Jean; (Burlingame, CA); Cleary; Darryl G.; (Chapel Hill, NC); Hebner; Christy M.; (Belmont, CA); Hindes; Robert G.; (Skillman, NJ); Mo; Hongmei; (Palo Alto, CA); Oliyai; Reza; (Burlingame, CA); Pakdaman; Rowchanak; (San Carlos, CA); Ray; Adrian S.; (Redwood City, CA); Reynolds; Charles J.; (Greenville, NC); Stefanidis; Dimitrios; (Mountain View, CA); Symonds; William T.; (San Francisco, CA); Zia; Vahid; (San Carlos, CA)</t>
  </si>
  <si>
    <t>A61K 9/2013 20130101;  A61K 31/7068 20130101;  A61K 31/4196 20130101;  A61K 31/7072 20130101;  A61K 9/2054 20130101;  A61K 31/685 20130101;  A61K 31/4196 20130101;  A61K 31/7068 20130101;  A61K 31/7056 20130101;  A61K 9/2009 20130101;  A61K 31/664 20130101;  A61K 2300/00 20130101;  A61K 2300/00 20130101;  A61K 2300/00 20130101;  A61K 2300/00 20130101;  A61K 31/675 20130101;  A61K 2300/00 20130101;  A61K 31/7056 20130101;  A61K 31/685 20130101;  A61K 31/513 20130101;  A61K 31/664 20130101</t>
  </si>
  <si>
    <t>Disclosed herein are a composition and unit dosage form for the treatment     of hepatitis C virus (HCV) infection comprising GS-7977 and at least one     pharmaceutically acceptable excipient, as well as methods for making said     composition and unit dosage form. Also disclosed herein is a method of     treating a subject, preferably a human, infected with hepatitis C virus,     said method comprising administering to the subject for a time period an     effective amount of GS-7977 and an effective amount of ribavirin. In one     aspect, the method comprises administering to the subject an     interferon-free treatment regimen comprising an effective amount of     GS-7977 and an effective amount of ribavirin. In a particular aspect, the     method is sufficient to produce an undetectable amount of HCV RNA in the     subject for at least 12 weeks after the end of the time period.</t>
  </si>
  <si>
    <t>US20170342085</t>
  </si>
  <si>
    <t>15/590846</t>
  </si>
  <si>
    <t>A61K 31/7072 20130101;  A61P 31/00 20180101;  A61K 31/7056 20130101;  A61P 43/00 20180101;  A61P 1/16 20180101;  A61P 31/12 20180101;  A61K 31/4188 20130101;  C07D 491/04 20130101;  A61P 31/14 20180101;  A61K 2300/00 20130101;  A61K 2300/00 20130101;  A61K 38/21 20130101;  A61K 31/7072 20130101;  A61K 2300/00 20130101;  A61K 2300/00 20130101;  A61K 45/06 20130101;  C07D 491/052 20130101;  A61K 38/21 20130101;  A61K 31/7068 20130101;  A61K 31/7068 20130101;  A61K 31/7056 20130101</t>
  </si>
  <si>
    <t>US20170342079</t>
  </si>
  <si>
    <t>COMPOUNDS AND METHODS FOR ANTIVIRAL TREATMENT</t>
  </si>
  <si>
    <t>15/618974</t>
  </si>
  <si>
    <t>Hui; Hon Chung; (Foster City, CA); Parrish; Jay P.; (El Dorado Hills, CA); Sangi; Michael; (San Mateo, CA); Siegel; Dustin; (Half Moon Bay, CA); Sperandio; David; (Palo Alto, CA); Yang; Hai; (San Mateo, CA)</t>
  </si>
  <si>
    <t>A61K 31/519 20130101;  A61K 31/5377 20130101;  A61K 31/5025 20130101;  A61P 31/14 20180101;  A61P 11/00 20180101;  A61P 43/00 20180101;  A61K 31/4545 20130101;  C07D 487/04 20130101;  A61K 31/53 20130101;  A61P 31/00 20180101;  C07D 519/00 20130101;  A61K 45/06 20130101;  C07D 471/04 20130101;  A61P 31/12 20180101</t>
  </si>
  <si>
    <t>Compounds and pharmaceutically acceptable salts and esters and     compositions thereof, for treating viral infections are provided. The     compounds and compositions are useful for treating Pneumovirinae virus     infections. The compounds, compositions, and methods provided are     particularly useful for the treatment of Human respiratory syncytial     virus infections.</t>
  </si>
  <si>
    <t>US20170342068</t>
  </si>
  <si>
    <t>15/596844</t>
  </si>
  <si>
    <t>Aktoudianakis; Evangelos; (Redwood City, CA); Canales; Eda; (San Mateo, CA); Chin; Elbert; (San Mateo, CA); Currie; Kevin S.; (North Bend, WA); Katana; Ashley Anne; (North Olmsted, OH); Kato; Darryl; (San Francisco, CA); Link; John O.; (San Francisco, CA); Metobo; Samuel E.; (Newark, CA); Saito; Roland D.; (San Mateo, CA); Yang; Zheng-Yu; (Palo Alto, CA)</t>
  </si>
  <si>
    <t>A61P 31/20 20180101;  C07D 471/04 20130101</t>
  </si>
  <si>
    <t>US20170340729</t>
  </si>
  <si>
    <t>COMPOSITION COMPRISING PEDV ANTIGENS AND METHODS FOR MAKING AND USING THE     COMPOSITION</t>
  </si>
  <si>
    <t>15/672019</t>
  </si>
  <si>
    <t>Kim; Byoung-Kwan; (Mankato, MN); Brown; Karen; (Teaneck, NJ); Miller; Larry; (Teaneck, NJ)</t>
  </si>
  <si>
    <t>A61K 39/12 20130101;  C12N 2770/20063 20130101;  A61K 2039/54 20130101;  A61K 2039/543 20130101;  A61K 2039/55 20130101;  A61K 2039/552 20130101;  A61K 2039/55511 20130101;  A61K 2039/55566 20130101;  C12N 2770/20034 20130101;  C07K 14/005 20130101;  A61K 2039/57 20130101;  A61K 2039/55555 20130101;  A61K 2039/541 20130101;  A61K 39/215 20130101;  C12N 2770/20051 20130101;  C12N 7/00 20130101;  A61K 2039/5252 20130101</t>
  </si>
  <si>
    <t>Disclosed herein are embodiments of an immunogenic composition for     porcine epidemic diarrhea virus, and a method for making the immunogenic     composition. Also disclosed is a method for administrating the     immunogenic composition to a subject in need thereof. The immunogenic     composition comprises PEDV proteins and/or antigens from one or more     strains of PEDV, and may additionally comprise proteins and/or antigens     from one or more additional porcine pathogens, such as PRRSV.     Additionally disclosed in a combination comprising a PEDV immunogenic     composition as disclosed herein, and an immunogenic composition or other     therapeutic composition directed toward an additional porcine pathogen.</t>
  </si>
  <si>
    <t>US20170340728</t>
  </si>
  <si>
    <t>15/633589</t>
  </si>
  <si>
    <t>Kyratsous; Christos; (Irvington, NY); Stahl; Neil; (Carmel, NY); Sivapalasingam; Sumathi; (Brooklyn, NY)</t>
  </si>
  <si>
    <t>A61K 2039/507 20130101;  C07K 16/10 20130101;  C12N 7/00 20130101;  A61P 1/12 20180101;  A61P 29/00 20180101;  A61K 39/215 20130101;  A61P 31/14 20180101;  C07K 2317/21 20130101;  A61P 31/04 20180101;  A61K 39/39583 20130101;  C07K 2317/92 20130101;  C12N 2770/20022 20130101;  A61K 2039/505 20130101;  C07K 2317/30 20130101;  A61K 39/12 20130101;  C12N 2770/20034 20130101;  A61P 11/00 20180101;  C07K 14/165 20130101;  A61P 31/12 20180101;  A61K 45/06 20130101;  G01N 33/569 20130101;  C07K 2317/31 20130101;  A61K 38/00 20130101;  C07K 2317/76 20130101;  C07K 2317/56 20130101;  C07K 2317/565 20130101</t>
  </si>
  <si>
    <t>US20170340725</t>
  </si>
  <si>
    <t>15/674599</t>
  </si>
  <si>
    <t>Ciaramella; Giuseppe; (Sudbury, MA); Himansu; Sunny; (Malden, MA)</t>
  </si>
  <si>
    <t>C07K 16/1027 20130101;  A61K 2039/53 20130101;  A61K 2039/6018 20130101;  Y02A 50/39 20180101;  A61K 39/12 20130101;  A61K 2039/55511 20130101;  C07K 2317/76 20130101;  A61K 2039/70 20130101;  C12N 2760/18334 20130101;  C12N 2760/18534 20130101;  C12N 2760/18034 20130101;  A61K 39/155 20130101;  C12N 2760/18434 20130101;  A61K 2039/55555 20130101;  A61P 11/00 20180101;  C12N 2770/20034 20130101;  C07K 16/10 20130101;  C12N 2760/18634 20130101</t>
  </si>
  <si>
    <t>US20170334986</t>
  </si>
  <si>
    <t>15/622225</t>
  </si>
  <si>
    <t>A61P 21/06 20180101;  A61K 2039/545 20130101;  C07K 2317/92 20130101;  A61K 2039/505 20130101;  A61K 45/06 20130101;  C07K 2317/76 20130101;  G01N 2333/765 20130101;  C07K 2317/41 20130101;  A61K 39/395 20130101;  G01N 2333/4737 20130101;  C07K 2317/565 20130101;  C07K 2317/56 20130101;  A61P 35/00 20180101;  G01N 2800/52 20130101;  C07K 2317/24 20130101;  C07K 2317/34 20130101;  C07K 16/248 20130101;  A61K 39/3955 20130101;  C07K 2317/94 20130101</t>
  </si>
  <si>
    <t>US20170333586</t>
  </si>
  <si>
    <t>15/533835</t>
  </si>
  <si>
    <t>KANG; Jason; (New York, NY); TYAN; Kevin; (New York, NY); JIN; Katherine; (New York, NY)</t>
  </si>
  <si>
    <t>C11D 1/12 20130101;  C11D 3/48 20130101;  A01N 33/12 20130101;  C11D 3/3947 20130101;  C11D 17/0043 20130101;  C11D 3/3951 20130101;  C11D 11/0064 20130101;  C11D 3/3418 20130101;  A01N 25/00 20130101;  C11D 3/3956 20130101;  C11D 3/24 20130101;  A01N 37/16 20130101;  C11D 1/62 20130101;  C11D 17/045 20130101;  C11D 3/044 20130101;  A01N 59/00 20130101;  A61L 2/22 20130101;  A61L 2/28 20130101;  C11D 3/40 20130101</t>
  </si>
  <si>
    <t>The invention provides a powdered composition of additives and a method     of use thereof for increasing the visibility, potency and coverage of     disinfectant solutions, such as bleach.</t>
  </si>
  <si>
    <t>US20170333267</t>
  </si>
  <si>
    <t>MOBILE CLINICS</t>
  </si>
  <si>
    <t>15/523126</t>
  </si>
  <si>
    <t>Anandasabapathy; Sharmila; (Houston, TX); Michel; Sarah; (Houston, TX); Popper; Caroline; (Baltimore, MD)</t>
  </si>
  <si>
    <t>A62B 31/00 20130101;  E04H 3/08 20130101;  A61G 3/001 20130101;  B60P 3/32 20130101</t>
  </si>
  <si>
    <t>One aspect of the invention provides a mobile clinic including: an intermodal container defining at least a first opening and a second opening; a partition wall located within the intermodal container, the partition wall separating the intermodal container into an anteroom and a treatment room; and an access control device programmed to prevent passage from the anteroom into the treatment room until a user's donning of personal protective equipment is verified. Another aspect of the invention provides a collapsible structure including: a rigid base; a rigid roof; one or more collapsible walls extending between the floor and the base; and an erector system comprising four cross-bars. Another aspect of the invention provides a crate including: a bottom panel; a top panel; and a plurality of walls, wherein at least two of said plurality of wails including one or more conduits.</t>
  </si>
  <si>
    <t>US20170327526</t>
  </si>
  <si>
    <t>15/441561</t>
  </si>
  <si>
    <t>C07H 19/06 20130101;  A61K 31/7072 20130101;  A61P 31/14 20180101;  C07H 19/10 20130101;  A61K 31/7068 20130101;  A61P 11/00 20180101;  A61P 31/12 20180101;  C07H 19/073 20130101</t>
  </si>
  <si>
    <t>US20170327488</t>
  </si>
  <si>
    <t>15/607326</t>
  </si>
  <si>
    <t>Mogalian; Erik; (San Francisco, CA); Scott; Robert William; (San Mateo, CA); Shi; Bing; (Redwood City, CA); Wang; Fang; (Foster City, CA)</t>
  </si>
  <si>
    <t>A61K 31/4184 20130101;  C07D 403/14 20130101;  A61P 31/14 20180101;  A61K 31/381 20130101;  A61K 31/7056 20130101;  C07D 471/08 20130101;  A61P 1/16 20180101;  C07D 487/08 20130101;  A61P 31/12 20180101;  C07B 2200/13 20130101</t>
  </si>
  <si>
    <t>Amorphous and crystalline solid forms of the anti-HCV compound     (1-{3-[6-(9,9-difluoro-7-{2-[5-(2-methoxycarbonylamino-3-methyl-butyryl)--    5-aza-spiro[2.4]hept-6-yl]-3H-imidazol-4-yl}-9H-fluoren-2-yl)-1H-benzoimid-    azol-2-yl]-2-aza-bicyclo[2.2.1]heptane-2-carbonyl}-2-methyl-propyl)-carbam-    ic acid methyl ester (Compound I) were prepared and characterized in the     solid state:  ##STR00001## Also provided are processes of manufacture and methods of using the     amorphous and crystalline forms.</t>
  </si>
  <si>
    <t>US20170326226</t>
  </si>
  <si>
    <t>15/593223</t>
  </si>
  <si>
    <t>Weaver; Grant; (Kingsley, IA); Kula; Jeffrey Alan; (Lincoln, NE); Lin; Boh Chang; (Omaha, NE); Brown; Karen; (Parkville, MO); Johnson; Wesley W.; (Platte City, MO); Murphy; Michael Dennis; (Atlantic, IA)</t>
  </si>
  <si>
    <t>A61K 39/145 20130101;  A61K 39/102 20130101;  A61K 2039/55511 20130101;  A61K 2039/552 20130101;  A61K 2039/543 20130101;  C12N 7/00 20130101;  A61K 39/12 20130101;  A61K 2039/55505 20130101;  A61K 2039/55555 20130101;  A61K 2039/55566 20130101;  C12N 2760/16134 20130101</t>
  </si>
  <si>
    <t>US20170326088</t>
  </si>
  <si>
    <t>15/528990</t>
  </si>
  <si>
    <t>ENTRINSIC HEALTH SOLUTIONS, INC.</t>
  </si>
  <si>
    <t>ENTRINSIC HEALTH SOLUTIONS</t>
  </si>
  <si>
    <t>A61K 31/00 20130101;  A61K 31/405 20130101;  A61K 31/198 20130101;  A61K 31/197 20130101;  A61K 31/197 20130101;  A61K 2300/00 20130101;  A61K 31/198 20130101;  A61K 2300/00 20130101;  A61K 31/405 20130101;  A61K 2300/00 20130101</t>
  </si>
  <si>
    <t>US20170323078</t>
  </si>
  <si>
    <t>Automated Systems and Methods for Obtaining, Storing, Processing and     Utilizing Immunologic Information of an Individual or Population for     Various Uses</t>
  </si>
  <si>
    <t>15/657800</t>
  </si>
  <si>
    <t>WELLSTAT VACCINES, LLC</t>
  </si>
  <si>
    <t>WELLSTAT VACCINES</t>
  </si>
  <si>
    <t>MICHON; Francis; (Bethesda, MD); MOORE; Samuel L.; (Sykesville, MD); WOHLSTADTER; Samuel J.; (Madison, VA); DAVIS; Charles Quentin; (Frederick, MD); OTERO; Glen; (Del Mar, CA); HALEVA; Aaron S.; (Oakhurst, NJ)</t>
  </si>
  <si>
    <t>G06Q 50/22 20130101;  G06Q 50/24 20130101;  G16H 10/60 20180101;  G16H 50/30 20180101;  Y02A 90/24 20180101;  G16H 50/80 20180101;  Y02A 90/26 20180101;  Y02A 90/22 20180101;  G16H 50/70 20180101</t>
  </si>
  <si>
    <t>A system and method for assessing the immunological status of one or more     individuals in a patient population is presented. The method includes     establishing a database comprising a plurality of records of information     each representative of the immune status of an individual in the     population, each of said records including (1) current information from     one or more assays for the presence of a biochemical, and (2) individual     specific information comprising one or more of said individual's medical     history, said individual's doctors' observations and historical,     demographic, lifestyle, and familial information relating to said     individual. The method further includes processing the information in     said database to find trends or patterns relating to the immune status of     individuals in said patient population; and using the said trends or     patterns as part of a health care related decision making process.</t>
  </si>
  <si>
    <t>US20170319682</t>
  </si>
  <si>
    <t>RECOMBINANT NANOPARTICLE RSV F VACCINE FOR RESPIRATORY SYNCYTIAL VIRUS</t>
  </si>
  <si>
    <t>15/433759</t>
  </si>
  <si>
    <t>SMITH; Gale; (Gaithersburg, MD); WU; Yingyun; (Gaithersburg, MD); MASSARE; Michael; (Gaithersburg, MD); LIU; Ye; (Gaithersburg, MD)</t>
  </si>
  <si>
    <t>C12N 2760/18534 20130101;  C07K 14/135 20130101;  A61P 37/04 20180101;  A61P 31/12 20180101;  A61K 2039/54 20130101;  C12N 2760/18522 20130101;  C12N 7/00 20130101;  A61K 39/155 20130101;  C07K 14/005 20130101;  A61K 2039/55505 20130101;  A61K 39/12 20130101;  A61K 2039/55555 20130101;  A61P 31/14 20180101;  A61K 2039/5258 20130101</t>
  </si>
  <si>
    <t>US20170316324</t>
  </si>
  <si>
    <t>Computerized Event-Forecasting System and User Interface</t>
  </si>
  <si>
    <t>15/499423</t>
  </si>
  <si>
    <t>VIRGINIA POLYTECHNIC INSTITUTE AND STATE UNIVERSITY</t>
  </si>
  <si>
    <t>Barrett; Christopher L.; (Blacksburg, VA); Marathe; Madhav V.; (Blacksburg, VA); Lewis; Bryan; (Blacksburg, VA); Akupatni; Vivek Bharath; (Jersey City, NJ)</t>
  </si>
  <si>
    <t>G06N 99/005 20130101;  G06Q 10/04 20130101;  G16H 50/80 20180101;  G06F 19/00 20130101;  G16H 50/00 20180101</t>
  </si>
  <si>
    <t>Systems, methods, and computer-readable media for simulating the course of an event or for collecting data for the simulation are provided. A processing unit can receive attributes of synthetic populations and corresponding forecasts of progress of an event, e.g., an epidemic. The processing unit can determine a disease model based on the forecasts and historical data of the event. The disease model can be associated with at least one attribute of each of the synthetic populations. The processing unit can determine a forecast of the progress of the event based on the received forecasts and weights associated with user accounts. In some examples, the processing unit can receive the attributes, present via a user interface a plurality of candidate forecasts of an epidemic, and receive via the user interface a forecast, e.g., rankings or data, of the epidemic with respect to the synthetic population indicated by the attributes.</t>
  </si>
  <si>
    <t>US20170316181</t>
  </si>
  <si>
    <t>GLOBAL DISEASE SURVEILLANCE PLATFORM, AND CORRESPONDING SYSTEM AND METHOD</t>
  </si>
  <si>
    <t>15/654986</t>
  </si>
  <si>
    <t>PERATON INC.</t>
  </si>
  <si>
    <t>PERATON</t>
  </si>
  <si>
    <t>Kass-Hout; Taha A.; (Alpharetta, GA); Mirabito; Massimo; (Atlanta, GA)</t>
  </si>
  <si>
    <t>G06F 19/3493 20130101;  G06Q 10/1095 20130101;  G06Q 50/22 20130101;  Y02A 90/24 20180101;  G16H 50/80 20180101;  Y02A 90/22 20180101;  G06Q 50/26 20130101</t>
  </si>
  <si>
    <t>A computer-implemented method for identifying and assessing public health     events, and a corresponding system and apparatus, includes capturing     public health-related information from structured and unstructured     sources, where the information is contained in one or more documents,     extracting meta-data from the captured public health-related information,     creating an index of the extracted meta-data; archiving the meta-data and     the documents, where the index links meta-data to its associated     document, processing the extracted meta-data according to one or more     detection algorithms to determine if an anomaly exists, and where an     anomaly exists, providing a public health event notification, and     monitoring and evaluating the responses to the public health events.</t>
  </si>
  <si>
    <t>US20170313745</t>
  </si>
  <si>
    <t>15/455508</t>
  </si>
  <si>
    <t>Bjornson; Kyla L.; (San Lorenzo, CA); Karki; Kapil K.; (Foster City, CA); Link; John O.; (San Francisco, CA); Pyun; Hyung-jung; (Fremont, CA); Schrier; Adam J.; (Redwood City, CA); Stevens; Kirk L.; (Bothell, WA); Taylor; James G.; (San Mateo, CA); Vivian; Randall W.; (San Mateo, CA); Zablocki; Jeff; (Los Altos, CA); Zipfel; Sheila M.; (San Francisco, CA)</t>
  </si>
  <si>
    <t>A61K 31/519 20130101;  A61P 31/20 20180101;  C07K 7/64 20130101;  A61P 1/16 20180101;  C07D 203/02 20130101;  C07D 487/02 20130101;  C07D 487/00 20130101;  A61K 31/437 20130101;  C07D 498/22 20130101;  A61P 31/14 20180101</t>
  </si>
  <si>
    <t>Compounds of formula I:  ##STR00001## or pharmaceutically acceptable salts thereof, wherein the various     substituents are defined herein, methods of using said compounds, and     pharmaceutical compositions containing said compounds.</t>
  </si>
  <si>
    <t>US20170309148</t>
  </si>
  <si>
    <t>MONITORING METHOD, INFORMATION PROCESSING APPARATUS, INFORMATION PROCESSING SYSTEM, AND NON-TRANSITORY COMPUTER READABLE MEDIUM</t>
  </si>
  <si>
    <t>15/496572</t>
  </si>
  <si>
    <t>NARISADA; Noriyuki; (Kobe-shi, JP); YOKOYAMA; Ryo; (Kobe-shi, JP); ARAI; Miyuki; (Kobe-shi, JP); SATO; Toshiyuki; (Kobe-shi, JP); HASHIMOTO; Shota; (Kobe-shi, JP); WATANABE; Yuuki; (Kobe-shi, JP); TAKAMATSU; Keizo; (Fukuoka, JP)</t>
  </si>
  <si>
    <t>A61B 5/746 20130101;  G08B 21/02 20130101;  Y02A 90/22 20180101;  G08B 27/005 20130101;  G16H 50/80 20180101;  G06F 19/00 20130101</t>
  </si>
  <si>
    <t>The present invention provides a monitoring method for infectious diseases. The monitoring method includes: obtaining disease information from a plurality of medical facilities 131, 132, 133, and 134; determining the disease occurrence status for each medical facility based on the disease information and a first criterion related to the disease occurrence status at the medical facility; and generating first area alarm information related to the infectious disease status in a first zone based on the disease occurrence status in the medical facilities associated with the first zone divided by a first area division, and a second criterion related to the disease occurrence status in the first zone.</t>
  </si>
  <si>
    <t>US20170308679</t>
  </si>
  <si>
    <t>BIOSECURITY SCREENING SYSTEM AND METHOD</t>
  </si>
  <si>
    <t>15/518735</t>
  </si>
  <si>
    <t>CEPHEID</t>
  </si>
  <si>
    <t>Murray; William E; (Hilton Head, SC)</t>
  </si>
  <si>
    <t>G06F 19/3493 20130101;  A61B 10/0096 20130101;  C12Q 1/701 20130101;  G01N 35/021 20130101;  G16H 50/80 20180101;  G01N 33/48792 20130101;  B01L 3/502 20130101;  B01L 2300/087 20130101;  B01L 2300/0627 20130101;  C12Q 1/6888 20130101</t>
  </si>
  <si>
    <t>The present invention provides systems and methods for rapid screening of     individuals who may have been exposed to and carrying biological agents     potentially contagious or otherwise harmful to the general public.</t>
  </si>
  <si>
    <t>US20170308678</t>
  </si>
  <si>
    <t>DISEASE PREDICTION SYSTEM USING OPEN SOURCE DATA</t>
  </si>
  <si>
    <t>14/626224</t>
  </si>
  <si>
    <t>HRL Laboratories</t>
  </si>
  <si>
    <t>HRL LABORATORIES</t>
  </si>
  <si>
    <t>Apreleva; Sofia; (Santa Monica, CA); Lu; Tsai-Ching; (Thousand Oaks, CA)</t>
  </si>
  <si>
    <t>A61B 5/7275 20130101;  G16H 50/80 20180101;  G06N 99/005 20130101;  G06F 19/3493 20130101</t>
  </si>
  <si>
    <t>Described is a disease prediction system using open source data. The     system includes a preprocessing module, a learning module, and a     prediction module. The preprocessing module receives a dataset of N trend     results related to a disease event and generates an enhanced filter     signal (EFS) curve related to the disease event. The learning module     receives the EFS curve and generates a predicted number of cases of the     disease event and, using a plurality of machine learning methods,     generates a plurality of predictions that the disease event will happen     within a future time period. The prediction module determines precision     and recall for each of the plurality of predictions and, based on the     precision and recall, provides a likelihood that the disease event will     occur.</t>
  </si>
  <si>
    <t>US20170300657</t>
  </si>
  <si>
    <t>Computerized Event Simulation Using Synthetic Populations</t>
  </si>
  <si>
    <t>15/487929</t>
  </si>
  <si>
    <t>Barrett; Christopher L.; (Blacksburg, VA); Marathe; Madhav V.; (Blacksburg, VA)</t>
  </si>
  <si>
    <t>G06F 17/30424 20130101;  G16H 50/50 20180101;  Y02A 90/24 20180101;  Y02A 90/26 20180101;  G16H 50/20 20180101</t>
  </si>
  <si>
    <t>Systems, methods, and computer-readable media for simulating the course of an event are provided. A processing unit can receive attributes of a synthetic population and select a synthetic-population graph from a data library based at least in part on the attributes. The processing unit can receive data of an intervention designed to affect the course of the event. The processing unit can then simulate the course of the event in the synthetic-population graph to produce an estimate of the event, based at least in part on the intervention. The event can include an epidemic, and the intervention can include vaccination, facility closures, or medication, in some examples. In some examples, the data library can include a social-contact graph determined at least in part by a broker software module.</t>
  </si>
  <si>
    <t>US20170296504</t>
  </si>
  <si>
    <t>ANTIVIRAL EFFECTS OF NARASIN IN SWINE FEED</t>
  </si>
  <si>
    <t>15/513735</t>
  </si>
  <si>
    <t>ELANCO US INC.</t>
  </si>
  <si>
    <t>ELANCO</t>
  </si>
  <si>
    <t>Marsteller; Thomas Alan; (Carmel, IN); Ritter; Matthew John; (Fortville, IN); Weber; Thomas Edmund; (Greenfield, IN); Owens; Jane Granville; (Indianapolis, IN); Puls; Christopher Leigh; (Greenfield, IN); Rosenkrans; Kelly Shern; (Pendleton, IN)</t>
  </si>
  <si>
    <t>A61K 31/351 20130101;  A23K 20/195 20160501;  A23K 50/30 20160501;  A23K 50/60 20160501;  A61K 9/0056 20130101;  A61K 31/35 20130101</t>
  </si>
  <si>
    <t>The present invention relates to a composition for ameliorating viral     infections in nursery pigs. The composition contains the polyether     ionophore narasin, and is supplied to the nursery pigs in an     orally-acceptable form. The composition is effective in reducing viral     shedding and the severity of diarrhea after challenge of nursery pigs     with Porcine Epidemic Diarrhea Virus (PEDV).</t>
  </si>
  <si>
    <t>US20170290827</t>
  </si>
  <si>
    <t>15/488035</t>
  </si>
  <si>
    <t>Bjornson; Kyla; (San Lorenzo, CA); Canales; Eda; (San Mateo, CA); Cottell; Jeromy J.; (Redwood City, CA); Karki; Kapil K.; (Foster City, CA); Katana; Ashley A.; (North Olmsted, OH); Kato; Darryl; (San Francisco, CA); Kobayashi; Tetsuya; (Pleasanton, CA); Link; John O.; (San Francisco, CA); Martinez; Ruben; (San Diego, CA); Phillips; Barton W.; (San Mateo, CA); Pyun; Hyung-Jung; (Fremont, CA); Sangi; Michael; (San Mateo, CA); Schrier; Adam J.; (Redwood City, CA); Siegel; Dustin; (Half Moon Bay, CA); Taylor; James G.; (Burlingame, CA); Tran; Chinh V.; (San Diego, CA); Trejo Martin; Teresa Alejandra; (Belmont, CA); Vivian; Randall W.; (San Mateo, CA); Yang; Zheng-Yu; (Palo Alto, CA); Zablocki; Jeff; (Los Altos, CA); Zipfel; Sheila M.; (San Mateo, CA)</t>
  </si>
  <si>
    <t>A61P 43/00 20180101;  A61K 31/4985 20130101;  A61P 31/12 20180101;  C07D 498/22 20130101;  A61P 1/16 20180101;  C07D 498/16 20130101;  A61K 31/506 20130101;  C07D 241/36 20130101;  C07K 5/0812 20130101;  A61K 45/06 20130101;  A61K 38/21 20130101;  A61K 31/401 20130101;  A61P 31/00 20180101;  A61K 38/06 20130101;  A61K 2300/00 20130101;  A61K 31/498 20130101;  A61K 31/10 20130101;  C07K 5/0827 20130101;  A61K 31/4745 20130101;  A61K 38/00 20130101;  A61P 31/14 20180101;  A61P 31/10 20180101;  C07K 5/0808 20130101;  A61K 31/519 20130101;  A61K 38/21 20130101;  C07K 5/08 20130101;  C07D 403/14 20130101</t>
  </si>
  <si>
    <t>US20170286616</t>
  </si>
  <si>
    <t>METHOD AND SYSTEM FOR IDENTIFYING OPTIMAL COMMUNICATION MODE AND HEALTH     MANAGEMENT MODULES FOR PATIENT ENGAGEMENT</t>
  </si>
  <si>
    <t>15/085366</t>
  </si>
  <si>
    <t>WIPRO LIMITED</t>
  </si>
  <si>
    <t>WIPRO</t>
  </si>
  <si>
    <t>Sharad; Shalini; (West Windsor, NJ); Raizada; Nitin; (Edison, NJ); Singhal; Bijendra; (Bangalore, IN); Sharma; Brijesh; (New Delhi, IN)</t>
  </si>
  <si>
    <t>H05B 6/12 20130101;  G16H 20/00 20180101;  G16H 50/30 20180101;  H05B 6/062 20130101;  G16H 70/20 20180101;  G16H 40/67 20180101;  G16H 50/80 20180101</t>
  </si>
  <si>
    <t>A method and a system for identifying optimal communication mode and     health management modules for patient engagement includes receiving     patient data from one or more data sources. Upon receiving the patient     data, the patient engagement system determines a disease value for each     of one or more diseases prevalent in a region, treatment value for each     of the one or more diseases and technology value for each of the one or     more technologies prevalent in the region. Based on the disease value and     the treatment value, the patient engagement system determines one or more     patient engagement modules and based on the technology value an optimal     communication mode is determined. The one or more modules determined are     provided to the patient through the optimal communication mode.</t>
  </si>
  <si>
    <t>US20170283390</t>
  </si>
  <si>
    <t>15/582224</t>
  </si>
  <si>
    <t>C07D 405/14 20130101;  C07C 49/755 20130101;  C07D 491/052 20130101;  C07C 49/82 20130101;  C07D 405/12 20130101;  A61P 31/14 20180101;  C07C 2602/10 20170501;  C07D 311/78 20130101;  C07C 49/80 20130101</t>
  </si>
  <si>
    <t>US20170280949</t>
  </si>
  <si>
    <t>HYGIENE MONITORING SYSTEM</t>
  </si>
  <si>
    <t>15/628713</t>
  </si>
  <si>
    <t>Wildman; Timothy D.; (Metamora, IN); Gallant; Dennis J.; (Harrison, OH); Hausman; Phillip J.; (Cary, NC)</t>
  </si>
  <si>
    <t>A47K 2005/1218 20130101;  G06F 19/3418 20130101;  G16H 50/80 20180101;  G08B 21/02 20130101;  G08B 21/245 20130101</t>
  </si>
  <si>
    <t>A system and method is provided for monitoring hygiene compliance.</t>
  </si>
  <si>
    <t>US20170273994</t>
  </si>
  <si>
    <t>Compositions and Methods for Combination Antiviral Therapy</t>
  </si>
  <si>
    <t>15/622484</t>
  </si>
  <si>
    <t>Dahl; Terrence C.; (Sunnyvale, CA); Menning; Mark M.; (San Francisco, CA); Oliyai; Reza; (Foster City, CA)</t>
  </si>
  <si>
    <t>A61K 9/2054 20130101;  A61K 31/683 20130101;  A61K 9/2013 20130101;  A61K 9/2018 20130101;  A61P 31/18 20180101;  A61K 31/513 20130101;  A61K 31/7076 20130101;  A61K 31/675 20130101;  A61P 31/00 20180101;  A61K 31/7076 20130101;  A61K 31/513 20130101;  A61K 9/2009 20130101;  A61P 31/12 20180101;  A61K 9/2059 20130101;  A61K 31/675 20130101;  A61K 45/06 20130101;  A61P 43/00 20180101;  A61K 2300/00 20130101;  A61K 2300/00 20130101;  A61K 2300/00 20130101</t>
  </si>
  <si>
    <t>The present invention relates to therapeutic combinations of     [2-(6-amino-purin-9 yl)-1-methyl-ethoxymethyl]-phosphonic acid     diisopropoxycarbonyloxymethyl ester (tenofovir disoproxil fumarate,     Viread.RTM.) and (2R, 5S, cis)-4-amino-5-fluoro-1-(2     hydroxymethyl-1,3-oxathiolan-5-yl)-(1H)-pyrimidin-2-one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</si>
  <si>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US20170267694</t>
  </si>
  <si>
    <t>CRYSTALLINE FORMS OF AN ANTIVIRAL COMPOUND</t>
  </si>
  <si>
    <t>15/387318</t>
  </si>
  <si>
    <t>Bringley; Dustin; (San Carlos, CA); Chan; Johann; (Foster City, CA); Fung; Peter; (San Mateo, CA); Keaton; Katie; (Burlingame, CA); Lapina; Olga; (Newark, CA); Morrison; Henry; (Dublin, CA); Pcion; Dominika; (Foster City, CA)</t>
  </si>
  <si>
    <t>C07D 498/16 20130101;  A61P 31/12 20180101;  C07K 5/0808 20130101;  A61P 1/16 20180101;  A61K 31/4985 20130101;  A61P 31/14 20180101;  A61K 45/06 20130101</t>
  </si>
  <si>
    <t>Crystalline forms of the anti-HCV compound     (1aR,5S,8S,9S,10R,22aR)-5-tert-butyl-N-[(1R,2R)-2-(difluoromethyl)-1-{[(1-    -methylcyclopropyl)sulfonyl]carbamoyl}cyclopropyl]-9-ethyl-18,18-difluoro--    14-methoxy-3,6-dioxo-1,1a,3,4,5,6,9,10,18,19,20,21,22,22a-tetradecahydro-8-    H-7,10-methanocyclopropa[18,19][1,10,3,6]dioxadiazacyclononadecino[11,12-b-    ]quinoxaline-8-carboxamide (Compound I) were prepared and characterized in     the solid state:  ##STR00001## Also provided are processes of manufacture and methods of using the     crystalline forms.</t>
  </si>
  <si>
    <t>US20170266287</t>
  </si>
  <si>
    <t>15/614592</t>
  </si>
  <si>
    <t>A61K 9/08 20130101;  A61K 47/44 20130101;  A61K 9/2013 20130101;  A61K 31/60 20130101;  A61K 31/192 20130101;  A61K 31/19 20130101;  A61K 47/10 20130101;  A61K 47/14 20130101;  A61K 31/337 20130101;  A61K 31/704 20130101;  A61K 31/25 20130101;  A61K 31/202 20130101</t>
  </si>
  <si>
    <t>US20170266282</t>
  </si>
  <si>
    <t>DNA ANTIBODY CONSTRUCTS AND METHOD OF USING SAME</t>
  </si>
  <si>
    <t>15/532162</t>
  </si>
  <si>
    <t>Weiner; David B.; (Merion, PA); Muthumani; Karuppiah; (Cherry Hill, NJ); Flingai; Seleeke; (Minneapolis, MN); Sardesai; Niranjan; (Blue Bell, PA)</t>
  </si>
  <si>
    <t>A61P 35/00 20180101;  A61P 37/02 20180101;  C07K 16/32 20130101;  A61K 2039/505 20130101;  C07K 2317/55 20130101;  C07K 16/1063 20130101;  A61K 48/0066 20130101;  C07K 14/82 20130101;  A61K 2039/53 20130101;  C07K 16/00 20130101;  G01N 33/531 20130101;  C07K 16/3069 20130101;  C12N 2840/60 20130101;  C12N 2800/107 20130101;  C07K 2317/76 20130101;  C12N 15/09 20130101;  C12N 2830/50 20130101;  C07K 16/1081 20130101;  A61K 39/39558 20130101;  C07K 2319/02 20130101;  C07K 2319/00 20130101;  C12N 2800/22 20130101;  A61K 48/0016 20130101;  C07K 16/28 20130101;  C07K 2317/21 20130101</t>
  </si>
  <si>
    <t>US20170262614</t>
  </si>
  <si>
    <t>PHARMACY MANAGEMENT AND ADMINISTRATION WITH BEDSIDE REAL-TIME MEDICAL EVENT DATA COLLECTION</t>
  </si>
  <si>
    <t>15/355296</t>
  </si>
  <si>
    <t>MILLENNIUM PHARMACY SYSTEMS, INC.</t>
  </si>
  <si>
    <t>MILLENNIUM PHARMACY SYSTEMS</t>
  </si>
  <si>
    <t>Vishnubhatla; Suresh-Kumar Venkata; (Wexford, PA); Sturgeon; Lena Elizabeth; (Washington, PA); Miller; Christopher Lee; (Mercer, PA); McKillip; Ronald Leo; (Seward, PA); Lister; Andrew Jonathan; (South Bend, IL); Newtzie; Garick George; (Mars, PA); Poliseo; Joseph B.; (Southampton, PA)</t>
  </si>
  <si>
    <t>G06F 19/328 20130101;  G06Q 50/24 20130101;  G06F 19/3462 20130101;  G06Q 10/06 20130101;  Y02A 90/22 20180101;  G16H 10/60 20180101;  G16H 50/70 20180101;  G16H 50/20 20180101;  Y02A 90/26 20180101;  G06Q 50/22 20130101</t>
  </si>
  <si>
    <t>Methods and systems for automatically establishing an enhanced electronic health record (EHR) for a patient include an automatic data collection facility that collects data of a medically related event in proximity to a patient upon occurrence of the event. The collected data may include medication administration data such as medication, time of administration, administration of a dosage of medication, reaction data, and the like. The collected data is communicated to a real-time data integration facility that automatically integrates the data with a patient's electronic health record to establish an enhanced electronic health record.</t>
  </si>
  <si>
    <t>US20170258893</t>
  </si>
  <si>
    <t>15/039672</t>
  </si>
  <si>
    <t>C12N 7/00 20130101;  A61K 39/215 20130101;  C12N 2770/20034 20130101;  A61P 31/14 20180101;  A61P 37/04 20180101;  A61K 2039/53 20130101;  A61K 39/12 20130101</t>
  </si>
  <si>
    <t>US20170258876</t>
  </si>
  <si>
    <t>Viral Conjunctivitis Treatment Using Ranpirnase and/or Amphinase</t>
  </si>
  <si>
    <t>15/604523</t>
  </si>
  <si>
    <t>OKOGEN, INC.</t>
  </si>
  <si>
    <t>OKOGEN</t>
  </si>
  <si>
    <t>Strem; Brian; (Encinitas, CA)</t>
  </si>
  <si>
    <t>A61K 9/0048 20130101;  A61P 27/02 20180101;  A61K 9/0051 20130101;  C12Y 301/27 20130101;  C12Y 301/27005 20130101;  A61K 38/465 20130101</t>
  </si>
  <si>
    <t>The present specification discloses Ranpirnase and Amphinase,     compositions comprising Ranpirnase and/or Amphinase, and methods and uses     to treat a viral conjunctivitis, an epidemic keratoconjunctivitis, and/or     a pharyngoconjunctival fever, reduce or suppress a level of virus or     viral titer, reduce or suppress viral replication, reduce or suppress     protein synthesis, reduce or suppress a level of a tRNA, reduce or     suppress a level of an inflammation inducing molecule and/or an     inflammation inducing prostaglandin, stimulate or enhance a peroxisome     proliferator-activated receptor (PPAR) pathway signal, promote the     resolving phenotypic change of M1 to M2, modulate Th1 and Th2 cytokines,     and/or reduce or suppress a NF.kappa.B pathway signal using Ranpirnase,     Amphinase or compositions comprising Ranpirnase and/or Amphinase.</t>
  </si>
  <si>
    <t>US20170252427</t>
  </si>
  <si>
    <t>15/454820</t>
  </si>
  <si>
    <t>SMITH; Gale; (Gaithersburg, MD); BRIGHT; Rick; (Gaithersburg, MD); PUSHKO; Peter; (Gaithersburg, MD); ZHANG; Jinyou; (Gaithersburg, MD); MAHMOOD; Kutub; (Gaithersburg, MD)</t>
  </si>
  <si>
    <t>C12N 2760/16134 20130101;  C12N 15/86 20130101;  A61K 2039/70 20130101;  A61K 39/39 20130101;  A61K 2039/55505 20130101;  A61K 2039/5258 20130101;  C07K 14/005 20130101;  C12N 2760/16122 20130101;  C12N 2760/16071 20130101;  A61K 39/145 20130101;  C12N 7/00 20130101;  C12N 2760/16023 20130101;  A61K 39/12 20130101;  A61K 2039/543 20130101;  C12N 2760/16123 20130101;  A61K 2039/55555 20130101;  C12N 2760/16034 20130101;  C12N 2710/14143 20130101</t>
  </si>
  <si>
    <t>US20170252347</t>
  </si>
  <si>
    <t>DNP and DNP Prodrug Treatment of Neuromuscular, Neurodegenerative, Autoimmune, Developmental, Traumatic Brain Injury, Concussion, Dry Eye Disease, Hearing Loss and/or Metabolic Diseases</t>
  </si>
  <si>
    <t>15/451938</t>
  </si>
  <si>
    <t>MITOCHON PHARMACEUTICALS INC; BIOVENTURES LLC</t>
  </si>
  <si>
    <t>MITOCHON PHARMACEUTICALS INC; BIOVENTURES</t>
  </si>
  <si>
    <t>Geisler; John Gerard; (Blue Bell, PA); Alonso; Robert; (North Hampton, NH); Crooks; Peter Anthony; (Little Rock, AK); Penthala; Narsimha Reddy; (Little Rock, AK); Albayati; Zaineb; (Little Rock, AK)</t>
  </si>
  <si>
    <t>A61K 31/5375 20130101;  A61K 31/24 20130101;  A61K 31/06 20130101;  A61K 31/4453 20130101;  A61K 31/495 20130101;  A61K 9/0053 20130101</t>
  </si>
  <si>
    <t>A composition and method of treatment of neuromuscular, neuromuscular degenerative, neurodegenerative, autoimmune, developmental, traumatic, hearing loss related, and/or metabolic diseases, including spinal muscular atrophy (SMA) syndrome (SMA1, SMA2, SMA3, and SMA4, also called Type I, II, III and IV), traumatic brain injury (TBI), concussion, keratoconjunctivitis sicca (Dry Eye Disease), glaucoma, Sjogren's syndrome, rheumatoid arthritis, post-LASIK surgery, anti-depressants use, Wolfram Syndrome, and Wolcott-Rallison syndrome. The composition is selected from the group consisting of 2,3-DNP, 2,4-DNP, 2,5-DNP, 2,6-DNP, 3,4-DNP, or 3,5-DNP, bipartite 2,3-dinitrophenol, 2,4-dinitrophenol, 2,5-dinitrophenol, 2,6-dinitrophenol, 3,4-dinitrophenol, or 3,5-dinitrophenol (2,3-DNP, 2,4-DNP, 2,5-DNP, 2,6-DNP, 3,4-DNP, or 3,5-DNP) prodrugs; Gemini prodrugs, bioprecursor molecules, and combinations thereof. A dose of the composition for treatment of neurodegenerative diseases may be from about 0.01 mg/kg of body weight to about 50 mg/kg of body weight of the patient in need of treatment. A dose of the composition for treatment of metabolic diseases may be from about 1 mg/70 kg of body weight to about 100 mg/70 kg of body weight of the patient in need of treatment, and a maximum dose per day is about 200 mg/70 kg of body weight of the patient in need of treatment.</t>
  </si>
  <si>
    <t>US20170247386</t>
  </si>
  <si>
    <t>15/459785</t>
  </si>
  <si>
    <t>C07D 491/052 20130101;  A61P 31/00 20180101;  A61P 31/14 20180101;  C07B 2200/13 20130101</t>
  </si>
  <si>
    <t>Crystalline solid forms of methyl     {(2S)-1-[(2S,5S)-2-(9-{2-[(2S,4S)-1-{(2R)-2-[(methoxycarbonyl)amino]-2-ph-    enylacetyl}-4-(methoxymethyl)pyrrolidin-2-yl]-1H-imidazol-5-yl}-1,11-dihyd-    roisochromeno[4',3':6,7]naphtho[1,2-d]imidazol-2-yl)-5-methylpyrrolidin-1--    yl]-3-methyl-1-oxobutan-2-yl}carbamate (Compound I) were prepared and     characterized in the solid state:  ##STR00001## Also provided are processes of manufacture and methods of using these     crystalline forms.</t>
  </si>
  <si>
    <t>US20170242970</t>
  </si>
  <si>
    <t>DETERMINING CORRELATION BETWEEN MEDICAL SYMPTOMS AND ENVIRONMENTAL FACTORS</t>
  </si>
  <si>
    <t>15/052195</t>
  </si>
  <si>
    <t>Fink; Patrick W.; (Charlotte, NC); McNeil; Kristin E.; (Charlotte, NC); Parker; Philip E.; (York, SC); Werts; David B.; (Charlotte, NC)</t>
  </si>
  <si>
    <t>G06F 16/35 20190101;  G16H 50/80 20180101;  G06F 19/3418 20130101;  G16H 40/67 20180101;  G06F 19/324 20130101</t>
  </si>
  <si>
    <t>A method, a processing device, and a computer program product are     provided. Unstructured text may be analyzed to identify medical condition     information of multiple occurrences of a medical condition for at least     one subject. Times and geographic locations corresponding to the multiple     occurrences of the medical condition may be obtained. Environmental     information that corresponds to the times and the geographic locations of     the multiple medical condition occurrences, may be retrieved.     Correlations between the medical condition information and the retrieved     environmental information for the at least one subject may be determined.     Environmental factors affecting the medical condition, based on the     determined correlations, are identified.</t>
  </si>
  <si>
    <t>US20170241949</t>
  </si>
  <si>
    <t>MOLECULAR DIAGNOSTICS PLATFORM THAT USES DIGITAL MICROFLUIDICS AND MULTIPLEXED BEAD DETECTION</t>
  </si>
  <si>
    <t>15/472248</t>
  </si>
  <si>
    <t>ADVANCED LIQUID LOGIC, INC.</t>
  </si>
  <si>
    <t>ADVANCED LIQUID LOGIC</t>
  </si>
  <si>
    <t>Bort; Donovan; (Apex, NC); Graham; Carrie; (Raleigh, NC); Pamula; Vamsee; (Durham, NC); Pollack; Michael; (Durham, NC); Sista; Ramakrishna; (Morrisville, NC); Srinivasan; Vijay; (Durham, NC)</t>
  </si>
  <si>
    <t>B01F 13/0071 20130101;  B01F 2215/0037 20130101;  B01L 3/502761 20130101;  B01L 3/502792 20130101;  B01L 2200/0605 20130101;  B01L 2200/0668 20130101;  B01L 2200/10 20130101;  B01L 2200/16 20130101;  B01L 2300/0816 20130101;  B01L 2300/0867 20130101;  B01L 2300/089 20130101;  B01L 2400/0406 20130101;  B01L 2400/0418 20130101;  B01L 2400/0427 20130101;  B01L 2400/043 20130101;  B01L 2400/0487 20130101;  B81B 1/004 20130101;  G01N 27/44791 20130101;  B01F 1/0027 20130101;  B01F 2001/0055 20130101;  B01F 13/0076 20130101</t>
  </si>
  <si>
    <t>A droplet actuator for manipulating a fluid using an electrical field includes a droplet arranged on or over an electrode. The droplet includes a set of beads arranged substantially in a monolayer on or over a surface of the droplet actuator.</t>
  </si>
  <si>
    <t>US20170232098</t>
  </si>
  <si>
    <t>15/581473</t>
  </si>
  <si>
    <t>He; Biao; (Bogart, GA)</t>
  </si>
  <si>
    <t>A61K 39/12 20130101;  C12N 2760/18721 20130101;  A61K 39/165 20130101;  A61K 2039/5254 20130101;  A61K 2039/5256 20130101;  A61K 2039/543 20130101;  C12N 2760/18534 20130101;  C12N 2760/18734 20130101;  C12N 2760/18743 20130101;  C07K 16/1027 20130101;  C07K 16/241 20130101;  C07K 2317/34 20130101;  C12N 2760/18762 20130101;  C12N 7/00 20130101;  A61K 39/155 20130101</t>
  </si>
  <si>
    <t>US20170232095</t>
  </si>
  <si>
    <t>15/332330</t>
  </si>
  <si>
    <t>ROBINSON; Robin A.; (Dickerson, MD); PUSHKO; Peter M.; (Frederick, MD)</t>
  </si>
  <si>
    <t>C07H 21/04 20130101;  A61K 39/145 20130101;  A61K 2039/575 20130101;  A61P 31/16 20180101;  A61K 2039/70 20130101;  C12N 2760/16123 20130101;  A61K 39/12 20130101;  C12N 2760/16023 20130101;  A61K 2039/5258 20130101;  A61P 37/04 20180101;  C12N 2760/16122 20130101;  C12N 2760/16034 20130101;  C07K 14/005 20130101;  C12N 2760/16134 20130101;  C12N 7/00 20130101</t>
  </si>
  <si>
    <t>Recombinant influenza virus proteins, including influenza capsomers,     subviral particles, virus-like particles (VLP), VLP complexes, and/or any     portions of thereof, are provided as a vaccine for influenza viruses. The     invention is based on the combination of two vaccine technologies: (1)     intrinsically safe recombinant vaccine technology, and (2) highly     immunogenic, self-assembled protein macromolecules embedded in plasma     membranes and comprised of multiple copies of influenza virus structural     proteins exhibiting neutralizing epitopes in native conformations. More     specifically, this invention relates to the design and production of     functional homotypic and heterotypic recombinant influenza virus-like     particles (VLPs) comprised of recombinant structural proteins of human     influenza virus type A/Sydney/5/94 (H3N2) and/or avian influenza virus     type A/Hong Kong/1073/99 (H9N2) in baculovirus-infected insect cells and     their application as a vaccine in the prevention of influenza infections     and as a laboratory reagent for virus structural studies and clinical     diagnostics.</t>
  </si>
  <si>
    <t>US20170232019</t>
  </si>
  <si>
    <t>15/586500</t>
  </si>
  <si>
    <t>A61K 9/2009 20130101;  A61P 31/18 20180101;  A61K 45/06 20130101;  A61P 31/12 20180101;  A61K 31/675 20130101;  A61K 31/7076 20130101;  A61P 43/00 20180101;  A61K 9/2054 20130101;  A61K 9/2013 20130101;  A61K 31/675 20130101;  A61K 31/683 20130101;  A61K 31/7076 20130101;  A61K 9/2059 20130101;  A61K 31/513 20130101;  A61P 31/00 20180101;  A61K 9/2018 20130101;  A61K 31/513 20130101;  A61K 2300/00 20130101;  A61K 2300/00 20130101;  A61K 2300/00 20130101</t>
  </si>
  <si>
    <t>US20170226215</t>
  </si>
  <si>
    <t>Antibody Therapeutics That Bind CD137</t>
  </si>
  <si>
    <t>15/050215</t>
  </si>
  <si>
    <t>A61P 1/04 20180101;  C07K 2317/21 20130101;  C07K 2317/92 20130101;  A61P 17/00 20180101;  C07K 16/2878 20130101;  A61P 43/00 20180101;  A61P 1/16 20180101;  C07K 2317/33 20130101;  A61P 31/12 20180101;  A61P 11/00 20180101;  A61P 13/12 20180101;  A61P 35/00 20180101;  C07K 2317/70 20130101;  C07K 2317/75 20130101;  A61P 15/00 20180101;  A61P 37/04 20180101;  C07K 2317/56 20130101;  A61P 37/06 20180101</t>
  </si>
  <si>
    <t>US20170226140</t>
  </si>
  <si>
    <t>2' FLUORO SUBSTITUTED CARBA-NUCLEOSIDE ANALOGS FOR ANTIVIRAL TREATMENT</t>
  </si>
  <si>
    <t>15/414351</t>
  </si>
  <si>
    <t>Clarke; Michael O' Neil Hanrahan; (Redwood City, CA); Kim; Choung U.; (San Carlos, CA); Lew; Willard; (San Mateo, CA)</t>
  </si>
  <si>
    <t>A61K 31/7056 20130101;  A61K 45/06 20130101;  C07F 9/65586 20130101;  C07H 7/06 20130101;  A61K 31/137 20130101;  A61K 31/137 20130101;  A61K 31/351 20130101;  A61P 31/12 20180101;  A61K 31/235 20130101;  A61K 31/4965 20130101;  A61K 31/192 20130101;  A61K 38/21 20130101;  A61K 38/21 20130101;  C07H 17/02 20130101;  A61K 31/192 20130101;  A61K 31/7056 20130101;  A61K 31/351 20130101;  C07D 487/04 20130101;  A61K 2300/00 20130101;  A61K 2300/00 20130101;  A61K 2300/00 20130101;  A61K 2300/00 20130101;  A61K 2300/00 20130101;  A61K 2300/00 20130101;  A61K 2300/00 20130101;  A61P 31/16 20180101;  A61K 31/235 20130101;  A61K 31/706 20130101;  A61K 31/4965 20130101</t>
  </si>
  <si>
    <t>Provided are methods for treating Orthomyxoviridae virus infections by     administering ribosides, riboside phosphates and prodrugs thereof, of     Formula I:  ##STR00001## wherein R.sup.2 is halogen. The compounds, compositions, and methods     provided are particularly useful for the treatment of Human Influenza     virus infections.</t>
  </si>
  <si>
    <t>US20170216427</t>
  </si>
  <si>
    <t>15/328179</t>
  </si>
  <si>
    <t>A61K 2039/54 20130101;  C12N 2770/20051 20130101;  C07K 14/005 20130101;  A61P 31/14 20180101;  C12N 2770/20062 20130101;  C12N 7/00 20130101;  C12N 2770/20022 20130101;  C12N 2770/20021 20130101;  C12Y 207/07048 20130101;  C12N 9/127 20130101;  A61K 2039/70 20130101;  C12N 2770/20071 20130101;  A61K 39/215 20130101;  C12N 2770/20034 20130101;  A61K 2039/5254 20130101</t>
  </si>
  <si>
    <t>The present invention provides a live, attenuated coronavirus comprising     a variant replicase gene encoding polyproteins comprising a mutation in     one or more of non-structural protein(s) (nsp)-10, nsp-14, nsp-15 or     nsp-16. The coronavirus may be used as a vaccine for treating and/or     preventing a disease, such as infectious bronchitis, in a subject.</t>
  </si>
  <si>
    <t>US20170210770</t>
  </si>
  <si>
    <t>15/402857</t>
  </si>
  <si>
    <t>C07H 19/16 20130101;  C07H 19/20 20130101;  A61K 45/06 20130101;  A61K 31/662 20130101;  A61K 31/683 20130101;  C07H 19/00 20130101;  A61P 43/00 20180101;  A61K 31/341 20130101;  A61K 31/675 20130101;  A61K 31/675 20130101;  A61P 31/00 20180101;  A61K 2300/00 20130101;  A61K 2300/00 20130101;  A61P 31/14 20180101;  A61K 2300/00 20130101;  A61P 31/12 20180101;  A61K 31/513 20130101;  A61K 31/341 20130101;  C07F 9/65616 20130101;  A61P 31/18 20180101;  A61K 31/513 20130101;  A61P 31/20 20180101;  A61K 31/683 20130101;  A61K 2300/00 20130101</t>
  </si>
  <si>
    <t>US20170210756</t>
  </si>
  <si>
    <t>SYNTHESIS OF AN ANTIVIRAL COMPOUND</t>
  </si>
  <si>
    <t>15/227527</t>
  </si>
  <si>
    <t>Cagulada; Amy; (San Francisco, CA); Chan; Johann; (Foster City, CA); Chan; Lina; (Foster City, CA); Colby; Denise A.; (San Francisco, CA); Karki; Kapil Kumar; (Foster City, CA); Kato; Darryl; (San Francisco, CA); Keaton; Katie Ann; (Burlingame, CA); Kondapally; Sudha; (Foster City, CA); Levins; Christopher; (San Mateo, CA); Littke; Adam; (Oakland, CA); Martinez; Ruben; (San Diego, CA); Pcion; Dominika; (Foster City, CA); Reynolds; Troy; (San Francisco, CA); Ross; Bruce; (El Granada, CA); Sangi; Michael; (San Mateo, CA); Schrier; Adam J.; (Redwood City, CA); Seng; Pamela; (San Francisco, CA); Siegel; Dustin; (San Carlos, CA); Shapiro; Nathan; (Belmont, CA); Tang; Donald; (Millbrae, CA); Taylor; James G.; (Burlingame, CA); Tripp; Jonathan; (San Mateo, CA); Waltman; Andrew W.; (San Francisco, CA); Yu; Lawrence; (Foster City, CA)</t>
  </si>
  <si>
    <t>C07D 498/16 20130101;  C07C 255/61 20130101;  C07C 205/57 20130101;  C07C 209/00 20130101;  C07D 453/02 20130101;  C07D 241/44 20130101;  C07C 227/02 20130101;  C07C 251/12 20130101;  C07C 51/09 20130101;  A61P 31/14 20180101;  A61P 1/16 20180101;  C07C 271/34 20130101;  C07D 403/12 20130101;  C07D 498/18 20130101;  C07K 5/0808 20130101;  C07C 2601/02 20170501;  C07C 233/09 20130101</t>
  </si>
  <si>
    <t>The present disclosure provides processes for the preparation of a     compound of formula I:  ##STR00001## which is useful as an antiviral agent. The disclosure also provides     compounds and processes for the preparation of the compounds that are     synthetic intermediates to the compound of formula I.</t>
  </si>
  <si>
    <t>US20170209102</t>
  </si>
  <si>
    <t>CONTACT TRACING ANALYTICS</t>
  </si>
  <si>
    <t>15/006214</t>
  </si>
  <si>
    <t>Parthasarathy; Kanagavalli; (Singapore, SG); Pillai; Saritha S.; (Singapore, SG); Rojo; Marianne B.; (Singapore, SG); Sethumadhavan; Kishore; (Singapore, SG); Syarif; Ronny; (Singapore, SG); Tandiono; Helen; (Singapore, SG)</t>
  </si>
  <si>
    <t>A61B 5/7275 20130101;  A61B 5/01 20130101;  G16H 10/60 20180101;  A61B 2560/0242 20130101;  A61B 5/0059 20130101</t>
  </si>
  <si>
    <t>Contact tracing during an event is provided. Community interaction information for one or more clusters is determined. The community interaction information for a cluster correlates times and physical locations of one or more individuals within an area corresponding to the cluster. It is determined that a first individual has traveled from a first area corresponding to a first cluster to a second area corresponding to a second cluster. The determination is based, at least in part, on correlated times and physical locations of the first individual. One or more at-risk individuals is identified based, at least in part, on the community interaction information of the second cluster.</t>
  </si>
  <si>
    <t>US20170206334</t>
  </si>
  <si>
    <t>15/405321</t>
  </si>
  <si>
    <t>G16H 50/30 20180101;  G06F 19/3431 20130101</t>
  </si>
  <si>
    <t>Infection control methods and systems associate proximity-detection devices with people in a population, such as people in a hospital. Each proximity-detection device detects proximity events with other people. The methods and systems detect proximity events and, for person-to-person pairs who were involved in such an event, records at least one risk value as a measure of risk of an infectious agent having been transferred between the pair. Upon indication of an infectious agent transfer to a member of the population, a health worker may conduct an infection control intervention on members of a subpopulation of people based on detected proximity events and risk values. The method and system may be extended to fomites. Correlations may be made over multiple infection events.</t>
  </si>
  <si>
    <t>US20170204361</t>
  </si>
  <si>
    <t>MANUFACTURING DEVICE AND PROCESS FOR PERSONALIZED DELIVERY VECTOR-BASED IMMUNOTHERAPY</t>
  </si>
  <si>
    <t>15/326955</t>
  </si>
  <si>
    <t>EAPEN; Anil; (Princeton, NJ); PETIT; Robert; (Newtown (Wrightstown), PA); PUJOLS; Mayo; (Doylestown, PA)</t>
  </si>
  <si>
    <t>C12N 1/36 20130101;  A61K 35/74 20130101;  C12M 23/14 20130101;  C12M 29/04 20130101;  C12M 41/36 20130101;  C12M 27/00 20130101;  C12N 1/20 20130101;  B65B 7/02 20130101;  B65B 3/04 20130101;  A61K 39/0011 20130101;  C12M 41/46 20130101;  C12M 41/40 20130101;  B65B 55/00 20130101</t>
  </si>
  <si>
    <t>This invention provides a system of providing and a process of creating personalized immunotherapeutic compositions for a subject having a disease or condition, including therapeutic vaccine delivery vectors comprising gene expression constructs expressing peptides associated with one or more neo-epitopes or peptides containing mutations that are specific to an subject's cancer or unhealthy tissue. The invention further provides a scalable fully enclosed single use cell growth system, wherein the entire process of manufacturing of personalized immunotherapeutic compositions, up to and including dispensing said composition into containers for patient delivery is carried out within a single enclosed fluid flow path.</t>
  </si>
  <si>
    <t>US20170202951</t>
  </si>
  <si>
    <t>15/324908</t>
  </si>
  <si>
    <t>MARX; Jacqueline Gayle; (Portage, MI); Hardham; John Morgan; (Kalamazoo, MI); Dominowski; Paul J.; (Kalamazoo, MI); Rielson; Vicki Jon; (Kalamazoo, MI); Balasch; Monica Sanuy; (Barcelona, ES); Cabana Sumsi; Marta; (Barcelona, ES); Plaja Dilme; Laia; (Girona, ES); URNIZA Hostench; Alicia; (Girona, ES); Romero Galindo; Oscar; (White Plains, NY)</t>
  </si>
  <si>
    <t>A61K 39/12 20130101;  A61K 2039/55566 20130101;  A61K 2039/5252 20130101;  A61K 2039/55505 20130101;  C12N 2770/20022 20130101;  C12N 2770/20034 20130101;  C12N 2770/20071 20130101;  A61K 39/215 20130101;  C12N 7/00 20130101;  A61K 2039/70 20130101;  A61K 2039/575 20130101;  A61K 2039/552 20130101;  C12N 2770/20063 20130101</t>
  </si>
  <si>
    <t>US20170202865</t>
  </si>
  <si>
    <t>15/393847</t>
  </si>
  <si>
    <t>A61K 31/4178 20130101;  A61K 9/209 20130101;  A61K 31/497 20130101;  A61K 31/381 20130101;  A61K 31/4709 20130101;  A61K 9/28 20130101;  A61K 31/439 20130101;  A61K 31/4184 20130101;  A61K 9/2027 20130101;  A61K 9/2009 20130101;  A61K 9/1635 20130101;  A61K 31/5377 20130101;  A61K 9/2018 20130101;  A61K 31/675 20130101;  A61P 31/14 20180101;  A61K 9/2054 20130101;  A61K 31/513 20130101;  A61K 31/4985 20130101;  A61P 1/16 20180101;  A61K 9/2013 20130101;  A61P 31/12 20180101;  A61K 31/7076 20130101;  A61K 31/4025 20130101;  A61K 31/7056 20130101;  A61K 31/5025 20130101;  A61K 9/1623 20130101;  A61K 31/7072 20130101;  A61K 31/4184 20130101;  A61K 2300/00 20130101;  A61K 31/7072 20130101;  A61K 2300/00 20130101;  A61K 31/7056 20130101;  A61K 2300/00 20130101;  A61K 31/4709 20130101;  A61K 2300/00 20130101;  A61K 31/5025 20130101;  A61K 2300/00 20130101;  A61K 31/4025 20130101;  A61K 2300/00 20130101;  A61K 31/381 20130101;  A61K 2300/00 20130101;  A61K 31/7076 20130101;  A61K 2300/00 20130101;  A61K 31/513 20130101;  A61K 2300/00 20130101;  A61K 31/4985 20130101;  A61K 2300/00 20130101;  A61K 31/675 20130101;  A61K 2300/00 20130101;  A61K 31/497 20130101;  A61K 2300/00 20130101;  A61K 31/5377 20130101;  A61K 2300/00 20130101;  A61K 31/439 20130101;  A61K 2300/00 20130101</t>
  </si>
  <si>
    <t>US20170198036</t>
  </si>
  <si>
    <t>Immunity; Other</t>
  </si>
  <si>
    <t>15/380203</t>
  </si>
  <si>
    <t>SMITH; Jeffrey T.L.; (Bellevue, WA); Schatzman; Randall C.; (Redmond, WA); Litton; Mark; (Seattle, WA); Latham; John; (Seattle, WA)</t>
  </si>
  <si>
    <t>A61K 2039/505 20130101;  C07K 16/248 20130101;  C07K 2317/24 20130101;  C07K 2317/41 20130101;  C07K 2317/56 20130101;  C07K 2317/94 20130101;  C07K 2317/92 20130101;  C07K 2317/34 20130101;  C07K 2317/76 20130101;  C07K 2317/52 20130101;  C07K 2317/565 20130101</t>
  </si>
  <si>
    <t>The present invention is directed to therapeutic methods using antibodies and fragments thereof having binding specificity for IL-6 to prevent or treat cachexia, fever, weakness and/or fatigue in a patient in need thereof. In preferred embodiments these patients will comprise those exhibiting (or at risk of developing) an elevated serum C-reactive protein level. In another preferred embodiment, the patient's survivability or quality of life will preferably be improved.</t>
  </si>
  <si>
    <t>US20170191973</t>
  </si>
  <si>
    <t>DISTRIBUTED BIOLOGICAL MONITORING SYSTEM</t>
  </si>
  <si>
    <t>15/291413</t>
  </si>
  <si>
    <t>Eusebi, Christopher A.; Nowak, Brent M.; Nowak, Barry D.</t>
  </si>
  <si>
    <t>EUSEBI CHRISTOPHER</t>
  </si>
  <si>
    <t>Eusebi; Christopher A.; (Bloomfield Twp., MI); Nowak; Brent M.; (Ada, MI); Nowak; Barry D.; (Grand Rapids, MI)</t>
  </si>
  <si>
    <t>G01N 33/0075 20130101;  G01N 33/0031 20130101;  G01N 33/0047 20130101;  G01N 33/0062 20130101;  G01N 33/5097 20130101;  G06F 19/3493 20130101;  C12Q 1/68 20130101;  G16H 50/80 20180101</t>
  </si>
  <si>
    <t>A system for the detection of biological markers over a distributed area     is disclosed. The system utilizes a fleet of mobile platforms, which are     pseudo randomly distributed over a geographic region. The mobile     platforms are equipped with an indexable air filter system, which     captures samples of spores, pollen, or dust at discrete geographic or     temporal nodes. The nodes are programmable, which allows both temporal     and geographic data points to be linear, geometric, exponential or other     non-linear modes that allows for unique analysis and data compression     algorithms.</t>
  </si>
  <si>
    <t>US20170190763</t>
  </si>
  <si>
    <t>15/379157</t>
  </si>
  <si>
    <t>Balakrishnan; Mini; (Foster City, CA); Carr; Brian A.; (Foster City, CA); Corbin; John; (Oakland, CA); Pace; Craig S.; (Belmont, CA); Thomson; Nathan D.; (Castro Valley, CA); Zhang; Xue; (San Diego, CA)</t>
  </si>
  <si>
    <t>C07K 2317/567 20130101;  A61P 31/18 20180101;  C07K 2317/55 20130101;  C07K 2317/72 20130101;  C07K 2317/76 20130101;  C07K 2317/94 20130101;  C07K 2317/515 20130101;  C07K 2317/565 20130101;  C07K 16/1063 20130101;  C07K 2317/51 20130101;  C07K 2317/52 20130101;  C07K 2317/92 20130101;  C07K 2317/732 20130101;  C07K 2317/33 20130101;  C07K 2317/56 20130101;  A61P 31/12 20180101;  C07K 2317/41 20130101;  A61K 2039/505 20130101</t>
  </si>
  <si>
    <t>US20170190737</t>
  </si>
  <si>
    <t>MACROCYCLIC INHIBITORS OF FLAVIVIRIDAE VIRUSES</t>
  </si>
  <si>
    <t>15/465492</t>
  </si>
  <si>
    <t>CYPRALIS LIMITED</t>
  </si>
  <si>
    <t>CYPRALIS</t>
  </si>
  <si>
    <t>Aciro; Caroline; (Bottisham, GB); Dean; David Kenneth; (Ware, GB); Dunbar; Neil Andrew; (Chelmsford, GB); Highton; Adrian John; (Chelmsford, GB); Jansa; Petr; (San Mateo, CA); Karki; Kapil Kumar; (Foster City, CA); Keats; Andrew John; (Essex, GB); Lazarides; Linos; (London, GB); Mackman; Richard L.; (Millbrae, CA); Pettit; Simon N.; (Essex, GB); Poullennec; Karine G.; (Essex, GB); Schrier; Adam James; (Redwood City, CA); Siegel; Dustin; (San Carlos, CA); Steadman; Victoria Alexandra; (Essex, GB)</t>
  </si>
  <si>
    <t>A61K 38/12 20130101;  A61K 38/21 20130101;  C07K 5/06052 20130101;  A61K 38/55 20130101;  C07D 487/08 20130101;  C07K 5/0606 20130101;  A61K 38/55 20130101;  C07K 5/06191 20130101;  A61K 38/05 20130101;  A61P 43/00 20180101;  A61K 31/7056 20130101;  A61P 3/04 20180101;  A61K 31/403 20130101;  C07D 498/18 20130101;  A61P 31/14 20180101;  A61P 31/00 20180101;  A61K 31/7056 20130101;  A61P 31/20 20180101;  A61P 35/00 20180101;  C07K 5/06086 20130101;  A61P 29/00 20180101;  C07K 5/06139 20130101;  A61P 1/16 20180101;  C07K 19/00 20130101;  A61K 39/29 20130101;  A61K 31/403 20130101;  C07D 498/22 20130101;  A61K 38/21 20130101;  Y02A 50/387 20180101;  A61P 31/12 20180101;  A61K 31/7072 20130101;  A61P 37/02 20180101;  Y02A 50/391 20180101;  Y02A 50/395 20180101;  A61K 31/7072 20130101;  A61K 2300/00 20130101;  A61K 2300/00 20130101;  A61K 2300/00 20130101;  A61K 2300/00 20130101;  A61K 31/497 20130101;  A61K 2300/00 20130101;  A61P 11/00 20180101;  C07K 5/02 20130101;  C07D 498/08 20130101;  C07K 5/06078 20130101;  Y02A 50/385 20180101;  A61K 31/497 20130101;  A61K 31/504 20130101;  A61P 31/18 20180101;  A61K 2300/00 20130101;  A61K 2300/00 20130101;  A61K 38/00 20130101;  A61K 31/504 20130101;  A61K 38/15 20130101;  A61K 45/06 20130101;  Y02A 50/389 20180101;  C07D 471/18 20130101;  C07K 5/06034 20130101</t>
  </si>
  <si>
    <t>Provided are compounds of Formula I:  ##STR00001## and pharmaceutically acceptable salts and esters thereof. The compounds,     compositions, and methods provided are useful for the treatment of virus     infections, particularly hepatitis C infections.</t>
  </si>
  <si>
    <t>US20170190734</t>
  </si>
  <si>
    <t>15/423469</t>
  </si>
  <si>
    <t>Aciro; Caroline; (Bottisham, GB); Chiva; Jean Yves; (Essex, GB); Dean; David Kenneth; (Ware, GB); Highton; Adrian John; (Chelmsford, GB); Jansa; Petr; (San Mateo, CA); Keats; Andrew John; (Essex, GB); Lazarides; Linos; (London, GB); Mackman; Richard; (Millbrae, CA); Poullennec; Karine G.; (Essex, GB); Schrier; Adam James; (Redwood City, CA); Siegel; Dustin Scott; (San Carlos, CA); Steadman; Victoria Alexandra; (Essex, GB); Watt; Greg; (Bristol, GB)</t>
  </si>
  <si>
    <t>A61K 39/05 20130101;  A61P 31/12 20180101;  A61K 45/06 20130101;  C07K 5/0202 20130101;  C07D 498/08 20130101;  A61P 43/00 20180101;  A61K 38/00 20130101;  C07D 498/22 20130101;  A61P 1/14 20180101;  A61P 31/00 20180101;  Y02A 50/395 20180101;  Y02A 50/393 20180101;  Y02A 50/391 20180101;  Y02A 50/387 20180101;  Y02A 50/385 20180101;  C07D 498/18 20130101;  A61K 39/29 20130101;  C07D 487/08 20130101;  A61P 11/00 20180101;  Y02A 50/389 20180101;  A61P 1/16 20180101;  A61K 38/12 20130101;  A61P 3/04 20180101;  A61K 38/15 20130101;  C07K 5/02 20130101;  A61P 29/00 20180101;  A61P 31/14 20180101;  A61P 31/18 20180101;  A61P 31/20 20180101;  A61P 37/02 20180101;  A61P 35/00 20180101</t>
  </si>
  <si>
    <t>Provided are compounds of Formula I:  ##STR00001##    and pharmaceutically acceptable salts and esters     thereof. The compounds, compositions, and methods provided are useful for     the treatment of virus infections, particularly hepatitis C infections.</t>
  </si>
  <si>
    <t>US20170190708</t>
  </si>
  <si>
    <t>15/347494</t>
  </si>
  <si>
    <t>Babaoglu; Kerim; (Lansdale, PA); Boojamra; Constantine G.; (San Francisco, CA); Eisenberg; Eugene J.; (San Carlos, CA); Hui; Hon Chung; (Foster City, CA); Mackman; Richard L.; (Millbrae, CA); Parrish; Jay P.; (El Dorado Hills, CA); Sangi; Michael; (San Mateo, CA); Saunders; Oliver L.; (Clovis, CA); Siegel; Dustin; (Half Moon Bay, CA); Sperandio; David; (Palo Alto, CA); Yang; Hai; (San Mateo, CA)</t>
  </si>
  <si>
    <t>C07D 487/04 20130101;  A61K 31/675 20130101;  A61P 11/00 20180101;  C07D 513/04 20130101;  A61P 31/12 20180101;  A61P 31/14 20180101;  A61K 31/55 20130101;  C07F 9/65616 20130101;  A61K 45/06 20130101;  A61K 31/5377 20130101;  A61K 31/551 20130101;  A61P 31/16 20180101;  C07D 519/00 20130101;  C07D 495/04 20130101;  A61K 31/519 20130101</t>
  </si>
  <si>
    <t>US20170189337</t>
  </si>
  <si>
    <t>Therapeutic Compositions for Treatment of Human Immunodeficiency Virus</t>
  </si>
  <si>
    <t>15/346335</t>
  </si>
  <si>
    <t>Collman; Benjamin Micah; (Foster City, CA); Hong; Lei; (Cupertino, CA); Koziara; Joanna M.; (Foster City, CA)</t>
  </si>
  <si>
    <t>A61K 31/675 20130101;  A61K 31/553 20130101;  A61K 9/209 20130101;  A61K 31/513 20130101;  A61P 31/18 20180101;  A61K 9/2086 20130101;  A61K 9/2013 20130101;  A61K 31/5365 20130101;  A61K 9/2095 20130101;  A61K 9/0053 20130101;  A61K 9/28 20130101;  A61K 9/2054 20130101;  A61K 31/513 20130101;  A61K 2300/00 20130101;  A61K 31/553 20130101;  A61K 2300/00 20130101;  A61K 31/675 20130101;  A61K 2300/00 20130101</t>
  </si>
  <si>
    <t>A solid oral dosage form is provided, comprising a compound of Formula I     or a pharmaceutically acceptable salt thereof, tenofovir alafenamide or a     pharmaceutically acceptable salt thereof, and emtricitabine or a     pharmaceutically acceptable salt thereof.</t>
  </si>
  <si>
    <t>US20170183713</t>
  </si>
  <si>
    <t>15/436080</t>
  </si>
  <si>
    <t>B01L 2300/0654 20130101;  B01L 7/52 20130101;  B01L 2300/0832 20130101;  G01N 35/00871 20130101;  G01N 2021/7786 20130101;  B01L 2300/1827 20130101;  B01L 2300/1805 20130101;  B01L 2300/1894 20130101;  B01L 2300/0627 20130101;  G01N 2035/00366 20130101;  B01L 2300/1844 20130101;  B01L 2200/028 20130101;  B01L 2200/025 20130101;  G01N 21/77 20130101;  B01L 2200/147 20130101;  C12Q 1/686 20130101;  B01L 2300/023 20130101;  B01L 2300/0609 20130101;  G01N 2035/00445 20130101;  G01N 2035/00881 20130101;  B01L 2300/1822 20130101</t>
  </si>
  <si>
    <t>US20170173128</t>
  </si>
  <si>
    <t>TARGETED ADAPTIVE VACCINES</t>
  </si>
  <si>
    <t>15/102230</t>
  </si>
  <si>
    <t>Hoge; Stephen G.; (Cambridge, MA); Huang; Eric Yi-Chun; (Cambridge, MA)</t>
  </si>
  <si>
    <t>A61K 39/0008 20130101;  A61K 39/39 20130101;  A61K 2039/53 20130101;  A61K 2039/57 20130101</t>
  </si>
  <si>
    <t>The invention relates to compositions and methods for the preparation, manufacture and therapeutic use of polynucleotide molecules for targeted adaptive vaccines (TAVs).</t>
  </si>
  <si>
    <t>US20170169182</t>
  </si>
  <si>
    <t>15/387506</t>
  </si>
  <si>
    <t>GUARDIAN HEALTH TECHNOLOGIES, LLC</t>
  </si>
  <si>
    <t>GUARDIAN HEALTH</t>
  </si>
  <si>
    <t>G06F 19/3443 20130101;  G16H 10/60 20180101;  G16H 50/70 20180101;  G06F 19/322 20130101</t>
  </si>
  <si>
    <t>US20170168051</t>
  </si>
  <si>
    <t>SYSTEMS AND METHODS FOR DETECTING INFECTIOUS DISEASES</t>
  </si>
  <si>
    <t>15/356972</t>
  </si>
  <si>
    <t>Lui; Clarissa; (Menlo Park, CA); Holmes; Elizabeth A.; (Palo Alto, CA)</t>
  </si>
  <si>
    <t>C12Q 1/70 20130101;  C12Q 2600/16 20130101;  C12Q 1/706 20130101;  G01N 2469/10 20130101;  C12Q 2600/158 20130101;  G16H 10/40 20180101;  Y02A 90/24 20180101;  Y10T 436/11 20150115;  C12Q 1/705 20130101;  G01N 2469/20 20130101;  G16H 50/20 20180101;  Y02A 50/58 20180101;  G01N 33/56911 20130101;  C12Q 1/703 20130101;  C12Q 1/6895 20130101;  C12Q 2521/501 20130101;  Y02A 90/26 20180101;  C12Q 1/707 20130101;  G01N 35/10 20130101;  C12Q 1/68 20130101;  G01N 33/56983 20130101;  G01N 2035/00237 20130101;  C12Q 1/6844 20130101;  C12Q 1/6893 20130101;  G01N 33/56938 20130101;  G01N 33/56944 20130101;  G01N 33/56988 20130101;  G01N 33/56994 20130101;  C12Q 1/701 20130101;  C12Q 1/6806 20130101;  C12Q 1/689 20130101;  G01N 33/56916 20130101;  G01N 2333/11 20130101;  G16H 20/10 20180101</t>
  </si>
  <si>
    <t>US20170165223</t>
  </si>
  <si>
    <t>3' Equatorial-Fluorine-Substituted Neuraminidase Inhibitor Compounds,     Compositions and Methods for the Use Thereof as Anti-Virals</t>
  </si>
  <si>
    <t>15/243679</t>
  </si>
  <si>
    <t>Withers; Stephen; (Vancouver, CA); Chen; Hongming; (Vancouver, CA); Resende; Ricardo; (Vancouver, CA); Breschkin; Jennifer Lois; (Essendon, AU)</t>
  </si>
  <si>
    <t>A61K 31/351 20130101;  A61P 31/16 20180101;  A61P 31/12 20180101;  C07D 309/14 20130101</t>
  </si>
  <si>
    <t>Equatorial 2,3-fluorinated glycosides compounds of formula (I) useful for     the treatment or prophylaxis of viral infection, particularly viral     influenza, the methods for their preparation, and their pharmaceutical     compositions. The therapeutic effect is achieved via inhibition of viral     neuraminidases.</t>
  </si>
  <si>
    <t>US20170161465</t>
  </si>
  <si>
    <t>SYSTEM AND METHOD FOR MONITORING CONTAINMENT OF AN EPIDEMIC</t>
  </si>
  <si>
    <t>14/960616</t>
  </si>
  <si>
    <t>Arora; Ankur; (New Delhi, IN)</t>
  </si>
  <si>
    <t>G06F 19/3493 20130101;  G16H 50/80 20180101;  G06Q 50/22 20130101;  G06Q 30/0205 20130101</t>
  </si>
  <si>
    <t>A system and method is disclosed for monitoring the containment of an     epidemic in relation to a location-based restriction using an anonymized     database of spending records. The system measures the effectiveness of a     restriction by analyzing the spending records of individuals in the     population and identifies transaction trends that relate to the     restriction and correlates them to the effectiveness of the restriction.     Based on the identified transaction trends, the system calculates the     effectiveness and analyzes the restrictions according to expected trends     and models of epidemic spread by geography. The system utilizes the     measured effectiveness and predictive analysis to generate notifications     if the effectiveness does not meet prescribed requirements and to     recommend corrective action. In addition, the system can dynamically     update restrictions, implement new restrictions and in certain     embodiments, the system can elicit (and respond to) actions that are     taken at remote devices, such as mobile phones, computers and POS     terminals.</t>
  </si>
  <si>
    <t>US20170158752</t>
  </si>
  <si>
    <t>15/306617</t>
  </si>
  <si>
    <t>MARASCO; Wayne A.; (Wellesley, MA); TANG; Xiangchun; (West Roxbury, MA)</t>
  </si>
  <si>
    <t>G01N 33/577 20130101;  G01N 33/56983 20130101;  C07K 2317/34 20130101;  C07K 2317/56 20130101;  C07K 2319/40 20130101;  G01N 2333/165 20130101;  C07K 2317/76 20130101;  C07K 2317/92 20130101;  A61K 2039/507 20130101;  C07K 16/10 20130101;  C07K 2317/21 20130101;  C07K 2319/43 20130101;  C07K 2317/622 20130101;  C12N 2770/20022 20130101;  G01N 2469/10 20130101;  C07K 2317/13 20130101;  C07K 2317/52 20130101;  C12N 2740/16043 20130101;  C12N 2810/609 20130101</t>
  </si>
  <si>
    <t>US20170158684</t>
  </si>
  <si>
    <t>NOVEL COMPOUND, PHARMACEUTICALLY ACCEPTABLE SALT OR OPTICAL ISOMER     THEREOF, METHOD FOR PREPARING THE SAME, AND PHARMACEUTICAL COMPOSITION     FOR PREVENTION OR TREATMENT OF VIRAL DISEASES CONTAINING SAME AS ACTIVE     INGREDIENT</t>
  </si>
  <si>
    <t>15/433536</t>
  </si>
  <si>
    <t>Korea Research Institute Of Chemical Technology (KRICT)</t>
  </si>
  <si>
    <t>KOREA RESEARCH INSTITUTE CHEMICAL</t>
  </si>
  <si>
    <t>Jung; Young Sik; (Yooseong-gu Daejeon-si, KR); Han; Soo Bong; (Yooseong-gu Daejeon-si, KR); Lee; Chong-Kyo; (Yooseong-gu Daejeon-si, KR); Kim; Hae Soo; (Yooseong-gu Daejeon-si, KR); Shin; Jin Soo; (Yeong-gun Chungcheongnam-do, KR); Neyts; Johan; (Kessel-Lo, BE); Thibaut; Hendrik Jan; (Bierbeek, BE); Malpani; Yashwardhan Radhamohan; (Yooseong-gu Daejeon-si, KR)</t>
  </si>
  <si>
    <t>C07D 307/93 20130101;  C07D 405/12 20130101;  C07D 409/12 20130101;  C07D 413/12 20130101;  C07D 417/12 20130101;  C07D 407/12 20130101</t>
  </si>
  <si>
    <t>The present invention relates to a novel compound, to a pharmaceutically     acceptable salt or optical isomer thereof, to a method for preparing     same, and to a pharmaceutical composition for the prevention or treatment     of viral diseases containing same as an active ingredient. The novel     compound according to the present invention not only has low cytotoxicity     but also has excellent antiviral activity against picornavirus such as     coxsackievirus, enterovirus, echovirus, poliovirus and rhinovirus, and     thus can be effectively used as a pharmaceutical composition for the     prevention or treatment of viral diseases such as infantile paralysis,     acute hemorrhagic conjunctivitis, viral meningitis, hand-foot-and-mouth     disease, vesicular disease, hepatitis A, myitis, myocarditis,     pancreatitis, diabetes, epidemic myalgia, encephalitis, cold, herpangina,     foot-and-mouth disease, asthma, chronic obstructive pulmonary disease,     pneumonia, sinus infection, or otitis media.</t>
  </si>
  <si>
    <t>US20170145027</t>
  </si>
  <si>
    <t>15/207415</t>
  </si>
  <si>
    <t>Bacon; Elizabeth M.; (Burlingame, CA); Cottell; Jeromy J.; (Redwood City, CA); Katana; Ashley Anne; (San Mateo, CA); Kato; Darryl; (San Francisco, CA); Krygowski; Evan S.; (Washington, DC); Link; John O.; (San Francisco, CA); Taylor; James G.; (Burlingame, CA); Tran; Chinh Viet; (San Diego, CA); Trejo Martin; Teresa Alejandra; (Union City, CA); Yang; Zheng-Yu; (Palo Alto, CA); Zipfel; Sheila M.; (San Mateo, CA)</t>
  </si>
  <si>
    <t>A61P 43/00 20180101;  A61K 45/06 20130101;  C07D 491/052 20130101;  A61K 31/7064 20130101;  Y10S 514/894 20130101;  A61K 31/7056 20130101;  A61K 31/4188 20130101;  A61K 47/60 20170801;  A61K 31/7072 20130101;  A61K 31/7072 20130101;  A61K 31/7064 20130101;  A61K 38/07 20130101;  A61P 1/16 20180101;  C07F 5/025 20130101;  A61K 31/7056 20130101;  A61K 2300/00 20130101;  A61K 2300/00 20130101;  A61K 38/21 20130101;  A61K 38/06 20130101;  A61P 31/14 20180101;  A61K 31/4188 20130101;  C07D 405/12 20130101;  A61P 31/12 20180101;  A61K 2300/00 20130101;  A61K 2300/00 20130101</t>
  </si>
  <si>
    <t>US20170137405</t>
  </si>
  <si>
    <t>15/357290</t>
  </si>
  <si>
    <t>A61K 31/4985 20130101;  A61P 31/18 20180101;  A61P 31/14 20180101;  A61P 43/00 20180101;  C07D 413/14 20130101;  A61K 31/5377 20130101;  A61K 45/06 20130101;  C07D 495/04 20130101;  A61K 31/506 20130101;  C07D 401/14 20130101;  C07D 471/06 20130101;  C07D 491/052 20130101;  A61K 31/4439 20130101;  C07D 213/40 20130101;  C07D 403/12 20130101;  A61K 31/4545 20130101;  C07D 409/14 20130101;  C07D 405/12 20130101;  C07D 487/04 20130101;  C07D 491/04 20130101;  A61K 31/50 20130101;  A61K 31/4709 20130101;  C07D 403/14 20130101;  C07D 471/04 20130101;  C07D 401/12 20130101;  A61K 31/444 20130101</t>
  </si>
  <si>
    <t>US20170136001</t>
  </si>
  <si>
    <t>METHOD OF TREATING A VIRAL INFECTION USING ELVITEGRAVIR COMBINATIONS</t>
  </si>
  <si>
    <t>15/298084</t>
  </si>
  <si>
    <t>KEARNEY; Brian P.; (San Francisco, CA); MATHIAS; Anita A.; (Sunnyvale, CA); RAMANATHAN; Srinivasan; (San Carlos, CA)</t>
  </si>
  <si>
    <t>A61K 31/427 20130101;  A61P 35/00 20180101;  A61P 31/12 20180101;  A61P 31/18 20180101;  A61K 31/5377 20130101;  A61P 43/00 20180101;  A61K 31/47 20130101;  A61K 31/4402 20130101;  A61K 31/426 20130101</t>
  </si>
  <si>
    <t>The invention includes methods, compositions, and kits useful for     treating a viral infection by administering     6-(3-chloro-2-fluorobenzyl)-1-[(2S)-1-hydroxy-3-methylbutan-2-yl]-7-metho-    xy-4-oxo-1,4-dihydroquinoline-3-carboxylic acid or a pharmaceutically     acceptable salt thereof, with atazanavir or a pharmaceutically acceptable     salt thereof, and optionally with a compound that inhibits cytochrome     P-450, or a pharmaceutically acceptable salt thereof.</t>
  </si>
  <si>
    <t>US20170136000</t>
  </si>
  <si>
    <t>15/298070</t>
  </si>
  <si>
    <t>KEARNEY; Brian P.; (San Francisco, CA); MATHIAS; Anita A.; (Sunnyvale, CA)</t>
  </si>
  <si>
    <t>A61P 43/00 20180101;  A61K 31/426 20130101;  A61K 31/5377 20130101;  A61K 38/06 20130101;  A61P 31/18 20180101;  A61K 31/47 20130101;  A61K 31/513 20130101;  A61K 31/505 20130101;  A61P 31/12 20180101</t>
  </si>
  <si>
    <t>The invention includes methods, compositions, and kits useful for     treating a viral infection by coadministering     6-(3-chloro-2-fluorobenzyl)-1-[(2S)-1-hydroxy-3-methylbutan-2-yl]-7-metho-    xy-4-oxo-1,4-dihydroquinoline-3-carboxylic acid or a pharmaceutically     acceptable salt thereof, with lopinavir or a pharmaceutically acceptable     salt thereof.</t>
  </si>
  <si>
    <t>US20170132367</t>
  </si>
  <si>
    <t>MULTIFARIOUS MEDICAL CONSULTATION OPTIONS OPTIMIZER</t>
  </si>
  <si>
    <t>14/936806</t>
  </si>
  <si>
    <t>Cheng; Theodora H.; (Grand Prairie, TX); Cheng; Tsz S.; (Grand Prairie, TX); Purani; Tejashkumar B.; (Coppell, TX)</t>
  </si>
  <si>
    <t>G06F 19/322 20130101;  G06F 19/345 20130101;  G06F 19/325 20130101;  G16H 10/60 20180101;  G06N 5/04 20130101;  G16H 50/20 20180101;  G06F 19/3481 20130101</t>
  </si>
  <si>
    <t>A natural language input can be received from a user. A computer-understandable meaning of the natural language input can be derived by performing, by a processor, natural language processing on the natural language input. At least one indicated medical symptom can be identified in the natural language input by processing the computer-understandable meaning of the natural language input using artificial intelligence and, based on the at least one medical symptom, identifying at least one ailment corresponding to the medical symptom. Responsive to identifying the at least one medical symptom, a database of medical consultation options can be accessed to identify a plurality of medical consultation options for treating the at least one ailment and, for each medical consultation option a cost can be identified. A list of the medical consultation options and their costs can be presented to the user.</t>
  </si>
  <si>
    <t>US20170128562</t>
  </si>
  <si>
    <t>POLYVALENT INFLUENZA VIRUS-LIKE PARTICLES (VLPS) AND USE AS VACCINES</t>
  </si>
  <si>
    <t>15/317593</t>
  </si>
  <si>
    <t>US HEALTH</t>
  </si>
  <si>
    <t>Taubenberger; Jeffery K.; (Springfield, VA)</t>
  </si>
  <si>
    <t>A61K 39/12 20130101;  A61K 2039/5258 20130101;  C12N 2760/16123 20130101;  C12N 2760/16134 20130101;  C12N 2760/16234 20130101;  A61K 2039/543 20130101;  A61K 39/145 20130101;  C12N 2760/16223 20130101;  A61K 2039/70 20130101;  A61K 2039/55572 20130101</t>
  </si>
  <si>
    <t>This disclosure provides compositions that include a mixture of viral     like particles (VLPs), expressing different individual influenza     hemagglutinin (HA) proteins that elicit broadly reactive immune responses     to a wide variety of influenza viruses. For example, the composition can     include at least two different influenza VLPs, a first VLP comprising a     first HA polypeptide and a second VLP comprising a second influenza HA     polypeptide, wherein the first and the second HA polypeptide are     different subtypes and/or are from different influenza viruses, and a     pharmaceutically acceptable carrier and/or an adjuvant. Methods of using     the disclosed polymeric influenza VLP compositions to stimulate an immune     response against influenza viruses, for example as a pre-pandemic or a     seasonal vaccine, are provided.</t>
  </si>
  <si>
    <t>US20170119872</t>
  </si>
  <si>
    <t>15/290349</t>
  </si>
  <si>
    <t>A61K 2039/54 20130101;  C12N 2760/16211 20130101;  C12N 2760/16134 20130101;  G01N 33/68 20130101;  G01N 2333/11 20130101;  A61K 9/146 20130101;  A61M 2037/0046 20130101;  A61M 37/0015 20130101;  A61B 17/205 20130101;  C12N 2760/16234 20130101;  A61K 39/12 20130101;  A61K 2039/5252 20130101;  A61M 2202/30 20130101;  A61K 39/145 20130101;  A61B 2017/00004 20130101;  C12N 2760/16111 20130101;  A61K 2039/70 20130101;  A61M 2037/0023 20130101</t>
  </si>
  <si>
    <t>US20170115307</t>
  </si>
  <si>
    <t>15/276272</t>
  </si>
  <si>
    <t>Garcia-Martinez; Leon; (Woodinville, WA); Carvalho Jensen; Anne Elisabeth; (Wenatchee, WA); Anderson; Katie Olson; (Kirkland, WA); Dutzar; Benjamin H.; (Seattle, WA); Latham; John A.; (Seattle, WA); Kovacevich; Brian R.; (Snohomish, WA); Smith; Jeffrey T.L.; (Bellevue, WA); Litton; Mark; (Seattle, WA); Schatzman; Randall C.; (Redmond, WA)</t>
  </si>
  <si>
    <t>A61K 49/0058 20130101;  Y02A 50/412 20180101;  A61K 2039/505 20130101;  C07K 16/248 20130101;  C07K 2317/24 20130101;  C07K 2317/56 20130101;  C07K 2317/565 20130101;  C07K 2317/92 20130101;  C07K 2317/34 20130101;  C07K 2317/76 20130101;  C07K 2317/51 20130101;  C07K 2317/515 20130101;  G01N 33/6869 20130101;  G01N 2333/5412 20130101;  G01N 2800/7095 20130101;  A61K 51/1033 20130101</t>
  </si>
  <si>
    <t>US20170114406</t>
  </si>
  <si>
    <t>15/312909</t>
  </si>
  <si>
    <t>HANSEN; Carl Lars, Genghis; (Vancouver, CA); MEWIS; Georgia Elizabeth; (Vancouver, CA); HEYRIES; Kevin Albert; (Vancouver, CA); VANINSBERGHE; Michael Andrew; (Vancouver, CA); DA COSTA; Daniel Jay; (Pitt Meadows, CA); RICICOVA; Marketa; (Vancouver, CA)</t>
  </si>
  <si>
    <t>C12Q 1/6876 20130101;  C12Q 1/6876 20130101;  G16B 30/00 20190201;  C40B 20/00 20130101;  C07K 14/7051 20130101;  G01N 33/68 20130101;  C40B 30/04 20130101;  G16B 40/00 20190201;  C12Q 2535/122 20130101;  C12Q 2600/158 20130101</t>
  </si>
  <si>
    <t>US20170114086</t>
  </si>
  <si>
    <t>2'- SUBSTITUTED CARBA-NUCLEOSIDE ANALOGS FOR ANTIVIRAL TREATMENT</t>
  </si>
  <si>
    <t>15/282492</t>
  </si>
  <si>
    <t>A61K 45/06 20130101;  A61K 31/706 20130101;  A61P 43/00 20180101;  A61P 31/16 20180101;  A61P 31/14 20180101;  C07H 19/23 20130101;  A61P 31/00 20180101;  C07H 19/12 20130101</t>
  </si>
  <si>
    <t>US20170114048</t>
  </si>
  <si>
    <t>COMPOUNDS AND COMBINATIONS FOR THE TREATMENT OF HIV</t>
  </si>
  <si>
    <t>15/280801</t>
  </si>
  <si>
    <t>Cihlar; Tomas; (Foster City, CA); Graupe; Michael; (Pacifica, CA); Hu; Yunfeng Eric; (San Mateo, CA); Murry; Jeffrey Patrick; (Castro Valley, CA); Sloan; Derek Dean; (Belmont, CA); Stepan; George; (Union City, CA); Yu; Helen; (Mountain View, CA)</t>
  </si>
  <si>
    <t>A61K 31/4196 20130101;  C07D 249/10 20130101;  A61K 38/06 20130101;  A61K 31/69 20130101;  C07D 405/12 20130101;  A61K 45/06 20130101;  A61K 38/07 20130101;  A61P 31/18 20180101</t>
  </si>
  <si>
    <t>Provided are compounds, compositions, combinations, kits, uses, and     methods for treating HIV in a human being using such compounds or     combinations with proteasome inhibitors.</t>
  </si>
  <si>
    <t>US20170112379</t>
  </si>
  <si>
    <t>METHODS AND SYSTEMS FOR PRE-SYMPTOMATIC DETECTION OF EXPOSURE TO AN AGENT</t>
  </si>
  <si>
    <t>15/212769</t>
  </si>
  <si>
    <t>Swiston; Albert Joseph; (Cambridge, MA); Patel; Tejash Mukesh; (Cambridge, MA); Edwards; Lauren Elizabeth; (Acton, MA); Fleischman; Jack Gerard; (Groton, MA); Pratt; William Donald; (Frederick, MD); Honko; Anna Nichole; (Frederick, MD)</t>
  </si>
  <si>
    <t>A61B 5/00 20130101;  A61B 5/0006 20130101;  A61B 5/0008 20130101;  G16H 50/20 20180101;  A61B 5/08 20130101;  G06F 19/00 20130101;  G16H 50/80 20180101;  A61B 5/021 20130101</t>
  </si>
  <si>
    <t>Systems and methods are disclosed herein for predicting whether a patient has been exposed to an agent. Physiological data is recorded from the patient during a first time interval, and one or more features are extracted from the physiological data. A plurality of classifiers is identified, wherein each classifier is trained using training data for a respective specific post-exposure time interval. For each classifier and based on a respective subset of the one or more features, a patient state classification that indicates an initial prediction of whether the patient has been exposed to the agent is determined. An indication of a prediction that the patient has been exposed to the agent is provided when a number of patient state classifications indicating a positive initial prediction that the patient has been exposed to the agent exceeds a first threshold.</t>
  </si>
  <si>
    <t>US20170107289</t>
  </si>
  <si>
    <t>INTRACELLULAR DELIVERY COMPOUNDS</t>
  </si>
  <si>
    <t>15/298813</t>
  </si>
  <si>
    <t>Fu; Yanwen; (San Diego, CA); Kaufmann; Gunnar Jorg Floris; (San Diego, CA); Lee; Heehyoung; (Arcadia, CA); Lalaso; Ingale Sampat; (San Diego, CA)</t>
  </si>
  <si>
    <t>A61K 47/6843 20170801;  C07K 16/2863 20130101;  C07K 16/2818 20130101;  C07K 2317/77 20130101;  C07K 16/18 20130101;  A61K 47/6849 20170801;  A61P 35/00 20180101;  C07K 2317/73 20130101;  C07K 2317/21 20130101;  C07K 2317/24 20130101;  A61K 47/6807 20170801</t>
  </si>
  <si>
    <t>Provided are compounds having the Formula I:  ##STR00001## pharmaceutically acceptable salts thereof, pharmaceutical compositions     thereof, and their use in the intracellular delivery of antibodies.</t>
  </si>
  <si>
    <t>US20170106072</t>
  </si>
  <si>
    <t>Biomarker Directed Multi-Target Immunotherapy</t>
  </si>
  <si>
    <t>15/119661</t>
  </si>
  <si>
    <t>PETIT; Robert; (Newtown, PA)</t>
  </si>
  <si>
    <t>A61K 39/0005 20130101;  A61K 39/0011 20130101;  A61K 39/0208 20130101;  A61K 2039/572 20130101;  C07K 2319/00 20130101;  C07K 2319/95 20130101;  G01N 33/574 20130101;  C07K 14/195 20130101;  A61K 2039/53 20130101;  A61K 2039/52 20130101;  A61K 45/06 20130101;  C12Q 2600/158 20130101;  C12Q 1/6886 20130101;  A61K 2039/522 20130101</t>
  </si>
  <si>
    <t>This invention provides methods and compositions for using evaluating biomarker expression in a disease and providing a multi-targeted Listeria-based immunotherapeutic approach against said disease. In a related aspect, the invention relates to a method of treating a disease in a subject, the method comprising the steps of: a. obtaining a biological sample from said subject; b. evaluating the expression of a predetermined number of biomarkers in said biological sample; c. administering to said subject a composition comprising a recombinant Listeria strain, said strain comprising a nucleic acid sequence encoding at least one fusion protein, wherein said fusion protein comprises a biomarker identified in said biological sample, wherein said biomarker is associated with said disease, wherein said biomarker is fused to a PEST-containing polypeptide, and wherein each fusion protein within said Listeria comprises a different biomarker, thereby treating said disease in said subject.</t>
  </si>
  <si>
    <t>US20170103172</t>
  </si>
  <si>
    <t>System And Method To Geospatially And Temporally Predict A Propagation Event</t>
  </si>
  <si>
    <t>15/289110</t>
  </si>
  <si>
    <t>Fink; Wolfgang; (Montrose, CA); Roveda; Janet Meiling; (Tucson, AZ)</t>
  </si>
  <si>
    <t>G06F 19/345 20130101;  G16H 50/20 20180101;  G06F 3/0484 20130101;  G06N 3/08 20130101</t>
  </si>
  <si>
    <t>The present invention provides a system and method to geospatially and temporally predict a propagation event. The present invention for a plurality of predetermined locations, geospatially models the connections between each location. For each predetermined location, the invention temporally models the connections within each predetermined location. The present invention also pairs the geospatially modeling with the temporal modeling to generate a prediction of the spread of the propagation event.</t>
  </si>
  <si>
    <t>US20170101691</t>
  </si>
  <si>
    <t>ELIMINATION OF PATHOGENIC INFECTION IN FARMED ANIMAL POPULATIONS</t>
  </si>
  <si>
    <t>14/878315</t>
  </si>
  <si>
    <t>STAHL, MARK; STAHL, JOHN; STAHL, RICHARD</t>
  </si>
  <si>
    <t>STAHL MARK</t>
  </si>
  <si>
    <t>STAHL; MARK; (SUNBURY, PA); STAHL; JOHN; (SUNBURY, PA); STAHL; RICHARD; (SUNBURY, PA)</t>
  </si>
  <si>
    <t>Animal husbandry has always been susceptible to the ravages of pathogenic     infections. Poultry flus and cattle diseases are but two examples that     have dire consequences for animals and adversely affect the economic     fortunes of farmers. A testing and culling methodology is presented that     can eliminate pathogens from an infected herd. The sensitivity of PCR to     detect very low levels of nucleic acid of an infecting pathogen is     utilized to identify infected animals. In addition, it has been     discovered that PCR analysis of manure samples can accurately identify     infected animals and offspring for those species that consume placental     remains after birth. Mink Aleutian Disease Virus (mADV) is one of several     deadly DNA parvoviruses that can quickly reach epidemic proportions in a     mink herd. PCR primers have been developed that generate amplicons to     detect and identify the mADV. In addition, a previously unidentified     strain of mADV has been discovered, genomically sequenced, and     substantially detailed.</t>
  </si>
  <si>
    <t>US20170099809</t>
  </si>
  <si>
    <t>14/878263</t>
  </si>
  <si>
    <t>A01K 29/005 20130101;  C12N 7/00 20130101;  G01N 2333/015 20130101;  G01N 33/6893 20130101;  G01N 2800/26 20130101;  C12Q 1/701 20130101;  G01N 2469/20 20130101;  C12N 2750/14321 20130101;  G01N 33/56983 20130101</t>
  </si>
  <si>
    <t>US20170096455</t>
  </si>
  <si>
    <t>METHODS AND COMPOSITIONS FOR CHIMERIC CORONAVIRUS SPIKE PROTEINS</t>
  </si>
  <si>
    <t>15/124992</t>
  </si>
  <si>
    <t>Baric; Ralph; (Haw River, NC); Agnihothram; Sudhakar; (Ellicott City, MD); Yount; Boyd; (Hillsborough, NC)</t>
  </si>
  <si>
    <t>A61P 31/12 20180101;  C12N 2770/36144 20130101;  C12N 2770/20034 20130101;  C12N 2770/20022 20130101;  C12N 2770/36123 20130101;  A61K 2039/5256 20130101;  C07K 14/005 20130101;  C12N 2770/36143 20130101;  A61K 2039/70 20130101;  C07K 16/10 20130101;  C07K 2317/76 20130101;  A61K 39/12 20130101;  A61K 2039/5258 20130101;  C07K 2317/34 20130101;  C12N 7/00 20130101</t>
  </si>
  <si>
    <t>The present invention provides compositions and methods comprising a     chimeric coronavirus spike protein.</t>
  </si>
  <si>
    <t>US20170095499</t>
  </si>
  <si>
    <t>15/282128</t>
  </si>
  <si>
    <t>Gorman; Eric; (Foster City, CA); Mogalian; Erik; (Foster City, CA); Oliyai; Reza; (Foster City, CA); Stefanidis; Dimitrios; (Mountain View, CA); Wiser; Lauren; (San Francisco, CA); Zia; Vahid; (Palo Alto, CA)</t>
  </si>
  <si>
    <t>A61K 31/4188 20130101;  A61K 31/7072 20130101;  A61P 43/00 20180101;  A61P 1/16 20180101;  A61P 31/12 20180101;  A61K 9/2054 20130101;  A61K 9/1635 20130101;  A61K 9/284 20130101;  A61K 9/1623 20130101;  A61K 31/7056 20130101;  A61P 31/14 20180101;  A61K 31/4188 20130101;  A61K 2300/00 20130101;  A61K 31/7072 20130101;  A61K 2300/00 20130101</t>
  </si>
  <si>
    <t>US20170091406</t>
  </si>
  <si>
    <t>SYSTEM AND METHOD FOR MANAGING ILLNESS OUTSIDE OF A HOSPITAL ENVIRONMENT</t>
  </si>
  <si>
    <t>15/126813</t>
  </si>
  <si>
    <t>EQOL INC.</t>
  </si>
  <si>
    <t>EQOL</t>
  </si>
  <si>
    <t>Nguyen; Binh Tranh; (Toronto, CA); Tomkun; Jonathan Mark; (Waterloo, CA)</t>
  </si>
  <si>
    <t>G06F 19/3418 20130101;  G06Q 10/087 20130101;  G16H 50/80 20180101;  G06F 19/3493 20130101;  G06F 19/325 20130101</t>
  </si>
  <si>
    <t>Systems and methods for managing illness outside of a hospital     environment are provided. A plurality of alert generation definitions is     stored with each of the definitions defining at least one condition for     generating an alert. A patient profile data structure for a patient is     generated which includes indicators of characteristics of the patient.     Monitoring data is received, which reflects at least one of (i)     physiological indicators of the patient; and (ii) indicators of medical     supplies being ordered or consumed by the patient. An alert relating to     patient healthcare is generated by applying at least one of the alert     generation definitions to the received monitoring data. Population data     reflective of healthcare outcomes for a patient population is received.     At least one further alert generation definition is generated upon     processing the population data, and the at least one further alert     generation definition is stored.</t>
  </si>
  <si>
    <t>US20170091403</t>
  </si>
  <si>
    <t>System And Method For Predicting Effectiveness of Animal Treatments</t>
  </si>
  <si>
    <t>15/311467</t>
  </si>
  <si>
    <t>GLOBALVETLINK, L.C.</t>
  </si>
  <si>
    <t>GLOBALVETLINK</t>
  </si>
  <si>
    <t>Maher; Kevin D.; (Ames, IA)</t>
  </si>
  <si>
    <t>G06F 19/345 20130101;  G16H 50/20 20180101;  G06F 19/3456 20130101;  G06F 19/325 20130101</t>
  </si>
  <si>
    <t>A computer-implemented method for determining an ideal treatment plan for a herd of animals includes the steps of testing a statistically significant sample individual animals of the herd for prevalence of a particular disease, collecting at least two animal parameters for each animal of the statistically significant sample, generating lab results determining the existence of the particular disease for each animal of the statistically significant sample, comparing the generated lab results against a database containing information on the particular disease for animals matching the at least two parameters collected from the statistically significant sample, and outputting an ideal herd treatment plan for the herd based on the results of the step of comparing.</t>
  </si>
  <si>
    <t>US20170088576</t>
  </si>
  <si>
    <t>15/254684</t>
  </si>
  <si>
    <t>A61P 31/00 20180101;  A61P 31/14 20180101;  C07H 19/16 20130101;  C07H 19/00 20130101;  A61P 43/00 20180101;  A61K 45/06 20130101;  A61K 31/341 20130101;  A61K 31/683 20130101;  A61P 31/18 20180101;  A61K 31/662 20130101;  A61K 31/341 20130101;  A61K 31/675 20130101;  C07F 9/65616 20130101;  A61K 2300/00 20130101;  A61K 2300/00 20130101;  A61K 2300/00 20130101;  A61K 31/683 20130101;  C07H 19/20 20130101;  A61P 31/12 20180101;  A61K 31/513 20130101;  A61K 2300/00 20130101;  A61K 31/675 20130101;  A61K 31/513 20130101;  A61P 31/20 20180101</t>
  </si>
  <si>
    <t>US20170087223</t>
  </si>
  <si>
    <t>Viral Conjunctivitis Treatment Using Ranpirnase And/Or Amphinase</t>
  </si>
  <si>
    <t>15/275442</t>
  </si>
  <si>
    <t>C12Y 301/27 20130101;  A61K 9/0051 20130101;  A61K 9/0048 20130101;  C12Y 301/27005 20130101;  A61P 27/02 20180101;  A61K 38/465 20130101</t>
  </si>
  <si>
    <t>US20170080083</t>
  </si>
  <si>
    <t>15/125526</t>
  </si>
  <si>
    <t>US20170071964</t>
  </si>
  <si>
    <t>15/267433</t>
  </si>
  <si>
    <t>A61K 31/706 20130101;  A61K 31/706 20130101;  A61K 2300/00 20130101;  A61P 43/00 20180101;  A61K 31/7056 20130101;  A61P 31/12 20180101</t>
  </si>
  <si>
    <t>US20170071944</t>
  </si>
  <si>
    <t>15/264401</t>
  </si>
  <si>
    <t>GELEZIUNAS; ROMAS; (Belmont, CA); Hesselgesser; Joseph E.; (San Mateo, CA); Kaur; Jasmine; (Fremont, CA); Murry; Jeffrey Patrick; (Castro Valley, CA); Sloan; Derek Dean; (Belmont, CA)</t>
  </si>
  <si>
    <t>A61K 31/519 20130101;  A61K 39/3955 20130101;  A61P 31/18 20180101;  A61K 2300/00 20130101;  A61K 45/06 20130101</t>
  </si>
  <si>
    <t>US20170067030</t>
  </si>
  <si>
    <t>ATTENUATED VIRUSES USEFUL FOR VACCINES</t>
  </si>
  <si>
    <t>15/258584</t>
  </si>
  <si>
    <t>Wimmer; Eckard; (East Setauket, NY); Skiena; Steve; (Setauket, NY); Mueller; Steffen; (Kings Point, NY); Futcher; Bruce; (Stony Brook, NY); Papamichail; Dimitris; (Pennington, NJ); Coleman; John Robert; (Blauvelt, NY); Cello; Jeronimo; (Port Jefferson, NY)</t>
  </si>
  <si>
    <t>A61K 2039/5254 20130101;  C12N 7/00 20130101;  C12N 2720/12361 20130101;  C12N 2740/15061 20130101;  C12N 2760/16061 20130101;  C12N 2770/20061 20130101;  C12N 2770/24161 20130101;  C12N 2770/32061 20130101;  C12N 2770/32661 20130101;  C12N 2770/32761 20130101;  C12N 2770/32671 20130101;  C12N 2770/32662 20130101;  C12N 2770/32634 20130101;  C12N 2770/32621 20130101;  C12N 2760/16162 20130101;  C12N 2770/32762 20130101;  C12N 2760/16121 20130101;  C07K 14/005 20130101;  A61K 39/145 20130101;  A61K 39/13 20130101;  C12N 2770/32721 20130101;  C12N 2760/16134 20130101</t>
  </si>
  <si>
    <t>This invention provides an attenuated virus which comprises a modified viral genome containing nucleotide substitutions engineered in multiple locations in the genome, wherein the substitutions introduce synonymous deoptimized codons into the genome. The instant attenuated virus may be used in a vaccine composition for inducing a protective immune response in a subject. The invention also provides a method of synthesizing the instant attenuated virus. Further, this invention further provides a method for preventing a subject from becoming afflicted with a virus-associated disease comprising administering to the subject a prophylactically effective dose of a vaccine composition comprising the instant attenuated virus.</t>
  </si>
  <si>
    <t>US20170065677</t>
  </si>
  <si>
    <t>EV576 FOR USE IN THE TREATMENT OF VIRAL INFECTIONS OF THE RESPIRATORY     TRACT</t>
  </si>
  <si>
    <t>15/217601</t>
  </si>
  <si>
    <t>The present invention relates to methods of treating and preventing the     inflammatory effects of viral infection of the upper and lower     respiratory tracts, including infection by SARS coronovirus (SARS),     pandemic Influenza A H5N1 (avian influenza) and pandemic influenza A H1N1     (swine 'flu).</t>
  </si>
  <si>
    <t>US20170056423</t>
  </si>
  <si>
    <t>COMBINATION THERAPY COMPRISING TENOFOVIR ALAFENAMIDE HEMIFUMARATE AND     COBICISTAT FOR USE IN THE TREATMENT OF VIRAL INFECTIONS</t>
  </si>
  <si>
    <t>15/284105</t>
  </si>
  <si>
    <t>RAMANATHAN; Srinivasan; (San Carlos, CA)</t>
  </si>
  <si>
    <t>A61P 31/12 20180101;  A61K 31/35 20130101;  A61K 31/47 20130101;  A61K 31/5377 20130101;  A61K 31/35 20130101;  A61K 31/675 20130101;  A61P 31/18 20180101;  A61K 31/675 20130101;  A61K 31/513 20130101;  A61K 31/5377 20130101;  A61K 31/47 20130101;  A61K 31/513 20130101;  A61P 31/20 20180101;  A61P 43/00 20180101;  A61K 2300/00 20130101;  A61K 2300/00 20130101;  A61K 2300/00 20130101;  A61K 2300/00 20130101;  A61K 2300/00 20130101</t>
  </si>
  <si>
    <t>The use of the hemifumarate form of     {9-[(R)-2-[[(S)-[[(S)-1-(isopropoxycarbonyl)ethyl]amino]phenoxyphosphinyl-    ]methoxy]propyl]adenine} (tenofovir alafenamide hemifumarate) in     combination with cobicistat is disclosed. In addition, the combination of     tenofovir alafenamide hemifumarate, cobicistat, emtricitabine, and     elvitegravir, and the combination of tenofovir alafenamide hemifumarate,     cobicistat, emtricitabine, and darunavir, are disclosed.</t>
  </si>
  <si>
    <t>US20170053091</t>
  </si>
  <si>
    <t>15/246401</t>
  </si>
  <si>
    <t>Holmes; Elizabeth A.; (Palo Alto, CA); Gibbons; Ian; (US); Young; Daniel; (Palo Alto, CA); Michelson; Seth G.; (San Jose, CA)</t>
  </si>
  <si>
    <t>G06F 19/3437 20130101;  G16H 50/50 20180101;  G16H 50/70 20180101;  Y02A 90/24 20180101;  G16H 50/80 20180101;  Y02A 90/26 20180101;  Y02A 90/22 20180101;  G16H 50/20 20180101</t>
  </si>
  <si>
    <t>US20170039339</t>
  </si>
  <si>
    <t>COMPUTING SYSTEM FOR IDENTIFYING HEALTH RISK REGIONS</t>
  </si>
  <si>
    <t>14/970038</t>
  </si>
  <si>
    <t>Microsoft</t>
  </si>
  <si>
    <t>MICROSOFT</t>
  </si>
  <si>
    <t>Bitran; Hadas; (Ramat Hasharon, IL); Holmdahl; Todd; (Redmond, WA); Horvitz; Eric; (Kirkland, WA); Tan; Desney S.; (Kirkland, WA); Schmuland; Dennis Paul; (Redmond, WA); Berns; Adam T.; (Issaquah, WA)</t>
  </si>
  <si>
    <t>G06F 19/3431 20130101;  G16H 50/80 20180101;  G16H 50/30 20180101</t>
  </si>
  <si>
    <t>A computing system is provided. The computing system includes an     electronic personal assistant application server configured to determine     a target location for a selected user and time, determine a group of     other registered users who are or will be physically present at the     target location at or around the predetermined time, determine group     health data representing a health condition of the group of other     registered users, the group health data being determined based on     anonymous medical records statistics for the group of other registered     users, the anonymous medical records statistics including biometric data     sensed by at least one biometric sensor associated with at least one user     computing device of one of the other registered users, identify a health     risk level for the target location using the group health data, and     generate an activity warning for the target location based on the health     risk level.</t>
  </si>
  <si>
    <t>US20170029427</t>
  </si>
  <si>
    <t>15/191974</t>
  </si>
  <si>
    <t>Siegel; Dustin; (San Carlos, CA); Sperandio; David; (Palo Alto, CA); Yang; Hai; (San Mateo, CA); Sangi; Michael; (San Mateo, CA); Parrish; Jay P.; (El Dorado Hills, CA); Hui; Hon Chung; (Foster City, CA)</t>
  </si>
  <si>
    <t>A61P 31/14 20180101;  C07D 471/04 20130101;  A61K 31/4545 20130101;  A61P 31/12 20180101;  A61P 43/00 20180101;  C07D 519/00 20130101;  A61K 31/519 20130101;  A61K 31/5377 20130101;  C07D 487/04 20130101;  A61K 45/06 20130101;  A61P 11/00 20180101;  A61K 31/53 20130101;  A61P 31/00 20180101;  A61K 31/5025 20130101</t>
  </si>
  <si>
    <t>US20170029408</t>
  </si>
  <si>
    <t>15/279303</t>
  </si>
  <si>
    <t>Bacon; Elizabeth M.; (Burlingame, CA); Canales; Eda; (San Mateo, CA); Cho; Aesop; (Mountain View, CA); Cottell; Jeromy J.; (Redwood City, CA); Desai; Manoj C.; (Pleasant Hill, CA); Graupe; Michael; (Pacifica, CA); Guo; Hongyan; (San Mateo, CA); Halcomb; Randall L.; (Foster City, CA); Kato; Darryl; (San Francisco, CA); Kim; Choung U.; (San Carlos, CA); Kirschberg; Thorsten A.; (Redwood City, CA); Krygowski; Evan S.; (Washington, DC); Lazerwith; Scott E.; (San Francisco, CA); Link; John O.; (San Francisco, CA); Liu; Hongtao; (Foster City, CA); Liu; Qi; (Union City, CA); Mackman; Richard L.; (Millbrae, CA); Mitchell; Michael L.; (Hayward, CA); Parrish; Jay P.; (Redwood City, CA); Pyun; Hyung-Jung; (Fremont, CA); Saugier; Joseph H.; (Livermore, CA); Schroeder; Scott D.; (Foster City, CA); Sun; Jianyu; (Surrey, CA); Taylor; James G.; (San Mateo, CA); Trenkle; James D.; (Oakland, CA); Tse; Winston C.; (Redwood City, CA); Vivian; Randall W.; (San Mateo, CA); Watkins; William J.; (Saratoga, CA); Xu; Lianhong; (Palo Alto, CA)</t>
  </si>
  <si>
    <t>A61K 31/55 20130101;  C07D 401/14 20130101;  C07D 471/04 20130101;  C07D 487/04 20130101;  A61K 31/4178 20130101;  C07D 403/04 20130101;  A61K 31/4439 20130101;  A61K 31/435 20130101;  A61P 31/12 20180101;  A61K 31/454 20130101;  C07D 471/08 20130101;  A61K 31/5415 20130101;  A61K 31/427 20130101;  A61K 31/5377 20130101;  C07D 417/14 20130101;  C07D 405/14 20130101;  C07F 5/025 20130101;  A61K 31/4184 20130101;  C07D 495/04 20130101;  C07D 491/113 20130101;  C07D 207/16 20130101;  A61K 31/519 20130101;  A61K 45/06 20130101;  C07D 413/14 20130101;  C07D 471/10 20130101;  A61K 31/496 20130101;  C07D 409/14 20130101;  A61K 31/4025 20130101;  A61K 31/437 20130101;  C07D 403/14 20130101</t>
  </si>
  <si>
    <t>US20170024531</t>
  </si>
  <si>
    <t>SYSTEMS AND METHODS FOR NEAR-REAL OR REAL-TIME CONTACT TRACING</t>
  </si>
  <si>
    <t>15/217372</t>
  </si>
  <si>
    <t>RADICALOGIC TECHNOLOGIES, INC. DBA RL SOLUTIONS</t>
  </si>
  <si>
    <t>RADICALOGIC</t>
  </si>
  <si>
    <t>MALAVIYA; Sanjay; (Mississauga, CA)</t>
  </si>
  <si>
    <t>G06F 19/3406 20130101;  G16H 50/30 20180101;  G16H 40/63 20180101;  G06F 19/325 20130101</t>
  </si>
  <si>
    <t>A healthcare information system for providing near-real or real-time contact tracing is provided comprising: a position data receiver unit configured to receive position data related to one or more entities associated with a healthcare facility; a contextual profile management unit configured to utilize received position data to generate, maintain or update one or more contextual profiles, each of the one or more contextual profiles corresponding to each of the one or more entities. Devices, systems and methods are provided related to the use of near-real or real-time contact tracing in applications including infection control, developing infection pathways, among others.</t>
  </si>
  <si>
    <t>US20170024521</t>
  </si>
  <si>
    <t>TEST SERVER, TEST METHOD, AND TEST SYSTEM</t>
  </si>
  <si>
    <t>15/303060</t>
  </si>
  <si>
    <t>NAKAMURA; TOMOHIKO; (TOKYO, JP); MORIMOTO; NAOKI; (TOKYO, JP)</t>
  </si>
  <si>
    <t>G06Q 50/22 20130101;  A61B 5/0022 20130101;  H04L 67/12 20130101;  G16H 10/60 20180101;  G06F 19/00 20130101;  G16H 40/63 20180101;  A61B 5/00 20130101</t>
  </si>
  <si>
    <t>A test server includes: a communication unit that communicates with a plurality of communication terminals via a network, the plurality of communication terminals each being connectable to a test device capable of executing a test on the presence or absence of a disease and each being capable of inputting a diagnosis on the presence or absence of the disease, the diagnosis being related to the test and made by a doctor; and a control unit that acquires at least one of a result of the test and the diagnosis as a test information item from each of the plurality of communication terminals via the communication unit, causes a storage unit to store the plurality of acquired test information items therein, performs statistical processing on the plurality of stored test information items, and causes the communication unit to return a result of the statistical processing according to a demand given from each of the communication terminals before the doctor makes a diagnosis.</t>
  </si>
  <si>
    <t>US20170008897</t>
  </si>
  <si>
    <t>15/182529</t>
  </si>
  <si>
    <t>Clarke; Michael O'Neil Hanrahan; (Redwood City, CA); Doerffler; Edward; (Foster City, CA); Mackman; Richard L.; (Millbrae, CA); Siegel; Dustin; (San Carlos, CA)</t>
  </si>
  <si>
    <t>C07D 405/04 20130101;  C07D 405/14 20130101;  C07H 7/06 20130101;  C07D 487/04 20130101;  A61P 31/16 20180101;  C07F 9/6561 20130101</t>
  </si>
  <si>
    <t>US20170007693</t>
  </si>
  <si>
    <t>15/109900</t>
  </si>
  <si>
    <t>WEINER; David; (Merion, PA); MUTHUMANI; Karupplah; (Cherry Hill, NJ); SARDESAI; Niranjan; (Blue Bell, PA)</t>
  </si>
  <si>
    <t>A61K 9/0009 20130101;  A61K 39/00 20130101;  A61M 2037/0007 20130101;  A61K 39/0005 20130101;  A61N 1/327 20130101;  A61P 37/04 20180101;  A61K 2039/505 20130101;  A61K 2039/53 20130101;  Y02A 50/412 20180101;  C12N 7/00 20130101;  A61K 2039/545 20130101;  C07K 16/2827 20130101;  C12N 2710/20034 20130101;  A61K 2039/55516 20130101;  A61K 39/12 20130101;  A61K 39/0011 20130101;  A61K 2039/54 20130101</t>
  </si>
  <si>
    <t>US20160376321</t>
  </si>
  <si>
    <t>A NOVEL SARS IMMUNOGENIC COMPOSITION</t>
  </si>
  <si>
    <t>15/038726</t>
  </si>
  <si>
    <t>Hotez; Peter Jay; (Houston, TX); Bottazzi; Maria Elena; (Houston, TX); Zhan; Bin; (Pearland, TX); Chen; Wen-Hsiang; (Houston, TX); Chag; Shivali; (Houston, TX)</t>
  </si>
  <si>
    <t>A61K 38/00 20130101;  C07K 14/135 20130101;  C07K 14/005 20130101;  C12N 2760/18522 20130101</t>
  </si>
  <si>
    <t>Embodiments of the disclosure concern immunogenic compositions and methods for treating or preventing Severe acute respiratory syndrome (SARS). The compositions and methods concern a portion of the receptor-binding domain (RBD) of the SARS-CoV spike protein. In at least particular cases, a mutated version of a portion of the RBD is utilized, such as a deglycosylated mutant of the RBD.</t>
  </si>
  <si>
    <t>US20160367188</t>
  </si>
  <si>
    <t>ORAL SENSOR ALERTING AND COMMUNICATION SYSTEM AND DEVELOPERS' TOOL KIT</t>
  </si>
  <si>
    <t>14/850713</t>
  </si>
  <si>
    <t>MALIK BELA</t>
  </si>
  <si>
    <t>Malik; Bela; (Corpus Christi, TX); Saigh; Michael M.; (Clayton, MO)</t>
  </si>
  <si>
    <t>A61B 5/682 20130101;  A61B 5/076 20130101;  A61B 5/14542 20130101;  A61B 5/024 20130101;  A61B 5/0816 20130101;  A61B 5/01 20130101;  A61J 17/003 20150501;  A61J 17/006 20150501;  A61B 2503/40 20130101;  A61B 5/0022 20130101;  A61B 5/0205 20130101;  A61B 5/02438 20130101;  A61B 5/11 20130101;  A61B 5/14532 20130101</t>
  </si>
  <si>
    <t>A developers' tool kit including devices and components configured to be inserted or imbedded in an oral cavity or integrated body sensor of an animal or human. The device includes a receptacle for one or more sensors which is further configured to interface a plurality of one or more customizable functions and applications. The functions including, but not limited to, auxiliary body biosensors, data collections, alerting, tracking, reporting, communication network, preset biometric range, preventive-diagnostics to enhance health, and optimize athletic performance. The system includes technology-mining, data-mining, kinematics, integration, multi-media, reporting, and other platforms, analytics and diagnostics to accurately determine health and performance referred to as Oral Sensor Alert and Communication (OSAC). The invention provides innovative information systems, methods and diagnostic tool kits and platforms involving the aforedescribed devices from information available from oral biomarkers and other sources accessed using sensors in the oral cavity and auxiliary devices.</t>
  </si>
  <si>
    <t>US20160362416</t>
  </si>
  <si>
    <t>15/246074</t>
  </si>
  <si>
    <t>A61K 31/7056 20130101;  A61K 31/4188 20130101;  A61K 31/7072 20130101;  C07D 491/052 20130101;  A61K 38/21 20130101;  A61P 31/00 20180101;  C07D 491/04 20130101;  A61K 45/06 20130101;  A61P 31/14 20180101;  A61K 31/352 20130101;  A61P 31/12 20180101;  A61K 31/7068 20130101;  A61P 1/16 20180101</t>
  </si>
  <si>
    <t>US20160361375</t>
  </si>
  <si>
    <t>15/185273</t>
  </si>
  <si>
    <t>A61P 31/10 20180101;  A61P 1/16 20180101;  A61K 31/4745 20130101;  A61K 38/06 20130101;  C07D 498/16 20130101;  A61K 31/4985 20130101;  A61P 31/12 20180101;  A61K 38/21 20130101;  A61K 31/506 20130101;  A61K 45/06 20130101;  A61K 31/10 20130101;  A61K 31/519 20130101;  C07K 5/0812 20130101;  C07K 5/0827 20130101;  C07K 5/0808 20130101;  A61K 38/21 20130101;  C07K 5/08 20130101;  C07D 403/14 20130101;  A61K 2300/00 20130101;  A61P 31/00 20180101;  A61K 38/00 20130101;  A61K 31/498 20130101;  A61K 31/401 20130101;  A61P 43/00 20180101;  C07D 498/22 20130101;  C07D 241/36 20130101;  A61P 31/14 20180101</t>
  </si>
  <si>
    <t>US20160361330</t>
  </si>
  <si>
    <t>15/246240</t>
  </si>
  <si>
    <t>Chun; Byoung Kwon; (Pleasanton, CA); Clarke; Michael O'Neil Hanrahan; (Redwood City, CA); Doerffler; Edward; (Foster City, CA); Hui; Hon Chung; (Foster City, CA); Jordan; Robert; (Foster City, CA); Mackman; Richard L.; (Millbrae, CA); Parrish; Jay P.; (El Dorado Hills, CA); Ray; Adrian S.; (Burlingame, CA); Siegel; Dustin; (San Carlos, CA)</t>
  </si>
  <si>
    <t>C07F 9/65616 20130101;  C07D 519/00 20130101;  C07H 1/00 20130101;  C07D 487/04 20130101;  A61K 31/706 20130101;  A61K 31/685 20130101;  A61K 31/683 20130101;  A61K 31/675 20130101;  A61K 31/665 20130101;  A61P 31/14 20180101;  C07F 9/2429 20130101;  C07H 11/00 20130101;  C07H 1/02 20130101;  C07H 15/18 20130101;  A61K 31/7056 20130101;  A61K 31/6615 20130101;  A61P 31/00 20180101;  A61K 31/00 20130101;  A61K 31/53 20130101;  A61K 45/06 20130101;  A61P 31/12 20180101;  A61P 43/00 20180101;  A61K 31/53 20130101;  A61K 2300/00 20130101;  A61K 31/675 20130101;  A61K 2300/00 20130101;  A61K 31/685 20130101;  A61K 2300/00 20130101</t>
  </si>
  <si>
    <t>US20160355585</t>
  </si>
  <si>
    <t>14/988337</t>
  </si>
  <si>
    <t>A61K 31/7088 20130101;  A61P 1/00 20180101;  A61K 2039/505 20130101;  A61K 45/00 20130101;  C07K 2317/34 20130101;  C07K 2317/92 20130101;  A61K 38/16 20130101;  A61K 38/2013 20130101;  A61P 35/04 20180101;  A61P 1/16 20180101;  A61K 39/3955 20130101;  C07K 2317/41 20130101;  A61P 9/10 20180101;  C07K 2317/24 20130101;  A61K 45/06 20130101;  A61P 35/02 20180101;  A61P 19/08 20180101;  C07K 2317/76 20130101;  A61P 25/00 20180101;  A61K 38/208 20130101;  C07K 16/248 20130101;  A61K 2039/54 20130101;  A61K 2039/545 20130101;  A61P 1/04 20180101;  A61P 19/02 20180101;  A61P 35/00 20180101</t>
  </si>
  <si>
    <t>US20160355543</t>
  </si>
  <si>
    <t>15/170728</t>
  </si>
  <si>
    <t>Graetz; Benjamin R.; (San Mateo, CA); Polniaszek; Richard; (Menlo Park, CA)</t>
  </si>
  <si>
    <t>C07H 19/20 20130101;  A61K 31/675 20130101;  A61K 9/20 20130101;  A61P 31/18 20180101;  A61K 31/675 20130101;  A61K 9/2018 20130101;  A61K 45/06 20130101;  A61K 2300/00 20130101;  A61K 31/7076 20130101</t>
  </si>
  <si>
    <t>US20160342770</t>
  </si>
  <si>
    <t>METHOD AND SYSTEM FOR INTEGRATING INFECTIOUS DISEASE DATA WITH TRANSACTION     DATA</t>
  </si>
  <si>
    <t>14/716253</t>
  </si>
  <si>
    <t>UNSER; Kenneth; (Fairfield, CT); SIEGEL; Harrison; (Glencoe, IL)</t>
  </si>
  <si>
    <t>G06F 19/3493 20130101;  G16H 50/80 20180101;  G06Q 30/0201 20130101;  G06Q 40/12 20131203</t>
  </si>
  <si>
    <t>A method for tracking existence and spread of infectious diseases using     transaction data includes: storing transaction data entries, each entry     including data related to a payment transaction including a transaction     time, geographic location, and transaction data; receiving disease data     indicating an infectious disease in a geographic area, the data including     an infection period of time; identifying a first subset of transaction     data entries including the geographic location in the received disease     data and where the transaction time is within the infection period of     time; identifying a second subset of transaction data entries that     include a geographic location in a shared geographic area where the     included transaction data corresponds to the transaction data included in     the transaction data entries in the first subset; and transmitting an     infection notification, the notification including at least the shared     geographic area.</t>
  </si>
  <si>
    <t>US20160340379</t>
  </si>
  <si>
    <t>15/046399</t>
  </si>
  <si>
    <t>YU; RICHARD HUNG CHIU; (San Francisco, CA); Brown; Brandon Heath; (Burlingame, CA); Polniaszek; Richard P.; (Menlo Park, CA); Graetz; Benjamin R.; (San Mateo, CA); Sujino; Keiko; (Edmonton, CA); Tran; Duong; (Edmonton, CA); Triman; Alan Scott; (Sunnyvale, CA); Kent; Kenneth M.; (Sunnyvale, CA); Pfeiffer; Steven; (Camarillo, CA)</t>
  </si>
  <si>
    <t>C07H 19/02 20130101;  A61K 31/66 20130101;  C07H 19/16 20130101;  C07F 9/4075 20130101;  C07D 473/34 20130101;  C07H 23/00 20130101;  C07H 19/20 20130101;  C07H 19/04 20130101;  C07F 9/4449 20130101;  C07H 19/173 20130101;  C07F 9/65616 20130101</t>
  </si>
  <si>
    <t>US20160340345</t>
  </si>
  <si>
    <t>SYNTHESIS OF ANTIVIRAL COMPOUND</t>
  </si>
  <si>
    <t>15/228825</t>
  </si>
  <si>
    <t>Scott; Robert William; (San Mateo, CA); Vitale; Justin Philip; (San Mateo, CA); Matthews; Kenneth Stanley; (San Francisco, CA); Teresk; Martin Gerald; (Parkville, MO); Formella; Alexandra; (Glendale, CA); Evans; Jared Wayne; (Belmont, CA)</t>
  </si>
  <si>
    <t>A61P 31/14 20180101;  C07D 403/14 20130101;  Y02P 20/55 20151101;  A61P 31/12 20180101;  C07D 403/04 20130101;  A61P 1/16 20180101</t>
  </si>
  <si>
    <t>The present disclosure provides processes for the preparation of a     compound of formula I:  ##STR00001## which is useful as an antiviral agent. The disclosure also provides     compounds that are synthetic intermediates to compounds of formula I.</t>
  </si>
  <si>
    <t>US20160339097</t>
  </si>
  <si>
    <t>15/228898</t>
  </si>
  <si>
    <t>C07K 14/005 20130101;  C12N 2770/20051 20130101;  C12N 2770/20034 20130101;  C12N 2770/20011 20130101;  C12N 2770/20071 20130101;  A61K 39/12 20130101;  A61K 2039/552 20130101</t>
  </si>
  <si>
    <t>US20160331828</t>
  </si>
  <si>
    <t>15/091123</t>
  </si>
  <si>
    <t>A61K 48/00 20130101;  A61K 31/7105 20130101;  A61K 39/12 20130101;  A61K 39/39 20130101;  A61K 2039/53 20130101;  A61K 2039/55555 20130101;  C12N 2760/16134 20130101;  C12N 2760/16234 20130101;  A61K 2039/545 20130101;  A61K 39/145 20130101;  A61K 9/5146 20130101;  A61K 9/5123 20130101;  A61K 9/1271 20130101;  C12N 7/00 20130101;  C12N 2760/16122 20130101;  A61K 9/0019 20130101;  A61K 39/155 20130101</t>
  </si>
  <si>
    <t>US20160317647</t>
  </si>
  <si>
    <t>15/089050</t>
  </si>
  <si>
    <t>US20160314185</t>
  </si>
  <si>
    <t>IDENTIFYING EVENTS FROM AGGREGATED DEVICE SENSED PHYSICAL DATA</t>
  </si>
  <si>
    <t>14/697429</t>
  </si>
  <si>
    <t>Buchanan; Susan Imogene; (Dallas, TX); Miller; Wayne Brian; (Keller, TX); Nambiar; Sunil; (Irving, TX)</t>
  </si>
  <si>
    <t>G06F 17/30598 20130101;  G06F 17/3053 20130101;  G16H 50/80 20180101;  G16H 50/70 20180101;  G16H 10/60 20180101</t>
  </si>
  <si>
    <t>Aspects extend to methods, systems, and computer program products for     predicting events from aggregated device sensed physical data. Aspects     facilitate dynamically targeted collection and aggregation of physical     metrics (e.g., body metrics and environmental metrics) from varying     sensing devices. Aggregated data can be used for pattern analysis,     reporting and predictive results on health related events (or other     scenarios). Collected physical metric data can be anonymized or     personalized based at least in part on data source. Pattern analysis can     be used to report at different levels (e.g., personal or commercial,     localized or global) and return relevant contextual driven results,     including potential healthcare related events or other events relating to     the study of changes that occur in large groups of people over a period     of time (e.g., relating to demography).</t>
  </si>
  <si>
    <t>US20160311840</t>
  </si>
  <si>
    <t>METHODS FOR PREPARING ANTI-VIRAL NUCLEOTIDE ANALOGS</t>
  </si>
  <si>
    <t>15/135357</t>
  </si>
  <si>
    <t>COLBY; Denise A.; (San Francisco, CA); MARTINS; Andrew Anthony; (Edmonton, CA); ROBERTS; Benjamin James; (San Mateo, CA); SCOTT; Robert William; (San Mateo, CA); WHITE; Nicole S.; (San Diego, CA)</t>
  </si>
  <si>
    <t>C07F 9/6512 20130101;  C07F 9/65583 20130101;  A61P 31/12 20180101;  A61P 35/00 20180101;  C07F 9/65616 20130101</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</si>
  <si>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</si>
  <si>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US20160303095</t>
  </si>
  <si>
    <t>15/098112</t>
  </si>
  <si>
    <t>Aguayo; Esmeralda; (Modesto, CA); Appleby; Todd; (San Francisco, CA); Birkus; Gabriel; (Dublin, CA); Cheng; Guofeng; (Foster City, CA); Dornan; David; (Burlingame, CA); Kobayashi; Tetsuya; (Pleasanton, CA); Mello; Christopher Charles; (Sunnyvale, CA); Schmitz; Uli; (Foster City, CA); Willkom; Madeleine; (Foster City, CA); Yu; Mei; (Foster City, CA)</t>
  </si>
  <si>
    <t>A61P 31/20 20180101;  A61K 31/4418 20130101;  A61K 31/44 20130101;  A61K 45/06 20130101;  A61P 43/00 20180101</t>
  </si>
  <si>
    <t>US20160302739</t>
  </si>
  <si>
    <t>Method for Preventing Infection by a Virus</t>
  </si>
  <si>
    <t>15/195314</t>
  </si>
  <si>
    <t>SEED HEALTH INC.</t>
  </si>
  <si>
    <t>SEED HEALTH</t>
  </si>
  <si>
    <t>Kovarik; Katherine Rose; (Englewood, CO); Kovarik; Joseph E.; (Englewood, CO); Zarouri; Mourad; (San Diego, CA)</t>
  </si>
  <si>
    <t>A61B 10/0051 20130101;  A61B 2562/0257 20130101;  A61B 5/6898 20130101;  A61B 5/746 20130101;  G01N 2469/20 20130101;  A61B 5/6822 20130101;  A61B 5/411 20130101;  A61B 5/15 20130101;  A61B 5/742 20130101;  A61B 5/7405 20130101;  A61B 5/6893 20130101;  A61B 5/6897 20130101;  A61B 5/7455 20130101;  A61B 5/6803 20130101;  A61B 5/7282 20130101;  A61B 5/1114 20130101;  G01N 33/56983 20130101;  A61B 5/0026 20130101;  A61B 5/6887 20130101;  A61B 2560/0418 20130101;  G01N 2800/044 20130101;  A61B 5/6804 20130101;  A61B 10/0038 20130101;  G01N 2333/075 20130101;  A61F 5/0003 20130101;  A61B 5/6891 20130101</t>
  </si>
  <si>
    <t>A method for preventing obesity related to infection by an adipogenic     adenovirus includes obtaining a sample from a person, assaying the sample     to determine whether the person has been previously infected with an     adipogenic adenovirus, and if the person has not been previously     infected, providing the person with at least one sensor positioned to     detect when a person's hand approaches a predetermined distance from the     person's face. By warning the person of undesired hand-to-face contacts,     the person is able to reduce the incidence of obesity related infections.     Other embodiments are directed to a kit for preventing obesity caused by     infection with an adipogenic adenovirus, such kit including a container     for assaying an agent indicating the presence of antibodies to Ad-36, and     a sensor positioned on an item selected from the group consisting of one     of a hat, a writing instrument, eye glasses, a belt, sunglasses, a bra, a     shirt, and a tie.</t>
  </si>
  <si>
    <t>US20160297789</t>
  </si>
  <si>
    <t>INDANONE DERIVATIVES, PHARMACEUTICALLY ACCEPTABLE SALTS OR OPTICAL ISOMERS     THEREOF, PREPARATION METHOD FOR SAME, AND PHARMACEUTICAL COMPOSITIONS     CONTAINING SAME AS ACTIVE INGREDIENT FOR PREVENTING OR TREATING VIRAL     DISEASES</t>
  </si>
  <si>
    <t>15/189771</t>
  </si>
  <si>
    <t>JUNG; Young Sik; (Daejeon, KR); LEE; Chong Kgo; (Daejeon, KR); KIM; Hae Soo; (Daejeon, KR); JEONG; Hee Chun; (Daejeon, KR); KIM; Pil Ho; (Daejeon, KR); HAN; Soo Bong; (Daejeon, KR); SHIN; Jin Soo; (Chungcheongnam-do, KR); NEYTS; Johan; (Belgium, BE); THIBAUT; Hendrik Jan; (Belgium, BE)</t>
  </si>
  <si>
    <t>C07D 487/04 20130101;  C07D 409/12 20130101;  C07D 405/04 20130101;  C07D 307/93 20130101;  C07C 233/32 20130101;  C07D 491/048 20130101;  C07D 407/12 20130101;  C07D 417/12 20130101;  C07D 405/12 20130101;  C07D 471/04 20130101;  C07F 9/65517 20130101;  C07D 413/12 20130101;  C07D 209/94 20130101</t>
  </si>
  <si>
    <t>Disclosed are novel indanone derivatives, pharmaceutically acceptable     salts thereof or enantiomers, a preparation method thereof, and a     pharmaceutical composition for the prevention or treatment of viral     diseases, comprising the same as an active ingredient. The indanone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hepatitis A, myositis, myocarditis,     pancreatitis, diabetes, epidemic myalgia, encephalitis, cold, herpangina,     foot-and-mouth disease, asthma, chronic obstructive pulmonary disease,     pneumonia, sinusitis or otitis media.</t>
  </si>
  <si>
    <t>US20160296617</t>
  </si>
  <si>
    <t>Immunogenic Composition for MERS Coronavirus Infection</t>
  </si>
  <si>
    <t>14/375083</t>
  </si>
  <si>
    <t>Jiang; Shibo; (New York, NY); Du; Lanying; (New York, NY); Zhou; Yusen; (Beijing, CN); Zhao; Guangyu; (Beijing, CN)</t>
  </si>
  <si>
    <t>C12N 7/00 20130101;  A61K 2039/55561 20130101;  C12N 2770/20021 20130101;  C07K 2319/21 20130101;  A61K 39/12 20130101;  C07K 14/005 20130101;  C12N 2770/20034 20130101;  A61K 2039/55566 20130101;  A61K 2039/575 20130101;  C07K 16/10 20130101;  A61K 39/215 20130101;  C07K 2319/30 20130101;  C12N 2770/20022 20130101</t>
  </si>
  <si>
    <t>US20160280735</t>
  </si>
  <si>
    <t>2',4'-SUBSTITUTED NUCLEOSIDES AS ANTIVIRAL AGENTS</t>
  </si>
  <si>
    <t>15/007810</t>
  </si>
  <si>
    <t>Du; Jinfa; (Redwood City, CA); Sofia; Michael Joseph; (Doylestown, PA)</t>
  </si>
  <si>
    <t>A61P 31/20 20180101;  A61K 31/7076 20130101;  C07H 19/173 20130101;  A61P 31/00 20180101;  A61P 31/12 20180101;  A61P 35/00 20180101;  C07H 19/073 20130101;  A61P 31/18 20180101;  A61P 31/04 20180101;  A61P 31/14 20180101;  C07H 19/14 20130101;  A61K 31/7064 20130101;  A61K 31/7072 20130101;  C07H 19/06 20130101;  A61K 31/7068 20130101;  C07H 19/16 20130101</t>
  </si>
  <si>
    <t>Embodiments of the invention are to compounds, methods, and compositions     for use in the treatment of viral infections. More specifically     embodiments of the invention are 2',4'-substituted nucleoside compounds     useful for the treatment of viral infections, such as HIV, HCV, and HBV     infections.</t>
  </si>
  <si>
    <t>US20160272564</t>
  </si>
  <si>
    <t>1,3-DI-OXO-INDENE DERIVATIVE, PHARMACEUTICALLY ACCEPTABLE SALT OR OPTICAL     ISOMER THEREOF, PREPARATION METHOD THEREOF, AND PHARMACEUTICAL     COMPOSITION CONTAINING SAME AS AN ANTIVIRAL, ACTIVE INGREDIENT</t>
  </si>
  <si>
    <t>15/098972</t>
  </si>
  <si>
    <t>KOREA RES INSTTITUTE OF CHEMICAL TECH; KATHOLIEKE UNIV LEUVEN K U LEUVEN R &amp; D</t>
  </si>
  <si>
    <t>KOREA RES INSTTITUTE CHEMICAL TECH; KATHOLIEKE UNIV LEUVEN U LEUVEN D</t>
  </si>
  <si>
    <t>JUNG; Young Sik; (Daejeon, KR); LEE; Chong Kgo; (Daejeon, KR); CHOI; Ihl Young; (Daeheib, KR); KIM; Hae Soo; (Daejeon, KR); KIM; Phil Ho; (Daejeon, KR); HAN; Soo Bong; (Daejeon, KR); NEYTS; Johan; (Belgium, BE); Thibaut; Hendrik Jan; (Belgium, BE)</t>
  </si>
  <si>
    <t>C07C 231/02 20130101;  A61K 31/122 20130101;  C07C 69/618 20130101;  C07C 233/43 20130101;  C07C 205/45 20130101;  C07C 2601/02 20170501;  C07D 213/65 20130101;  C07C 225/22 20130101;  C07C 67/00 20130101;  C07C 69/63 20130101;  C07C 233/41 20130101;  C07D 215/20 20130101;  C07C 69/18 20130101;  A61K 31/435 20130101;  C07C 69/22 20130101;  C07C 49/753 20130101;  C07C 49/755 20130101;  C07C 271/24 20130101;  C07C 69/78 20130101;  C07C 233/33 20130101;  C07C 233/61 20130101;  C07C 271/44 20130101;  C07C 69/738 20130101;  C07C 275/64 20130101;  C07C 69/16 20130101;  C07C 271/64 20130101;  C07D 221/04 20130101;  C07C 247/14 20130101;  C07C 67/08 20130101;  C07C 323/22 20130101;  C07C 269/00 20130101;  C07C 2602/08 20170501;  C07C 69/736 20130101;  C07C 275/26 20130101;  C07C 233/32 20130101;  C07C 233/76 20130101;  C07C 69/12 20130101;  C07C 69/28 20130101;  C07C 69/54 20130101;  C07C 225/20 20130101;  C07C 45/00 20130101;  C07C 49/747 20130101;  C07C 271/12 20130101</t>
  </si>
  <si>
    <t>Disclosed are 1,3-Dioxoindene derivatives, pharmaceutically acceptable     salts thereof or enantiomers, a preparation method thereof, and a     pharmaceutical composition for the prevention or treatment of viral     diseases, comprising the same as an active ingredient. The     1,3-Dioxoindene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hapatitis A, myositis,     myocarditis, pancreatitis, diabetes, epidemic myalgia, encephalitis,     cold, herpangina, foot-and-mouth disease, asthma, chronic obstructive     pulmonary disease, pneumonia, sinusitis or otitis media.</t>
  </si>
  <si>
    <t>US20160271087</t>
  </si>
  <si>
    <t>15/169617</t>
  </si>
  <si>
    <t>US20160257673</t>
  </si>
  <si>
    <t>4,6-DI- AND 2,4,6-TRISUBSTITUTED QUINAZOLINE DERIVATIVES USEFUL FOR     TREATING VIRAL INFECTIONS</t>
  </si>
  <si>
    <t>14/990322</t>
  </si>
  <si>
    <t>GAO; Ling-Jie; (Heverlee, BE); HERDEWIJN; Piet Andre Maurits Maria; (Rotselaar/Wezemaal, BE); DE JONGHE; Steven Cesar Alfons; (Brussels, BE); WATKINS; William John; (Saratoga, CA); CHONG; Lee Shun; (Newark, CA)</t>
  </si>
  <si>
    <t>C07D 405/04 20130101;  C07D 239/86 20130101;  C07D 239/72 20130101;  C07D 239/88 20130101;  C07D 239/95 20130101;  A61K 31/5375 20130101;  C07D 401/04 20130101;  A61K 31/5377 20130101;  A61P 31/14 20180101;  A61P 31/12 20180101;  C07D 409/04 20130101;  A61K 31/517 20130101;  C07D 403/04 20130101;  C07D 239/94 20130101;  C07D 239/78 20130101;  C07D 413/04 20130101</t>
  </si>
  <si>
    <t>This invention provides quinazoline derivatives represented by the     structural formula: (I); wherein: R.sub.2 is hydrogen, NR'R'', C.sub.1-7     alkyl, arylC.sub.1-7 alkyl or C.sub.3-10 cycloalkyl; R.sub.4 is amino,     C.sub.1-7 alkyl, C.sub.2-7 alkenyl, C.sub.3-10 cycloalkyl, C.sub.3-10     cycloalkenyl, aryl, heterocyclic, arylalkyl, heterocyclic-substituted     C.sub.1-7 alkyl or C.sub.3-10 cycloalkyl-C.sub.1-7 alkyl; R.sub.5 is     hydrogen or C.sub.1-7 alkyl, or R.sub.5 and R.sub.4 together with the     nitrogen atom to which they are attached form a heterocyclic ring; Y is a     single bond, C.sub.1-7 alkylene, C.sub.2-7 alkenylene or C.sub.2-7     alkynylene; R.sub.6 is halogen, heteroaryl or aryl; R' and R'' are each     independently hydrogen, C.sub.1-7 alkyl-carbonyl or C.sub.1-7 alkyl;     provided that R.sub.4 is not phenyl substituted with morpholino when     R.sub.2 is H and R.sub.5 is H, and provided that when NR.sub.4R.sub.5 is     piperazinyl, said NR.sub.4R.sub.5 is either non-substituted or     substituted with methyl or acetyl; a pharmaceutically acceptable addition     salt, a stereoisomer, a mono- or a di-N-oxide, a solvate or a pro-drug     thereof, for the treatment of viral infections.</t>
  </si>
  <si>
    <t>US20160256539</t>
  </si>
  <si>
    <t>HIV-1 ENV DNA Vaccine Plus Protein Boost Delivered by EP Expands B- and     T-Cell Response and Neutralizing</t>
  </si>
  <si>
    <t>15/035793</t>
  </si>
  <si>
    <t>Weiner; David; (Merion, PA); Muthumani; Karuppiah; (Cherry Hill, NJ); Wise; Megan; (Raleigh, NC); Yan; Jian; (Wallingford, PA); Broderick; Kate; (San Diego, CA)</t>
  </si>
  <si>
    <t>A61P 31/18 20180101;  A61K 2039/57 20130101;  A61K 39/21 20130101;  A61P 37/04 20180101;  A61K 2039/70 20130101;  C12N 2740/16122 20130101;  C12N 2740/16171 20130101;  C12N 2740/16134 20130101;  C07K 14/005 20130101;  A61K 2039/575 20130101;  C12N 7/00 20130101;  A61K 2039/545 20130101;  A61K 39/12 20130101;  A61K 2039/53 20130101</t>
  </si>
  <si>
    <t>The present invention is directed to an effective HIV vaccine will most     likely require the induction of strong T-cell responses, broadly     neutralizing antibodies (bNAbs), and the elicitation of     antibody-dependent cellular cytotoxicity (ADCC). Previously, we     demonstrated the induction of strong HIV/SIV cellular immune responses in     macaques and humans using synthetic consensus DNA immunogens delivered     via adaptive electroporation (EP). However, the ability of this improved     DNA approach to prime for relevant antibody responses has not been     previously studied. Here, we investigate the immunogenicity of consensus DNA constructs     encoding gp140 sequences from HIV-1 subtypes A, B, C and D in a DNA prime     protein boost vaccine regimen. Mice and Guinea pigs were primed with     single and multi-clade DNA via EP and boosted with recombinant gp120     protein. Sera were analyzed for gp120 binding and induction of     neutralizing antibody activity. Immunization with recombinant Env protein     alone induced low-titer binding antibodies with limited neutralization     breath. In contrast the synthetic DNA prime protein boost protocol was     induced significantly higher antibody binding titers. Furthermore, sera     from DNA prime-protein boost groups were able to neutralize a broader     range of viruses in a panel of tier 1 clade B viruses as well as multiple     tier 1 clade A and clade C viruses. Further investigation of synthetic     DNA prime+adaptive EP plus protein boost appears warranted.</t>
  </si>
  <si>
    <t>US20160256537</t>
  </si>
  <si>
    <t>14/996446</t>
  </si>
  <si>
    <t>A61K 2039/55566 20130101;  C12N 7/00 20130101;  C12N 2760/16234 20130101;  C12N 2760/16134 20130101;  A61K 39/12 20130101;  A61K 2039/572 20130101;  A61K 2039/5252 20130101;  A61K 39/145 20130101;  C12N 2760/16171 20130101;  A61K 2039/575 20130101;  A61K 39/39 20130101;  A61K 2039/545 20130101</t>
  </si>
  <si>
    <t>US20160253897</t>
  </si>
  <si>
    <t>15/150527</t>
  </si>
  <si>
    <t>US20160252495</t>
  </si>
  <si>
    <t>Microfluidic Devices and Methods for Use Thereof in Multicellular Assays     of Secretion</t>
  </si>
  <si>
    <t>14/773244</t>
  </si>
  <si>
    <t>Ricicova; Marketa; (Vancouver, CA); Heyries; Kevin Albert; (Vancouver, CA); Zahn; Hans; (Munich, DE); Petriv; Oleh; (Richmond, CA); Lecault; Veronique; (Vancouver, CA); Singhal; Anupam; (Mississauga, CA); Da Costa; Daniel J.; (Vancouver, CA); Hansen; Carl L. G.; (Vancouver, CA); Nelson; Brad; (Victoria, CA); Nielsen; Julie; (Victoria, CA); Lisaingo; Kathleen; (Port Moody, CA)</t>
  </si>
  <si>
    <t>B01L 3/502715 20130101;  G01N 33/54313 20130101;  B01L 2300/0887 20130101;  G01N 33/505 20130101;  G01N 35/0099 20130101;  C07K 16/40 20130101;  C12N 5/0635 20130101;  G01N 33/5052 20130101;  B01L 2300/04 20130101;  B01L 2200/0647 20130101;  B01L 3/50273 20130101;  G01N 33/6854 20130101;  C07K 16/00 20130101;  B01L 2300/0627 20130101;  B01L 3/502738 20130101;  C07K 2317/21 20130101;  B01L 3/502761 20130101;  G01N 33/5047 20130101;  C07K 2317/14 20130101;  C07K 2317/70 20130101;  B01L 2300/0877 20130101;  C07K 16/1018 20130101;  B01L 2200/12 20130101;  C12N 5/0634 20130101;  G01N 33/6845 20130101;  B01L 2300/14 20130101;  C12Q 1/6888 20130101;  B01L 2300/0838 20130101</t>
  </si>
  <si>
    <t>Methods and devices are provided herein for identifying a cell population     comprising an effector cell that exerts an extracellular effect. In one     embodiment the method comprises retaining in a microreactor a cell     population comprising one or more effector cells, wherein the contents of     the microreactor further comprise a readout particle population     comprising one or more readout particles, incubating the cell population     and the readout particle population within the microreactor, assaying the     cell population for the presence of the extracellular effect, wherein the     readout particle population or subpopulation thereof provides a direct or     indirect readout of the extracellular effect, and determining, based on     the results of the assaying step, whether one or more effector cells     within the cell population exerts the extracellular effect on the readout     particle. If an extracellular effect is measured, the cell population is     recovered for further analysis to determine the cell or cells responsible     for the effect.</t>
  </si>
  <si>
    <t>US20160245810</t>
  </si>
  <si>
    <t>15/041421</t>
  </si>
  <si>
    <t>Patel; Pranav; (Palo Alto, CA); Tabakman; Scott; (Palo Alto, CA); Belhocine; Kamila; (Palo Alto, CA); Richardson; Aaron; (Palo Alto, CA); Lee; Josephine; (Palo Alto, CA); Lui; Clarissa; (Palo Alto, CA); Sivaraman; Sharada; (Palo Alto, CA); Menzes; Sheena; (Palo Alto, CA); Gangakhedkar; Surekha; (Palo Alto, CA); Holmes; Elizabeth A.; (Palo Alto, CA)</t>
  </si>
  <si>
    <t>G16H 10/40 20180101;  G16H 50/20 20180101;  G01N 2469/20 20130101;  C12Q 1/689 20130101;  G01N 33/56983 20130101;  G01N 33/56944 20130101;  G01N 33/56938 20130101;  G01N 33/56916 20130101;  G01N 33/56988 20130101;  C12Q 2600/16 20130101;  C12Q 1/706 20130101;  C12Q 1/703 20130101;  C12Q 1/6893 20130101;  G01N 33/56911 20130101;  G06F 19/345 20130101;  G06F 19/3456 20130101;  C12Q 1/70 20130101;  C12Q 1/705 20130101;  G01N 33/56994 20130101;  G06F 19/366 20130101;  Y10T 436/11 20150115;  C12Q 2521/501 20130101;  C12Q 1/68 20130101;  C12Q 1/6806 20130101;  C12Q 1/6844 20130101;  C12Q 1/701 20130101;  C12Q 1/6895 20130101;  C12Q 2600/158 20130101;  G01N 2469/10 20130101;  G01N 2333/11 20130101</t>
  </si>
  <si>
    <t>Systems, methods, and devices for detecting infections in a clinical sample are provided. Small-volume clinical samples obtained at a point-of-service (POS) location and may be tested at the POS location for multiple markers for multiple diseases, including upper and lower respiratory diseases. Samples may be tested for cytokines, or for inflammation indicators. Dilution of samples, or levels of detection, may be determined by the condition or past history of a subject. Test results may be obtained within a short amount of time after sample placement in a testing device, or within a short amount of time after being obtained from the subject. A prescription for treatment of a detected disorder may be provided, and may be filled, at the POS location. A bill may be automatically generated for the testing, or for the prescription, may be automatically sent to an insurance provider, and payment may be automatically obtained.</t>
  </si>
  <si>
    <t>US20160244528</t>
  </si>
  <si>
    <t>15/049718</t>
  </si>
  <si>
    <t>A61P 13/12 20180101;  A61P 17/00 20180101;  A61P 37/04 20180101;  A61P 37/06 20180101;  C07K 2317/75 20130101;  A61P 11/00 20180101;  C07K 2317/92 20130101;  C07K 2317/21 20130101;  C07K 2317/33 20130101;  C07K 2317/56 20130101;  A61P 1/04 20180101;  A61P 35/00 20180101;  A61P 15/00 20180101;  A61P 31/12 20180101;  C07K 2317/70 20130101;  A61P 43/00 20180101;  C07K 16/2878 20130101;  A61P 1/16 20180101</t>
  </si>
  <si>
    <t>US20160238601</t>
  </si>
  <si>
    <t>METHODS AND COMPOSITIONS FOR CORONAVIRUS DIAGNOSTICS AND THERAPEUTICS</t>
  </si>
  <si>
    <t>15/029190</t>
  </si>
  <si>
    <t>Baric; Ralph; (Haw River, NC); Agnihothram; Sudhakar; (Chapel Hill, NC); Yount; Boyd; (Hillsborough, NC)</t>
  </si>
  <si>
    <t>C12N 2770/20021 20130101;  G01N 2469/20 20130101;  C07K 14/005 20130101;  G01N 33/56983 20130101;  G01N 2469/10 20130101;  C12N 2770/20034 20130101;  A61K 2039/575 20130101;  C12N 2770/20071 20130101;  A61K 2039/5252 20130101;  G01N 2333/165 20130101;  A61K 39/215 20130101;  G01N 2500/20 20130101;  C12N 7/00 20130101;  C12N 2770/20022 20130101;  C12N 2799/021 20130101;  A61K 2039/53 20130101;  G01N 2500/10 20130101;  A61K 2039/5258 20130101</t>
  </si>
  <si>
    <t>The present invention provides methods and compositions for detecting a     coronavirus in a sample and identifying the subgroup of the coronavirus     in the sample.</t>
  </si>
  <si>
    <t>US20160235838</t>
  </si>
  <si>
    <t>Vaccines With Interleukin-33 As An Adjuvant</t>
  </si>
  <si>
    <t>15/026162</t>
  </si>
  <si>
    <t>Weiner; David; (Merion, PA); Villareal; Daniel; (San Diego, CA); Morrov; Mathew; (Bala Cynwyd, PA); Yan; Jian; (Wallingford, PA)</t>
  </si>
  <si>
    <t>A61K 39/39 20130101;  A61P 35/02 20180101;  A61K 39/12 20130101;  A61K 2039/572 20130101;  C07K 14/025 20130101;  C07K 14/54 20130101;  A61K 2039/585 20130101;  Y02A 50/412 20180101;  A61K 2039/575 20130101;  A61P 31/00 20180101;  A61K 38/162 20130101;  A61K 38/164 20130101;  C07K 14/16 20130101;  A61K 39/21 20130101;  A61K 39/04 20130101;  A61K 39/015 20130101;  C12N 7/00 20130101;  A61K 2039/57 20130101;  A61K 38/20 20130101;  C12N 2740/16034 20130101;  C07K 14/005 20130101;  A61P 43/00 20180101;  C12N 2710/20034 20130101;  A61K 2039/53 20130101;  A61P 35/00 20180101;  C07K 14/445 20130101;  A61P 37/04 20180101;  C07K 14/35 20130101;  A61K 39/0011 20130101;  A61K 2039/54 20130101;  A61K 2039/55527 20130101;  C12N 2760/10034 20130101</t>
  </si>
  <si>
    <t>US20160235837</t>
  </si>
  <si>
    <t>THERAPIES, VACCINES, AND PREDICTIVE METHODS FOR MIDDLE EAST RESPIRATORY     SYNDROME VIRUS (MERS CoV)</t>
  </si>
  <si>
    <t>15/029169</t>
  </si>
  <si>
    <t>BOGOCH SAMUEL</t>
  </si>
  <si>
    <t>BOGOCH; Samuel; (New York, NY); BOGOCH; Elenore S.; (New York, NY); BORSANYI; Anne-Elenore Bogoch; (New York, NY); BOGOCH; Samuel Winston; (Oakland, CA)</t>
  </si>
  <si>
    <t>C12N 2770/20034 20130101;  C07K 16/10 20130101;  C07K 14/005 20130101;  C12N 7/00 20130101;  A61K 39/215 20130101;  G01N 33/56983 20130101;  A61P 31/14 20180101;  C07K 2317/34 20130101;  A61K 39/12 20130101;  A61K 2039/70 20130101;  C12N 2770/20022 20130101;  G01N 2333/165 20130101</t>
  </si>
  <si>
    <t>The present invention provides an isolated or synthesized protein     fragment or peptide comprising at least one peptide sequence that is at     least 50% homologous with at least one Replikin peptide sequence     identified in a MERS CoV. The at least one peptide sequence may be at     least 80% homologous with at least one Replikin peptide sequence     identified in a MERS CoV. The at least one peptide sequence may be at     least 46% homologous with at least one Replikin peptide sequence     identified in a MERS CoV. The at least one peptide sequence may be at     least 53% homologous with at least one Replikin peptide sequence.</t>
  </si>
  <si>
    <t>US20160235748</t>
  </si>
  <si>
    <t>PYRAZOLO[1,5-A]PYRIMIDINES AS ANTIVIRAL AGENTS</t>
  </si>
  <si>
    <t>15/000821</t>
  </si>
  <si>
    <t>Boojamra; Constantine G.; (San Francisco, CA); Hui; Hon Chung; (Foster City, CA); Jansa; Petr; (San Mateo, CA); Mackman; Richard L.; (Millbrae, CA); Parrish; Jay P.; (El Dorado Hills, CA); Sangi; Michael; (San Mateo, CA); Siegel; Dustin; (San Carlos, CA); Sperandio; David; (Palo Alto, CA); Yang; Hai; (San Mateo, CA)</t>
  </si>
  <si>
    <t>A61K 31/675 20130101;  C07D 487/08 20130101;  C07D 519/00 20130101;  A61P 11/00 20180101;  C07F 9/6561 20130101;  A61K 45/06 20130101;  C07D 487/04 20130101;  A61P 31/12 20180101;  A61K 31/5377 20130101;  A61K 31/519 20130101;  A61K 31/538 20130101;  A61K 31/5025 20130101</t>
  </si>
  <si>
    <t>The invention provides compounds and pharmaceutically acceptable salts     and esters and compositions thereof, for treating viral infections. The     compounds and compositions are useful for treating Pneumovirinae virus     infection including Human respiratory syncytial virus infections.</t>
  </si>
  <si>
    <t>US20160228003</t>
  </si>
  <si>
    <t>15/098110</t>
  </si>
  <si>
    <t>Apte; Zachary; (San Francisco, CA); Almonacid; Daniel; (San Francisco, CA); Richman; Jessica; (San Francisco, CA); Behbahani; Siavosh Rezvan; (San Francisco, CA)</t>
  </si>
  <si>
    <t>G06F 19/24 20130101;  A61B 5/0022 20130101;  G06F 19/28 20130101;  C12Q 1/689 20130101;  G06F 19/3418 20130101;  Y02A 90/24 20180101;  C12Q 2600/112 20130101;  G16H 50/20 20180101;  G16H 50/80 20180101;  Y02A 90/26 20180101;  A61B 5/4836 20130101</t>
  </si>
  <si>
    <t>US20160220633</t>
  </si>
  <si>
    <t>15/094777</t>
  </si>
  <si>
    <t>Aciro; Caroline; (Bottisham, GB); Chiva; Jean Yves; (Ongar, GB); Dean; David Kenneth; (Ware, GB); Highton; Adrian John; (Chelmsford, GB); Jansa; Petr; (San Mateo, CA); Keats; Andrew John; (Essex, GB); Lazarides; Linos; (London, GB); Mackman; Richard; (Millbrae, CA); Poullennec; Karine G.; (Essex, GB); Schrier; Adam James; (Redwood City, CA); Siegel; Dustin Scott; (San Carlos, CA); Steadman; Victoria Alexandra; (Essex, GB); Watt; Greg; (Bristol, GB)</t>
  </si>
  <si>
    <t>A61P 31/00 20180101;  A61K 38/00 20130101;  A61K 45/06 20130101;  A61K 38/12 20130101;  A61P 31/14 20180101;  Y02A 50/387 20180101;  A61P 11/00 20180101;  A61P 43/00 20180101;  C07K 5/02 20130101;  C07D 498/18 20130101;  A61P 35/00 20180101;  C07D 487/08 20130101;  A61P 1/14 20180101;  A61P 31/12 20180101;  A61K 39/05 20130101;  Y02A 50/391 20180101;  A61K 38/15 20130101;  A61P 3/04 20180101;  A61K 39/29 20130101;  Y02A 50/393 20180101;  A61P 29/00 20180101;  C07D 498/08 20130101;  A61P 31/18 20180101;  C07K 5/0202 20130101;  A61P 37/02 20180101;  Y02A 50/385 20180101;  C07D 498/22 20130101;  Y02A 50/389 20180101;  A61P 1/16 20180101;  Y02A 50/395 20180101;  A61P 31/20 20180101</t>
  </si>
  <si>
    <t>US20160210559</t>
  </si>
  <si>
    <t>SYSTEM AND METHOD TO MONITOR, VISUALIZE, AND PREDICT DISEASES</t>
  </si>
  <si>
    <t>15/060555</t>
  </si>
  <si>
    <t>OXFORD EPIDEMIOLOGY SERVICES LLC</t>
  </si>
  <si>
    <t>OXFORD EPIDEMIOLOGY</t>
  </si>
  <si>
    <t>Jean-Baptiste; Rachel; (Washington, DC)</t>
  </si>
  <si>
    <t>G06F 19/30 20130101;  Y02A 90/24 20180101;  G16H 50/80 20180101</t>
  </si>
  <si>
    <t>A system and method to monitor, visualize, and predict the progression or     recession of symptoms or diseases is disclosed herein. The system     includes a control server that creates and disperses surveys that are     tailored to target a particular symptom or disease, such as Ebola.     Various users operating a plurality of computing devices in the field,     such as in a particular country, may answer the questions for every     patient, and then transmit the data in real-time to a database associated     with and accessible by the control server. The control server may perform     various calculations including prediction analysis on the received data     in order to determine the prevalence and possible spread of the disease.     Based on the analysis by the control server, decision-makers in     Non-Governmental Organizations may make accurate and effective decisions     in a more time effective and cost-efficient basis, and ultimately save     lives.</t>
  </si>
  <si>
    <t>US20160207955</t>
  </si>
  <si>
    <t>MULTIVALENT SIALIC ACID DERIVATIVES</t>
  </si>
  <si>
    <t>14/914988</t>
  </si>
  <si>
    <t>ADENOVIR PHARMA AB</t>
  </si>
  <si>
    <t>ADENOVIR PHARMA</t>
  </si>
  <si>
    <t>Arnberg; Niklas; (Umea, SE); Caraballo; Remi; (Holmsund, SE); Elofsson; Mikael; (Umea, SE)</t>
  </si>
  <si>
    <t>C07H 15/26 20130101;  A61K 9/48 20130101;  A61K 9/08 20130101</t>
  </si>
  <si>
    <t>Disclosed is tri- or tetravalent sialic acid derivatives comprising a     core moiety to which 3 or 4 sialic acid residues are connected via a     linker. Such derivatives inhibit the binding of adenovirus to human     cells, whereby infections, such as epidemic keratoconjunctivitis, may be     treated or prevented by administration of the tri- or tetravalent sialic     acid derivatives.</t>
  </si>
  <si>
    <t>US20160206729</t>
  </si>
  <si>
    <t>IMMUNOGENIC MIDDLE EAST RESPIRATORY SYNDROME CORONAVIRUS (MERS-CoV)     COMPOSITIONS AND METHODS</t>
  </si>
  <si>
    <t>15/023629</t>
  </si>
  <si>
    <t>SMITH; Gale; (Gaithersburg, MD); LIU; Ye; (Gaithersburg, MD); MASSARE; Michael; (Gaithersburg, MD)</t>
  </si>
  <si>
    <t>A61P 31/14 20180101;  A61K 2039/552 20130101;  A61K 39/12 20130101;  A61K 39/215 20130101;  C12N 2770/20022 20130101;  A61K 2039/505 20130101;  A61K 39/42 20130101;  C07K 14/005 20130101;  C07K 2317/92 20130101;  C12N 7/00 20130101;  A61K 2039/5258 20130101;  C12N 2770/20071 20130101;  A61K 2039/575 20130101;  C07K 16/10 20130101;  C12N 2770/20034 20130101</t>
  </si>
  <si>
    <t>Disclosed herein are nanoparticles containing MERS virus proteins in     polymer structures, and compositions containing the nanoparticles     formulated for administration as immunogenic compositions. Also provided     herein are vector constructs encoding the proteins, and host cells     containing the vector constructs. The disclosure also includes methods of     making the nanoparticles and administering them to vertebrates, including     methods of inducing immune responses to MERS that reduce or prevent     infection by the virus.</t>
  </si>
  <si>
    <t>US20160202265</t>
  </si>
  <si>
    <t>METHOD OF DETERMINING RESISTANCE TO INFLUENZA VIRUS</t>
  </si>
  <si>
    <t>14/913879</t>
  </si>
  <si>
    <t>FUJITA HEALTH UNIV</t>
  </si>
  <si>
    <t>Kurosawa; Yoshikazu; (Toyoake-shi, JP); Ohshima; Nobuko; (Toyoake-shi, JP)</t>
  </si>
  <si>
    <t>G01N 33/56983 20130101;  G01N 33/686 20130101;  G01N 2333/11 20130101;  C07K 2317/76 20130101;  C07K 2317/21 20130101;  C07K 2317/55 20130101;  C07K 2317/565 20130101;  C07K 16/1018 20130101</t>
  </si>
  <si>
    <t>Provided is a method of providing an effective means as a countermeasure     for handling a pandemic of an influenza virus. The resistance to a type A     influenza virus is determined using, as an indicator, the presence or     otherwise of antibodies using the VH1-69 gene in a biological sample     originating from a subject.</t>
  </si>
  <si>
    <t>US20160199327</t>
  </si>
  <si>
    <t>15/061661</t>
  </si>
  <si>
    <t>US20160196405</t>
  </si>
  <si>
    <t>15/004022</t>
  </si>
  <si>
    <t>G06F 19/3437 20130101;  G06F 19/3481 20130101;  G16H 40/20 20180101;  G16H 50/30 20180101;  Y02A 90/24 20180101;  G16H 50/80 20180101;  Y02A 90/26 20180101;  Y02A 90/22 20180101;  G16H 50/50 20180101</t>
  </si>
  <si>
    <t>US20160194625</t>
  </si>
  <si>
    <t>CHIMERIC POLYNUCLEOTIDES</t>
  </si>
  <si>
    <t>14/915959</t>
  </si>
  <si>
    <t>HOGE; Stephen G.; (Brookline, MA); FRALEY; Andrew W.; (Arlington, MA); RAMAKRISHNAN; Divakar; (Lexington, MA)</t>
  </si>
  <si>
    <t>C12N 15/102 20130101;  C12N 15/11 20130101;  C12P 19/34 20130101;  C12N 15/67 20130101</t>
  </si>
  <si>
    <t>The invention relates to compositions and methods for the preparation, manufacture and therapeutic use of chimeric polynucleotide molecules.</t>
  </si>
  <si>
    <t>US20160188969</t>
  </si>
  <si>
    <t>EVENT REGISTRATION AND MANAGEMENT SYSTEM AND METHOD FOR A MASS GATHERING EVENT</t>
  </si>
  <si>
    <t>15/066004</t>
  </si>
  <si>
    <t>AMERASIA INT TECH INC</t>
  </si>
  <si>
    <t>AMERASIA INT TECH</t>
  </si>
  <si>
    <t>Chung; Kevin Kwong-Tai; (Princeton, NJ); Chung; Albert Han-Ping; (New York, NY)</t>
  </si>
  <si>
    <t>G06K 9/00362 20130101;  G06Q 10/10 20130101;  G16H 50/80 20180101;  G06K 9/00 20130101;  G06Q 50/26 20130101</t>
  </si>
  <si>
    <t>A system and method employing geo-tagging and/or biometric identification is employed for registration and management of a mass gathering event. Electronic devices are configured for capturing data and geo-tagging the captured data using the geographic position of the electronic device. Data relating thereto and related data concerning persons and/or locations and/or other things are associated with a unique identifier and are stored in a relational database from whence they may be retrieved and processed for generating a response or other follow up which can be communicated to an electronic device. Responses are communicated to the electronic device that captured the data relating to the particular group of registrants or to an electronic device using its geographic location.</t>
  </si>
  <si>
    <t>US20160180060</t>
  </si>
  <si>
    <t>14/905550</t>
  </si>
  <si>
    <t>NELSON; Timothy; (Toronto, CA)</t>
  </si>
  <si>
    <t>A01G 22/00 20180201;  A01K 11/008 20130101;  G16H 50/80 20180101;  G06F 17/30241 20130101;  G06F 17/30345 20130101;  A01G 1/001 20130101;  G06F 19/3493 20130101;  H04W 4/021 20130101;  H04W 4/04 20130101;  G06Q 50/02 20130101;  H04L 67/12 20130101;  G06F 17/30554 20130101</t>
  </si>
  <si>
    <t>US20160180020</t>
  </si>
  <si>
    <t>SECONDARY STRUCTURE DEFINING DATABASE AND METHODS FOR DETERMINING IDENTITY     AND GEOGRAPHIC ORIGIN OF AN UNKNOWN BIOAGENT THEREBY</t>
  </si>
  <si>
    <t>14/586267</t>
  </si>
  <si>
    <t>Ecker; David J.; (Encinitas, CA); Griffey; Richard H.; (Vista, CA); Sampath; Rangarajan; (San Diego, CA); Hofstadler; Steven A.; (Vista, CA); McNeil; John; (La Jolla, CA); Crooke; Stanley T.; (Carlsbad, CA)</t>
  </si>
  <si>
    <t>G06F 19/18 20130101;  G06F 19/10 20130101;  G06F 19/16 20130101;  Y02A 90/24 20180101;  G16H 50/80 20180101;  Y02A 90/26 20180101;  G06F 19/28 20130101</t>
  </si>
  <si>
    <t>The present invention relates generally to the field of investigational     bioinformatics and more particularly to secondary structure defining     databases. The present invention further relates to methods for     interrogating a database as a source of molecular masses of known     bioagents for comparing against the molecular mass of an unknown or     selected bioagent to determine either the identity of the selected     bioagent, and/or to determine the origin of the selected bioagent. The     identification of the bioagent is important for determining a proper     course of treatment and/or irradication of the bioagent in such cases as     biological warfare. Furthermore, the determination of the geographic     origin of a selected bioagent will facilitate the identification of     potential criminal identity.</t>
  </si>
  <si>
    <t>US20160179910</t>
  </si>
  <si>
    <t>METHOD AND SYSTEM FOR INTERACTIVE GEOMETRIC REPRESENTATION, USE AND     DECISIONING OF SYSTEMIC EPIDEMIOLOGICAL DATA</t>
  </si>
  <si>
    <t>14/791475</t>
  </si>
  <si>
    <t>KARMARKAR, SHARADA KALANIDHI</t>
  </si>
  <si>
    <t>KARMARKAR SHARADA</t>
  </si>
  <si>
    <t>KARMARKAR; SHARADA KALANIDHI; (Palo Alto, CA)</t>
  </si>
  <si>
    <t>G06F 16/248 20190101;  G16H 50/80 20180101;  G16H 50/20 20180101;  G06F 16/2458 20190101</t>
  </si>
  <si>
    <t>In one exemplary embodiment, a computer-implemented method includes     obtaining a data set from a data source. The data set is prepared for an     analysis operation according to a problem type. A result is generated     from an interactive geometric node based a geometric property of the data     set. A specified condition with the result from the interactive geometric     node is determined based on a query to the interactive geometric node.     Optionally, the data set can be a digital interaction data. The data set     can be biometric data from a biosensor. The data set comprises a previous     result of another interactive geometric node. The results from the     interactive geometric node can be a geometric representation, a geometric     computation or a geometric decision.</t>
  </si>
  <si>
    <t>US20160176885</t>
  </si>
  <si>
    <t>SUBSTITUTED     1,2,3,4,6,8,12,12a-OCTAHYDRO-1,4-METHANODIPYRIDO[1,2-a:1',2'-d]PYRAZINES     AND METHODS FOR TREATING VIRAL INFECTIONS</t>
  </si>
  <si>
    <t>14/815504</t>
  </si>
  <si>
    <t>Jin; Haolun; (Foster City, CA); Lazerwith; Scott E.; (San Francisco, CA); Pyun; Hyung-Jung; (Fremont, CA); Desai; Manoj C.; (Foster City, CA); Trejo Martin; Teresa Alejandra; (Foster City, CA); Bacon; Elizabeth; (Foster City, CA); Cottell; Jeromy J.; (Foster City, CA); Cai; Zhenhong R.; (Palo Alto, CA); Morganelli; Philip Anthony; (Foster City, CA); Ji; Mingzhe; (Union City, CA); Taylor; James G.; (Foster City, CA); Chen; Xiaowu; (Hillsborough, CA); Mish; Michael R.; (Foster City, CA)</t>
  </si>
  <si>
    <t>C07D 487/14 20130101;  C07D 498/14 20130101;  A61K 45/06 20130101;  C07D 471/18 20130101;  A61K 31/4985 20130101;  A61P 43/00 20180101;  A61K 31/551 20130101;  A61K 31/553 20130101;  C07D 471/22 20130101;  A61P 31/18 20180101;  A61P 31/12 20180101;  C07D 498/18 20130101;  A61K 31/537 20130101;  A61K 31/529 20130101;  A61K 31/498 20130101;  A61K 31/553 20130101;  A61K 2300/00 20130101;  A61K 31/4985 20130101;  A61K 2300/00 20130101;  A61K 31/529 20130101;  A61K 2300/00 20130101</t>
  </si>
  <si>
    <t>US20160175427</t>
  </si>
  <si>
    <t>Influenza Nucleic Acid Molecules And Vaccines Made Therefrom</t>
  </si>
  <si>
    <t>14/910136</t>
  </si>
  <si>
    <t>Weiner; David B.; (Merion, PA); Yan; Jian; (Wallingford, PA)</t>
  </si>
  <si>
    <t>C12N 7/00 20130101;  C12N 2760/16122 20130101;  A61K 39/145 20130101;  A61K 2039/53 20130101;  C12N 2760/16134 20130101;  A61K 39/12 20130101;  C07K 14/005 20130101</t>
  </si>
  <si>
    <t>Provided herein are nucleic acid sequences that encode novel consensus     amino acid sequences of HA Influenza A of serotype H7N9 alone and in     combination with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</si>
  <si>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US20160171179</t>
  </si>
  <si>
    <t>SYSTEM AND METHOD FOR INVESTIGATING THE SPREAD OF PATHOGENS AT A SITE</t>
  </si>
  <si>
    <t>14/965092</t>
  </si>
  <si>
    <t>NSF INTERNATIONAL</t>
  </si>
  <si>
    <t>NSF</t>
  </si>
  <si>
    <t>Donofrio; Robert Scott; (Ypsilanti, MI); Kneen; Kurtis Richard; (Canton, MI); Langlais; Peter John; (Lakeville, MA); Mandava; Sireesha; (Westland, MI)</t>
  </si>
  <si>
    <t>G06F 19/3493 20130101;  G06F 17/30572 20130101;  G16H 50/70 20180101;  G16H 50/80 20180101;  G16H 15/00 20180101</t>
  </si>
  <si>
    <t>Systems and methods for investigating the spread of pathogens at a site     are provided. Flow data indicating an identity and location of objects at     the site and movement of the objects within the site over time is     acquired. Sampling data indicating a presence of pathogens on the objects     over time and an identity of pathogens that are present is acquired. A     computing device receives and evaluates the flow data and the sampling     data. Based on evaluating the flow data and the sampling data, the     computing device generates a graphical indicator that is informative of     movement of the identified pathogens within the site over time and is     visually presented for display.</t>
  </si>
  <si>
    <t>US20160169921</t>
  </si>
  <si>
    <t>MODULATING BACTERIAL MAM POLYPEPTIDES IN PATHOGENIC DISEASE</t>
  </si>
  <si>
    <t>14/861709</t>
  </si>
  <si>
    <t>ORTH; Kim; (Dallas, TX); HAM; Hyeilin; (Dallas, TX); KRACHLER; Anne-Marie; (Malvern, GB)</t>
  </si>
  <si>
    <t>G01N 33/56911 20130101;  G01N 2333/195 20130101;  A61K 35/74 20130101;  A61K 35/741 20130101;  A61K 38/164 20130101;  Y02A 50/473 20180101;  A23L 33/135 20160801;  G01N 33/92 20130101;  Y02A 50/471 20180101;  Y02A 50/52 20180101;  G01N 33/554 20130101</t>
  </si>
  <si>
    <t>The present invention relates to methods and compositions for preventing or inhibiting pathogenic bacterial infections in a subject caused by pathogenic bacteria expressing a MAM polypeptide by administering to a subject a composition comprising a MAM polypeptide or a non-pathogenic bacterium expressing a MAM polypeptide, or a combination thereof.</t>
  </si>
  <si>
    <t>US20160168243</t>
  </si>
  <si>
    <t>14/968098</t>
  </si>
  <si>
    <t>C07K 16/248 20130101;  C07K 2317/565 20130101;  A61K 45/06 20130101;  C07K 2317/34 20130101;  A61K 39/395 20130101;  C07K 2317/76 20130101;  G01N 2333/4737 20130101;  G01N 2800/52 20130101;  A61K 39/3955 20130101;  A61K 2039/505 20130101;  G01N 2333/765 20130101;  C07K 2317/24 20130101;  C07K 2317/92 20130101;  A61P 43/00 20180101;  C07K 2317/56 20130101;  C07K 2317/41 20130101</t>
  </si>
  <si>
    <t>US20160158361</t>
  </si>
  <si>
    <t>15/043327</t>
  </si>
  <si>
    <t>US20160157492</t>
  </si>
  <si>
    <t>ANTIBACTERIAL AGENT COMPOSITION AND ANTIVIRAL AGENT COMPOSITION COMPRISING SILICON-CONTAINING COMPOUND; ANTIBACTERIALIZING METHOD, CLEANING/MOUTH RINSING METHOD; METHOD FOR FIXING ANTIBACTERIAL AGENT AND ANTIVIRAL AGENT</t>
  </si>
  <si>
    <t>15/003389</t>
  </si>
  <si>
    <t>HIROSHIMA UNIVERSITY</t>
  </si>
  <si>
    <t>NIKAWA; Hiroki; (Hiroshima-shi, JP); TAKEDA; Hironori; (Hiroshima-shi, JP); KAKIHARA; Toshio; (Hiroshima-shi, JP); SAKAGUCHI; Takemasa; (Hiroshima-shi, JP)</t>
  </si>
  <si>
    <t>A01N 33/12 20130101;  A01N 55/00 20130101;  A61K 31/695 20130101;  C07F 7/1836 20130101;  C11D 3/3742 20130101;  C11D 3/48 20130101;  A01N 55/00 20130101;  A01N 25/30 20130101;  A61K 9/0014 20130101</t>
  </si>
  <si>
    <t>Disclosed is an antibacterial agent composition which is highly safe and has excellent antibacterial abilities, by using a silicon-containing compound that is obtained by a specific manufacturing method. The antibacterial agent composition has a more stable antibacterial component, and is capable of imparting antibacterial abilities to teeth, while being also capable of cleaning an article or the mouth. Also disclosed are: an antiviral agent composition which is highly safe and has excellent virus deactivation abilities; an antibacterializing method, a cleaning/mouth rinsing method, each using the antibacterial agent composition or the antiviral agent composition; and a method for fixing an antibacterial agent or an antiviral agent. The antibacterial agent composition may contain a silicon-containing compound which is represented by general formula (1) and obtained by reacting a specific triethoxysilyl compound in an ethanol solvent. ##STR00001##</t>
  </si>
  <si>
    <t>US20160145320</t>
  </si>
  <si>
    <t>Broad-Spectrum Monoclonal Antibody Recognizing HA1 Domain of Hemagglutinin     of Influenza Virus</t>
  </si>
  <si>
    <t>14/781391</t>
  </si>
  <si>
    <t>XIAMEN UNIVERSITY</t>
  </si>
  <si>
    <t>CHEN; Yixin; (Xiamen, Fujian, CN); ZHENG; Qingbing; (Xiamen, Fujian, CN); LI; Rui; (Xiamen, Fujian, CN); SHEN; Chenguang; (Xiamen, Fujian, CN); KE; Shaojun; (Xiamen, Fujian, CN); LUO; Wenxin; (Xiamen, Fujian, CN); CHEN; Honglin; (Xiamen, Fujian, CN); XIA; Ningshao; (Xiamen, Fujian, CN)</t>
  </si>
  <si>
    <t>C07K 16/1018 20130101;  A61K 2039/505 20130101;  C07K 2317/76 20130101;  C07K 2317/34 20130101;  G01N 2333/11 20130101;  G01N 2469/10 20130101;  C07K 2317/33 20130101;  G01N 33/56983 20130101</t>
  </si>
  <si>
    <t>The invention relates to antibodies recognizing epitopes on HA1 domain of     hemagglutinin (HA) protein of influenza virus, cell lines for producing     the antibodies, and uses thereof. The antibodies according to the     invention can specifically bind to HA1 domain of different HA subtypes     and specifically bind to HA1 domain of hemagglutinin (HA) protein of H1     subtype (including seasonal H1N1 and 2009 pandemic H1N1) and H5 subtype     of influenza viruses. Therefore, the invention also relates to vaccines     or pharmaceutical compositions for preventing and/or treating infection     of H1 subtype and H5 subtype influenza virus and/or a disease caused by     the infection (e.g. influenza), comprising the antibodies according to     the invention.</t>
  </si>
  <si>
    <t>US20160132631</t>
  </si>
  <si>
    <t>BIOINFORMATIC PROCESSES FOR DETERMINATION OF PEPTIDE BINDING</t>
  </si>
  <si>
    <t>14/895746</t>
  </si>
  <si>
    <t>IOGENETICS, LLC</t>
  </si>
  <si>
    <t>IOGENETICS</t>
  </si>
  <si>
    <t>Bremel; Robert D.; (Hillpoint, WI); Homan; Jane; (Hillpoint, WI)</t>
  </si>
  <si>
    <t>A61K 39/098 20130101;  G06F 19/12 20130101;  G06F 17/16 20130101;  C12Y 108/00 20130101;  G06F 19/24 20130101;  C07K 7/08 20130101;  C07K 7/06 20130101;  A61K 2039/572 20130101;  C12N 9/0051 20130101;  G06F 19/18 20130101</t>
  </si>
  <si>
    <t>This invention relates to the identification of peptide binding to ligands, and in particular to identification of epitopes expressed by microorganisms and by mammalian cells. The present invention provides polypeptides comprising the epitopes, and vaccines, antibodies and diagnostic products that utilize or are developed using the epitopes.</t>
  </si>
  <si>
    <t>US20160130306</t>
  </si>
  <si>
    <t>Human Adaptation of H7 HA</t>
  </si>
  <si>
    <t>14/896062</t>
  </si>
  <si>
    <t>Tharakaraman; Kannan; (Arlington, MA); Raman; Rahul; (Waltham, MA); Jayaraman; Akila; (Waltham, MA); Stebbins; Nathan; (Cambridge, MA); Sasisekharan; Ram; (Cambridge, MA)</t>
  </si>
  <si>
    <t>C12N 2760/16134 20130101;  G01N 33/68 20130101;  C07K 2317/76 20130101;  C12N 7/00 20130101;  C12Q 1/701 20130101;  G01N 33/56983 20130101;  G01N 2333/11 20130101;  G01N 2469/10 20130101;  C07K 2317/33 20130101;  A61K 39/00 20130101;  C07K 14/005 20130101;  C07K 16/1018 20130101;  C12N 2760/16122 20130101</t>
  </si>
  <si>
    <t>The present invention provides, among other things, systems (e.g.,     comprising compositions and/or methods) for diagnosis, prophylaxis,     treatment, prevention, and/or characterization of influenza transmission     and/or infection. The present invention also provides methods for     monitoring influenza variants for their potential to present a pandemic     risk to humans.</t>
  </si>
  <si>
    <t>US20160130300</t>
  </si>
  <si>
    <t>14/996961</t>
  </si>
  <si>
    <t>Bjornson; Kyla; (San Lorenzo, CA); Canales; Eda; (San Mateo, CA); Cottell; Jeromy J.; (Foster City, CA); Karki; Kapil K.; (Foster City, CA); Katana; Ashley A.; (San Mateo, CA); Kato; Darryl; (San Francisco, CA); Kobayashi; Tetsuya; (Pleasanton, CA); Link; John O.; (San Francisco, CA); Martinez; Ruben; (San Diego, CA); Phillips; Barton W.; (San Mateo, CA); Pyun; Hyung-jung; (Fremont, CA); Sangi; Michael; (San Mateo, CA); Schrier; Adam J.; (Redwood City, CA); Siegel; Dustin; (San Carlos, CA); Taylor; James G.; (Foster City, CA); Tran; Chinh V.; (San Diego, CA); Trejo Martin; Teresa A.; (Foster City, CA); Vivian; Randall W.; (Foster City, CA); Yang; Zheng-Yu; (Palo Alto, CA); Zablocki; Jeff; (Los Altos, CA); Zipfel; Sheila; (San Mateo, CA)</t>
  </si>
  <si>
    <t>A61P 1/16 20180101;  C07D 498/22 20130101;  A61K 45/06 20130101;  A61P 31/12 20180101;  A61K 38/00 20130101;  C07K 5/0808 20130101;  A61P 43/00 20180101;  A61K 31/401 20130101;  A61K 38/06 20130101;  A61P 31/14 20180101;  A61K 31/10 20130101;  A61K 31/519 20130101;  C07K 5/0827 20130101;  C07K 5/08 20130101;  A61K 38/21 20130101;  A61K 2300/00 20130101;  A61K 31/4985 20130101;  A61K 31/506 20130101;  C07D 498/16 20130101;  C07D 403/14 20130101;  C07D 241/36 20130101;  A61K 31/498 20130101;  A61K 31/4745 20130101;  A61P 31/00 20180101;  A61P 31/10 20180101;  C07K 5/0812 20130101;  A61K 38/21 20130101</t>
  </si>
  <si>
    <t>US20160130275</t>
  </si>
  <si>
    <t>14/995486</t>
  </si>
  <si>
    <t>Babaoglu; Kerim; (Lansdale, PA); Boojamra; Constantine G.; (San Francisco, CA); Eisenberg; Eugene J.; (San Carlos, CA); Hui; Hon Chung; (Foster City, CA); Mackman; Richard L.; (Millbrae, CA); Parrish; Jay P.; (El Dorado Hills, CA); Sangi; Michael; (San Mateo, CA); Saunders; Oliver L.; (Clovis, CA); Siegel; Dustin; (San Carlos, CA); Sperandio; David; (Palo Alto, CA); Yang; Hai; (San Mateo, CA)</t>
  </si>
  <si>
    <t>C07D 513/04 20130101;  A61P 31/12 20180101;  A61K 31/675 20130101;  A61P 31/14 20180101;  A61K 31/55 20130101;  A61K 31/5377 20130101;  C07D 487/04 20130101;  A61K 31/519 20130101;  A61P 11/00 20180101;  C07D 519/00 20130101;  A61K 31/551 20130101;  A61K 45/06 20130101;  C07D 495/04 20130101;  C07F 9/65616 20130101;  A61P 31/16 20180101</t>
  </si>
  <si>
    <t>US20160122374</t>
  </si>
  <si>
    <t>14/926062</t>
  </si>
  <si>
    <t>C07H 15/18 20130101;  A61P 43/00 20180101;  C07H 11/00 20130101;  C07F 9/65616 20130101;  C07H 1/02 20130101;  A61K 31/00 20130101;  A61K 45/06 20130101;  A61P 31/00 20180101;  A61K 31/6615 20130101;  A61P 31/14 20180101;  A61K 31/7056 20130101;  C07H 1/00 20130101;  C07D 519/00 20130101;  A61K 31/675 20130101;  A61K 31/685 20130101;  A61K 31/706 20130101;  A61K 31/665 20130101;  C07D 487/04 20130101;  A61P 31/12 20180101;  A61K 31/53 20130101;  C07F 9/2429 20130101;  A61K 31/683 20130101;  A61K 31/53 20130101;  A61K 2300/00 20130101;  A61K 31/675 20130101;  A61K 2300/00 20130101;  A61K 31/685 20130101;  A61K 2300/00 20130101</t>
  </si>
  <si>
    <t>US20160120892</t>
  </si>
  <si>
    <t>14/868062</t>
  </si>
  <si>
    <t>A61K 31/675 20130101;  A61K 31/439 20130101;  A61K 9/2013 20130101;  A61P 1/16 20180101;  A61K 31/4184 20130101;  A61K 9/209 20130101;  A61K 31/7072 20130101;  A61K 31/7056 20130101;  A61K 9/2027 20130101;  A61P 31/12 20180101;  A61K 9/28 20130101;  A61K 31/497 20130101;  A61K 9/2009 20130101;  A61P 31/14 20180101;  A61K 9/1635 20130101;  A61K 31/4025 20130101;  A61K 31/381 20130101;  A61K 31/5377 20130101;  A61K 31/4178 20130101;  A61K 9/1623 20130101;  A61K 9/2018 20130101;  A61K 31/513 20130101;  A61K 31/5025 20130101;  A61K 31/4709 20130101;  A61K 9/2054 20130101;  A61K 31/4985 20130101;  A61K 31/7076 20130101;  A61K 31/4184 20130101;  A61K 2300/00 20130101;  A61K 31/7072 20130101;  A61K 2300/00 20130101;  A61K 31/7056 20130101;  A61K 2300/00 20130101;  A61K 31/4709 20130101;  A61K 2300/00 20130101;  A61K 31/5025 20130101;  A61K 2300/00 20130101;  A61K 31/4025 20130101;  A61K 2300/00 20130101;  A61K 31/381 20130101;  A61K 2300/00 20130101;  A61K 31/7076 20130101;  A61K 2300/00 20130101;  A61K 31/513 20130101;  A61K 2300/00 20130101;  A61K 31/4985 20130101;  A61K 2300/00 20130101;  A61K 31/675 20130101;  A61K 2300/00 20130101;  A61K 31/497 20130101;  A61K 2300/00 20130101;  A61K 31/5377 20130101;  A61K 2300/00 20130101;  A61K 31/439 20130101;  A61K 2300/00 20130101</t>
  </si>
  <si>
    <t>US20160115228</t>
  </si>
  <si>
    <t>14/933141</t>
  </si>
  <si>
    <t>C07K 2317/76 20130101;  C07K 2317/51 20130101;  C07K 16/248 20130101;  C07K 2317/565 20130101;  C07K 2317/94 20130101;  C07K 2317/56 20130101;  A61K 45/06 20130101;  C07K 2317/33 20130101;  A61K 39/3955 20130101;  C07K 2317/41 20130101;  C07K 2317/52 20130101;  C07K 2317/92 20130101;  C07K 2317/515 20130101;  A61K 2039/505 20130101;  C07K 2317/34 20130101</t>
  </si>
  <si>
    <t>US20160115175</t>
  </si>
  <si>
    <t>14/925203</t>
  </si>
  <si>
    <t>Bacon; Elizabeth M.; (Foster City, CA); Cottell; Jeromy J.; (Foster City, CA); Link; John O.; (San Francisco, CA); Trejo Martin; Teresa Alejandra; (Foster City, CA)</t>
  </si>
  <si>
    <t>A61K 31/7068 20130101;  A61K 31/4188 20130101;  A61P 43/00 20180101;  A61K 45/06 20130101;  A61P 31/12 20180101;  A61K 31/7068 20130101;  A61K 2300/00 20130101;  A61K 2300/00 20130101;  A61K 2300/00 20130101;  A61K 2300/00 20130101;  C07D 491/04 20130101;  A61K 31/7056 20130101;  A61K 31/7072 20130101;  A61P 1/16 20180101;  A61P 31/14 20180101;  A61K 31/7072 20130101;  A61K 38/21 20130101;  C07D 491/052 20130101;  A61P 31/00 20180101;  A61K 31/7056 20130101;  A61K 38/21 20130101</t>
  </si>
  <si>
    <t>US20160114034</t>
  </si>
  <si>
    <t>COMPOSITIONS COMPRISING ISCOM PARTICLES AND LIVE MICRO-ORGANISMS</t>
  </si>
  <si>
    <t>14/933722</t>
  </si>
  <si>
    <t>MOREIN; Bror; (Uppsala, SE); BENGTSSON; Karin Lovgren; (Uppsala, SE)</t>
  </si>
  <si>
    <t>C12N 7/00 20130101;  A61P 31/16 20180101;  A61P 31/20 20180101;  A61K 39/155 20130101;  A61K 2039/525 20130101;  A61K 2039/5252 20130101;  A61K 2039/70 20130101;  C12N 2760/18634 20130101;  A61K 39/145 20130101;  C12N 2760/16134 20130101;  A61K 39/39 20130101;  A61K 2039/55511 20130101;  A61K 2039/55577 20130101;  A61P 31/14 20180101</t>
  </si>
  <si>
    <t>US20160109149</t>
  </si>
  <si>
    <t>Weather</t>
  </si>
  <si>
    <t>14/890297</t>
  </si>
  <si>
    <t>F24F 11/0015 20130101;  G05B 15/02 20130101;  G16H 50/80 20180101;  F24F 2110/20 20180101;  F24F 11/30 20180101</t>
  </si>
  <si>
    <t>US20160108096</t>
  </si>
  <si>
    <t>14/857606</t>
  </si>
  <si>
    <t>A23K 10/18 20160501;  C02F 2101/30 20130101;  C12P 21/02 20130101;  C12N 1/20 20130101;  C12N 3/00 20130101;  C12N 15/62 20130101;  C12N 15/75 20130101;  C07K 2319/01 20130101;  C07K 14/32 20130101;  A01N 37/44 20130101;  A61L 2/18 20130101;  C09K 8/62 20130101;  E21B 43/16 20130101;  C07K 2319/40 20130101;  C09K 2208/24 20130101;  C07K 2319/035 20130101;  A01N 63/02 20130101;  A61K 39/00 20130101;  C02F 3/348 20130101;  C02F 2103/002 20130101;  C02F 2103/003 20130101;  C02F 2103/007 20130101;  C02F 2103/06 20130101;  C02F 2103/10 20130101;  C02F 2103/14 20130101;  C02F 2103/16 20130101;  C02F 2103/26 20130101;  C02F 2103/28 20130101;  C02F 3/342 20130101;  C02F 2101/10 20130101;  A23K 20/147 20160501</t>
  </si>
  <si>
    <t>US20160102145</t>
  </si>
  <si>
    <t>14/833973</t>
  </si>
  <si>
    <t>SMITH; Jeffrey T.L.; (Bellevue, WA); Latham; John A.; (Seattle, WA); Litton; Mark; (Seattle, WA); Schatzman; Randall; (Redmond, WA)</t>
  </si>
  <si>
    <t>C07K 16/248 20130101;  A61K 2039/505 20130101;  A61K 2039/545 20130101;  C07K 2317/34 20130101;  Y02A 50/412 20180101;  C07K 2317/92 20130101;  A61K 39/3955 20130101;  A61K 45/06 20130101;  C07K 2317/76 20130101</t>
  </si>
  <si>
    <t>US20160092657</t>
  </si>
  <si>
    <t>METHODS AND APPARATUS FOR GEOGRAPHY-BASED ANTIMICROBIAL RESISTANCE     TRACKING</t>
  </si>
  <si>
    <t>14/500596</t>
  </si>
  <si>
    <t>ATHENAHEALTH, INC.</t>
  </si>
  <si>
    <t>ATHENAHEALTH</t>
  </si>
  <si>
    <t>Nix; Robert; (San Francisco, CA); Guiliano; Shayne; (Hillsborough, NC); Meneghetti; Anne; (San Francisco, CA); Hung; Peter; (Los Altos, CA); Wilkinson; Nathan; (Raleigh, NC); Don; Abbe; (San Francisco, CA); Jergensen; Alexander C.; (Durham, NC); Magid; Jeremy; (Durham, NC)</t>
  </si>
  <si>
    <t>G06F 19/3493 20130101;  G06F 19/324 20130101;  Y02A 90/24 20180101;  Y02A 90/26 20180101;  G16H 50/80 20180101</t>
  </si>
  <si>
    <t>Methods and apparatus for tracking antimicrobial resistance based on     geography. An application server receives a query from a client     application to provide antimicrobial resistance data for a geographic     location. The application server determines a geographic region based, at     least in part, on the geographic location included in the query, and     antimicrobial data for samples collected from patients residing in the     geographic region are retrieved from at least one health information     datastore of a health information system. The retrieved antimicrobial     data comprises information describing antimicrobial resistance of an     infectious organism detected in the biological samples to at least one     antimicrobial agent, and is transmitted to a client device on which the     client application that issued the query is executing.</t>
  </si>
  <si>
    <t>US20160089427</t>
  </si>
  <si>
    <t>Yersinia</t>
  </si>
  <si>
    <t>Genetically Modified Yersinia as Vaccines Against Yersinia Species</t>
  </si>
  <si>
    <t>14/850811</t>
  </si>
  <si>
    <t>Curtiss; Roy; (Gainesville, FL); Sun; Wei; (Gainesville, FL)</t>
  </si>
  <si>
    <t>A61K 39/0291 20130101;  A61K 2039/522 20130101;  A61K 2039/58 20130101;  A61K 2039/542 20130101;  A61K 2039/572 20130101;  A61K 2039/523 20130101</t>
  </si>
  <si>
    <t>Recombinant attenuated Y. pseudotuberculosis mutants have been created     that show efficacy as oral vaccines against plague caused by Y. pestis     and Yersinosis caused by both Y. enterocolitica and Y.     pseudotuberculosis. Thus, live attenuated Y. pseudotuberculosis-based     vaccines can be used to prevent Yersinosis in farm animals such as swine,     cattle and sheep. The palatable baits containing live attenuated Y.     pseudotuberculosis-based vaccines may be acceptable methods to control     plague epidemics in wild animals. The methods disclosed can also be used     to generate recombinant attenuated Y. entercolitica and Y. pestis vaccine     strains.</t>
  </si>
  <si>
    <t>US20160085912</t>
  </si>
  <si>
    <t>14/723424</t>
  </si>
  <si>
    <t>JONES; Evan; (Potomac, MD); SAPIRO; Vadim; (North Potomac, MD); WALKER; George Terrance; (Chevy Chase, MD); SAEED; Alex; (Germantown, MD)</t>
  </si>
  <si>
    <t>G16B 40/00 20190201;  G16B 45/00 20190201;  G16B 20/40 20190201;  G16B 20/00 20190201;  G16H 50/80 20180101</t>
  </si>
  <si>
    <t>US20160083395</t>
  </si>
  <si>
    <t>14/957988</t>
  </si>
  <si>
    <t>Link; John O.; (San Francisco, CA); Cottell; Jeromy J.; (Foster City, CA); Trejo Martin; Teresa Alejandra; (Foster City, CA); Bacon; Elizabeth M.; (Burlingame, CA)</t>
  </si>
  <si>
    <t>A61P 31/00 20180101;  A61K 38/21 20130101;  A61K 31/4188 20130101;  A61K 31/352 20130101;  A61P 31/14 20180101;  A61K 45/06 20130101;  A61K 31/7056 20130101;  C07D 491/052 20130101;  A61P 1/16 20180101;  A61K 31/7072 20130101;  C07D 491/04 20130101;  A61P 31/12 20180101;  A61K 31/7068 20130101</t>
  </si>
  <si>
    <t>US20160083394</t>
  </si>
  <si>
    <t>14/949756</t>
  </si>
  <si>
    <t>Bacon; Elizabeth M.; (Burlingame, CA); Cottell; Jeromy J.; (Redwood City, CA); Katana; Ashley Anne; (San Mateo, CA); Kato; Darryl; (San Francisco, CA); Krygowski; Evan S.; (Washington, DC); Link; John O.; (San Francisco, CA); Taylor; James; (San Mateo, CA); Tran; Chinh Viet; (San Diego, CA); Trejo Martin; Teresa Alejandra; (Union City, CA); Yang; Zheng-Yu; (Palo Alto, CA); Zipfel; Sheila; (San Mateo, CA)</t>
  </si>
  <si>
    <t>A61P 31/12 20180101;  A61P 31/14 20180101;  A61K 31/4188 20130101;  C07F 5/025 20130101;  A61K 31/7072 20130101;  A61P 1/16 20180101;  A61K 31/7064 20130101;  A61K 31/7064 20130101;  C07D 491/052 20130101;  A61K 47/60 20170801;  A61P 43/00 20180101;  A61K 38/06 20130101;  A61K 31/7056 20130101;  A61K 38/07 20130101;  A61K 31/4188 20130101;  A61K 2300/00 20130101;  A61K 2300/00 20130101;  A61K 31/7056 20130101;  A61K 31/7072 20130101;  C07D 405/12 20130101;  Y10S 514/894 20130101;  A61K 45/06 20130101;  A61K 38/21 20130101;  A61K 2300/00 20130101;  A61K 2300/00 20130101</t>
  </si>
  <si>
    <t>US20160082103</t>
  </si>
  <si>
    <t>COMPOSITIONS AND METHODS FOR TREATING VIRAL INFECTIONS THROUGH STIMULATED INNATE IMMUNITY IN COMBINATION WITH ANTIVIRAL COMPOUNDS</t>
  </si>
  <si>
    <t>14/860205</t>
  </si>
  <si>
    <t>PULMOTECT, INC.</t>
  </si>
  <si>
    <t>PULMOTECT</t>
  </si>
  <si>
    <t>DICKEY; Burton; (Houston, TX); EVANS; Scott; (Bellaire, TX); Gilbert; Brian; (Houston, TX); Markesich; Diane; (Houston, TX); Scott; Brenton; (Houston, TX); TUVIM; Michael; (Houston, TX)</t>
  </si>
  <si>
    <t>A61K 45/06 20130101;  Y02A 50/388 20180101;  A61K 31/7056 20130101;  A61K 31/215 20130101;  A61K 2039/55561 20130101;  A61K 38/07 20130101;  A61K 38/06 20130101;  A61K 38/05 20130101;  A61K 9/0078 20130101;  A61K 31/24 20130101;  A61K 38/08 20130101;  A61K 39/39 20130101;  A61K 31/7056 20130101;  A61K 2300/00 20130101;  A61K 31/215 20130101;  A61K 2300/00 20130101;  A61K 38/08 20130101;  A61K 2300/00 20130101;  A61K 38/07 20130101;  A61K 2300/00 20130101;  A61K 38/06 20130101;  A61K 2300/00 20130101;  A61K 38/05 20130101;  A61K 2300/00 20130101</t>
  </si>
  <si>
    <t>Embodiments are directed to compositions and methods for treating viral infections.</t>
  </si>
  <si>
    <t>US20160082074</t>
  </si>
  <si>
    <t>COMPOSITIONS AND METHODS FOR TREATING CORONAVIRUS INFECTION</t>
  </si>
  <si>
    <t>14/707356</t>
  </si>
  <si>
    <t>LUDWIG-MAXIMILIANS-UNIVERSITAT MUNCHEN</t>
  </si>
  <si>
    <t>Naoumov; Nikolai; (Basel, CH); von Brunn; Albrecht; (Schwabmuenchen, DE)</t>
  </si>
  <si>
    <t>A61K 31/7056 20130101;  A61K 45/06 20130101;  A61K 38/12 20130101;  A61P 31/14 20180101;  A61K 38/12 20130101;  A61K 38/13 20130101;  A61K 31/7056 20130101;  A61K 2300/00 20130101;  A61K 2300/00 20130101;  A61K 38/13 20130101;  A61K 2300/00 20130101</t>
  </si>
  <si>
    <t>The invention relates to the use of non-immunosuppressive cyclophilin     inhibitors in the treatment of Coronavirus infection in a patient.</t>
  </si>
  <si>
    <t>US20160075742</t>
  </si>
  <si>
    <t>HUMAN ADAPTATION OF H3 INFLUENZA</t>
  </si>
  <si>
    <t>14/888205</t>
  </si>
  <si>
    <t>Sasisekharan; Ram; (Lexington, MA); Tharakaraman; Kannan; (Arlington, MA); Raman; Rahul; (Waltham, MA)</t>
  </si>
  <si>
    <t>G01N 33/56983 20130101;  G01N 2333/11 20130101;  G01N 2469/20 20130101;  A61K 39/12 20130101;  C12N 2760/16134 20130101;  C07K 14/005 20130101;  C12N 7/00 20130101;  C07K 16/1018 20130101;  G01N 2469/10 20130101;  C12N 2760/16122 20130101;  A61K 39/145 20130101</t>
  </si>
  <si>
    <t>The present invention provides, among other things, technologies and     methodologies for detection, treatment, and/or prevention of influenza     transmission and/or infection. The present invention also provides     technologies for monitoring influenza variants for their potential to     present a pandemic risk to humans.</t>
  </si>
  <si>
    <t>US20160070884</t>
  </si>
  <si>
    <t>14/789904</t>
  </si>
  <si>
    <t>Lui; Clarissa; (Palo alto, CA); Holmes; Elizabeth A.; (Palo Alto, CA); Patel; Pranav; (Palo Alto, CA); Tabakman; Scott; (Palo Alto, CA); Belhocine; Kamila; (Palo Alto, CA); Richardson; Aaron; (Palo Alto, CA); Lee; Josephine; (Palo alto, CA)</t>
  </si>
  <si>
    <t>US20160067255</t>
  </si>
  <si>
    <t>METHODS OF TREATING OR PREVENTING HIV IN PATIENTS USING A COMBINATION OF     TENOFOVIR ALAFENAMIDE AND DOLUTEGRAVIR</t>
  </si>
  <si>
    <t>14/842609</t>
  </si>
  <si>
    <t>Babusis; Darius M.; (Sunnyvale, CA); Ray; Adrian S.; (Burlingame, CA); Wang; Jianhong; (Foster City, CA)</t>
  </si>
  <si>
    <t>A61K 31/513 20130101;  A61K 31/506 20130101;  A61K 31/675 20130101;  A61K 2300/00 20130101;  A61K 2300/00 20130101;  A61K 2300/00 20130101;  A61K 31/675 20130101;  A61K 31/5365 20130101;  A61P 31/18 20180101;  A61K 31/513 20130101;  A61K 31/5365 20130101</t>
  </si>
  <si>
    <t>The disclosure describes methods for treating or preventing HIV in a     patient using a combination of tenofovir alafenamide and dolutegravir,     and to compositions containing such compounds.</t>
  </si>
  <si>
    <t>US20160058787</t>
  </si>
  <si>
    <t>Therapy and Cure of Ebola</t>
  </si>
  <si>
    <t>14/469917</t>
  </si>
  <si>
    <t>SHAH KUMARPAL A</t>
  </si>
  <si>
    <t>SHAH KUMARPAL</t>
  </si>
  <si>
    <t>Shah; Kumarpal A.; (Searingtown, NY)</t>
  </si>
  <si>
    <t>A61K 31/795 20130101;  A01N 41/04 20130101;  A61K 31/00 20130101</t>
  </si>
  <si>
    <t>A therapeutic model for the expedient treatment of deadly pathogens     involved in pandemics and bioterrorism related events. The immune     pathogenesis of deadly pathogens is redefined in the light of Recent     advances in the Fundamentals of Immunology by developing three     dimensional understandings of deadly pathogens and its interactions with     host and its immune system. The immune pathogenesis of deadly pathogens     can be treated expediently and globally with NSPS to mitigate the threat     of bioterrorism and pandemics. According to a method for treating deadly     pathogens having an immune regulatory molecule, the first step is     providing a nano-engineered formulation of sodium polystyrene sulfonate     (NSPS) having particle size less than 100 nm. A pharmaceutically     effective dose of the NSPS is administered to a patient infected with the     pathogen. The immune regulatory molecule is targeted with the NSPS for     inhibiting serine protease activation. The therapeutic model is further     extended for quarantine purposes to facilitate decontamination measures     for patients, hospitals and laboratories.</t>
  </si>
  <si>
    <t>US20160058008</t>
  </si>
  <si>
    <t>14/838717</t>
  </si>
  <si>
    <t>OXISCIENCE, LLC</t>
  </si>
  <si>
    <t>OXISCIENCE</t>
  </si>
  <si>
    <t>A01K 1/0152 20130101;  A01N 33/12 20130101;  A61K 31/53 20130101;  A61K 31/4166 20130101;  A61L 15/46 20130101;  A01K 1/0155 20130101;  A01K 1/0154 20130101;  A61L 2300/404 20130101;  A01N 43/50 20130101;  A61L 2300/606 20130101;  A61L 2300/204 20130101;  A61L 15/28 20130101;  A61L 15/22 20130101;  A01N 59/00 20130101;  A01N 43/66 20130101;  A61K 31/00 20130101;  A61L 15/28 20130101;  C08L 1/00 20130101;  A01N 43/50 20130101;  A01N 25/08 20130101;  A01N 25/22 20130101;  A01N 25/26 20130101;  A01N 33/12 20130101;  A01N 59/00 20130101;  A01N 43/66 20130101;  A01N 25/08 20130101;  A01N 25/22 20130101;  A01N 25/26 20130101;  A01N 33/12 20130101;  A01N 59/00 20130101;  A01N 59/00 20130101;  A01N 25/08 20130101;  A01N 25/22 20130101;  A01N 25/26 20130101</t>
  </si>
  <si>
    <t>US20160053241</t>
  </si>
  <si>
    <t>INFLUENZA  A 2009 PANDEMIC H1N1 POLYPEPTIDE FRAGMENTS COMPRISING     ENDONUCLEASE ACTIVITY AND THEIR USE</t>
  </si>
  <si>
    <t>14/751634</t>
  </si>
  <si>
    <t>Cusack; Stephen; (Seyssinet-Pariset, FR); Kowalinski; Eva; (Hirschberg, DE); Zubieta; Chloe; (Le Fontanil-Cornillon, FR)</t>
  </si>
  <si>
    <t>US20160052953</t>
  </si>
  <si>
    <t>14/830121</t>
  </si>
  <si>
    <t>Clarke; Michael O'Neil Hanrahan; (Redwood City, CA); Mackman; Richard L.; (Millbrae, CA); Siegel; Dustin; (San Carlos, CA)</t>
  </si>
  <si>
    <t>A61P 31/14 20180101;  A61P 31/12 20180101;  C07H 19/073 20130101;  A61K 31/7072 20130101;  A61P 11/00 20180101;  A61K 31/7068 20130101;  C07H 19/06 20130101;  C07H 19/10 20130101</t>
  </si>
  <si>
    <t>US20160045589</t>
  </si>
  <si>
    <t>14/774356</t>
  </si>
  <si>
    <t>WEINER; David; (Merion, PA); YAN; Jian; (Wallingford, PA); MUTHUMANI; Karuppiah; (Cherry Hill, NJ); SARDESAI; Niranjan Y.; (Blue Bell, PA)</t>
  </si>
  <si>
    <t>A61K 39/135 20130101;  A61K 2039/53 20130101;  C07K 14/005 20130101;  A61P 37/04 20180101;  C12N 2770/32134 20130101;  A61P 31/14 20180101;  A61K 39/12 20130101;  C12N 7/00 20130101;  A61K 2039/552 20130101</t>
  </si>
  <si>
    <t>The present invention relates to synthetic, consensus foot-and-mouth     disease virus (FMDV) immunogenic proteins and nucleic acid molecule     encoding such proteins, to vaccines against FMDV, to methods for inducing     immune responses against FMVD, to methods for distinguishing between     individuals infected with FMDV versus those vaccinated against FMDV, and     methods of prophylactically and/or therapeutically immunizing individuals     against FMDV.</t>
  </si>
  <si>
    <t>US20160045512</t>
  </si>
  <si>
    <t>Inhibitors of Hemopoietic Cell Kinase (P59-HCK) and Their Use in the     Treatment of Influenza Infection</t>
  </si>
  <si>
    <t>14/883464</t>
  </si>
  <si>
    <t>Charron; Catherine Elisabeth; (London, GB); Fenton; Robert; (London, GB); Crowe; Scott; (Letchworth, GB); Ito; Kazuhiro; (London, GB); Strong; Peter; (London, GB); Rapeport; William Garth; (London, GB)</t>
  </si>
  <si>
    <t>US20160039948</t>
  </si>
  <si>
    <t>ANTIBODY CONSTRUCTS FOR INFLUENZA M2 AND CD3</t>
  </si>
  <si>
    <t>14/774293</t>
  </si>
  <si>
    <t>VIB VZW</t>
  </si>
  <si>
    <t>Kufer; Peter; (Munich, DE); Raum; Tobias; (Munich, DE); Muenz; Markus; (Munich, DE); Pendzialek; Jochen; (Munich, DE); Fiers; Walter; (Destelbergen, BE); Saelens; Xavier; (Ieper, BE); Roose; Kenny; (Ettelgem, BE)</t>
  </si>
  <si>
    <t>C07K 16/1018 20130101;  C07K 16/2809 20130101;  A61K 2039/505 20130101;  C07K 2317/24 20130101;  C07K 2317/31 20130101;  C07K 2317/622 20130101;  C07K 2317/92 20130101;  A61K 39/42 20130101;  A61K 45/06 20130101;  C07K 2317/14 20130101;  C07K 16/468 20130101;  C07K 2317/73 20130101</t>
  </si>
  <si>
    <t>The present invention relates to an antibody construct comprising a first human binding domain specific for the extracellular part of the influenza envelope protein M2 (M2e) and a second domain specific for CD3. Moreover, the invention provides a nucleic acid molecule encoding the antibody construct, a vector comprising said nucleic acid molecule and a host cell transformed or transfected with said nucleic acid molecule or vector. Furthermore, the invention provides a process for the production of the antibody construct of the invention, a pharmaceutical composition comprising said antibody construct, a medical use/method of treatment relating to said antibody construct, and a kit comprising said antibody construct.</t>
  </si>
  <si>
    <t>US20160039886</t>
  </si>
  <si>
    <t>14/816120</t>
  </si>
  <si>
    <t>A61K 39/39 20130101;  A61M 37/00 20130101;  C12N 2770/32122 20130101;  A61K 39/135 20130101;  A61K 39/12 20130101;  A61P 31/14 20180101;  C12N 2770/32134 20130101;  A61K 2039/53 20130101;  A61K 2039/523 20130101;  G01N 2333/09 20130101;  A61P 37/04 20180101;  C12N 7/00 20130101;  G01N 33/56983 20130101;  G01N 2469/20 20130101;  A61N 1/327 20130101;  A61K 2039/552 20130101;  C07K 14/005 20130101</t>
  </si>
  <si>
    <t>US20160038584</t>
  </si>
  <si>
    <t>14/774256</t>
  </si>
  <si>
    <t>Weiner; David B.; (Merion, PA); Yan; Jian; (Wallingford, PA); Morrow; Matthew; (Bala Cynwyd, PA)</t>
  </si>
  <si>
    <t>A61K 39/12 20130101;  A61K 2039/54 20130101;  C12N 2760/16071 20130101;  C12N 2800/22 20130101;  C07K 2319/00 20130101;  C12N 2760/16034 20130101;  C12N 2760/16234 20130101;  C07K 2319/02 20130101;  C12N 2760/16041 20130101;  A61K 2039/70 20130101;  C12N 2760/16222 20130101;  C12N 7/00 20130101;  A61N 1/327 20130101;  A61K 39/145 20130101;  C12N 2760/16122 20130101;  C07K 14/005 20130101;  A61K 2039/53 20130101;  C12N 2710/20022 20130101;  C12N 2760/16134 20130101;  A61P 37/04 20180101;  A61P 31/20 20180101;  C12N 2710/20034 20130101;  C12N 2760/16022 20130101;  C07K 2319/42 20130101</t>
  </si>
  <si>
    <t>Provided herein are nucleic acid sequences that encode novel consensus     amino acid sequences of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</si>
  <si>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US20160034653</t>
  </si>
  <si>
    <t>SYSTEM AND METHOD FOR RECOVERING FROM A LARGE OUT-OF-CONTROL CONDITION IN     A CLINICAL DIAGNOSTIC PROCESS</t>
  </si>
  <si>
    <t>14/448336</t>
  </si>
  <si>
    <t>KUCHIPUDI; LAKSHMI SAMYUKTA; (ADDISON, TX); PARVIN; CURTIS; (MCKINNEY, TX); YUNDT-PACHECO; JOHN; (FAIRVIEW, TX)</t>
  </si>
  <si>
    <t>G16H 10/40 20180101;  G16H 50/80 20180101;  G16H 40/63 20180101</t>
  </si>
  <si>
    <t>Disclosed are a system and method to recover from a large out-of-control     condition in a clinical diagnostic process. Upon detection of a large     out-of-control condition, a CUSUM rule is designed to predict if specimen     test data was produced during the occurrence of that condition. Specimen     test data is re-evaluated and the CUSUM rule is applied to determine     whether to accept or reject the test results. Upon completion of the     re-evaluation, old test results identified as being invalid are replaced     with the new, re-evaluated results and the new results are published if     publication did not occur previously.</t>
  </si>
  <si>
    <t>US20160032273</t>
  </si>
  <si>
    <t>CHARACTERIZATION OF MRNA MOLECULES</t>
  </si>
  <si>
    <t>14/777059</t>
  </si>
  <si>
    <t>SHAHROKH; Zahra; (Weston, MA); ROHL; Ingo; (Cambridge, MA); SPIVAK; Vlad Boris; (Medford, MA); CHAKRABORTY; Tirtha; (Cambridge, MA); AUNINS; John Grant; (Cambridge, MA)</t>
  </si>
  <si>
    <t>C12Q 1/6816 20130101;  C12Q 1/6816 20130101;  C12Q 2537/143 20130101;  C12Q 2565/137 20130101;  C12Q 1/6816 20130101;  C12Q 2537/143 20130101;  C12Q 2565/125 20130101;  C12Q 2565/137 20130101;  C12N 15/10 20130101;  G01N 27/44717 20130101</t>
  </si>
  <si>
    <t>The present invention describes methods for the characterization of mRNA     molecules during mRNA production. Characterizing mRNA includes processes     such as oligonucleotide mapping, reverse transcriptase sequencing, charge     distribution analysis, and detection of RNA impurities. Oligonucleotide     mapping includes using an RNase to digest antisense duplexes from an RNA     transcript, and then subjecting the digested RNA to reverse phase HPLC,     anion exchange HPLC, and/or mass spectrometry analysis. Reverse     transcriptase sequencing involves reverse transcription of an RNA     transcript followed by DNA sequencing. Charge distribution analysis can     comprise procedures such as anion exchange HPLC, or capillary     electrophoresis. Detection of impurities includes detecting short mRNA     transcripts, RNA-RNA hybrids, and RNA-DNA hybrids.</t>
  </si>
  <si>
    <t>US20160026942</t>
  </si>
  <si>
    <t>SYSTEM AND METHOD FOR IDENTIFYING RELATIONSHIPS IN COMMUNITY HEALTHCARE MEASURES</t>
  </si>
  <si>
    <t>14/661775</t>
  </si>
  <si>
    <t>Simon; Carol Jean; (Edina, MN); Bleicher; Paul A.; (Newton, MA); Hargraves; John Edward; (Washington, DC); Wallace; Paul John; (Piedmont, CA)</t>
  </si>
  <si>
    <t>G06F 19/328 20130101;  G06Q 10/0631 20130101;  G06Q 50/22 20130101</t>
  </si>
  <si>
    <t>A system and method for identifying relationships and correlations between community healthcare attributes includes automatically displays relationships between selected community health measures. A correlation tool automatically computes correlations between a selected main measure and each other measures in a set of community health measures for selected communities. The correlation tool automatically displays a ranked list of the other community health measures based on their correlation to the selected main measure. A relationship tool automatically computes correlations between selected measures in the set of community health measures for selected communities. The relationship tool displays a correlation graph indicating values of the selected measures for each of a selected set of communities. An adjusted correlation graph is automatically displayed to indicate adjusted values of the selected measures to accommodate a selected third measure as a control variable.</t>
  </si>
  <si>
    <t>US20160026768</t>
  </si>
  <si>
    <t>MOBILE-ENABLED HEALTH SYSTEM</t>
  </si>
  <si>
    <t>14/869680</t>
  </si>
  <si>
    <t>KINSA, INC.</t>
  </si>
  <si>
    <t>KINSA</t>
  </si>
  <si>
    <t>Singh; Inder; (New York, NY); Segal; Edo; (New York, NY)</t>
  </si>
  <si>
    <t>G06F 19/3418 20130101;  A61B 5/6898 20130101;  A61B 5/0008 20130101;  A61B 5/01 20130101;  G01K 1/20 20130101;  G16H 50/80 20180101;  A61B 2560/0223 20130101;  G16H 10/20 20180101;  G16H 40/63 20180101;  G16H 10/60 20180101;  G01K 13/002 20130101</t>
  </si>
  <si>
    <t>A mobile-enabled health system is provided having a medical device     subsystem, having a medical device, such as a thermometer, operatively     connected to a computing device running a first application that operates     to receive health care data from a user of the medical device subsystem;     a data repository configured to receive health care data from the     computing device and the first application, receive health care data from     third-party sources, and aggregate and analyze the health care data into     contextualized health care data; and a second application operative to     receive the contextualized health care data.</t>
  </si>
  <si>
    <t>US20160025603</t>
  </si>
  <si>
    <t>AIRBORNE AGENT COLLECTORS, METHODS, SYSTEMS AND DEVICES FOR MONITORING AIRBORNE AGENTS</t>
  </si>
  <si>
    <t>14/804383</t>
  </si>
  <si>
    <t>DIOMICS CORPORATION</t>
  </si>
  <si>
    <t>DIOMICS</t>
  </si>
  <si>
    <t>Kindt; Thomas J.; (Phoenix, AZ); Steel; John F.; (La Jolla, CA)</t>
  </si>
  <si>
    <t>C12Q 1/06 20130101;  G01N 2333/195 20130101;  G01N 2333/005 20130101;  G01N 2001/028 20130101;  G01N 2469/00 20130101;  G01N 33/56911 20130101;  G01N 1/2273 20130101;  C12Q 1/689 20130101;  C12Q 1/6888 20130101;  G01N 33/56983 20130101;  G01N 1/2205 20130101;  G01N 2001/022 20130101;  C12Q 1/24 20130101</t>
  </si>
  <si>
    <t>Air flow systems, devices and methods for monitoring airborne agents include airborne agent collectors. Airborne agent collectors for collecting and detecting the presence and/or identification of an airborne agent(s) include a soluble and hydrophilic polycaprolactone (PCL) that has been treated with a base (e.g., a base having a pH greater than 8 (e.g., NaOH, NaHCO.sub.3, KOH, Na.sub.2CO.sub.3, and CA(OH).sub.2) and in some embodiments, also treated with a neutralizing agent for increasing hydrophilicity. Detection and identification of airborne agents captured by an airborne agent collector can be performed using any suitable analytical protocols. Such protocols are well known in the art, and include nucleic acid assays, protein assays (e.g., mass spectrometry), and bioassays (e.g., in vitro and in vivo assays). The airborne agent collectors can be used for the detection and identification of nucleic acid from cells or organisms of any type (e.g., viruses, bacteria, fungi) in fixed structures (e.g., homes, sports arenas, theaters, buildings such as offices, laboratories, hospitals, schools, airports, train stations, bus stations, etc.) and in mobile, portable devices or machines (e.g., aircraft, automobiles, air-freshener, air-purifier, air re-circulator, vacuum cleaner, etc.).</t>
  </si>
  <si>
    <t>US20160024547</t>
  </si>
  <si>
    <t>MANUFACTURING METHODS FOR PRODUCTION OF RNA TRANSCRIPTS</t>
  </si>
  <si>
    <t>14/777190</t>
  </si>
  <si>
    <t>BANCEL; Stephane; (Cambridge, MA); ISSA; William Joseph; (Roslindale, MA); AUNINS; John Grant; (Cambridge, MA); CHAKRABORTY; Tirtha; (Cambridge, MA)</t>
  </si>
  <si>
    <t>C12Q 1/6865 20130101;  C12N 15/101 20130101;  C12P 19/34 20130101;  C12Q 1/6865 20130101;  C12Q 2525/173 20130101;  C12Q 2565/629 20130101</t>
  </si>
  <si>
    <t>Described are methods for production of RNA transcripts using a     non-amplified, linearized DNA template in an in vitro transcription     reaction. Enzymatic 5' capping and oligo dT purification can also be     included in the methods.</t>
  </si>
  <si>
    <t>US20160024492</t>
  </si>
  <si>
    <t>REMOVAL OF DNA FRAGMENTS IN MRNA PRODUCTION PROCESS</t>
  </si>
  <si>
    <t>14/777301</t>
  </si>
  <si>
    <t>ISSA; William Joseph; (Roslindale, MA); WANG; Yuxun; (Cambridge, MA); BANCEL; Stephane; (Cambridge, MA)</t>
  </si>
  <si>
    <t>C12Q 1/6806 20130101;  C12N 15/101 20130101;  C12N 15/1006 20130101;  C12Q 1/6806 20130101;  C12Q 2521/319 20130101;  C12Q 2565/137 20130101</t>
  </si>
  <si>
    <t>The present invention describes methods of removing DNA from an RNA     transcript during the mRNA production process. The method embodies     procedures for obtaining an in vitro transcription product, and removing     any DNA from the product. The DNA can be removed by adding either free     DNase or a resin containing immobilized DNase to the product, and     recovering the RNA transcript. Alternatively, the DNA template used in     the in vitro transcription reaction is labeled. After transcription, the     product is applied to a resin that is configured to bind the label, and     the RNA transcript is recovered. To detect whether any residual     impurities are left in the RNA transcript product, the product is     subjected to nuclease digestion and subsequently to liquid chromato     graphy-tandem mass spectrometry analysis to quantitate any residual DNA.     The present invention demonstrates efficient and effective methods of     isolating an RNA transcript from an in vitro transcription product.</t>
  </si>
  <si>
    <t>US20160024140</t>
  </si>
  <si>
    <t>RIBONUCLEIC ACID PURIFICATION</t>
  </si>
  <si>
    <t>14/776864</t>
  </si>
  <si>
    <t>ISSA; William Joseph; (Roslindale, MA); AUNINS; John Grant; (Cambridge, MA); BANCEL; Stephane; (Cambridge, MA)</t>
  </si>
  <si>
    <t>C12Q 1/6806 20130101;  C07H 1/06 20130101;  C07H 21/02 20130101;  C08B 37/0039 20130101;  C12N 15/1006 20130101</t>
  </si>
  <si>
    <t>Disclosed herein are methods for purifying RNA comprising poly A. Also     disclosed herein are compositions such as surfaces and oligonucleotides     for purifying RNA comprising polyA. Other embodiments are also disclosed.     Commercially-available resins having polythymidine oligonucleotide     ligands typically contain less than 30 thymidine (2'deoxy) residues and     some commercial resin suppliers utilize a distribution of dT chain     lengths, not of a discreet length.</t>
  </si>
  <si>
    <t>US20160024107</t>
  </si>
  <si>
    <t>14/806227</t>
  </si>
  <si>
    <t>A61P 11/00 20180101;  A61P 31/14 20180101;  C07D 519/00 20130101;  C07H 7/06 20130101;  A61P 31/16 20180101;  C07D 495/04 20130101;  A61P 31/12 20180101;  C07H 11/04 20130101</t>
  </si>
  <si>
    <t>US20160022840</t>
  </si>
  <si>
    <t>HETEROLOGOUS UNTRANSLATED REGIONS FOR MRNA</t>
  </si>
  <si>
    <t>14/773785</t>
  </si>
  <si>
    <t>Chakraborty; Tirtha; (Medford, MA); de Fougerolles; Antonin; (Waterloo, BE)</t>
  </si>
  <si>
    <t>A61K 31/7115 20130101;  A61K 48/0066 20130101;  A61K 38/193 20130101;  C12N 15/67 20130101</t>
  </si>
  <si>
    <t>The invention relates to compositions and methods for the manufacture and     optimization of modified mRNA molecules via optimization of their     terminal architecture.</t>
  </si>
  <si>
    <t>US20160022802</t>
  </si>
  <si>
    <t>14/775069</t>
  </si>
  <si>
    <t>A61K 31/7088 20130101;  A61K 39/12 20130101;  Y02A 50/386 20180101;  C12N 2770/24141 20130101;  A61K 2039/54 20130101;  A61P 31/14 20180101;  C12N 2770/24122 20130101;  A61K 2039/55538 20130101;  A61K 2039/55527 20130101;  A61P 37/04 20180101;  A61N 1/327 20130101;  A61K 2039/53 20130101;  Y02A 50/394 20180101;  C12N 7/00 20130101;  C12N 2770/24134 20130101;  A61N 1/0412 20130101;  A61K 2039/575 20130101;  C07K 14/005 20130101;  A61N 1/0476 20130101</t>
  </si>
  <si>
    <t>US20160019344</t>
  </si>
  <si>
    <t>14/093442</t>
  </si>
  <si>
    <t>Singh; lnder; (New York, NY); Segal; Eda; (New York, NY)</t>
  </si>
  <si>
    <t>A61B 5/6898 20130101;  A61B 5/0008 20130101;  A61B 5/01 20130101;  G01K 1/20 20130101;  A61B 2560/0223 20130101;  G16H 50/80 20180101;  G06F 19/3418 20130101;  G16H 10/20 20180101;  G16H 40/63 20180101;  G16H 10/60 20180101;  G16H 15/00 20180101;  G01K 13/002 20130101</t>
  </si>
  <si>
    <t>US20160008457</t>
  </si>
  <si>
    <t>Inactivated Vaccine for Porcine Epidemic Diarrhea Virus (PEDV)</t>
  </si>
  <si>
    <t>14/798132</t>
  </si>
  <si>
    <t>MERIAL, INC.</t>
  </si>
  <si>
    <t>MERIAL</t>
  </si>
  <si>
    <t>Anbalagan; Srivishnupriya; (Vermillion, SD); Collin; Emily; (Windom, MN); Hause; Benjamin Matthew; (Currie, MN)</t>
  </si>
  <si>
    <t>A61K 39/215 20130101;  A61K 2039/5252 20130101;  C12N 7/00 20130101;  C12N 2770/18034 20130101;  C12N 2770/18071 20130101;  A61K 39/225 20130101;  C12N 2770/20021 20130101;  C12N 2770/20034 20130101</t>
  </si>
  <si>
    <t>The present invention encompasses porcine epidemic diarrhea virus (PEDV)     vaccines or compositions. The vaccine or composition may be a vaccine or     composition containing inactivated PEDV. The invention also encompasses     epitopes or immunogens which can be used to protect porcine animals     against PEDV.</t>
  </si>
  <si>
    <t>US20160008456</t>
  </si>
  <si>
    <t>14/869039</t>
  </si>
  <si>
    <t>C12N 15/86 20130101;  C12N 2760/16023 20130101;  A61K 2039/70 20130101;  A61K 39/145 20130101;  A61K 39/39 20130101;  C12N 2710/14143 20130101;  C12N 2760/16122 20130101;  C12N 2760/16134 20130101;  C12N 2760/16071 20130101;  A61K 2039/5258 20130101;  A61K 2039/55505 20130101;  C12N 2760/16034 20130101;  A61K 2039/543 20130101;  C07K 14/005 20130101;  A61K 2039/55555 20130101;  C12N 7/00 20130101;  A61K 39/12 20130101;  C12N 2760/16123 20130101</t>
  </si>
  <si>
    <t>US20160008374</t>
  </si>
  <si>
    <t>14/795676</t>
  </si>
  <si>
    <t>Geleziunas; Romas; (Belmont, CA); Hesselgesser; Joseph E.; (San Mateo, CA)</t>
  </si>
  <si>
    <t>A61K 45/06 20130101;  A61P 31/18 20180101;  A61K 31/437 20130101;  A61K 31/4985 20130101;  A61K 2039/55511 20130101;  A61P 43/00 20180101;  A61K 31/519 20130101;  A61K 39/39 20130101;  A61K 31/527 20130101;  A61K 31/551 20130101;  A61K 31/513 20130101;  A61K 31/52 20130101;  A61K 31/675 20130101;  A61K 31/5365 20130101;  A61P 37/04 20180101;  A61K 31/5377 20130101</t>
  </si>
  <si>
    <t>Provided are methods, uses, pharmaceutical regimens, pharmaceutical     compositions, and kits comprising modulators of TLR7, including those of     Formula II:  ##STR00001## and pharmaceutically acceptable salts thereof, useful in treating HIV     infections.</t>
  </si>
  <si>
    <t>US20160005293</t>
  </si>
  <si>
    <t>DISASTER SITUATION MANAGEMENT SYSTEM AND PERSONAL IDENTIFICATION TERMINAL     ASSOCIATED WITH THE SAME</t>
  </si>
  <si>
    <t>14/521453</t>
  </si>
  <si>
    <t>NATIONAL DISASTER MANAGEMENT INSTITUTE</t>
  </si>
  <si>
    <t>YOO; Byungtae; (Seoul, KR); OH; Keumho; (Goyang-si, KR); LEE; Jongseol; (Goyang-si, KR)</t>
  </si>
  <si>
    <t>G08B 21/10 20130101;  G16H 50/80 20180101;  G06F 19/3418 20130101</t>
  </si>
  <si>
    <t>Disclosed herein are a disaster situation management system and a     personal identification terminal associated with the system. For this,     the disaster situation management system includes a personal     identification terminal detachably worn on a body of a user and     configured to input and store information including personal information     and location information of the user, a center server configured to     enable communication with the personal identification terminal through a     communication network, and configured to collect personal information and     location information of each user who wears the personal identification     terminal from the personal identification terminal and to manage the     collected information, and a hospital server configured to enable     communication with the center server through the communication network,     collect personal information and location information of the person who     wears the personal identification terminal, and provide the collected     information to the center server, the collected information being read     through a reader.</t>
  </si>
  <si>
    <t>US20160004827</t>
  </si>
  <si>
    <t>GEOGRAPHIC UTILIZATION OF ARTIFICIAL INTELLIGENCE IN REAL-TIME FOR DISEASE     IDENTIFICATION AND ALERT NOTIFICATION</t>
  </si>
  <si>
    <t>14/768304</t>
  </si>
  <si>
    <t>UNIV RUSH MEDICAL CENTER</t>
  </si>
  <si>
    <t>G06Q 10/101 20130101;  G06Q 30/0205 20130101;  G06Q 50/22 20130101;  G16H 50/20 20180101;  G06F 19/3493 20130101;  G16H 50/80 20180101;  G06F 19/345 20130101</t>
  </si>
  <si>
    <t>Systems and methods for generating a diagnosis are provided. In some     aspects, a computing device receives medical information for a patient,     wherein each medical information item in the medical information     comprises a date, a source, and a medical state. The computing device     constructs, in a memory of the computing device, a diagnosis tree for the     patient, wherein the diagnosis tree comprises a patient node, the patient     node having first children nodes corresponding to the dates or the     sources, and the first children nodes having second children nodes     corresponding to the medical states. The computing device generates a     diagnosis for the patient using the constructed diagnosis tree.</t>
  </si>
  <si>
    <t>US20160000902</t>
  </si>
  <si>
    <t>COMBINATION VACCINE FOR RESPIRATORY SYNCYTIAL VIRUS AND INFLUENZA</t>
  </si>
  <si>
    <t>14/767247</t>
  </si>
  <si>
    <t>SMITH; Gale E.; (Gaithersburg, MD); GLENN; Gregg; (Gaithersburg, MD); FRIES; Lou; (Gaithersburg, MD); YOUNG; James F.; (Gaithersburg, MD)</t>
  </si>
  <si>
    <t>C12N 2760/16134 20130101;  C12N 2760/16234 20130101;  A61K 2039/5258 20130101;  C12N 2760/18534 20130101;  A61K 2039/55505 20130101;  A61K 2039/70 20130101;  A61K 39/12 20130101;  A61K 2039/55 20130101</t>
  </si>
  <si>
    <t>The present disclosure is directed to compositions and methods for     raising immune responses against influenza and respiratory syncytial     virus by administering combination immunogenic composition against both     viruses at the same time. The combination compositions contain an RSV     component and one, two, three, four, or more influenza components. The     combination compositions provide a greater immune response than that     obtained by separately administering the RSV and influenza components.</t>
  </si>
  <si>
    <t>US20160000754</t>
  </si>
  <si>
    <t>Antiviral Activity from Medicinal Mushrooms and their Active Constituents</t>
  </si>
  <si>
    <t>14/853932</t>
  </si>
  <si>
    <t>A61K 31/352 20130101;  A61K 36/06 20130101;  A61K 31/05 20130101;  A61K 31/7048 20130101;  A61K 36/07 20130101;  A61K 31/12 20130101;  A61K 31/192 20130101;  A61K 31/37 20130101;  A61K 36/074 20130101;  A61K 31/05 20130101;  A61K 2300/00 20130101;  A61K 31/352 20130101;  A61K 2300/00 20130101;  A61K 31/192 20130101;  A61K 2300/00 20130101;  A61K 31/7048 20130101;  A61K 2300/00 20130101;  A61K 31/12 20130101;  A61K 2300/00 20130101;  A61K 31/37 20130101;  A61K 2300/00 20130101</t>
  </si>
  <si>
    <t>US20150379240</t>
  </si>
  <si>
    <t>METHOD AND APPARATUS FOR TRACKING AND DISSEMINATING HEALTH INFORMATION VIA     MOBILE CHANNELS</t>
  </si>
  <si>
    <t>14/852179</t>
  </si>
  <si>
    <t>BLOM; Jan Otto; (Lutry, CH); JOSHI; Dhaval Jitendra; (Bangalore, IN)</t>
  </si>
  <si>
    <t>G06F 19/3493 20130101;  G08B 27/005 20130101;  G08B 27/006 20130101;  H04W 4/90 20180201;  G16H 50/80 20180101;  Y02A 90/24 20180101;  H04W 4/021 20130101;  H04W 4/185 20130101</t>
  </si>
  <si>
    <t>An approach is provided for tracking and disseminating health     information. Health information corresponding to a geographic location is     caused, at least in part, to be received. Location information associated     with a user equipment configured to receive a message specifying content     is determined. Whether the location information is encompassed by the     geographic location is determined. The message is modified to present a     health alert indicator by appending supplemental content to the message     or by amending the content. Initiation of delivery of the modified     message to the user equipment when the user equipment is in or within a     predetermined range of the geographic location is caused, at least in     part.</t>
  </si>
  <si>
    <t>US20150376622</t>
  </si>
  <si>
    <t>INFLUENZA-ACTIVATED CONSTRUCTS AND METHODS OF USE THEREOF</t>
  </si>
  <si>
    <t>14/768465</t>
  </si>
  <si>
    <t>Bradburne; Christopher E.; (Arlington, VA); Carruth; Lucy M.; (Columbia, MD)</t>
  </si>
  <si>
    <t>C12N 15/1131 20130101;  C12N 2310/14 20130101;  C12N 2310/317 20130101;  C12N 2310/336 20130101;  C12N 2310/531 20130101;  C12N 2320/30 20130101;  C12Q 1/701 20130101;  C12Q 2600/158 20130101;  C12Q 2600/178 20130101</t>
  </si>
  <si>
    <t>US20150374813</t>
  </si>
  <si>
    <t>14/733632</t>
  </si>
  <si>
    <t>C12N 2710/14143 20130101;  A61K 39/145 20130101;  C12N 7/00 20130101;  A61K 2039/55561 20130101;  A61K 2039/55555 20130101;  A61K 2039/543 20130101;  C12N 2760/16022 20130101;  A61K 39/12 20130101;  A61K 2039/55505 20130101;  C12N 2760/16123 20130101;  C12N 2760/16122 20130101;  A61K 2039/58 20130101;  C12N 2760/16134 20130101;  A61K 2039/5258 20130101;  A61K 2039/70 20130101;  C07K 14/005 20130101;  C12N 2760/16034 20130101;  C12N 2760/16023 20130101</t>
  </si>
  <si>
    <t>US20150371006</t>
  </si>
  <si>
    <t>14/767820</t>
  </si>
  <si>
    <t>G06Q 50/22 20130101;  G06Q 10/04 20130101;  G06F 19/00 20130101;  G16H 15/00 20180101;  G16H 50/80 20180101;  G06F 19/3493 20130101</t>
  </si>
  <si>
    <t>US20150361132</t>
  </si>
  <si>
    <t>14/719242</t>
  </si>
  <si>
    <t>Y02A 50/387 20180101;  A61P 35/00 20180101;  A61P 31/20 20180101;  A61K 38/12 20130101;  A61P 43/00 20180101;  Y02A 50/389 20180101;  C07K 5/02 20130101;  A61K 39/29 20130101;  A61K 39/05 20130101;  A61P 1/14 20180101;  A61P 31/00 20180101;  A61P 31/18 20180101;  A61P 31/14 20180101;  Y02A 50/385 20180101;  A61K 45/06 20130101;  A61P 11/00 20180101;  C07D 498/22 20130101;  A61P 29/00 20180101;  A61P 3/04 20180101;  A61P 37/02 20180101;  A61P 1/16 20180101;  A61K 38/00 20130101;  Y02A 50/393 20180101;  A61K 38/15 20130101;  C07D 487/08 20130101;  C07D 498/08 20130101;  A61P 31/12 20180101;  C07K 5/0202 20130101;  C07D 498/18 20130101;  Y02A 50/391 20180101;  Y02A 50/395 20180101</t>
  </si>
  <si>
    <t>US20150361087</t>
  </si>
  <si>
    <t>14/734264</t>
  </si>
  <si>
    <t>Bacon; Elizabeth M.; (Foster City, CA); Cottell; Jeromy J.; (Foster City, CA); Link; John O.; (San Francisco, CA); Trejo Martin; Teresa Alejandra; (Foster City, CA); Zipfel; Sheila; (San Mateo, CA)</t>
  </si>
  <si>
    <t>C07D 493/06 20130101;  A61P 1/16 20180101;  A61P 31/14 20180101</t>
  </si>
  <si>
    <t>US20150361085</t>
  </si>
  <si>
    <t>14/733101</t>
  </si>
  <si>
    <t>Lapina; Olga Viktorovna; (Newark, CA); Shi; Bing; (Redwood City, CA); Wang; Fang; (Foster City, CA); Wolckenhauer; Scott Alan; (Foster City, CA)</t>
  </si>
  <si>
    <t>C07D 491/052 20130101;  A61P 31/14 20180101;  C07B 2200/13 20130101;  A61P 31/00 20180101</t>
  </si>
  <si>
    <t>US20150361073</t>
  </si>
  <si>
    <t>14/733139</t>
  </si>
  <si>
    <t>Allan; Kevin M.; (Foster City, CA); Fujimori; Shinji; (San Francisco, CA); Heumann; Lars V.; (Foster City, CA); Huynh; Grace May; (Foster City, CA); Keaton; Katie Ann; (Burlingame, CA); Levins; Christopher M.; (Hayward, CA); Pamulapati; Ganapati Reddy; (Foster City, CA); Roberts; Benjamin James; (San Mateo, CA); Sarma; Keshab; (Sunnyvale, CA); Teresk; Martin Gerald; (Parkville, MO); Wang; Xiang; (Foster City, CA); Wolckenhauer; Scott Alan; (Foster City, CA)</t>
  </si>
  <si>
    <t>C07D 405/14 20130101;  C07C 49/755 20130101;  A61P 31/14 20180101;  C07C 2602/10 20170501;  C07C 49/82 20130101;  C07D 311/78 20130101;  C07C 49/80 20130101;  C07D 491/052 20130101;  C07D 405/12 20130101</t>
  </si>
  <si>
    <t>US20150359872</t>
  </si>
  <si>
    <t>14/839247</t>
  </si>
  <si>
    <t>PUSHKO; Peter; (Frederick, MD); Wu; Yingyun; (Gaithersburg, MD); Massage; Michael J.; (Mt. Airy, MD); Liu; Ye; (Laurel, MD); Smith; Gale; (Gaithersburg, MD); Zhou; Bin; (Gaithersburg, MD)</t>
  </si>
  <si>
    <t>A61K 9/0019 20130101;  A61K 39/12 20130101;  C12N 2760/18534 20130101;  C12N 2760/18571 20130101;  A61K 2039/54 20130101;  A61K 2039/575 20130101;  A61K 39/155 20130101;  A61P 37/04 20180101;  A61P 31/12 20180101;  C12N 7/00 20130101;  C12N 2760/18523 20130101;  A61K 2039/55505 20130101;  C12N 2760/18562 20130101;  A61K 9/1075 20130101;  A61K 2039/5258 20130101;  A61K 39/00 20130101;  A61K 39/39 20130101;  A61K 2039/57 20130101;  A61K 2039/545 20130101;  C07K 2319/00 20130101;  C07K 14/005 20130101;  C12N 2760/18522 20130101;  A61P 31/14 20180101;  A61K 2039/55 20130101</t>
  </si>
  <si>
    <t>US20150353529</t>
  </si>
  <si>
    <t>14/814392</t>
  </si>
  <si>
    <t>Bacon; Elizabeth M.; (Burlingame, CA); Cottell; Jeromy J.; (Redwood City, CA); Katana; Ashley Anne; (San Mateo, CA); Kato; Darryl; (San Francisco, CA); Krygowski; Evan S.; (Washington, DC); Link; John O.; (San Francisco, CA); Taylor; James G.; (San Mateo, CA); Tran; Chinh; (Union City, CA); Trejo Martin; Teresa Alejandra; (Union City, CA); Yang; Zheng-Yu; (Palo Alto, CA); Zipfel; Sheila M.; (San Mateo, CA)</t>
  </si>
  <si>
    <t>A61K 31/4188 20130101;  C07D 405/14 20130101;  C07D 513/04 20130101;  C07D 471/08 20130101;  A61K 31/5377 20130101;  C07D 491/10 20130101;  A61P 31/14 20180101;  A61K 31/4178 20130101;  A61P 1/16 20180101;  C07D 495/04 20130101;  A61P 31/18 20180101;  A61K 31/4184 20130101;  A61K 31/4178 20130101;  A61P 31/00 20180101;  A61P 43/00 20180101;  C07D 417/14 20130101;  A61K 2300/00 20130101;  A61K 2300/00 20130101;  A61K 2300/00 20130101;  A61K 31/4184 20130101;  A61P 31/12 20180101;  C07D 403/14 20130101;  C07D 491/113 20130101;  A61K 31/4188 20130101;  C07D 493/04 20130101;  A61K 45/06 20130101;  C07D 491/107 20130101</t>
  </si>
  <si>
    <t>US20150352205</t>
  </si>
  <si>
    <t>14/679767</t>
  </si>
  <si>
    <t>A61P 7/02 20180101;  C07K 2317/34 20130101;  C07K 2317/94 20130101;  A61K 39/395 20130101;  A61K 2039/545 20130101;  A61K 2039/505 20130101;  C07K 2317/76 20130101;  C07K 2317/92 20130101;  C07K 2317/33 20130101;  C07K 16/248 20130101;  C07K 2317/24 20130101;  C07K 16/241 20130101;  C07K 16/461 20130101</t>
  </si>
  <si>
    <t>US20150350040</t>
  </si>
  <si>
    <t>ENABLING AN EARLY RESPONSE TO A DISEASE BASED ON DATA ANALYTICS</t>
  </si>
  <si>
    <t>14/720962</t>
  </si>
  <si>
    <t>Agarwal; Mukta; (Noida, IN); Gorja; Aravind; (Noida, IN)</t>
  </si>
  <si>
    <t>G06Q 50/01 20130101;  G16H 50/80 20180101;  G06F 19/3493 20130101;  G06Q 50/22 20130101</t>
  </si>
  <si>
    <t>Enabling an early response to a disease based on data analytics. This     invention relates to effective management of diseases and more     particularly to effective management of disease by enabling an early and     appropriate response to the disease using data analytics. The system     comprises of a disease analytics platform connected to a plurality of     data sources and at least one stakeholder.</t>
  </si>
  <si>
    <t>US20150348075</t>
  </si>
  <si>
    <t>COMMUNITY UTILIZATION MODELS</t>
  </si>
  <si>
    <t>14/292520</t>
  </si>
  <si>
    <t>NOBLE ANALYTICS &amp; CONSULTING, LLC</t>
  </si>
  <si>
    <t>NOBLE ANALYTICS CONSULTING</t>
  </si>
  <si>
    <t>Hensley, III; Wilson H.; (Nolensville, TN); DeFelice; Daniel L.; (Nashville, TN)</t>
  </si>
  <si>
    <t>G06Q 30/0204 20130101;  G16H 40/20 20180101;  G16H 50/80 20180101;  G06F 19/324 20130101;  G06Q 30/0205 20130101</t>
  </si>
  <si>
    <t>Specialty healthcare in a community is analyzed by calculating an average     number of cases in a region which includes and is larger than the     community, calculating an expected number of cases for the community     based on the average, and comparing the expected number of cases to a     number of actual cases for the community. The community may be a     contiguous service area surrounding a hospital, and the region is a state     containing the service area. Cases can be filtered according to patient     demographics, such as age, and in particular the analysis can be tailored     for Medicare. The analysis results in a community utilization     differential which is divided by physician productivity to determine an     actual number of specialty physicians needed for the community. The cases     may be based in part on services performed by non-doctor healthcare     professionals, but the physician productivity is based on a physician     count which excludes such professionals.</t>
  </si>
  <si>
    <t>US20150344521</t>
  </si>
  <si>
    <t>14/821458</t>
  </si>
  <si>
    <t>Aciro; Caroline; (Bottisham, GB); Chiva; Jean Yves; (Ongar, GB); Dean; David Kenneth; (Ware, GB); Dunbar; Neil Andrew; (Chelmsford, GB); Highton; Adrian John; (Chelmsford, GB); Jansa; Petr; (San Mateo, CA); Karki; Kapil Kumar; (Foster City, CA); Keats; Andrew John; (Essex, GB); Lazarides; Linos; (London, GB); Mackman; Richard; (Millbrae, CA); Pettit; Simon Neil; (Essex, GB); Poullennec; Karine G.; (Essex, GB); Schrier; Adam James; (Redwood City, CA); Siegel; Dustin Scott; (San Carlos, CA); Steadman; Victoria Alexandra; (Essex, GB)</t>
  </si>
  <si>
    <t>A61P 31/14 20180101;  C07D 498/18 20130101;  C07K 5/06191 20130101;  Y02A 50/385 20180101;  Y02A 50/387 20180101;  A61P 37/02 20180101;  A61P 3/04 20180101;  C07K 5/06086 20130101;  Y02A 50/389 20180101;  A61P 29/00 20180101;  A61P 1/16 20180101;  C07K 5/06052 20130101;  C07K 5/06139 20130101;  Y02A 50/391 20180101;  A61K 38/12 20130101;  A61P 43/00 20180101;  A61P 35/00 20180101;  Y02A 50/395 20180101;  A61P 11/00 20180101;  A61P 31/12 20180101;  A61P 31/18 20180101;  A61P 31/00 20180101;  A61K 38/21 20130101;  C07D 487/18 20130101;  A61K 45/06 20130101</t>
  </si>
  <si>
    <t>US20150344488</t>
  </si>
  <si>
    <t>14/825386</t>
  </si>
  <si>
    <t>C07D 403/14 20130101;  A61P 31/12 20180101;  A61P 1/16 20180101;  A61K 31/4184 20130101;  A61K 31/7056 20130101;  A61P 31/14 20180101;  C07D 487/08 20130101;  C07D 471/08 20130101;  C07B 2200/13 20130101;  A61K 31/381 20130101</t>
  </si>
  <si>
    <t>Amorphous and crystalline solid forms of the anti-HCV compound     (1-{3-[6-(9,9-difluoro-7-{2-[5     -(2-methoxycarbonylamino-3-methyl-butyryl)-5-aza-spiro [2     .4]hept-6-yl]-3H-imidazol-4-yl}-9H-fluoren-2-yl)-1H-benzoimidazol-2-yl]-2-    -aza-bicyclo[2.2.1]heptane-2-carbonyl}-2-methyl-propyl)-carbamic acid     methyl ester (Compound I) were prepared and characterized in the solid     state:  ##STR00001## Also provided are processes of manufacture and methods of using the     amorphous and crystalline forms.</t>
  </si>
  <si>
    <t>US20150342880</t>
  </si>
  <si>
    <t>14/821687</t>
  </si>
  <si>
    <t>US20150341439</t>
  </si>
  <si>
    <t>TRANSMIT POWER SCALING METHOD AND SYSTEM TO DETECT OCCURRENCES USING     GEOGRAPHICALLY DISTRIBUTED SENSORS</t>
  </si>
  <si>
    <t>14/816950</t>
  </si>
  <si>
    <t>INDIAN INSTITUTE OF SCIENCE</t>
  </si>
  <si>
    <t>INDIAN INSTITUTE SCIENCE</t>
  </si>
  <si>
    <t>Mehta; Neelesh B.; (Bangalore, IN)</t>
  </si>
  <si>
    <t>H04Q 9/00 20130101;  Y02D 70/00 20180101;  H04W 84/18 20130101;  H04L 67/12 20130101;  H04W 4/70 20180201;  H04Q 2209/20 20130101;  H04Q 2209/40 20130101;  H04W 84/005 20130101;  H04W 52/0245 20130101;  H04W 4/025 20130101;  H04Q 2209/43 20130101;  H04W 84/02 20130101;  H04Q 2209/25 20130101;  G16H 50/80 20180101;  H04W 52/28 20130101</t>
  </si>
  <si>
    <t>Sensors within sensor node networks may communicate bio-event or other     types of measurement results/decisions between each other using signal     transmission variations. Each sensor node within a network and between     networks may transmit and receive signals. A sensor node may scale a     signal transmission power in a manner that is proportional to a     confidence level of a decision or measurement about an event being     detected. Each sensor node will receive transmissions from neighboring     nodes, and can refine an estimate about an occurrence of the event at its     location based on received signal strengths, for example.</t>
  </si>
  <si>
    <t>US20150339585</t>
  </si>
  <si>
    <t>Method for Measuring Individual Entities' Infectivity and Susceptibility     in Contagion</t>
  </si>
  <si>
    <t>14/720784</t>
  </si>
  <si>
    <t>DING JIALI</t>
  </si>
  <si>
    <t>Ding; Jiali; (Beijing, CN)</t>
  </si>
  <si>
    <t>G16H 50/80 20180101;  G06N 7/005 20130101</t>
  </si>
  <si>
    <t>Measurements of individual-level infectivity, susceptibility and baseline     infection risk to biological or social contagion are made for large     number of entities from their contact relation, sequential infection     occurrences and environmental data, using computer implemented MCMC for a     Bayesian estimation of an integrative latent trait response model. The     method is useful for precise and efficient contagion control and     prevention.</t>
  </si>
  <si>
    <t>US20150337036</t>
  </si>
  <si>
    <t>14/725435</t>
  </si>
  <si>
    <t>Garcia-Martinez; Leon F.; (Woodinville, WA); Carvalho Jensen; Anne Elisabeth; (Snohomish, WA); Anderson; Katie; (Kirkland, WA); Dutzar; Benjamin H.; (Seattle, WA); Ojala; Ethan W.; (Snohomish, WA); Kovacevich; Brian R.; (Snohomish, WA); Latham; John A.; (Seattle, WA); Smith; Jeffrey T.L.; (Bellevue, WA)</t>
  </si>
  <si>
    <t>A61K 2039/505 20130101;  Y02A 50/412 20180101;  C07K 2317/24 20130101;  C07K 2317/41 20130101;  C07K 2317/92 20130101;  C07K 2317/34 20130101;  A61K 39/39533 20130101;  A61K 45/06 20130101;  C07K 16/18 20130101;  C07K 2317/76 20130101;  C07K 2317/622 20130101;  C07K 2317/21 20130101;  C07K 2317/94 20130101;  A61K 2039/545 20130101;  C07K 2317/569 20130101;  C07K 2317/56 20130101;  A61K 2039/54 20130101;  C07K 2317/54 20130101;  C07K 2317/55 20130101;  C07K 16/248 20130101</t>
  </si>
  <si>
    <t>The present invention is directed to therapeutic methods using IL-6 antagonists such as an Ab1 antibody or antibody fragment having binding specificity for IL-6 to prevent or treat disease or to improve survivability or quality of life of a patient in need thereof. In preferred embodiments these patients will comprise those exhibiting (or at risk of developing) an elevated serum C-reactive protein level, reduced serum albumin level, elevated D-dimer or other cogulation cascade related protein(s), cachexia, fever, weakness and/or fatigue prior to treatment. The subject therapies also may include the administration of other actives such as chemotherapeutics, anti-coagulants, statins, and others.</t>
  </si>
  <si>
    <t>US20150337029</t>
  </si>
  <si>
    <t>14/717760</t>
  </si>
  <si>
    <t>C07K 2317/21 20130101;  C07K 2317/30 20130101;  C07K 2317/92 20130101;  C07K 2317/76 20130101;  A61P 29/00 20180101;  G01N 33/569 20130101;  C07K 2317/56 20130101;  C12N 2770/20022 20130101;  A61K 2039/507 20130101;  A61K 39/215 20130101;  C12N 7/00 20130101;  A61K 2039/505 20130101;  A61P 31/12 20180101;  C07K 16/10 20130101;  C07K 2317/565 20130101;  A61K 39/12 20130101;  C07K 14/165 20130101;  A61P 31/14 20180101;  C07K 2317/31 20130101;  C12N 2770/20034 20130101;  A61P 31/04 20180101;  A61K 45/06 20130101;  A61P 1/12 20180101;  A61P 11/00 20180101;  A61K 38/00 20130101;  A61K 39/39583 20130101</t>
  </si>
  <si>
    <t>The present invention provides monoclonal antibodies that bind to the     Middle East Respiratory Syndrome-Coronavirus (MERS-CoV) spike protein,     and methods of use. In various embodiments of the invention, the     antibodies are fully human antibodies that bind to MERS-CoV spike     protein. In some embodiments, the antibodies of the invention are useful     for inhibiting or neutralizing MERS-CoV activity, thus providing a means     of treating or preventing MERS infection in humans. In some embodiments,     the invention provides for a combination of one or more antibodies that     bind to the MERS-CoV spike protein for use in treating MERS infection. In     certain embodiments, the one or more antibodies bind to distinct     non-competing epitopes comprised in the receptor binding domain of the     MERS-CoV spike protein.</t>
  </si>
  <si>
    <t>US20150336920</t>
  </si>
  <si>
    <t>14/651656</t>
  </si>
  <si>
    <t>JUNG; Young Sik; (Yooseong-gu Daejeon-si, KR); HAN; Soo Bong; (Yooseong-gu Daejeon-si, KR); LEE; Chong-Kyo; (Yooseong-gu Daejeon-si, KR); KIM; Hae Soo; (Yooseong-gu Daejeon-si, KR); SHIN; Jin Soo; (Yeong-gun Chungcheongnam-do, KR); JOHAN; Neyts; (Kessel-Lo, BE); HENDRIK; Jan Thibaut; (Bierbeek, BE); MALPANI; Yashwardhan Radhamohan; (Yooseong-gu Daejeon-si, KR)</t>
  </si>
  <si>
    <t>C07D 307/93 20130101;  C07D 405/12 20130101;  C07D 407/12 20130101;  C07D 413/12 20130101;  C07D 417/12 20130101;  C07D 409/12 20130101</t>
  </si>
  <si>
    <t>US20150335730</t>
  </si>
  <si>
    <t>14/634162</t>
  </si>
  <si>
    <t>C12N 2760/18534 20130101;  A61K 2039/55555 20130101;  A61P 31/14 20180101;  C07K 14/135 20130101;  A61K 2039/54 20130101;  A61K 39/12 20130101;  A61K 2039/55505 20130101;  A61P 37/04 20180101;  C07K 14/005 20130101;  C12N 2760/18522 20130101;  A61K 39/155 20130101;  C12N 7/00 20130101;  A61K 2039/5258 20130101;  A61P 31/12 20180101</t>
  </si>
  <si>
    <t>US20150328307</t>
  </si>
  <si>
    <t>Recombinant Spike Protein Subunit Based Vaccine for Porcine Epidemic     Diarrhea Virus (PEDV)</t>
  </si>
  <si>
    <t>14/716481</t>
  </si>
  <si>
    <t>Lawrence; Paulraj; (Arden Hills, MN); Bey; Russell; (Alexandria, MN)</t>
  </si>
  <si>
    <t>C12N 2770/20034 20130101;  A61K 2039/70 20130101;  A61K 39/225 20130101;  A61K 2039/552 20130101;  C12N 2710/14041 20130101;  C12N 7/00 20130101;  A61K 39/215 20130101;  A61K 2039/5256 20130101</t>
  </si>
  <si>
    <t>The present invention encompasses porcine epidemic diarrhea virus (PEDV)     vaccines or compositions. The vaccine or composition may be a vaccine or     composition containing PEDV antigens. The invention also encompasses     recombinant vectors encoding and expressing PEDV antigens, epitopes or     immunogens which can be used to protect porcine animals against PEDV.</t>
  </si>
  <si>
    <t>US20150327518</t>
  </si>
  <si>
    <t>METHOD OF MONITORING INFECTIOUS DISEASE, SYSTEM USING THE SAME, AND     RECORDING MEDIUM FOR PERFORMING THE SAME</t>
  </si>
  <si>
    <t>14/506402</t>
  </si>
  <si>
    <t>FOUNDATION OF SOONGSIL UNIVERSITY-INDUSTRY COOPERATION</t>
  </si>
  <si>
    <t>FOUNDATION SOONGSIL UNIVERSITY-INDUSTRY COOPERATION</t>
  </si>
  <si>
    <t>HAN; Youngjoon; (Seoul, KR); KO; Cheongshim; (Seoul, KR); LEE; Namki; (Seoul, KR); CHUNG; Hwanik; (Seoul, KR); HONG; Seungmo; (Seoul, KR); KIM; Youngtak; (Anyang-si, Gyeonggi-do, KR)</t>
  </si>
  <si>
    <t>A01K 29/005 20130101;  G01N 33/54366 20130101;  A01K 29/00 20130101;  Y02A 90/24 20180101;  A61D 17/00 20130101;  G16H 50/80 20180101;  H04N 7/183 20130101</t>
  </si>
  <si>
    <t>A method of monitoring an infectious disease, a system using the same,     and a recording medium for performing the same are provided. The     infectious disease monitoring system includes an imaging device for     capturing and transmitting image data on animals managed in a barn, a     first server for determining whether a subject suspected of having an     infectious disease is detected from the image data and, when the subject     suspected of having the infectious disease is detected, transmitting a     signal along with the image data, a second server for confirming an     occurrence of the infectious disease by analyzing the image data of the     subject suspected of having the infectious disease, and transmitting a     warning signal when confirmed the occurrence of the infectious disease,     and a manager terminal for requesting the image data on the animals to     the first server upon receipt of the warning signal and displaying the     image data.</t>
  </si>
  <si>
    <t>US20150317445</t>
  </si>
  <si>
    <t>14/648573</t>
  </si>
  <si>
    <t>SINGH; Inder; (New York, NY); SEGAL; Edo; (New York, NY)</t>
  </si>
  <si>
    <t>US20150306207</t>
  </si>
  <si>
    <t>14/634171</t>
  </si>
  <si>
    <t>A61K 39/12 20130101;  C12N 2760/18534 20130101;  A61K 39/155 20130101;  A61K 2039/54 20130101;  A61K 2039/55505 20130101;  A61K 2039/55555 20130101;  A61P 37/04 20180101;  A61P 31/14 20180101;  C07K 14/135 20130101;  C12N 7/00 20130101;  C07K 14/005 20130101;  A61K 2039/5258 20130101;  A61P 31/12 20180101;  C12N 2760/18522 20130101</t>
  </si>
  <si>
    <t>US20150306206</t>
  </si>
  <si>
    <t>14/700577</t>
  </si>
  <si>
    <t>A61K 39/145 20130101;  A61P 31/16 20180101;  C12N 2760/16122 20130101;  C12N 2760/16034 20130101;  A61K 39/12 20130101;  A61P 37/04 20180101;  C07H 21/04 20130101;  C12N 2760/16123 20130101;  C12N 2760/16023 20130101;  C07K 14/005 20130101;  C12N 2760/16134 20130101;  A61K 2039/70 20130101;  C12N 7/00 20130101;  A61K 2039/5258 20130101;  A61K 2039/575 20130101</t>
  </si>
  <si>
    <t>US20150306205</t>
  </si>
  <si>
    <t>VACCINE COMPOSITION FOR NAIVE SUBJECTS</t>
  </si>
  <si>
    <t>14/650809</t>
  </si>
  <si>
    <t>EUROCINE VACCINES AB</t>
  </si>
  <si>
    <t>EUROCINE VACCINES</t>
  </si>
  <si>
    <t>Arwidsson; Hans; (Strangnas, SE); Maltais; Anna-Karin; (Spanga, SE)</t>
  </si>
  <si>
    <t>A61K 39/39 20130101;  C12N 2760/16134 20130101;  Y02A 50/388 20180101;  A61K 2039/55511 20130101;  C12N 7/00 20130101;  A61K 2039/5252 20130101;  A61K 39/145 20130101;  A61K 2039/58 20130101;  A61K 39/12 20130101;  A61K 2039/543 20130101;  A61K 2039/55588 20130101;  Y02A 50/466 20180101</t>
  </si>
  <si>
    <t>The invention relates to nasally-administered vaccine compositions     effective in naive subjects such as children. Further, the vaccine     composition is suitable for vaccinating the general population during a     pandemic. One aspect of the invention is directed to the paediatric use     of the vaccine of the invention including a vaccine effective in children     against seasonal influenza virus strains. A further aspect of the     invention is directed to subjects of all age groups when the composition     is for pandemic use.</t>
  </si>
  <si>
    <t>US20150306204</t>
  </si>
  <si>
    <t>VACCINE COMPOSITION FOR USE IN IMMUNO-COMPROMISED POPULATIONS</t>
  </si>
  <si>
    <t>14/650807</t>
  </si>
  <si>
    <t>Y02A 50/466 20180101;  Y02A 50/388 20180101;  C12N 7/00 20130101;  A61K 2039/55588 20130101;  A61K 39/12 20130101;  A61K 2039/58 20130101;  A61K 2039/543 20130101;  A61K 39/145 20130101;  A61K 2039/55511 20130101;  A61K 2039/5252 20130101;  C12N 2760/16134 20130101;  A61K 39/39 20130101</t>
  </si>
  <si>
    <t>The invention relates to nasally-administered vaccine compositions     effective against infection in immuno-compromised populations. One aspect     of the invention is directed to the pediatric use of the vaccine of the     invention including a vaccine effective in children against seasonal     influenza virus strains. A further aspect of the invention is directed to     subjects of all age groups when the composition is for pandemic use.</t>
  </si>
  <si>
    <t>US20150299777</t>
  </si>
  <si>
    <t>14/604194</t>
  </si>
  <si>
    <t>Patel; Pranav; (Palo Alto, CA); Tabakman; Scott; (Palo Alto, CA); Belhocine; Kamila; (Palo Alto, CA); Richardson; Aaron; (Palo Alto, CA); Lee; Josephine; (Palo Alto, CA); Lui; Clarissa; (Palo Alto, CA)</t>
  </si>
  <si>
    <t>US20150299213</t>
  </si>
  <si>
    <t>14/696233</t>
  </si>
  <si>
    <t>A61K 31/7064 20130101;  C07F 5/025 20130101;  A61K 31/4188 20130101;  A61P 43/00 20180101;  A61K 31/4188 20130101;  A61P 1/16 20180101;  A61K 31/7072 20130101;  A61K 38/06 20130101;  A61K 31/7056 20130101;  A61K 38/07 20130101;  A61K 31/7056 20130101;  A61K 47/60 20170801;  A61K 45/06 20130101;  A61P 31/14 20180101;  C07D 405/12 20130101;  Y10S 514/894 20130101;  A61K 31/7064 20130101;  A61K 38/21 20130101;  A61P 31/12 20180101;  C07D 491/052 20130101;  A61K 31/7072 20130101;  A61K 2300/00 20130101;  A61K 2300/00 20130101;  A61K 2300/00 20130101;  A61K 2300/00 20130101</t>
  </si>
  <si>
    <t>US20150291638</t>
  </si>
  <si>
    <t>14/681955</t>
  </si>
  <si>
    <t>Colby; Denise A.; (San Francisco, CA); Martins; Andrew Anthony; (Edmonton, CA); Roberts; Benjamin James; (San Mateo, CA); Scott; Robert William; (San Mateo, CA); White; Nicole S.; (San Mateo, CA)</t>
  </si>
  <si>
    <t>C07F 9/65583 20130101;  A61P 31/12 20180101;  C07F 9/6512 20130101;  C07F 9/65616 20130101;  A61P 35/00 20180101</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</si>
  <si>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</si>
  <si>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US20150291534</t>
  </si>
  <si>
    <t>COMPOUNDS FOR TREATING HIV AND METHODS FOR USING THE COMPOUNDS</t>
  </si>
  <si>
    <t>14/441475</t>
  </si>
  <si>
    <t>UNIV PITTSBURGH</t>
  </si>
  <si>
    <t>Smithgall; Thomas E.; (Wexford, PA); Emert-Sedlak; Lori Ann; (Cranberry Twp, PA); Day; Billy W.; (Upper St. Clair, PA); Zhao; Jielu; (Pittsburgh, PA); Iyer; Prema Chandrasekhar; (Pittsburgh, PA)</t>
  </si>
  <si>
    <t>A61K 31/5377 20130101;  C07D 231/46 20130101;  A61K 31/427 20130101;  A61K 45/06 20130101;  A61K 31/655 20130101;  A61K 31/429 20130101;  A61K 31/415 20130101;  C07D 417/04 20130101;  C07D 405/04 20130101;  A61K 2300/00 20130101;  A61K 2300/00 20130101;  A61K 39/39 20130101;  A61K 2300/00 20130101;  A61K 2300/00 20130101;  A61K 2300/00 20130101;  A61K 31/4155 20130101;  A61P 31/18 20180101;  C07D 231/20 20130101;  A61K 31/415 20130101;  A61K 31/4178 20130101;  A61K 31/4155 20130101;  A61K 31/4178 20130101;  A61K 31/429 20130101;  C07D 403/04 20130101;  A61K 2300/00 20130101;  A61K 2300/00 20130101;  A61K 31/427 20130101;  A61K 31/5377 20130101;  A61K 31/4439 20130101;  C07D 401/04 20130101;  C07D 401/12 20130101;  A61K 31/4439 20130101</t>
  </si>
  <si>
    <t>Disclosed herein are embodiments of a compound capable of treating HIV.     In particular disclosed embodiments, the compound is capable of     inhibiting Nef, such as by acting as antagonists of HIV Nef function.     Also disclosed are embodiments of a method of making the compound,     embodiments of a method of using the compound, and embodiments of a     method of identifying HIV Nef antagonists. The disclosed compound may be     used alone or in combination with other pharmacologically active agents     in order to promote reducing drug resistance and/or cumulative toxicity.</t>
  </si>
  <si>
    <t>US20150284448</t>
  </si>
  <si>
    <t>14/651740</t>
  </si>
  <si>
    <t>Weiner; David B.; (Merion, PA); Muthumani; Karuppiah; (Cherry Hill, NJ); Sardesai; Niranjan; (Blue Bell, PA); Flingai; Seleeke; (Minneapolis, MN)</t>
  </si>
  <si>
    <t>A61P 31/18 20180101;  A61K 39/12 20130101;  A61K 39/21 20130101;  C12N 2770/36111 20130101;  C07K 2317/60 20130101;  C12N 2770/24111 20130101;  Y02A 50/386 20180101;  C12N 2770/36034 20130101;  C07K 16/1063 20130101;  C07K 16/1081 20130101;  A61K 2039/505 20130101;  C07K 2317/76 20130101;  C07K 2317/21 20130101;  C07K 16/10 20130101;  Y02A 50/383 20180101;  C12N 2740/16134 20130101;  A61K 48/00 20130101;  C12N 2770/24134 20130101;  C07K 16/32 20130101;  A61K 48/005 20130101;  A61M 2037/0007 20130101;  A61P 31/14 20180101;  A61K 31/7088 20130101;  A61K 2039/53 20130101;  C07K 2317/10 20130101;  C07K 2317/14 20130101;  C12N 2740/16034 20130101;  C12N 7/00 20130101;  C07K 2317/55 20130101;  C12N 2740/16111 20130101</t>
  </si>
  <si>
    <t>US20150283229</t>
  </si>
  <si>
    <t>14/672631</t>
  </si>
  <si>
    <t>C07K 14/005 20130101;  C07K 2317/76 20130101;  C12N 2710/14143 20130101;  A61K 45/06 20130101;  C12N 2770/20063 20130101;  A61K 2039/5252 20130101;  C12N 2710/14043 20130101;  C12N 2770/20021 20130101;  C12N 2770/20034 20130101;  A61K 2039/552 20130101;  C12N 7/00 20130101;  C12N 2770/20022 20130101;  A61K 39/215 20130101;  C07K 16/10 20130101</t>
  </si>
  <si>
    <t>The present invention relates to a vaccine for protecting a pig against     diseases associated with porcine epidemic diarrhea virus. The vaccine     commonly includes inactivated/killed PEDV (e.g., chemically inactivated     PED virus), and/or recombinant PEDV antigen and an adjuvant. Methods for     protecting pigs against diseases associated with PEDV and methods of     producing the porcine epidemic diarrhea virus vaccine are also provided.</t>
  </si>
  <si>
    <t>US20150278229</t>
  </si>
  <si>
    <t>APPARATUS AND METHOD FOR PRESENTING AND ANALYZING ENVIRONMENTAL DATA</t>
  </si>
  <si>
    <t>14/667366</t>
  </si>
  <si>
    <t>ZOETIC DATA INC</t>
  </si>
  <si>
    <t>ZOETIC DATA</t>
  </si>
  <si>
    <t>Skinner; Rebecca E.; (San Francisco, CA)</t>
  </si>
  <si>
    <t>G06F 17/30241 20130101;  G06F 17/30061 20130101;  G06F 17/30554 20130101;  G16H 50/80 20180101;  G06F 17/30994 20130101;  G06F 19/24 20130101;  G16H 50/70 20180101;  G06F 19/26 20130101</t>
  </si>
  <si>
    <t>In one aspect, a method of managing environmental data associated with a     geographic location includes: (a) obtaining geographical data of the     geographic location; (b) obtaining meteorological data of the geographic     location; (c) obtaining biological data of the geographic location; (d)     cross-linking the geographical data, the meteorological data, and the     biological data of the geographic location; and (5) presenting the     cross-linked data for the geographic location in a graphic format. In one     aspect, a method of environmental analysis includes (a) acquiring     biological data of a geographic location from at least one of a server     and user input; (b) obtaining information regarding environmental     activities in the geographic location; (c) correlating the biological     data and the information regarding the environmental activities within a     period of time; and (d) simulating a potential environmental impact of an     activity based on the correlation.</t>
  </si>
  <si>
    <t>US20150275183</t>
  </si>
  <si>
    <t>14/430010</t>
  </si>
  <si>
    <t>C12N 2770/20034 20130101;  C12N 2770/20021 20130101;  C12N 9/485 20130101;  C12N 2770/20032 20130101;  C12Q 2600/158 20130101;  C07K 2319/30 20130101;  C12N 2770/20022 20130101;  C12N 7/00 20130101;  C07K 14/005 20130101;  C12Y 304/14005 20130101;  G01N 33/573 20130101;  A61K 35/76 20130101;  G01N 33/56983 20130101;  G01N 2500/02 20130101;  G01N 2333/165 20130101;  C12Q 1/701 20130101;  G01N 2333/948 20130101;  C07K 14/70596 20130101;  C07K 16/10 20130101</t>
  </si>
  <si>
    <t>US20150274823</t>
  </si>
  <si>
    <t>14/701290</t>
  </si>
  <si>
    <t>Garcia-Martinez; Leon F.; (Woodinville, WA); Carvalho Jensen; Ann Elisabeth; (Snohomish, WA); Anderson; Katie Olson; (Kirkland, WA); Dutzar; Benjamin H.; (Seattle, WA); Ojala; Ethan W.; (Snohomish, WA); Kovacevich; Brian R.; (Snohomish, WA); Latham; John A.; (Seattle, WA); Smith; Jeffrey T.L.; (Bellevue, WA)</t>
  </si>
  <si>
    <t>C07K 2317/24 20130101;  C07K 2317/41 20130101;  C07K 2317/34 20130101;  C07K 2317/515 20130101;  C07K 16/248 20130101;  C07K 2317/56 20130101;  A61K 2039/505 20130101;  C07K 2317/51 20130101;  C07K 2317/64 20130101;  C07K 2317/76 20130101;  C07K 2317/565 20130101</t>
  </si>
  <si>
    <t>US20150274822</t>
  </si>
  <si>
    <t>14/604305</t>
  </si>
  <si>
    <t>A61P 15/06 20180101;  A61P 17/02 20180101;  C07K 2317/76 20130101;  C07K 2317/92 20130101;  A61P 17/00 20180101;  A61P 1/04 20180101;  C07K 2317/41 20130101;  A61P 5/14 20180101;  A61P 9/04 20180101;  A61P 25/24 20180101;  A61P 37/08 20180101;  A61K 2039/505 20130101;  A61K 38/208 20130101;  A61P 7/02 20180101;  A61P 9/00 20180101;  A61P 33/06 20180101;  A61P 1/02 20180101;  A61P 13/08 20180101;  A61P 25/28 20180101;  A61P 29/00 20180101;  A61K 49/0004 20130101;  A61P 3/10 20180101;  C07K 2317/24 20130101;  A61K 39/3955 20130101;  A61K 45/06 20130101;  A61K 2039/545 20130101;  A61P 35/02 20180101;  C07K 2317/90 20130101;  A61P 1/18 20180101;  A61K 38/2013 20130101;  A61P 11/00 20180101;  C07K 16/462 20130101;  Y02A 50/58 20180101;  A61P 1/16 20180101;  A61P 7/06 20180101;  A61P 17/06 20180101;  C07K 2317/33 20130101;  A61P 19/00 20180101;  A61P 31/18 20180101;  C07K 2317/94 20130101;  A61P 35/00 20180101;  A61P 43/00 20180101;  A61K 31/454 20130101;  A61P 9/02 20180101;  A61K 51/1033 20130101;  A61P 9/10 20180101;  A61P 31/04 20180101;  A61P 21/00 20180101;  C07K 16/248 20130101;  A61P 3/04 20180101;  A61P 7/04 20180101;  A61P 13/12 20180101;  A61K 49/0058 20130101;  A61P 17/14 20180101;  C07K 2317/34 20130101;  A61P 19/02 20180101;  A61P 7/00 20180101;  A61P 19/10 20180101;  A61P 31/16 20180101;  A61P 37/02 20180101;  C07K 2317/565 20130101;  A61P 37/06 20180101;  A61P 31/12 20180101;  G01N 33/6863 20130101;  Y02A 50/412 20180101;  A61P 19/08 20180101;  A61P 9/12 20180101;  A61P 25/00 20180101;  C07K 2317/56 20130101</t>
  </si>
  <si>
    <t>US20150274774</t>
  </si>
  <si>
    <t>14/740680</t>
  </si>
  <si>
    <t>Aciro; Caroline; (Bottisham, GB); Dean; David Kenneth; (Ware, GB); Dunbar; Neil Andrew; (Chelmsford, GB); Highton; Adrian John; (Chelmsford, GB); Jansa; Petr; (San Mateo, CA); Karki; Kapil Kumar; (Foster City, CA); Keats; Andrew J.; (Essex, GB); Lazarides; Linos; (London, GB); Mackman; Richard L.; (Millbrae, CA); Pettit; Simon N.; (Essex, GB); Poullennec; Karine G.; (Essex, GB); Schrier; Adam James; (Redwood City, CA); Siegel; Dustin; (San Carlos, CA); Steadman; Victoria Alexandria; (Essex, GB)</t>
  </si>
  <si>
    <t>A61P 29/00 20180101;  Y02A 50/389 20180101;  A61K 31/504 20130101;  A61K 31/7072 20130101;  A61P 31/20 20180101;  C07D 487/08 20130101;  A61K 31/7072 20130101;  C07K 5/02 20130101;  A61K 38/21 20130101;  A61P 3/04 20180101;  C07D 498/08 20130101;  Y02A 50/395 20180101;  A61P 31/00 20180101;  C07D 498/18 20130101;  A61K 38/05 20130101;  C07K 5/06034 20130101;  A61K 38/55 20130101;  C07K 5/06052 20130101;  A61P 31/12 20180101;  A61K 31/7056 20130101;  A61P 35/00 20180101;  A61P 31/18 20180101;  Y02A 50/385 20180101;  A61K 2300/00 20130101;  A61K 2300/00 20130101;  A61K 2300/00 20130101;  A61K 2300/00 20130101;  A61K 2300/00 20130101;  A61K 2300/00 20130101;  A61K 38/15 20130101;  A61K 31/504 20130101;  A61K 45/06 20130101;  C07D 498/22 20130101;  C07K 5/06086 20130101;  Y02A 50/387 20180101;  A61K 38/55 20130101;  A61K 31/7056 20130101;  Y02A 50/391 20180101;  A61K 31/497 20130101;  A61K 38/21 20130101;  C07K 5/06139 20130101;  A61P 11/00 20180101;  C07K 19/00 20130101;  A61P 31/14 20180101;  A61K 31/403 20130101;  C07D 471/18 20130101;  A61P 37/02 20180101;  A61P 43/00 20180101;  A61K 31/497 20130101;  C07K 5/06191 20130101;  A61K 38/12 20130101;  A61K 38/00 20130101;  A61K 31/403 20130101;  A61K 39/29 20130101;  A61P 1/16 20180101;  C07K 5/0606 20130101;  C07K 5/06078 20130101;  A61K 2300/00 20130101</t>
  </si>
  <si>
    <t>US20150273058</t>
  </si>
  <si>
    <t>Antagonists of IL-6 to prevent or treat cachexia, weakness, fatigue, and/or fever</t>
  </si>
  <si>
    <t>14/672543</t>
  </si>
  <si>
    <t>A61K 2039/505 20130101;  Y02A 50/58 20180101;  C07K 2317/24 20130101;  C07K 2317/33 20130101;  C07K 2317/34 20130101;  C07K 2317/41 20130101;  C07K 2317/76 20130101;  C07K 2317/90 20130101;  C07K 2317/92 20130101;  C07K 2317/94 20130101;  A61K 31/454 20130101;  A61K 38/2013 20130101;  A61K 38/208 20130101;  A61K 39/3955 20130101;  A61K 45/06 20130101;  A61K 2039/545 20130101;  C07K 16/462 20130101;  C07K 2317/565 20130101;  A61K 49/0058 20130101;  A61K 49/0004 20130101;  C07K 2317/56 20130101;  A61K 51/1033 20130101;  G01N 33/6863 20130101;  Y02A 50/412 20180101;  C07K 16/248 20130101</t>
  </si>
  <si>
    <t>US20150269347</t>
  </si>
  <si>
    <t>ENVIRONMENTAL RISK FACTOR RELEVANCY</t>
  </si>
  <si>
    <t>14/615256</t>
  </si>
  <si>
    <t>Bhatt; Dhruv A.; (Indian Trail, NC); Ng; Kenney; (Arlington, MA); Valencia; Gabriel; (San Jose, CA)</t>
  </si>
  <si>
    <t>G16H 50/70 20180101;  G16H 50/30 20180101;  G06F 19/00 20130101;  G16H 50/80 20180101;  G06Q 50/22 20130101</t>
  </si>
  <si>
    <t>In one example, a method includes processing one or more patient records     to generate a history of geographic locations associated with a patient.     The method also includes collecting, from one or more data sources,     unstructured text containing information describing one or more     environments associated with the geographic locations. The method also     includes, applying text analytics to the unstructured text to identify     one or more environmental risk factors associated with the geographic     locations. The method also includes, computing a predictive risk model     having, for each of the one or more environmental risk factors, a     respective score indicative of a relevancy of the corresponding     environmental risk factor to a health condition for the patient. The     method also includes, outputting, in accordance with the one or more     computed scores of the predictive risk model, information indicative of     the relevancy of each of the environmental risk factors to the health     condition of the patient.</t>
  </si>
  <si>
    <t>US20150269345</t>
  </si>
  <si>
    <t>14/219727</t>
  </si>
  <si>
    <t>G16H 50/70 20180101;  G16H 50/80 20180101;  G16H 50/30 20180101;  G06Q 50/22 20130101;  G06F 19/00 20130101</t>
  </si>
  <si>
    <t>US20150266930</t>
  </si>
  <si>
    <t>14/730809</t>
  </si>
  <si>
    <t>PUSHKO; Peter; (Frederick, MD); Wu; Yingyun; (Gaithersburg, MD); Massare; Michael J.; (Mt. Airy, MD); Liu; Ye; (Laurel, MD); Smith; Gale; (Gaithersburg, MD); Zhou; Bin; (Gaithersburg, MD)</t>
  </si>
  <si>
    <t>A61K 2039/575 20130101;  A61K 2039/545 20130101;  A61K 2039/57 20130101;  C12N 7/00 20130101;  A61K 9/0019 20130101;  A61K 2039/55505 20130101;  A61K 39/00 20130101;  A61K 39/39 20130101;  A61K 9/1075 20130101;  A61K 2039/54 20130101;  C07K 2319/00 20130101;  C07K 14/005 20130101;  C12N 2760/18523 20130101;  C12N 2760/18534 20130101;  A61K 39/155 20130101;  A61P 31/12 20180101;  C12N 2760/18571 20130101;  C12N 2760/18522 20130101;  C12N 2760/18562 20130101;  A61P 31/14 20180101;  A61K 2039/5258 20130101;  A61K 2039/55 20130101;  A61P 37/04 20180101;  A61K 39/12 20130101</t>
  </si>
  <si>
    <t>US20150265698</t>
  </si>
  <si>
    <t>14/730805</t>
  </si>
  <si>
    <t>A61K 2039/575 20130101;  A61P 31/12 20180101;  A61K 39/12 20130101;  A61K 2039/5258 20130101;  A61K 2039/545 20130101;  A61K 2039/55 20130101;  A61P 31/14 20180101;  C12N 7/00 20130101;  A61K 2039/55505 20130101;  A61P 37/04 20180101;  C07K 14/005 20130101;  A61K 39/39 20130101;  C12N 2760/18571 20130101;  A61K 2039/57 20130101;  C12N 2760/18523 20130101;  A61K 2039/54 20130101;  A61K 9/1075 20130101;  C07K 2319/00 20130101;  C12N 2760/18562 20130101;  A61K 9/0019 20130101;  A61K 39/155 20130101;  C12N 2760/18534 20130101;  C12N 2760/18522 20130101;  A61K 39/00 20130101</t>
  </si>
  <si>
    <t>US20150259413</t>
  </si>
  <si>
    <t>14/604366</t>
  </si>
  <si>
    <t>Garcia-Martinez; Leon; (Woodinville, WA); Carvalho Jensen; Anne Elisabeth; (Snohomish, WA); Anderson; Katie; (Kirkland, WA); Dutzar; Benjamin H.; (Seattle, WA); Ojala; Ethan W.; (Snohomish, WA); Kovacevich; Brian R.; (Snohomish, WA); Latham; John; (Seattle, WA); Smith; Jeffrey T.L.; (Bellevue, WA)</t>
  </si>
  <si>
    <t>A61P 35/00 20180101;  C07K 2317/92 20130101;  C07K 2317/565 20130101;  C07K 16/248 20130101;  C07K 2317/34 20130101;  C07K 2317/24 20130101;  A61K 2039/505 20130101;  C12P 21/02 20130101;  C12N 9/60 20130101;  C07K 2317/56 20130101;  C12N 9/64 20130101;  C07K 2317/76 20130101;  C07K 2317/41 20130101;  C12N 15/81 20130101</t>
  </si>
  <si>
    <t>The present invention is directed to antibodies and fragments thereof and     humanized versions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</si>
  <si>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US20150238501</t>
  </si>
  <si>
    <t>14/635830</t>
  </si>
  <si>
    <t>Siegel; Dustin; (San Carlos, CA); Sperandio; David; (Palo Alto, CA); Yang; Hai; (San Mateo, CA); Sangi; Michael; (San Mateo, CA); Parrish; Jay P.; (EI Dorado Hills, CA); Hui; Hon Chung; (San Mateo, CA)</t>
  </si>
  <si>
    <t>A61P 31/14 20180101;  A61K 31/5025 20130101;  A61K 31/4545 20130101;  A61P 31/00 20180101;  A61P 43/00 20180101;  C07D 519/00 20130101;  A61K 31/53 20130101;  A61K 31/519 20130101;  A61P 11/00 20180101;  C07D 487/04 20130101;  C07D 471/04 20130101;  A61P 31/12 20180101;  A61K 31/5377 20130101;  A61K 45/06 20130101</t>
  </si>
  <si>
    <t>US20150234981</t>
  </si>
  <si>
    <t>System and Method for Determining Relatedness</t>
  </si>
  <si>
    <t>14/689405</t>
  </si>
  <si>
    <t>eGenomics, Inc.</t>
  </si>
  <si>
    <t>EGENOMICS</t>
  </si>
  <si>
    <t>Naidich; Steven; (New York, NY)</t>
  </si>
  <si>
    <t>G06F 19/22 20130101;  G06F 19/14 20130101;  C40B 30/02 20130101;  G16H 50/80 20180101;  C12Q 2600/16 20130101;  C12Q 2600/156 20130101;  G06F 19/3493 20130101</t>
  </si>
  <si>
    <t>Methods of determining a source of, and/or tracking the transmission of,     an organism, including pathogenic organisms. Processor-readable medium     having processor-executable instructions for performing such methods.     Systems for tracking the path of an infection. Electronic systems for     tracking the transmission of a pathogen. Methods for determining regions     of DNA suitable for one-way analysis. Infection Control Analysis Decision     Systems comprising a processing device in communication with memory     containing instructions for carrying out methods of determining a source     of, and/or tracking the transmission of, an organism, including     pathogenic organisms.</t>
  </si>
  <si>
    <t>US20150232453</t>
  </si>
  <si>
    <t>14/704627</t>
  </si>
  <si>
    <t>C07D 403/14 20130101;  A61P 31/14 20180101;  C07D 403/04 20130101;  A61P 1/16 20180101;  A61P 31/12 20180101;  Y02P 20/55 20151101</t>
  </si>
  <si>
    <t>US20150216873</t>
  </si>
  <si>
    <t>METHODS OF TREATING PATIENTS CO-INFECTED WITH HIV AND TUBERCULOSIS</t>
  </si>
  <si>
    <t>14/614133</t>
  </si>
  <si>
    <t>Begley; Rebecca Restituto; (Palo Alto, CA); Custodio; Joseph Marcello; (San Francisco, CA); Kearney; Brian P.; (San Francisco, CA)</t>
  </si>
  <si>
    <t>A61K 31/435 20130101;  A61K 31/52 20130101;  A61P 31/18 20180101;  A61K 31/426 20130101;  A61K 31/427 20130101;  A61K 31/675 20130101;  A61K 45/06 20130101;  A61K 31/47 20130101;  A61K 31/473 20130101;  A61P 31/06 20180101;  A61K 31/454 20130101;  A61K 31/675 20130101;  A61K 31/52 20130101;  A61K 31/506 20130101;  A61K 31/683 20130101;  A61K 31/438 20130101;  A61K 31/454 20130101;  A61K 31/426 20130101;  A61K 31/473 20130101;  A61K 31/5377 20130101;  A61K 31/5377 20130101;  A61K 31/425 20130101;  A61K 2300/00 20130101;  A61K 2300/00 20130101;  A61K 2300/00 20130101;  A61K 2300/00 20130101;  A61K 2300/00 20130101;  A61K 2300/00 20130101;  A61K 2300/00 20130101;  A61K 2300/00 20130101;  A61K 31/435 20130101</t>
  </si>
  <si>
    <t>The disclosure describes methods for treatment of patients co-infected     with HIV and tuberculosis, wherein the patient receives effective amounts     of elvitegravir, an antimycobacterial agent and a CYP inhibitor.</t>
  </si>
  <si>
    <t>US20150216241</t>
  </si>
  <si>
    <t>Multipurpose Prevents Epidemics Band</t>
  </si>
  <si>
    <t>14/173040</t>
  </si>
  <si>
    <t>CHUN-HSIN LEE</t>
  </si>
  <si>
    <t>LEE; Chun-Hsin; (Chang-Hua City, TW); LEE; Ting-An; (Chang-Hua City, TW)</t>
  </si>
  <si>
    <t>A41D 13/1192 20130101;  A41D 13/1161 20130101</t>
  </si>
  <si>
    <t>A multipurpose prevents epidemics band contains a body, at least one     elastic rope, and an adjusting member. The body includes a first outer     layer, a second outer layer, and a movable replacing layer. The first     outer layer is attached on the second outer layer, and an accommodating     pocket is defined between the first outer layer and the second outer     layer and has at least one opening so as to accommodate the movable     replacing layer. The first outer layer has a filtering nonwoven fabric     soaked with herbal liquid. The at least one elastic rope is inserted into     two opposite sides of the body, and the adjusting member is fixed on each     of the at least one elastic rope. Thereby, the body is hanged on user's     head or other portions, and the adjusting member is arranged to adjust an     expansion and retraction of the at least one elastic rope.</t>
  </si>
  <si>
    <t>US20150213192</t>
  </si>
  <si>
    <t>System For Genetic Surveillance and Analysis</t>
  </si>
  <si>
    <t>14/566651</t>
  </si>
  <si>
    <t>APPLIED BIOSYSTEMS, INC.</t>
  </si>
  <si>
    <t>APPLIED BIOSYSTEMS</t>
  </si>
  <si>
    <t>Patel; Chirag; (Atherton, CA); Fuernkranz; Hans; (Saratoga, CA); Greenstein; Michael; (Los Altos, CA)</t>
  </si>
  <si>
    <t>G06F 19/20 20130101;  G06F 19/28 20130101;  G06F 19/22 20130101;  Y02A 90/24 20180101;  G16H 10/40 20180101;  Y02A 90/26 20180101;  G16H 50/80 20180101</t>
  </si>
  <si>
    <t>A genetic surveillance system comprises a communications network and at     least one reader-analyzer instrument. The reader-analyzer instrument has     a communication interface to communicate over the network. The     reader-analyzer instrument is adapted to perform genetic assay analysis     of a sample obtained from a member of a population and to generate     detection-related data based upon the analysis. The reader-analyzer     instrument is adapted to associate qualifying information with the     detection-related data and to communicate the associated qualifying     information and detection-related data over the network.</t>
  </si>
  <si>
    <t>US20150211039</t>
  </si>
  <si>
    <t>ENZYMES AND POLYMERASES FOR THE SYNTHESIS OF RNA</t>
  </si>
  <si>
    <t>14/421291</t>
  </si>
  <si>
    <t>Wang; Yuxun; (Shrewsbury, MA); Ramakrishnan; Divakar; (Lexington, MA); de Fougerolles; Antonin; (Waterloo, BE); Whoriskey; Susan; (Belmont, MA)</t>
  </si>
  <si>
    <t>C12N 9/1247 20130101;  C12N 9/1241 20130101;  C12P 19/34 20130101;  C12Y 207/07007 20130101;  C12N 9/1252 20130101;  C12Y 207/07006 20130101;  C12Y 207/0705 20130101</t>
  </si>
  <si>
    <t>The invention relates to compositions and methods for the design,     evolution, preparation, and/or manufacture of enzymes for use with     polynucleotides, primary transcripts and mmRNA molecules.</t>
  </si>
  <si>
    <t>US20150209425</t>
  </si>
  <si>
    <t>14/587116</t>
  </si>
  <si>
    <t>MOREIN; BROR; (Uppsala, SE); LOVGREN BENGTSSON; KARIN; (Uppsala, SE)</t>
  </si>
  <si>
    <t>A61P 43/00 20180101;  A61P 31/22 20180101;  A61P 37/04 20180101;  A61P 31/04 20180101;  A61P 31/12 20180101;  A61K 2039/55577 20130101;  A61P 31/16 20180101;  A61K 39/39 20130101;  A61P 31/14 20180101;  A61P 31/20 20180101</t>
  </si>
  <si>
    <t>The invention relates to a composition comprising a mixture of at least     two iscom complexes each complex comprising essentially one saponin     fraction from Quillaja Saponaria Molina. The complexes may be iscom     complexes or iscom matrix complexes. The invention also pertains to the     use of such a mixture for the preparation of an immunomodulating     pharmaceutical, and adjuvant, formulations for immunization, e.g. for     production of monoclonal antibodies, and a vaccine. Kits of parts     comprising at least two parts, wherein each part comprises one iscom     complex or one iscom matrix complex according to the invention are also     embraced.</t>
  </si>
  <si>
    <t>US20150203525</t>
  </si>
  <si>
    <t>14/615357</t>
  </si>
  <si>
    <t>YU; Richard Hung Chiu; (San Francisco, CA); BROWN; Brandon Heath; (Burlingame, CA); POLNIASZEK; Richard P.; (Half Moon Bay, CA); GRAETZ; Benjamin R.; (San Mateo, CA); SUJINO; Keiko; (Edmonton, CA); TRAN; Duong Duc-Phi; (Edmonton, CA); TRIMAN; Alan Scott; (Sunnyvale, CA); KENT; Kenneth M.; (Sunnyvale, CA); PFEIFFER; Steven; (Camarillo, CA)</t>
  </si>
  <si>
    <t>C07H 23/00 20130101;  C07H 19/02 20130101;  C07H 19/04 20130101;  A61K 31/66 20130101;  C07F 9/4449 20130101;  C07D 473/34 20130101;  C07F 9/65616 20130101;  C07H 19/20 20130101;  C07H 19/173 20130101;  C07H 19/16 20130101;  C07F 9/4075 20130101</t>
  </si>
  <si>
    <t>US20150198596</t>
  </si>
  <si>
    <t>Apparatus and Method for Detection of an Analyte in a Sample</t>
  </si>
  <si>
    <t>14/669847</t>
  </si>
  <si>
    <t>Delamarche; Emmanuel; (Thalwil, CH); Solis; Daniel J.; (Escondido, CA)</t>
  </si>
  <si>
    <t>B01L 2400/0688 20130101;  G01N 2333/11 20130101;  B01L 3/502761 20130101;  B01L 2300/0654 20130101;  B01L 2200/0668 20130101;  B01L 2400/0406 20130101;  G01N 33/56983 20130101;  B01L 2300/0681 20130101;  B01L 3/5029 20130101;  B01L 2400/086 20130101;  B01L 3/502753 20130101</t>
  </si>
  <si>
    <t>There is provided mechanisms for the detection of an analyte in a sample.     The mechanisms utilize at least a first measurement channel comprising a     detection reactant corresponding to the analyte to be detected, and at     least a microstructure associated with the first measurement channel.     When the mechanisms are in use, the sample is introduced into the first     measurement channel and propagated by way of the first measurement     channel towards the microstructure. If the analyte is present in the     sample, the analyte interacts with the detection reactant to form a     networked product, and the microstructure is configured to filter the     networked product.</t>
  </si>
  <si>
    <t>US20150197567</t>
  </si>
  <si>
    <t>14/604419</t>
  </si>
  <si>
    <t>Garcia-Martinez; Leon; (Woodinville, WA); Carvalho Jensen; Anne Elisabeth; (Snohomish, WA); Anderson; Katie; (Kirkland, WA); Dutzar; Benjamin H.; (Seattle, WA); Ojala; Ethan W.; (Snohomish, WA); Latham; John; (Seattle, WA); Kovacevich; Brian R.; (Snohomish, WA); Smith; Jeffrey T.L.; (Bellevue, WA)</t>
  </si>
  <si>
    <t>A61P 15/06 20180101;  A61P 25/28 20180101;  A61P 17/00 20180101;  A61P 1/14 20180101;  A61P 3/00 20180101;  A61P 11/06 20180101;  A61P 31/04 20180101;  C07K 2317/24 20130101;  A61P 9/04 20180101;  A61P 15/00 20180101;  A61P 3/02 20180101;  A61P 19/10 20180101;  A61P 19/02 20180101;  A61P 31/20 20180101;  A61P 25/00 20180101;  A61P 35/04 20180101;  A61P 19/08 20180101;  C07K 2317/94 20130101;  A61P 31/16 20180101;  A61K 39/3955 20130101;  A61P 37/02 20180101;  A61P 9/12 20180101;  A61P 11/00 20180101;  A61P 13/08 20180101;  C07K 2317/41 20130101;  A61P 21/00 20180101;  A61P 7/00 20180101;  A61P 35/02 20180101;  A61P 7/06 20180101;  A61P 43/00 20180101;  A61P 1/04 20180101;  A61K 45/06 20130101;  A61P 7/02 20180101;  A61P 9/14 20180101;  A61P 3/04 20180101;  A61P 3/10 20180101;  C07K 2317/34 20130101;  A61P 25/24 20180101;  C07K 2317/20 20130101;  A61P 37/00 20180101;  A61P 37/06 20180101;  A61P 35/00 20180101;  A61P 29/00 20180101;  A61P 11/16 20180101;  A61P 9/10 20180101;  A61P 17/06 20180101;  A61P 13/12 20180101;  A61K 2039/505 20130101;  A61P 9/00 20180101;  A61P 37/08 20180101;  A61P 39/02 20180101;  C07K 16/248 20130101;  C07K 2317/76 20130101</t>
  </si>
  <si>
    <t>The present invention is directed to antibodies and fragments thereof     having binding specificity for IL-6. Another embodiment of this invention     relates to the antibodies described herein, and binding fragments     thereof, comprising the sequences of the V.sub.II,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</si>
  <si>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US20150196619</t>
  </si>
  <si>
    <t>14/588616</t>
  </si>
  <si>
    <t>US20150186566</t>
  </si>
  <si>
    <t>14/358613</t>
  </si>
  <si>
    <t>Cooper; Daniel A.; (Acton, MA); Costales; James B.; (Winchester, MA); Kamieniecki; Krzysztof E.; (Acton, MA); Ledoux; Robert J.; (Harvard, MA); Thompson; Jeffrey K.; (Woburn, MA); Korbly; Stephen E.; (Acton, MA)</t>
  </si>
  <si>
    <t>G16H 50/80 20180101;  G06N 99/005 20130101;  G06F 17/5009 20130101;  G08B 29/14 20130101;  G09B 9/00 20130101;  H04L 67/12 20130101;  G08B 21/12 20130101;  G06N 5/04 20130101</t>
  </si>
  <si>
    <t>US20150182547</t>
  </si>
  <si>
    <t>14/585011</t>
  </si>
  <si>
    <t>GRAETZ; Benjamin R.; (San Mateo, CA); POLNIASZEK; Richard; (Half Moon Bay, CA)</t>
  </si>
  <si>
    <t>A61K 31/675 20130101;  A61K 9/20 20130101;  A61P 31/18 20180101;  A61K 31/675 20130101;  A61K 9/2018 20130101;  A61K 45/06 20130101;  C07H 19/20 20130101;  A61K 2300/00 20130101;  A61K 31/7076 20130101</t>
  </si>
  <si>
    <t>US20150175655</t>
  </si>
  <si>
    <t>14/412331</t>
  </si>
  <si>
    <t>Bjornson; Kyla; (San Lorenzo, CA); Canales; Eda; (San Mateo, CA); Cottell; Jeromy J.; (Redwood City, CA); Karki; Kapil Kumar; (Foster City, CA); Katana; Ashley Anne; (San Mateo, CA); Kato; Darryl; (San Francisco, CA); Kobayashi; Tetsuya; (Sunnyvale, CA); Link; John O.; (San Francisco, CA); Martinez; Ruben; (South San Francisco, CA); Phillips; Barton W.; (San Mateo, CA); Pyun; Hyung-Jung; (Fremont, CA); Sangi; Michael; (Oakland, CA); Schrier; Adam James; (Redwood City, CA); Siegel; Dustin; (Fostel City, CA); Taylor; James G.; (San Mateo, CA); Tran; Chinh Viet; (San Diego, CA); Trejo Martin; Teresa Alejandra; (Union City, CA); Vivian; Randall W.; (San Mateo, CA); Yang; Zheng-Yu; (Palo Alto, CA); Zablocki; Jeff; (Los Altos, CA); Zipfel; Sheila; (San Mateo, CA)</t>
  </si>
  <si>
    <t>A61K 31/4985 20130101;  C07K 5/0827 20130101;  A61K 31/10 20130101;  C07K 5/08 20130101;  C07K 5/0808 20130101;  A61P 31/12 20180101;  A61K 31/519 20130101;  C07D 498/16 20130101;  A61P 31/14 20180101;  A61K 38/21 20130101;  A61K 31/401 20130101;  A61K 45/06 20130101;  C07K 5/0812 20130101;  A61K 31/4745 20130101;  A61K 31/506 20130101;  A61K 31/498 20130101;  A61K 38/06 20130101;  C07D 403/14 20130101;  A61K 2300/00 20130101;  A61P 43/00 20180101;  A61K 38/00 20130101;  C07D 498/22 20130101;  A61K 38/21 20130101;  A61P 31/10 20180101;  A61P 31/00 20180101;  C07D 241/36 20130101;  A61P 1/16 20180101</t>
  </si>
  <si>
    <t>Compounds of Formula I are disclosed, As well as pharmaceutically     acceptable salts thereof. Methods of using said compounds and     pharmaceutical compositions containing said compounds are also disclosed.  ##STR00001##</t>
  </si>
  <si>
    <t>US20150175646</t>
  </si>
  <si>
    <t>14/563639</t>
  </si>
  <si>
    <t>Casteel; Melissa Jean; (Foster City, CA); Dashner; Kathleen; (Foster City, CA); Jung; Hyuk-Jun; (Shiheung-si, KR); Seo; Mun Sik; (Shiheung-si, KR); Shi; Bing; (Redwood City, CA); Wang; Fang; (Foster City, CA); Zia; Vahid; (Foster City, CA)</t>
  </si>
  <si>
    <t>C07F 9/65586 20130101;  A61K 31/7072 20130101;  C07H 19/06 20130101;  C07H 19/10 20130101;  A61K 31/7068 20130101;  A61P 31/14 20180101;  A61P 31/12 20180101;  A61K 31/7064 20130101;  A61P 1/16 20180101;  A61K 31/706 20130101;  A61K 31/7052 20130101;  A61P 31/18 20180101</t>
  </si>
  <si>
    <t>Crystalline solid forms of the anti-HCV compound (S)-isopropyl     2-((S)-(((2R,3R,4R,5R)-5-(2,4-dioxo-3,4-dihydropyrimidin-1(2H)-yl)-4-fluo-    ro-3-hydroxy-4-methyltetrahydrofuran-2-yl)methoxy)(phenoxy)phosphorylamino-    )propanoate (Compound I) are described  ##STR00001## Also provided are processes of making and methods of using the     crystalline forms.</t>
  </si>
  <si>
    <t>US20150175626</t>
  </si>
  <si>
    <t>14/576143</t>
  </si>
  <si>
    <t>Cagulada; Amy; (San Francisco, CA); Chan; Johann; (San Mateo, CA); Chan; Lina; (Foster City, CA); Colby; Denise A.; (San Francisco, CA); Karki; Kapil Kumar; (Foster City, CA); Kato; Darryl; (San Francisco, CA); Keaton; Katie Ann; (Burlingame, CA); Kondapally; Sudha; (Foster City, CA); Levins; Chris; (San Mateo, CA); Littke; Adam; (Oakland, CA); Martinez; Ruben; (San Diego, CA); Pcion; Dominika; (San Francisco, CA); Reynolds; Troy; (San Francisco, CA); Ross; Bruce; (EI Granada, CA); Sangi; Michael; (San Mateo, CA); Schrier; Adam J.; (Redwood City, CA); Seng; Pamela; (San Francisco, CA); Siegel; Dustin; (San Carlos, CA); Shapiro; Nathan; (Belmont, CA); Tang; Donald; (Millbrae, CA); Taylor; James G.; (San Mateo, CA); Tripp; Jonathan; (Foster City, CA); Waltman; Andrew W.; (San Francisco, CA); Yu; Lawrence; (Foster City, CA)</t>
  </si>
  <si>
    <t>C07C 233/09 20130101;  C07D 403/12 20130101;  C07D 498/16 20130101;  C07C 205/57 20130101;  C07C 255/61 20130101;  C07C 2601/02 20170501;  C07D 498/18 20130101;  C07K 5/0808 20130101;  C07C 209/00 20130101;  A61P 1/16 20180101;  C07C 227/02 20130101;  C07C 251/12 20130101;  C07C 271/34 20130101;  C07C 51/09 20130101;  A61P 31/14 20180101;  C07D 241/44 20130101;  C07D 453/02 20130101</t>
  </si>
  <si>
    <t>US20150175625</t>
  </si>
  <si>
    <t>14/575966</t>
  </si>
  <si>
    <t>Bringley; Dustin; (Santa Carlos, CA); Chan; Johann; (Foster City, CA); Fung; Peter; (Newport, NY); Keaton; Katie; (Burlingame, CA); Lapina; Olga; (Newark, CA); Morrison; Henry; (Dublin, CA); Pcion; Dominika; (San Francisco, CA)</t>
  </si>
  <si>
    <t>A61P 31/12 20180101;  A61K 45/06 20130101;  A61P 31/14 20180101;  C07D 498/16 20130101;  A61P 1/16 20180101;  A61K 31/4985 20130101;  C07K 5/0808 20130101</t>
  </si>
  <si>
    <t>US20150166612</t>
  </si>
  <si>
    <t>Vaccines And Methods For Using The Same</t>
  </si>
  <si>
    <t>14/552079</t>
  </si>
  <si>
    <t>Weiner; David B.; (Merion, PA); Lang-Kuhs; Krystle A.; (Bethesda, MD); Yan; Jian; (Wallingford, PA); Draghia-Akli; Ruxandra; (Brussels, BE); Khan; Amir S.; (Narberth, PA)</t>
  </si>
  <si>
    <t>A61K 39/29 20130101;  A61K 39/12 20130101;  A61P 31/14 20180101;  A61K 31/711 20130101;  A61K 2039/57 20130101;  C12N 2770/24222 20130101;  A61K 38/00 20130101;  C07K 14/005 20130101;  C12N 2770/24234 20130101;  A61K 2039/53 20130101;  C07K 2319/02 20130101</t>
  </si>
  <si>
    <t>Improved anti-HCV immunogens and nucleic acid molecules that encode them     are disclosed. Immunogens disclosed include those having consensus HCV     genotype 1a, including for example, NS4B, NS5A and NS5B. Pharmaceutical     composition, recombinant vaccines comprising and live attenuated vaccines     are disclosed as well methods of inducing an immune response in an     individual against HCV are disclosed.</t>
  </si>
  <si>
    <t>US20150166546</t>
  </si>
  <si>
    <t>14/566340</t>
  </si>
  <si>
    <t>Boojamra; Constantine G.; (San Francisco, CA); Hui; Hon Chung; (San Mateo, CA); Jansa; Petr; (San Mateo, CA); Mackman; Richard L.; (Millbrae, CA); Parrish; Jay P.; (Redwood City, CA); Sangi; Michael; (Oakland, CA); Siegel; Dustin; (Foster City, CA); Sperandio; David; (Palo Alto, CA); Yang; Hai; (San Mateo, CA)</t>
  </si>
  <si>
    <t>C07D 519/00 20130101;  A61K 31/675 20130101;  A61K 31/5377 20130101;  A61K 45/06 20130101;  A61P 11/00 20180101;  A61K 31/538 20130101;  C07D 487/04 20130101;  C07D 487/08 20130101;  A61P 31/12 20180101;  A61K 31/5025 20130101;  A61K 31/519 20130101;  C07F 9/6561 20130101</t>
  </si>
  <si>
    <t>US20150163312</t>
  </si>
  <si>
    <t>Data Integration; Tracking</t>
  </si>
  <si>
    <t>14/561564</t>
  </si>
  <si>
    <t>H04L 67/36 20130101;  H04L 67/125 20130101;  G16H 50/80 20180101;  G06F 19/3493 20130101;  H04L 67/22 20130101;  H04W 4/02 20130101</t>
  </si>
  <si>
    <t>US20150152116</t>
  </si>
  <si>
    <t>14/613719</t>
  </si>
  <si>
    <t>Mackman; Richard L.; (Milbrae, CA); Parrish; Jay P.; (Redwood City, CA); Ray; Adrian S.; (Redwood City, CA); Theodore; Dorothy Agnes; (Castro Valley, CA)</t>
  </si>
  <si>
    <t>C07F 9/6561 20130101;  A61K 9/0078 20130101;  A61P 31/12 20180101;  A61K 45/06 20130101;  C07H 19/04 20130101;  A61P 31/16 20180101;  C07H 7/06 20130101;  C07D 487/04 20130101;  A61P 43/00 20180101;  A61K 31/706 20130101;  A61P 31/14 20180101</t>
  </si>
  <si>
    <t>US20150150897</t>
  </si>
  <si>
    <t>METHODS OF TREATING HEPATITIS C VIRUS INFECTION IN SUBJECTS WITH CIRRHOSIS</t>
  </si>
  <si>
    <t>14/557156</t>
  </si>
  <si>
    <t>Denning; Jill M.; (Raleigh, NC); McHutchison; John G.; (Woodside, CA); Subramanian; G. Mani; (Los Altos Hills, CA); Symonds, III; William T.; (San Francisco, CA)</t>
  </si>
  <si>
    <t>A61K 31/4188 20130101;  A61K 31/4188 20130101;  A61K 31/4184 20130101;  A61K 31/7056 20130101;  A61K 2300/00 20130101;  A61K 2300/00 20130101;  A61K 2300/00 20130101;  A61K 2300/00 20130101;  A61K 2300/00 20130101;  A61K 31/4709 20130101;  A61K 31/7068 20130101;  A61K 45/06 20130101;  A61K 31/7056 20130101;  A61K 31/7072 20130101;  A61K 31/7068 20130101;  A61P 31/12 20180101;  A61K 31/4184 20130101;  A61P 31/14 20180101;  A61K 31/4709 20130101</t>
  </si>
  <si>
    <t>Methods of treating hepatitis C virus infection in a subject with     cirrhosis comprising administering to the subject an effective amount of     Compound 1.  ##STR00001##</t>
  </si>
  <si>
    <t>US20150150896</t>
  </si>
  <si>
    <t>14/538736</t>
  </si>
  <si>
    <t>Cleary; Darryl G.; (Chapel Hill, NC); Reynolds; Charles J.; (Greenville, NC); Berrey; Miriam Michelle; (Durham, NC); Hindes; Robert G.; (Skillman, NJ); Symonds; William T.; (San Francisco, CA); Ray; Adrian S.; (Redwood City, CA); Mo; Hongmei; (Palo Alto, CA); Hebner; Christy M.; (Belmont, CA); Oliyai; Reza; (Burlingame, CA); Zia; Vahid; (San Carlos, CA); Stefanidis; Dimitrios; (Mountain View, CA); Pakdaman; Rowchanak; (San Carlos, CA); Casteel; Melissa Jean; (Burlingame, CA)</t>
  </si>
  <si>
    <t>A61K 31/4196 20130101;  A61K 31/4196 20130101;  A61K 9/2009 20130101;  A61K 9/2013 20130101;  A61K 31/675 20130101;  A61K 31/7056 20130101;  A61K 31/513 20130101;  A61K 31/7068 20130101;  A61K 31/685 20130101;  A61K 31/664 20130101;  A61K 31/664 20130101;  A61K 2300/00 20130101;  A61K 2300/00 20130101;  A61K 2300/00 20130101;  A61K 2300/00 20130101;  A61K 31/7072 20130101;  A61K 2300/00 20130101;  A61K 31/685 20130101;  A61K 31/7068 20130101;  A61K 31/7056 20130101;  A61K 9/2054 20130101</t>
  </si>
  <si>
    <t>US20150150878</t>
  </si>
  <si>
    <t>Methods For Inhibiting Viruses By Targeting Cathepsin-L Cleavage Sites In     The Viruses' Glycoproteins</t>
  </si>
  <si>
    <t>14/390565</t>
  </si>
  <si>
    <t>Prabhakar; Bellur S.; (Oak Brook, IL); Elshabrawy; Hatem A.; (Giza, EG)</t>
  </si>
  <si>
    <t>A61K 31/18 20130101;  A61K 31/53 20130101;  A61K 31/423 20130101;  C07D 251/54 20130101;  A61K 31/17 20130101;  A61K 31/403 20130101;  A61K 31/5375 20130101;  A61K 31/433 20130101;  A61K 31/4045 20130101;  A61K 31/427 20130101;  A61K 31/4184 20130101;  A61K 31/155 20130101</t>
  </si>
  <si>
    <t>The disclosure provides methods and compositions useful for inhibiting     virus requiring membrane fusion for viral entry, specifically for     inhibiting severe acute respiratory syndrome coronavirus (SARS-CoV),     Ebola virus (EBOV), Hendra (HeV) and Nipah (NIV) viruses by targeting     Cathepsin-L (CatL) cleavages sites in the viruses' glycoproteins.</t>
  </si>
  <si>
    <t>US20150141659</t>
  </si>
  <si>
    <t>14/600911</t>
  </si>
  <si>
    <t>Mogalian; Erik; (Redwood City, CA); Scott; Robert William; (Foster City, CA); Shi; Bing; (Redwood City, CA); Wang; Fang; (Foster City, CA)</t>
  </si>
  <si>
    <t>C07B 2200/13 20130101;  A61P 1/16 20180101;  A61P 31/14 20180101;  C07D 471/08 20130101;  C07D 487/08 20130101;  C07D 403/14 20130101;  A61K 31/7056 20130101;  A61K 31/381 20130101;  A61K 31/4184 20130101;  A61P 31/12 20180101</t>
  </si>
  <si>
    <t>US20150141499</t>
  </si>
  <si>
    <t>ENGINEERED NUCLEIC ACIDS AND METHODS OF USE THEREOF</t>
  </si>
  <si>
    <t>14/608555</t>
  </si>
  <si>
    <t>Bancel; Stephane; (Cambridge, MA); Schrum; Jason P.; (Philadelphia, PA); Aristarkhov; Alexander; (Chestnut Hill, MA)</t>
  </si>
  <si>
    <t>A61K 48/0066 20130101;  C07K 14/4723 20130101;  C12N 2320/32 20130101;  A61K 48/005 20130101;  A61K 45/06 20130101</t>
  </si>
  <si>
    <t>Provided are compositions and methods for delivering biological moieties     such as modified nucleic acids into cells to kill or reduce the growth of     viruses. Such compositions and methods include the use of modified     messenger RNAs, and are useful to treat or prevent viral infection, or to     improve a subject's heath or wellbeing.</t>
  </si>
  <si>
    <t>US20150141326</t>
  </si>
  <si>
    <t>14/541057</t>
  </si>
  <si>
    <t>A61K 31/7056 20130101;  A61K 31/7056 20130101;  A61K 47/60 20170801;  A61P 1/16 20180101;  A61P 31/12 20180101;  C07F 5/025 20130101;  C07D 405/12 20130101;  A61P 43/00 20180101;  A61P 31/14 20180101;  A61K 38/06 20130101;  A61K 31/7072 20130101;  A61K 38/07 20130101;  A61K 31/4188 20130101;  A61K 31/7064 20130101;  Y10S 514/894 20130101;  A61K 2300/00 20130101;  A61K 38/21 20130101;  A61K 31/7072 20130101;  A61K 2300/00 20130101;  A61K 31/4188 20130101;  A61K 31/7064 20130101;  C07D 491/052 20130101;  A61K 45/06 20130101;  A61K 2300/00 20130101;  A61K 2300/00 20130101</t>
  </si>
  <si>
    <t>US20150133395</t>
  </si>
  <si>
    <t>14/534715</t>
  </si>
  <si>
    <t>ROSEMOUNT INC.</t>
  </si>
  <si>
    <t>ROSEMOUNT</t>
  </si>
  <si>
    <t>C07D 487/04 20130101;  A61P 31/16 20180101;  C07D 405/04 20130101;  C07F 9/6561 20130101;  C07H 7/06 20130101;  C07D 405/14 20130101</t>
  </si>
  <si>
    <t>US20150132224</t>
  </si>
  <si>
    <t>14/546074</t>
  </si>
  <si>
    <t>GARCIA-MARTINEZ; Leon F.; (Woodinville, WA); CARVALHO JENSEN; Ann Elisabeth; (Edmonds, WA); OLSON; Katie; (Kenmore, WA); DUTZAR; Benjamin H.; (Seattle, WA); OJALA; Ethan W.; (Snohomish, WA); KOVACEVICH; Brian R.; (Snohomish, WA); LATHAM; John A.; (Seattle, WA); SMITH; Jeffrey T.L.; (Bellevue, WA)</t>
  </si>
  <si>
    <t>C07K 2317/24 20130101;  C07K 2317/565 20130101;  C07K 2317/515 20130101;  C07K 2317/64 20130101;  C07K 2317/76 20130101;  C07K 16/248 20130101;  C07K 2317/51 20130101;  C07K 2317/41 20130101;  A61K 2039/505 20130101;  C07K 2317/56 20130101;  C07K 2317/34 20130101</t>
  </si>
  <si>
    <t>US20150126724</t>
  </si>
  <si>
    <t>14/530449</t>
  </si>
  <si>
    <t>De John; Marc Dominic; (Philadelphia, PA); van Westrienen; Jesse Wilson; (Philadelphia, PA)</t>
  </si>
  <si>
    <t>B01L 2300/0681 20130101;  B01L 2200/0631 20130101;  B01L 3/0217 20130101;  B01L 2400/0478 20130101;  C12N 15/1017 20130101;  B01L 3/502 20130101;  B01L 2400/049 20130101</t>
  </si>
  <si>
    <t>US20150126564</t>
  </si>
  <si>
    <t>MODULATION OF SPHINGOSINE 1-PHOSPHATE METABOLIZING ENZYMES FOR THE     TREATMENT OF NEGATIVE-STRAND RNA VIRUS INFECTIONS</t>
  </si>
  <si>
    <t>14/122399</t>
  </si>
  <si>
    <t>UNIV MISSOURI</t>
  </si>
  <si>
    <t>Hahm; Bumsuk; (Columbia, MO); Seo; Young-Jin; (Atlanta, GA); Alexander; Stephen; (Columbia, MO); Madhuvanthi; Vijayan; (Columbia, MO)</t>
  </si>
  <si>
    <t>A61P 31/12 20180101;  A61K 31/133 20130101;  C12N 15/1138 20130101;  A61K 48/005 20130101;  C12Y 401/02027 20130101;  C12N 15/1137 20130101;  C12N 15/113 20130101;  A61P 31/00 20180101;  C12N 2310/14 20130101;  C12N 2760/18411 20130101;  C12N 2760/16111 20130101;  C12N 9/88 20130101;  A61K 31/426 20130101</t>
  </si>
  <si>
    <t>The present invention relates to compounds and methods for the prevention     or treatment of infections by negative strand RNA viruses, such as     influenza virus and measles virus, wherein said compounds delay or     inhibit viral replication by modulating the level or activity of a     polypeptide involved in the synthesis or degradation of     sphingosine-1-phosphate (S1P) in a cell, tissue, or subject. The methods     involve administration of one or more compounds which modulate the level     of gene expression, where the gene encodes a polypeptide involved in     regulating the metabolic level of S1P, or modulate the level or activity     of a polypeptide involved in regulating the metabolic level of S1P, such     as sphingosine kinase (SK) and S1P lyase (SPL). Exemplary methods are     directed towards reducing the level of SW by reducing the level or     activity of one or more SKs, increasing the level or activity of one or     more SPLs, or a combination of both steps.</t>
  </si>
  <si>
    <t>US20150126509</t>
  </si>
  <si>
    <t>DERIVATIVES OF PURINE OR DEAZAPURINE USEFUL FOR THE TREATMENT OF (INTER     ALIA) VIRAL INFECTIONS</t>
  </si>
  <si>
    <t>14/595072</t>
  </si>
  <si>
    <t>Halcomb; Randall L.; (Foster City, CA); Roethle; Paul A.; (San Francisco, CA)</t>
  </si>
  <si>
    <t>A61P 1/16 20180101;  A61P 43/00 20180101;  A61P 1/04 20180101;  A61P 11/02 20180101;  A61K 31/437 20130101;  A61P 31/00 20180101;  A61K 31/5377 20130101;  C07D 471/04 20130101;  A61P 11/00 20180101;  A61K 31/522 20130101;  C07D 473/18 20130101;  C07D 473/16 20130101;  A61P 31/12 20180101;  A61P 31/18 20180101;  A61P 11/06 20180101;  A61P 31/16 20180101;  A61P 35/00 20180101;  A61P 37/08 20180101;  A61P 31/14 20180101;  C07D 473/34 20130101;  C07D 473/24 20130101</t>
  </si>
  <si>
    <t>The present application includes novel modulators of TLRs, compositions     containing such compounds, therapeutic methods that include the     administration of such compounds.</t>
  </si>
  <si>
    <t>US20150125937</t>
  </si>
  <si>
    <t>INFECTIOUS DISEASE DETECTION SYSTEM</t>
  </si>
  <si>
    <t>14/591647</t>
  </si>
  <si>
    <t>Peltz; Leora; (Pasadena, CA); Park; Shawn Hyunsoo; (Cerritos, CA)</t>
  </si>
  <si>
    <t>C12M 41/48 20130101;  C12Q 3/00 20130101;  G16H 50/80 20180101;  Y10T 436/255 20150115;  Y10T 436/114998 20150115;  Y10T 436/25 20150115;  G01N 15/0255 20130101</t>
  </si>
  <si>
    <t>A method and apparatus for managing a zone. Information is obtained about     an environment in the zone with a sensor system. A determination is made     by an analyzer system as to whether a contagious condition is present in     the zone using the information from the sensor system. An action is     performed by a management system in response to the contagious condition     being present.</t>
  </si>
  <si>
    <t>US20150120325</t>
  </si>
  <si>
    <t>METHOD AND SYSTEM FOR COLLABORATION FOR SHARING PATIENT RECORDS ON LOW     COMPUTING RESOURCES ON COMMUNICATION DEVICES</t>
  </si>
  <si>
    <t>14/390754</t>
  </si>
  <si>
    <t>AGNITY INC.</t>
  </si>
  <si>
    <t>AGNITY</t>
  </si>
  <si>
    <t>Chawla; Sanjeev; (Fremont, CA); Varshneya; Atul; (Cupertino, CA); Kumar; Amit; (Noida, IN)</t>
  </si>
  <si>
    <t>G06Q 50/24 20130101;  G06F 21/6245 20130101;  G16H 30/20 20180101;  G16H 50/80 20180101;  G06Q 50/22 20130101;  G06F 16/00 20190101;  G06F 15/16 20130101;  H04N 7/16 20130101;  G06F 19/321 20130101;  G16H 80/00 20180101;  G16H 10/60 20180101;  G06Q 10/00 20130101</t>
  </si>
  <si>
    <t>A method and system are provided for collaboration for sharing patient     records on low computing resources on communication devices. The method     includes accessing one or more patient data records via a server, where     the one or more patient data records are accessed at a first     communication device. The method further includes invoking a     communication session with one or more second communication devices,     where the communication session includes context information of the one     or more patient data records. Further, the method includes sending a     request to the server, by at least one of the one or more second     communication devices, to access the one or more patient data records,     where the request includes the context information. Finally, the method     includes receiving, at the at least one of the one or more second     communication devices, access to the patient data records, where the     access is provided during the communication session.</t>
  </si>
  <si>
    <t>US20150111891</t>
  </si>
  <si>
    <t>NAPHTHALENE ACETIC ACID DERIVATIVES AGAINST HIV INFECTION</t>
  </si>
  <si>
    <t>14/370466</t>
  </si>
  <si>
    <t>Babaoglu; Kerim; (Lansdale, PA); Brizgys; Gediminas; (Menlo Park, CA); Guo; Hongyan; (San Mateo, CA); Hrvatin; Paul; (Davis, CA); Lansdon; Eric; (San Jose, CA); Link; John O.; (San Francisco, CA); Liu; Hongtao; (Cupertino, CA); McFadden; Ryan; (Foster City, CA); Mitchell; Michael L.; (Castro Valley, CA); Qi; Yingmei; (Foster City, CA); Roethle; Paul A.; (San Francisco, CA); Vivian; Randall W.; (San Mateo, CA); Xu; Lianhong; (Palo Alto, CA); Yang; Hong; (Fremont, CA)</t>
  </si>
  <si>
    <t>A61K 31/436 20130101;  C07D 277/30 20130101;  A61K 31/506 20130101;  C07D 213/55 20130101;  A61P 31/18 20180101;  C07D 277/34 20130101;  A61K 45/06 20130101;  A61K 31/4409 20130101;  A61K 31/4402 20130101;  C07C 59/64 20130101;  C07D 231/56 20130101;  A61K 31/192 20130101;  A61K 31/426 20130101;  A61K 31/5377 20130101;  C07D 491/04 20130101;  C07D 491/06 20130101;  A61K 31/4406 20130101</t>
  </si>
  <si>
    <t>The invention provides compounds and salts thereof as d herein. The     invention also provides pharmaceutical compositions comprising a compound     disclosed herein, processes for preparing compounds disclosed herein,     intermediates useful for preparing compounds disclosed herein and     therapeutic methods for treating an HIV infection, treating the     proliferation of the HIV virus, treating AIDS or delaying the onset of     AIDS or ARC symptoms in a mammal using compounds disclosed herein.</t>
  </si>
  <si>
    <t>US20150111856</t>
  </si>
  <si>
    <t>COMPOSITIONS AND METHODS FOR COMBINATION ANTIVIRAL THERAPY</t>
  </si>
  <si>
    <t>14/523783</t>
  </si>
  <si>
    <t>A61K 9/2054 20130101;  A61P 43/00 20180101;  A61K 9/2009 20130101;  A61K 31/683 20130101;  A61K 31/513 20130101;  A61K 31/675 20130101;  A61K 9/2059 20130101;  A61P 31/00 20180101;  A61K 9/2018 20130101;  A61P 31/18 20180101;  A61K 31/7076 20130101;  A61K 31/675 20130101;  A61K 31/513 20130101;  A61K 45/06 20130101;  A61P 31/12 20180101;  A61K 9/2013 20130101;  A61K 31/7076 20130101;  A61K 2300/00 20130101;  A61K 2300/00 20130101;  A61K 2300/00 20130101</t>
  </si>
  <si>
    <t>The present invention relates to therapeutic combinations of     [2-(6-amino-purin-9-yl)-1-methyl-ethoxymethyl]-phosphonic acid     diisopropoxycarbonyloxymethyl ester (tenofovir disoproxil fumarate,     Viread.RTM.) and     (2R,5S,cis)-4-amino-5-fluoro-1-(2-hydroxymethyl-1,3-oxathiolan-5-yl)-(1H)-    -pyrimidin-2-one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</si>
  <si>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US20150111855</t>
  </si>
  <si>
    <t>14/523758</t>
  </si>
  <si>
    <t>A61K 9/2054 20130101;  A61K 9/2009 20130101;  A61P 31/00 20180101;  A61P 31/18 20180101;  A61K 31/675 20130101;  A61P 31/12 20180101;  A61K 9/2018 20130101;  A61K 31/7076 20130101;  A61K 31/513 20130101;  A61K 31/675 20130101;  A61K 31/513 20130101;  A61K 9/2013 20130101;  A61K 31/683 20130101;  A61K 9/2059 20130101;  A61K 45/06 20130101;  A61P 43/00 20180101;  A61K 31/7076 20130101;  A61K 2300/00 20130101;  A61K 2300/00 20130101;  A61K 2300/00 20130101</t>
  </si>
  <si>
    <t>US20150111839</t>
  </si>
  <si>
    <t>14/579348</t>
  </si>
  <si>
    <t>Mackman; Richard L.; (Millbrae, CA); Parrish; Jay P.; (Hawthorne, CA); Ray; Adrian S.; (Burlingame, CA); Theodore; Dorothy A.; (Castro Valley, CA)</t>
  </si>
  <si>
    <t>A61P 43/00 20180101;  C07F 9/6561 20130101;  C07H 7/06 20130101;  A61P 31/12 20180101;  A61P 31/14 20180101;  A61K 9/0078 20130101;  C07H 19/04 20130101;  C07D 487/04 20130101;  A61P 31/16 20180101;  A61K 31/706 20130101;  A61K 45/06 20130101</t>
  </si>
  <si>
    <t>US20150105350</t>
  </si>
  <si>
    <t>14/376116</t>
  </si>
  <si>
    <t>Ramanathan; Srinivasan; (San Carlos, CA)</t>
  </si>
  <si>
    <t>A61K 31/513 20130101;  A61P 31/12 20180101;  A61P 31/20 20180101;  A61K 31/47 20130101;  A61K 31/35 20130101;  A61K 31/513 20130101;  A61K 31/5377 20130101;  A61K 31/35 20130101;  A61P 31/18 20180101;  A61K 31/675 20130101;  A61K 31/5377 20130101;  A61K 31/47 20130101;  A61K 31/675 20130101;  A61K 2300/00 20130101;  A61P 43/00 20180101;  A61K 2300/00 20130101;  A61K 2300/00 20130101;  A61K 2300/00 20130101;  A61K 2300/00 20130101</t>
  </si>
  <si>
    <t>US20150100345</t>
  </si>
  <si>
    <t>14/511753</t>
  </si>
  <si>
    <t>Holmes; Elizabeth A.; (Palo Alto, CA); Gibbons; Ian; (US); Young; Daniel L.; (Palo Alto, CA); Michelson; Seth G.; (Palo Alto, CA)</t>
  </si>
  <si>
    <t>US20150100330</t>
  </si>
  <si>
    <t>METHOD AND SYSTEM OF IDENTIFYING INFECTIOUS AND HAZARDOUS SITES, DETECTING     DISEASE OUTBREAKS, AND DIAGNOSING A MEDICAL CONDITION ASSOCIATED WITH AN     INFECTIOUS DISEASE</t>
  </si>
  <si>
    <t>14/048066</t>
  </si>
  <si>
    <t>SHPITS ASSAF</t>
  </si>
  <si>
    <t>Shpits; Assaf; (Zoran, IL)</t>
  </si>
  <si>
    <t>G16H 50/80 20180101;  G06F 19/3493 20130101</t>
  </si>
  <si>
    <t>A method and system for detecting and identifying infectious sites by:     receiving location data from a mobile device associated with a user,     receiving health data for the user, determining an illness being suffered     by a user, if the illness is an infectious disease, calculating an     incubation period for the disease in the user, backtracking through the     user's location data to determine a location where the user was during     the incubation period, identifying each such location as an infectious     site, notifying affected users who have been to the infectious site, and     requesting real-time feedback from affected users in order to confirm,     reject, or refine the identification of the infectious site</t>
  </si>
  <si>
    <t>US20150098966</t>
  </si>
  <si>
    <t>Influenza vaccines</t>
  </si>
  <si>
    <t>14/401054</t>
  </si>
  <si>
    <t>A61K 39/12 20130101;  A61K 2039/5252 20130101;  A61K 2039/58 20130101;  A61K 2039/70 20130101;  C12N 2760/16134 20130101;  C12N 2760/16161 20130101;  C12N 2760/16151 20130101;  A61K 39/145 20130101;  A61K 2039/525 20130101;  C12N 7/00 20130101;  C12N 2760/16234 20130101</t>
  </si>
  <si>
    <t>US20150080569</t>
  </si>
  <si>
    <t>14/312612</t>
  </si>
  <si>
    <t>Cho; Aesop; (Mountain View, CA); Clarke; Michael O'Neil Hanrahan; (Redwood City, CA); Kim; Choung U.; (San Carlos, CA); Link; John O.; (San Francisco, CA); Pyun; Hyung-Jung; (Fremont, CA); Sheng; Xiaoning C.; (Guangzhou, CN); Wu; Qiaoyin; (Foster City, CA)</t>
  </si>
  <si>
    <t>C07D 487/04 20130101;  A61P 31/14 20180101;  A61P 31/16 20180101;  C07D 207/16 20130101;  C07K 5/0804 20130101;  C07K 5/0821 20130101;  A61P 31/12 20180101;  C07D 401/14 20130101;  C07D 403/14 20130101;  C07D 417/14 20130101;  A61P 1/16 20180101;  C07D 401/12 20130101;  C07K 5/0808 20130101;  C07K 5/0819 20130101;  C07D 413/14 20130101;  C07D 403/12 20130101</t>
  </si>
  <si>
    <t>US20150072889</t>
  </si>
  <si>
    <t>14/479241</t>
  </si>
  <si>
    <t>Lui; Clarissa; (Palo Alto, CA); Holmes; Elizabeth A.; (Palo Alto, CA)</t>
  </si>
  <si>
    <t>G01N 2333/11 20130101;  C12Q 1/701 20130101;  C12Q 1/706 20130101;  G01N 33/56911 20130101;  G01N 35/10 20130101;  C12Q 1/70 20130101;  C12Q 1/707 20130101;  G01N 2469/10 20130101;  G16H 50/20 20180101;  C12Q 1/6844 20130101;  G01N 33/56944 20130101;  Y02A 50/58 20180101;  Y10T 436/11 20150115;  C12Q 1/705 20130101;  Y02A 90/26 20180101;  C12Q 2521/501 20130101;  G01N 33/56938 20130101;  G01N 33/56983 20130101;  G01N 2035/00237 20130101;  C12Q 2600/158 20130101;  G01N 33/56988 20130101;  C12Q 1/6806 20130101;  C12Q 2600/16 20130101;  G01N 33/56916 20130101;  G16H 20/10 20180101;  C12Q 1/703 20130101;  G16H 10/40 20180101;  Y02A 90/24 20180101;  G01N 2469/20 20130101;  C12Q 1/6893 20130101;  C12Q 1/689 20130101;  G01N 33/56994 20130101;  C12Q 1/68 20130101;  C12Q 1/6895 20130101</t>
  </si>
  <si>
    <t>US20150072338</t>
  </si>
  <si>
    <t>14/479245</t>
  </si>
  <si>
    <t>Holmes; Elizabeth A.; (Palo Alto, CA)</t>
  </si>
  <si>
    <t>G01N 2035/00237 20130101;  C12Q 1/705 20130101;  G01N 33/56944 20130101;  G01N 33/56938 20130101;  G01N 33/56988 20130101;  C12Q 2600/158 20130101;  G01N 35/10 20130101;  G16H 50/20 20180101;  G16H 10/40 20180101;  C12Q 1/6806 20130101;  G01N 2333/11 20130101;  C12Q 1/706 20130101;  G01N 33/56911 20130101;  Y02A 90/26 20180101;  Y10T 436/11 20150115;  C12Q 1/701 20130101;  Y02A 50/58 20180101;  C12Q 1/6895 20130101;  G01N 33/56983 20130101;  Y02A 90/24 20180101;  C12Q 1/707 20130101;  C12Q 2600/16 20130101;  G01N 2469/10 20130101;  C12Q 1/6893 20130101;  G16H 20/10 20180101;  G01N 33/56916 20130101;  C12Q 2521/501 20130101;  C12Q 1/70 20130101;  C12Q 1/68 20130101;  C12Q 1/6844 20130101;  G01N 2469/20 20130101;  C12Q 1/689 20130101;  C12Q 1/703 20130101;  G01N 33/56994 20130101</t>
  </si>
  <si>
    <t>US20150064725</t>
  </si>
  <si>
    <t>14/535484</t>
  </si>
  <si>
    <t>Schrum; Jason P.; (Philadelphia, PA); Sieczkiewicz; Gregory J.; (Cambridge, MA); Ejebe; Kenechi; (New York, NY); Elbashir; Sayda M.; (Cambridge, MA)</t>
  </si>
  <si>
    <t>C07K 2317/24 20130101;  C07H 19/10 20130101;  C12N 15/102 20130101;  C07H 21/02 20130101;  C12N 15/67 20130101;  C12N 2310/3341 20130101;  C12N 2310/335 20130101;  A61K 48/0066 20130101;  C12N 15/1138 20130101;  C07K 16/2887 20130101;  C12N 5/0602 20130101;  G01N 33/559 20130101;  C12P 21/00 20130101;  C12N 15/1136 20130101;  C12N 15/11 20130101;  C07K 16/00 20130101</t>
  </si>
  <si>
    <t>Provided are compositions and methods for delivering biological moieties     such as modified nucleic acids into cells to modulate protein expression.     Such compositions and methods include the use of modified messenger RNAs,     and are useful for production of proteins.</t>
  </si>
  <si>
    <t>US20150064253</t>
  </si>
  <si>
    <t>14/168340</t>
  </si>
  <si>
    <t>Gorman; Eric; (San Francisco, CA); Mogalian; Erik; (San Francisco, CA); Oliyai; Reza; (Burlingame, CA); Stefanidis; Dimitrios; (Mountain View, CA); Wiser; Lauren; (San Francisco, CA); Zia; Vahid; (San Carlos, CA)</t>
  </si>
  <si>
    <t>A61P 43/00 20180101;  A61K 9/2054 20130101;  A61K 31/7056 20130101;  A61P 31/14 20180101;  A61K 31/4188 20130101;  A61K 9/284 20130101;  A61K 31/7072 20130101;  A61K 9/1623 20130101;  A61P 1/16 20180101;  A61K 9/1635 20130101;  A61P 31/12 20180101;  A61K 31/4188 20130101;  A61K 2300/00 20130101;  A61K 31/7072 20130101;  A61K 2300/00 20130101</t>
  </si>
  <si>
    <t>US20150064252</t>
  </si>
  <si>
    <t>SOLID DISPERSION FORMULATION OF AN ANTIVIRAL COMPOUND</t>
  </si>
  <si>
    <t>14/168313</t>
  </si>
  <si>
    <t>Gorman; Eric; (San Francisco, CA); Mogalian; Erik; (San Francisco, CA); Oliyai; Reza; (Burlingame, CA); Stefanidis; Dimitrios; (Mountain View, CA); Zia; Vahid; (San Carlos, CA)</t>
  </si>
  <si>
    <t>A61P 31/14 20180101;  A61K 9/1623 20130101;  A61K 31/4188 20130101;  A61K 9/2054 20130101;  A61K 9/1635 20130101</t>
  </si>
  <si>
    <t>Disclosed are solid dispersions comprising a compound having the formula:  ##STR00001## wherein the compound is dispersed within a polymer matrix formed by a     pharmaceutically acceptable polymer, and further wherein the compound is     substantially amorphous. Also disclosed are pharmaceutical compositions     comprising the compound and methods of use for the compound.</t>
  </si>
  <si>
    <t>US20150056253</t>
  </si>
  <si>
    <t>14/533264</t>
  </si>
  <si>
    <t>A61K 38/465 20130101;  C12Y 301/27 20130101;  A61K 48/0075 20130101;  A61K 45/06 20130101;  A61K 38/1729 20130101;  C07K 14/4723 20130101</t>
  </si>
  <si>
    <t>Provided are compositions and methods for delivering biological moieties     such as modified nucleic acids into cells to kill or reduce the growth of     microorganisms. Such compositions and methods include the use of modified     messenger RNAs, and are useful to treat or prevent microbial infection,     or to improve a subject's heath or wellbeing.</t>
  </si>
  <si>
    <t>US20150051287</t>
  </si>
  <si>
    <t>14/520150</t>
  </si>
  <si>
    <t>Bannister; Robin Mark; (Essex, UK); Brew; John; (Hertfordshire, UK); Caparros-Wanderley; Wilson; (Buckinghamshire, UK); Stoloff; Gregory Alan; (London, UK); Dilly; Suzanne Jane; (Oxfordshire, UK); Szucs; Gemma; (Oxfordshire, UK); Pleguezuelos Mateo; Olga; (Bicester, UK)</t>
  </si>
  <si>
    <t>US20150051281</t>
  </si>
  <si>
    <t>14/520141</t>
  </si>
  <si>
    <t>US20150050308</t>
  </si>
  <si>
    <t>CORONAVIRUS, NUCLEIC ACID, PROTEIN, AND METHODS FOR THE GENERATION OF     VACCINE, MEDICAMENTS AND DIAGNOSTICS</t>
  </si>
  <si>
    <t>14/458984</t>
  </si>
  <si>
    <t>AMSTERDAM INST OF VIRAL GENOMICS B V</t>
  </si>
  <si>
    <t>AMSTERDAM INST VIRAL GENOMICS V</t>
  </si>
  <si>
    <t>van der Hoek; Cornelia Maria; (Diemen, NL)</t>
  </si>
  <si>
    <t>C12Q 1/701 20130101;  A61K 39/00 20130101;  C07K 14/005 20130101;  C12Q 1/70 20130101;  G01N 2333/165 20130101;  C12Q 1/702 20130101;  C12N 2770/20034 20130101;  C12Q 1/702 20130101;  G01N 33/56983 20130101;  C12N 2770/20021 20130101;  C07K 16/10 20130101;  C12N 2770/20011 20130101;  A61K 2039/525 20130101;  C12N 7/00 20130101;  A61P 31/00 20180101;  C12N 2770/20022 20130101;  A61P 31/14 20180101;  A61K 38/00 20130101;  C12Q 2531/113 20130101;  A61K 39/12 20130101;  A61K 39/215 20130101</t>
  </si>
  <si>
    <t>A new coronavirus is disclosed herein with a tropism that includes     humans. Means and methods are provided for diagnosing subjects     (previously) infected with the virus. Also provided are among others     vaccines, medicaments, nucleic acids and specific binding members.</t>
  </si>
  <si>
    <t>US20150045374</t>
  </si>
  <si>
    <t>2- (TERT - BUTOXY) -2- (7 -METHYLQUINOLIN- 6 - YL) ACETIC ACID DERIVATIVES     FOR TREATING AIDS</t>
  </si>
  <si>
    <t>14/370464</t>
  </si>
  <si>
    <t>Babaoglu; Kerim; (Lansdale, PA); Bjornson; Kyla L.; (San Lorenzo, CA); Hrvatin; Paul; (Davis, CA); Lansdon; Eric; (San Jose, CA); Link; John O.; (San Francisco, CA); Liu; Hongtao; (Cupertino, CA); McFadden; Ryan; (Foster City, CA); Mitchell; Michael L.; (Castro Valley, CA); Qi; Yingmei; (Foster City, CA); Roethle; Paul A.; (San Francisco, CA); Xu; Lianhong; (Palo Alto, CA)</t>
  </si>
  <si>
    <t>A61K 45/06 20130101;  A61P 31/18 20180101;  C07D 491/06 20130101;  A61K 31/4741 20130101;  A61K 31/4704 20130101;  A61K 31/506 20130101;  A61K 31/4745 20130101;  C07D 215/227 20130101;  C07D 519/00 20130101;  A61K 31/497 20130101</t>
  </si>
  <si>
    <t>US20150030651</t>
  </si>
  <si>
    <t>Green Biocidal Application Method For The Perfect Silver Bullet     Exterminators</t>
  </si>
  <si>
    <t>14/499492</t>
  </si>
  <si>
    <t>MINTURN PAUL ASH</t>
  </si>
  <si>
    <t>Minturn; Paul Ash; (La Jolla, CA)</t>
  </si>
  <si>
    <t>B82Y 5/00 20130101;  A01N 59/16 20130101;  A01N 59/16 20130101;  A01N 25/00 20130101;  A01N 25/04 20130101;  A01N 25/34 20130101</t>
  </si>
  <si>
    <t>The present invention teaches a technology that helps a person with     ordinary skills in the art to find, evaluate and produce the perfect     silver bullet for safely exterminating unwanted and pathogenic and deadly     organisms while contributing positively to a sustainable future ecosystem     for all living things and Mother Earth. This advanced, innovative and     unique state-of-the-art method enables anyone (including persons with     ordinary skills in the art) attempting to discover, identify, select and     produce desirable biocidal bioavailable pure silver particles and ions     that are indefinitely clear, non-toxic, safe, ultra-small (size=0.04-0.99     mnm mini-nanometers) antimicrobial solutions for pure liquid or atomized     (air borne gaseous silver particles produced by a spritzer, atomizer or     fogger) implementation that are customized for completely annihilating     specific targeted unwanted, pathogenic, deadly and/or disease causing     organisms. These perfect silver bullets may be used as "exterminator solutions" and     other appropriate special applications to forestall, prevent and inhibit     undesirable chemical/biological changes, microbial/bacterial actions,     plus retard decomposition or other negative biological or environmental     changes (such uses could include: disinfection, sterilization,     preservation, mold eradication and fungus extermination agents). These     custom formulated substances and solutions can:   (a) completely and     safely annihilate many unwanted and/or pathogenic organisms that are     contributing to dangerous and deadly pandemic conditions throughout the     world. The targeted unwanted and/or pathogenic organisms include the     following: Gram Negative and Gram Positive Pathogenic Bacteria, Gram     Indeterminant Bacteria, Viruses, Killer Molds and Dangerous Fungi; (b)     continually prevent or inhibit unwanted microbial and pathogenic growths;     (c) save and/or keep things from decaying, decomposition, deterioration,     spoiling, putrefication or fermentation; (d) safely resist or retard     natural destructive processes; and, (e) be used as embalming medical     devices to significantly retard the carious destructive processes of     nature with custom anti-microbial properties. These formulations are comprised of ultra-fine extremely minute     mini-nano-sized (nearly atom-sized low-voltage produced silver particles     from 0.04 to 0.99 mnm mini-nanometers in diameter) that are clear     color-less colloidal silver particles and ions in ultra-pure distilled     water resulting in stable suspended preparations. The formulations can be     used as medical devices suitable for replacing dangerous and toxic     biocidal and antimicrobial chemicals, compounds and solutions, embalming     agents, disinfectants and preservatives. There are Nine (9) Key     Restrictive Component Embodiments that are integral, inter-dependent,     inter-related and inseparable embodiments of this method and invention.     The First Restrictive Component Embodiment is the primary restrictive     embodiment requirement for producing "ideal" tiny pure single individual     bioavailable silver mini-nanoparticles by a low-voltage (&amp;gt;26 volts DC     current only) colloidal silver generator. The Second Embodiment     stipulates that the silver mini-nanoparticles must be suspended in a     solution of super-distilled (less than 2 ppm) aqueous pure water medium.     The Third Embodiment is the smallness of the silver particles and ions     sizes. It is considered the most important of all of the nine     embodiments. The smallness of size that yields the best results usually     ranges from 0.04 mnm to 0.99 mnm (mini-nanometers). The Fourth Embodiment     (which is second in importance) is the total ideal number of bioavailable     single individual mini-silver particle and ion parts per million     (bsimsppipm) of individual single unattached (not bonded, combined or     related to any other element) bioavailable pure mini-nanosized silver     particles. The Fifth Embodiment is a vital component of this invention.     It constitutes of maintaining a consistently high biocidal ideal kill     ratio that results in a lethal cold high-level annihilation agent that     kills greater than ninety percent (&amp;gt;90%). The Sixth Embodiment is an     ideal death curve of the specific targeted organisms (immediately on     contact, or in &amp;lt;5 minutes to 24 hrs). The Seventh Embodiment comprises     the absolutely crystal clarity (clear, non-colored particles) of the     solutions, and also includes conducting field studies. The Eighth     Embodiment is the capability of the biocidal solutions for selective     genocide, (i.e., the silver particles only eliminate, annihilate or kill     targeted unwanted and/or pathogenic organisms), and are harmless to     friendly probiotics. The Ninth Embodiment means that the biocidal     applicational use of the silver particle solutions does not produce any     toxic waste, and contributes positively to a sustainable future. All Nine     when implemented together are important key aspects and components of the     advanced technologies behind this invention in order to obtain the     desired Ideal Kill Ratios and Ideal Death Curve results needed as well as     to get the important Selective Genocide Outcomes.</t>
  </si>
  <si>
    <t>US20150025039</t>
  </si>
  <si>
    <t>ANTIVIRAL PHOSPHONATE ANALOGS</t>
  </si>
  <si>
    <t>14/309790</t>
  </si>
  <si>
    <t>BOOJAMRA; Constantine G.; (San Francisco, CA); CANNIZZARO; Carina E.; (Foster City, CA); CHEN; James M.; (San Ramon, CA); CHEN; Xiaowu; (Hillsborough, CA); CHO; Aesop; (Mountain View, CA); CHONG; Lee S.; (Newark, CA); FARDIS; Maria; (San Carlos, CA); JIN; Haolun; (Foster City, CA); HIRSCHMANN; Ralph; (Lansdale, PA); HUANG; Alan X.; (San Mateo, CA); KIM; Choung U.; (San Carlos, CA); KIRSCHBERG; Thorsten A.; (Redwood City, CA); LEE; Christopher P.; (San Francisco, CA); LEE; William A.; (Los Altos, CA); MACKMAN; Richard L.; (Millbrae, CA); MARKEVITCH; David Y.; (San Jose, CA); OARE; David A.; (Belmont, CA); PRASAD; Vidya K.; (Munich, DE); PYUN; Hyung-Jung; (Fremont, CA); RAY; Adrian S.; (Redwood City, CA); O'SHEA; Rosemarie; (San Carlos, CA); SWAMINATHAN; Sundaramoorthi; (Burlingame, CA); WATKINS; William J.; (Saratoga, CA); ZHANG; Jennifer R.; (Union City, CA)</t>
  </si>
  <si>
    <t>A61P 31/18 20180101;  A61P 43/00 20180101;  C07D 409/06 20130101;  C07F 9/65515 20130101;  C07F 9/653 20130101;  C07H 19/056 20130101;  C07F 9/58 20130101;  A61K 31/7072 20130101;  Y02A 50/465 20180101;  C07H 19/20 20130101;  C07F 9/655354 20130101;  A61K 31/662 20130101;  C07D 409/14 20130101;  C07D 211/58 20130101;  A61K 47/548 20170801;  C07D 205/04 20130101;  C07F 9/6539 20130101;  C07F 9/5728 20130101;  A61P 31/12 20180101;  C07F 9/60 20130101;  C07F 9/650905 20130101;  A61P 31/14 20180101;  C07F 9/4075 20130101;  C07F 9/65031 20130101;  C07H 19/10 20130101;  C07F 9/65616 20130101;  C07H 17/00 20130101;  C07H 15/00 20130101;  A61K 31/7076 20130101;  C07H 21/00 20130101;  Y02A 50/393 20180101;  C07D 475/00 20130101;  C07D 413/14 20130101;  C07F 9/6561 20130101</t>
  </si>
  <si>
    <t>The invention is related to phosphorus substituted compounds with     antiviral activity, compositions containing such compounds, and     therapeutic methods that include the administration of such compounds, as     well as to processes and intermediates useful for preparing such     compounds.</t>
  </si>
  <si>
    <t>US20150018300</t>
  </si>
  <si>
    <t>COMPOUNDS</t>
  </si>
  <si>
    <t>14/332255</t>
  </si>
  <si>
    <t>Du; Jinfa; (New Hope, PA); Sofia; Michael Joseph; (Doylestown, PA)</t>
  </si>
  <si>
    <t>A61K 31/7064 20130101;  A61P 31/22 20180101;  A61K 45/06 20130101;  A61P 31/12 20180101;  A61K 31/708 20130101;  C07H 19/06 20130101;  A61P 31/14 20180101;  C07H 23/00 20130101;  Y02A 50/385 20180101;  C07H 19/20 20130101;  C07H 19/10 20130101;  A61K 31/7076 20130101;  A61P 31/00 20180101;  Y02A 50/463 20180101;  C07H 19/207 20130101;  C07H 19/16 20130101;  A61K 31/706 20130101;  A61K 31/7052 20130101</t>
  </si>
  <si>
    <t>Disclosed herein are 2'-spiro-nucleosides and derivatives thereof useful     for treating a subject infected by hepatitis C virus or dengue virus.</t>
  </si>
  <si>
    <t>US20150018226</t>
  </si>
  <si>
    <t>Microfluidic Cell Trap and Assay Apparatus for High-Throughput Analysis</t>
  </si>
  <si>
    <t>14/122653</t>
  </si>
  <si>
    <t>Hansen; Carl Lars Genoble; (Vancouver, CA); Vaninsberghe; Michael; (Vancouver, CA); White; Adam; (Toronto, CA); Petriv; Oleh; (Vancouver, CA); Leaver; Tim; (Vancouver, CA); Singhal; Anupam; (Mississauga, CA); Bowden; William; (Vancouver, CA); Lecault; Veronique; (Vancouver, CA); Da Costa; Dan; (Vancouver, CA); Wu; Leo; (Surrey, CA); Russell; Georgia; (Vancouver, CA); Sikorski; Darek; (Vancouver, CA)</t>
  </si>
  <si>
    <t>G01N 33/569 20130101;  B01L 3/502753 20130101;  C12M 23/16 20130101;  G01N 33/5005 20130101;  B01L 2200/0668 20130101;  G01N 33/54366 20130101;  B01L 3/502761 20130101;  G01N 1/34 20130101;  C12Q 1/6844 20130101;  B01L 2300/0816 20130101;  B01L 2400/086 20130101;  C12Q 1/6806 20130101;  B01L 7/52 20130101</t>
  </si>
  <si>
    <t>Microfluidic devices are provided for trapping, isolating, and processing     single cells. The microfluidic devices include a cell capture chamber     having a cell funnel positioned within the cell capture chamber to direct     a cell passing through the cell capture chamber towards one or more a     cell traps positioned downstream of the funnel to receive a cell flowing.     The devices may further include auxiliary chambers integrated with the     cell capture chamber for subsequent processing and assaying of the     contents of a captured cell. Methods for cell capture and preparation are     also provided that include flowing cells through a chamber, funneling the     cells towards a cell trap, capturing a predefined number of the cells     within the trap, interrupting the flow of cells, flowing a wash solution     through the chamber to remove contaminants from the chamber, and sealing     the predefined number of cells in the chamber.</t>
  </si>
  <si>
    <t>US20150017197</t>
  </si>
  <si>
    <t>HCV VACCINES AND METHODS FOR USING THE SAME</t>
  </si>
  <si>
    <t>14/480056</t>
  </si>
  <si>
    <t>Weiner; David B.; (Merion, PA); Lang; Krystle A.; (Philadelphia, PA); Yan; Jian; (Havertown, PA); Draghia-Akli; Ruxandra; (Brussels, BE); Khan; Amir; (The Woodlands, TX)</t>
  </si>
  <si>
    <t>A61K 39/12 20130101;  A61P 31/14 20180101;  A61K 2039/55 20130101;  C07K 14/005 20130101;  A61K 2039/53 20130101;  C12N 2770/24222 20130101;  C12N 2710/24143 20130101;  A61K 2039/5256 20130101;  A61P 37/04 20180101;  C12N 2770/24234 20130101;  A61K 39/00 20130101;  A61K 2039/5254 20130101;  C12N 9/506 20130101;  A61K 39/29 20130101;  C12N 15/86 20130101;  C12N 7/00 20130101</t>
  </si>
  <si>
    <t>Improved anti-HCV immunogens and nucleic acid molecules that encode them     are disclosed. Immunogens disclosed include those having consensus HCV     genotype 1a/1b NS3 and NS4A. Pharmaceutical composition, recombinant     vaccines comprising and live attenuated vaccines are disclosed as well     methods of inducing an immune response in an individual against HCV are     disclosed.</t>
  </si>
  <si>
    <t>US20150017191</t>
  </si>
  <si>
    <t>ADJUVANT FORMULATIONS COMPRISING TLR4 AGONISTS AND METHODS OF USING THE     SAME</t>
  </si>
  <si>
    <t>14/377488</t>
  </si>
  <si>
    <t>ACCESS TO ADVANCED HEALTH INSTITUTE</t>
  </si>
  <si>
    <t>ACCESS ADVANCED HEALTH INSTITUTE</t>
  </si>
  <si>
    <t>Fox; Christopher; (Sumner, WA); Reed; Steven G.; (Bellevue, WA); Baldwin; Susan; (Seattle, WA); Vedvick; Thomas; (Federal Way, WA)</t>
  </si>
  <si>
    <t>A61K 47/06 20130101;  A61K 47/26 20130101;  A61K 47/24 20130101;  C12N 2760/16134 20130101;  A61K 39/39 20130101;  A61K 9/107 20130101;  A61K 39/015 20130101;  C12N 2760/16234 20130101;  A61K 2039/55566 20130101;  A61K 39/12 20130101;  A61K 2039/55572 20130101;  A61K 39/00 20130101;  A61K 9/113 20130101</t>
  </si>
  <si>
    <t>Formulations and methods, including vaccines and pharmaceutical     compositions for inducing or enhancing an immune response are disclosed.     The formulations generally comprise a TLR4 agonist and a metabolizable     oil at a concentration of about 0.01%-1% v/v, wherein the     hydrophobic:lipophilic balance (HLB) of the emulsion is greater than     about 9.</t>
  </si>
  <si>
    <t>US20150012292</t>
  </si>
  <si>
    <t>Warning System For Infectious Diseases And Method Therefor</t>
  </si>
  <si>
    <t>14/378376</t>
  </si>
  <si>
    <t>BLUE DOT, INC.</t>
  </si>
  <si>
    <t>BLUE DOT</t>
  </si>
  <si>
    <t>Khan; Kamran; (Toronto, CA)</t>
  </si>
  <si>
    <t>G06F 17/30994 20130101;  G06Q 10/04 20130101;  G06Q 50/22 20130101;  G06F 19/3431 20130101;  Y02A 90/24 20180101;  G16H 50/30 20180101;  G16H 50/80 20180101;  Y02A 90/26 20180101;  Y02A 90/22 20180101;  G06F 17/30321 20130101</t>
  </si>
  <si>
    <t>A computer implemented method for predicting the local area impact of the     spread of global infectious diseases including the steps of providing on     a computer readable medium a global pathogen risk factors database having     data stored therein related to local area vulnerability of a group of     human pathogens across a plurality of areas, providing on a computer     readable medium a global pathogen activity database having data stored     therein related to the activity of the group of human pathogens in said     plurality of geographies, providing on a computer readable medium a     global transport database having data stored therein related to travel     patterns in and/or between the plurality of areas, processing by a     computer system data on each of the global pathogen risk factors     database, the global pathogen activity database and the global transport     database to generate a pathogen vulnerability index, a pathogen activity     index and a transportability index, and processing by the computer system     each of the pathogen vulnerability index, the pathogen activity index and     the transportability index to generate a risk indicator indicative of the     local area impact of individual global infectious diseases.</t>
  </si>
  <si>
    <t>US20140377295</t>
  </si>
  <si>
    <t>INFLUENZA VACCINES CONTAINING MODIFIED ADENOVIRUS VECTORS</t>
  </si>
  <si>
    <t>14/119150</t>
  </si>
  <si>
    <t>THE WISTAR INSTITUTE OF ANATOMY AND BIOLOGY</t>
  </si>
  <si>
    <t>THE WISTAR INSTITUTE ANATOMY AND BIOLOGY</t>
  </si>
  <si>
    <t>Ertl; Hildegund C.; (Philadelphia, PA); Zhou; Dongming; (Philadelphia, PA)</t>
  </si>
  <si>
    <t>A61K 39/12 20130101;  A61K 2039/5256 20130101;  C12N 2710/10343 20130101;  C12N 2760/16134 20130101;  A61K 39/145 20130101;  C12N 2799/022 20130101;  C07K 16/1018 20130101;  A61K 2039/55 20130101;  C12N 2710/10041 20130101;  C12N 7/00 20130101;  C07K 2319/40 20130101;  C07K 14/005 20130101;  A61K 2039/575 20130101;  A61K 39/00 20130101;  C12N 2760/16141 20130101</t>
  </si>
  <si>
    <t>This disclosure provides universal influenza vaccines which can provide     extended protection for several years, provide improved protection to     circulating influenza strains that were not predicted accurately for     annual vaccine manufacturing, and provide protection against newly     emerging strains of influenza virus which carry the potential for     establishing global pandemics.</t>
  </si>
  <si>
    <t>US20140370041</t>
  </si>
  <si>
    <t>COMPOSITIONS AND METHODS FOR TREATING INFLUENZA</t>
  </si>
  <si>
    <t>14/161842</t>
  </si>
  <si>
    <t>Diaz-Mitoma; Francisco; (Ottawa, CA); Ogrel; Andrei; (Russell, CA); Torres; Jose V.; (Davis, CA); Anderson; David E.; (Boston, MA)</t>
  </si>
  <si>
    <t>A61K 2039/55561 20130101;  A61K 38/162 20130101;  A61K 39/00 20130101;  A61K 2039/55572 20130101;  C12N 2760/16122 20130101;  A61K 2039/6018 20130101;  C07K 7/08 20130101;  A61K 2039/55511 20130101;  C12N 2760/16171 20130101;  A61K 2039/542 20130101;  A61K 39/145 20130101;  A61K 2039/55505 20130101;  C12N 7/00 20130101;  A61K 2039/55555 20130101;  C12N 2760/16222 20130101;  C12N 2760/16134 20130101;  C12N 2760/16234 20130101;  A61K 39/12 20130101;  C07K 14/00 20130101;  A61K 39/39 20130101;  C07K 14/005 20130101;  C12N 2760/16271 20130101</t>
  </si>
  <si>
    <t>The present application provides compositions and methods useful for     treating influenza. As described herein, the compositions and methods are     based on the development of peptides and peptide combinations which     exhibit immunogenic properties against influenza. In some embodiments,     the peptide combinations induce a protective response against multiple     strains of influenza, e.g., seasonal strains of influenza or even the new     pandemic influenza A (H1N1) virus of swine origin.</t>
  </si>
  <si>
    <t>US20140363474</t>
  </si>
  <si>
    <t>ADJUVANTED INFLUENZA VIRUS COMPOSITIONS</t>
  </si>
  <si>
    <t>14/465055</t>
  </si>
  <si>
    <t>C12N 7/00 20130101;  A61K 2039/55511 20130101;  A61K 2039/57 20130101;  C12N 2760/16134 20130101;  A61K 39/12 20130101;  A61K 2039/55566 20130101;  A61K 2039/55 20130101;  A61K 2039/70 20130101;  C12N 2760/16234 20130101;  A61K 39/145 20130101;  C12N 2760/16034 20130101;  A61K 2039/55572 20130101;  A61K 39/39 20130101</t>
  </si>
  <si>
    <t>The present invention relates to influenza vaccine formulations and     vaccination regimes for immunising against influenza disease, their use     in medicine, in particular their use in augmenting immune responses to     various antigens, and to methods of preparation. In particular, the     invention relates to multivalent influenza immunogenic compositions     comprising an influenza antigen or antigenic preparation thereof from at     least two influenza virus strains, at least one strain being associated     with a pandemic outbreak or having the potential to be associated with a     pandemic outbreak, in combination with an oil-in-water emulsion adjuvant.</t>
  </si>
  <si>
    <t>US20140363468</t>
  </si>
  <si>
    <t>COMBINED INFLUENZA VACCINES FOR SEASONAL AND PANDEMIC PROTECTION</t>
  </si>
  <si>
    <t>14/461852</t>
  </si>
  <si>
    <t>BANZHOFF; Angelika; (Marburg, DE); CLEMENS; Ralf Leo; (Rio de janeiro, BR)</t>
  </si>
  <si>
    <t>A61K 39/145 20130101;  A61K 2039/55566 20130101;  C12N 2760/16134 20130101;  C12N 2760/16234 20130101;  A61K 2039/70 20130101;  A61K 39/12 20130101;  C12N 7/00 20130101</t>
  </si>
  <si>
    <t>Current approaches to influenza vaccination focus either on seasonal     strains or pandemic strains. Current seasonal vaccines typically include     antigens from two influenza A strains (H1N1 and H3N2) and one influenza B     strain. Current pandemic vaccines focus on H5N1 influenza A virus     strains. It is an object of the invention to provide further and improved     ways of preparing vaccines that can raise immunity against both seasonal     and pandemic strains.</t>
  </si>
  <si>
    <t>US20140357595</t>
  </si>
  <si>
    <t>METHODS OF PREVENTING AND TREATING RECURRENCE OF A HEPATITIS C VIRUS     INFECTION IN A SUBJECT AFTER THE SUBJECT HAS RECEIVED A LIVER TRANSPLANT</t>
  </si>
  <si>
    <t>14/293876</t>
  </si>
  <si>
    <t>Denning; Jill M.; (Raleigh, NC); McHutchison; John George; (Woodside, CA); Subramanian; G. Mani; (Los Altos Hills, CA); Symonds, III; William Thomas; (San Francisco, CA)</t>
  </si>
  <si>
    <t>A61K 31/4188 20130101;  A61K 31/4184 20130101;  A61K 31/7072 20130101;  A61K 31/7072 20130101;  A61P 31/14 20180101;  A61K 45/06 20130101;  A61K 31/7056 20130101;  A61K 31/7056 20130101;  A61K 31/4184 20130101;  A61K 31/4188 20130101;  A61K 2300/00 20130101;  A61K 2300/00 20130101;  A61K 2300/00 20130101;  A61K 2300/00 20130101</t>
  </si>
  <si>
    <t>This application describes methods of preventing, treating or reducing     the risk of recurrence of a hepatitis C virus infection in a subject     after the subject has received a liver transplant. Disclosed herein are     methods of preventing or reducing the risk of recurrence of a hepatitis C     virus infection in a subject after the subject has received a liver     transplant, the methods comprising administering to the subject an     effective amount of Compound 1.  ##STR00001## Also disclosed are methods of reducing HCV RNA levels to about 25 IU/mL     or lower in a subject having received a liver transplant comprising     administering to the subject an effective amount of Compound 1.</t>
  </si>
  <si>
    <t>US20140350095</t>
  </si>
  <si>
    <t>14/372820</t>
  </si>
  <si>
    <t>A61K 31/351 20130101;  A61P 31/12 20180101;  A61P 31/16 20180101;  C07D 309/14 20130101</t>
  </si>
  <si>
    <t>Equatorial 2,3-fluorinated glycosides compounds of formula (I) useful for     the treatment or prophylaxis of viral infection, particularly viral     influenza, the methods for their preparation, and their pharmaceutical     compositions. The therapeutic effect is achieved via inhibition of viral     neuraminidases.  ##STR00001##</t>
  </si>
  <si>
    <t>US20140343063</t>
  </si>
  <si>
    <t>14/281798</t>
  </si>
  <si>
    <t>A61K 31/47 20130101;  A61P 31/18 20180101;  A61K 31/5377 20130101;  A61P 31/12 20180101;  A61K 31/426 20130101;  A61P 35/00 20180101;  A61K 31/427 20130101;  A61P 43/00 20180101;  A61K 31/4402 20130101</t>
  </si>
  <si>
    <t>US20140343062</t>
  </si>
  <si>
    <t>14/281790</t>
  </si>
  <si>
    <t>A61K 31/426 20130101;  A61P 43/00 20180101;  A61K 31/5377 20130101;  A61P 31/12 20180101;  A61K 31/47 20130101;  A61P 31/18 20180101;  A61K 31/513 20130101;  A61K 38/06 20130101;  A61K 31/505 20130101</t>
  </si>
  <si>
    <t>US20140341936</t>
  </si>
  <si>
    <t>Novel Clostridium Difficile DNA Vaccine</t>
  </si>
  <si>
    <t>14/232048</t>
  </si>
  <si>
    <t>Kutzler; Michele; (Souderton, PA); Baliban; Scott; (Southampton, NJ); Weiner; David B.; (Merion, PA); Sardesai; Niranjan Y.; (Blue Bell, PA); Kim; J. Joseph; (Harleyville, PA)</t>
  </si>
  <si>
    <t>A61P 31/04 20180101;  A61P 37/04 20180101;  A61P 1/12 20180101;  A61P 1/00 20180101;  C07K 14/33 20130101;  A61K 39/08 20130101;  A61N 1/327 20130101;  A61K 2039/53 20130101</t>
  </si>
  <si>
    <t>The invention relates to compositions and methods for treating C.     difficile associated disease (CDAD) through the administration to a     subject in need thereof at least one nucleic acid encoding at least a     portion of at least one of toxin A and toxin B.</t>
  </si>
  <si>
    <t>US20140322210</t>
  </si>
  <si>
    <t>ANTIBODIES USEFUL IN PASSIVE INFLUENZA IMMUNIZATION</t>
  </si>
  <si>
    <t>14/363297</t>
  </si>
  <si>
    <t>TRELLIS BIOSCIENCE, LLC</t>
  </si>
  <si>
    <t>TRELLIS BIOSCIENCE</t>
  </si>
  <si>
    <t>Kauvar; Lawrence M.; (San Francisco, CA); Ellsworth; Stote; (Palo Alto, CA); Usinger; William; (Lafayette, CA); McCutcheon; Krista Maureen; (Burlingame, CA); Park; Minha; (Brisbane, CA)</t>
  </si>
  <si>
    <t>C07K 2317/76 20130101;  C07K 2317/622 20130101;  C07K 2317/92 20130101;  C07K 2317/33 20130101;  C07K 2317/31 20130101;  C07K 16/1018 20130101;  C07K 2317/21 20130101;  A61K 2039/505 20130101;  A61K 2039/507 20130101</t>
  </si>
  <si>
    <t>Specific monoclonal antibodies and fragments including bispecific     antibodies thereof that are crossreactive with multiple clades of     influenza virus including both Group 1 and Group 2 representatives are     disclosed. These antibodies are useful in controlling influenza epidemics     and pandemics as well as in providing prophylactic or therapeutic     protection against seasonal influenza.</t>
  </si>
  <si>
    <t>US20140316144</t>
  </si>
  <si>
    <t>14/316573</t>
  </si>
  <si>
    <t>Bacon; Elizabeth M.; (Burlingame, CA); Cottell; Jeromy J.; (Redwood City, CA); Link; John O.; (San Francisco, CA); Trejo Martin; Teresa Alejandra; (Union City, CA)</t>
  </si>
  <si>
    <t>A61P 31/14 20180101;  A61K 31/7056 20130101;  A61P 31/00 20180101;  A61P 31/12 20180101;  A61K 45/06 20130101;  A61P 43/00 20180101;  C07D 491/04 20130101;  A61K 2300/00 20130101;  A61K 2300/00 20130101;  A61K 2300/00 20130101;  A61K 2300/00 20130101;  A61K 31/7072 20130101;  A61K 31/7068 20130101;  A61K 31/4188 20130101;  A61P 1/16 20180101;  C07D 491/052 20130101;  A61K 31/7072 20130101;  A61K 38/21 20130101;  A61K 31/7068 20130101;  A61K 38/21 20130101;  A61K 31/7056 20130101</t>
  </si>
  <si>
    <t>US20140309432</t>
  </si>
  <si>
    <t>14/261325</t>
  </si>
  <si>
    <t>Bacon; Elizabeth M.; (Burlingame, CA); Cottell; Jeromy J.; (Redwood City, CA); Katana; Ashley Anne; (San Mateo, CA); Kato; Darryl; (San Francisco, CA); Krygowski; Evan S.; (Washington D.C., DC); Link; John O.; (San Francisco, CA); Taylor; James; (San Mateo, CA); Tran; Chinh Viet; (San Diego, CA); Trejo Martin; Teresa Alejandra; (Union City, CA); Yang; Zheng-Yu; (Palo Alto, CA); Zipfel; Sheila; (San Mateo, CA)</t>
  </si>
  <si>
    <t>A61K 31/4188 20130101;  A61K 45/06 20130101;  A61P 31/12 20180101;  Y10S 514/894 20130101;  A61K 31/7056 20130101;  A61K 38/06 20130101;  A61P 43/00 20180101;  A61P 1/16 20180101;  A61K 31/7072 20130101;  C07D 405/12 20130101;  A61K 38/07 20130101;  C07F 5/025 20130101;  A61K 47/60 20170801;  A61K 31/7056 20130101;  A61K 31/4188 20130101;  A61K 2300/00 20130101;  A61K 31/7064 20130101;  A61K 2300/00 20130101;  A61K 38/21 20130101;  A61P 31/14 20180101;  A61K 31/7072 20130101;  C07D 491/052 20130101;  A61K 31/7064 20130101;  A61K 2300/00 20130101;  A61K 2300/00 20130101</t>
  </si>
  <si>
    <t>US20140309187</t>
  </si>
  <si>
    <t>14/313877</t>
  </si>
  <si>
    <t>Hashash; Ahmad; (Shrewsbury, MA); Wolckenhauer; Scott; (Redwood City, CA); Shi; Bing; (Redwood City, CA)</t>
  </si>
  <si>
    <t>C07D 471/08 20130101;  A61P 1/16 20180101;  A61K 31/7072 20130101;  A61P 43/00 20180101;  A61K 31/7056 20130101;  A61K 45/06 20130101;  C07D 407/04 20130101;  A61P 31/12 20180101;  C07D 409/12 20130101;  A61P 31/14 20180101;  A61K 31/381 20130101;  A61K 31/4184 20130101</t>
  </si>
  <si>
    <t>Crystalline solid forms and the amorphous form of the anti-HCV compound     5-(3,3-dimethylbutyn-1-yl)-3-[(cis-4-hydroxy-4-{[(3S)-tetrahydrofuran-3-y-    loxy]methyl}cyclohexyl){[(1R)-4-methylcyclohex-3-en-1-yl]carbonyl}amino]th-    iophene-2-carboxylic acid (Compound I) were prepared and characterized in     the solid state:  ##STR00001## Also provided are processes of manufacture and methods of using the     crystalline forms.</t>
  </si>
  <si>
    <t>US20140303456</t>
  </si>
  <si>
    <t>Apparatus and System for Predictive Health Monitoring</t>
  </si>
  <si>
    <t>14/308204</t>
  </si>
  <si>
    <t>PREDICTIVE TECHNOLOGIES GROUP, LLC</t>
  </si>
  <si>
    <t>PREDICTIVE</t>
  </si>
  <si>
    <t>Beiswenger; John L.; (Strasburg, PA); Taualofai; Jody L.; (Lancaster, PA)</t>
  </si>
  <si>
    <t>A61B 5/0008 20130101;  A61B 5/01 20130101;  A61B 5/0871 20130101;  A61B 5/09 20130101;  A61B 5/145 20130101;  A61B 5/14539 20130101;  G16H 50/80 20180101;  G06F 19/3418 20130101;  A61B 5/0803 20130101;  A61B 5/097 20130101;  G06F 19/3487 20130101;  G16H 15/00 20180101;  A61B 10/0051 20130101</t>
  </si>
  <si>
    <t>An apparatus and system are provided for monitoring an individual, a     group or a community of individuals for respiratory infections.     Predictive health data, such as waking peak expiratory flow rate ("WPF")     and basal metabolic temperature ("BMT") are measured and charted to     provide an indication of early stage respiratory infection. Data may be     collected for target populations and reported to health agencies for use     in combating the spread of infection. An apparatus is provided which can     simultaneously measure WPF and BMT and other health-condition-related     values and automatically transmit readings to a data collection and     analysis program on a remote computer.</t>
  </si>
  <si>
    <t>US20140296228</t>
  </si>
  <si>
    <t>INHIBITORS OF HUMAN IMMUNODEFICIENCY VIRUS REPLICATION</t>
  </si>
  <si>
    <t>14/194520</t>
  </si>
  <si>
    <t>Tsantrizos; Youla S.; (Laval, CA); Bailey; Murray D.; (Laval, CA); Bilodeau; Francois; (Laval, CA); Coulombe; Rene; (Laval, CA); Halmos; Teddy; (Laval, CA); Kawai; Stephen; (Laval, CA); Landry; Serge R.; (Laval, CA); LaPlante; Steven; (Laval, CA); Morin; Sebastien; (Laval, CA); Poupart; Marc-Andre; (Laval, CA); Simoneau; Bruno; (Laval, CA); Fader; Lee; (Laval, CA); Carson; Rebekah J.; (Laval, CA); Parisien; Mathieu; (Laval, CA)</t>
  </si>
  <si>
    <t>C07D 215/14 20130101;  A61K 31/47 20130101;  C07D 498/06 20130101;  A61K 31/4741 20130101;  C07D 221/16 20130101;  A61K 31/5383 20130101;  A61P 43/00 20180101;  A61P 31/12 20180101;  A61P 31/18 20180101;  C07D 417/04 20130101;  C07D 491/06 20130101;  A61K 31/538 20130101;  C07D 215/18 20130101;  C07D 409/04 20130101;  C07D 413/04 20130101;  C07D 405/04 20130101;  C07D 401/04 20130101;  A61K 31/473 20130101;  A61K 31/4709 20130101</t>
  </si>
  <si>
    <t>Compounds of formula I:  ##STR00001## wherein R.sup.4, R.sup.6 and R.sup.7 are defined herein, are useful as     inhibitors of HIV replication.</t>
  </si>
  <si>
    <t>US20140294879</t>
  </si>
  <si>
    <t>14/221675</t>
  </si>
  <si>
    <t>PUSHKO; Peter; (Frederick, MD); WU; Yingyun; (Gaithersburg, MD); MASSARE; Michael J.; (Mt. Airy, MD); LIU; Ye; (Laurel, MD); SMITH; Gale; (Gaithersburg, MD); ZHOU; Bin; (Gaithersburg, MD)</t>
  </si>
  <si>
    <t>C12N 2760/18562 20130101;  A61K 39/39 20130101;  A61K 2039/55505 20130101;  A61P 31/12 20180101;  C12N 7/00 20130101;  A61P 31/14 20180101;  A61K 2039/55 20130101;  C12N 2760/18534 20130101;  A61K 2039/5258 20130101;  A61K 39/00 20130101;  A61K 39/12 20130101;  A61K 2039/54 20130101;  C07K 2319/00 20130101;  A61P 37/04 20180101;  C12N 2760/18522 20130101;  A61K 2039/575 20130101;  A61K 9/0019 20130101;  A61K 9/1075 20130101;  A61K 2039/57 20130101;  C07K 14/005 20130101;  C12N 2760/18523 20130101;  A61K 2039/545 20130101;  A61K 39/155 20130101;  C12N 2760/18571 20130101</t>
  </si>
  <si>
    <t>US20140292518</t>
  </si>
  <si>
    <t>14/302821</t>
  </si>
  <si>
    <t>HILL ROM CO INC</t>
  </si>
  <si>
    <t>HILL ROM</t>
  </si>
  <si>
    <t>US20140288294</t>
  </si>
  <si>
    <t>14/178237</t>
  </si>
  <si>
    <t>BOOJAMRA; Constantine G.; (San Francisco, CA); LIN; Kuei-Ying; (Sunnyvale, CA); MACKMAN; Richard L.; (Millbrae, CA); MARKEVITCH; David Y.; (Los Angeles, CA); PETRAKOVSKY; Oleg V.; (San Mateo, CA); RAY; Adrian S.; (Redwood City, CA); ZHANG; Lijun; (Los Altos Hills, CA)</t>
  </si>
  <si>
    <t>A61K 31/683 20130101;  A61P 31/12 20180101;  A61P 31/20 20180101;  A61K 31/513 20130101;  A61K 45/06 20130101;  C07H 19/16 20130101;  A61P 43/00 20180101;  A61K 31/341 20130101;  A61K 31/683 20130101;  A61K 31/513 20130101;  A61K 31/675 20130101;  A61P 31/14 20180101;  C07H 19/00 20130101;  A61K 31/341 20130101;  C07H 19/20 20130101;  A61K 2300/00 20130101;  A61K 2300/00 20130101;  A61K 2300/00 20130101;  A61K 2300/00 20130101;  A61P 31/00 20180101;  A61K 31/662 20130101;  C07F 9/65616 20130101;  A61P 31/18 20180101;  A61K 31/675 20130101</t>
  </si>
  <si>
    <t>US20140278527</t>
  </si>
  <si>
    <t>LARGE SCALE IDENTIFICATION AND ANALYSIS OF POPULATION HEALTH RISKS</t>
  </si>
  <si>
    <t>13/803459</t>
  </si>
  <si>
    <t>BRUSH; RYAN ALAN; (OVERLAND PARK, KS)</t>
  </si>
  <si>
    <t>G06F 19/3431 20130101;  G16H 50/80 20180101;  G16H 50/30 20180101;  G06Q 50/24 20130101</t>
  </si>
  <si>
    <t>Methods, systems, and computer-storage media are provided for     facilitating the management of population health. A parallel processing     architecture receives patient population health data from healthcare     facilities along with any updated data. A high-level clinical logic is     executed against the data to identify, among other things, patients in     the population who qualify for health intervention programs. Using this     information, healthcare facilities can implement management programs to     help care for these patients.</t>
  </si>
  <si>
    <t>US20140275570</t>
  </si>
  <si>
    <t>14/271216</t>
  </si>
  <si>
    <t>Evans; Jared Wayne; (Belmont, CA); Fujimori; Shinji; (San Francisco, CA); Huynh; Grace M.; (San Francisco, CA); Liu; Qi; (Union City, CA); Teresk; Martin Gerald; (San Jose, CA)</t>
  </si>
  <si>
    <t>C07D 307/20 20130101;  C07D 409/12 20130101</t>
  </si>
  <si>
    <t>The present disclosure provides processes for the preparation of a     compound of Formula I:  ##STR00001## which is useful as an antiviral agent. The disclosure also provides     compounds that are synthetic intermediates to compounds of formula.</t>
  </si>
  <si>
    <t>US20140274884</t>
  </si>
  <si>
    <t>14/214477</t>
  </si>
  <si>
    <t>Bjornson; Kyla L.; (San Lorenzo, CA); Karki; Kapil K.; (Foster City, CA); Link; John O.; (San Francisco, CA); Pyun; Hyung-jung; (Fremont, CA); Schrier; Adam J.; (Redwood City, CA); Stevens; Kirk L.; (Bothell, WA); Taylor; James G.; (San Mateo, CA); Vivian; Randall W.; (San Mateo, CA); Zablocki; Jeff; (Los Altos, CA); Zipfel; Sheila; (San Mateo, CA)</t>
  </si>
  <si>
    <t>A61K 31/519 20130101;  C07D 498/22 20130101;  C07D 203/02 20130101;  C07D 487/02 20130101;  A61P 31/20 20180101;  A61P 31/14 20180101;  C07K 7/64 20130101;  C07D 487/00 20130101;  A61K 31/437 20130101;  A61P 1/16 20180101</t>
  </si>
  <si>
    <t>US20140249101</t>
  </si>
  <si>
    <t>METHODS FOR TREATING HEPATITIS C VIRUS INFECTION</t>
  </si>
  <si>
    <t>14/195751</t>
  </si>
  <si>
    <t>Ding; Xiao; (Foster City, CA); Hyland; Robert H.; (Foster City, CA); Pang; Phillip S.; (Foster City, CA); Symonds, III; William Thomas; (San Francisco, CA)</t>
  </si>
  <si>
    <t>A61K 31/4184 20130101;  A61K 31/439 20130101;  A61K 31/439 20130101;  A61K 31/7072 20130101;  A61K 45/06 20130101;  A61K 2300/00 20130101;  A61K 2300/00 20130101;  A61K 2300/00 20130101;  A61K 31/7072 20130101;  A61K 31/7056 20130101;  A61P 31/14 20180101;  A61K 31/7056 20130101</t>
  </si>
  <si>
    <t>Disclosed herein is a method of treating a subject infected with     hepatitis C virus, said method comprising administering to the subject     for a time period an effective amount of sofosbuvir, an effective amount     of ribavirin and an effective amount of ledipasvir. In one aspect, the     method comprises administering to the subject an interferon-free     treatment regimen comprising an effective amount of sofosbuvir, an     effective amount of ribavirin and an effective amount of ledipasvir. In a     particular aspect, the method is sufficient to produce an undetectable     amount of HCV RNA in the subject for at least 12 weeks after the end of     the time period.</t>
  </si>
  <si>
    <t>US20140249074</t>
  </si>
  <si>
    <t>14/280478</t>
  </si>
  <si>
    <t>Bacon; Elizabeth M.; (Burlingame, CA); Canales; Eda; (San Mateo, CA); Cho; Aesop; (Mountain View, CA); Cottell; Jeromy J.; (Redwood City, CA); Desai; Manoj C.; (Pleasant Hill, CA); Graupe; Michael; (Pacifica, CA); Guo; Hongyan; (San Mateo, CA); Halcomb; Randall L.; (Foster City, CA); Kato; Darryl; (San Francisco, CA); Kim; Choung U.; (San Carlos, CA); Kirschberg; Thorsten A.; (Redwood City, CA); Krygowski; Evan S.; (Belmont, CA); Lazerwith; Scott E.; (San Francisco, CA); Link; John O.; (San Francisco, CA); Liu; Hongtao; (Foster City, CA); Liu; Qi; (Union City, CA); Mackman; Richard L.; (Millbrae, CA); Mitchell; Michael L.; (Hayward, CA); Parrish; Jay P.; (Redwood City, CA); Pyun; Hyung-Jung; (Fremont, CA); Saugier; Joseph H.; (Livermore, CA); Schroeder; Scott D.; (Foster City, CA); Sun; Jianyu; (Surrey, CA); Taylor; James G.; (San Mateo, CA); Trenkle; James D.; (Oakland, CA); Tse; Winston C.; (Redwood City, CA); Vivian; Randall W.; (San Mateo, CA); Watkins; William J.; (Saratoga, CA); Xu; Lianhong; (Palo Alto, CA)</t>
  </si>
  <si>
    <t>C07D 401/14 20130101;  C07D 403/04 20130101;  A61K 31/4184 20130101;  A61K 45/06 20130101;  C07D 491/113 20130101;  A61P 31/12 20180101;  A61K 31/4025 20130101;  A61K 31/435 20130101;  C07F 5/025 20130101;  C07D 207/16 20130101;  A61K 31/4439 20130101;  C07D 471/10 20130101;  C07D 487/04 20130101;  C07D 405/14 20130101;  A61K 31/519 20130101;  A61K 31/55 20130101;  C07D 495/04 20130101;  C07D 471/04 20130101;  C07D 409/14 20130101;  A61K 31/496 20130101;  A61K 31/5377 20130101;  C07D 417/14 20130101;  A61K 31/454 20130101;  A61K 31/4178 20130101;  C07D 413/14 20130101;  A61K 31/427 20130101;  A61K 31/5415 20130101;  C07D 403/14 20130101;  A61K 31/437 20130101;  C07D 471/08 20130101</t>
  </si>
  <si>
    <t>US20140236613</t>
  </si>
  <si>
    <t>14/180683</t>
  </si>
  <si>
    <t>US20140236070</t>
  </si>
  <si>
    <t>LINEAR EXPRESSION CASSETTES AND USES THEREOF</t>
  </si>
  <si>
    <t>14/235176</t>
  </si>
  <si>
    <t>Broderick, Kate; Lin, Feng; Sardesai, Niranjan; Shen, Xuefei</t>
  </si>
  <si>
    <t>BRODERICK KATE</t>
  </si>
  <si>
    <t>Broderick; Kate; (San Diego, CA); Lin; Feng; (San Diego, CA); Sardesai; Niranjan; (Blue Bell, PA); Shen; Xuefei; (San Diego, CA)</t>
  </si>
  <si>
    <t>A61K 39/145 20130101;  A61K 2039/53 20130101;  A61K 2039/54 20130101;  C12N 2760/16134 20130101;  Y02A 50/41 20180101;  C07K 14/005 20130101;  C12N 9/2402 20130101;  A61K 39/12 20130101;  A61N 1/327 20130101</t>
  </si>
  <si>
    <t>Provided herein are linear nucleic expression cassettes and methods of using same in a non-invasive method of vaccination. The method combines electroporation and linear DNA constructs encoding antigens to elicit antigen-specific immune responses.</t>
  </si>
  <si>
    <t>US20140235563</t>
  </si>
  <si>
    <t>14/265840</t>
  </si>
  <si>
    <t>Sofia; Michael Joseph; (Doylestown, PA); Du; Jinfa; (New Hope, PA)</t>
  </si>
  <si>
    <t>C07H 19/173 20130101;  A61P 35/00 20180101;  A61K 31/7064 20130101;  C07H 19/16 20130101;  C07H 19/06 20130101;  A61P 31/04 20180101;  C07H 19/073 20130101;  A61P 31/20 20180101;  A61K 31/7076 20130101;  A61P 31/12 20180101;  A61P 31/14 20180101;  A61P 31/18 20180101;  C07H 19/14 20130101;  A61K 31/7068 20130101;  A61K 31/7072 20130101;  A61P 31/00 20180101</t>
  </si>
  <si>
    <t>US20140234372</t>
  </si>
  <si>
    <t>NOVEL VLPS DERIVED FROM CELLS THAT DO NOT EXPRESS A VIRAL MATRIX OR CORE     PROTEIN</t>
  </si>
  <si>
    <t>14/252043</t>
  </si>
  <si>
    <t>SMITH; Gale; (Rockville, MD); Pushko; Peter; (Rockville, MD); Mahmood; Kutub; (Rockville, MD); Zhou; Bin; (Rockville, MD)</t>
  </si>
  <si>
    <t>C12N 7/00 20130101;  C07K 2319/00 20130101;  C12N 2710/16723 20130101;  C12N 2760/16123 20130101;  A61P 31/16 20180101;  A61K 39/145 20130101;  A61K 2039/5258 20130101</t>
  </si>
  <si>
    <t>The present invention discloses novel influenza virus-like particles     (VLPs) that contain chimeric proteins or influenza membrane proteins. The     chimeric proteins are derived from fragments of influenza membrane     proteins fused to heterologous proteins. The invention includes antigenic     formulations and vaccines comprising VLPs of the invention as well as     methods of making and administering VLPs to vertebrates, including     methods of inducing immunity to infections, such as influenza.</t>
  </si>
  <si>
    <t>US20140227309</t>
  </si>
  <si>
    <t>14/177406</t>
  </si>
  <si>
    <t>SMITH; Gale E.; (Gaithersburg, MD); GLENN; Greg; (Gaithersburg, MD); FRIES; Lou; (Gaithersburg, MD); YOUNG; James F.; (Gaithersburg, MD)</t>
  </si>
  <si>
    <t>A61K 2039/70 20130101;  A61K 2039/5258 20130101;  C12N 2760/18534 20130101;  A61P 31/14 20180101;  A61K 39/145 20130101;  A61K 39/155 20130101;  C12N 2760/16134 20130101;  C12N 2760/16234 20130101;  A61K 2039/55505 20130101;  A61P 31/16 20180101;  A61K 39/12 20130101;  A61K 2039/545 20130101</t>
  </si>
  <si>
    <t>The present disclosure is directed to compositions and methods for     raising immune responses against influenza and respiratory synctial virus     by administering combination immunogenic composition against both viruses     at the same time. The combination compositions contain an RSV component     and one, two, three, four, or more influenza components. The combination     compositions provide a greater immune response than that obtained by     separately administering the RSV and influenza components.</t>
  </si>
  <si>
    <t>US20140227306</t>
  </si>
  <si>
    <t>MULTIMERIC MULTIEPITOPE POLYPEPTIDES IN IMPROVED SEASONAL AND PANDEMIC     INFLUENZA VACCINES</t>
  </si>
  <si>
    <t>14/000815</t>
  </si>
  <si>
    <t>BIONDVAX PHARMACEUTICALS LTD.</t>
  </si>
  <si>
    <t>BIONDVAX PHARMACEUTICALS</t>
  </si>
  <si>
    <t>Ben-Yedidia; Tamar; (Mazkeret Batya, IL); Lowell; George H.; (Jerusalem, IL)</t>
  </si>
  <si>
    <t>A61K 39/145 20130101;  A61K 2039/545 20130101;  C07K 14/005 20130101;  A61K 2039/55 20130101;  A61K 2039/55566 20130101;  A61K 39/12 20130101;  A61K 2039/645 20130101;  A61K 2039/70 20130101;  C12N 2760/16134 20130101;  C12N 2760/16234 20130101;  A61K 2039/58 20130101</t>
  </si>
  <si>
    <t>The present invention relates to use of multimeric multi-epitope     peptide-based compositions for immunizing subjects against influenza by     administering the compositions to the subject prior to or together with     seasonal or pandemic influenza vaccines. The present invention also     relates to compositions that include a multimeric multi-epitope     polypeptide and a seasonal or pandemic preparation against influenza.</t>
  </si>
  <si>
    <t>US20140227224</t>
  </si>
  <si>
    <t>14/150677</t>
  </si>
  <si>
    <t>A61K 31/675 20130101;  A61K 31/675 20130101;  A61K 45/06 20130101;  A61P 31/18 20180101;  A61K 9/2018 20130101;  A61K 2300/00 20130101;  A61K 9/20 20130101;  C07H 19/20 20130101;  A61K 31/7076 20130101</t>
  </si>
  <si>
    <t>The invention is related to salts of anti-viral compounds, compositions     containing such salts, and therapeutic methods that include the     administration of such salts, as well as to processes and intermediates     useful for preparing such salts.</t>
  </si>
  <si>
    <t>US20140221382</t>
  </si>
  <si>
    <t>VIRAL INHIBITORS</t>
  </si>
  <si>
    <t>14/247609</t>
  </si>
  <si>
    <t>K.U.LEUVEN RESEARCH &amp; DEVELOPMENT</t>
  </si>
  <si>
    <t>LEUVEN RESEARCHDEVELOPMENT</t>
  </si>
  <si>
    <t>BONDY; Steven S.; (Danville, CA); OARE; David A.; (Belmont, CA); PUERSTINGER; Gerhard; (Igls, AT)</t>
  </si>
  <si>
    <t>A61P 31/00 20180101;  A61P 31/12 20180101;  C07D 471/04 20130101;  A61P 31/14 20180101</t>
  </si>
  <si>
    <t>Pyrrolo[2,3-c]pyridine or pyrrolo[3,2-c]pyridine compounds having the     general formula (A),  ##STR00001## wherein the dashed lines, X, Y and R.sup.1 through R.sup.5 are as defined     in the specification. The compounds are useful in the prophylaxis or     treatment of viral infections.</t>
  </si>
  <si>
    <t>US20140213556</t>
  </si>
  <si>
    <t>14/227653</t>
  </si>
  <si>
    <t>DAHL; Terrence C.; (Sunnyvale, CA); MENNING; Mark M.; (San Francisco, CA); OLlYAI; Reza; (Burlingame, CA)</t>
  </si>
  <si>
    <t>A61P 31/18 20180101;  A61K 9/2018 20130101;  A61K 31/7076 20130101;  A61K 9/2054 20130101;  A61K 9/2059 20130101;  A61P 43/00 20180101;  A61K 45/06 20130101;  A61K 9/2013 20130101;  A61K 31/513 20130101;  A61K 31/683 20130101;  A61K 31/675 20130101;  A61K 31/675 20130101;  A61P 31/12 20180101;  A61K 9/2009 20130101;  A61K 31/513 20130101;  A61K 31/7076 20130101;  A61P 31/00 20180101;  A61K 2300/00 20130101;  A61K 2300/00 20130101;  A61K 2300/00 20130101</t>
  </si>
  <si>
    <t>US20140212491</t>
  </si>
  <si>
    <t>14/168264</t>
  </si>
  <si>
    <t>A61K 9/1635 20130101;  A61K 31/439 20130101;  A61K 31/7072 20130101;  A61K 31/5377 20130101;  A61K 31/5025 20130101;  A61K 31/381 20130101;  A61K 9/2018 20130101;  A61K 31/4709 20130101;  A61K 31/513 20130101;  A61K 9/2027 20130101;  A61P 1/16 20180101;  A61K 9/2013 20130101;  A61K 31/675 20130101;  A61K 9/28 20130101;  A61K 31/7056 20130101;  A61K 9/1623 20130101;  A61K 31/4025 20130101;  A61K 31/4184 20130101;  A61K 31/7076 20130101;  A61K 31/4985 20130101;  A61P 31/14 20180101;  A61K 31/4178 20130101;  A61K 9/2009 20130101;  A61K 9/2054 20130101;  A61P 31/12 20180101;  A61K 9/209 20130101;  A61K 31/497 20130101;  A61K 31/4184 20130101;  A61K 2300/00 20130101;  A61K 31/7072 20130101;  A61K 2300/00 20130101;  A61K 31/7056 20130101;  A61K 2300/00 20130101;  A61K 31/4709 20130101;  A61K 2300/00 20130101;  A61K 31/5025 20130101;  A61K 2300/00 20130101;  A61K 31/4025 20130101;  A61K 2300/00 20130101;  A61K 31/381 20130101;  A61K 2300/00 20130101;  A61K 31/7076 20130101;  A61K 2300/00 20130101;  A61K 31/513 20130101;  A61K 2300/00 20130101;  A61K 31/4985 20130101;  A61K 2300/00 20130101;  A61K 31/675 20130101;  A61K 2300/00 20130101;  A61K 31/497 20130101;  A61K 2300/00 20130101;  A61K 31/5377 20130101;  A61K 2300/00 20130101;  A61K 31/439 20130101;  A61K 2300/00 20130101</t>
  </si>
  <si>
    <t>US20140212487</t>
  </si>
  <si>
    <t>14/168329</t>
  </si>
  <si>
    <t>Mogalian; Erik; (San Francisco, CA); Oliyai; Reza; (Burlingame, CA); Stefanidis; Dimitrios; (Mountain View, CA); Zia; Vahid; (San Carlos, CA)</t>
  </si>
  <si>
    <t>A61K 31/501 20130101;  A61K 9/2054 20130101;  A61K 47/38 20130101;  A61K 31/4184 20130101;  A61K 47/32 20130101;  A61K 9/1623 20130101;  A61K 9/1635 20130101;  A61P 31/14 20180101</t>
  </si>
  <si>
    <t>Disclosed are solid dispersions comprising ledipasvir, wherein ledipasvir     is dispersed within a polymer matrix formed by a pharmaceutically     acceptable polymer, and further wherein ledipasvir is substantially     amorphous. Also disclosed are pharmaceutical compositions comprising     solid dispersion and methods of using the solid dispersion.</t>
  </si>
  <si>
    <t>US20140208832</t>
  </si>
  <si>
    <t>Methods and Apparatus for Flow-Controlled Wetting</t>
  </si>
  <si>
    <t>14/346240</t>
  </si>
  <si>
    <t>Hansen; Carl Lars Genghis; (Vancouver, CA); Leung; Kaston K.; (Vancouver, CA); Leaver; Timothy; (Delta, CA); Zahn; Hans; (Vancouver, CA)</t>
  </si>
  <si>
    <t>B01F 13/0084 20130101;  B01L 2400/0415 20130101;  B01F 13/0076 20130101;  G01N 33/00 20130101;  G01N 13/00 20130101;  B01L 2400/084 20130101;  B01L 2200/0673 20130101;  B01L 3/502746 20130101;  B01F 13/0071 20130101;  B01L 2300/0816 20130101;  B01L 3/502784 20130101;  B01L 2300/0867 20130101;  Y10T 137/0318 20150401;  Y10T 137/87153 20150401;  B01L 3/502792 20130101;  G01N 1/28 20130101;  B01L 2300/0861 20130101;  B01L 2400/0406 20130101;  B01L 2400/0487 20130101</t>
  </si>
  <si>
    <t>Methods of determining a first position at which a dispersed phase     droplet wets a surface of a channel are provided herein. The methods     include immersing the dispersed phase droplet in a continuous phase     fluid, wherein the continuous phase fluid is immiscible with the     dispersed phase droplet, subsequently flowing the dispersed phase droplet     in the continuous phase through the channel at a dispersed phase droplet     velocity, wherein the dispersed phase droplet is separated from the     surface by a film of the continuous phase fluid having a film thickness,     and reducing the film thickness to rupture the film at the first     position, wherein the droplet wets the surface at the first position.</t>
  </si>
  <si>
    <t>US20140207482</t>
  </si>
  <si>
    <t>Case Management System and Method for Mediating Anomaly Notifications in     Health Data to Health Alerts</t>
  </si>
  <si>
    <t>14/220285</t>
  </si>
  <si>
    <t>G06Q 10/103 20130101;  G16H 50/80 20180101;  G06Q 50/22 20130101;  G16H 50/70 20180101;  G16H 80/00 20180101</t>
  </si>
  <si>
    <t>A system and method for mediating anomaly notifications in health data to     health alerts using data structures and logic to organize, contain, and     disposition identified health anomalies. Multiple generators of anomaly     notifications operating asynchronously and independently can be     processed. The case manager organizes anomaly notifications and supports     collaborative decision making among users with diverse areas of     expertise.</t>
  </si>
  <si>
    <t>US20140206412</t>
  </si>
  <si>
    <t>14/159844</t>
  </si>
  <si>
    <t>B01L 2300/1844 20130101;  G01N 2035/00366 20130101;  G01N 21/77 20130101;  B01L 2300/0832 20130101;  B01L 2300/0627 20130101;  B01L 2300/1805 20130101;  G01N 2035/00445 20130101;  G01N 2021/7786 20130101;  B01L 2200/025 20130101;  B01L 2300/1822 20130101;  B01L 7/52 20130101;  B01L 2300/1827 20130101;  B01L 2200/147 20130101;  B01L 2300/023 20130101;  C12Q 1/686 20130101;  G01N 35/00871 20130101;  B01L 2200/028 20130101;  B01L 2300/1894 20130101;  B01L 2300/0654 20130101;  B01L 2300/0609 20130101;  G01N 2035/00881 20130101</t>
  </si>
  <si>
    <t>US20140205155</t>
  </si>
  <si>
    <t>EVENT REGISTRATION AND MANAGEMENT SYSTEM AND METHOD EMPLOYING GEO-TAGGING AND BIOMETRICS</t>
  </si>
  <si>
    <t>14/159573</t>
  </si>
  <si>
    <t>Amerasia International Technology, Inc.</t>
  </si>
  <si>
    <t>AMERASIA INTERNATIONAL</t>
  </si>
  <si>
    <t>A system and method employing geo-tagging and/or biometric identification is employed for registration and management of various events. Electronic devices are configured for capturing images and geo-tagging the captured images using the geographic position of the electronic device. Data relating thereto and related data concerning persons and/or locations and/or other things are associated with a unique identifier and are stored in a relational database from whence they may be retrieved and processed for generating a response or other follow up which can be communicated to an electronic device.</t>
  </si>
  <si>
    <t>US20140201099</t>
  </si>
  <si>
    <t>Continuity of instruction during a socially distancing event</t>
  </si>
  <si>
    <t>13/999576</t>
  </si>
  <si>
    <t>HARRISON LOUIS</t>
  </si>
  <si>
    <t>Harrison; Louis; (Raleigh, NC)</t>
  </si>
  <si>
    <t>G09B 7/00 20130101;  G06Q 10/00 20130101;  G06Q 50/20 20130101</t>
  </si>
  <si>
    <t>A method wherein live, in-person academic coursework that is cancelled     for extended periods due to an exigency, for example a natural disaster,     pandemic, or other socially distancing event, can be quickly,     efficiently, gracefully, and cost-effectively transitioned into an online     environment in order to ensure academic continuity by identifying a     triggering event whereby in-person academic coursework is cancelled,     initiating an academic continuity process, querying a student information     system for data, interfacing this student information system data with a     learning management system to populate the learning management system,     simultaneously scaling the learning management system utilizing a cloud     computing infrastructure, and transitioning the cancelled in-person     academic coursework to an online environment.</t>
  </si>
  <si>
    <t>US20140200188</t>
  </si>
  <si>
    <t>2'-FLUORO SUBSTITUTED CARBA-NUCLEOSIDE ANALOGS FOR ANTIVIRAL TREATMENT</t>
  </si>
  <si>
    <t>14/163251</t>
  </si>
  <si>
    <t>Clarke; Michael O'Neil Hanrahan; (Redwood City, CA); Kim; Choung U.; (San Carlos, CA); Lew; Willard; (San Mateo, CA)</t>
  </si>
  <si>
    <t>A61K 31/351 20130101;  C07F 9/65586 20130101;  A61K 31/235 20130101;  A61K 31/7056 20130101;  A61K 31/7056 20130101;  A61K 31/4965 20130101;  A61K 31/192 20130101;  A61K 31/137 20130101;  A61K 31/137 20130101;  A61K 38/21 20130101;  A61K 38/21 20130101;  A61K 45/06 20130101;  C07H 17/02 20130101;  C07H 7/06 20130101;  A61K 31/192 20130101;  A61P 31/12 20180101;  A61K 31/706 20130101;  A61K 2300/00 20130101;  A61K 2300/00 20130101;  A61K 2300/00 20130101;  A61K 2300/00 20130101;  A61K 2300/00 20130101;  A61K 2300/00 20130101;  A61K 31/351 20130101;  A61K 2300/00 20130101;  A61P 31/16 20180101;  C07D 487/04 20130101;  A61K 31/4965 20130101;  A61K 31/235 20130101</t>
  </si>
  <si>
    <t>Provided are methods for treating Orthomyxoviridue virus infections by     administering ribosides, riboside phosphates and prodrugs thereof, of     Formula I:  ##STR00001## wherein R.sup.2 is halogen. The compounds, compositions, and methods     provided are particularly useful for the treatment of Human Influenza     virus infections.</t>
  </si>
  <si>
    <t>US20140193447</t>
  </si>
  <si>
    <t>14/149365</t>
  </si>
  <si>
    <t>SMITH; Gale; (Rockville, MD); BRIGHT; Rick; (Rockville, MD); PUSHKO; Peter; (Rockville, MD); ZHANG; Jinyou; (Rockville, MD); MAHMOOD; Kutub; (Rockville, MD)</t>
  </si>
  <si>
    <t>C12N 2760/16023 20130101;  A61K 39/145 20130101;  A61K 39/39 20130101;  A61K 2039/70 20130101;  C12N 7/00 20130101;  A61K 2039/55555 20130101;  A61K 2039/543 20130101;  A61K 39/12 20130101;  C12N 2760/16071 20130101;  C07K 14/005 20130101;  C12N 2710/14143 20130101;  A61K 2039/5258 20130101;  C12N 2760/16134 20130101;  A61K 2039/55505 20130101;  C12N 2760/16034 20130101;  C12N 2760/16123 20130101;  C12N 15/86 20130101;  C12N 2760/16122 20130101</t>
  </si>
  <si>
    <t>US20140187771</t>
  </si>
  <si>
    <t>AMORPHOUS SOLID SALTS</t>
  </si>
  <si>
    <t>14/115079</t>
  </si>
  <si>
    <t>Koziara; Joanna M.; (Foster City, CA); Luong; Anne; (Mississauga, CA); Sujino; Keiko; (Edmonton, CA); Yu; Richard; (San Francisco, CA)</t>
  </si>
  <si>
    <t>A61K 9/12 20130101;  A61P 31/18 20180101;  A61K 9/08 20130101;  A61K 9/2027 20130101;  A61K 9/2054 20130101;  C07D 295/15 20130101;  A61K 9/0019 20130101;  A61K 9/008 20130101;  A61P 31/12 20180101;  A61K 9/2018 20130101;  A61K 9/4858 20130101;  C07D 277/28 20130101;  A61K 47/10 20130101;  A61K 9/4866 20130101</t>
  </si>
  <si>
    <t>The invention provides an amorphous solid of a compound of formula (I) or     of a salt thereof as well as compositions comprising the amorphous     solids, and methods for making and using the amorphous solids.  ##STR00001##</t>
  </si>
  <si>
    <t>US20140178336</t>
  </si>
  <si>
    <t>13/830346</t>
  </si>
  <si>
    <t>Link; John O.; (San Francisco, CA); Cottell; Jeromy J.; (Redwood City, CA); Trejo Martin; Teresa Alejandra; (Union City, CA); Bacon; Elizabeth M.; (Burlingame, CA)</t>
  </si>
  <si>
    <t>A61K 38/21 20130101;  C07D 491/04 20130101;  A61K 31/7056 20130101;  A61K 31/4188 20130101;  A61K 31/352 20130101;  A61K 45/06 20130101;  C07D 491/052 20130101;  A61K 31/7072 20130101;  A61P 31/00 20180101;  A61P 1/16 20180101;  A61K 31/7068 20130101;  A61P 31/14 20180101;  A61P 31/12 20180101</t>
  </si>
  <si>
    <t>US20140167917</t>
  </si>
  <si>
    <t>Disease Mapping and Infection Control System and Method</t>
  </si>
  <si>
    <t>13/133193</t>
  </si>
  <si>
    <t>INFONAUT INC.</t>
  </si>
  <si>
    <t>INFONAUT</t>
  </si>
  <si>
    <t>Wallace; Niall; (Arkell, CA); Harten; Holly; (Sault Ste. Marie, CA); McPherson; Matt; (Toronto, CA); Furness; Colin; (Ottawa, CA); Watson; Neil; (Newcastle, CA); Vair; Tom; (Sault Ste. Marie, CA); Beach; Paul; (Sault Ste. Marie, CA); Sambol; Chris; (Sault Ste. Marie, CA); Shannon; Chuck; (Sault Ste. Marie, CA)</t>
  </si>
  <si>
    <t>G06Q 50/22 20130101;  G16H 50/80 20180101;  G16H 50/70 20180101;  G16H 50/30 20180101</t>
  </si>
  <si>
    <t>The present invention is a system and method for disease mapping and     infection control. It may collect data from many sources, including     through the tracking of Entities and external sources. Such data may be     analysed by the system and represented visually. The system further     facilitates data modelling. The present invention facilitates     calculations of risk and exposure to an infection posed to a person,     location or community. The system may be used to test and monitor     infection spread and control measures. It can further be configured so as     to produce reporting based upon its data to produce information relevant     to the creation of infection control policies. The reports may also be     utilized to develop standards and measures to improve the operation     response to an outbreak of infection within an Institution or a     Geographical Area, at the syndromic or pandemic levels.</t>
  </si>
  <si>
    <t>US20140156304</t>
  </si>
  <si>
    <t>13/950741</t>
  </si>
  <si>
    <t>US20140156301</t>
  </si>
  <si>
    <t>METHODS, SYSTEMS AND COMPUTER PROGRAM PRODUCTS FOR AGGREGATING MEDICAL     INFORMATION</t>
  </si>
  <si>
    <t>14/175060</t>
  </si>
  <si>
    <t>G06F 19/3418 20130101;  G16H 50/80 20180101;  G06F 19/3493 20130101</t>
  </si>
  <si>
    <t>US20140155756</t>
  </si>
  <si>
    <t>SYSTEM AND METHODS FOR HEALTH MONITORING OF ANONYMOUS ANIMALS IN LIVESTOCK     GROUPS</t>
  </si>
  <si>
    <t>14/172968</t>
  </si>
  <si>
    <t>FAUNUS LTD.</t>
  </si>
  <si>
    <t>FAUNUS</t>
  </si>
  <si>
    <t>ELAZARI-VOLCANI; Ron; (Moshav Ein-Sarid, IL)</t>
  </si>
  <si>
    <t>G06F 19/3418 20130101;  G06Q 10/00 20130101;  A01K 29/005 20130101;  A61B 5/0013 20130101;  G16H 50/80 20180101;  A61B 5/7282 20130101;  A61D 99/00 20130101;  A61F 7/00 20130101;  A61B 5/0077 20130101</t>
  </si>
  <si>
    <t>Computerized system and method for livestock groups health monitoring     comprising: a storage and computing unit storing at least one database; a     plurality of data collecting units of different types, each type     comprising at least one sensor, the data collecting unit types selected     from the group consisting of acoustic sensors, vitality meters, ammonia     sensors, visual sensors and scent sensors; first communication means for     communicating operating commands from the storage and computing unit to     each of the data collecting units and for communicating data from the     data collecting units to the storage and computing unit ; and second     communication means for communicating between the storage and computing     unit and a user device.</t>
  </si>
  <si>
    <t>US20140154783</t>
  </si>
  <si>
    <t>BIOPROCESSING</t>
  </si>
  <si>
    <t>13/379797</t>
  </si>
  <si>
    <t>ALNYLAM PHARMACEUTICALS</t>
  </si>
  <si>
    <t>ALNYLAM</t>
  </si>
  <si>
    <t>Rossomando; Anthony; (Cambridge, MA); Maraganore; John M.; (Cambridge, MA); Pollard; Stuart; (Cambridge, MA); Kocisko; David; (Newton, MA); Manogaran; Muthiah; (Cambridge, MA); Borland; Todd; (Cambridge, MA); Hogan; Shannon; (Cambridge, MA)</t>
  </si>
  <si>
    <t>C12N 15/113 20130101;  C12N 15/1131 20130101;  C12N 2310/14 20130101;  C12N 7/00 20130101</t>
  </si>
  <si>
    <t>The present invention relates to molecular biology, molecular genetics,     and bioprocessing. The embodiments provide for compositions and methods     for producing a biological product, such as an immunogenic agent, in an     embryonated egg by introducing into the egg a RNA effector molecule     capable of modulating expression of a target gene, wherein the modulation     enhances production of the biological product in the egg. These methods     provide for RNAi-based approaches to optimize the production of biologics     from embryonated eggs, such as the production of viral vaccines including     seasonal and pandemic flu vaccines. The invention also relates to     molecules, reagents, cells, and kits useful for carrying out the methods,     and biological products produced by the methods.</t>
  </si>
  <si>
    <t>US20140154240</t>
  </si>
  <si>
    <t>13/905410</t>
  </si>
  <si>
    <t>Babaoglu; Kerim; (Pacifica, CA); Boojamra; Constantine G.; (San Francisco, CA); Eisenberg; Eugene J.; (San Carlos, CA); Hui; Hon Chung; (San Mateo, CA); Mackman; Richard L.; (Milbrae, CA); Parrish; Jay P.; (Redwood City, CA); Sangi; Michael; (Oakland, CA); Saunders; Oliver L.; (San Mateo, CA); Siegel; Dustin; (Foster City, CA); Sperandio; David; (Palo Alto, CA); Yang; Hai; (San Mateo, CA)</t>
  </si>
  <si>
    <t>A61K 31/675 20130101;  C07F 9/65616 20130101;  A61P 31/12 20180101;  A61K 45/06 20130101;  A61K 31/55 20130101;  A61K 31/551 20130101;  C07D 487/04 20130101;  A61K 31/519 20130101;  A61P 31/14 20180101;  A61K 31/5377 20130101;  C07D 513/04 20130101;  C07D 519/00 20130101;  C07D 495/04 20130101;  A61P 11/00 20180101;  A61P 31/16 20180101</t>
  </si>
  <si>
    <t>US20140142085</t>
  </si>
  <si>
    <t>14/130882</t>
  </si>
  <si>
    <t>Bondy; Steven S.; (Danville, CA); Cannizzaro; Carina E.; (Foster City, CA); Chou; Chien-hung; (Livermore, CA); Halcomb; Randall L.; (Foster City, CA); Hu; Yunfeng Eric; (San Mateo, CA); Link; John O.; (San Francisco, CA); Liu; Qi; (San Mateo, CA); Schroeder; Scott D.; (Foster City, CA); Tse; Winston C.; (Redwood City, CA); Zhang; Jennifer R.; (Union City, CA)</t>
  </si>
  <si>
    <t>C07D 495/04 20130101;  C07D 401/14 20130101;  A61P 43/00 20180101;  C07D 413/14 20130101;  A61P 31/14 20180101;  C07D 405/12 20130101;  A61K 31/50 20130101;  C07D 491/04 20130101;  C07D 471/04 20130101;  A61K 31/444 20130101;  C07D 471/06 20130101;  A61P 31/18 20180101;  A61K 31/4545 20130101;  A61K 31/4439 20130101;  A61K 31/506 20130101;  C07D 403/12 20130101;  C07D 401/12 20130101;  C07D 409/14 20130101;  A61K 31/5377 20130101;  A61K 31/4709 20130101;  C07D 491/052 20130101;  C07D 403/14 20130101;  C07D 487/04 20130101;  A61K 31/4985 20130101;  A61K 45/06 20130101;  C07D 213/40 20130101</t>
  </si>
  <si>
    <t>US20140136556</t>
  </si>
  <si>
    <t>METHODS AND SYSTEMS FOR MONITORING THE SEVERITY OF INFECTION IN A GROUP OF     INDIVIDUALS</t>
  </si>
  <si>
    <t>14/005063</t>
  </si>
  <si>
    <t>OXFORD UNIVERSITY INNOVATION LIMITED</t>
  </si>
  <si>
    <t>OXFORD UNIVERSITY INNOVATION</t>
  </si>
  <si>
    <t>Wyllie; David Hamilton; (Oxford, GB); Walker; Ann Sarah; (Oxford, GB); Schlackow; Iryna; (Oxford, GB)</t>
  </si>
  <si>
    <t>G06F 17/30312 20130101;  G06F 19/3431 20130101;  G16H 50/80 20180101;  G16H 50/70 20180101;  G16H 50/20 20180101;  G16H 50/30 20180101</t>
  </si>
  <si>
    <t>A computer-implemented method of monitoring the severity of infection in     a group of individuals. A set of data for each individual is obtained,     the data comprising at least one piece of diagnostic test data indicating     the level of a biomarker associated with the individual's response to     infection. The data is then split into a plurality of segments, each     segment comprising all data for each individual within a corresponding     one of a plurality of time periods. For each segment, a level of the     biomarker across the group of individuals during the time period is     estimated. The level of the biomarker for each segment to is then     determined provide an indication of the change in severity of infection     in the group of individuals over time.</t>
  </si>
  <si>
    <t>US20140128602</t>
  </si>
  <si>
    <t>14/154313</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</si>
  <si>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</si>
  <si>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US20140128389</t>
  </si>
  <si>
    <t>14/006649</t>
  </si>
  <si>
    <t>C07D 473/34 20130101;  A61P 1/04 20180101;  A61P 31/14 20180101;  C07D 473/24 20130101;  A61P 31/18 20180101;  A61P 11/00 20180101;  A61P 43/00 20180101;  A61P 31/00 20180101;  A61P 31/12 20180101;  A61P 35/00 20180101;  A61P 11/02 20180101;  A61P 11/06 20180101;  C07D 471/04 20130101;  A61K 31/437 20130101;  A61K 31/5377 20130101;  A61K 31/522 20130101;  A61P 1/16 20180101;  A61P 37/08 20180101;  A61P 31/16 20180101;  C07D 473/16 20130101;  C07D 473/18 20130101</t>
  </si>
  <si>
    <t>US20140121558</t>
  </si>
  <si>
    <t>DEVICE AND METHOD FOR THE EARLY DETECTION OF CATTLE PHYSIOLOGICAL     VARIABLES AND LOCATION IN A REMOTE AND AUTONOMOUS WAY</t>
  </si>
  <si>
    <t>14/062413</t>
  </si>
  <si>
    <t>ALONSOPEREZ LANZA, Maria Victoria</t>
  </si>
  <si>
    <t>ALONSOPEREZ LANZA</t>
  </si>
  <si>
    <t>ALONSOPEREZ LANZA; Maria Victoria; (Montevideo, UY)</t>
  </si>
  <si>
    <t>A61B 5/1112 20130101;  A61B 2503/40 20130101;  G16H 40/67 20180101;  A61B 5/0022 20130101;  G06F 19/00 20130101;  A61B 5/0008 20130101</t>
  </si>
  <si>
    <t>A device or assortment of devices is provided for measuring temperature     and/or other biological parameters, and locating cattle or other types of     animals in a remote, continuous and autonomous way. This allows early     detection of sickness and other biological states, especially epidemic     outbursts or cattle rustling, thus facilitating the early reaction of     owners and/or authorities.</t>
  </si>
  <si>
    <t>US20140121187</t>
  </si>
  <si>
    <t>14/126479</t>
  </si>
  <si>
    <t>Jung; Young Sik; (Daejeon, KR); Lee; Chong Kgo; (Daejeon, KR); Choi; Ihl Young; (Daejeon, KR); Kim; Hae Soo; (Daejeon, KR); Kim; Pil Ho; (Daejeon, KR); Han; Soo Bong; (Daejeon, KR); Neyts; Johan; (Kessel-Lo, BE); Thibaut; Hendrik Jan; (Bierbeek, BE)</t>
  </si>
  <si>
    <t>C07C 69/12 20130101;  C07C 275/26 20130101;  C07C 69/736 20130101;  C07C 233/43 20130101;  C07C 271/24 20130101;  C07D 213/65 20130101;  C07D 221/04 20130101;  C07C 225/20 20130101;  C07C 247/14 20130101;  C07C 49/753 20130101;  C07C 233/33 20130101;  C07C 233/76 20130101;  C07D 215/20 20130101;  C07C 2602/08 20170501;  C07C 45/00 20130101;  C07C 67/08 20130101;  C07C 69/63 20130101;  C07C 323/22 20130101;  C07C 49/755 20130101;  C07C 275/64 20130101;  C07C 2601/02 20170501;  A61K 31/435 20130101;  C07C 69/78 20130101;  C07C 231/02 20130101;  C07C 233/61 20130101;  C07C 233/32 20130101;  C07C 269/00 20130101;  C07C 69/54 20130101;  C07C 69/618 20130101;  C07C 205/45 20130101;  C07C 271/12 20130101;  C07C 271/64 20130101;  C07C 233/41 20130101;  A61K 31/122 20130101;  C07C 225/22 20130101;  C07C 69/738 20130101;  C07C 49/747 20130101;  C07C 67/00 20130101;  C07C 69/18 20130101;  C07C 69/22 20130101;  C07C 69/28 20130101;  C07C 271/44 20130101;  C07C 69/16 20130101</t>
  </si>
  <si>
    <t>Disclosed are 1,3-Dioxoindene derivatives, pharmaceutically acceptable     salts thereof or enantiomers, a preparation method thereof, and a     pharmaceutical composition for the prevention or treatment of viral     diseases, comprising the same as an active ingredient. The     1,3-Dioxoindene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hepatitis A, myositis,     myocarditis, pancreatitis, diabetes, epidemic myalgia, encephalitis, flu,     herpangina, foot-and-mouth disease, asthma, chronic obstructive pulmonary     disease, pneumonia, sinusitis or otitis media.</t>
  </si>
  <si>
    <t>US20140120131</t>
  </si>
  <si>
    <t>14/146365</t>
  </si>
  <si>
    <t>Morein; Bror; (Uppsala, SE); Lovgren Bengtsson; Karin; (Uppsala, SE)</t>
  </si>
  <si>
    <t>C12N 2760/18634 20130101;  A61P 31/16 20180101;  A61P 31/14 20180101;  A61K 2039/5252 20130101;  C12N 7/00 20130101;  A61K 39/39 20130101;  A61K 39/145 20130101;  A61K 2039/70 20130101;  A61K 2039/525 20130101;  A61P 31/20 20180101;  A61K 39/155 20130101;  A61K 2039/55577 20130101;  C12N 2760/16134 20130101;  A61K 2039/55511 20130101</t>
  </si>
  <si>
    <t>US20140114068</t>
  </si>
  <si>
    <t>14/126485</t>
  </si>
  <si>
    <t>Jung; Young Sik; (Daejeon, KR); Lee; Chong Kgo; (Daejeon, KR); Kim; Hae Soo; (Daejeon, KR); Jeong; Hee Chun; (Daejeon, KR); Kim; Pil Ho; (Daejeon, KR); Han; Soo Bong; (Daejeon, KR); Shin; Jin Soo; (Chungcheongnam-do, KR); Neyts; Johan; (Belgium, BE); Thibaut; Hendrik Jan; (Belgium, BE)</t>
  </si>
  <si>
    <t>C07D 307/93 20130101;  C07D 209/94 20130101;  C07D 407/12 20130101;  C07D 487/04 20130101;  C07D 491/048 20130101;  C07C 233/32 20130101;  C07D 417/12 20130101;  C07D 405/04 20130101;  C07F 9/65517 20130101;  C07D 405/12 20130101;  C07D 409/12 20130101;  C07D 413/12 20130101;  C07D 471/04 20130101</t>
  </si>
  <si>
    <t>Disclosed are novel indanone derivatives, pharmaceutically acceptable     salts thereof or enantiomers, a preparation method thereof, and a     pharmaceutical composition for the prevention or treatment of viral     diseases, comprising the same as an active ingredient. The indanone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hepatitis A, myositis, myocarditis,     pancreatitis, diabetes, epidemic myalgia, encephalitis, flu, herpangina,     foot-and-mouth disease, asthma, chronic obstructive pulmonary disease,     pneumonia, sinusitis or otitis media.</t>
  </si>
  <si>
    <t>US20140112885</t>
  </si>
  <si>
    <t>14/049133</t>
  </si>
  <si>
    <t>A61K 31/4188 20130101;  A61K 31/7072 20130101;  A61K 31/4188 20130101;  A61K 38/21 20130101;  C07F 5/025 20130101;  Y10S 514/894 20130101;  A61K 31/7056 20130101;  A61K 31/7056 20130101;  A61K 38/07 20130101;  A61K 47/60 20170801;  A61P 31/12 20180101;  A61P 43/00 20180101;  A61P 31/14 20180101;  A61K 2300/00 20130101;  A61K 2300/00 20130101;  A61K 31/7064 20130101;  A61K 2300/00 20130101;  A61K 31/7064 20130101;  A61K 45/06 20130101;  C07D 405/12 20130101;  C07D 491/052 20130101;  A61K 38/06 20130101;  A61K 31/7072 20130101;  A61P 1/16 20180101;  A61K 2300/00 20130101</t>
  </si>
  <si>
    <t>US20140095417</t>
  </si>
  <si>
    <t>SDI (SDI FOR EPI-DEMICS)</t>
  </si>
  <si>
    <t>14/043498</t>
  </si>
  <si>
    <t>HERZ, FREDERICK S. M.</t>
  </si>
  <si>
    <t>HERZ FREDERICK</t>
  </si>
  <si>
    <t>Herz; Frederick S.M.; (Milton, WV); Labys; Walter Paul; (Fairfax, VA); Madan; Bhupinder; (Basking Ridge, NJ); Gertner; Yael; (Champaign, IL); Kannan; Sampath; (Philadelphia, PA)</t>
  </si>
  <si>
    <t>G16H 50/80 20180101;  G06N 99/005 20130101</t>
  </si>
  <si>
    <t>A computer system is adapted to predict the likelihood, temporal (or     developmental) state, possible location(s), rate of spread or     "infectiousness", etc. of a potential epidemic. A wide and diverse range     of inputs and associated parameters are inputted into the system some of     which may be statistically correlatable with certain hidden states     including those which are temporally oriented disease stages of     progression as well as other types of attributes. A Dynamic Bayesian     Belief Network or other adaptive or machine learning method is used for     the probabilistic analysis. The system statistically analyzes and     reanalyzes the totality of all recently updated information (and within     the context of all past information), as can efficiently be modeled by     the Dynamic Bayesian Belief Network or other adaptive or machine learning     method to provide updated predictions and to suggest a recommended     reactive protocol to an epidemic.</t>
  </si>
  <si>
    <t>US20140094610</t>
  </si>
  <si>
    <t>PROCESS FOR THE PREPARATION OF AN HIV INTEGRASE INHIBITOR</t>
  </si>
  <si>
    <t>14/045033</t>
  </si>
  <si>
    <t>LI; Wenjie; (Hopewell Junction, NY); DECROOS; Philomen; (Middlebury, CT); FANDRICK; Keith R.; (Sandy Hook, CT); GAO; Joe Ju; (Southbury, CT); HADDAD; Nizar; (Danbury, CT); LU; Zhi-Hui; (Newtown, CT); QU; Bo; (Brookfield, CT); RODRIGUEZ; Sonia; (New Milford, CT); SENANAYAKE; Chris H.; (Brookfield, CT); ZHANG; Yongda; (Sandy Hook, CT); TANG; Wenjun; (Southbury, CT)</t>
  </si>
  <si>
    <t>C07D 401/02 20130101;  C07D 409/04 20130101;  C07D 215/14 20130101;  C07D 409/02 20130101;  C07D 405/04 20130101;  C07D 491/06 20130101;  C07D 401/04 20130101;  C07D 417/04 20130101;  C07D 405/02 20130101;  C07D 417/02 20130101</t>
  </si>
  <si>
    <t>The present invention is directed to an improved process for the     preparation of Compounds of Formula (I) or salts thereof which are useful     in the treatment of HIV infection. In particular, the present invention     is directed to an improved process for the preparation of     (2S)-2-tert-butoxy-2-(4-(2,3-dihydropyrano[4,3,2-de]quinolin-7-yl)-2-meth-    ylquinolin-3-yl)acetic acid or salt thereof which is useful in the     treatment of HIV infection.</t>
  </si>
  <si>
    <t>US20140094609</t>
  </si>
  <si>
    <t>14/044189</t>
  </si>
  <si>
    <t>Brown; Brandon H.; (Burlingame, CA); Wang; Xiang; (Foster City, CA); Fandrick; Keith R.; (Sandy Hook, CT); Gao; Joe Ju; (Southbury, CT); Haddad; Nizar; (Danbury, CT); Landry; Serge R.; (Saint-Jerome, CA); Li; Wenjie; (Hopewell Junction, NY); Lu; Zhi-Hui; (Newtown, CT); Qu; Bo; (Brookfield, CT); Reeves; Diana C.; (New Milford, CT); Thibeault; Carl; (Mascouche, CA); Zhang; Yongda; (Sandy Hook, CT)</t>
  </si>
  <si>
    <t>C07D 491/04 20130101;  C07D 401/04 20130101;  C07D 215/14 20130101;  C07D 417/04 20130101;  C07D 405/04 20130101;  C07D 409/04 20130101;  C07D 491/06 20130101</t>
  </si>
  <si>
    <t>The present invention is directed to an improved process for the     preparation of Compounds of Formula (I), which are useful in the     treatment of HIV infection. In particular, the present invention is     directed to an improved process for the preparation of     (2S)-2-tert-butoxy-2-(4-(2,3-dihydropyrano[4,3,2-de]quinolin-7-yl)-2-meth-    ylquinolin-3-yl)acetic acid, which is useful in the treatment of HIV     infection.</t>
  </si>
  <si>
    <t>US20140094486</t>
  </si>
  <si>
    <t>SOLID STATE FORMS OF HIV INHIBITOR</t>
  </si>
  <si>
    <t>14/045037</t>
  </si>
  <si>
    <t>LI; Zheng Jane; (Southbury, CT); LI; Zhibin; (Berlin, CT); LUO; Laibin; (Pierrefonds, CA); OFFERDAHL; Thomas; (Torrington, CT); KIM; Soojin; (Demarest, NJ); YANG; Bing-Shiou; (Southbury, CT)</t>
  </si>
  <si>
    <t>A61P 43/00 20180101;  C07D 491/06 20130101;  A61K 45/06 20130101;  A61K 31/435 20130101;  A61P 31/12 20180101;  A61K 31/436 20130101;  A61P 31/18 20180101</t>
  </si>
  <si>
    <t>The invention relates to novel crystalline forms of     (2S)-2-tert-butoxy-2-(4-(2,3-dihydropyrano[4,3,2-de]quinolin-7-yl)-2-meth-    ylquinolin-3-yl)acetic acid, the hydrochloride salt thereof, novel     crystalline forms of the hydrochloride salt, methods for the preparation     thereof, pharmaceutical compositions thereof and their use in the     treatment of Human Immunodeficiency Virus (HIV) infection.</t>
  </si>
  <si>
    <t>US20140094485</t>
  </si>
  <si>
    <t>14/044193</t>
  </si>
  <si>
    <t>Brown; Brandon H.; (Burlingame, CA); Carra; Ernest Anthony; (Foster City, CA); Wang; Xiang; (Foster City, CA)</t>
  </si>
  <si>
    <t>C07D 491/052 20130101;  A61K 31/4741 20130101;  A61P 31/18 20180101;  A61K 2300/00 20130101;  A61K 31/4741 20130101;  C07D 491/06 20130101;  A61K 45/06 20130101</t>
  </si>
  <si>
    <t>The invention relates to a novel hemi-succinate salt form of     (2S)-2-tert-butoxy-2-(4-(2,3-dihydropyrano[4,3,2-de]quinolin-7-yl)-2-meth-    ylquinolin-3-yl)acetic acid and a novel crystalline form thereof, methods     for the preparation thereof, pharmaceutical compositions thereof and     their use in the treatment of Human Immunodeficiency Virus (HIV)     infection.</t>
  </si>
  <si>
    <t>US20140087369</t>
  </si>
  <si>
    <t>INFECTION DETECTION METHODS AND SYSTEMS AND RELATED COMPOUNDS AND     COMPOSITIONS</t>
  </si>
  <si>
    <t>14/092609</t>
  </si>
  <si>
    <t>LOS ALAMOS NATIONAL SECURITY, LLC</t>
  </si>
  <si>
    <t>LOS ALAMOS NATIONAL SECURITY</t>
  </si>
  <si>
    <t>Schmidt; Jurgen G.; (Los Alamos, NM); Wolfenden; Mark; (Los Alamos, NM); Anderson; Aaron; (Los Alamos, NM); Harris; Jennifer Foster; (Los Alamos, NM)</t>
  </si>
  <si>
    <t>G01N 2333/115 20130101;  C12Q 1/34 20130101;  C07H 15/04 20130101;  Y02A 50/52 20180101;  G01N 2333/924 20130101;  C07H 15/203 20130101;  A61K 49/00 20130101;  C07H 15/207 20130101;  G01N 2333/28 20130101;  C07H 17/04 20130101;  G01N 2333/21 20130101;  C12Q 1/14 20130101;  G01N 2333/285 20130101;  C12Q 1/10 20130101;  C07H 15/18 20130101;  G01N 2333/11 20130101</t>
  </si>
  <si>
    <t>A compound, or a pharmaceutically acceptable salt, ester, hydrate or     solvate thereof, comprising formula I:  A-B   wherein A comprises a carbohydrate that is a neuraminidase or     galactosidase substrate; B comprises an odorant moiety; B is covalently     bonded to an anomeric carbon of A; and A is enzymatically cleavable from     B at the covalent bond site between A and B. Also disclosed are methods     for detecting a pathogen with neuraminidase activity or galactosidase     activity that include contacting the compound with a sample that may     include the pathogen.</t>
  </si>
  <si>
    <t>US20140086794</t>
  </si>
  <si>
    <t>PREVENTION METHOD AND PREVENTIVE SOLIDIFIED SUBSTANCE, METHOD FOR APPLYING     PREVENTIVE SOLIDIFIED SUBSTANCE, BASE MATERIAL AND MATERIAL USED IN     APPLICATION OF PREVENTIVE SOLIDIFIED SUBSTANCE, AND METHOD FOR PRODUCING     PREVENTING SOLIDIFIED SUBSTANCE</t>
  </si>
  <si>
    <t>14/002848</t>
  </si>
  <si>
    <t>SUNRISE SANGYO CO., LTD</t>
  </si>
  <si>
    <t>SUNRISE SANGYO</t>
  </si>
  <si>
    <t>Maruyama; Junzou; (Amagasaki-shi, JP); Matsumoto; Tetsuya; (Amagasaki-shi, JP); Fukumoto; Shigeru; (Kagoshima-shi, JP); Nakamizo; Junichi; (Kagoshima-shi, JP); Hirakawa; Yasuto; (Kumamoto-shi, JP)</t>
  </si>
  <si>
    <t>A01N 25/04 20130101;  C09D 5/14 20130101;  A61L 2/232 20130101;  C09D 7/61 20180101;  C09D 5/024 20130101;  A01N 25/02 20130101;  A01N 25/04 20130101;  A01N 37/02 20130101;  A01N 59/00 20130101;  A01N 59/06 20130101;  A01N 59/26 20130101</t>
  </si>
  <si>
    <t>Provided is an epidemic prevention method including providing a mixed     slurry comprising an emulsion of a non-alkaline-thickening resin which is     free from a coagulation-attributable viscosity increase even when mixed     with an alkaline substance and an alkaline substance of which a diluted     solution has pH 10.0 or more, and coating, drying, and solidifying the     mixed slurry to internally disperse and embed the alkaline substance in     the form of solid particles and simultaneously to form a solidified     matter provided with microcracks communicated with the solid particles of     the internal alkaline substance, so that a moisture which adheres to a     surface of the solidified matter permeates through the microcracks and     dissolves the solid particles of the internal alkaline substance to cause     alkalinity of pH 10.0 or more to be exhibited on the surface of the     solidified matter, thereby inactivating microbes and viruses on the     surface of the solidified matter.</t>
  </si>
  <si>
    <t>US20140079702</t>
  </si>
  <si>
    <t>14/026467</t>
  </si>
  <si>
    <t>Smith; Jeffrey T. L.; (Redmond, WA)</t>
  </si>
  <si>
    <t>C07K 2317/56 20130101;  A61K 39/3955 20130101;  C07K 2317/92 20130101;  C07K 2317/76 20130101;  G01N 2800/52 20130101;  A61K 45/06 20130101;  G01N 2333/4737 20130101;  C07K 2317/24 20130101;  C07K 2317/565 20130101;  A61K 2039/505 20130101;  C07K 16/248 20130101;  C07K 2317/34 20130101;  A61K 39/395 20130101;  C07K 2317/41 20130101;  G01N 2333/765 20130101</t>
  </si>
  <si>
    <t>US20140072554</t>
  </si>
  <si>
    <t>14/069685</t>
  </si>
  <si>
    <t>A61K 31/55 20130101;  A61P 11/00 20180101;  C07D 487/04 20130101;  C07D 495/04 20130101;  A61K 45/06 20130101;  C07D 513/04 20130101;  C07F 9/65616 20130101;  A61P 31/14 20180101;  A61K 31/675 20130101;  A61P 31/12 20180101;  A61P 31/16 20180101;  A61K 31/551 20130101;  A61K 31/5377 20130101;  C07D 519/00 20130101;  A61K 31/519 20130101</t>
  </si>
  <si>
    <t>US20140064462</t>
  </si>
  <si>
    <t>PANDEMIC PROTOCOL FOR EMERGENCY DISPATCH</t>
  </si>
  <si>
    <t>13/605501</t>
  </si>
  <si>
    <t>CLAWSON JEFFREY J</t>
  </si>
  <si>
    <t>CLAWSON JEFFREY</t>
  </si>
  <si>
    <t>Clawson; Jeffrey J.; (Salt Lake City, UT)</t>
  </si>
  <si>
    <t>H04M 3/5116 20130101;  G16H 50/20 20180101;  Y02A 90/24 20180101;  Y02A 90/26 20180101;  Y02A 90/22 20180101;  G16H 50/80 20180101</t>
  </si>
  <si>
    <t>Systems and methods are provided to guide an emergency dispatcher in     responding to emergency calls involving a patient manifesting symptoms of     a pandemic illness. The systems and methods may include an emergency     dispatch protocol configured to facilitate uniform and consistent     gathering of information concerning the emergency situation. The     emergency medical dispatch protocol may include one or more dispatch     protocols configured for particular emergency situations, such as to aid     the dispatcher in processing calls relating to a pandemic illness (e.g.,     severe respiratory infection like influenza). The emergency dispatch     protocol may present a pre-scripted interrogation, including     preprogrammed inquiries for a dispatcher to ask the caller. The     pre-scripted interrogation of the dispatch protocol facilitates uniform     and consistent gathering of symptom information relating to a pandemic     outbreak. The information may be received and stored and/or processed to     determine a determinant value corresponding to an appropriate emergency     dispatch response.</t>
  </si>
  <si>
    <t>US20140057863</t>
  </si>
  <si>
    <t>MODIFIED NUCLEOSIDES FOR THE TREATMENT OF VIRAL INFECTIONS AND ABNORMAL     CELLULAR PROLIFERATION</t>
  </si>
  <si>
    <t>13/908098</t>
  </si>
  <si>
    <t>Stuyver; Lieven; (Snellville, GA); Watanabe; Kyoichi; (Stone Mountain, GA)</t>
  </si>
  <si>
    <t>C12Q 1/689 20130101;  A61P 35/00 20180101;  C07H 19/20 20130101;  A61P 31/16 20180101;  C07H 19/06 20130101;  A61K 31/7064 20130101;  C07H 19/10 20130101;  A61P 31/12 20180101;  C12Q 1/6809 20130101;  A61P 1/16 20180101;  A61P 3/12 20180101;  A61P 17/00 20180101;  A61P 43/00 20180101;  A61P 19/02 20180101;  A61K 31/7076 20130101;  A61P 17/12 20180101;  A61P 37/06 20180101;  C07H 19/16 20130101;  C12Q 1/6895 20130101;  A61P 27/02 20180101;  A61P 9/10 20180101;  C07H 21/04 20130101;  A61P 31/14 20180101;  A61P 37/02 20180101;  C07H 19/048 20130101;  A61P 17/06 20180101;  Y02A 50/393 20180101;  A61P 31/00 20180101;  A61P 35/02 20180101;  A61P 13/12 20180101;  A61P 29/00 20180101;  C12Q 1/6809 20130101;  C12Q 2563/161 20130101</t>
  </si>
  <si>
    <t>The disclosed invention is a composition for and a method of treating a     Flaviviridae (including BVDV and HCV), Orthomyxoviridae (including     Influenza A and B) or Paramyxoviridae (including RSV) infection, or     conditions related to abnormal cellular proliferation, in a host,     including animals, and especially humans, using a nucleoside of general     formula (I)-(XXIII) or its pharmaceutically acceptable salt or prodrug. This invention also provides an effective process to quantify the viral     load, and in particular BVDV, HCV or West Nile Virus load, in a host,     using real-time polymerase chain reaction ("RT-PCR"). Additionally, the     invention discloses probe molecules that can fluoresce proportionally to     the amount of virus present in a sample.</t>
  </si>
  <si>
    <t>US20140052779</t>
  </si>
  <si>
    <t>SURVEILLANCE, MONITORING AND REAL-TIME EVENTS PLATFORM</t>
  </si>
  <si>
    <t>14/065316</t>
  </si>
  <si>
    <t>OBJECTSTORE, INC.</t>
  </si>
  <si>
    <t>OBJECTSTORE</t>
  </si>
  <si>
    <t>Britton; Colin P.; (Lexington, MA); Greenblatt; Howard; (Wayland, MA); Greenblatt; Alan; (Sudbury, MA)</t>
  </si>
  <si>
    <t>H04L 67/42 20130101;  G16H 50/80 20180101;  G16H 50/20 20180101</t>
  </si>
  <si>
    <t>Systems and methods according to the invention provide a surveillance,     monitoring and real-time events platform to (i) enable the integration     and communication of information between government agencies and     organizations specifically tasked with ensuring the security and safety     of our nation and its communities, (ii) to integrate information systems     from federal, state and/or local agencies (from disparate data sources if     necessary) in order to obtain a single, real-time view of the entire     organization, and (iii) to extract more complete, actionable information     from their existing systems, thereby dramatically improving decision     making speed and accuracy.</t>
  </si>
  <si>
    <t>US20140051867</t>
  </si>
  <si>
    <t>13/801039</t>
  </si>
  <si>
    <t>EVANS; Jared Wayne; (Belmont, CA); Fujimori; Shinji; (San Francisco, CA); Huynh; Grace M.; (San Francisco, CA); Liu; Qi; (Union City, CA); Teresk; Martin Gerald; (San Jose, CA)</t>
  </si>
  <si>
    <t>US20140051866</t>
  </si>
  <si>
    <t>13/801011</t>
  </si>
  <si>
    <t>Watkins; William John; (Saratoga, CA); Liu; Qi; (Union City, CA)</t>
  </si>
  <si>
    <t>C07D 409/12 20130101;  C07D 333/36 20130101;  A61P 31/12 20180101</t>
  </si>
  <si>
    <t>The present disclosure provides a processes for the preparation of a     compound of Formula I:  ##STR00001## which is useful as an antiviral agent. The disclosure also provides     compounds that are synthetic intermediates to compounds of Formula I.</t>
  </si>
  <si>
    <t>US20140051749</t>
  </si>
  <si>
    <t>13/800991</t>
  </si>
  <si>
    <t>A61K 31/7072 20130101;  A61K 45/06 20130101;  A61P 1/16 20180101;  A61P 31/12 20180101;  A61K 31/381 20130101;  A61K 31/7056 20130101;  A61P 43/00 20180101;  C07D 409/12 20130101;  A61P 31/14 20180101;  A61K 31/4184 20130101;  C07D 407/04 20130101;  C07D 471/08 20130101</t>
  </si>
  <si>
    <t>US20140051656</t>
  </si>
  <si>
    <t>13/956195</t>
  </si>
  <si>
    <t>Guo; Hongyan; (San Mateo, CA); Kato; Darryl; (San Francisco, CA); Kirschberg; Thorsten A.; (Redwood City, CA); Liu; Hongtao; (Foster City, CA); Link; John O.; (San Francisco, CA); Mitchell; Michael L.; (Hayward, CA); Parrish; Jay P.; (Redwood City, CA); Sun; Jianyu; (Surrey, CA); Taylor; James; (San Mateo, CA); Bacon; Elizabeth M.; (Burlingame, CA); Canales; Eda; (San Mateo, CA); Cho; Aesop; (Mountain View, CA); Kim; Choung U.; (San Carlos, CA); Cottell; Jeromy J.; (Redwood City, CA); Desai; Manoj C.; (Pleasant Hill, CA); Halcomb; Randall L.; (Foster City, CA); Graupe; Michael; (Pacifica, CA); Krygowski; Evan S.; (Belmont, CA); Lazerwith; Scott E.; (San Francisco, CA); Liu; Qi; (Union City, CA); Mackman; Richard L.; (Millbrae, CA); Pyun; Hyung-Jung; (Fremont, CA); Saugier; Joseph H.; (Livermore, CA); Trenkle; James D.; (Oakland, CA); Tse; Winston C.; (Redwood City, CA); Vivian; Randall W.; (San Mateo, CA); Schroeder; Scott D.; (Foster City, CA); Watkins; William J.; (Saratoga, CA); Xu; Lianhong; (Palo Alto, CA)</t>
  </si>
  <si>
    <t>A61K 45/06 20130101;  C07D 401/14 20130101;  C07D 403/14 20130101;  A61K 31/4178 20130101;  C07D 471/08 20130101;  A61K 31/5415 20130101;  A61K 31/5377 20130101;  A61K 31/55 20130101;  A61P 31/12 20180101;  C07D 403/04 20130101;  C07D 417/14 20130101;  C07D 471/10 20130101;  C07D 495/04 20130101;  A61K 31/4439 20130101;  C07D 405/14 20130101;  A61K 31/4025 20130101;  C07D 491/113 20130101;  A61K 31/496 20130101;  C07D 471/04 20130101;  C07D 487/04 20130101;  C07F 5/025 20130101;  A61K 31/454 20130101;  C07D 409/14 20130101;  A61K 31/4184 20130101;  C07D 413/14 20130101;  A61K 31/435 20130101;  C07D 207/16 20130101;  A61K 31/437 20130101;  A61K 31/519 20130101;  A61K 31/427 20130101</t>
  </si>
  <si>
    <t>US20140051626</t>
  </si>
  <si>
    <t>13/932945</t>
  </si>
  <si>
    <t>Cottell; Jeromy J.; (Redwood City, CA); Link; John O.; (San Francisco, CA); Schroeder; Scott D.; (Foster City, CA); Taylor; James; (Burlingame, CA); Tse; Winston C.; (San Mateo, CA); Vivian; Randall W.; (San Mateo, CA); Yang; Zheng-Yu; (Palo Alto, CA)</t>
  </si>
  <si>
    <t>A61P 31/12 20180101;  C07K 5/0804 20130101;  C07D 403/12 20130101;  C07D 401/14 20130101;  A61P 1/16 20180101;  A61P 43/00 20180101;  C07D 413/14 20130101;  C07D 495/04 20130101;  C07D 207/16 20130101;  C07K 5/0808 20130101;  C07D 417/14 20130101;  C07K 5/0821 20130101;  C07K 5/0812 20130101;  C07D 405/14 20130101;  A61P 31/14 20180101;  C07D 487/04 20130101;  A61K 38/00 20130101;  C07D 401/12 20130101;  C07D 403/04 20130101</t>
  </si>
  <si>
    <t>US20140046620</t>
  </si>
  <si>
    <t>Wireless Transmission Of Temperature Data For A Geographic Area</t>
  </si>
  <si>
    <t>14/057996</t>
  </si>
  <si>
    <t>A61B 5/0008 20130101;  G06F 17/18 20130101;  G01K 13/002 20130101;  G01K 1/026 20130101;  G01J 5/02 20130101;  G01J 5/027 20130101;  G01J 5/0022 20130101;  G01J 5/025 20130101;  G01K 1/02 20130101;  G01K 1/024 20130101;  G01J 5/0025 20130101</t>
  </si>
  <si>
    <t>US20140039021</t>
  </si>
  <si>
    <t>14/045717</t>
  </si>
  <si>
    <t>Bacon; Elizabeth; (Burlingame, CA); Canales; Eda; (San Mateo, CA); Cho; Aesop; (Mountain View, CA); Cottell; Jeromy; (Redwood City, CA); Desai; Mano; (Pleasant Hill, CA); Graupe; Michael; (Pacifica, CA); Guo; Hongyan; (San Mateo, CA); Halcomb; Randall; (Foster City, CA); Kato; Darryl; (San Francisco, CA); Kim; Choung U.; (San Carlos, CA); Kirschberg; Thorsten A.; (Redwood City, CA); Krygowski; Evan; (Washington, DC); Lazerwith; Scott; (San Francisco, CA); Link; John; (San Francisco, CA); Liu; Hongtao; (Cupertino, CA); Liu; Qi; (Union City, CA); Mackman; Richard; (Millbrae, CA); Mitchell; Michael; (Castro Valley, CA); Parrish; Jay; (El Dorado Hills, CA); Pyun; Hyung-Jung; (Fremont, CA); Saugier; Joseph; (Livermore, CA); Schroeder; Scott; (Foster City, CA); Sun; Jianyu; (Surrey, CA); Taylor; James; (San Mateo, CA); Trenkle; James; (Oakland, CA); Tse; Winston; (Redwood City, CA); Vivian; Randall; (San Mateo, CA); Watkins; William; (Saratoga, CA); Xu; Lianhong; (Palo Alto, CA)</t>
  </si>
  <si>
    <t>A61K 31/4184 20130101;  C07D 403/14 20130101;  C07D 409/14 20130101;  C07D 471/10 20130101;  C07D 495/04 20130101;  A61K 31/454 20130101;  A61K 31/5377 20130101;  A61K 31/55 20130101;  A61K 31/427 20130101;  C07D 491/113 20130101;  A61K 31/435 20130101;  A61K 31/437 20130101;  A61K 45/06 20130101;  A61K 31/4439 20130101;  A61K 31/496 20130101;  C07D 471/04 20130101;  C07D 471/08 20130101;  C07D 401/14 20130101;  C07D 403/04 20130101;  C07D 405/14 20130101;  C07D 487/04 20130101;  C07D 413/14 20130101;  C07F 5/025 20130101;  A61K 31/5415 20130101;  C07D 207/16 20130101;  A61K 31/4025 20130101;  A61K 31/4178 20130101;  A61P 31/12 20180101;  C07D 417/14 20130101;  A61K 31/519 20130101</t>
  </si>
  <si>
    <t>US20140035744</t>
  </si>
  <si>
    <t>14/049308</t>
  </si>
  <si>
    <t>US20140030223</t>
  </si>
  <si>
    <t>INHIBITORS OF FLAVIVIRIDAE VIRUSES</t>
  </si>
  <si>
    <t>14/037296</t>
  </si>
  <si>
    <t>Canales; Eda; (San Mateo, CA); Chong; Lee S.; (Newark, CA); Clarke; Michael O'Neil Hanrahan; (Redwood City, CA); Doerffler; Edward; (Union City, CA); Lazerwith; Scott E.; (San Francisco, CA); Lew; Willard; (San Mateo, CA); Liu; Qi; (Foster City, CA); Martzman; Michael; (Belmont, CA); Morganelli; Philip Anthony; (Oakland, CA); Watkins; William J.; (Saratoga, CA); Ye; Hong; (Richmond, CA)</t>
  </si>
  <si>
    <t>C07D 493/04 20130101;  C07D 409/14 20130101;  A61P 43/00 20180101;  A61P 31/12 20180101;  C07D 417/12 20130101;  A61K 31/513 20130101;  A61K 31/427 20130101;  A61K 31/4436 20130101;  A61K 31/497 20130101;  C07D 413/12 20130101;  C07D 409/12 20130101;  A61K 45/06 20130101;  A61P 31/14 20180101;  C07D 487/04 20130101;  A61K 31/4709 20130101;  C07D 333/68 20130101;  A61K 31/501 20130101;  A61P 1/16 20180101</t>
  </si>
  <si>
    <t>Provided are compounds of Formula I:  ##STR00001## and pharmaceutically acceptable salts and esters thereof. The compounds,     compositions, and methods provided are useful for the treatment of     Flaviviridae virus infections, particularly hepatitis C infections.</t>
  </si>
  <si>
    <t>US20140023616</t>
  </si>
  <si>
    <t>13/942501</t>
  </si>
  <si>
    <t>Appleby; Todd; (San Francisco, CA); Fliri; Hans G.; (Essex, GB); Kaets; Andrew J.; (Essex, GB); Lazarides; Linos; (London, GB); Mackman; Richard L.; (Millbrae, CA); Pettit; Simon N.; (Essex, GB); Poullennec; Karine G.; (Essex, GB); Sanvoisin; Jonathan; (Essex, GB); Steadman; Victoria A.; (Essex, GB); Watt; Gregory M.; (Bristol, GB)</t>
  </si>
  <si>
    <t>C07D 487/08 20130101;  C07K 5/06052 20130101;  A61K 45/06 20130101;  A61P 31/18 20180101;  A61P 31/00 20180101;  A61P 31/14 20180101;  C07D 498/08 20130101;  A61P 31/12 20180101;  C07D 498/18 20130101;  A61K 38/06 20130101;  A61P 31/10 20180101;  C07D 487/04 20130101;  C07K 5/02 20130101</t>
  </si>
  <si>
    <t>US20140017198</t>
  </si>
  <si>
    <t>13/934090</t>
  </si>
  <si>
    <t>Bjornson; Kyla; (San Lorenzo, CA); Canales; Eda; (San Mateo, CA); Cottell; Jeromy J.; (Redwood City, CA); Karki; Kapil Kumar; (Foster City, CA); Katana; Ashley Anne; (San Mateo, CA); Kato; Darryl; (San Francisco, CA); Kobayashi; Tetsuya; (Sunnyvale, CA); Link; John O.; (San Francisco, CA); Martinez; Ruben; (South San Francisco, CA); Phillips; Barton W.; (San Mateo, CA); Pyun; Hyung-Jung; (Fremont, CA); Sangi; Michael; (Oakland, CA); Schrier; Adam James; (Redwood City, CA); Siegel; Dustin; (Foster City, CA); Taylor; James G.; (San Mateo, CA); Tran; Chinh Viet; (San Diego, CA); Trejo Martin; Teresa Alejandra; (Union City, CA); Vivian; Randall W.; (San Mateo, CA); Yang; Zheng-Yu; (Palo Alto, CA); Zablocki; Jeff; (Los Altos, CA); Zipfel; Sheila; (San Mateo, CA)</t>
  </si>
  <si>
    <t>A61K 31/4745 20130101;  A61K 45/06 20130101;  A61K 31/498 20130101;  C07D 498/16 20130101;  C07D 498/22 20130101;  A61K 31/401 20130101;  A61K 31/506 20130101;  A61K 38/21 20130101;  A61P 31/00 20180101;  C07D 241/36 20130101;  A61K 38/00 20130101;  A61P 31/12 20180101;  A61K 31/10 20130101;  C07K 5/0808 20130101;  A61P 1/16 20180101;  C07K 5/0827 20130101;  A61K 38/21 20130101;  A61K 31/519 20130101;  A61K 38/06 20130101;  A61K 2300/00 20130101;  A61K 31/4985 20130101;  C07D 403/14 20130101;  A61P 31/14 20180101;  C07K 5/0812 20130101;  A61P 43/00 20180101;  C07K 5/08 20130101;  A61P 31/10 20180101</t>
  </si>
  <si>
    <t>Compounds of Formula I are disclosed  ##STR00001##    As well as pharmaceutically acceptable salts thereof.     Methods of using said compounds and pharmaceutical compositions     containing said compounds are also disclosed.</t>
  </si>
  <si>
    <t>US20140012509</t>
  </si>
  <si>
    <t>METHODS AND SYSTEMS FOR SYNCHRONIZATION AND DISTRIBUTION OF MULTIPLE     PHYSIOLOGICAL AND PERFORMANCE MEASURES</t>
  </si>
  <si>
    <t>13/543555</t>
  </si>
  <si>
    <t>Barber; Daniel; (Orlando, FL)</t>
  </si>
  <si>
    <t>G06F 19/3418 20130101;  G16H 50/80 20180101;  G06F 3/015 20130101;  G06F 3/013 20130101</t>
  </si>
  <si>
    <t>Methods and systems are disclosed including receiving, by circuitry of a     computer, physiological data comprising physiological information     gathered by a physiological sensor regarding a subject, the subject     having physiological reactions to an event that is external to the     subject, wherein at least one of the physiological data also comprises a     first time at which the physiological data was recorded, wherein the     first time is based on a global reference time frame; receiving     non-physiological data comprising information regarding the external     event, wherein at least one of the non-physiological data also comprises     a second time at which the non-physiological data was recorded, wherein     the second time is based on the global reference time frame; correlating     the physiological data with the non-physiological data based on the first     and second times; and generating physiological reaction data indicative     of a physiological reaction of the subject to the external event.</t>
  </si>
  <si>
    <t>US20140011982</t>
  </si>
  <si>
    <t>Antibodies Against Influenza Virus and Methods of Use Thereof</t>
  </si>
  <si>
    <t>13/965092</t>
  </si>
  <si>
    <t>Marasco; Wayne A.; (Wellesley, MA); Sui; Jianhua; (Waltham, MA); Liddington; Robert C.; (La Jolla, CA)</t>
  </si>
  <si>
    <t>C07K 2319/00 20130101;  C12N 2760/16122 20130101;  C07K 2319/40 20130101;  C07K 2317/565 20130101;  C07K 2317/622 20130101;  C07K 2317/92 20130101;  C07K 2317/76 20130101;  C07K 16/1018 20130101;  C07K 2317/21 20130101;  C07K 2317/52 20130101;  A61P 31/16 20180101;  A61K 2039/505 20130101;  C07K 14/005 20130101</t>
  </si>
  <si>
    <t>US20140011260</t>
  </si>
  <si>
    <t>POL I PROMOTER DERIVED FROM VERO CELLS AND RECOMBINANT VECTOR CONTAINING     SAME</t>
  </si>
  <si>
    <t>14/029465</t>
  </si>
  <si>
    <t>CHUNGBUK NATIONAL UNIVERSITY INDUSTRY-ACADEMIC COOPERATION FOUNDATION</t>
  </si>
  <si>
    <t>Choi; Young Ki; (Cheongju, KR); Kang; Chun; (Yeongi-Gun, KR); Hong; Kee Jong; (Seoul, KR); Song; Min Suk; (Cheongju, KR); Baek; Yun Hee; (Cheongju, KR)</t>
  </si>
  <si>
    <t>C12N 15/85 20130101;  C12N 7/00 20130101;  C12N 2830/85 20130101;  C12N 9/1252 20130101;  C12N 2760/16151 20130101;  C12N 2760/16052 20130101;  C12N 2760/16051 20130101;  C12N 2760/16152 20130101;  C12Y 207/07007 20130101</t>
  </si>
  <si>
    <t>The present invention relates to a pol I promoter derived from Vero cells     and a recombinant vector containing the same. When the pol I promoter     derived from Vero cells according to the present invention is utilized,     viruses can be manufactured efficiently, and consequently, the     manufacture of both seasonal influenza vaccine and pandemic vaccine can     be prepared more quickly to usefully address either situation.</t>
  </si>
  <si>
    <t>US20140010840</t>
  </si>
  <si>
    <t>14/001228</t>
  </si>
  <si>
    <t>A61K 39/12 20130101;  C12N 2760/18762 20130101;  A61K 39/165 20130101;  A61K 2039/5254 20130101;  A61K 2039/5256 20130101;  A61K 2039/543 20130101;  C12N 2760/18534 20130101;  C12N 2760/18734 20130101;  C12N 2760/18743 20130101;  C07K 16/1027 20130101;  C07K 16/241 20130101;  C07K 2317/34 20130101;  C12N 7/00 20130101;  C12N 2760/18721 20130101;  A61K 39/155 20130101</t>
  </si>
  <si>
    <t>The present invention provides the complete genomic sequence of the     epidemic mumps virus (MuV) strain MuV.sup.Iowa/us/06. Further, a reverse     genetics system was constructed and used to rescue recombinant viral     constructs that are attenuated compared to MuV.sup.Iowa/us/06 and JL     vaccine viruses. Such constructs include viral constructs lacking the     open reading frame (ORF) of the SH gene (rMuV.DELTA.SH) and/or incapable     of expressing the V protein (rMuV.DELTA.V).</t>
  </si>
  <si>
    <t>US20130344030</t>
  </si>
  <si>
    <t>13/913288</t>
  </si>
  <si>
    <t>GILEAD SCIENCES INC; SELCIA LTD</t>
  </si>
  <si>
    <t>GILEAD SCIENCES INC; SELCIA</t>
  </si>
  <si>
    <t>Steadman; Victoria Alexandra; (Stansted, GB); Poullennec; Karine G.; (Chelmsform, GB); Lazarides; Linos; (London, GB); Aciro; Caroline; (Bottisham, GB); Dean; David Kenneth; (Ware, GB); Keats; Andrew John; (Chelmsford, GB); Siegel; Dustin Scott; (Foster City, CA); Schrier; Adam James; (Redwood City, CA); Mackman; Richard; (Millbrae, CA); Jansa; Petr; (San Mateo, CA)</t>
  </si>
  <si>
    <t>Y02A 50/387 20180101;  A61P 29/00 20180101;  Y02A 50/393 20180101;  Y02A 50/389 20180101;  A61P 31/18 20180101;  C07K 5/0202 20130101;  A61P 3/04 20180101;  A61K 39/05 20130101;  A61P 11/00 20180101;  C07K 5/02 20130101;  A61P 1/14 20180101;  A61P 37/02 20180101;  Y02A 50/395 20180101;  A61K 38/00 20130101;  A61P 31/12 20180101;  A61P 43/00 20180101;  C07D 498/08 20130101;  C07D 498/22 20130101;  A61P 1/16 20180101;  C07D 498/18 20130101;  Y02A 50/385 20180101;  A61P 31/20 20180101;  A61P 31/14 20180101;  A61P 35/00 20180101;  Y02A 50/391 20180101;  A61K 38/12 20130101;  A61P 31/00 20180101;  C07D 487/08 20130101;  A61K 45/06 20130101;  A61K 39/29 20130101;  A61K 38/15 20130101</t>
  </si>
  <si>
    <t>US20130344029</t>
  </si>
  <si>
    <t>13/913184</t>
  </si>
  <si>
    <t>Aciro; Caroline; (Bottisham, GB); Steadman; Victoria Alexandra; (Stansted, GB); Pettit; Simon Neil; (Colchester, GB); Poullennac; Karine G.; (Chelmsform, GB); Lazarides; Linos; (London, GB); Dean; David Kenneth; (Ware, GB); Dunbar; Neil Andrew; (Chelmsford, GB); Highton; Adrian John; (Chelmsford, GB); Keats; Andrew John; (Chelmsford, GB); Siegel; Dustin Scott; (Foster City, CA); Karki; Kapil Kumar; (Foster City, CA); Schrier; Adam James; (Redwood City, CA); Jansa; Petr; (San Mateo, CA); Mackman; Richard; (Millbrae, CA)</t>
  </si>
  <si>
    <t>A61K 31/7056 20130101;  C07K 5/06034 20130101;  A61P 31/18 20180101;  Y02A 50/387 20180101;  C07D 487/08 20130101;  A61P 29/00 20180101;  C07D 471/18 20130101;  A61P 35/00 20180101;  A61K 45/06 20130101;  A61K 39/29 20130101;  A61P 31/12 20180101;  A61P 3/04 20180101;  A61K 38/15 20130101;  A61P 31/00 20180101;  C07K 5/06191 20130101;  A61K 31/497 20130101;  C07D 498/22 20130101;  A61K 38/21 20130101;  C07K 5/06078 20130101;  A61P 31/14 20180101;  C07K 5/0606 20130101;  Y02A 50/389 20180101;  A61P 31/20 20180101;  C07D 498/08 20130101;  C07K 19/00 20130101;  A61P 11/00 20180101;  C07K 5/06052 20130101;  Y02A 50/385 20180101;  Y02A 50/395 20180101;  A61K 38/12 20130101;  A61K 38/55 20130101;  A61P 37/02 20180101;  C07K 5/02 20130101;  A61K 38/00 20130101;  A61P 43/00 20180101;  A61K 31/403 20130101;  A61P 1/16 20180101;  C07K 5/06139 20130101;  Y02A 50/391 20180101;  A61K 38/05 20130101;  C07K 5/06086 20130101;  A61K 31/504 20130101;  C07D 498/18 20130101;  A61K 31/7072 20130101;  A61K 38/21 20130101;  A61K 2300/00 20130101;  A61K 38/55 20130101;  A61K 2300/00 20130101;  A61K 31/7056 20130101;  A61K 2300/00 20130101;  A61K 31/497 20130101;  A61K 2300/00 20130101;  A61K 31/403 20130101;  A61K 2300/00 20130101;  A61K 31/7072 20130101;  A61K 2300/00 20130101;  A61K 31/504 20130101;  A61K 2300/00 20130101</t>
  </si>
  <si>
    <t>US20130344028</t>
  </si>
  <si>
    <t>1'-SUBSTITUTED CARBA-NUCLEOSIDE ANALOGS FOR ANTIVIRAL TREATMENT</t>
  </si>
  <si>
    <t>13/649511</t>
  </si>
  <si>
    <t>BUTLER; Thomas; (Redwood City, CA); CHO; Aesop; (Mountain View, CA); KIM; Choung U.; (SanCarlos, CA); PARRISH; Jay P.; (Redwood City, CA); SAUNDERS; Oliver L.; (San Mateo, CA); ZHANG; Lijun; (Los Altos Hills, CA)</t>
  </si>
  <si>
    <t>A61P 43/00 20180101;  A61P 31/14 20180101;  A61P 1/16 20180101;  A61P 31/12 20180101;  C07D 487/04 20130101;  A61P 31/16 20180101;  C07H 19/23 20130101;  A61P 31/20 20180101;  A61P 31/00 20180101</t>
  </si>
  <si>
    <t>Provided are pyrrolo[1,2-f][1,2,4]triazinyl,     imidazo[1,5-f][1,2,4]triazinyl, imidazo[1,2-f][1,2,4]triazinyl, and     [1,2,4]triazolo[4,3-f][1,2,4]triazinyl nucleosides, nucleoside phosphates     and prodrugs thereof, wherein the 1' position of the nucleoside sugar is     substituted. The compounds, compositions, and methods provided are useful     for the treatment of Flaviviridae virus infections, particularly     hepatitis C infections.</t>
  </si>
  <si>
    <t>US20130332195</t>
  </si>
  <si>
    <t>SYSTEM AND METHODS FOR EPIDEMIOLOGICAL DATA COLLECTION, MANAGEMENT AND     DISPLAY</t>
  </si>
  <si>
    <t>13/848718</t>
  </si>
  <si>
    <t>Galuten; Albhy; (Santa Monica, CA)</t>
  </si>
  <si>
    <t>G06F 19/3493 20130101;  G06Q 50/24 20130101;  G06F 19/328 20130101;  G06F 19/3418 20130101;  G16H 50/80 20180101;  G16H 10/60 20180101;  G16H 40/20 20180101;  G16H 50/70 20180101;  G06F 19/3456 20130101</t>
  </si>
  <si>
    <t>A method and system for collecting, protecting, pre-processing, storing,     sorting, filtering and accessing with granular control of permissions,     medical data associated with one or more individual patients,     practitioners, suppliers or research facilities taking into account the     interrelationships between and among all the data and the participants     and then displaying this data in dynamically generated low-latency     fashion to any of the above participants and enabling the use of real     time epidemiological data to make medical and lifestyle decisions.</t>
  </si>
  <si>
    <t>US20130330229</t>
  </si>
  <si>
    <t>PLASMA SYSTEM FOR AIR STERILIZATION</t>
  </si>
  <si>
    <t>13/637466</t>
  </si>
  <si>
    <t>Fridman; Gregory; (Philadelphia, PA); Fridman; Alexander; (Philadelphia, PA); Mukhin; Yurii V.; (Altadena, CA); Gutsol; Alexander F.; (San Ramon, CA); Vaze; Nachiket; (Mumbai, IN)</t>
  </si>
  <si>
    <t>A61L 9/22 20130101;  A61L 2/14 20130101</t>
  </si>
  <si>
    <t>A method for decontaminating bioaerosol with high concentrations of     bacterial, viral, spore and other airborne microorganisms or biologic     contaminants in flight at high flow rates. A plasma screen created across     the flow of air contaminated with airborne biologic agents renders     contaminants non-culturable within milliseconds. The technology may     cooperate with heating, ventilation, and air conditioning (HVAC) systems.     It may be particularly beneficial in preventing bioterrorism and the     spread of toxic or infectious agents, containing airborne pandemic     threats such as avian flu, sterilizing spaces such as hospitals,     pharmaceutical plants and manufacturing facilities, treating exhaust     ventilation streams, minimizing biological environmental pollutants in     industrial settings, improving general air quality, preventing sick     building syndrome.</t>
  </si>
  <si>
    <t>US20130324740</t>
  </si>
  <si>
    <t>13/800202</t>
  </si>
  <si>
    <t>Scott; Robert William; (San Mateo, CA); Vitale; Justin Philip; (San Mateo, CA); Matthews; Kenneth Stanley; (San Francisco, CA); Teresk; Martin Gerald; (San Jose, CA); Formella; Alexandra; (San Mateo, CA); Evans; Jared Wayne; (Belmont, CA)</t>
  </si>
  <si>
    <t>C07D 403/04 20130101;  A61P 1/16 20180101;  C07D 403/14 20130101;  Y02P 20/55 20151101;  A61P 31/14 20180101;  A61P 31/12 20180101</t>
  </si>
  <si>
    <t>US20130324496</t>
  </si>
  <si>
    <t>13/800374</t>
  </si>
  <si>
    <t>Scott; Robert William; (San Mateo, CA); Wang; Fang; (Foster City, CA); Shi; Bing; (Redwood City, CA); Mogalian; Erik; (San Francisco, CA)</t>
  </si>
  <si>
    <t>A61P 1/16 20180101;  C07D 471/08 20130101;  A61P 31/12 20180101;  A61K 31/7056 20130101;  A61K 31/4184 20130101;  C07D 403/14 20130101;  A61P 31/14 20180101;  A61K 31/381 20130101;  C07B 2200/13 20130101;  C07D 487/08 20130101</t>
  </si>
  <si>
    <t>US20130323238</t>
  </si>
  <si>
    <t>ANTAGONISTS OF IL-6 TO RAISE ALBUMIN AND/OR LOWER CRIP</t>
  </si>
  <si>
    <t>13/849597</t>
  </si>
  <si>
    <t>C07K 2317/34 20130101;  C07K 2317/76 20130101;  C07K 2317/41 20130101;  C07K 16/248 20130101;  C07K 2317/92 20130101;  G01N 2333/4737 20130101;  C07K 2317/24 20130101;  A61K 39/3955 20130101;  G01N 2800/52 20130101;  A61K 45/06 20130101;  A61P 43/00 20180101;  A61K 39/395 20130101;  C07K 2317/565 20130101;  G01N 2333/765 20130101;  C07K 2317/56 20130101;  A61K 2039/505 20130101</t>
  </si>
  <si>
    <t>US20130323203</t>
  </si>
  <si>
    <t>13/958424</t>
  </si>
  <si>
    <t>Canales; Eda; (San Mateo, CA); Chong; Lee S.; (Newark, CA); Clarke; Michael O'Neil Hanrahan; (Redwiid City, CA); Doerffler; Edward; (Union City, CA); Lazerwith; Scott E.; (San Francisco, CA); Lew; Willard; (San Mateo, CA); Belmont; Michael Mertzman; (Belmont, CA); Morganelli; Philip Anthony; (Oakland, CA); Watkins; William J.; (Saratoga, CA)</t>
  </si>
  <si>
    <t>A61P 31/00 20180101;  A61K 31/4025 20130101;  A61K 31/381 20130101;  A61K 31/497 20130101;  A61K 45/06 20130101;  A61K 31/4545 20130101;  C07D 409/14 20130101;  A61P 31/12 20180101;  A61K 31/501 20130101;  C07D 333/38 20130101;  A61K 31/427 20130101;  A61K 31/4535 20130101;  A61P 31/14 20180101;  A61K 31/454 20130101;  C07D 493/04 20130101;  C07D 413/12 20130101;  C07D 409/12 20130101</t>
  </si>
  <si>
    <t>US20130318027</t>
  </si>
  <si>
    <t>SYSTEM AND METHOD TO ENABLE DETECTION OF VIRAL INFECTION BY USERS OF     ELECTRONIC COMMUNICATION DEVICES</t>
  </si>
  <si>
    <t>13/680289</t>
  </si>
  <si>
    <t>ALMOGY, GAL</t>
  </si>
  <si>
    <t>ALMOGY GAL</t>
  </si>
  <si>
    <t>ALMOGY; GAL; (Tel Aviv, IL); Almogy; Gilad; (Palo Alto, CA)</t>
  </si>
  <si>
    <t>G16H 50/80 20180101;  G16H 50/20 20180101;  Y02A 90/24 20180101</t>
  </si>
  <si>
    <t>A non-transitory computer readable medium that stores instructions for     causing a computerized system to perform the following operations:     determining, by the computerized system, that a first person is infected     by a first infectious disease; wherein the determination is associated     with a first person infection probability attribute; detecting, by the     computerized system, based upon location information collected during at     least a portion of a first infectious disease manifestation period, the     location information being indicative of locations of the first person     and other persons, a second person that was within an infection distance     from the first person and is potentially infected by the first infectious     disease; calculating, by the computerized system, a second person     infection probability attribute; and updating, by the computerized     system, the first person infection probability attribute in response to     the second person infection probability attribute.</t>
  </si>
  <si>
    <t>US20130316969</t>
  </si>
  <si>
    <t>13/848593</t>
  </si>
  <si>
    <t>Boojamra; Constantine G.; (San Francisco, CA); Cannizzaro; Carina E.; (Foster City, CA); Chen; James M.; (San Ramon, CA); Chen; Xiaowu; (Hillsborough, CA); Cho; Aesop; (Mountain View, CA); Chong; Lee S.; (Newark, CA); Fardis; Maria; (San Carlos, CA); Jin; Haolun; (Foster City, CA); Hirschmann; Ralph; (Lansdale, PA); Huang; Alan X.; (San Mateo, CA); Kim; Choung U.; (San Carlos, CA); Kirschberg; Thorsten A.; (Redwood City, CA); Lee; Christopher P.; (San Francisco, CA); Lee; William A.; (Los Altos, CA); Mackman; Richard L.; (Millbrae, CA); Markevitch; David Y.; (Los Angeles, CA); Oare; David A.; (Belmont, CA); Prasad; Vidya K.; (Munich, DE); Pyun; Hyung-Jung; (Fremont, CA); Ray; Adrian S.; (Redwood City, CA); O'Shea; Rosemarie; (San Carlos, CA); Swaninathan; Sundaramoorthi; (Burlingame, CA); Watkins; William J.; (Saratoga, CA); Zhang; Jennifer; (Union City, CA)</t>
  </si>
  <si>
    <t>C07D 475/00 20130101;  A61K 31/7072 20130101;  C07D 409/06 20130101;  C07F 9/653 20130101;  A61K 47/548 20170801;  C07D 409/14 20130101;  Y02A 50/393 20180101;  Y02A 50/465 20180101;  C07D 211/58 20130101;  C07D 413/14 20130101;  C07F 9/65515 20130101;  C07H 15/00 20130101;  C07F 9/5728 20130101;  C07H 21/00 20130101;  A61P 31/12 20180101;  C07H 19/10 20130101;  A61P 43/00 20180101;  C07F 9/65616 20130101;  C07F 9/6561 20130101;  C07H 17/00 20130101;  C07D 205/04 20130101;  A61P 31/14 20180101;  C07F 9/60 20130101;  C07F 9/6539 20130101;  A61P 31/18 20180101;  C07H 19/056 20130101;  C07F 9/58 20130101;  C07F 9/655354 20130101;  C07F 9/4075 20130101;  A61K 31/662 20130101;  A61K 31/7076 20130101;  C07F 9/650905 20130101;  C07F 9/65031 20130101;  C07H 19/20 20130101</t>
  </si>
  <si>
    <t>US20130315861</t>
  </si>
  <si>
    <t>13/939695</t>
  </si>
  <si>
    <t>Canales; Eda; (San Mateo, CA); Clarke; Michael O'Neil Hanrahan; (Redwood City, CA); Lazerwith; Scott E.; (San Francisco, CA); Lew; Willard; (San Mateo, CA); Morganelli; Philip Anthony; (Oakland, CA); Watkins; William J.; (Saratoga, CA)</t>
  </si>
  <si>
    <t>A61K 45/06 20130101;  A61P 31/00 20180101;  A61P 31/14 20180101;  A61K 31/381 20130101;  C07D 409/12 20130101;  A61K 31/4436 20130101;  A61P 31/12 20180101</t>
  </si>
  <si>
    <t>US20130309196</t>
  </si>
  <si>
    <t>13/831116</t>
  </si>
  <si>
    <t>Link; John O.; (San Francisco, CA); Cottell; Jeromy J.; (Redwood City, CA); Trejo Martin; Teresa Alejandra; (Union City, CA)</t>
  </si>
  <si>
    <t>A61K 31/7056 20130101;  C07D 491/04 20130101;  C07D 491/052 20130101;  A61K 31/7056 20130101;  A61P 43/00 20180101;  A61P 1/16 20180101;  A61K 31/7068 20130101;  A61K 2300/00 20130101;  A61K 2300/00 20130101;  A61K 2300/00 20130101;  A61K 2300/00 20130101;  A61K 31/7072 20130101;  A61K 31/4188 20130101;  A61P 31/14 20180101;  A61P 31/00 20180101;  A61K 38/21 20130101;  A61K 31/7068 20130101;  A61K 31/7072 20130101;  A61K 45/06 20130101;  A61P 31/12 20180101;  A61K 38/21 20130101</t>
  </si>
  <si>
    <t>US20130309195</t>
  </si>
  <si>
    <t>13/828104</t>
  </si>
  <si>
    <t>A61K 31/7064 20130101;  A61K 31/7072 20130101;  A61K 31/4178 20130101;  C07D 401/14 20130101;  A61K 31/4178 20130101;  A61P 31/14 20180101;  A61K 38/21 20130101;  C07D 403/14 20130101;  A61K 31/7072 20130101;  A61K 38/21 20130101;  A61K 2300/00 20130101;  A61K 2300/00 20130101;  A61K 2300/00 20130101;  A61K 2300/00 20130101;  A61K 31/7056 20130101;  A61K 31/7064 20130101;  A61K 45/06 20130101;  A61K 2300/00 20130101;  C07D 405/14 20130101;  A61K 31/7056 20130101</t>
  </si>
  <si>
    <t>US20130302280</t>
  </si>
  <si>
    <t>13/927355</t>
  </si>
  <si>
    <t>Cho; Aesop; (Mountain View, CA); Chong; Lee S.; (Newark, CA); Clarke; Michael O'Neil Hanrahan; (Redwood City, CA); Doerffler; Edward; (Union City, CA); Kim; Choung U.; (San Carlos, CA); Liu; Qi; (Foster City, CA); Watkins; William J.; (Saratoga, CA); Zhang; Jennifer R.; (Foster City, CA)</t>
  </si>
  <si>
    <t>A61K 31/67 20130101;  A61K 31/683 20130101;  C07F 9/65681 20130101;  C07F 9/65586 20130101;  A61P 31/12 20180101;  A61P 31/14 20180101;  A61P 43/00 20180101;  C07F 9/6561 20130101;  A61K 45/06 20130101;  A61K 31/675 20130101;  C07F 9/655345 20130101;  A61K 31/662 20130101</t>
  </si>
  <si>
    <t>Provided are compounds of Formula I: and pharmaceutically acceptable     salts and esters thereof. The compounds, compositions, and methods     provided are useful for the treatment of Flaviviridae virus infections,     particularly hepatitis C infections.</t>
  </si>
  <si>
    <t>US20130295135</t>
  </si>
  <si>
    <t>13/890711</t>
  </si>
  <si>
    <t>C12N 2760/16022 20130101;  C12N 2760/16122 20130101;  C12N 2760/16134 20130101;  C12N 2760/16123 20130101;  C12N 2760/16034 20130101;  C12N 2760/16023 20130101;  A61K 2039/55561 20130101;  A61K 2039/55505 20130101;  A61K 39/145 20130101;  A61K 39/12 20130101;  C12N 2710/14143 20130101;  C12N 7/00 20130101;  C07K 14/005 20130101;  A61K 2039/58 20130101;  A61K 2039/5258 20130101;  A61K 2039/543 20130101;  A61K 2039/70 20130101;  A61K 2039/55555 20130101</t>
  </si>
  <si>
    <t>US20130287832</t>
  </si>
  <si>
    <t>13/817814</t>
  </si>
  <si>
    <t>O'Hagan; Derek; (Cambridge, MA); Singh; Manmohan; (Cambridge, MA); Kwon; Sung-Yun; (Cambridge, MA)</t>
  </si>
  <si>
    <t>A61B 17/205 20130101;  A61K 9/146 20130101;  A61K 2039/54 20130101;  A61B 2017/00004 20130101;  A61K 39/12 20130101;  A61M 2202/30 20130101;  A61M 2037/0046 20130101;  A61M 2037/0023 20130101;  C12N 2760/16134 20130101;  A61M 37/0015 20130101;  A61K 2039/5252 20130101;  C12N 2760/16211 20130101;  G01N 2333/11 20130101;  A61K 39/145 20130101;  A61K 2039/70 20130101;  G01N 33/68 20130101;  C12N 2760/16111 20130101;  C12N 2760/16234 20130101</t>
  </si>
  <si>
    <t>Influenza vaccines are administered using solid biodegradable     microneedles. The microneedles are fabricated from the influenza vaccine     in combination with solid excipient(s) and, after penetrating the skin,     they dissolve in situ and release the vaccine to the immune system. The     influenza vaccine is (i) a purified influenza virus surface antigen     vaccine, rather than a live vaccine or a whole-virus or split inactivated     vaccine (ii) an influenza vaccine prepared from viruses grown in cell     culture, not eggs, (iii) a monovalent influenza vaccine e.g. for     immunizing against a pandemic strain, (iv) a bivalent vaccine, (v) a     tetravalent or &amp;gt;4-valent vaccine, (vi) a mercury-free vaccine, or     (vii) a gelatin-free vaccine.</t>
  </si>
  <si>
    <t>US20130275361</t>
  </si>
  <si>
    <t>ASSOCIATING MULTIPLE DATA SOURCES INTO A WEB-ACCESSIBLE FRAMEWORK</t>
  </si>
  <si>
    <t>13/449024</t>
  </si>
  <si>
    <t>HOFFMAN; MARK A.; (Lee's Summit, MO); POWER; KEVIN M.; (Kansas City, MO); GORMAN; KATHLEEN M.; (Los Angeles, CA); BUSH; AARON; (Kearney, MO); SIEFERT; MICHELLE; (Kansas City, MO); EMONS; MATTHEW F.; (West Hollywood, CA)</t>
  </si>
  <si>
    <t>G06F 17/30899 20130101;  G16H 50/80 20180101;  G06F 19/3456 20130101;  G06F 17/3089 20130101</t>
  </si>
  <si>
    <t>Systems, methods, and computer-readable media for associating multiple     data sources into a web-accessible framework. Health data is received     from multiple data sources and is used to populate a framework comprising     at least one topic focused data mart. Each topic focused data mart has a     common structure and is associated with a web service providing standard     features supported by each topic focused data mart and custom features     specific to a topic associated with each topic focused data mart. In     various embodiments, demographic information is received from a clinician     and is utilized to present context-specific data derived from the topic     focused data mart.</t>
  </si>
  <si>
    <t>US20130274439</t>
  </si>
  <si>
    <t>13/794389</t>
  </si>
  <si>
    <t>Cho; Aesop; (Mountain View, CA); Clarke; Michael O'Neil Hanrahan; (Redwood City, CA); Kim; Choung U.; (San Carlos, CA); Link; John O.; (San Francisco, CA); Pyun; Hyung-jung; (Fremont, CA); Sheng; Xiaoning C.; (Guangzhou, CN); Wu; Qiaoyin; (Foster City, CA)</t>
  </si>
  <si>
    <t>C07D 403/12 20130101;  C07K 5/0808 20130101;  A61P 1/16 20180101;  C07D 207/16 20130101;  C07D 401/12 20130101;  C07K 5/0804 20130101;  A61P 31/12 20180101;  C07D 413/14 20130101;  C07D 401/14 20130101;  C07D 487/04 20130101;  C07D 417/14 20130101;  C07K 5/0819 20130101;  C07D 403/14 20130101;  C07K 5/0821 20130101;  A61P 31/16 20180101;  A61P 31/14 20180101</t>
  </si>
  <si>
    <t>US20130273037</t>
  </si>
  <si>
    <t>13/865069</t>
  </si>
  <si>
    <t>Siegel; Dustin; (Foster City, CA); Sperandio; David; (Palo Alto, CA); Yang; Hai; (San Mateo, CA); Sangi; Michael; (Oakland, CA); Parrish; Jay P.; (Redwood City, CA); Hui; Hon Chung; (San Mateo, CA)</t>
  </si>
  <si>
    <t>A61K 31/519 20130101;  C07D 487/04 20130101;  A61K 31/4545 20130101;  A61P 31/12 20180101;  C07D 519/00 20130101;  A61K 45/06 20130101;  A61P 31/14 20180101;  A61K 31/5025 20130101;  A61P 43/00 20180101;  A61P 11/00 20180101;  A61P 31/00 20180101;  A61K 31/53 20130101;  A61K 31/5377 20130101;  C07D 471/04 20130101</t>
  </si>
  <si>
    <t>US20130271279</t>
  </si>
  <si>
    <t>SYSTEM AND METHOD PROVIDING DATA EXCHANGE WITH A MEDICAL DEVICE FOR REMOTE     PATIENT CARE</t>
  </si>
  <si>
    <t>13/870316</t>
  </si>
  <si>
    <t>Mazar; Scott T.; (Woodbury, MN); Manicka; Yatheendhar D.; (Woodbury, MN)</t>
  </si>
  <si>
    <t>A61B 5/0031 20130101;  G16H 50/80 20180101;  A61B 5/0215 20130101;  A61B 5/0809 20130101;  A61B 5/14532 20130101;  A61B 5/4839 20130101;  A61B 2560/0209 20130101;  A61B 2560/0271 20130101;  A61B 2560/045 20130101;  G06F 19/3418 20130101;  G06Q 50/22 20130101;  G06Q 50/24 20130101;  H04B 17/00 20130101;  A61B 5/0022 20130101;  A61B 5/747 20130101;  G16H 40/63 20180101;  G16H 10/60 20180101;  G16H 50/20 20180101;  A61B 5/02055 20130101</t>
  </si>
  <si>
    <t>A system for relaying data to a repository from a medical device is     disclosed. A receiver is configured to receive data from a medical     device, where the data can be an indication of a problem with the medical     device. A memory is configured to maintain the data once it has been     received. A transmission device is configured to send the data to a data     repository over a communication medium. A detector is configured to     detect conditions of the communication medium that could affect data     exchange and send the data based at least in part on the conditions. A     processor is configured to send at least a portion of the data based at     least in part on a degree of urgency.</t>
  </si>
  <si>
    <t>US20130259886</t>
  </si>
  <si>
    <t>BROADLY PROTECTIVE INFLUENZA T-CELL VACCINE AGAINST DIVERSE INFLUENZA A     VIRUSES</t>
  </si>
  <si>
    <t>13/666467</t>
  </si>
  <si>
    <t>MOGAM BIOTECHNOLOGY RESEARCH INSTITUTE</t>
  </si>
  <si>
    <t>YOUN; Jin-Won; (Yongin-si, KR); KWON; Ji-Sun; (Yongin-si, KR); YOON; Jung-Soon; (Yongin-si, KR); KIM; Yeon-Jung; (Yongin-si, KR)</t>
  </si>
  <si>
    <t>A61K 39/12 20130101;  A61K 2039/5256 20130101;  A61K 2039/57 20130101;  C12N 2710/24143 20130101;  C12N 2760/16134 20130101</t>
  </si>
  <si>
    <t>There is provided a T cell-based universal influenza vaccine including     internal genes capable of preparing against infection by broad     hetero-subtypic influenza viruses, and thereby preparing for     unpredictable epidemic influenza. The present invention selected internal     genes of the consensus sequence obtained from bird, pig, and human     influenza isolates in order to develop the T cell-based universal flu     vaccine. The T cell-based universal flu vaccine according to the present     invention is characterized by including at least one CTL epitope, by     containing a plurality of internal genes and using the entire sequence of     the internal gene itself. The T cell-based universal flu vaccine can     achieve broad defense in infection with hetero-subtypic influenza     viruses.</t>
  </si>
  <si>
    <t>US20130259829</t>
  </si>
  <si>
    <t>CLIP INHIBITORS AND METHODS OF MODULATING IMMUNE FUNCTION</t>
  </si>
  <si>
    <t>13/911680</t>
  </si>
  <si>
    <t>VIRAL GENETICS, INC.</t>
  </si>
  <si>
    <t>VIRAL GENETICS</t>
  </si>
  <si>
    <t>Newell; Martha Karen; (Holland, TX); Newell; Evan; (Singapore, SG); Keledjian; Haig; (San Marino, CA); Agadjanyan; Michael; (Huntington Beach, CA)</t>
  </si>
  <si>
    <t>A61K 38/08 20130101;  C07K 7/06 20130101;  C07K 7/08 20130101;  A61K 38/08 20130101;  A61K 2300/00 20130101;  G01N 33/6893 20130101</t>
  </si>
  <si>
    <t>The invention relates to methods for modulating the immune function through targeting of CLIP molecules. The result is wide range of new therapeutic regimens for treating, inhibiting the development of, or otherwise dealing with, a multitude of illnesses and conditions, including autoimmune disease, allergic disease transplant and cell graft rejection, cancer, bacterial infection, HIV infection, and AIDS.</t>
  </si>
  <si>
    <t>US20130253284</t>
  </si>
  <si>
    <t>Field Medical Reporting System</t>
  </si>
  <si>
    <t>13/819757</t>
  </si>
  <si>
    <t>OMIND LTD.</t>
  </si>
  <si>
    <t>OMIND</t>
  </si>
  <si>
    <t>Fraier; Israel; (Lehavim, IL); Schwartz; Alexander; (Haifa, IL)</t>
  </si>
  <si>
    <t>G06K 19/07 20130101;  A61B 5/7465 20130101;  G16H 50/80 20180101;  G16H 10/65 20180101;  G16H 40/63 20180101</t>
  </si>
  <si>
    <t>Device to be attached to a wounded person for recording and reporting     medical and logistic information relating to the wounded person in mass     casualty event is disclosed, the device is battery free and comprises (i)     a solid state memory; (ii) a plurality of actuators in a predetermined     correlation with a graphical presentation presented on external surface     of the device such that a status of each actuator represents a medical or     logistic information relating to the wounded person; (iii) a conversion     adapter configured to translate a status of the actuators into respective     digital codes or to transfer the status of the actuators to external real     time translator for returning the status in the form of respective     digital codes wherein said codes represent medical or logistic     information relating to the wounded person and are respectively loaded     into the solid state memory by the conversion adapter or by the external     translator; and (iv) an interface configured to communicate with a mobile     electrically powered communication apparatus for extracting electrical     energy required for tracing the status of the actuators, for translating     it the into the digital codes and for loading them into the memory; said     codes are thereby readable by the mobile communication apparatus directly     from the memory for being communicated to a remote server, wherein the     status of the actuators respective of the codes and in correlation with     the graphical presentation presented on external surface of the device     allows for immediate interpretation of the status by a human reading of     the device irrespective whether the device is energized.</t>
  </si>
  <si>
    <t>US20130245107</t>
  </si>
  <si>
    <t>DLIN-MC3-DMA LIPID NANOPARTICLE DELIVERY OF MODIFIED POLYNUCLEOTIDES</t>
  </si>
  <si>
    <t>13/899641</t>
  </si>
  <si>
    <t>de Fougerolles; Antonin; (Brookline, MA); Wood; Kristy M.; (Cambridge, MA); Elbashir; Sayda M.; (Cambridge, MA)</t>
  </si>
  <si>
    <t>A61K 48/00 20130101;  C07K 14/535 20130101;  A61K 9/16 20130101;  A61K 9/1271 20130101;  A61K 38/4833 20130101;  C12P 21/00 20130101;  A61K 48/0041 20130101;  A61K 48/0033 20130101;  A61K 48/005 20130101;  A61K 48/0066 20130101;  C12N 15/88 20130101;  A61K 31/7105 20130101;  C12N 15/117 20130101;  C07K 2/00 20130101;  A61K 31/7088 20130101;  A61K 9/0019 20130101;  A61K 9/0024 20130101;  A61K 9/0048 20130101;  A61K 9/1272 20130101;  A61K 9/1647 20130101;  C12N 15/00 20130101;  A61K 38/193 20130101;  A61K 9/14 20130101</t>
  </si>
  <si>
    <t>The present disclosure provides, inter alia, formulation compositions     comprising modified nucleic acid molecules which may encode a protein, a     protein precursor, or a partially or fully processed form of the protein     or a protein precursor. The formulation composition may further include a     modified nucleic acid molecule and a delivery agent. The present     invention further provides nucleic acids useful for encoding polypeptides     capable of modulating a cell's function and/or activity.</t>
  </si>
  <si>
    <t>US20130245105</t>
  </si>
  <si>
    <t>DLIN-KC2-DMA LIPID NANOPARTICLE DELIVERY OF MODIFIED POLYNUCLEOTIDES</t>
  </si>
  <si>
    <t>13/898870</t>
  </si>
  <si>
    <t>de Fougerolles; Antonin; (Brookline, MA); Wood; Kristy M.; (Cambridge, MA); Elbashir; Sayda M.; (Cambridge, MA); Schrum; Jason P.; (Philadelphia, PA)</t>
  </si>
  <si>
    <t>US20130243725</t>
  </si>
  <si>
    <t>13/793557</t>
  </si>
  <si>
    <t>Clarke; Michael O'Neil Hanrahan; (Redwood City, CA)</t>
  </si>
  <si>
    <t>A61K 45/06 20130101;  C07H 19/12 20130101;  A61P 43/00 20180101;  A61P 31/16 20180101;  A61P 31/14 20180101;  A61P 31/00 20180101;  C07H 19/23 20130101;  A61K 31/706 20130101</t>
  </si>
  <si>
    <t>US20130233325</t>
  </si>
  <si>
    <t>FACE MASK FOR DEFLECTING RESPIRATORY AEROSOLS GENERATED BY THE WEARER</t>
  </si>
  <si>
    <t>13/698504</t>
  </si>
  <si>
    <t>Smaldone; Gerald; (Setauket, NY)</t>
  </si>
  <si>
    <t>H05B 6/1209 20130101;  H05B 6/12 20130101;  A41D 13/11 20130101</t>
  </si>
  <si>
    <t>A facemask to be worn in an enclosed space by a subject having or     suspected of having a disease transmitted in exhaled aerosol particles is     provided. The facemask comprises an air-permeable body having an outer     surface facing away from the face of the subject, an inner surface facing     toward the face, an upper edge cephalad, a lower edge caudad, and lateral     edges at each side of the face such that the inner surface covers the     subject's nose and mouth and is spaced apart therefrom. Moreover, at     least a portion of the upper and lower edges is spaced apart from the     face, but the lateral edges are not spaced apart. The upward and downward     deflection of aerosol plumes exiting the facemask cooperates with airflow     in the enclosed space to reduce exposure of occupants of the space to the     subject's exhaled aerosol particles.</t>
  </si>
  <si>
    <t>US20130224201</t>
  </si>
  <si>
    <t>13/682214</t>
  </si>
  <si>
    <t>Garcia-Martinez; Leon F.; (Woodinville, WA); Carvalho-Jensen; Ann Elisabeth; (Edmonds, WA); Olson; Katie; (Kenmore, WA); Dutzar; Benjamin H.; (Seattle, WA); Ojala; Ethan W.; (Snohomish, WA); Kovacevich; Brian R.; (Snohomish, WA); Latham; John A.; (Seattle, WA); Smith; Jeffrey T.L.; (Bellevue, WA)</t>
  </si>
  <si>
    <t>US20130222141</t>
  </si>
  <si>
    <t>Early Alert System for Livestock Disease Detection with a Feedlot Fence     Crossbar-Embedded RFID Antenna</t>
  </si>
  <si>
    <t>13/848055</t>
  </si>
  <si>
    <t>HANA MICRON INC.</t>
  </si>
  <si>
    <t>HANA MICRON</t>
  </si>
  <si>
    <t>Rhee; Seungwhan; (Milpitas, CA); Jin; Songtao; (Milpitas, CA); Kwak; Sung Bok; (Milpitas, CA)</t>
  </si>
  <si>
    <t>G06F 19/3418 20130101;  G08B 23/00 20130101;  G16H 50/80 20180101;  G06Q 50/02 20130101;  G06Q 10/0833 20130101</t>
  </si>
  <si>
    <t>An early alert system and a method for livestock disease detection are     disclosed. An activity measurement zone (AMZ) is defined near an     incentive device (e.g. a livestock feeder) with an RFID tag reader and a     uniquely-designed feedlot fence crossbar-embedded RFID antenna, which     amplifies multiple signal wavelengths in a single dipole antenna. The     early alert system is configured to detect and count an animal's access     into the AMZ with an RFID tag attached to the animal. If the animals'     activity relative to the AMZ drops to an alarmingly low level (e.g.     dropping below an alert trigger point) over time, then a user of the     early alert system is informed of a potential health problem of the     animal and may also be encouraged to inspect the animal in person for     further determination of its current health and potential medical issues.</t>
  </si>
  <si>
    <t>US20130218474</t>
  </si>
  <si>
    <t>Benchmarks for Normal Cell Identification</t>
  </si>
  <si>
    <t>13/750700</t>
  </si>
  <si>
    <t>NODALITY, INC.</t>
  </si>
  <si>
    <t>NODALITY</t>
  </si>
  <si>
    <t>Longo; Diane; (Foster City, CA)</t>
  </si>
  <si>
    <t>G06F 19/12 20130101;  G01N 33/56972 20130101</t>
  </si>
  <si>
    <t>Methods for determining a model that can characterize and distinguish normal cell from a diseased cell and methods for determining health or health-risk status of an individual based on a normal/health cell reference population of cells are described.</t>
  </si>
  <si>
    <t>US20130217598</t>
  </si>
  <si>
    <t>MICROPROCESSOR-CONTROLLED MICROFLUIDIC PLATFORM FOR PATHOGEN, TOXIN,     BIOMARKER, AND CHEMICAL DETECTION WITH REMOVABLE UPDATABLE SENSOR ARRAY     FOR FOOD AND WATER SAFETY, MEDICAL, AND LABORATORY APPLICATIONS</t>
  </si>
  <si>
    <t>13/761142</t>
  </si>
  <si>
    <t>Ludwig; Lester F.; (Belmont, CA); Tipgunlakant; Pooncharas; (Belmont, CA)</t>
  </si>
  <si>
    <t>The invention provides a platform technology with rich ability to     flexibly perform, create, deploy, maintain, and update a wide range of     panels, assay, array, and/or sequence of tests for a wide range of     substances and pathogens. The invention provides a unifying framework for     widely-ranging miniature sensor implementation, fluidic/gas interfacing,     electrical interfaces and optical interfaces, and further by collocating,     allowing the integration a large number highly-selective sensors and     chemical sensors--together as needed with appropriately selected     supplemental sensors (for example temperature, pH, selective ions, etc.),     into a common readily-manufacturable framework. The diverse sensor arrays     give rise to statistical enhancing through novel statistical processing     approaches. The invention is deployable and useable in a wide range of     situations previously unavailable, and addresses many otherwise     problematic aspects of field testing for food safety, water safety,     epidemic outbreaks, routine diagnosis, and disease monitoring.</t>
  </si>
  <si>
    <t>US20130210801</t>
  </si>
  <si>
    <t>2-QUINOLINYL-ACETIC ACID DERIVATIVES AS HIV ANTIVIRAL COMPOUNDS</t>
  </si>
  <si>
    <t>13/806048</t>
  </si>
  <si>
    <t>Babaoglu; Kerim; (Lansdale, PA); Bjornson; Kyla; (San Mateo, CA); Guo; Hongyan; (San Mateo, CA); Halcomb; Randall L.; (Foster City, CA); Link; John O.; (San Francisco, CA); Liu; Hongtao; (Cupertino, CA); Mitchell; Michael L.; (Hayward, CA); Sun; Jianyu; (Burnaby, CA); Taylor; James; (San Mateo, CA); Vivian; Randall W.; (San Mateo, CA); Xu; Lianhong; (Palo Alto, CA)</t>
  </si>
  <si>
    <t>C07D 491/052 20130101;  C07D 215/38 20130101;  C07D 498/04 20130101;  C07D 215/227 20130101;  C07D 401/04 20130101;  C07D 487/04 20130101;  C07D 413/04 20130101;  C07D 417/04 20130101;  C07D 215/06 20130101;  C07D 215/14 20130101;  C07D 215/48 20130101;  C07D 215/18 20130101;  C07D 401/12 20130101;  C07D 215/20 20130101;  C07D 519/00 20130101;  C07D 405/04 20130101;  A61P 31/18 20180101</t>
  </si>
  <si>
    <t>The invention provides compounds of formula (I): or a salt thereof as     described herein. The invention also provides pharmaceutical compositions     comprising a compound of formula (I), processes for preparing compounds     of formula (I), intermediates useful for preparing compounds of formula I     and therapeutic methods for treating the proliferation of the HIV virus,     treating AIDS or delaying the onset of AIDS or ARC symptoms in a mammal     using compounds of formula (I).  ##STR00001##</t>
  </si>
  <si>
    <t>US20130209512</t>
  </si>
  <si>
    <t>UNIVERSAL INFLUENZA  A VACCINES</t>
  </si>
  <si>
    <t>13/817100</t>
  </si>
  <si>
    <t>Ertl; Hildegund C. J.; (Philadelphia, PA); Zhou; Dongming; (Philadelphia, PA)</t>
  </si>
  <si>
    <t>C12N 7/00 20130101;  C12N 2760/16134 20130101;  C07K 14/11 20130101;  A61K 39/12 20130101;  C07K 14/005 20130101;  A61K 2039/70 20130101;  C07K 2319/00 20130101;  C07K 2319/02 20130101;  C12N 2760/16122 20130101;  A61K 2039/5256 20130101;  C12N 2710/10343 20130101</t>
  </si>
  <si>
    <t>Universal flu vaccines are disclosed. The vaccines induce broad and     sustained protection against a wide range of influenza A viruses, reduce     the need for annual vaccination campaigns with vaccines based upon viral     strains predicted to be the predominant circulating strains, and     ameliorate the threat of future pandemics that can potentially kill     millions.</t>
  </si>
  <si>
    <t>US20130205448</t>
  </si>
  <si>
    <t>METHODS FOR PRODUCING PROTEINS IN PLANTS</t>
  </si>
  <si>
    <t>13/809995</t>
  </si>
  <si>
    <t>PHILIP MORRIS USA INC.</t>
  </si>
  <si>
    <t>PHILIP MORRIS USA</t>
  </si>
  <si>
    <t>Carraro; Andrea; (Ins, CH); Faulkner; John; (Gorgier, CH); Klipfel; Yorick; (St-Saphorin-sur-Morges, CH); Mironov; Oleg; (Neuchatel, CH); Oishi; Karen; (Neuchatel, CH); Roesti; Sandrine; (Grandson, CH)</t>
  </si>
  <si>
    <t>C12N 15/8205 20130101;  A01G 7/00 20130101;  C12N 15/8251 20130101</t>
  </si>
  <si>
    <t>The present invention relates to methods for expressing proteins of interest, particularly pharmaceutically valuable proteins, transiently in plants. In particular, the invention provides an improved method for introducing Agrobacterium cells into a whole plant or a plant organ. The methods of the invention provides efficient agroinfiltration of many plants singly or simultaneously resulting in a yield of recombinant proteins that is higher than that obtained by other methods. The methods can be readily scaled and automated to meet changing demands of the recombinant protein.</t>
  </si>
  <si>
    <t>US20130203747</t>
  </si>
  <si>
    <t>13/683706</t>
  </si>
  <si>
    <t>Yoakim; Christiane; (Laval, CA); Bailey; Murray D.; (Laval, CA); Bilodeau; Francois; (Laval, CA); Carson; Rebekah; (Laval, CA); Fader; Lee; (Laval, CA); Kawai; Stephen; (Laval, CA); Morin; Sebastien; (Laval, CA); Thibeault; Carl; (Laval, CA); Simoneau; Bruno; (Laval, CA); Surprenant; Simon; (Laval, CA); Tsantrizos; Youla S.; (Laval, CA); Laplante; Steven R.; (Laval, CA)</t>
  </si>
  <si>
    <t>C07D 491/06 20130101;  C07D 405/14 20130101;  C07D 498/06 20130101;  A61K 31/501 20130101;  C07D 405/10 20130101;  A61K 31/506 20130101;  C07D 213/55 20130101;  C07D 401/12 20130101;  A61K 31/4433 20130101;  A61K 45/06 20130101;  A61K 31/4439 20130101;  A61K 31/4709 20130101;  A61K 31/538 20130101;  C07D 471/04 20130101;  C07D 413/10 20130101;  A61P 31/18 20180101;  C07D 213/81 20130101;  A61K 31/4436 20130101;  C07D 413/14 20130101;  A61K 31/5383 20130101;  C07D 411/10 20130101;  A61K 31/4375 20130101;  A61K 31/444 20130101;  C07D 417/10 20130101;  A61K 31/44 20130101;  A61K 31/4741 20130101</t>
  </si>
  <si>
    <t>Compounds of formula I:  ##STR00001## wherein a, R.sup.1, R.sup.2, R.sup.3, R.sup.4, R.sup.5 and R.sup.6 are     defined herein, are useful as inhibitors of HIV replication.</t>
  </si>
  <si>
    <t>US20130197231</t>
  </si>
  <si>
    <t>13/683761</t>
  </si>
  <si>
    <t>Tsantrizos; Youla S.; (Laval, CA); Bailey; Murray D.; (Laval, CA); Bilodeau; Francois; (Laval, CA); Coulombe; Rene; (Laval, CA); Halmos; Teddy; (Laval, CA); Kawai; Stephen; (Laval, CA); Landry; Serge R.; (Laval, CA); Laplante; Steven; (Laval, CA); Morin; Sebastien; (Laval, CA); Poupart; Marc-Andre; (Laval, CA); Simoneau; Bruno; (Laval, CA); Fader; Lee; (Laval, CA); Carson; Rebekah J.; (Laval, CA); Parisien; Mathieu; (Laval, GB)</t>
  </si>
  <si>
    <t>A61K 31/538 20130101;  A61K 31/5383 20130101;  A61K 31/4709 20130101;  A61P 31/12 20180101;  C07D 401/04 20130101;  C07D 221/16 20130101;  C07D 215/14 20130101;  C07D 405/04 20130101;  A61K 31/473 20130101;  C07D 491/06 20130101;  A61P 43/00 20180101;  C07D 215/18 20130101;  A61P 31/18 20180101;  C07D 498/06 20130101;  C07D 409/04 20130101;  C07D 417/04 20130101;  C07D 413/04 20130101;  A61K 31/4741 20130101;  A61K 31/47 20130101</t>
  </si>
  <si>
    <t>Compounds of formula I:  ##STR00001##    wherein R.sup.4, R.sup.6 and R.sup.7 are defined herein,     are useful as inhibitors of HIV replication.</t>
  </si>
  <si>
    <t>US20130190491</t>
  </si>
  <si>
    <t>13/739937</t>
  </si>
  <si>
    <t>Tsantrizos; Youla S.; (Laval, CA); Bailey; Murray D.; (Laval, CA); Bilodeau; Francois; (Laval, CA); Carson; Rebekah; (Laval, CA); Fader; Lee; (Laval, CA); Halmos; Teddy; (Laval, CA); Kawai; Stephen; (Laval, CA); Landry; Serge R.; (Laval, CA); Laplantea; Steven; (Laval, CA); Simoneau; Bruno; (Laval, CA)</t>
  </si>
  <si>
    <t>C07D 491/04 20130101;  C07D 215/48 20130101;  C07D 401/04 20130101;  A61P 31/00 20180101;  C07D 413/10 20130101;  C07D 215/14 20130101;  C07D 405/14 20130101;  C07D 413/14 20130101;  C07D 417/14 20130101;  C07D 215/20 20130101;  C07D 405/04 20130101;  C07D 215/18 20130101;  A61P 31/18 20180101;  C07D 413/06 20130101;  C07D 413/04 20130101;  C07D 417/12 20130101;  A61P 43/00 20180101;  C07D 215/38 20130101</t>
  </si>
  <si>
    <t>Compounds of formula I:  ##STR00001## wherein c, R.sup.2, R.sup.3, R.sup.4, R.sup.5, R.sup.6, R.sup.7 and     R.sup.8 are defined herein, are useful as inhibitors of HIV replication.</t>
  </si>
  <si>
    <t>US20130189293</t>
  </si>
  <si>
    <t>INFLUENZA HEMAGGLUTININ AND NEURAMINIDASE VARIANTS</t>
  </si>
  <si>
    <t>13/784259</t>
  </si>
  <si>
    <t>MedImmune, LLC</t>
  </si>
  <si>
    <t>MEDIMMUNE</t>
  </si>
  <si>
    <t>YANG; Chin-Fen; (San Jose, CA); Kemble; George; (Saratoga, CA)</t>
  </si>
  <si>
    <t>A61K 39/00 20130101;  A61K 39/145 20130101;  A61K 2039/5252 20130101;  A61K 2039/5254 20130101;  C07K 14/005 20130101;  C12N 7/00 20130101;  C12N 2760/16122 20130101;  C12N 2760/16134 20130101;  C12N 2760/16164 20130101;  A61K 2039/543 20130101;  A61K 39/12 20130101</t>
  </si>
  <si>
    <t>Polypeptides, polynucleotides, methods, compositions, and vaccines     comprising (avian pandemic) influenza hemagglutinin and neuraminidase     variants are provided.</t>
  </si>
  <si>
    <t>US20130187775</t>
  </si>
  <si>
    <t>SYSTEM FOR MONITORING INFECTION CONTROL AND PREVENTION PROCESSES</t>
  </si>
  <si>
    <t>13/747469</t>
  </si>
  <si>
    <t>TYPESOFT TECHNOLOGIES, INC.</t>
  </si>
  <si>
    <t>TYPESOFT</t>
  </si>
  <si>
    <t>Marsden; Randal J.; (Edmonton, CA); Hole; Steve; (Edmonton, CA)</t>
  </si>
  <si>
    <t>G16H 50/80 20180101;  G08B 21/18 20130101</t>
  </si>
  <si>
    <t>The present invention is a centralized system for the automated     monitoring and reporting of compliance to infection prevention policies.     It is focused on the proactive reduction (elimination) of pathogenic     organisms causing infection within the facility by enforcing best     practices for infection prevention.</t>
  </si>
  <si>
    <t>US20130183293</t>
  </si>
  <si>
    <t>ANTAGONISTS OF IL-6 TO PREVENT OR TREAT CACHEXIA, WEAKNESS, FATIGUE , AND/OR FEVER</t>
  </si>
  <si>
    <t>13/681501</t>
  </si>
  <si>
    <t>US20130183264</t>
  </si>
  <si>
    <t>Antagonists of IL-6 to raise albumin and/or lower crp</t>
  </si>
  <si>
    <t>13/780018</t>
  </si>
  <si>
    <t>A61K 2039/54 20130101;  A61P 35/02 20180101;  A61P 35/00 20180101;  A61P 1/04 20180101;  C07K 16/248 20130101;  C07K 2317/34 20130101;  A61K 2039/505 20130101;  C07K 2317/41 20130101;  A61P 25/00 20180101;  A61K 45/00 20130101;  A61K 39/3955 20130101;  A61K 45/06 20130101;  A61P 1/16 20180101;  A61P 19/02 20180101;  A61K 38/2013 20130101;  C07K 2317/92 20130101;  A61K 38/16 20130101;  A61K 38/208 20130101;  A61K 2039/545 20130101;  C07K 2317/24 20130101;  A61P 9/10 20180101;  C07K 2317/76 20130101;  A61P 35/04 20180101;  A61K 31/7088 20130101;  A61P 1/00 20180101;  A61P 19/08 20180101</t>
  </si>
  <si>
    <t>US20130177587</t>
  </si>
  <si>
    <t>13/796125</t>
  </si>
  <si>
    <t>A61P 31/16 20180101;  C12N 7/00 20130101;  A61K 2039/70 20130101;  C12N 2760/16034 20130101;  A61K 2039/5258 20130101;  C12N 2760/16122 20130101;  C07K 14/005 20130101;  A61P 37/04 20180101;  C12N 2760/16123 20130101;  A61K 39/12 20130101;  C12N 2760/16023 20130101;  C07H 21/04 20130101;  A61K 39/145 20130101;  A61K 2039/575 20130101;  C12N 2760/16134 20130101</t>
  </si>
  <si>
    <t>US20130177530</t>
  </si>
  <si>
    <t>13/783056</t>
  </si>
  <si>
    <t>A61P 31/14 20180101;  A61K 31/4188 20130101;  A61K 31/4188 20130101;  A61K 31/7064 20130101;  C07F 5/025 20130101;  A61K 31/7056 20130101;  A61K 45/06 20130101;  A61P 31/12 20180101;  C07D 491/052 20130101;  Y10S 514/894 20130101;  A61K 38/06 20130101;  A61K 38/21 20130101;  A61P 43/00 20180101;  A61K 31/7056 20130101;  A61K 31/7072 20130101;  A61K 2300/00 20130101;  A61K 2300/00 20130101;  A61P 1/16 20180101;  A61K 2300/00 20130101;  C07D 405/12 20130101;  A61K 31/7064 20130101;  A61K 38/07 20130101;  A61K 31/7072 20130101;  A61K 47/60 20170801;  A61K 2300/00 20130101</t>
  </si>
  <si>
    <t>US20130172687</t>
  </si>
  <si>
    <t>SYSTEMS AND METHODS FOR AUTOMATED PREDICTION OF RISK FOR PERIOPERATIVE COMPLICATIONS BASED ON THE LEVEL OF OBSTRUCTIVE SLEEP APNEA</t>
  </si>
  <si>
    <t>13/678853</t>
  </si>
  <si>
    <t>WATERMARK MEDICAL INC; WATERMARK MEDICAL INC</t>
  </si>
  <si>
    <t>WATERMARK MEDICAL INC; WATERMARK MEDICAL</t>
  </si>
  <si>
    <t>Levendowski; Daniel J.; (Carlsbad, CA); Westbrook; Philip R.; (Carlsbad, CA); Berka; Chris; (Carlsbad, CA)</t>
  </si>
  <si>
    <t>A61B 5/4818 20130101;  G16H 50/50 20180101;  A61B 5/7275 20130101;  A61B 5/0002 20130101</t>
  </si>
  <si>
    <t>A system for predicting risk for perioperative complications is described including a user device for receiving a set of risk factors to determine perioperative complications for a patient including patient data useful to determine the likelihood of obstructive sleep apnea. The system also includes an acquisition module to receive data from an obstructive sleep apnea sleep study of the patient. Further a determination module can determine the severity of obstructive sleep apnea for the patient. The system can also include an analysis module having a predictive model that incorporates one or more prediction equations for predicting perioperative complications derived from one or more databases having multiple patient data relevant to predict perioperative complications. The analysis module can be configured to apply the one or more prediction equations to the set of risk factors and the severity of obstructive sleep apnea for the patient in order to identify perioperative complication risks of that patient and to generate a perioperative complications report for the patient.</t>
  </si>
  <si>
    <t>US20130172295</t>
  </si>
  <si>
    <t>PROCESS FOR PREPARATION OF HIV PROTEASE INHIBITORS</t>
  </si>
  <si>
    <t>13/779188</t>
  </si>
  <si>
    <t>Crawford; Kenneth R.; (Westwood, MA); Dowdy; Eric D.; (Foster City, CA); Gutierrez; Arnold; (San Jose, CA); Polniaszek; Richard P.; (Half Moon Bay, CA); Yu; Richard Hung Chiu; (San Francisco, CA)</t>
  </si>
  <si>
    <t>C07F 9/4084 20130101;  A61P 31/12 20180101;  C07C 311/29 20130101;  C07C 303/38 20130101;  C07C 303/40 20130101;  C07F 9/6561 20130101;  C07C 303/40 20130101;  C07C 253/30 20130101;  A61K 31/665 20130101;  A61P 43/00 20180101;  A61P 31/18 20180101;  C07C 51/412 20130101;  C07C 303/38 20130101;  C07F 9/4075 20130101;  C07F 9/4006 20130101;  C07C 253/30 20130101;  C07D 493/04 20130101;  C07C 311/29 20130101;  C07C 311/29 20130101;  C07C 255/60 20130101</t>
  </si>
  <si>
    <t>A process for the synthesis of bisfuran intermediates useful for     preparing antiviral HIV protease inhibitor compounds is hereby disclosed</t>
  </si>
  <si>
    <t>US20130171102</t>
  </si>
  <si>
    <t>HETEROCYCLIC FLAVIVIRIDAE VIRUS INHIBITORS</t>
  </si>
  <si>
    <t>13/699142</t>
  </si>
  <si>
    <t>Bjornson; Kyla; (San Mateo, CA); Bondy; Steven S.; (Danville, CA); Choi; You-chul; (Foster City, CA); Chou; Chien-Hung; (Livermore, CA); Mishra; Ruchika; (San Jose, CA); Trenkle; James D.; (Oakland, CA); Tse; Winston C.; (Redwood City, CA); Vivian; Randall W.; (San Mateo, CA); Taylor; James G.; (San Mateo, CA)</t>
  </si>
  <si>
    <t>A61K 45/00 20130101;  A61P 1/16 20180101;  A61K 38/21 20130101;  C07D 487/04 20130101;  A61K 31/5025 20130101;  A61K 31/519 20130101;  A61P 31/14 20180101</t>
  </si>
  <si>
    <t>The invention is related to anti-viral compounds of formula (A) as     defined in the claims, compositions containing such compounds, and     therapeutic methods that include the administration of such compounds, as     well to processes and intermediates useful for preparing such compounds.  ##STR00001##</t>
  </si>
  <si>
    <t>US20130164280</t>
  </si>
  <si>
    <t>13/722962</t>
  </si>
  <si>
    <t>A61K 31/675 20130101;  C07D 487/08 20130101;  A61K 31/519 20130101;  A61P 31/12 20180101;  C07F 9/6561 20130101;  C07D 519/00 20130101;  A61P 11/00 20180101;  A61K 31/538 20130101;  A61K 45/06 20130101;  C07D 487/04 20130101;  A61K 31/5025 20130101;  A61K 31/5377 20130101</t>
  </si>
  <si>
    <t>US20130164260</t>
  </si>
  <si>
    <t>13/679862</t>
  </si>
  <si>
    <t>Bacon; Elizabeth M.; (Burlingame, CA); Cottell; Jeromy J.; (Redwood City, CA); Kanata; Ashley Anne; (San Mateo, CA); Kato; Darryl; (San Francisco, CA); Krygowski; Evan S.; (Washington, DC); Link; John O.; (San Francisco, CA); Taylor; James; (San Mateo, CA); Tran; Chinh Viet; (San Diego, CA); Martin; Teresa Alejandra Trejo; (Union City, CA); Yang; Zheng-Yu; (Palo Alto, CA); Zipfel; Sheila; (San Mateo, CA)</t>
  </si>
  <si>
    <t>A61P 43/00 20180101;  A61P 31/12 20180101;  C07D 405/12 20130101;  A61K 31/7072 20130101;  A61K 31/7056 20130101;  A61K 31/7064 20130101;  A61K 45/06 20130101;  A61P 31/14 20180101;  A61K 31/4188 20130101;  A61K 47/60 20170801;  C07F 5/025 20130101;  A61K 31/7064 20130101;  A61K 38/06 20130101;  A61K 38/07 20130101;  A61P 1/16 20180101;  Y10S 514/894 20130101;  A61K 38/21 20130101;  A61K 31/7056 20130101;  A61K 2300/00 20130101;  C07D 491/052 20130101;  A61K 31/4188 20130101;  A61K 2300/00 20130101;  A61K 31/7072 20130101;  A61K 2300/00 20130101;  A61K 2300/00 20130101</t>
  </si>
  <si>
    <t>US20130156732</t>
  </si>
  <si>
    <t>13/679874</t>
  </si>
  <si>
    <t>Bacon; Elizabeth M.; (Burlingame, CA); Cottell; Jeromy J.; (Redwood City, CA); Katana; Ashley Anne; (San Mateo, CA); Kato; Darryl; (San Francisco, CA); Krygowski; Evan S.; (Washington, DC); Link; John O.; (San Francisco, CA); Taylor; James; (San Mateo, CA); Tran; Chinh Viet; (San Mateo, CA); Martin; Teresa Alejandra Trejo; (Union City, CA); Yang; Zheng-Yu; (Palo Alto, CA); Zipfel; Sheila; (San Mateo, CA)</t>
  </si>
  <si>
    <t>A61K 31/7056 20130101;  A61K 31/7056 20130101;  C07F 5/025 20130101;  A61K 38/06 20130101;  A61P 43/00 20180101;  A61K 31/7072 20130101;  A61P 31/12 20180101;  A61K 38/21 20130101;  A61K 31/7072 20130101;  A61K 38/07 20130101;  A61K 31/7064 20130101;  C07D 491/052 20130101;  A61K 45/06 20130101;  A61P 31/14 20180101;  A61P 1/16 20180101;  C07D 405/12 20130101;  Y10S 514/894 20130101;  A61K 2300/00 20130101;  A61K 2300/00 20130101;  A61K 47/60 20170801;  A61K 31/7064 20130101;  A61K 31/4188 20130101;  A61K 31/4188 20130101;  A61K 2300/00 20130101;  A61K 2300/00 20130101</t>
  </si>
  <si>
    <t>US20130138451</t>
  </si>
  <si>
    <t>INFECTION SPREAD PREVENTION SUPPORT SYSTEM, INFECTION SPREAD PREVENTION     SUPPORT SERVER, EXAMINATION TERMINAL, MOBILE TERMINAL AND PROGRAM</t>
  </si>
  <si>
    <t>13/724740</t>
  </si>
  <si>
    <t>NIKON CORPORATION</t>
  </si>
  <si>
    <t>NIKON</t>
  </si>
  <si>
    <t>SHIONO; Hirofumi; (Fujisawa-shi, JP); NEI; Masahiro; (Yokohama-shi, JP); INOUE; Hideya; (Yokohama-shi, JP); YAMASHITA; Ryoichi; (Tokyo, JP); SHIBAYAMA; Miyuki; (Kawasaki-shi, JP)</t>
  </si>
  <si>
    <t>G16H 50/80 20180101;  G06F 19/34 20130101;  G06Q 50/22 20130101</t>
  </si>
  <si>
    <t>An infection spread prevention support system includes an examination     terminal and an infection spread prevention support server. The     examination terminal includes an examination information acquisition unit     that acquires examination information to examine the infection of an     infectious disease in subjects and a transmission and reception unit that     transmits the examination information to the infection spread prevention     support server. The infection spread prevention support server includes a     receiving unit that receives examination information, an infection     determination unit that determines the presence or degree of infection of     the infectious disease using the examination information, an activity     regulation information generation unit that generates activity regulation     information to regulate the an activity of the infected patient based on     infection determination information, which is a determination result of     the infection determination unit, and information regarding the subjects,     and an output unit that outputs the activity regulation information.</t>
  </si>
  <si>
    <t>US20130137877</t>
  </si>
  <si>
    <t>13/553517</t>
  </si>
  <si>
    <t>Guo; Hongyan; (Foster City, CA); Kato; Darryl; (Foster City, CA); Kirschberg; Thorsten A.; (Foster City, CA); Liu; Hongtao; (Foster City, CA); Link; John O.; (Foster City, CA); Mitchell; Michael L.; (Foster City, CA); Parrish; Jay P.; (Foster City, CA); Sun; Jianyu; (Foster City, CA); Taylor; James; (Foster City, CA); Bacon; Elizabeth M.; (Foster City, CA); Canales; Eda; (Foster City, CA); Cho; Aesop; (Foster City, CA); Kim; Choung U.; (Foster City, CA); Cottell; Jeromy J.; (Foster City, CA); Desai; Manoj C.; (Foster City, CA); Halcomb; Randall L.; (Foster City, CA); Graupe; Michael; (Foster City, CA); Krygowski; Evan S.; (Foster City, CA); Lazerwith; Scott E.; (Foster City, CA); Liu; Qi; (Foster City, CA); Mackman; Richard; (Foster City, CA); Pyun; Hyung-Jun; (Foster City, CA); Saugier; Joseph H.; (Foster City, CA); Trenkle; James D.; (Foster City, CA); Tse; Winston C.; (Foster City, CA); Vivian; Randall W.; (Foster City, CA); Schroeder; Scott D.; (Foster City, CA); Watkins; William J.; (Foster City, CA); Xu; Lianhong; (Foster City, CA)</t>
  </si>
  <si>
    <t>C07D 471/08 20130101;  C07D 471/10 20130101;  C07D 417/14 20130101;  A61P 31/12 20180101;  A61K 31/519 20130101;  C07D 403/14 20130101;  A61K 31/427 20130101;  C07D 401/14 20130101;  A61K 31/5415 20130101;  A61K 45/06 20130101;  C07D 403/04 20130101;  C07D 491/113 20130101;  C07D 413/14 20130101;  A61K 31/435 20130101;  A61K 31/5377 20130101;  A61K 31/55 20130101;  C07F 5/025 20130101;  A61K 31/454 20130101;  C07D 495/04 20130101;  C07D 207/16 20130101;  A61K 31/4025 20130101;  A61K 31/496 20130101;  C07D 487/04 20130101;  A61K 31/437 20130101;  C07D 405/14 20130101;  A61K 31/4439 20130101;  C07D 409/14 20130101;  C07D 471/04 20130101;  A61K 31/4184 20130101;  A61K 31/4178 20130101</t>
  </si>
  <si>
    <t>US20130136776</t>
  </si>
  <si>
    <t>13/686664</t>
  </si>
  <si>
    <t>A61K 9/2009 20130101;  A61K 31/675 20130101;  A61K 31/685 20130101;  A61K 31/664 20130101;  A61K 31/7068 20130101;  A61K 31/7072 20130101;  A61K 31/4196 20130101;  A61K 31/7056 20130101;  A61K 31/7056 20130101;  A61K 2300/00 20130101;  A61K 9/2013 20130101;  A61K 2300/00 20130101;  A61K 2300/00 20130101;  A61K 2300/00 20130101;  A61K 2300/00 20130101;  A61K 31/7068 20130101;  A61K 31/664 20130101;  A61K 31/4196 20130101;  A61K 31/685 20130101;  A61K 31/513 20130101;  A61K 9/2054 20130101</t>
  </si>
  <si>
    <t>US20130136770</t>
  </si>
  <si>
    <t>METHODS FOR TREATING RESPIRATORY VIRAL INFECTION</t>
  </si>
  <si>
    <t>13/639848</t>
  </si>
  <si>
    <t>AMGEN INC.</t>
  </si>
  <si>
    <t>AMGEN</t>
  </si>
  <si>
    <t>Zeldis; Jerome B.; (Princeton, NJ)</t>
  </si>
  <si>
    <t>A61K 31/4035 20130101;  A61K 45/06 20130101;  A61P 43/00 20180101;  A61P 11/00 20180101;  A61P 31/16 20180101;  A61K 31/454 20130101;  A61P 31/04 20180101;  A61P 31/12 20180101;  A61K 2300/00 20130101;  A61K 31/4035 20130101</t>
  </si>
  <si>
    <t>Provided herein are methods for modulating immune responses to a     respiratory viral infection (e.g., influenza, rhinovirus, coronavirus, or     paramyxovirus) in a subject, wherein the methods comprise administering     to the subject a compound (e.g., a PDE4 modulator or an immunomodulatory     compound), or a pharmaceutically acceptable salt, solvate, hydrate, or     stereoisomer thereof. Also provided herein are methods for treating,     preventing, ameliorating, and/or delaying the onset of one or more     symptoms associated with or resulting from a respiratory viral infection     (e.g., influenza, rhinovirus, coronavirus, or paramyxovirus) in a     subject, wherein the methods comprise administering to the subject a     compound (e.g., a PDE4 modulator or an immunomodulatory compound), or a     pharmaceutically acceptable salt, solvate, hydrate, or stereoisomer     thereof.</t>
  </si>
  <si>
    <t>US20130132572</t>
  </si>
  <si>
    <t>System and Method for Monitoring Outbreak of Contagious Diseases</t>
  </si>
  <si>
    <t>13/300584</t>
  </si>
  <si>
    <t>PAN YANG</t>
  </si>
  <si>
    <t>Pan; Yang; (Singapore, SG)</t>
  </si>
  <si>
    <t>H04W 4/02 20130101;  H04W 4/90 20180201;  G16H 50/80 20180101</t>
  </si>
  <si>
    <t>A surveillance system for monitoring outbreak of a contagious disease is     disclosed. The system comprises a handheld computing and communication     device with a short range ad hoc networking device. Handheld devices     carried by persons in contacting with the device carried by a user form     an ad hoc communication network at a location. Identities of all devices     in the ad hoc network are broadcasted through the network. The user's     device receives the identities and stores the received data in a log     file. The log file may be sent to a central station after the device     receives an authorized signal during an outbreak event of the contagious     disease. The device may further include a body temperature automatic     measuring system. The user's body temperature trend file may be sent     together with the log file.</t>
  </si>
  <si>
    <t>US20130130227</t>
  </si>
  <si>
    <t>Infectious Disease Detection System</t>
  </si>
  <si>
    <t>13/302245</t>
  </si>
  <si>
    <t>C12M 41/48 20130101;  C12Q 3/00 20130101;  G16H 50/80 20180101;  G01N 15/0255 20130101;  Y10T 436/25 20150115;  Y10T 436/255 20150115;  Y10T 436/114998 20150115</t>
  </si>
  <si>
    <t>US20130124574</t>
  </si>
  <si>
    <t>SCENARIO DRIVEN DATA MODELLING: A METHOD FOR INTEGRATING DIVERSE SOURCES     OF DATA AND DATA STREAMS</t>
  </si>
  <si>
    <t>13/654152</t>
  </si>
  <si>
    <t>Brettin; Thomas S.; (Knoxville, TN); Cottingham; Robert W.; (Oak Ridge, TN); Griffith; Shelton D.; (Jackson, MS); Quest; Daniel J.; (Knoxville, TN)</t>
  </si>
  <si>
    <t>G06F 17/30958 20130101;  G16H 50/80 20180101;  G06F 19/28 20130101</t>
  </si>
  <si>
    <t>A system and method of integrating diverse sources of data and data     streams is presented. The method can include selecting a scenario based     on a topic, creating a multi-relational directed graph based on the     scenario, identifying and converting resources in accordance with the     scenario and updating the multi-directed graph based on the resources,     identifying data feeds in accordance with the scenario and updating the     multi-directed graph based on the data feeds, identifying analytical     routines in accordance with the scenario and updating the multi-directed     graph using the analytical routines and identifying data outputs in     accordance with the scenario and defining queries to produce the data     outputs from the multi-directed graph.</t>
  </si>
  <si>
    <t>US20130124099</t>
  </si>
  <si>
    <t>13/663176</t>
  </si>
  <si>
    <t>US20130120142</t>
  </si>
  <si>
    <t>HYGIENE COMPLIANCE REPORTING SYSTEM</t>
  </si>
  <si>
    <t>13/734328</t>
  </si>
  <si>
    <t>US20130120140</t>
  </si>
  <si>
    <t>SYSTEM AND METHOD FOR MEDICAL DIAGNOSIS USING GEOSPATIAL LOCATION DATA     INTEGRATED WITH BIOMEDICAL SENSOR INFORMATION</t>
  </si>
  <si>
    <t>13/733726</t>
  </si>
  <si>
    <t>Patil; Sandeep; (Pune, IN); Musial; John G.; (Newburgh, NY); Nagpal; Abhinay R.; (Pune, IN); Shah; Dhaval K.; (Gujarat, IN)</t>
  </si>
  <si>
    <t>G06F 19/3418 20130101;  G08B 21/02 20130101;  A61B 5/0022 20130101;  Y02A 90/24 20180101;  G16H 50/80 20180101;  Y02A 90/26 20180101;  A61B 5/1112 20130101</t>
  </si>
  <si>
    <t>In at least one embodiment, a method and system for accumulating     geospatial location data and biomedical data for an individual during     his/her travels is provided. In at least one embodiment, a device uses at     least one location signal to determine geospatial data and receives a     plurality of biomedical signals with both data types being stored for     possible later retrieval for providing a diagnosis for the individual if     a medical condition arises. An embodiment of the invention provides a     method of operation of a device having at least a memory and a     communications module where the method includes receiving at least one     location signal with the communications module; storing geospatial data     obtained at least from the at least one location signal with a time stamp     in memory; receiving a plurality of biomedical signals over time from at     least one sensor with the communications module; storing biomedical data     from the received biomedical signal with a time stamp in memory; and     repeating the receiving at least one location signal and storing     geospatial data from the at least one location signal in different     geographic locations.</t>
  </si>
  <si>
    <t>US20130115606</t>
  </si>
  <si>
    <t>SYSTEM AND METHOD FOR MICROFLUIDIC CELL CULTURE</t>
  </si>
  <si>
    <t>13/631629</t>
  </si>
  <si>
    <t>US20130109647</t>
  </si>
  <si>
    <t>METHODS AND COMPOSITIONS FOR TREATING HEPATITIS C VIRUS</t>
  </si>
  <si>
    <t>13/661509</t>
  </si>
  <si>
    <t>Berrey; Miriam Michelle; (Durham, NC); Hindes; Robert G.; (Skillman, NJ); Symonds; William T.; (San Francisco, CA); Ray; Adrian S.; (Redwood City, CA); Mo; Hongmei; (Palo Alto, CA); Hebner; Christy M.; (Belmont, CA)</t>
  </si>
  <si>
    <t>A61K 31/513 20130101;  A61K 31/664 20130101;  A61K 31/7056 20130101;  A61K 31/685 20130101;  A61K 31/7056 20130101;  A61K 31/675 20130101;  A61K 31/7072 20130101;  A61K 9/2009 20130101;  A61K 31/4196 20130101;  A61K 31/685 20130101;  A61K 9/2013 20130101;  A61K 31/664 20130101;  A61K 31/4196 20130101;  A61K 31/7068 20130101;  A61P 31/14 20180101;  A61K 31/7068 20130101;  A61K 9/2054 20130101;  A61K 2300/00 20130101;  A61K 2300/00 20130101;  A61K 2300/00 20130101;  A61K 2300/00 20130101;  A61K 2300/00 20130101</t>
  </si>
  <si>
    <t>Disclosed herein is a method of treating a subject infected with     hepatitis C virus, said method comprising administering to the subject     for a time period an effective amount of GS-7977 and an effective amount     of ribavirin. In one aspect, the method comprises administering to the     subject an interferon-free treatment regimen comprising an effective     amount of GS-7977 and an effective amount of ribavirin. In a particular     aspect, the method is sufficient to produce an undetectable amount of HCV     RNA in the subject for at least 12 weeks after the end of the time     period. Also disclosed herein is a composition useful for the treatment     of hepatitis C virus infection, said composition comprising an effective     amount of GS-7977 and an effective amount of ribavirin.</t>
  </si>
  <si>
    <t>US20130101598</t>
  </si>
  <si>
    <t>13/600978</t>
  </si>
  <si>
    <t>Smith; Jeffrey T.L.; (Redmond, WA)</t>
  </si>
  <si>
    <t>A61K 2039/505 20130101;  C07K 2317/94 20130101;  C07K 2317/92 20130101;  C07K 2317/56 20130101;  C07K 2317/34 20130101;  C07K 2317/33 20130101;  C07K 16/248 20130101;  C07K 2317/76 20130101;  C07K 2317/41 20130101;  C07K 2317/515 20130101;  A61K 39/3955 20130101;  C07K 2317/52 20130101;  A61K 45/06 20130101;  C07K 2317/51 20130101;  C07K 2317/565 20130101</t>
  </si>
  <si>
    <t>US20130090302</t>
  </si>
  <si>
    <t>13/626687</t>
  </si>
  <si>
    <t>BOOJAMRA; Constantine G.; (San Francisco, CA); Lin; Kuei-Ying; (Sunnyvale, CA); Mackman; Richard L.; (Millbrae, CA); Markevitch; David Y.; (Los Angeles, CA); Petrakovsky; Oleg V.; (San Mateo, CA); Ray; Adrian S.; (Redwood City, CA); Zhang; Lijun; (Los Altos Hills, CA)</t>
  </si>
  <si>
    <t>C07F 9/65616 20130101;  C07H 19/00 20130101;  C07H 19/20 20130101;  A61K 31/513 20130101;  A61K 31/662 20130101;  A61K 31/675 20130101;  A61P 31/12 20180101;  A61K 31/341 20130101;  A61P 31/20 20180101;  A61K 45/06 20130101;  A61K 31/683 20130101;  A61P 31/00 20180101;  A61P 43/00 20180101;  A61K 31/683 20130101;  A61K 2300/00 20130101;  A61K 31/675 20130101;  A61K 2300/00 20130101;  A61K 2300/00 20130101;  A61K 2300/00 20130101;  C07H 19/16 20130101;  A61K 31/341 20130101;  A61K 31/513 20130101;  A61P 31/14 20180101;  A61P 31/18 20180101</t>
  </si>
  <si>
    <t>US20130090299</t>
  </si>
  <si>
    <t>13/653982</t>
  </si>
  <si>
    <t>GILEAD SCIENCES INC; GILEAD SCIENCES INC</t>
  </si>
  <si>
    <t>GILEAD SCIENCES INC; GILEAD SCIENCES</t>
  </si>
  <si>
    <t>Boojamra; Constantine G.; (San Francisco, CA); Lin; Kuei-Ying; (Sunnyvale, CA); Mackman; Richard L.; (Millbrae, CA); Markevitch; David Y.; (Los Angeles, CA); Petrakovsky; Oleg V.; (San Mateo, CA); Ray; Adrian S.; (Redwood City, CA); Zhang; Lijun; (Los Altos Hils, CA)</t>
  </si>
  <si>
    <t>A61P 43/00 20180101;  C07H 19/16 20130101;  A61K 31/683 20130101;  A61P 31/20 20180101;  A61P 31/00 20180101;  A61K 31/675 20130101;  A61K 31/341 20130101;  A61P 31/12 20180101;  C07F 9/65616 20130101;  A61K 45/06 20130101;  A61K 31/662 20130101;  A61P 31/14 20180101;  C07H 19/20 20130101;  A61P 31/18 20180101;  A61K 31/675 20130101;  A61K 2300/00 20130101;  A61K 2300/00 20130101;  A61K 2300/00 20130101;  A61K 2300/00 20130101;  A61K 31/341 20130101;  A61K 31/683 20130101;  A61K 31/513 20130101;  C07H 19/00 20130101;  A61K 31/513 20130101</t>
  </si>
  <si>
    <t>US20130065967</t>
  </si>
  <si>
    <t>USE OF METHYLSULFONYLMETHANE (MSM) TO INHIBIT MICROBIAL ACTIVITY</t>
  </si>
  <si>
    <t>13/445831</t>
  </si>
  <si>
    <t>BIOGENIC INNOVATIONS, LLC</t>
  </si>
  <si>
    <t>BIOGENIC INNOVATIONS</t>
  </si>
  <si>
    <t>Benjamin; Rodney L.; (Camas, WA); Varelman; Jeffrey; (Moyie Springs, ID); Keller; Anthony L.; (Ashland, OR)</t>
  </si>
  <si>
    <t>A61K 9/0014 20130101;  C12N 1/20 20130101;  Y02E 50/17 20130101;  C12N 1/38 20130101;  Y02A 50/473 20180101;  A61P 31/10 20180101;  A61P 31/04 20180101;  A61K 45/06 20130101;  A61P 31/16 20180101;  C12P 7/06 20130101;  Y02A 50/411 20180101;  A61K 31/437 20130101;  Y02E 50/343 20130101;  A61K 31/43 20130101;  Y02A 50/406 20180101;  A61P 31/00 20180101;  C12P 7/56 20130101;  Y02A 50/409 20180101;  A61P 43/00 20180101;  A61K 31/431 20130101;  C12N 1/18 20130101;  A01N 41/10 20130101;  A61K 31/10 20130101;  A61K 31/43 20130101;  A61K 2300/00 20130101;  A61K 31/431 20130101;  A61K 2300/00 20130101</t>
  </si>
  <si>
    <t>Disclosed herein are methods of use of methylsulfonylmethane (MSM) to     modulate microbial activity, such as to enhance or inhibit the activity     of microorganisms. In one example, MSM (such as about 0.5% to 5% MSM) is     used to enhance fermentation efficiency, such as to enhance fermentation     efficiency associated with the production of beer, cider, wine, a     biofuel, dairy product or any combination thereof. Also disclosed are in     vitro methods for enhancing the growth of one or more probiotic     microorganisms and methods of enhancing growth of a microorganism in a     diagnostic test sample. Methods of inhibiting microbial activity are also     disclosed. In one particular example, a method of inhibiting microbial     activity includes selecting a medium that is susceptible to H1N1     influenza contamination; and contacting the medium with MSM at a     concentration of about 10% to about 16% of weight by volume, thereby     inhibiting H1N1 influenza microbial activity.</t>
  </si>
  <si>
    <t>US20130065857</t>
  </si>
  <si>
    <t>NOVEL DXR INHIBITORS FOR ANTIMICROBIAL THERAPY</t>
  </si>
  <si>
    <t>13/501636</t>
  </si>
  <si>
    <t>Song; Yongcheng; (Pearland, TX)</t>
  </si>
  <si>
    <t>C07F 9/098 20130101;  C07F 9/6518 20130101;  C07F 9/3882 20130101;  C07F 9/60 20130101;  C07F 9/62 20130101;  C07F 9/6561 20130101;  C07F 9/65616 20130101;  C07F 9/657181 20130101;  C07F 9/65846 20130101;  C07F 9/6587 20130101;  C07F 9/58 20130101;  C07F 9/6506 20130101;  C07F 9/650952 20130101;  C07F 9/6512 20130101;  C07F 9/3808 20130101</t>
  </si>
  <si>
    <t>The present invention generally concerns particular methods and compositions for antimicrobial therapy. In particular embodiments, the compositions target DXR. In specific embodiments, the compositions are electron-deficient heterocyclic rings.</t>
  </si>
  <si>
    <t>US20130058949</t>
  </si>
  <si>
    <t>13/548994</t>
  </si>
  <si>
    <t>A61K 2039/505 20130101;  C07K 2317/33 20130101;  C07K 2317/94 20130101;  A61P 7/02 20180101;  C07K 2317/76 20130101;  C07K 16/461 20130101;  C07K 2317/24 20130101;  A61K 39/395 20130101;  C07K 2317/34 20130101;  A61K 2039/545 20130101;  C07K 2317/92 20130101;  C07K 16/241 20130101;  C07K 16/248 20130101</t>
  </si>
  <si>
    <t>US20130057551</t>
  </si>
  <si>
    <t>Visual Analytics Law Enforcement Tools</t>
  </si>
  <si>
    <t>13/291761</t>
  </si>
  <si>
    <t>Ebert; David S.; (West Lafayette, IN); Collins; Timothy; (Brookston, IN); Maciejewski; Ross; (Phoenix, AZ); Malik; Abish; (West Lafayette, IN)</t>
  </si>
  <si>
    <t>G16H 50/80 20180101;  G06K 9/6218 20130101</t>
  </si>
  <si>
    <t>A system and method for visually displaying and analyzing criminal and/or     public health and safety data for geospatial and/or time variations,     including the collection of incident data coupled with geographic and     time data, filtering the symptom data based upon a selected time period     and geographic range, and creating a visual result based upon statistical     modeling including power transform and/or data normalization. According     to at least one embodiment, the system for visually displaying and     analyzing includes selecting and performing at least one aberration     detection method and displaying the result to a user via a visual     analytics arrangement.</t>
  </si>
  <si>
    <t>US20130053577</t>
  </si>
  <si>
    <t>13/598430</t>
  </si>
  <si>
    <t>Cho; Aesop; (Mountain View, CA); Clarke; Michael O' Neil Hanrahan; (Redwood City, CA); Kim; Choung U.; (San Carlos, CA); Link; John O.; (San Francisco, CA); Pyun; Hyung-jung; (Fremont, CA); Sheng; Xiaoning C.; (Guangzhou, CN); Wu; Qiaoyin; (Foster City, CA)</t>
  </si>
  <si>
    <t>A61P 1/16 20180101;  A61P 31/12 20180101;  C07D 403/14 20130101;  C07D 417/14 20130101;  C07D 401/14 20130101;  C07D 487/04 20130101;  C07K 5/0808 20130101;  C07K 5/0821 20130101;  C07D 403/12 20130101;  A61P 31/14 20180101;  C07D 401/12 20130101;  C07D 207/16 20130101;  C07K 5/0819 20130101;  A61P 31/16 20180101;  C07D 413/14 20130101;  C07K 5/0804 20130101</t>
  </si>
  <si>
    <t>US20130052161</t>
  </si>
  <si>
    <t>13/549130</t>
  </si>
  <si>
    <t>Watkins; William J.; (Saratoga, CA)</t>
  </si>
  <si>
    <t>C07D 333/40 20130101;  A61P 43/00 20180101;  A61P 1/16 20180101;  A61P 31/14 20180101</t>
  </si>
  <si>
    <t>Provided are compounds of Formula I:  ##STR00001## and pharmaceutically acceptable salts and esters thereof. The compounds,     compositions, and methods provided are useful for the treatment of     Flaviviridae virus infections (e.g. hepatitis C infections), particularly     drug resistant Flaviviridae virus infections.</t>
  </si>
  <si>
    <t>US20130035900</t>
  </si>
  <si>
    <t>Method for Promoting Hygiene and Cleanliness</t>
  </si>
  <si>
    <t>13/195485</t>
  </si>
  <si>
    <t>Kimberly-Clark</t>
  </si>
  <si>
    <t>Purcell; Ricky Wayne; (Alpharetta, GA); Gatto; Jeanne Marie; (Evanston, IL); Williamson; Bruce; (Alpharetta, GA)</t>
  </si>
  <si>
    <t>G06F 19/3418 20130101;  G16H 50/80 20180101;  G16H 40/20 20180101</t>
  </si>
  <si>
    <t>The present invention provides a method for promoting hygiene in an     away-from-home location. The method collects data from an away-from-home     location by testing common areas and personal areas within the     away-from-home location and takes this data to develop a plan of action     to reduce the contaminants within the away-from-home location.</t>
  </si>
  <si>
    <t>US20130034844</t>
  </si>
  <si>
    <t>ASSAY FOR MEASURING CELL-MEDIATED IMMUNORESPONSIVENESS</t>
  </si>
  <si>
    <t>13/516150</t>
  </si>
  <si>
    <t>CELLESTIS LIMITED</t>
  </si>
  <si>
    <t>CELLESTIS</t>
  </si>
  <si>
    <t>Boyle; Jeff; (Pearcedale, AU); De Las Heras; Rachel; (Belgrave, AU)</t>
  </si>
  <si>
    <t>G01N 33/56972 20130101;  G01N 33/5047 20130101;  Y02A 90/22 20180101;  Y02A 90/24 20180101;  Y02A 90/26 20180101</t>
  </si>
  <si>
    <t>The present invention relates generally to the field of     immunological-based diagnostic assays. More particularly, the present     invention contemplates a method for measuring cell-mediated     immunoresponsiveness. The present invention further enables determination     of the immunosuppressive effects of disease conditions, therapeutic     agents and environmental contaminants. The assay of the present invention     is also capable of integration into pathology architecture to provide a     diagnostic reporting system and to facilitate point of care clinical     management.</t>
  </si>
  <si>
    <t>US20130034554</t>
  </si>
  <si>
    <t>13/511865</t>
  </si>
  <si>
    <t>Garcia-Martinez; Leon F.; (Woodinville, WA); Jensen; Anne Elisabeth Carvalho; (Snohomish, WA); Olson; Katie; (Kenmore, WA); Dutzar; Benjamin H.; (Seattle, WA); Latham; John A.; (Seattle, WA); Kovacevich; Brian Robert; (Snohomish, WA); Smith; Jeffrey T.L.; (Belleve, WA); Litton; Mark; (Seattle, WA); Schatzman; Randall; (Redmond, WA)</t>
  </si>
  <si>
    <t>A61K 49/0058 20130101;  A61K 51/1033 20130101;  C07K 16/248 20130101;  A61K 2039/505 20130101;  C07K 2317/34 20130101;  C07K 2317/92 20130101;  Y02A 50/58 20180101;  C07K 2317/56 20130101;  C07K 2317/565 20130101;  A61K 49/0004 20130101;  G01N 33/6863 20130101;  C07K 2317/76 20130101;  Y02A 50/412 20180101;  C07K 2317/24 20130101</t>
  </si>
  <si>
    <t>US20130034521</t>
  </si>
  <si>
    <t>BUTLER; Thomas; (Redwood City, CA); CHO; Aesop; (Mountain View, CA); KIM; Choung U.; (San Carlos, CA); PARRISH; Jay P.; (Redwood City, CA); SAUNDERS; Oliver L.; (San Mateo, CA); ZHANG; Lijun; (Los Altos Hills, CA)</t>
  </si>
  <si>
    <t>A61P 31/14 20180101;  A61P 31/16 20180101;  C07H 19/23 20130101;  A61P 1/16 20180101;  A61P 31/12 20180101;  A61P 31/20 20180101;  A61P 31/00 20180101;  A61P 43/00 20180101;  C07D 487/04 20130101</t>
  </si>
  <si>
    <t>US20130031179</t>
  </si>
  <si>
    <t>SOCIAL-NETWORK METHOD FOR ANTICIPATING EPIDEMICS AND TRENDS</t>
  </si>
  <si>
    <t>13/639123</t>
  </si>
  <si>
    <t>Christakis; Nicholas A.; (Cambridge, MA); Fowler; James H.; (San Diego, CA)</t>
  </si>
  <si>
    <t>G06Q 10/10 20130101</t>
  </si>
  <si>
    <t>In order to anticipate an epidemic or adoption of a trend, individuals     are randomly selected from a population and friends of the selected     individuals are determined. These friends are then designated as sensors     and monitored to predict or anticipate the adoption of a trend or the     spread of a contagious outbreak. In one embodiment, online searches     performed by these friends are monitored for the use of selected search     queries to predict or anticipate the adoption of a trend or the spread of     a contagious outbreak.</t>
  </si>
  <si>
    <t>US20130028860</t>
  </si>
  <si>
    <t>ANTAGONISTS OF IL-6 TO PREVENT OR TREAT CACHEXIA, WEAKNESS, FATIGUE AND/OR FEVER</t>
  </si>
  <si>
    <t>13/511385</t>
  </si>
  <si>
    <t>SMITH JEFFREY T L; LATHAM JOHN A; LITTON MARK; SCHATZMAN RANDALL</t>
  </si>
  <si>
    <t>SMITH JEFFREY L; LATHAM JOHN LITTON MARK; SCHATZMAN RANDALL</t>
  </si>
  <si>
    <t>US20130024205</t>
  </si>
  <si>
    <t>DYNAMICALLY UPDATING ELECTRONIC MEDICAL RECORDS AND LEVERAGING A PERSON'S     PATH IN A FACILITY TO MITGATE RISKS</t>
  </si>
  <si>
    <t>13/185072</t>
  </si>
  <si>
    <t>Lyle; Ruthie D.; (Durham, NC); Barber-Mingo; Cynthia E.; (Westford, MA); Jones; Angela Richards; (Durham, NC); Lection; David B.; (Raleigh, NC)</t>
  </si>
  <si>
    <t>G06Q 10/10 20130101;  G06Q 50/22 20130101;  G16H 50/80 20180101;  G16H 10/60 20180101;  G16H 10/65 20180101;  G06F 19/3456 20130101</t>
  </si>
  <si>
    <t>Automatically updating an electronic medical record in response to an     exposure to a communicable disease is disclosed. A system receives data     indicating a common reference point of exchange for a first person and     for a second person. The system further detects an update to an     electronic medical record of the first person where the update includes a     diagnosis of a communicable disease. The data indicating the common     reference point and the communicable disease is used to determine an     exposure of the second person to the communicable disease. Upon     determining such exposure, an electronic medical record for the second     person is updated to reflect the exposure to the disease.</t>
  </si>
  <si>
    <t>US20130023565</t>
  </si>
  <si>
    <t>13/635064</t>
  </si>
  <si>
    <t>The present invention relates to polypeptide fragments comprising an     amino-terminal fragment of the PA subunit of a viral RNA-dependent RNA     polymerase possessing endonuclease activity, wherein said PA subunit is     from Influenza A 2009 pan-demic H1N1 virus or is a variant thereof. This     invention also relates to (i) crystals of the polypeptide fragments which     are suitable for structure determination of said polypeptide fragments     using X-ray crystallography and (ii) computational methods using the     structural coordinates of said polypeptide to screen for and design     compounds that modulate, preferably inhibit the endonucleolytically     active site within the polypeptide fragment. In addition, this invention     relates to methods identifying compounds that bind to the PA polypeptide     fragments possessing endonuclease activity and preferably inhibit said     endonucleolytic activity, preferably in a high throughput setting. This     invention also relates to compounds which are able to modulate,     preferably to inhibit, the endonuclease activity of the PA subunit     polypeptide fragment or variant thereof of the present invention and     pharmaceutical compositions comprising said compounds for the treatment     of disease conditions caused by viral infections with viruses of the     Orthomyxoviridae family, Bunyaviridae family and/or Arenviridae family,     preferably caused by viral infections with Influenza A 2009 pandemic H1N1     virus. Preferably, said compounds are identifiable by the methods     disclosed herein or said pharmaceutical compositions are producible by     the methods disclosed herein.</t>
  </si>
  <si>
    <t>US20130022573</t>
  </si>
  <si>
    <t>13/315069</t>
  </si>
  <si>
    <t>SELCIA LTD; GILEAD SCIENCES INC; APPLEBY TODD; FLIRI HANS G; KEATS ANDREW J; LAZARIDES LINOS; MACKMAN RICHARD L; PETTIT SIMON N; POULLENNEC KARINE G; SANVOISIN JONATHAN; STEADMAN VICTORIA A; WATT GREGORY M</t>
  </si>
  <si>
    <t>SELCIA LTD; GILEAD SCIENCES INC; APPLEBY TODD; FLIRI HANS KEATS ANDREW LAZARIDES LINOS; MACKMAN RICHARD PETTIT SIMON POULLENNEC KARINE SAN</t>
  </si>
  <si>
    <t>Appleby; Todd; (San Francisco, CA); Fliri; Hans G.; (Essex, GB); Keats; Andrew J.; (Essex, GB); Lazarides; Linos; (London, GB); Mackman; Richard L.; (Millbrae, CA); Pettit; Simon N.; (Essex, GB); Poullennec; Karine G.; (Essex, GB); Sanvoisin; Jonathan; (Essex, GB); Steadman; Victoria A.; (Essex, GB); Watt; Gregory M.; (Bristol, GB)</t>
  </si>
  <si>
    <t>C07D 498/08 20130101;  C07K 5/02 20130101;  C07D 498/18 20130101;  A61P 31/14 20180101;  C07D 487/04 20130101;  A61K 45/06 20130101;  A61K 38/06 20130101;  A61P 31/00 20180101;  A61P 31/10 20180101;  A61P 31/12 20180101;  A61P 31/18 20180101;  C07K 5/06052 20130101;  C07D 487/08 20130101</t>
  </si>
  <si>
    <t>US20130006065</t>
  </si>
  <si>
    <t>13/613087</t>
  </si>
  <si>
    <t>Yanai; Ehud; (Kiryat-Tivon, IL); Elazari-Volcani; Ron; (Moshav Ein-Sarid, IL)</t>
  </si>
  <si>
    <t>A system and method for tracking the health of a group of livestock. In     an exemplary embodiment of the invention, the vital signs of a small     number of sentinel animals is tracked and used to assess the existence     and/or progress of a disease in the group. In an exemplary embodiment of     the invention, the vital signs are assessed using a vitality sensor, for     example, an accelerometer which provides signals indicating the type     and/or other properties of movements made by the sentinel animals.</t>
  </si>
  <si>
    <t>US20120294879</t>
  </si>
  <si>
    <t>CONSENSUS SEQUENCE  FOR INFLUENZA  A VIRUS</t>
  </si>
  <si>
    <t>13/501339</t>
  </si>
  <si>
    <t>August; J. Thomas; (Baltimore, MD); Tan; Paul ThiamJoo; (Singapore, SG); Tan; Tin Wee; (Singapore, SG); Khan; Mohammad Asif; (Singapore, SG)</t>
  </si>
  <si>
    <t>A61K 39/145 20130101;  A61K 2039/5154 20130101;  A61K 2039/5156 20130101;  C07K 14/005 20130101;  C07K 2319/00 20130101;  C12N 2760/16122 20130101;  C12N 2760/16134 20130101;  A61K 39/12 20130101;  A61K 2039/70 20130101</t>
  </si>
  <si>
    <t>Pandemic A(H1N1) continues its global spread, and vaccine production is a     serious problem. Protection by current vaccines is limited by the     mutational differences that rapidly accumulate in the circulating     strains, especially in the virus surface proteins. New vaccine strategies     are focusing at conserved regions of the viral internal proteins to     produce T cell epitope-based vaccines. T cell responses have been shown     to reduce morbidity and promote recovery in mouse models of influenza     challenge. We previously reported 54 highly conserved sequences of NP, M1     and the polymerases of all human H1N1, H3N2, H1N2, and H5N1, and avian     subtypes over the past 30 years. Sixty-three T cell epitopes elicited     responses in HLA transgenic mice (A2, A24, B7, DR2, DR3 and DR4). These     epitopes were compared to the 2007-2009 human H1N1 sequences to identify     conserved and variant residues. Seventeen T cell epitopes of PB1, PB2,     and M1 were selected as vaccine targets by analysis of sequence     conservation and variability, functional avidity, non-identity to human     peptides, clustered localization, and promiscuity to multiple HLA     alleles. The vaccines composed of these epitopes, being highly conserved     and temporally stable, would be useful for any avian or human influenza A     virus.</t>
  </si>
  <si>
    <t>US20120294852</t>
  </si>
  <si>
    <t>13/511409</t>
  </si>
  <si>
    <t>A61P 1/04 20180101;  A61P 17/06 20180101;  A61P 31/16 20180101;  A61P 35/02 20180101;  A61P 15/06 20180101;  A61P 1/16 20180101;  A61P 3/04 20180101;  A61P 43/00 20180101;  A61K 38/2013 20130101;  A61P 13/08 20180101;  A61P 29/00 20180101;  A61P 35/00 20180101;  A61K 49/0004 20130101;  A61P 19/02 20180101;  A61P 37/06 20180101;  A61K 38/208 20130101;  A61P 17/02 20180101;  A61P 21/00 20180101;  A61P 33/06 20180101;  C07K 2317/94 20130101;  A61K 2039/545 20130101;  A61P 25/28 20180101;  A61P 7/04 20180101;  A61P 25/24 20180101;  C07K 16/462 20130101;  A61K 2039/505 20130101;  A61P 31/12 20180101;  A61P 11/00 20180101;  A61P 25/00 20180101;  A61P 37/02 20180101;  C07K 2317/41 20130101;  A61P 7/00 20180101;  A61P 7/02 20180101;  A61P 13/12 20180101;  A61P 17/00 20180101;  C07K 2317/33 20130101;  C07K 2317/56 20130101;  A61P 31/04 20180101;  A61K 51/1033 20130101;  A61P 5/14 20180101;  C07K 16/248 20130101;  C07K 2317/90 20130101;  A61P 1/02 20180101;  C07K 2317/565 20130101;  C07K 2317/76 20130101;  A61K 49/0058 20130101;  A61P 37/08 20180101;  A61P 3/10 20180101;  A61P 9/00 20180101;  A61P 19/00 20180101;  G01N 33/6863 20130101;  A61K 39/3955 20130101;  A61P 9/02 20180101;  A61P 19/10 20180101;  A61P 7/06 20180101;  A61P 9/04 20180101;  A61P 17/14 20180101;  Y02A 50/58 20180101;  A61P 1/18 20180101;  C07K 2317/34 20130101;  Y02A 50/412 20180101;  A61K 31/454 20130101;  A61K 45/06 20130101;  A61P 9/10 20180101;  A61P 9/12 20180101;  A61P 19/08 20180101;  A61P 31/18 20180101;  C07K 2317/24 20130101;  C07K 2317/92 20130101</t>
  </si>
  <si>
    <t>The present invention is directed to therapeutic methods using antibodies     and fragments thereof having binding specificity for IL-6 to prevent or     treat cachexia, fever, weakness and/or fatigue in a patient in need     thereof. In preferred embodiments, the anti-IL-6 antibodies will be     humanized and/or will be aglycosylated. Also, in preferred embodiments     these patients will comprise those exhibiting (or at risk of developing)     an elevated serum C-reactive protein level. In another preferred     embodiment, the patient's survivability or quality of life will     preferably be improved.</t>
  </si>
  <si>
    <t>US20120284039</t>
  </si>
  <si>
    <t>13/280041</t>
  </si>
  <si>
    <t>KASS-HOUT; Taha A.; (Alpharetta, GA); Mirabito; Massimo; (Altanta, GA)</t>
  </si>
  <si>
    <t>US20120283167</t>
  </si>
  <si>
    <t>13/521011</t>
  </si>
  <si>
    <t>Weston-Davies; Wynne; (Salperton, GB)</t>
  </si>
  <si>
    <t>A61K 38/1767 20130101;  A61K 38/16 20130101</t>
  </si>
  <si>
    <t>US20120283138</t>
  </si>
  <si>
    <t>System and device for reporting a result of an evaluation of a sample     after queuing the result for transmission</t>
  </si>
  <si>
    <t>13/068296</t>
  </si>
  <si>
    <t>Searete (Intellectual Ventures)</t>
  </si>
  <si>
    <t>NPE-SEARETE</t>
  </si>
  <si>
    <t>Baym; Michael Hartmann; (Cambridge, MA); Hyde; Roderick A.; (Redmond, WA); Kare; Jordin T.; (Seattle, WA); Lieberman; Erez; (Cambridge, MA); Sweeney; Elizabeth A.; (Seattle, WA); Wood, JR.; Lowell L.; (Bellevue, WA)</t>
  </si>
  <si>
    <t>G01N 35/00871 20130101;  G06Q 50/22 20130101;  G01N 2570/00 20130101;  Y02A 90/24 20180101;  G16H 10/40 20180101;  Y02A 90/26 20180101;  Y02A 90/22 20180101;  G16H 50/80 20180101</t>
  </si>
  <si>
    <t>A system or device includes an evaluation module for automatically     evaluating, remotely from a health care facility, a biological sample     acquired from a subject for a presence or an absence of at least one     pathogen in the biological sample; an electronic memory for queuing a     first result of the evaluation for transmission to an off-site entity;     and a reporting module for reporting a second result of the evaluation to     the subject after queuing the first result of the evaluation for     transmission.</t>
  </si>
  <si>
    <t>US20120282354</t>
  </si>
  <si>
    <t>COMPOSITION FOR PREVENTING OR TREATING DISEASES CAUSED BY INFLUENZA     VIRUSES</t>
  </si>
  <si>
    <t>13/508273</t>
  </si>
  <si>
    <t>KOREA INSTITUTE OF ORIENTAL MEDICINE</t>
  </si>
  <si>
    <t>KOREA INSTITUTE ORIENTAL MEDICINE</t>
  </si>
  <si>
    <t>Ma; Jin Yeul; (Daejeon, KR); Um; Young Ran; (Gyeongsangbuk-do, KR); Lee; Jae Hoon; (Daejeon, KR); Park; Hwa Yong; (Daejeon, KR)</t>
  </si>
  <si>
    <t>A61K 36/296 20130101;  A61P 31/16 20180101;  A23L 33/105 20160801</t>
  </si>
  <si>
    <t>The present invention relates to herbal medicine extracts useful in the     prevention or treatment of diseases caused by influenza viruses, and to a     pharmaceutical composition or health food comprising the extracts. The     herbal medicine extracts of the present invention are derived from     natural materials, and are safe for the human body, and can be used in     preventing and treating and in relieving symptoms of diseases caused by     various types of influenza viruses.</t>
  </si>
  <si>
    <t>US20120264711</t>
  </si>
  <si>
    <t>13/491446</t>
  </si>
  <si>
    <t>Guo; Hongyan; (Foster City, CA); Kato; Darryl; (Foster City, CA); Kirschberg; Thorsten A.; (Foster City, CA); Liu; Hongtao; (Foster City, CA); Link; John O.; (Foster City, CA); Mitchell; Michael L.; (Foster City, CA); Parrish; Jay P.; (Foster City, CA); Sun; Jianyu; (Foster City, CA); Taylor; James; (Foster City, CA); Bacon; Elizabeth M.; (Foster City, CA); Canales; Eda; (Foster City, CA); Cho; Aesop; (Foster City, CA); Kim; Choung U.; (Foster City, CA); Cottell; Jeromy J.; (Foster City, CA); Desai; Manoj C.; (Foster City, CA); Halcomb; Randall L.; (Foster City, CA); Graupe; Michael; (Foster City, CA); Krygowski; Evan S.; (Foster City, CA); Lazerwith; Scott E.; (Foster City, CA); Liu; Qi; (Foster City, CA); Mackman; Richard L.; (Foster City, CA); Pyun; Hyung-Jung; (Foster City, CA); Saugier; Joseph H.; (Foster City, CA); Trenkle; James D.; (Foster City, CA); Tse; Winston C.; (Foster City, CA); Vivian; Randall W.; (Foster City, CA); Schroeder; Scott D.; (Foster City, CA); Watkins; William J.; (Foster City, CA); Xu; Lianhong; (Foster City, CA)</t>
  </si>
  <si>
    <t>A61K 31/55 20130101;  A61K 31/4178 20130101;  C07D 491/113 20130101;  A61P 31/12 20180101;  C07D 207/16 20130101;  A61K 31/4025 20130101;  C07D 403/04 20130101;  C07F 5/025 20130101;  C07D 405/14 20130101;  A61K 45/06 20130101;  C07D 413/14 20130101;  C07D 409/14 20130101;  C07D 403/14 20130101;  C07D 471/10 20130101;  A61K 31/435 20130101;  A61K 31/437 20130101;  A61K 31/5415 20130101;  C07D 495/04 20130101;  A61K 31/427 20130101;  C07D 487/04 20130101;  A61K 31/4184 20130101;  A61K 31/519 20130101;  A61K 31/496 20130101;  A61K 31/4439 20130101;  A61K 31/454 20130101;  C07D 471/08 20130101;  A61K 31/5377 20130101;  C07D 417/14 20130101;  C07D 471/04 20130101;  C07D 401/14 20130101</t>
  </si>
  <si>
    <t>US20120263678</t>
  </si>
  <si>
    <t>1'-SUBSTITUTED PYRIMIDINE N-NUCLEOSIDE ANALOGS FOR ANTIVIRAL TREATMENT</t>
  </si>
  <si>
    <t>13/447017</t>
  </si>
  <si>
    <t>Cho; Aesop; (Mountain View, CA); Kim; Choung U.; (San Carlos, CA); Kirschberg; Thorsten A.; (Redwood City, CA); Mish; Michael R.; (Foster City, CA); Squires; Neil; (San Francisco, CA)</t>
  </si>
  <si>
    <t>A61K 31/351 20130101;  A61K 31/351 20130101;  A61K 31/7068 20130101;  A61K 45/06 20130101;  C07H 19/10 20130101;  A61K 31/13 20130101;  A61K 38/21 20130101;  A61P 43/00 20180101;  A61K 31/245 20130101;  C07H 19/09 20130101;  C07H 19/06 20130101;  A61K 31/196 20130101;  A61K 31/7072 20130101;  A61P 31/14 20180101;  C07H 19/073 20130101;  A61K 31/7068 20130101;  A61K 38/21 20130101;  A61K 31/13 20130101;  A61P 31/12 20180101;  C07H 19/11 20130101;  A61K 2300/00 20130101;  A61K 2300/00 20130101;  A61K 2300/00 20130101;  A61K 2300/00 20130101;  A61K 31/196 20130101;  A61K 2300/00 20130101;  A61K 2300/00 20130101;  C07H 19/067 20130101;  A61K 31/245 20130101;  A61K 31/7072 20130101;  A61K 2300/00 20130101</t>
  </si>
  <si>
    <t>Provided are compounds of Formula I:  ##STR00001## nucleosides, nucleoside phosphates and prodrugs thereof, wherein R.sup.6     is CN, ethenyl, 2-haloethen-1-yl, or (C.sub.2-C.sub.8)-alkyn-1-yl. The     compounds, compositions, and methods provided are useful for the     treatment of Flaviviridae virus infections.</t>
  </si>
  <si>
    <t>US20120258935</t>
  </si>
  <si>
    <t>PROCESS FOR PREPARATION OF HIV PROTEASE INHBITORS</t>
  </si>
  <si>
    <t>13/401659</t>
  </si>
  <si>
    <t>C07F 9/4006 20130101;  A61K 31/665 20130101;  C07C 303/40 20130101;  C07C 51/412 20130101;  C07C 311/29 20130101;  C07D 493/04 20130101;  C07F 9/4084 20130101;  C07C 303/38 20130101;  A61P 31/12 20180101;  C07F 9/4075 20130101;  A61P 43/00 20180101;  C07F 9/6561 20130101;  C07C 303/38 20130101;  C07C 303/40 20130101;  C07C 253/30 20130101;  A61P 31/18 20180101;  C07C 253/30 20130101;  C07C 311/29 20130101;  C07C 311/29 20130101;  C07C 255/60 20130101</t>
  </si>
  <si>
    <t>US20120245335</t>
  </si>
  <si>
    <t>13/491441</t>
  </si>
  <si>
    <t>A61K 31/7072 20130101;  C07H 19/048 20130101;  C07H 19/14 20130101;  A61P 31/14 20180101;  C07H 19/00 20130101;  C07H 19/16 20130101;  C07H 19/04 20130101;  A61P 43/00 20180101;  A61P 31/04 20180101;  A61P 31/00 20180101;  A61K 31/7068 20130101;  A61P 35/00 20180101;  C07H 19/06 20130101;  A61P 1/16 20180101;  A61P 31/16 20180101;  A61P 31/12 20180101</t>
  </si>
  <si>
    <t>US20120244886</t>
  </si>
  <si>
    <t>13/394022</t>
  </si>
  <si>
    <t>Blom; Jan Otto; (Lutry, FI); Joshi; Dhaval Jitendra; (Bangalore, IN)</t>
  </si>
  <si>
    <t>US20120244212</t>
  </si>
  <si>
    <t>ENHANCED METHOD AND COMPOSITION FOR THE TREATMENT OF HIV+ TUBERCULOSIS     PATIENTS WITH ANTI-RETROVIRAL DRUGS AND LIPOSOMAL ENCAPSULATION FOR     DELIVERY OF REDUCED GLUTATHIONE</t>
  </si>
  <si>
    <t>13/458449</t>
  </si>
  <si>
    <t>Guilford, Frederick Timothy</t>
  </si>
  <si>
    <t>GUILFORD FREDERICK</t>
  </si>
  <si>
    <t>A61K 45/06 20130101;  A61K 9/0095 20130101;  A61K 9/127 20130101;  A61K 38/063 20130101;  A61P 31/06 20180101;  A61K 2300/00 20130101;  A61K 2300/00 20130101;  A61K 47/24 20130101;  A61K 9/12 20130101;  A61K 47/10 20130101;  A61K 38/063 20130101;  A61K 31/198 20130101;  A61K 9/4858 20130101;  A61P 31/14 20180101;  A61K 31/198 20130101</t>
  </si>
  <si>
    <t>The invention is the use of a therapeutically effective amount of     glutathione (reduced) in a liposome encapsulation for oral administration     to improve symptoms of illnesses that are related to tuberculosis and HIV     and more generally viruses and for the treatment and prevention of virus,     particularly HHV-6 and EBV, which liposomal encapsulation of glutathione     (reduced) is referred to as liposomal glutathione. The application     references specifically reduced glutathione and its importance, and how     to stabilize it effectively so it can be taken orally, and need not be     refrigerated. New uses for tuberculosis are discussed. The combination is     proposed of reduced glutathione and Highly Active Anti-Retroviral Therapy     having at least one pharmaceutical composition selected from the group of     Nucleoside/tide Reverse Transcriptase Inhibitors (NRTIs), Protease     Inhibitors (PIs), and Non-nucleoside Reverse Transcriptase Inhibitors     (NnRTIs), and further anti-tuberculosis drugs.</t>
  </si>
  <si>
    <t>US20120244120</t>
  </si>
  <si>
    <t>INHIBITORS OF HEMOPOIETIC CELL KINASE (P59-HCK) AND THEIR USE IN THE     TREATMENT OF INFLUENZA INFECTION</t>
  </si>
  <si>
    <t>13/514644</t>
  </si>
  <si>
    <t>US20120232038</t>
  </si>
  <si>
    <t>CRYSTALLINE FORMS OF (3R, 3AS, 6AR) - HEXAHYDROFURO [2,3-B] FURAN-3-YL     (1S,2R) - (1-{4-[ (DIETHOXYPHOSPHORYL) METHOXY] PHENY1}-3-HYDROXY-4-     [4-METHOXY-N- (2-METHYLPROPYL) BENZENESUL - FONAMIDO] BUTAN-2-YL)     CARBAMATE</t>
  </si>
  <si>
    <t>13/378250</t>
  </si>
  <si>
    <t>CARRA ERNEST ANTHONY; CHIU ANNA; JERNELIUS JESPER ALEXIS; WANG FANG; GILEAD SCIENCES INC</t>
  </si>
  <si>
    <t>CARRA ERNEST ANTHONY; CHIU ANNA; JERNELIUS JESPER ALEXIS; WANG FANG; GILEAD SCIENCES</t>
  </si>
  <si>
    <t>Carra; Ernest Anthony; (Foster City, CA); Chiu; Anna; (Mountain View, CA); Jernelius; Jesper Alexis; (San Francisco, CA); Wang; Fang; (Foster City, CA)</t>
  </si>
  <si>
    <t>C07F 9/6561 20130101;  A61P 31/18 20180101</t>
  </si>
  <si>
    <t>The present inventions provides crystalline forms of     (3R,3aS,6aR)-hexahydrofuro[2,3-b]furan-3-yl     (1S,2R)-(1-{4-[(diethoxyphosphoryl)methoxy]phenyl}-3-hydroxy-4-[4-methoxy-    -N-(2-methylpropyl)benzenesulfonamido]butan-2-yl)carbamate, methods of     preparing the crystalline forms, pharmaceutical compositions containing     the crystalline forms, and therapeutic uses thereof.  ##STR00001##</t>
  </si>
  <si>
    <t>US20120226621</t>
  </si>
  <si>
    <t>MODELING RISK OF FOODBORNE ILLNESS OUTBREAKS</t>
  </si>
  <si>
    <t>13/411362</t>
  </si>
  <si>
    <t>Ecolab</t>
  </si>
  <si>
    <t>ECOLAB</t>
  </si>
  <si>
    <t>Petran; Ruth L.; (Eagan, MN); White; Bruce W.; (Hugo, MN)</t>
  </si>
  <si>
    <t>G16H 50/80 20180101;  Y02A 90/24 20180101;  Y02A 90/22 20180101;  Y02A 90/26 20180101</t>
  </si>
  <si>
    <t>A foodborne illness risk model determines a relationship between health     department inspection data and various factors known to contribute to the     risk of foodborne illness. The model may identify a comparative risk     value for foodborne illness outbreaks for one or more pathogens at a food     establishment based on the food establishment's inspection data. The     model may also identify a set of indicative violations more likely to be     recorded at outbreak restaurants than non-outbreak restaurants. The model     may also develop an outbreak profile continuum based on the number of     indicative violations. The model may further determine a position on an     outbreak profile continuum for a particular food establishment based on     the food establishment's inspection data.</t>
  </si>
  <si>
    <t>US20120220667</t>
  </si>
  <si>
    <t>A61P 43/00 20180101;  A61P 31/10 20180101;  A61K 31/431 20130101;  C12P 7/56 20130101;  Y02E 50/343 20130101;  A61K 45/06 20130101;  A61K 31/437 20130101;  A61P 31/04 20180101;  A61P 31/16 20180101;  Y02E 50/17 20130101;  Y02A 50/409 20180101;  Y02A 50/473 20180101;  A01N 41/10 20130101;  C12N 1/18 20130101;  Y02A 50/411 20180101;  Y02A 50/406 20180101;  A61K 31/43 20130101;  C12P 7/06 20130101;  A61K 31/10 20130101;  C12N 1/20 20130101;  A61P 31/00 20180101;  C12N 1/38 20130101;  A61K 9/0014 20130101;  A61K 31/43 20130101;  A61K 2300/00 20130101;  A61K 31/431 20130101;  A61K 2300/00 20130101</t>
  </si>
  <si>
    <t>US20120219584</t>
  </si>
  <si>
    <t>PROTECTION AGAINST PANDEMIC AND SEASONAL STRAINS OF INFLUENZA</t>
  </si>
  <si>
    <t>13/500421</t>
  </si>
  <si>
    <t>Nabel; Gary J.; (Washington, DC); Wei; Chih-Jen; (Potomac, MD); Yang; Zhi-Yong; (Potomac, MD); Boyington; Jeffrey; (Clarksburg, MD)</t>
  </si>
  <si>
    <t>A61K 39/145 20130101;  A61K 2039/53 20130101;  C12N 2760/16122 20130101;  C12N 2760/16134 20130101;  C12N 2760/16171 20130101;  A61K 2039/5252 20130101;  A61K 2039/58 20130101;  A61K 39/12 20130101</t>
  </si>
  <si>
    <t>Immunogens and compositions are provided that encode a protein comprising     an influenza A subtype H1 hemagglutinin glycan-shielded receptor binding     domain A (RBD A) region and at least one influenza A subtype H1     hemagglutinin antigenic site wherein the antigenic site is not within the     RBD-A region. Also provided are immunogens and compositions that encode     an immunogenic protein comprising at least one epitope of the RBD-A     region of a pandemic influenza A subtype H1 hemagglutinin antigen. Also     provided are such proteins, nucleic acids that encode such proteins, and     antibodies against such proteins. Also provided are methods to use such     immunogens and compositions to elicit a neutralizing antibody immune     response against influenza A subtype H1 virus.</t>
  </si>
  <si>
    <t>US20120215455</t>
  </si>
  <si>
    <t>System and Method for Medical Diagnosis Using Geospatial Location Data     Integrated with Biomedical Sensor Information</t>
  </si>
  <si>
    <t>13/029929</t>
  </si>
  <si>
    <t>Patil; Sandeep R.; (Pune, IN); Musial; John G.; (Newburgh, NY); Shah; Dhaval K.; (Gujarat, IN); Nagpal; Abhinay R.; (Pune, IN)</t>
  </si>
  <si>
    <t>US20120209093</t>
  </si>
  <si>
    <t>IMAGING BASED VIRUS DETECTION</t>
  </si>
  <si>
    <t>13/503997</t>
  </si>
  <si>
    <t>Olszewski; Mark E.; (Solon, OH); Walker; Matthew J.; (Willoughby, OH)</t>
  </si>
  <si>
    <t>A61B 6/032 20130101;  A61B 6/5217 20130101;  A61B 8/485 20130101;  G16H 50/80 20180101;  G06F 19/321 20130101;  G16H 50/20 20180101;  A61B 8/5223 20130101</t>
  </si>
  <si>
    <t>A method for detecting a virus in a patient based on imaging data     includes scanning a region of interest of the patient with an imaging     device and generating imaging data indicative of the region of interest,     identifying at least one marker in the image data that corresponds to the     virus based on the identified at least one marker and a set of     predetermined imageable markers that correspond to the virus, classifying     the virus as a particular strain of the virus based on a set of     classification rules, and generating a signal indicative of the     particular strain. The method optionally includes generating a signal     indicative of the classification and electronically conveying the signal     to at least one entity.</t>
  </si>
  <si>
    <t>US20120207786</t>
  </si>
  <si>
    <t>13/297125</t>
  </si>
  <si>
    <t>SMITH; Gale; (Rockville, MD); Bright; Rick; (Rockville, MD); Pushko; Peter; (Rockville, MD); Zhang; Jinyou; (Rockville, MD); Mahmood; Kutub; (Rockville, MD)</t>
  </si>
  <si>
    <t>A61K 2039/543 20130101;  A61K 39/145 20130101;  C12N 2760/16134 20130101;  A61K 2039/55505 20130101;  C12N 2760/16122 20130101;  A61K 2039/70 20130101;  C12N 2760/16123 20130101;  C12N 15/86 20130101;  A61K 2039/5258 20130101;  C07K 14/005 20130101;  C12N 2710/14143 20130101;  C12N 2760/16023 20130101;  A61K 2039/55555 20130101;  C12N 2760/16071 20130101;  C12N 2760/16034 20130101;  A61K 39/39 20130101;  C12N 7/00 20130101;  A61K 39/12 20130101</t>
  </si>
  <si>
    <t>US20120199003</t>
  </si>
  <si>
    <t>DEVICE AND METHOD FOR REDUCING SPREAD OF MICROORGANISMS AND AIRBORNE HEALTH HAZARDOUS MATTER AND/OR FOR PROTECTION FROM MICROORGANISMS AND AIRBORNE HEALTH HAZARDOUS MATTER</t>
  </si>
  <si>
    <t>13/383225</t>
  </si>
  <si>
    <t>TECHNICAL UNIVERSITY OF DENMARK</t>
  </si>
  <si>
    <t>TECHNICAL UNIVERSITY DENMARK</t>
  </si>
  <si>
    <t>Melikov; Arsen Krikor; (Taastrup, DK); Zhu; Shengwei; (Malden, MA); Bolashikov; Zhecho Dimitrov; (Kgs.Lyngby, DK)</t>
  </si>
  <si>
    <t>A61G 10/02 20130101;  A61G 13/108 20130101;  A61G 15/10 20130101;  F24F 3/1607 20130101;  A61L 9/20 20130101;  A61L 2209/111 20130101;  A61L 2209/14 20130101;  A61G 2203/46 20130101</t>
  </si>
  <si>
    <t>Disclosed is an air distribution control unit or a filtration/ventilation unit which is portable and/or can be mounted on or integrated in furniture e.g. as a cabinet of at the head region of a bed. The filtration/ventilation unit cleanses air from a person/patient by aspirating the person's/patient's exhalation air into the filtration/ventilation unit. To construct an at least partly isolated area around the patient, filtered air can be directed e.g. vertically out of the filtration/ventilation unit to perform an air curtain. Use of the filtration/ventilation unit reduces the risk of dissipation of air-borne diseases and health hazardous matter, and reduces the amount of air to ventilate a room with patients.</t>
  </si>
  <si>
    <t>US20120197896</t>
  </si>
  <si>
    <t>SYSTEM AND METHOD FOR DETECTING, COLLECTING, ANALYZING, AND COMMUNICATING     EVENT-RELATED INFORMATION</t>
  </si>
  <si>
    <t>13/192160</t>
  </si>
  <si>
    <t>LI; Peter C.; (McLean, VA); Collmann; Jeffrey R.; (Washington, DC); Blake; Jane W.; (Alexandria, VA); Polyak; Mark G.; (Alexandria, VA); Wilson; James M.; (Cedaredge, CO); Yoon; Jae In; (Centreville, VA); Torii; Manabu; (Newark, DE); Thomas; Carla S.; (Bodega Bay, CA)</t>
  </si>
  <si>
    <t>H04L 29/08072 20130101;  G06F 17/30616 20130101;  G06F 19/3493 20130101;  G16H 50/80 20180101;  G06Q 50/22 20130101;  Y02A 90/24 20180101;  G06Q 50/26 20130101;  G06Q 10/04 20130101;  Y02A 90/22 20180101</t>
  </si>
  <si>
    <t>A system and method involves detecting operational social disruptive     events on a global scale, assigning event staging and warnings to express     data in more simplistic terms, modeling data in conjunction with     linguistics analysis to establish responsive actions, generating     visualization and modeling capabilities for communicating information,     and modeling propagation of events for containment and forecasting     purposes.</t>
  </si>
  <si>
    <t>US20120197585</t>
  </si>
  <si>
    <t>Wireless Transmission of Temperature Data for a Geographic Area</t>
  </si>
  <si>
    <t>13/445190</t>
  </si>
  <si>
    <t>G01J 5/0025 20130101;  G06F 17/18 20130101;  G01K 1/024 20130101;  G01K 1/026 20130101;  G01J 5/025 20130101;  G01K 13/002 20130101;  G01J 5/0022 20130101;  A61B 5/0008 20130101;  G01K 1/02 20130101;  G01J 5/027 20130101;  G01J 5/02 20130101</t>
  </si>
  <si>
    <t>US20120196846</t>
  </si>
  <si>
    <t>ANTI-RSV COMPOUNDS</t>
  </si>
  <si>
    <t>13/383180</t>
  </si>
  <si>
    <t>Mackman; Richard L.; (Millbrae, CA); Sperandio; David; (Palo Alto, CA); Yang; Hai; (San Mateo, CA)</t>
  </si>
  <si>
    <t>A61P 31/12 20180101;  C07D 495/04 20130101;  A61P 29/00 20180101;  A61P 31/14 20180101</t>
  </si>
  <si>
    <t>The present invention relates to anti-RSV compounds of Formula (I) and     methods for use of the compounds in the treatment and prevention of RSV     infection.  ##STR00001##</t>
  </si>
  <si>
    <t>US20120194342</t>
  </si>
  <si>
    <t>Method and System for the Acquisition, Transmission and assessment of     Remote Sensor Data for Trend Analysis, Prediction and Remediation</t>
  </si>
  <si>
    <t>13/019123</t>
  </si>
  <si>
    <t>THERMAL MATRIX USA, INC.</t>
  </si>
  <si>
    <t>THERMAL MATRIX USA</t>
  </si>
  <si>
    <t>Reinpoldt; Michael A.; (Windermere, FL)</t>
  </si>
  <si>
    <t>A method to analyze the spread of viral or bacterial infections in a     population using remote thermal sensor data is disclosed. The method     includes determining a body temperature of passengers traveling through a     public transportation facility using a remote thermal sensor, storing the     body temperatures of the passengers in a database, assigning at least one     geographic characteristic to the stored body temperatures in the     database, and comparing the body temperatures to a known normal body     temperature of humans. In addition, the method includes generating an     alert when the body temperatures of the passengers are above the normal     body temperature to indicate an illness. The at least one geographic     characteristic may be an origination location, destination location, or     any combination thereof. The method also includes accessing flight     information stored on a remote server, and correlating the flight     information to the passengers.</t>
  </si>
  <si>
    <t>US20120192876</t>
  </si>
  <si>
    <t>MASK</t>
  </si>
  <si>
    <t>13/395670</t>
  </si>
  <si>
    <t>FUJIMORI YOSHIE; JIKIHARA YOUHEI; SATO TETSUYA; FUKUI YOKO; NAKAYAMA TSURUO</t>
  </si>
  <si>
    <t>Fujimori; Yoshie; (Tokyo, JP); Jikihara; Youhei; (Tokyo, JP); Sato; Tetsuya; (Tokyo, JP); Fukui; Yoko; (Tokyo, JP); Nakayama; Tsuruo; (Tokyo, JP)</t>
  </si>
  <si>
    <t>A62B 18/025 20130101;  A61K 33/00 20130101;  A41D 13/1161 20130101;  A61K 33/38 20130101;  A62B 23/025 20130101;  A61K 33/34 20130101;  D06M 10/06 20130101;  A62B 18/00 20130101;  A62B 23/00 20130101;  D06M 10/08 20130101;  A61K 33/24 20130101;  D06M 10/04 20130101;  A41D 13/05 20130101;  A41D 13/00 20130101;  A62B 7/00 20130101;  A62D 9/00 20130101;  A62B 18/02 20130101;  D06M 10/00 20130101;  A41D 13/1192 20130101</t>
  </si>
  <si>
    <t>A mask is provided that can inactivate viruses adhering thereto even in     the presence of lipids and proteins regardless of whether or not the     viruses have an envelope. The mask can inactivate viruses adhering     thereto and includes a mask body provided with a member used when the     mask is worn and virus inactivating fine particles having a virus     inactivating ability and held by the mask body. The virus inactivating     fine particles are particles of at least one selected from the group     consisting of platinum(II) iodide, palladium(II) iodide, silver(I)     iodide, copper(I) iodide, and copper(I) thiocyanate.</t>
  </si>
  <si>
    <t>US20120190866</t>
  </si>
  <si>
    <t>13/436679</t>
  </si>
  <si>
    <t>Cho; Aesop; (Mountain View, CA); Clarke; Michael O'Neil Hanrahan; (Redwood City, CA); Kim; Choung U.; (San Carlos, CA); Link; John O.; (San Francisco, CA); Pyun; Hyung-jung; (Fremont, CA); Sheng; Xiaoning C.; (Foster City, CA); Wu; Qiaoyin; (Foster City, CA)</t>
  </si>
  <si>
    <t>C07D 207/16 20130101;  C07K 5/0804 20130101;  C07D 401/14 20130101;  C07D 417/14 20130101;  C07D 487/04 20130101;  C07D 401/12 20130101;  A61P 31/12 20180101;  C07D 403/14 20130101;  A61P 1/16 20180101;  A61P 31/16 20180101;  C07D 403/12 20130101;  C07D 413/14 20130101;  C07K 5/0819 20130101;  A61P 31/14 20180101;  C07K 5/0821 20130101;  C07K 5/0808 20130101</t>
  </si>
  <si>
    <t>US20120179491</t>
  </si>
  <si>
    <t>HIGH PERFORMANCE AND INTEGRATED NOSOCOMIAL INFECTION SURVEILLANCE AND     EARLY DETECTION SYSTEM AND METHOD THEREOF</t>
  </si>
  <si>
    <t>13/344992</t>
  </si>
  <si>
    <t>TAIPEI MEDICAL UNIVERSITY</t>
  </si>
  <si>
    <t>LIU; CHIEN-TSAI; (Taipei City, TW); LO; YU-SHENG; (Taipei City, TW)</t>
  </si>
  <si>
    <t>G16H 15/00 20180101;  G06Q 50/22 20130101;  G06Q 50/24 20130101;  G06Q 10/10 20130101;  G16H 50/80 20180101;  Y02A 90/10 20180101</t>
  </si>
  <si>
    <t>A high performance and integrated nosocomial infection control     surveillance and detection system includes a patient database having a     patient information, a clinical database having a patient clinical     information, a nosocomial infection surveillance model with capability to     detect suspected cases, an infection monitoring dashboard presenting an     integrated view of a patient information and infection conditions in the     clinical database for each patient. The patient database, clinical     database, nosocomial infection surveillance model and the infection     monitoring dashboard are built in different network servers or a network     server to meet the optimum efficiency for a user to conduct infection     control and early detection of infected cases through his/her account.</t>
  </si>
  <si>
    <t>US20120164071</t>
  </si>
  <si>
    <t>Compositions and Methods Comprising Phosphatidylethanolamine-Binding Peptide Derivatives</t>
  </si>
  <si>
    <t>12/117255</t>
  </si>
  <si>
    <t>Thorpe; Philip E.; (Dallas, TX); Soares; M. Melina; (Richardson, TX); He; Jin; (Dallas, TX)</t>
  </si>
  <si>
    <t>A61K 39/395 20130101;  A61K 39/39558 20130101;  A61K 47/48238 20130101;  A61K 47/48415 20130101;  A61K 47/48507 20130101;  A61K 47/48561 20130101;  A61K 2039/505 20130101;  C07K 16/18 20130101;  C07K 16/2836 20130101;  C07K 16/44 20130101;  C07K 2317/24 20130101;  C07K 2317/622 20130101;  C07K 2317/73 20130101;  C07K 2317/732 20130101;  C07K 2317/77 20130101;  A61K 39/395 20130101;  A61K 2300/00 20130101;  A61K 39/39558 20130101;  A61K 2300/00 20130101;  A61K 49/00 20130101;  A61K 49/14 20130101;  A61K 51/08 20130101;  C07K 2/00 20130101;  A61K 51/088 20130101;  A61K 51/025 20130101;  C07K 7/64 20130101</t>
  </si>
  <si>
    <t>Disclosed are surprising discoveries concerning the role of anionic phospholipids and aminophospholipids in tumor vasculature and in viral entry and spread, and compositions and methods for utilizing these findings in the treatment of cancer and viral infections. Also disclosed are advantageous antibody, immunoconjugate and duramycin-based compositions and combinations that bind and inhibit anionic phospholipids and aminophospholipids, for use in the safe and effective treatment of cancer, viral infections and related diseases.</t>
  </si>
  <si>
    <t>US20120157404</t>
  </si>
  <si>
    <t>13/291977</t>
  </si>
  <si>
    <t>Guo; Hongyan; (Foster City, CA); Kato; Darryl; (Foster City, CA); Kirschberg; Thorsten A.; (Foster City, CA); Liu; Hongtao; (Foster City, CA); Link; John O.; (Foster City, CA); Mitchell; Michael L.; (Foster City, CA); Parrish; Jay P.; (Foster City, CA); Sun; Jianyu; (Foster City, CA); Taylor; James; (Foster City, CA); Bacon; Elizabeth M.; (Foster City, CA); Canales; Eda; (Foster City, CA); Cho; Aesop; (Foster City, CA); Kim; Choung U.; (Foster City, CA); Cottell; Jeromy J.; (Foster City, CA); Desai; Manoj C.; (Foster City, CA); Halcomb; Randall L.; (Foster City, CA); Graupe; Michael; (Foster City, CA); Krygowski; Evan S.; (Foster City, CA); Lazerwith; Scott E.; (Foster City, CA); Liu; Qi; (Foster City, CA); Mackman; Richard L.; (Foster City, CA); Pyun; Hyung-Jung; (Foster Cit, CA); Saugier; Joseph H.; (Foster City, CA); Trenkle; James D.; (Foster City, CA); Tse; Winston C.; (Foster City, CA); Vivian; Randall W.; (Foster City, CA); Schroeder; Scott D.; (Foster City, CA); Watkins; William J.; (Foster City, CA); Xu; Lianhong; (Foster City, CA)</t>
  </si>
  <si>
    <t>A61K 31/4178 20130101;  C07D 491/113 20130101;  C07D 409/14 20130101;  A61K 31/4439 20130101;  C07D 471/08 20130101;  C07F 5/025 20130101;  A61K 31/4025 20130101;  A61K 31/5415 20130101;  C07D 207/16 20130101;  C07D 405/14 20130101;  A61K 31/427 20130101;  A61K 31/4184 20130101;  A61K 31/437 20130101;  A61K 31/519 20130101;  C07D 471/04 20130101;  C07D 401/14 20130101;  A61K 31/454 20130101;  A61K 31/5377 20130101;  C07D 403/14 20130101;  A61K 31/435 20130101;  A61K 31/55 20130101;  C07D 403/04 20130101;  A61P 31/12 20180101;  C07D 413/14 20130101;  C07D 417/14 20130101;  C07D 495/04 20130101;  A61K 45/06 20130101;  A61K 31/496 20130101;  C07D 487/04 20130101;  C07D 471/10 20130101</t>
  </si>
  <si>
    <t>US20120156166</t>
  </si>
  <si>
    <t>13/392467</t>
  </si>
  <si>
    <t>Cho; Aesop; (Mountain View, CA); Chong; Lee S.; (Newark, CA); Clarke; Michael O' Neil Hanrahan; (Redwood City, CA); Doerffler; Edward; (Union City, CA); Kim; Choung U.; (San Carlos, CA); Liu; Qi; (San Mateo, CA); Watkins; William J.; (Saratoga, CA); Zhang; Jennifer R.; (Foster City, CA)</t>
  </si>
  <si>
    <t>A61P 31/14 20180101;  A61K 31/662 20130101;  A61K 45/06 20130101;  A61P 31/12 20180101;  A61K 31/683 20130101;  C07F 9/65681 20130101;  A61P 43/00 20180101;  C07F 9/655345 20130101;  A61K 31/675 20130101;  C07F 9/65586 20130101;  C07F 9/6561 20130101;  A61K 31/67 20130101</t>
  </si>
  <si>
    <t>Provided are compounds of Formula I: and pharmaceutically acceptable     salts and esters thereof. The compounds, compositions, and methods     provided are useful for the treatment of Flaviviridae virus infections,     particularly hepatitis C infections.  ##STR00001##</t>
  </si>
  <si>
    <t>US20120154139</t>
  </si>
  <si>
    <t>13/000953</t>
  </si>
  <si>
    <t>In a bio-threat alert infrastructure system and method, an analyzing     processor applies statistical algorithms to the collected quantitative     data to precisely estimate event data, including time and position data,     associated the development of a bio-threat. An encoding processor encodes     the event data into a bio-threat alert signal. A transmitting element     transmits the signal for reception by a bin-threat alert device. In the     bio-threat signal. A decoding processor decodes the signal into the event     data. A presentation dement presents the event data lo a user of the     device.</t>
  </si>
  <si>
    <t>US20120150442</t>
  </si>
  <si>
    <t>MOVING ROUTE PROCESSING DEVICE AND INFORMATION PROVIDING SYSTEM USING THIS     MOVING ROUTE PROCESSING DEVICE</t>
  </si>
  <si>
    <t>13/390861</t>
  </si>
  <si>
    <t>Nishikawa; Shuichi; (Tokyo, JP)</t>
  </si>
  <si>
    <t>G08G 1/005 20130101;  G08G 1/096816 20130101;  G08G 1/09685 20130101;  G16H 50/80 20180101;  G01C 21/00 20130101;  G01C 21/34 20130101;  G08G 1/096883 20130101</t>
  </si>
  <si>
    <t>Disclosed is a moving route processing device provided with: a route data     creating unit for adding date and time information showing a current date     and time to position information showing a current position to create     route data with timestamp; a route data recorder for recording the route     data with timestamp created by the route data creating unit; a     communication processing unit for acquiring predetermined data from a     database connected to a network; a route comparing unit for comparing the     predetermined data acquired by the communication processing unit with the     route data with timestamp recorded in the route data recorder; and a     display processing unit for, when it is determined from the comparison by     the route comparing unit that a close contact state existed, creating and     displaying a message showing that a close contact state existed.</t>
  </si>
  <si>
    <t>US20120150333</t>
  </si>
  <si>
    <t>Automated monitoring and control of contamination activity in a production     area</t>
  </si>
  <si>
    <t>12/931294</t>
  </si>
  <si>
    <t>SEALED AIR CORPORATION (US)</t>
  </si>
  <si>
    <t>SEALED AIR</t>
  </si>
  <si>
    <t>De Luca; Nicholas; (San Juan, PR); Sato; Koichi; (Saratoga, CA)</t>
  </si>
  <si>
    <t>G06K 9/00281 20130101;  G06K 9/00335 20130101;  G16H 40/20 20180101;  G16H 50/80 20180101;  G08B 21/245 20130101;  G06Q 10/08 20130101;  G08B 13/1427 20130101;  G08B 21/12 20130101;  G08B 21/22 20130101;  G06K 9/00771 20130101</t>
  </si>
  <si>
    <t>An automated process for monitoring and controlling contamination     activity in a production area comprises capturing image from the     production area over a period of time, processing the image data with a     computer to determine whether a contamination event has occurred in the     production area, and activating a contamination control device in     accordance with the processing of the image data. The contamination event     can be a germ-releasing event from an individual in the production area,     a pipe leaking fluid into the production area, etc. The automated     monitoring and control may also determine whether an article of     contamination control equipment (e.g., face mask, glove, etc) is properly     positioned on the individual to prevent the contamination from entering     the production area in a form that could contaminate product, equipment,     or the production area itself. An automated system for monitoring and     controlling contamination includes a computer, an imaging sensor in     communication with the computer, and a computer-readable program code     disposed on the computer.</t>
  </si>
  <si>
    <t>US20120139720</t>
  </si>
  <si>
    <t>REPEATER PROVIDING DATA EXCHANGE WITH A MEDICAL DEVICE FOR REMOTE PATIENT     CARE AND METHOD THEREOF</t>
  </si>
  <si>
    <t>13/371240</t>
  </si>
  <si>
    <t>A repeater providing data exchange with a medical device for remote     patient care and method thereof are provided. The repeater includes a     transmission device configured to send the data over a wireless medium to     a data repository and a processing device configured to detect conditions     in respect of an associated communication medium that could affect data     exchange, where the processing device is configured to send the data     based at least in part on the conditions. The processing device is     further configured to analyze the data from the medical device to detect     a problem with the medical device.</t>
  </si>
  <si>
    <t>US20120129764</t>
  </si>
  <si>
    <t>INFLUENZA A AND B VIRUS REPLICATION-INHIBITING PEPTIDES</t>
  </si>
  <si>
    <t>13/318769</t>
  </si>
  <si>
    <t>PIKE PHARMA GMBH</t>
  </si>
  <si>
    <t>PIKE PHARMA</t>
  </si>
  <si>
    <t>Kessler; Ulrich; (Boppelsen, CH); Mayer; Daniel; (Zurich, CH); Wunderlich; Kerstin; (Leiden, NL); Rnadheera; Charlene; (Winnipeg, CA); Schwemmle; Martin; (Freiburg, DE)</t>
  </si>
  <si>
    <t>A61K 38/00 20130101;  C07K 14/005 20130101;  C12N 2760/16122 20130101;  C12N 2760/16222 20130101</t>
  </si>
  <si>
    <t>A synthesized or isolated influenza virus replication-inhibiting peptide     that competitively inhibits protein-protein interaction of the PA and PB1     of both influenza Virus Types A and B and novel in vitro binding screen     to identify peptides with antiviral activity against influenza viruses of     both type A and B is disclosed. In addition to the well-known pandemic     influenza A viruses (such as the 1918 "Spanish" flu or H5N1), both type A     and B viruses contribute greatly to the annual recurring epidemics that     cause the vast majority of human cases and medical cost. Surprisingly, it     was found that the novel virus replication-inhibiting, are able to     inhibit protein-protein interaction of the PA and PB1 subunits of the     heterotrimeric viral RNA polymerase complex of both influenza virus types     A and B. The viral polymerase sub-unit interaction domain turned out as     an effective target for the new antivirals, as correct assembly of the     three viral polymerase subunits PB1, PB2 and PA is required for viral RNA     synthesis and infectivity.</t>
  </si>
  <si>
    <t>US20120123685</t>
  </si>
  <si>
    <t>11/674538</t>
  </si>
  <si>
    <t>US20120122079</t>
  </si>
  <si>
    <t>13/294963</t>
  </si>
  <si>
    <t>Schmidt; Jurgen G.; (Los Alamos, NM); Wolfenden; Mark; (Los Alamos, NM); Anderson; Aaron; (Los Alamos, NM); Harris; Jennifer Foster; (Los Alamos, NM); Koglin; Alexander; (Santa Fe, NM)</t>
  </si>
  <si>
    <t>C07H 15/203 20130101;  C07H 15/10 20130101;  C12Q 1/04 20130101;  C07H 15/18 20130101;  G01N 2800/26 20130101</t>
  </si>
  <si>
    <t>A compound, or a pharmaceutically acceptable salt, ester, hydrate or     solvate thereof, comprising formula IV:  A-B   wherein A comprises a substrate for an enzyme of a microorganism;     B comprises an odorant moiety; B is covalently bonded to an anomeric     carbon of A; and A is enzymatically cleavable from B at the covalent bond     site between A and B by the enzyme of the microorganism. Examples of such compounds are referred to as substrate-odorant compounds     or odorant chimeras. Also disclosed are methods for detecting a microorganism that include     contacting the compound with a sample that may include the microorganism.</t>
  </si>
  <si>
    <t>US20120121511</t>
  </si>
  <si>
    <t>13/294966</t>
  </si>
  <si>
    <t>G01N 2333/28 20130101;  C07H 15/04 20130101;  G01N 2333/924 20130101;  C12Q 1/10 20130101;  C07H 17/04 20130101;  Y02A 50/52 20180101;  C07H 15/207 20130101;  C07H 15/18 20130101;  A61K 49/00 20130101;  G01N 2333/21 20130101;  G01N 2333/285 20130101;  G01N 2333/11 20130101;  C07H 15/203 20130101;  C12Q 1/34 20130101;  C12Q 1/14 20130101;  G01N 2333/115 20130101</t>
  </si>
  <si>
    <t>US20120112883</t>
  </si>
  <si>
    <t>Wallace; Niall; (Toronto, CA); Harten; Holly; (Sault Ste. Marie, CA); McPherson; Matt; (Toronto, CA); Furness; Colin; (Toronto, CA); Watson; Neil; (Newcastle, CA); Vair; Tom; (Sault Ste. Marie, CA); Beach; Paul; (Sault Ste. Marie, CA); Sambol; Chris; (Sault Ste. Marie, CA); Shannon; Chuck; (Sault Ste. Marie, CA)</t>
  </si>
  <si>
    <t>US20120107274</t>
  </si>
  <si>
    <t>13/230634</t>
  </si>
  <si>
    <t>A61P 31/16 20180101;  A61K 31/137 20130101;  A61K 38/21 20130101;  A61K 31/192 20130101;  A61P 31/12 20180101;  C07H 17/02 20130101;  A61K 31/706 20130101;  A61K 38/21 20130101;  A61K 31/351 20130101;  A61K 31/4965 20130101;  A61K 45/06 20130101;  C07H 7/06 20130101;  A61K 31/137 20130101;  A61K 31/7056 20130101;  A61K 2300/00 20130101;  A61K 2300/00 20130101;  A61K 2300/00 20130101;  A61K 2300/00 20130101;  A61K 2300/00 20130101;  A61K 2300/00 20130101;  A61K 2300/00 20130101;  A61K 31/4965 20130101;  A61K 31/192 20130101;  C07F 9/65586 20130101;  A61K 31/351 20130101;  A61K 31/235 20130101;  A61K 31/7056 20130101;  A61K 31/235 20130101;  C07D 487/04 20130101</t>
  </si>
  <si>
    <t>Provided are methods for treating Orthomyxoviridae virus infections by     administering ribosides, riboside phosphates and prodrugs thereof, of     Formula I:  ##STR00001##    wherein R.sup.2 is halogen. The compounds, compositions,     and methods provided are particularly useful for the treatment of Human     Influenza virus infections.</t>
  </si>
  <si>
    <t>US20120095775</t>
  </si>
  <si>
    <t>CHARACTERIZING, TRACKING AND OPTIMIZING POPULATION HEALTH BASED ON     INTEGRATION OF MULTI-DISCIPLINARY DATABASES</t>
  </si>
  <si>
    <t>12/907346</t>
  </si>
  <si>
    <t>BURTON; PAUL; (ALFORD, FL); FRIEDLANDER; ROBERT R.; (SOUTHBURY, CT); HENNESSY; RICHARD; (AUSTIN, TX); KRAEMER; JAMES R.; (SANTA FE, NM); ZANDER; STEPHEN R.; (WEST LINN, OR)</t>
  </si>
  <si>
    <t>G06Q 50/22 20130101;  G16H 50/80 20180101;  G16H 40/67 20180101</t>
  </si>
  <si>
    <t>A computer implemented method, system and/or computer program product     identifies a public health care issue for a specific population based on     data from a confederated public health database. A confederated public     health database is created from multi-disciplinary databases that include     both medical databases and non-medical databases. A health care issue for     a specific population is identified based on data from the confederated     public health database, in order to create a public health care plan to     address that health care issue, which is then transmitted to a public     health official.</t>
  </si>
  <si>
    <t>US20120093859</t>
  </si>
  <si>
    <t>INFLUENZA VACCINE REGIMENS FOR PANDEMIC-ASSOCIATED STRAINS</t>
  </si>
  <si>
    <t>13/148948</t>
  </si>
  <si>
    <t>Groth; Nicola; (Buonconvento, IT); Fragapane; Elena; (Sovicille, IT)</t>
  </si>
  <si>
    <t>A61K 39/145 20130101;  A61K 2039/545 20130101;  A61K 39/12 20130101;  A61K 2039/55566 20130101;  C12N 2760/16134 20130101</t>
  </si>
  <si>
    <t>In contrast to known regimens where pandemic-associated antigens are     given 3-4 weeks apart for immunisation, according to the invention two     doses of a pandemic-associated antigen are administered to a human 1 week     apart, 2 weeks apart or 6 weeks apart. Thus the invention provides a     method for immunizing a human, comprising steps of: (a) administering to     the human a first vaccine comprising antigen from a pandemic-associated     influenza virus strain; and then 1/2/6 week(s) later, (b) administering     to the same human a second influenza vaccine comprising antigen from the     pandemic-associated influenza virus strain.</t>
  </si>
  <si>
    <t>US20120053148</t>
  </si>
  <si>
    <t>13/157127</t>
  </si>
  <si>
    <t>Cai; Zhenhong R.; (Palo Alto, CA); Du; Zhimin; (Foster City, CA); Ji; Mingzhe; (Union City, CA); Jin; Haolun; (Foster City, CA); Kim; Choung U.; (San Carlos, CA); Mish; Michael R.; (La Honda, CA); Phillips; Barton W.; (San Mateo, CA); Pyun; Hyung-jung; (Fremont, CA); Sheng; Xiaoning C.; (San Carlos, CA); Wu; Qiaoyin; (Foster City, CA); Zonte; Catalin Sebastian; (San Francisco, CA)</t>
  </si>
  <si>
    <t>C07D 405/14 20130101;  C07D 417/12 20130101;  C07D 409/12 20130101;  C07D 413/04 20130101;  C07D 401/14 20130101;  C07D 405/12 20130101;  C07D 417/04 20130101;  A61K 45/06 20130101;  A61P 31/14 20180101;  C07D 401/12 20130101;  C07D 411/14 20130101;  C07D 417/14 20130101;  C07D 409/14 20130101;  C07D 401/10 20130101;  C07F 9/65583 20130101;  C07D 413/14 20130101;  C07D 215/48 20130101;  C07D 401/04 20130101</t>
  </si>
  <si>
    <t>The present application includes novel inhibitors of HCV, compositions     containing such compounds, therapeutic methods that include the     administration of such compounds.</t>
  </si>
  <si>
    <t>US20120035429</t>
  </si>
  <si>
    <t>ANIMAL SYMPTOM VISUAL ANALYTICS</t>
  </si>
  <si>
    <t>13/190748</t>
  </si>
  <si>
    <t>Ebert; David S.; (West Lafayette, IN); Maciejewski; Ross Larry; (Phoenix, AZ); Tyner; Benjamin N.; (Charlotte, NC); Jang; Yun; (West Lafayette, IN); Cleveland; William; (Lafayette, IN); Amass; Sandra; (Lafayette, IN)</t>
  </si>
  <si>
    <t>G06F 19/3493 20130101;  G06F 19/26 20130101;  G16H 50/80 20180101;  G16H 15/00 20180101;  G06F 19/24 20130101</t>
  </si>
  <si>
    <t>A system and method for visually displaying and analyzing public health     data for geospatial and/or time variations, including the collection of     symptom data coupled with geographic and time data, filtering the symptom     data based upon a selected time period and geographic range, and creating     a visual result based upon statistical modeling including power transform     and/or data normalization. According to at least one embodiment, the     system for visually displaying and analyzing includes selecting and     performing at least one aberration detection method such as applying     CUSUM analysis, quantile measures, and/or bootstrapping analysis, and     displaying the result to a user via a visual analytics arrangement.</t>
  </si>
  <si>
    <t>US20120034264</t>
  </si>
  <si>
    <t>13/161938</t>
  </si>
  <si>
    <t>Yang; Chin-Fen; (San Jose, CA); Kemble; George; (Saratoga, CA)</t>
  </si>
  <si>
    <t>A61K 2039/5254 20130101;  C07K 14/005 20130101;  C12N 7/00 20130101;  C12N 2501/70 20130101;  C12N 2760/16121 20130101;  C12N 2760/16122 20130101;  C12N 2760/16134 20130101;  C12N 2760/16161 20130101;  C12N 2760/16162 20130101;  C12N 2760/16171 20130101;  C12Q 1/701 20130101;  A61K 2039/543 20130101;  A61K 2039/58 20130101;  A61K 39/12 20130101</t>
  </si>
  <si>
    <t>US20120027752</t>
  </si>
  <si>
    <t>13/189373</t>
  </si>
  <si>
    <t>A61P 31/16 20180101;  A61P 43/00 20180101;  A61K 45/06 20130101;  A61K 31/706 20130101;  A61P 31/12 20180101;  A61P 31/14 20180101;  C07H 19/04 20130101;  C07D 487/04 20130101;  A61K 9/0078 20130101;  C07H 7/06 20130101;  C07F 9/6561 20130101</t>
  </si>
  <si>
    <t>US20120020971</t>
  </si>
  <si>
    <t>13/163489</t>
  </si>
  <si>
    <t>KAUVAR; Lawrence M.; (San Francisco, CA); Ellsworth; Stote; (Palo Alto, CA); Usinger; William; (Lafayette, CA); McCutcheon; Krista M.; (Burlingame, CA); Park; Minha; (Brisbane, CA); Chen; Bo; (Daly City, CA); Jiang; Ying-Ping; (Lafayette, CA)</t>
  </si>
  <si>
    <t>C07K 2317/33 20130101;  C07K 16/1018 20130101;  C07K 2317/34 20130101;  A61K 2039/505 20130101;  C07K 2317/76 20130101;  C07K 2317/92 20130101;  C07K 2317/21 20130101</t>
  </si>
  <si>
    <t>Monoclonal antibodies and fragments thereof that are crossreactive with     multiple clades of influenza virus including both Group 1 and Group 2     representatives are disclosed. These antibodies are useful in controlling     influenza epidemics and pandemics as well as in providing prophylactic or     therapeutic protection against seasonal influenza.</t>
  </si>
  <si>
    <t>US20120020921</t>
  </si>
  <si>
    <t>1'-SUBSTITUTED-CARBA-NUCLEOSIDE PRODRUGS FOR ANTIVIRAL TREATMENT</t>
  </si>
  <si>
    <t>13/117060</t>
  </si>
  <si>
    <t>CHO; Aesop; (Mountain View, CA); Kim; Choung U.; (San Carlos, CA); Ray; Adrian S.; (Redwood City, CA); Zhang; Lijun; (Los Altos Hills, CA)</t>
  </si>
  <si>
    <t>A61P 31/14 20180101;  A61P 43/00 20180101;  A61P 1/16 20180101;  A61P 31/00 20180101;  C07F 9/00 20130101;  C07F 9/6561 20130101;  C07D 309/10 20130101;  A61K 31/40 20130101</t>
  </si>
  <si>
    <t>Provided are prodrugs of pyrrolo[1,2-f][1,2,4]triazin-7-yl nucleoside     phosphates wherein the 1' position of the nucleoside sugar is substituted     with CN. The compounds, compositions, and methods provided are useful for     the treatment Hepatitis C infections.</t>
  </si>
  <si>
    <t>US20120016593</t>
  </si>
  <si>
    <t>METHOD AND APPARATUS FOR WORLDWIDE SREENING FOR HUMAN PAPILLOMA VIRUS</t>
  </si>
  <si>
    <t>13/128481</t>
  </si>
  <si>
    <t>NORCHIP A/S</t>
  </si>
  <si>
    <t>Karlsen; Frank; (Klokkarstua, NO); Skomedal; Hanne; (Borgen, NO)</t>
  </si>
  <si>
    <t>G16H 10/40 20180101;  G16H 50/80 20180101</t>
  </si>
  <si>
    <t>The invention relates to in vitro methods of screening female human     subjects for the presence of human papillo mavirus, for example as a     marker of cervical epithelial precancer. In particular, the invention     provides methods and apparatus which can be used to filter a patient data     set of measurements related to multiple HPV types according to the     geographical location of the patient under test, so that only those     measurements of HPV types which are pre-determined to be relevant for the     geographical region in which the patient under test is located are     selected for output/display.</t>
  </si>
  <si>
    <t>US20120015344</t>
  </si>
  <si>
    <t>Methods, compositions, and apparatus for the detection of viral strains</t>
  </si>
  <si>
    <t>13/068427</t>
  </si>
  <si>
    <t>MICHIGAN STATE UNIVERSITY</t>
  </si>
  <si>
    <t>Alocilia; Evangelyn C.; (East Lansing, MI); Kamikawa; Tracy L.; (Centreville, VA); Scott; Dorothy Elizabeth; (Rockville, MD); Kennedy; Michael C.; (US); Zhang; Pei; (US); Mikolajczyk; Malgorzata; (Boonsboro, MD); Zhong; Lilin; (US)</t>
  </si>
  <si>
    <t>B82Y 15/00 20130101;  C08G 73/0266 20130101;  C08G 2261/3221 20130101;  C08G 2261/3223 20130101;  C08G 2261/94 20130101;  C08G 2261/964 20130101;  C08K 3/22 20130101;  C08L 65/00 20130101;  C12N 2760/16111 20130101;  C12N 2760/16211 20130101;  C12N 2760/16311 20130101;  C08K 3/22 20130101;  C08L 65/00 20130101;  C08K 3/22 20130101;  C08L 79/02 20130101</t>
  </si>
  <si>
    <t>The disclosure generally relates to a particulate composition formed from     a conductive polymer bound to magnetic nanoparticles. The particulate     composition can be formed into a biologically enhanced, electrically     active magnetic (BEAM) nanoparticle composition by further including a     binding pair member (e.g., an antibody or a fragment thereof that     specifically recognizes a virus strain or a virus surface protein) bound     to the conductive polymer of the particulate composition. The disclosure     further provides compositions, kits, detection apparatus, and methods for     detecting specific viral strains including those with pandemic potential.     In the various embodiments, a triplex including the BEAM nanoparticle, a     virus or virally derived material (e.g. strain- and/or strain subtype     specific viral surface protein or fragments thereof), and a viral strain     subtype-specific binding pair member (e.g., a glycan that recognizes a     specific virus strain subtype) is formed and detected, such as by use of     a biosensor.</t>
  </si>
  <si>
    <t>US20120014955</t>
  </si>
  <si>
    <t>Antagonists of IL-6 to raise albumin and/or lower CRP</t>
  </si>
  <si>
    <t>13/240181</t>
  </si>
  <si>
    <t>A61K 39/395 20130101;  A61K 2039/505 20130101;  A61P 43/00 20180101;  A61K 39/3955 20130101;  C07K 2317/56 20130101;  C07K 2317/24 20130101;  C07K 16/248 20130101;  C07K 2317/76 20130101;  C07K 2317/565 20130101;  G01N 2333/4737 20130101;  C07K 2317/92 20130101;  G01N 2333/765 20130101;  G01N 2800/52 20130101;  C07K 2317/41 20130101;  C07K 2317/34 20130101;  A61K 45/06 20130101</t>
  </si>
  <si>
    <t>US20120009671</t>
  </si>
  <si>
    <t>13/178395</t>
  </si>
  <si>
    <t>Hansen; Carl L. G.; (Vancouver, CA); Lecault; Veronique; (Vancouver, CA); Piret; James M.; (Vancouver, CA)</t>
  </si>
  <si>
    <t>C12M 23/16 20130101</t>
  </si>
  <si>
    <t>Microfluidic devices and methods for perfusing a cell with perfusion     fluid are provided herein, wherein the gravitational forces acting on the     cell to keep the cell at or near a retainer or a retaining position     exceed the hydrodynamic forces acting on the cell to move it toward an     outlet.</t>
  </si>
  <si>
    <t>US20120009215</t>
  </si>
  <si>
    <t>13/230203</t>
  </si>
  <si>
    <t>US20120009147</t>
  </si>
  <si>
    <t>13/050820</t>
  </si>
  <si>
    <t>Cho; Aesop; (Mountain View, CA); Kim; Choung U.; (San Carlos, CA); Ray; Adrian S.; (Redwood City, CA)</t>
  </si>
  <si>
    <t>A61K 31/7056 20130101;  C07D 487/04 20130101;  A61K 31/41 20130101;  A61K 31/706 20130101;  A61P 31/14 20180101</t>
  </si>
  <si>
    <t>Provided are select imidazo[1,2-f][1,2,4]triazinyl nucleosides,     nucleoside phosphates and prodrugs thereof, wherein the 2' position of     the nucleoside sugar is substituted with halogen and carbon substituents.     The compounds, compositions, and methods provided are useful for the     treatment of Flaviviridae virus infections, particularly hepatitis C     infections caused by both wild type and mutant strains of HCV.</t>
  </si>
  <si>
    <t>US20120009130</t>
  </si>
  <si>
    <t>Viral Therapy and Prophylaxis Using Nanotechnology Delivery Techniques</t>
  </si>
  <si>
    <t>13/102808</t>
  </si>
  <si>
    <t>NANOAXIS, LLC</t>
  </si>
  <si>
    <t>NANOAXIS</t>
  </si>
  <si>
    <t>Chakravarthy; Krishnan; (Williamsville, NY); Sambhara; Suryaprakash; (Atlanta, GA); Knight; Paul; (Grand Island, NY)</t>
  </si>
  <si>
    <t>A61K 31/713 20130101;  B82Y 5/00 20130101;  C12N 15/1131 20130101;  C12N 2310/14 20130101;  C12N 2310/351 20130101;  C12N 2320/32 20130101;  A61K 47/6923 20170801;  A61K 47/6931 20170801</t>
  </si>
  <si>
    <t>The present disclosure provides compositions and methods of enhancing     resistance to viral infections through targeted delivery of 5'PPP     negative stranded siRNA via nanoparticles, specifically gold nanorods.     The 5'PPP activates type I interferon through the signaling cascade     providing a novel therapeutic and prophylactic for seasonal and pandemic     influenza. The technology described herein also extends the findings to     the use of nanoparticles for delivery of genetic material including but     not limited to siRNA and microRNA to accomplish targeted nanoparticle     based gene therapy.</t>
  </si>
  <si>
    <t>US20120003215</t>
  </si>
  <si>
    <t>13/167618</t>
  </si>
  <si>
    <t>Babaoglu; Kerim; (Pacifica, CA); Boojamra; Constantine G.; (San Francisco, CA); Eisenberg; Eugene J.; (San Carlos, CA); Hui; Hon Chung; (San Mateo, CA); Mackman; Richard L.; (Milbrae, CA); Parrish; Jay P.; (Redwood City, CA); Sangi; Michael; (US); Saunders; Oliver L.; (San Mateo, CA); Siegel; Dustin; (Foster City, CA); Sperandio; David; (Palo Alto, CA); Yang; Hai; (San Mateo, CA)</t>
  </si>
  <si>
    <t>A61K 31/519 20130101;  A61K 31/55 20130101;  C07D 513/04 20130101;  C07D 519/00 20130101;  A61P 31/14 20180101;  A61K 31/551 20130101;  C07D 495/04 20130101;  A61P 31/12 20180101;  A61K 31/5377 20130101;  A61P 31/16 20180101;  A61P 11/00 20180101;  A61K 31/675 20130101;  A61K 45/06 20130101;  C07D 487/04 20130101;  C07F 9/65616 20130101</t>
  </si>
  <si>
    <t>US20110313783</t>
  </si>
  <si>
    <t>TRANSPORTATION MODE DETERMINATION IN NON-MASS CASUALTY TRIAGE</t>
  </si>
  <si>
    <t>13/010495</t>
  </si>
  <si>
    <t>THINKSHARP, INC.</t>
  </si>
  <si>
    <t>THINKSHARP</t>
  </si>
  <si>
    <t>Sacco; William J.; (Bel Air, MD); Navin; D. Michael; (Bel Air, MD)</t>
  </si>
  <si>
    <t>G06Q 50/22 20130101;  G16H 50/80 20180101;  G16H 50/20 20180101;  G16H 40/20 20180101</t>
  </si>
  <si>
    <t>Transportation mode determination in non-mass casualty triage is provided     and involves receiving, from incident personnel at a casualty scene,     patient screening information for a victim or victims at the casualty     scene. Location screening information for the victim or victims is also     established and received. Victim eligibility for Medevac transport is     determined by logically factoring the patient screening information and     the location screening information. The determination can be performed by     computer implemented decision logic. In addition to determining     eligibility of the victim or victims for Medevac transport,     transportation mode determination (e.g., what type of transportation) can     be established for those determined eligible, determination of whether to     transport to a trauma center or care facility, determination/selection of     a specific trauma center or care facility for treatment, and/or a     determination of an order of treatment, or transport for treatment, for     each of the victims.</t>
  </si>
  <si>
    <t>US20110305748</t>
  </si>
  <si>
    <t>Vaccines for Pandemic Influenza</t>
  </si>
  <si>
    <t>13/045245</t>
  </si>
  <si>
    <t>CLEGG CHRISTOPHER H; REED STEVEN G; VAN HOEVEN NEAL; IMMUNE DESIGN CORP</t>
  </si>
  <si>
    <t>CLEGG CHRISTOPHER REED STEVEN VAN HOEVEN NEAL; IMMUNE DESIGN</t>
  </si>
  <si>
    <t>Clegg; Christopher H.; (Seattle, WA); Reed; Steven G.; (Bellevue, WA); Van Hoeven; Neal; (Seattle, WA)</t>
  </si>
  <si>
    <t>A61K 39/12 20130101;  A61K 2039/55511 20130101;  A61K 2039/55583 20130101;  C12N 2760/16134 20130101;  C12N 2760/16234 20130101</t>
  </si>
  <si>
    <t>Pharmaceutical and vaccine compositions comprise recombinant     hemagglutinin from a pre-pandemic or pandemic influenza virus and an     adjuvant comprising GLA. A particularly relevant pre-pandemic influenza     virus is H5N1. Kits and methods of using the compositions are also     provided.</t>
  </si>
  <si>
    <t>US20110294105</t>
  </si>
  <si>
    <t>Contiunuity of instruction during a socially distancing event</t>
  </si>
  <si>
    <t>12/801156</t>
  </si>
  <si>
    <t>US20110293622</t>
  </si>
  <si>
    <t>13/152603</t>
  </si>
  <si>
    <t>Garcia-Martinez; Leon; (Woodinville, WA); Jensen; Anne Elisabeth Carvalho; (Edmonds, WA); Olson; Katie; (Kenmore, WA); Dutzar; Ben; (Seattle, WA); Ojala; Ethan; (Lynnwood, WA); Kovacevich; Brian; (Snohomish, WA); Latham; John; (Seattle, WA); Smith; Jeffrey T.L.; (Redmond, WA)</t>
  </si>
  <si>
    <t>C12P 21/02 20130101;  C07K 2317/92 20130101;  A61K 2039/505 20130101;  A61P 35/00 20180101;  C07K 2317/41 20130101;  C12N 9/64 20130101;  C12N 9/60 20130101;  C12N 15/81 20130101;  C07K 2317/76 20130101;  C07K 2317/34 20130101;  C07K 2317/24 20130101;  C07K 2317/56 20130101;  C07K 16/248 20130101;  C07K 2317/565 20130101</t>
  </si>
  <si>
    <t>US20110293563</t>
  </si>
  <si>
    <t>1'SUBSTITUTED CARBA-NUCLEOSIDE ANALOGS FOR ANTIVIRAL TREATMENT</t>
  </si>
  <si>
    <t>13/196117</t>
  </si>
  <si>
    <t>Butler; Thomas; (Redwood City, CA); Cho; Aesop; (Mountain View, CA); Kim; Choung U.; (San Carlos, CA); Parrish; Jay P.; (Redwood City, CA); Saunders; Oliver L.; (San Mateo, CA); Zhang; Lijun; (Los Altos Hills, CA)</t>
  </si>
  <si>
    <t>A61P 31/00 20180101;  A61P 31/12 20180101;  A61P 1/16 20180101;  C07D 487/04 20130101;  A61P 31/20 20180101;  A61P 31/14 20180101;  A61P 31/16 20180101;  C07H 19/23 20130101;  A61P 43/00 20180101</t>
  </si>
  <si>
    <t>US20110293542</t>
  </si>
  <si>
    <t>13/142088</t>
  </si>
  <si>
    <t>Nikawa; Hiroki; (Hiroshima, JP); Takeda; Hironori; (Hiroshima, JP); Kakihara; Toshio; (Hiroshima, JP); Sakaguchi; Takemasa; (Hiroshima, JP)</t>
  </si>
  <si>
    <t>US20110288053</t>
  </si>
  <si>
    <t>13/187293</t>
  </si>
  <si>
    <t>Boojamra; Constantine G.; (San Francisco, CA); Cannizzaro; Carina; (Foster City, CA); Chen; James M.; (San Ramon, CA); Chen; Xiaowu; (Foster City, CA); Cho; Aesop; (Mountain View, CA); Chong; Lee S.; (Newark, CA); Fardis; Maria; (San Carlos, CA); Jin; Heolun; (Foster City, CA); Hirschmann; Ralph F.; (Lansdale, PA); Huang; Alan X.; (San Mateo, CA); Kim; Choung U.; (San Carlos, CA); Kirschberg; Thorsten; (Belmont, CA); Lee; Christopher P.; (San Francisco, CA); Lee; William A.; (Los Altos, CA); Mackman; Richard L.; (Millbrae, CA); Markevitch; David Y.; (Los Angeles, CA); Oare; David A.; (Belmont, CA); Prasad; Vidya K.; (Munich, DE); Pyun; Hyung-Jung; (Fremont, CA); Ray; Adrian S.; (Redwood City, CA); Sherlock; Rosemarie; (Palo Alto, CA); Swaninathan; Sundaramoothi; (Burlingame, CA); Watkins; William J.; (Saratoga, CA); Zhang; Jenneifer; (Foster City, CA)</t>
  </si>
  <si>
    <t>C07D 413/14 20130101;  C07D 211/58 20130101;  C07F 9/5728 20130101;  C07F 9/65515 20130101;  A61K 31/7072 20130101;  C07H 19/10 20130101;  C07D 409/14 20130101;  C07F 9/4075 20130101;  Y02A 50/393 20180101;  A61K 31/7076 20130101;  C07F 9/653 20130101;  C07D 409/06 20130101;  C07H 19/20 20130101;  Y02A 50/465 20180101;  A61P 43/00 20180101;  C07D 475/00 20130101;  C07F 9/65031 20130101;  C07F 9/650905 20130101;  C07F 9/60 20130101;  C07F 9/58 20130101;  A61P 31/18 20180101;  C07H 21/00 20130101;  A61K 31/662 20130101;  C07H 15/00 20130101;  C07H 19/056 20130101;  A61P 31/14 20180101;  C07F 9/65616 20130101;  C07D 205/04 20130101;  A61K 47/548 20170801;  C07F 9/6539 20130101;  C07H 17/00 20130101;  C07F 9/6561 20130101;  A61P 31/12 20180101;  C07F 9/655354 20130101</t>
  </si>
  <si>
    <t>US20110287054</t>
  </si>
  <si>
    <t>MULTIVALENT ADJUVANTED INFLUENZA VIRUS COMPOSITIONS</t>
  </si>
  <si>
    <t>13/096180</t>
  </si>
  <si>
    <t>HANON, Emmanuel Jules; Stephenne, Jean</t>
  </si>
  <si>
    <t>HANON EMMANUEL</t>
  </si>
  <si>
    <t>HANON; Emmanuel Jules; (Rixensart, BE); Stephenne; Jean; (Rixensart, BE)</t>
  </si>
  <si>
    <t>A61K 2039/55 20130101;  A61K 2039/57 20130101;  C12N 2760/16034 20130101;  A61K 2039/55566 20130101;  A61K 2039/55511 20130101;  C12N 7/00 20130101;  C12N 2760/16234 20130101;  A61K 39/39 20130101;  A61K 2039/55572 20130101;  A61K 39/145 20130101;  C12N 2760/16134 20130101;  A61K 2039/70 20130101;  A61K 39/12 20130101</t>
  </si>
  <si>
    <t>US20110262481</t>
  </si>
  <si>
    <t>HIGH GROWTH REASSORTANT INFLUENZA A VIRUS</t>
  </si>
  <si>
    <t>13/140395</t>
  </si>
  <si>
    <t>RESILIENCE GOVERNMENT SERVICES, INC.</t>
  </si>
  <si>
    <t>RESILIENCE GOVERNMENT</t>
  </si>
  <si>
    <t>Muster; Thomas; (Vienna, AT); Wolschek; Markus; (Vienna, AT); Egorov; Andrej; (Vienna, AT); Roethl; Elisabeth; (Vienna, AT); Romanova; Julia; (Vienna, AT); Bergmann; Michael; (Klosterneuburg, AT)</t>
  </si>
  <si>
    <t>A61K 39/145 20130101;  A61K 2039/525 20130101;  C07K 14/005 20130101;  C12N 7/00 20130101;  C12N 2760/16122 20130101;  C12N 2760/16134 20130101;  C12N 2760/16151 20130101;  A61K 39/12 20130101</t>
  </si>
  <si>
    <t>The present invention provides a high growth reassortant influenza A     virus having at least two gene segments of seasonal or pandemic strain     origin, a PB1 gene segment of A/Texas/1/77 strain origin and a PA gene     segment of A/Puerto Rico/8/34 (H1N1) origin coding for a PA protein     comprising at least one amino acid modification at any one of positions     10, 275, 682, according to SEQ ID No.1. Further provided are vaccine     formulations comprising the reassortant influenza A virus of the     invention.</t>
  </si>
  <si>
    <t>US20110262394</t>
  </si>
  <si>
    <t>DNA CONSTRUCTS ELICITING IMMUNE RESPONSE AGAINST FLAVIVIRUS AND EFFECTIVE     ADJUVANTS</t>
  </si>
  <si>
    <t>13/129599</t>
  </si>
  <si>
    <t>Ramanathan; Mathura P.; (Ardmore, PA); Sardesai; Niranjan Y.; (Blue Bell, PA)</t>
  </si>
  <si>
    <t>A61P 31/12 20180101;  A61P 37/04 20180101;  A61K 2039/55527 20130101;  Y02A 50/394 20180101;  A61K 39/12 20130101;  C12N 2770/24134 20130101;  Y02A 50/39 20180101;  A61P 31/14 20180101;  A61K 2039/53 20130101</t>
  </si>
  <si>
    <t>Aspects of the present invention relate to isolated nucleic acids that     encode a consensus DIII domain of protein E and vaccines made using same,     and also methods for using the aforementioned to generate in a host an     immune response against multiple serotypes of flavivirus, particularly     West Nile virus and Japanese encephalitis virus.</t>
  </si>
  <si>
    <t>US20110250201</t>
  </si>
  <si>
    <t>12/624965</t>
  </si>
  <si>
    <t>SMITH; Jeffrey T.L.; (Redmond, WA)</t>
  </si>
  <si>
    <t>C07K 2317/34 20130101;  C07K 16/248 20130101;  C07K 2317/92 20130101;  A61P 19/08 20180101;  A61K 31/7088 20130101;  A61K 38/2013 20130101;  A61K 2039/505 20130101;  A61P 35/02 20180101;  A61K 38/16 20130101;  A61K 39/3955 20130101;  C07K 2317/41 20130101;  A61P 1/04 20180101;  A61P 19/02 20180101;  C07K 2317/76 20130101;  A61P 1/16 20180101;  A61P 25/00 20180101;  A61K 38/208 20130101;  A61P 9/10 20180101;  A61P 35/00 20180101;  A61P 35/04 20180101;  A61K 2039/545 20130101;  A61P 1/00 20180101;  A61K 2039/54 20130101;  C07K 2317/24 20130101;  A61K 45/00 20130101;  A61K 45/06 20130101</t>
  </si>
  <si>
    <t>US20110243987</t>
  </si>
  <si>
    <t>13/163002</t>
  </si>
  <si>
    <t>Hanon; Emmanuel Jules; (Rixensart, BE); Stephenne; Jean; (Rixensart, BE)</t>
  </si>
  <si>
    <t>A61K 2039/545 20130101;  A61K 2039/55566 20130101;  C12N 2760/16234 20130101;  C12N 2760/16134 20130101;  C12N 2760/16171 20130101;  A61K 2039/575 20130101;  A61K 39/39 20130101;  A61K 39/145 20130101;  C12N 7/00 20130101;  A61K 2039/5252 20130101;  A61K 2039/572 20130101;  A61K 39/12 20130101</t>
  </si>
  <si>
    <t>US20110229518</t>
  </si>
  <si>
    <t>OPTIMIZED INFLUENZA VACCINES</t>
  </si>
  <si>
    <t>13/131733</t>
  </si>
  <si>
    <t>STATENS SERUM INSTITUT</t>
  </si>
  <si>
    <t>Fomsgaard; Anders; (Lyngby, DK); Bragstad; Karoline; (Copenhagen N, DK)</t>
  </si>
  <si>
    <t>A61K 39/145 20130101;  A61K 2039/53 20130101;  C12N 2760/16134 20130101;  A61K 39/12 20130101;  A61K 2039/54 20130101;  A61K 2039/58 20130101;  A61K 2039/70 20130101</t>
  </si>
  <si>
    <t>The invention concerns nucleotides vaccines encoding influenza proteins     with few or no glycosylation sites. Since these first introductions of     pandemic influenzas the viruses have drifted, accumulating mutations at     antigenic sites, but also the N-glycosylation pattern has changed during     the drifted years, accumulating N-linked glycosylation sequons that help     mask the antigenic sites for recognition by the host immune system. These     "naked" initial haemagglutinins induce a broad cross reactivity against     widely drifted influenza subtypes. The origin of the DNA or RNA can be     both pandemic influenza strains, which codes for proteins which have a     naturally low content of glycosylation sites and/or DNA or RNA from     non-pandemic influenza strains where the nucleotides have been mutated or     changed so it encodes for proteins with less or no glycosylation sites.     The invention also discloses DNA or RNA encoding the haemagglutinin (HA)     from pandemic influenza A, e.g. the 1918 H1N1 and/or the 1957 H2N2 and/or     the 1968 H3N2 influenza A virus, optionally with the Neuraminidase (NA)     and/or matrix protein (M) and/or the nucleoprotein (NP) from these     pandemic influenza virus included, mixed together with DNA or RNA from     non-pandemic influenza A as a vaccine against present day and future     influenza A viruses.</t>
  </si>
  <si>
    <t>US20110223131</t>
  </si>
  <si>
    <t>13/032581</t>
  </si>
  <si>
    <t>JIN; Haolun; (Foster City, CA); Kim; Choung U.; (San Carlos, CA); Phillips; Barton W.; (San Mateo, CA)</t>
  </si>
  <si>
    <t>A61P 31/18 20180101;  C07D 498/16 20130101</t>
  </si>
  <si>
    <t>US20110217303</t>
  </si>
  <si>
    <t>13/046860</t>
  </si>
  <si>
    <t>Smith; Jeffrey T.L.; (Redmond, WA); Schatzman; Randall C.; (Redmond, WA); Litton; Mark J.; (Seattle, WA); Latham; John; (Seattle, WA)</t>
  </si>
  <si>
    <t>US20110213623</t>
  </si>
  <si>
    <t>Disease Management System</t>
  </si>
  <si>
    <t>13/096150</t>
  </si>
  <si>
    <t>DISEASE MAN SERVICES PLC</t>
  </si>
  <si>
    <t>DISEASE MAN PLC</t>
  </si>
  <si>
    <t>Sender; Barry J.; (Mission Viejo, CA); Sender; Leonard S.; (Laguna Beach, CA); Sender; Adele S.; (Laguna Beach, CA)</t>
  </si>
  <si>
    <t>G06F 19/3418 20130101;  G06F 19/3456 20130101;  G06Q 50/22 20130101;  G06Q 50/24 20130101;  Y02A 90/22 20180101;  G16H 40/20 20180101;  G16H 50/20 20180101;  Y02A 90/26 20180101;  G16H 10/20 20180101</t>
  </si>
  <si>
    <t>A comprehensive disease management system providing advanced diagnostic, prognostic and therapeutic capabilities to healthcare workers located in remote, rural and resource-poor urban centers is disclosed. Additionally, a method of managing disease in a patient located remotely relative to interpretation and therapeutic dispensing services is provided including methods of data collection, data interpretation and therapeutic dispensing. An algorithm is disclosed to provide non-physician healthcare workers in remote, rural and resource-poor urban centers to manage disease in patients with human immunodeficiency virus (HIV) disease.</t>
  </si>
  <si>
    <t>US20110200635</t>
  </si>
  <si>
    <t>12/997577</t>
  </si>
  <si>
    <t>Banzhoff; Angelika; (Marburg, DE); Clemens; Ralf Leo; (Siena, IT)</t>
  </si>
  <si>
    <t>US20110184656</t>
  </si>
  <si>
    <t>Efficiently Determining Condition Relevant Modifiable Lifestyle Attributes</t>
  </si>
  <si>
    <t>13/079576</t>
  </si>
  <si>
    <t>Kenedy; Andrew Alexander; (Sugar Land, TX); Eldering; Charles Anthony; (Furlong, PA)</t>
  </si>
  <si>
    <t>G16H 50/30 20180101;  G06F 7/00 20130101;  G06Q 40/08 20130101;  G09B 19/00 20130101;  G06F 17/27 20130101;  G06F 17/30864 20130101;  G06F 17/30598 20130101;  H04L 51/32 20130101;  H04L 65/403 20130101;  G06F 17/30876 20130101;  G06F 17/30339 20130101;  G06F 17/30528 20130101;  G06F 17/3053 20130101;  G06F 17/30867 20130101;  G06F 19/18 20130101;  G06F 19/3431 20130101;  G06Q 50/22 20130101;  G06F 17/30 20130101;  G06F 17/00 20130101;  G06Q 40/00 20130101</t>
  </si>
  <si>
    <t>A bioinformatics method, software, system and database are presented in which attribute profiles containing pangenetic and non-pangenetic information are created and used to identify sets of attributes, including lifestyle attributes that are associated with a condition. The lifestyle attributes which can be modified and which result in a significant change in the probability of having the condition are identified and used as the basis for recommendations for lifestyle modification.</t>
  </si>
  <si>
    <t>US20110182936</t>
  </si>
  <si>
    <t>13/077488</t>
  </si>
  <si>
    <t>Yang; Chin-Fen; (San Jose, CA); Kemble; George; (Saratoga, CA); Subbarao; Kanta; (Washington, DC); Murphy; Brian; (Bethesda, MD)</t>
  </si>
  <si>
    <t>US20110178129</t>
  </si>
  <si>
    <t>13/007150</t>
  </si>
  <si>
    <t>Canales; Eda; (San Mateo, CA); Clarke; Michael O' Neil Hanrahan; (Redwood City, CA); Lazerwith; Scott E.; (San Francisco, CA); Lew; Willard; (San Mateo, CA); Morganelli; Philip Anthony; (Oakland, CA); Watkins; William J.; (Saratoga, CA)</t>
  </si>
  <si>
    <t>A61P 31/00 20180101;  A61P 31/12 20180101;  A61K 31/4436 20130101;  C07D 409/12 20130101;  A61P 31/14 20180101;  A61K 45/06 20130101;  A61K 31/381 20130101</t>
  </si>
  <si>
    <t>US20110178058</t>
  </si>
  <si>
    <t>13/006761</t>
  </si>
  <si>
    <t>CANALES; Eda; (San Mateo, CA); Chong; Lee S.; (Newark, CA); Clarke; Michael O' Neil Hanrahan; (Redwood City, CA); Doerffler; Edward; (Union City, CA); Lazerwith; Scott E.; (San Francisco, CA); Lew; Willard; (San Mateo, CA); Mertzman; Michael; (Belmont, CA); Morganelli; Philip A.; (Oakland, CA); Watkins; William J.; (Saratoga, CA)</t>
  </si>
  <si>
    <t>A61K 31/427 20130101;  A61K 31/4545 20130101;  A61K 31/4025 20130101;  A61K 31/497 20130101;  A61K 31/381 20130101;  A61K 45/06 20130101;  C07D 493/04 20130101;  C07D 333/38 20130101;  A61K 31/454 20130101;  C07D 413/12 20130101;  A61P 31/12 20180101;  A61P 31/00 20180101;  C07D 409/12 20130101;  A61K 31/4535 20130101;  C07D 409/14 20130101;  A61P 31/14 20180101;  A61K 31/501 20130101</t>
  </si>
  <si>
    <t>US20110172925</t>
  </si>
  <si>
    <t>Secondary Structure Defining Database And Methods For Determining Identity     And Geographic Origin Of An Unknown Bioagent Thereby</t>
  </si>
  <si>
    <t>11/930108</t>
  </si>
  <si>
    <t>US20110169645</t>
  </si>
  <si>
    <t>HYGIENE COMPLIANCE MONITORING SYSTEM</t>
  </si>
  <si>
    <t>12/987389</t>
  </si>
  <si>
    <t>Cartner; Todd J.; (Uniontown, OH); Wegelin; Jackson W.; (Stow, OH)</t>
  </si>
  <si>
    <t>G06F 19/327 20130101;  G08B 21/245 20130101;  Y02A 90/24 20180101;  G16H 50/80 20180101;  Y02A 90/22 20180101;  G16H 40/20 20180101</t>
  </si>
  <si>
    <t>An electronic hand hygiene compliance system and award indicator that     provides realtime reporting of the percent number of hand hygiene events     against a programmed target number of hand hygiene events for a given     functional area over a given period of time, yielding hand hygiene     compliance. The system keeps up to date compliance for an established     group interval until the data is written over by compliance data for the     same group interval the following day. In addition, a random hand hygiene     event can be identified for a given functional area during a given period     of time to trigger an alarm for encouraging hand hygiene activity for a     given dispenser or group of dispensers.</t>
  </si>
  <si>
    <t>US20110150912</t>
  </si>
  <si>
    <t>Avian influenza virus live attenuated vaccine and uses thereof</t>
  </si>
  <si>
    <t>12/381550</t>
  </si>
  <si>
    <t>PEREZ DANIEL R; UNIV MARYLAND</t>
  </si>
  <si>
    <t>PEREZ DANIEL UNIV MARYLAND</t>
  </si>
  <si>
    <t>Perez; Daniel R.; (Olney, MD)</t>
  </si>
  <si>
    <t>A61K 39/145 20130101;  A61K 2039/5254 20130101;  C12N 7/00 20130101;  C12N 2760/16134 20130101;  C12N 2760/16161 20130101;  A61K 2039/541 20130101;  A61K 2039/543 20130101;  A61K 2039/544 20130101;  A61K 2039/55 20130101;  A61K 2039/58 20130101;  A61K 39/12 20130101</t>
  </si>
  <si>
    <t>Described in this application are attenuated strains of avian influenza     virus containing temperature sensitive mutations in addition to a genetic     tag in the PB1 gene. The attenuated viruses are useful as avian and     mammalian vaccine for protective immunity against homologous and     heterologous lethal challenges with influenza virus. A genetically     modified avian influenza virus backbone is described which can be used as     a master donor strain for the generation of live attenuated vaccines for     epidemic and pandemic influenza.</t>
  </si>
  <si>
    <t>US20110147496</t>
  </si>
  <si>
    <t>DEVICE INTRODUCED INTO DROPLET SPRAYING TIP</t>
  </si>
  <si>
    <t>12/961860</t>
  </si>
  <si>
    <t>GUARANY INDUSTRIA E COMERCIO LTDA.</t>
  </si>
  <si>
    <t>GUARANY INDUSTRIA COMERCIO</t>
  </si>
  <si>
    <t>Fleury Bellandi; Carlos Alberto; (Terras de Sao Jose, BR)</t>
  </si>
  <si>
    <t>B05B 7/0075 20130101;  B05B 7/0441 20130101;  B05B 7/24 20130101</t>
  </si>
  <si>
    <t>The present model discloses a device introduced into a tip for spraying     droplets, which provides for the control of the flow, distribution and     formation of spray droplets, within the spectrum of droplet sizes     considered as aerosols (&amp;lt;50 .mu.m), specially aiming the control of     the current vector insects which transmit human disease epidemics and,     manufactured for assembly on powered backpack equipment for     spraying/atomizing liquids, in such a way to allow the application in     closed and difficult access areas, where motor vehicles are not able to     arrive. The present model comprises a body (1) which has in its inner part, in     the central region, a tip (11), of geometry of the venturi type,     configuring an area for constriction to the passage of air flow, linked     to the cylindrical casing (5) and a second low pressure chamber (12), and     the geometry of the tip (11) causes the increase in the speed of the air     flow and the consequent reduction in the pressure, thus causing the     suction of the liquid and the formation of the droplets by the disruption     of the surface tension when the air stream is passed through said tip     (11).</t>
  </si>
  <si>
    <t>US20110144050</t>
  </si>
  <si>
    <t>12/999441</t>
  </si>
  <si>
    <t>Graetz; Benjamin R.; (San Mateo, CA); Polniaszek; Richard; (Redwood City, CA)</t>
  </si>
  <si>
    <t>A61K 9/20 20130101;  A61K 31/675 20130101;  A61K 31/7076 20130101;  A61P 31/18 20180101;  A61K 31/675 20130101;  A61K 45/06 20130101;  A61K 9/2018 20130101;  A61K 2300/00 20130101;  C07H 19/20 20130101</t>
  </si>
  <si>
    <t>US20110136210</t>
  </si>
  <si>
    <t>USE OF METHYLSULFONYLMETHANE (MSM) TO MODULATE MICROBIAL ACTIVITY</t>
  </si>
  <si>
    <t>13/029001</t>
  </si>
  <si>
    <t>A61P 31/16 20180101;  A61K 9/0014 20130101;  A61K 31/437 20130101;  Y02A 50/473 20180101;  Y02A 50/406 20180101;  C12N 1/18 20130101;  A61P 31/04 20180101;  A61P 31/00 20180101;  A61K 31/431 20130101;  A61P 31/10 20180101;  A61K 31/10 20130101;  A61K 31/43 20130101;  A61K 45/06 20130101;  A01N 41/10 20130101;  Y02E 50/17 20130101;  C12N 1/38 20130101;  Y02A 50/409 20180101;  C12P 7/06 20130101;  C12N 1/20 20130101;  Y02A 50/411 20180101;  Y02E 50/343 20130101;  A61P 43/00 20180101;  C12P 7/56 20130101;  A61K 31/43 20130101;  A61K 2300/00 20130101;  A61K 31/431 20130101;  A61K 2300/00 20130101</t>
  </si>
  <si>
    <t>US20110135604</t>
  </si>
  <si>
    <t>12/958086</t>
  </si>
  <si>
    <t>Casarez; Anthony; (Princeton, NJ); Ji; Mingzhe; (Union City, CA); Kim; Choung U.; (San Carlos, CA); Sheng; Xiaoning C.; (Foster City, CA); Wu; Qiaoyin; (Foster City, CA)</t>
  </si>
  <si>
    <t>C07D 233/02 20130101;  C07D 403/04 20130101;  C07D 401/12 20130101;  C07D 403/10 20130101;  C07D 409/10 20130101;  A61K 38/00 20130101;  C07D 409/12 20130101;  C07D 487/04 20130101;  C07K 5/0808 20130101;  C07D 403/12 20130101</t>
  </si>
  <si>
    <t>US20110135599</t>
  </si>
  <si>
    <t>12/958112</t>
  </si>
  <si>
    <t>Cai; Zhenhong R.; (Palo Alto, CA); Clarke; Michael O'Neil Hanrahan; (Redwood City, CA); Doerffler; Edward; (Union City, CA); Ji; Mingzhe; (Union City, CA); Kim; Choung U.; (San Carlos, CA); Pyun; Hyung-jung; (Fremont, CA); Sheng; Xiaoning C.; (Foster City, CA); Wu; Qiaoyin; (Foster City, CA)</t>
  </si>
  <si>
    <t>A61P 31/14 20180101;  C07D 487/04 20130101;  C07D 471/04 20130101;  A61K 38/00 20130101;  C07D 498/04 20130101</t>
  </si>
  <si>
    <t>US20110129131</t>
  </si>
  <si>
    <t>SYSTEM AND METHOD FOR INTEGRATED QUANTIFIABLE DETECTION, DIAGNOSIS AND MONITORING OF DISEASE USING POPULATION RELATED TIME TREND DATA AND DISEASE PROFILES</t>
  </si>
  <si>
    <t>12/627160</t>
  </si>
  <si>
    <t>Avinash; Gopal Biligeri; (Menomonee Falls, WI); Sirohey; Saad Ahmed; (Pewaukee, WI); Lin; Zhongmin Steve; (New Berlin, WI); Mohan; Ananth; (Waukesha, WI)</t>
  </si>
  <si>
    <t>G06F 19/321 20130101;  G16H 15/00 20180101;  G16H 50/20 20180101;  G16H 50/70 20180101</t>
  </si>
  <si>
    <t>A system and method for detecting, diagnosing, and monitoring a disease and determining a disease signature including accessing patient deviation scores indicative of differences between patient data and reference data representative of a population segment, the patient deviation scores derived from longitudinal patient data such that the patient deviation scores include a plurality of sets of patient deviation scores, each set indicative of differences between patient data collected at a respective point in time and the reference data. The system and method also includes identifying a trend in the patient deviation scores for at least one clinical parameter, generating a report including a visual indication of the trend, and outputting the report. The report includes one or more views including Z, T, D, DT, and D feedback on T views, using image and non-image data.</t>
  </si>
  <si>
    <t>US20110123493</t>
  </si>
  <si>
    <t>2,4,6-TRISUBSTITUTED PYRIDO(3,2-d) PYRIMIDINES USEFUL FOR TREATING VIRAL     INFECTIONS</t>
  </si>
  <si>
    <t>12/996110</t>
  </si>
  <si>
    <t>CANALES EDA; CHONG LEE S; CLARKE MICHAEL O' NEIL HANRAHAN; LAZERWITH SCOTT E; LEW WILLARD; LIU QI; MITCHELL MICHAEL L; WATKINS WILLIAM J; ZHANG JENNIFER R; GILEAD SCIENCES INC</t>
  </si>
  <si>
    <t xml:space="preserve">CANALES EDA; CHONG LEE CLARKE MICHAEL NEIL HANRAHAN; LAZERWITH SCOTT LEW WILLARD; LIU QI; MITCHELL MICHAEL WATKINS WILLIAM ZHANG JENNIFER </t>
  </si>
  <si>
    <t>Canales; Eda; (San Mateo, CA); Chong; Lee S.; (Newark, CA); Clarke; Michael O' Neil Hanrahan; (Redwood City, CA); Lazerwith; Scott E.; (San Francisco, CA); Lew; Willard; (San Mateo, CA); Liu; Qi; (Foster City, CA); Mitchell; Michael L.; (Hayward, CA); Watkins; William J.; (Saratoga, CA); Zhang; Jennifer R.; (Foster City, CA)</t>
  </si>
  <si>
    <t>A61P 31/12 20180101;  C07D 471/04 20130101;  A61P 39/00 20180101;  A61P 31/14 20180101</t>
  </si>
  <si>
    <t>Pyrido(3,2-d)pyrimidine derivatives represented by the structural formula     (Ia): wherein, R.sub.1, R.sub.2 and R.sub.3 are defined herein,     pharmaceutical acceptable addition salts, stereochemical isomeric forms,     N-oxides, solvates and pro-drugs thereof, for use in the treatment of     hepatitis C.  ##STR00001##</t>
  </si>
  <si>
    <t>US20110112195</t>
  </si>
  <si>
    <t>Potent and Selective Inhibition by Aurinticarboxylic Acid</t>
  </si>
  <si>
    <t>11/570650</t>
  </si>
  <si>
    <t>He, Runtao; Andonov, Anton; Cao, Jingxin; Drebot, Mike; Li, Xueguang</t>
  </si>
  <si>
    <t>RUNTAO</t>
  </si>
  <si>
    <t>He; Runtao; (Winnipeg, CA); Andonov; Anton; (Winnipeg, CA); Cao; Jingxin; (Winnipeg, CA); Drebot; Mike; (Winnipeg, CA); Li; Xueguang; (Winnipeg, CA)</t>
  </si>
  <si>
    <t>A61K 31/194 20130101;  C12Q 1/18 20130101;  Y02A 50/393 20180101;  Y02A 50/385 20180101;  Y02A 50/389 20180101;  G01N 2500/00 20130101</t>
  </si>
  <si>
    <t>The severe acute respiratory syndrome virus (SARS) is a coronavirus that     instigated regional epidemics in Canada and several Asian countries in     2003. The newly identified SARS coronavirus (SARS-CoV) can be transmitted     among humans and cause severe or even fatal illnesses. As preventive     vaccine development takes years to complete and adverse reactions have     been reported to some veterinary coronaviral vaccines, anti-viral     compounds must be relentlessly pursued. In this study, we analyzed the     effect of aurintricarboxylic acid (ATA) on SARS-CoV replication in cell     culture, and found that ATA could drastically inhibit SARS-CoV     replication, with viral production being more than 1000 fold than that in     the untreated control. ATA is also shown to be an effective anti-viral     for several other viruses, including West Nile Virus and variola virus.  ##STR00001##</t>
  </si>
  <si>
    <t>US20110105623</t>
  </si>
  <si>
    <t>12/916357</t>
  </si>
  <si>
    <t>A61P 31/04 20180101;  A01N 41/10 20130101;  A61K 9/0014 20130101;  Y02A 50/411 20180101;  Y02E 50/343 20130101;  A61P 43/00 20180101;  C12P 7/06 20130101;  A61K 31/43 20130101;  A61P 31/00 20180101;  Y02A 50/409 20180101;  Y02A 50/473 20180101;  A61P 31/16 20180101;  A61K 31/431 20130101;  A61K 31/437 20130101;  A61K 45/06 20130101;  Y02A 50/406 20180101;  Y02E 50/17 20130101;  C12P 7/56 20130101;  A61P 31/10 20180101;  C12N 1/18 20130101;  A61K 31/10 20130101;  C12N 1/38 20130101;  C12N 1/20 20130101;  A61K 31/43 20130101;  A61K 2300/00 20130101;  A61K 31/431 20130101;  A61K 2300/00 20130101</t>
  </si>
  <si>
    <t>US20110104197</t>
  </si>
  <si>
    <t>METHOD AND A FILTER FOR CAPTURING AIRBORNE AGENTS</t>
  </si>
  <si>
    <t>12/997454</t>
  </si>
  <si>
    <t>GRIMALDI DEVELOPMENT AB</t>
  </si>
  <si>
    <t>GRIMALDI DEVELOPMENT</t>
  </si>
  <si>
    <t>Morein; Bror; (Uppsala, SE); Friman; Goran; (Uppsala, SE); Ilback; Nils-Gunnar; (Uppsala, SE)</t>
  </si>
  <si>
    <t>A61L 9/14 20130101;  A61L 9/16 20130101;  A61L 9/18 20130101;  A61L 9/20 20130101;  B01D 47/06 20130101;  B01D 53/323 20130101;  B01D 2247/04 20130101;  B01D 2257/91 20130101;  B01D 2221/10 20130101;  B01D 2247/101 20130101;  F24F 2003/1682 20130101</t>
  </si>
  <si>
    <t>A method for capturing airborne agents or products of agents, such as microorganisms, including viruses, and microbial antigens, toxins and allergens, comprising the formation of at least one curtain of charged particles in the form of an emulsion, a suspension or an aerosol, constantly renewing and regenerating said at least one curtain, and passing air containing airborne agents through said at least one curtain, which acting as a filter captures said agents; as well as a particle formulation for performing the method, comprising any charged particles dispersed in a liquid, including lipid-containing particles, e.g. in the form of an emulsion, or micelles, or lipid-containing particles in the form of an aerosol, or any other charged airborne particles in an aerosol.</t>
  </si>
  <si>
    <t>US20110097418</t>
  </si>
  <si>
    <t>12/999725</t>
  </si>
  <si>
    <t>A61K 9/0019 20130101;  A61K 9/1271 20130101;  A61K 39/145 20130101;  A61K 2039/55555 20130101;  C12N 2760/16134 20130101;  A61K 2039/542 20130101;  A61K 2039/55505 20130101;  A61K 2039/55561 20130101;  A61K 2039/70 20130101;  A61K 39/12 20130101</t>
  </si>
  <si>
    <t>US20110093249</t>
  </si>
  <si>
    <t>12/906975</t>
  </si>
  <si>
    <t>Holmes; Elizabeth A.; (Palo Alto, CA); Gibbons; Ian; (Portola Valley, CA); Young; Daniel L.; (San Francisco, CA); Michelson; Seth G.; (San Jose, CA)</t>
  </si>
  <si>
    <t>US20110092961</t>
  </si>
  <si>
    <t>Artificial cells</t>
  </si>
  <si>
    <t>12/806008</t>
  </si>
  <si>
    <t>Hyde; Roderick A.; (Redmond, WA); Ishikawa; Muriel Y.; (Livermore, CA); Kindsvogel; Wayne R.; (Seattle, WA); McKnight; Gary L.; (Bothell, WA); Sweeney; Elizabeth A.; (Seattle, WA); Wood, JR.; Lowell L.; (Bellevue, WA)</t>
  </si>
  <si>
    <t>A61K 35/18 20130101;  A61K 39/00 20130101;  A61K 47/48776 20130101;  A61K 49/0002 20130101;  A61K 2039/515 20130101;  A61K 2039/5154 20130101;  A61K 2039/5156 20130101;  A61K 2039/55516 20130101;  A61K 2039/55555 20130101;  A61K 2039/605 20130101;  C12N 5/0006 20130101;  C12N 5/0641 20130101;  A61K 41/0071 20130101</t>
  </si>
  <si>
    <t>The present disclosure relates to various embodiments associated with artificial cells, particularly artificial antigen presenting cells, methods of making the same, methods of administering the same, computer systems relating thereto, computer-implemented methods relating thereto, and associated computer program products.</t>
  </si>
  <si>
    <t>US20110086351</t>
  </si>
  <si>
    <t>12/856434</t>
  </si>
  <si>
    <t>US20110086350</t>
  </si>
  <si>
    <t>12/856422</t>
  </si>
  <si>
    <t>US20110086339</t>
  </si>
  <si>
    <t>12/856398</t>
  </si>
  <si>
    <t>US20110082112</t>
  </si>
  <si>
    <t>ANTIVIRAL PHOSPHINATE COMPOUNDS</t>
  </si>
  <si>
    <t>12/913704</t>
  </si>
  <si>
    <t>Casarez; Anthony; (Princeton, NJ); Chaudhary; Kleem; (Concord, MA); Cho; Aesop; (Mountain View, CA); Clarke; Michael; (Redwood City, CA); Doerffler; Edward; (Union City, CA); Fardis; Maria; (San Carlos, CA); Kim; Choung U.; (San Carlos, CA); Pyun; Hyungjung; (Fremont, CA); Sheng; Xiaoning C.; (Foster City, CA); Wang; Jianying; (Palo Alto, CA)</t>
  </si>
  <si>
    <t>A61P 1/16 20180101;  C07F 9/65583 20130101;  A61P 43/00 20180101;  A61P 31/12 20180101;  A61P 31/14 20180101</t>
  </si>
  <si>
    <t>The invention is related to a method of treating disorders associated     with hepatitis C by administering to an individual a pharmaceutical     composition which comprises a therapeutically effective amount of an     anti-viral phosphinate compound.</t>
  </si>
  <si>
    <t>US20110081314</t>
  </si>
  <si>
    <t>12/913692</t>
  </si>
  <si>
    <t>A61P 1/16 20180101;  C07F 9/65583 20130101;  A61P 31/14 20180101;  A61P 43/00 20180101;  A61P 31/12 20180101</t>
  </si>
  <si>
    <t>The invention is related to anti-viral phosphinate compounds,     compositions containing such compounds, and therapeutic methods that     include the administration of such compounds, as well as to processes and     intermediates useful for preparing such compounds.</t>
  </si>
  <si>
    <t>US20110078168</t>
  </si>
  <si>
    <t>Compiling Co-associating Bioattributes Using Expanded Bioattribute Profiles</t>
  </si>
  <si>
    <t>12/962188</t>
  </si>
  <si>
    <t>A bioinformatics method, software, database and system for compiling attribute combinations that co-associate with a query attribute (i.e., an attribute of interest) are presented in which expanded attribute profiles associated with a group of query-attribute-positive individuals and expanded attribute profiles associated with a group of query-attribute-negative individuals are accessed, and combinations of attributes having a higher frequency of occurrence in the set of expanded attribute profiles associated with the group of query-attribute-positive individuals are identified and stored to generate a compilation of attribute combinations that co-associate with the query attribute.</t>
  </si>
  <si>
    <t>US20110076276</t>
  </si>
  <si>
    <t>Novel HIV reverse transcriptase inhibitors</t>
  </si>
  <si>
    <t>12/215450</t>
  </si>
  <si>
    <t>Guo; Hongyan; (San Mateo, CA); Kim; Choung U.; (San Carlos, CA); Lee; Ill Y.; (Daejeon City, KR); Mitchell; Michael L.; (Hayward, CA); Rhodes; Gerry; (Los Altos, CA); Son; Jong C.; (Daejeon City, KR); Xu; Lianhong; (Palo Alto, CA)</t>
  </si>
  <si>
    <t>A61K 31/7048 20130101;  A61K 39/39558 20130101;  C07D 403/04 20130101;  C07D 239/553 20130101;  A61P 43/00 20180101;  C07D 239/54 20130101;  A61K 31/66 20130101;  A61K 31/708 20130101;  A61K 31/7072 20130101;  A61K 45/06 20130101;  C07D 401/04 20130101;  A61K 31/536 20130101;  A61K 31/513 20130101;  A61K 31/496 20130101;  C07D 239/60 20130101;  A61P 31/18 20180101;  C07D 239/545 20130101;  A61K 31/551 20130101;  A61P 31/14 20180101</t>
  </si>
  <si>
    <t>The invention is related to compounds of Formula (I):  ##STR00001## or a pharmaceutically acceptable salt, solvate, ester, and/or phosphonate     thereof, compositions containing such compounds, and therapeutic methods     that include the administration of such compounds.</t>
  </si>
  <si>
    <t>US20110070587</t>
  </si>
  <si>
    <t>12/868704</t>
  </si>
  <si>
    <t>FUERNKRANZ; Hans; (Saratoga, CA); Patel; Chirag J.; (Foster City, CA); Greenstein; Michael; (Los Altos, CA)</t>
  </si>
  <si>
    <t>US20110070194</t>
  </si>
  <si>
    <t>12/885917</t>
  </si>
  <si>
    <t>Cho; Aesop; (Mountain View, CA); Kim; Choung U.; (San Carlos, CA); Metobo; Samuel E.; (Newark, CA); Ray; Adrian S.; (Redwood City, CA); Xu; Jie; (Foster City, CA)</t>
  </si>
  <si>
    <t>C07D 487/04 20130101;  A61P 31/14 20180101;  C07H 13/08 20130101;  C07H 7/06 20130101</t>
  </si>
  <si>
    <t>Provided are pyrrolo[1,2-f][1,2,4]triazinyl,     imidazo[1,5-f][1,2,4]triazinyl, imidazo[1,2-f][1,2,4]triazinyl, and     [1,2,4]triazolo[4,3-f][1,2,4]triazinyl nucleosides, nucleoside phosphates     and prodrugs thereof, wherein the 2' position of the nucleoside sugar is     substituted with halogen and carbon substitutents. The compounds,     compositions, and methods provided are useful for the treatment of     Flaviviridae virus infections, particularly hepatitis C infections caused     by both wild type and mutant strains of HCV.</t>
  </si>
  <si>
    <t>US20110070154</t>
  </si>
  <si>
    <t>12/806007</t>
  </si>
  <si>
    <t>US20110070153</t>
  </si>
  <si>
    <t>12/805000</t>
  </si>
  <si>
    <t>DEEP SCIENCE, LLC</t>
  </si>
  <si>
    <t>DEEP SCIENCE</t>
  </si>
  <si>
    <t>US20110068930</t>
  </si>
  <si>
    <t>12/901891</t>
  </si>
  <si>
    <t>A method is provided for monitoring hygiene compliance.</t>
  </si>
  <si>
    <t>US20110066002</t>
  </si>
  <si>
    <t>PANDEMIC DIAGNOSTIC AND INTERVENTION TOOL FOR EMERGENCY DISPATCH</t>
  </si>
  <si>
    <t>12/558808</t>
  </si>
  <si>
    <t>H04M 11/04 20130101;  G06Q 50/22 20130101;  G16H 50/80 20180101</t>
  </si>
  <si>
    <t>A system and method to assist an emergency medical dispatcher in     responding to emergency calls. A computer implemented emergency medical     dispatch protocol includes interrogatories for a dispatcher to ask a     caller to generate an appropriate response. A diagnostic tool is provided     to aid the dispatcher in gathering symptom information for a patient who     may be suffering from a pandemic illness, such as a severe respiratory     infection like influenza. The diagnostic tool facilitates uniform and     consistent gathering of symptom information relating to a pandemic     outbreak. The information may be stored and/or processed for use in     monitoring and/or tracking pandemic outbreaks. The diagnostic tool can be     launched automatically by the emergency dispatch protocol, or manually by     a dispatcher. The diagnostic tool presents a user interface that     provides, among other things, instructions, symptoms, and input fields.</t>
  </si>
  <si>
    <t>US20110065631</t>
  </si>
  <si>
    <t>12/293450</t>
  </si>
  <si>
    <t>Crawford; Kenneth R.; (westwood, MA); Dowdy; Eric D.; (Foster City, CA); Gutierrez; Arnold; (San Jose, CA); Polniaszek; Richard; (Redwood City, CA); Yu; Richard H.; (San Francisco, CA)</t>
  </si>
  <si>
    <t>C07C 51/412 20130101;  C07C 303/40 20130101;  C07C 253/30 20130101;  A61K 31/665 20130101;  A61P 31/12 20180101;  C07F 9/6561 20130101;  C07F 9/4075 20130101;  C07C 303/38 20130101;  C07C 253/30 20130101;  C07C 311/29 20130101;  A61P 31/18 20180101;  C07C 303/40 20130101;  C07C 303/38 20130101;  A61P 43/00 20180101;  C07F 9/4006 20130101;  C07D 493/04 20130101;  C07F 9/4084 20130101;  C07C 311/29 20130101;  C07C 311/29 20130101;  C07C 255/60 20130101</t>
  </si>
  <si>
    <t>A process for the synthesis of bisfuran intermediates of formula (0)     useful for preparing antiviral HIV protease inhibitor compounds is hereby     disclosed. Furthermore disclosed is a HIV protease inhibitor of formula     (IV) as well as various intermediates thereof.  ##STR00001##</t>
  </si>
  <si>
    <t>US20110065198</t>
  </si>
  <si>
    <t>NOVEL TARGETS AND COMPOUNDS FOR THERAPEUTIC INTERVENTION OF HIV INFECTION</t>
  </si>
  <si>
    <t>12/673292</t>
  </si>
  <si>
    <t>NEXIGEN GMBH</t>
  </si>
  <si>
    <t>NEXIGEN</t>
  </si>
  <si>
    <t>Friebe; Annette; (Burscheid, DE); Hennemann; Hanjo; (Neuss, DE); Carl; Claudia; (Bonn, DE); Schurmann; Nina; (Unkel, DE); Wirths; Sabine; (Ruppichteroth-Winterscheid, DE)</t>
  </si>
  <si>
    <t>A61P 31/18 20180101;  A61K 38/00 20130101;  C12N 2740/16311 20130101;  C07K 14/4702 20130101;  C07K 14/47 20130101</t>
  </si>
  <si>
    <t>Novel drug targets and antiviral agents are provided for the therapeutic     intervention of lentiviral diseases, in particular AIDS.</t>
  </si>
  <si>
    <t>US20110065091</t>
  </si>
  <si>
    <t>Coronavirus, Nucleic Acid, Protein, and Methods for the Generation of     Vaccine, Medicaments and Diagnostics</t>
  </si>
  <si>
    <t>12/843359</t>
  </si>
  <si>
    <t>AMSTERDAM INSTITUTE OF VIRAL GENOMICS B.V.</t>
  </si>
  <si>
    <t>AMSTERDAM INSTITUTE VIRAL GENOMICS</t>
  </si>
  <si>
    <t>Van Der Hoek; Cornelia Maria; (Diemen, NL)</t>
  </si>
  <si>
    <t>G01N 2333/165 20130101;  A61K 38/00 20130101;  C12Q 1/702 20130101;  C07K 16/10 20130101;  A61K 39/00 20130101;  C12N 2770/20021 20130101;  A61K 39/12 20130101;  A61K 2039/525 20130101;  A61K 39/215 20130101;  C07K 14/005 20130101;  G01N 33/56983 20130101;  A61P 31/14 20180101;  A61P 31/00 20180101;  C12Q 1/702 20130101;  C12Q 1/701 20130101;  C12Q 2531/113 20130101;  C12N 7/00 20130101;  C12N 2770/20022 20130101;  C12N 2770/20011 20130101;  C12Q 1/70 20130101;  C12N 2770/20034 20130101</t>
  </si>
  <si>
    <t>US20110059472</t>
  </si>
  <si>
    <t>REAGENTS AND METHODS FOR DETECTING INFLUENZA VIRUS PROTEINS</t>
  </si>
  <si>
    <t>12/920838</t>
  </si>
  <si>
    <t>Canada Minister Of National Defence</t>
  </si>
  <si>
    <t>CANADA MINISTER NATIONAL DEFENCE</t>
  </si>
  <si>
    <t>Li; Xuguang (Sean); (Ottawa, CA); He; Runtao; (Winnipeg, CA); Van Domselaar; Gary; (Winnipeg, CA)</t>
  </si>
  <si>
    <t>C07K 14/005 20130101;  C07K 16/1018 20130101;  C12N 2760/16122 20130101;  G01N 2333/11 20130101</t>
  </si>
  <si>
    <t>Antibodies that specifically bind to a peptide having an amino acid     sequence as found at the N-terminus of the HA2 fusion peptide of the     influenza A virus may be raised by inoculating a mammal with a conjugate     of the peptide. In one embodiment, the conjugate comprises the peptide     linked to a spacer (e.g. 6-aminocaproic acid) and a carrier protein (e.g.     KLH). The antibodies may be used as a universal reagent for detecting HA     proteins of influenza viruses. The antibodies are useful as versatile     reagents for laboratory research and vaccine potency determination,     especially in the event of pandemic influenza outbreaks.</t>
  </si>
  <si>
    <t>US20110059051</t>
  </si>
  <si>
    <t>Molecular Control of Brown Fat Differentiation and Engergy Expenditure</t>
  </si>
  <si>
    <t>12/446110</t>
  </si>
  <si>
    <t>Spiegelman; Bruce M.; (Waban, MA); Seale; Patrick; (Jamaica Plain, MA)</t>
  </si>
  <si>
    <t>C07K 14/4702 20130101;  C12N 5/0653 20130101;  C12N 2501/60 20130101;  C12N 2506/1307 20130101;  A61K 48/00 20130101;  C12N 15/63 20130101;  C07H 21/04 20130101</t>
  </si>
  <si>
    <t>The invention provides methods and compositions for inducing brown fat cell differentiation through modulation of Prdm 16 activity or expression. Also provided are methods for preventing or treating obesity or an obesity related disorder in a subject through stimulation of Prdm 16 expression or activity. Further provided are methods for identifying compounds that are capable of modulating Prdm 16 expression or activity.</t>
  </si>
  <si>
    <t>US20110054938</t>
  </si>
  <si>
    <t>Devices and methods for detecting an analyte in salivary fluid</t>
  </si>
  <si>
    <t>12/584055</t>
  </si>
  <si>
    <t>Hood; Leroy E.; (Seattle, WA); Jung; Edward K.Y.; (Bellevue, WA); Sweeney; Elizabeth A.; (Seattle, WA); Tegreene; Clarence T.; (Bellevue, WA); Wood, JR.; Lowell L.; (Bellevue, WA)</t>
  </si>
  <si>
    <t>G01N 33/14 20130101;  A61B 5/00 20130101;  A61B 5/0002 20130101;  A61B 5/411 20130101;  Y02A 90/22 20180101;  Y10T 436/163333 20150115;  G06F 19/00 20130101;  Y02A 90/26 20180101;  G06Q 50/24 20130101</t>
  </si>
  <si>
    <t>Methods and systems are described herein for detecting one or more analyte in salivary fluid. Systems include: a discrete oral component configured for complete enclosure in a human oral cavity; at least one sensor configured to detect one or more analyte in salivary fluid; and an external device including a port configured for communication with the discrete oral component. Methods include: detecting one or more analyte within salivary fluid with at least one sensor integral to a discrete oral component, wherein the discrete oral component is configured to be completely enclosed in the oral cavity and includes one or more flavorant; and communicating information from the discrete oral component to at least one external device.</t>
  </si>
  <si>
    <t>US20110054028</t>
  </si>
  <si>
    <t>SUPPLEMENT FOR REDUCING HIV TRANSMISSION AND METHOD THEREOF</t>
  </si>
  <si>
    <t>12/729217</t>
  </si>
  <si>
    <t>MACKAY MEMORIAL HOSPITAL</t>
  </si>
  <si>
    <t>Hsu; Kate; (Taipei City, TW)</t>
  </si>
  <si>
    <t>A61K 31/202 20130101;  A61K 31/202 20130101;  A61K 2300/00 20130101</t>
  </si>
  <si>
    <t>There is an urgent need for a method to reduce the risk of     mother-to-child transmission (MTCT) of HIV during breastfeeding in HIV     pandemic regions. The present invention provides a supplement for     reducing the chance of transmitting HIV during MTCT and method thereof.     The supplement comprising arachidonic acid (AA) alone, or a mixture of AA     and DHA at safe intake doses. The supplement is provided to either the     breastfeeding mothers or the babies to maintain cell membrane potential     polarization through activation of the background potassium channels,     thereby reducing the risk of HIV transmission.</t>
  </si>
  <si>
    <t>US20110053151</t>
  </si>
  <si>
    <t>MICROFLUIDIC DEVICE AND METHOD OF USING SAME</t>
  </si>
  <si>
    <t>12/741880</t>
  </si>
  <si>
    <t>HANSEN; Carl Lars Genghis; (Vancouver, CA); Tropini; Carolina; (Vancouver, CA)</t>
  </si>
  <si>
    <t>B01L 3/50851 20130101;  B01J 2219/00722 20130101;  B01L 2300/0829 20130101;  B01L 2400/0487 20130101;  B01J 2219/00398 20130101;  G06F 3/017 20130101;  B01J 2219/00317 20130101;  B01J 2219/00608 20130101;  B01L 3/502723 20130101;  B01L 2200/0689 20130101;  B01L 3/5027 20130101;  B01L 2300/123 20130101;  B01L 2200/0621 20130101;  B01J 2219/00495 20130101;  B01L 3/5025 20130101;  G06F 3/04815 20130101;  B01L 3/50273 20130101;  B01L 2300/1805 20130101;  B01L 2300/0864 20130101;  B01L 2200/0605 20130101;  B01J 2219/00396 20130101;  B01J 2219/00529 20130101;  B01L 2300/0819 20130101;  B01L 2200/16 20130101;  G06F 3/04842 20130101;  B01J 2219/00659 20130101;  B01L 7/52 20130101;  B01L 2200/0642 20130101;  B01J 2219/00596 20130101</t>
  </si>
  <si>
    <t>A microfluidic device comprising a plurality of reaction chambers in     fluid communication with a flow channel formed in an elastomeric     substrate, a vapor barrier for preventing evaporation from the plurality     of reaction chambers, and a continuous phase fluid for isolation of each     of the plurality of reaction chambers.</t>
  </si>
  <si>
    <t>US20110052618</t>
  </si>
  <si>
    <t>12/769304</t>
  </si>
  <si>
    <t>YANG; Chin-Fen; (San Jose, CA); KEMBLE; George; (Saratoga, CA); SUBBARAO; Kanta; (Washington, DC); MURPHY; Brian; (Bethesda, MD)</t>
  </si>
  <si>
    <t>US20110038935</t>
  </si>
  <si>
    <t>12/746622</t>
  </si>
  <si>
    <t>A61P 31/16 20180101;  C07K 2317/21 20130101;  C07K 2317/622 20130101;  C07K 2317/565 20130101;  C07K 2317/76 20130101;  C07K 14/005 20130101;  A61K 2039/505 20130101;  C07K 2319/40 20130101;  C12N 2760/16122 20130101;  C07K 2319/00 20130101;  C07K 2317/52 20130101;  C07K 2317/92 20130101;  C07K 16/1018 20130101</t>
  </si>
  <si>
    <t>US20110038900</t>
  </si>
  <si>
    <t>NANOPARTICLES FOR USE IN PHARMACEUTICAL COMPOSITIONS</t>
  </si>
  <si>
    <t>12/990110</t>
  </si>
  <si>
    <t>Chakrapani; Aravind; (Bangalore, IN); Singh; Manmohan; (Lexington, MA); O'Hagan; Derek; (Winchester, MA)</t>
  </si>
  <si>
    <t>A61K 39/095 20130101;  A61K 2039/55555 20130101;  A61K 2039/62 20130101;  C08J 3/14 20130101;  C08J 2300/16 20130101;  C08J 2367/04 20130101</t>
  </si>
  <si>
    <t>In various aspects of the present invention, nanoparticle compositions are provided which comprise (a) nanoparticles comprising at least one biodegradable polymer and (b) at least one pharmaceutical associated with the nanoparticles. In other aspects of the present invention, methods of forming nanoparticles compositions are provided, which comprise contacting a first liquid that comprises one or more biodegradable polymers dissolved in a first solvent with a second liquid that comprises a second solvent which is miscible with the first solvent while being a non-solvent for the one or more biodegradable polymers, such that nanoparticles are formed.</t>
  </si>
  <si>
    <t>US20110027775</t>
  </si>
  <si>
    <t>DETECTION OF INFLUENZA VIRUS</t>
  </si>
  <si>
    <t>12/840468</t>
  </si>
  <si>
    <t>ARBOR VITA CORPORATION</t>
  </si>
  <si>
    <t>ARBOR VITA</t>
  </si>
  <si>
    <t>Lu; Peter S.; (Palo Alto, CA); Belmares; Michael P.; (San Jose, CA)</t>
  </si>
  <si>
    <t>C12Q 1/701 20130101;  G01N 33/56983 20130101;  G01N 2333/11 20130101;  G01N 2469/10 20130101</t>
  </si>
  <si>
    <t>A change in strain of flu and consequently pandemic potential can be     determined by assessing the presence or absence of a PL motif. The 2009     swine flu illustrates the utility of such a test. The swine flu is a     subtype H1N1 influenza A. Swine flu differs from the vast majority of     influenza H1N1 subtype strains from 1981-2008 or H3N2 strains from 1985     to the present in that its NS1 protein lacks a PL motif. PDZ polypeptides     can be used to identify such strains and distinguish them from strains in     which PL motifs are present.</t>
  </si>
  <si>
    <t>US20110020785</t>
  </si>
  <si>
    <t>Diagnostic Information Generation and Use</t>
  </si>
  <si>
    <t>12/670615</t>
  </si>
  <si>
    <t>T2 BIOSYSTEMS, INC.</t>
  </si>
  <si>
    <t>BIOSYSTEMS</t>
  </si>
  <si>
    <t>Lowery, JR.; Thomas J.; (Belmont, MA); Elstrom; Tuan A.; (Lake Bluff, IL); Levinson; Douglas A.; (Sherborn, MA); Koziarz; James J.; (Highland Park, IL)</t>
  </si>
  <si>
    <t>G06F 19/3418 20130101;  G06Q 50/22 20130101;  G16H 50/20 20180101;  Y02A 90/24 20180101;  Y02A 90/26 20180101;  Y02A 90/22 20180101;  G16H 50/80 20180101</t>
  </si>
  <si>
    <t>This invention relates generally to a process for producing machine     readable contextual diagnostic information and use of contextual     diagnostic information for generating tangible and useful results. The     process provides the highest level of integration of diagnostic     information collected in a distributed or centralized system comprising     diagnostic devices and a global computer network. More particularly, in     certain embodiments, contextual diagnostic information are used in     specific diagnostic related applications and business models including     ecommerce.</t>
  </si>
  <si>
    <t>US20110020278</t>
  </si>
  <si>
    <t>12/838684</t>
  </si>
  <si>
    <t>Canales; Eda; (San Mateo, CA); Chong; Lee S.; (Newark, CA); Clarke; Michael O'Neil Hanrahan; (Redwood City, CA); Doerffler; Edward; (Union City, CA); Lazerwith; Scott E.; (San Francisco, CA); Lew; Willard; (San Mateo, CA); Liu; Qi; (Foster City, CA); Mertzman; Michael; (Belmont, CA); Morganelli; Philip A.; (Oakland, CA); Watkins; William J.; (Saratoga, CA); Ye; Hong; (Richmond, CA)</t>
  </si>
  <si>
    <t>A61P 31/12 20180101;  C07D 409/14 20130101;  A61K 31/501 20130101;  A61P 43/00 20180101;  A61K 31/4436 20130101;  A61K 31/497 20130101;  C07D 409/12 20130101;  A61K 45/06 20130101;  A61K 31/513 20130101;  A61P 1/16 20180101;  A61P 31/14 20180101;  A61K 31/427 20130101;  C07D 493/04 20130101;  C07D 417/12 20130101;  C07D 333/68 20130101;  A61K 31/4709 20130101;  C07D 413/12 20130101;  C07D 487/04 20130101</t>
  </si>
  <si>
    <t>US20100328062</t>
  </si>
  <si>
    <t>Repeater Providing Data Exchange with a Medical Device for Remote Patient     Care and Method Thereof</t>
  </si>
  <si>
    <t>12/874899</t>
  </si>
  <si>
    <t>US20100324936</t>
  </si>
  <si>
    <t>12/765681</t>
  </si>
  <si>
    <t>G06F 19/328 20130101;  G06F 19/3462 20130101;  G06Q 10/06 20130101;  G06Q 50/22 20130101;  Y02A 90/22 20180101;  G16H 10/60 20180101;  G16H 50/70 20180101;  G16H 50/20 20180101;  Y02A 90/26 20180101;  G06Q 50/24 20130101</t>
  </si>
  <si>
    <t>US20100316196</t>
  </si>
  <si>
    <t>METHOD AND SYSTEM FOR WARNING A PARTY PROVIDED WITH A TERMINAL</t>
  </si>
  <si>
    <t>12/735327</t>
  </si>
  <si>
    <t>MEDIXINE OY</t>
  </si>
  <si>
    <t>MEDIXINE</t>
  </si>
  <si>
    <t>Jokinen; Tapio; (Espoo, FI)</t>
  </si>
  <si>
    <t>G08B 27/006 20130101;  G16H 50/80 20180101;  G08G 1/20 20130101</t>
  </si>
  <si>
    <t>A system for warning a party provided with a terminal comprises databases     of profile information of the party, environment information of a     geographical location, and location information of the terminal. The     system is adapted to, based on location information of the terminal, to     check whether the terminal locates within the geographical location, and     if yes, to analyse profile information of the party so that if profile     information comprises a parameter which matches with a corresponding     parameter of environment information of a geographical location, a     warning message is sent to the terminal in order to warn the party.</t>
  </si>
  <si>
    <t>US20100306992</t>
  </si>
  <si>
    <t>Ventilator for Rapid Response to Respiratory Disease Conditions</t>
  </si>
  <si>
    <t>12/703140</t>
  </si>
  <si>
    <t>SPACELABS HEALTHCARE LLC</t>
  </si>
  <si>
    <t>SPACELABS HEALTHCARE</t>
  </si>
  <si>
    <t>Cooke; Richard Henry; (Essex, GB); Ong; Nicolas; (Bellevue, WA); Hays; Roy; (Seattle, WA); Hinton; David Kevin; (Renton, WA); Hergert; Theodore Scott; (Redmond, WA); Gilham; Jeffrey Jay; (Sammamish, WA)</t>
  </si>
  <si>
    <t>A61M 2205/581 20130101;  Y10T 29/49002 20150115;  A61M 2205/8206 20130101;  A61M 2209/06 20130101;  A61M 16/0434 20130101;  A61M 16/20 20130101;  A61M 2016/0015 20130101;  A61M 2016/0021 20130101;  A61M 2016/0027 20130101;  A61M 2202/0208 20130101;  A61M 2205/18 20130101;  A61M 16/0409 20140204;  A61M 16/127 20140204;  A61M 16/204 20140204;  A61M 16/205 20140204;  A61M 16/207 20140204;  Y10T 29/5313 20150115;  A61M 16/209 20140204;  A61M 2205/587 20130101</t>
  </si>
  <si>
    <t>The present specification discloses a ventilator system that can be     manufactured quickly with minimal skill requirements and rapidly deployed     in response to epidemic respiratory disease conditions. In one     embodiment, the ventilator, having a minimal number of controls, is used     to give ventilation or mechanical breathing to a patient suffering ARDS.     The mechanical ventilation is based on pressure control and has variable     pressure, breathing rate, and oxygenation. Preferably, the ventilator is     rapidly deployable, easy and intuitive to operate, and capable of     sustaining at least 75% of epidemic respiratory distress victims who     require assisted ventilation until resuming normal breathing.</t>
  </si>
  <si>
    <t>US20100305117</t>
  </si>
  <si>
    <t>12/374457</t>
  </si>
  <si>
    <t>Herdewijn; Piet Andre Maurits Maria; (Rotselaar/Wezemaal, BE); De Jonghe; Steven Cesar Alfons; (Brussel, BE); Watkins; William John; (Saratoga, CA); Chong; Lee Shun; (Newark, CA)</t>
  </si>
  <si>
    <t>C07D 475/08 20130101;  C07D 475/04 20130101;  C07D 475/00 20130101;  A61P 31/14 20180101;  C07D 475/06 20130101;  C07D 475/02 20130101</t>
  </si>
  <si>
    <t>US20100297033</t>
  </si>
  <si>
    <t>Megaribavirin alone or combination of other antiviral, antioxidant and a     perflubron emulsion for treatment of viral disease</t>
  </si>
  <si>
    <t>12/454663</t>
  </si>
  <si>
    <t>McLeay; Matthew T.; (Omaha, NE)</t>
  </si>
  <si>
    <t>A61K 9/008 20130101;  A61K 31/198 20130101;  A61K 31/215 20130101;  A61K 31/351 20130101;  A61K 31/7056 20130101;  A61K 45/06 20130101;  A61K 31/198 20130101;  A61K 2300/00 20130101;  A61K 31/215 20130101;  A61K 2300/00 20130101;  A61K 31/351 20130101;  A61K 2300/00 20130101;  A61K 31/7056 20130101;  A61K 2300/00 20130101;  A61K 38/446 20130101;  C12Y 115/01001 20130101;  A61K 38/446 20130101;  A61K 2300/00 20130101</t>
  </si>
  <si>
    <t>The present invention is a novel method using a MegaRibavirin aerosol or     a MegaRibavirin combination of therapeutics for the treatment of viral     disease particularly the pandemic influenza strains "swine" 2009 H1N1 and     H5N1. This invention utilizes Ribavirin in an aerosol Mega Dose (61-161     mg/ml) alone or combined with or without other antivirals, a     perfluorocarbon emulsion and anti-inflammatory/anti-oxidants. Where     applicable, the perfluorocarbon emulsion may dissolve these agents     enabling a depot effect and possible protracted delivery. In addition     perfluorocarbon emulsions have the possible added benefit of oxygen     carrying capacity and alveolar nitric oxide sequestration, which may     reduce peroxynitrite formation and decrease Influenza severity.</t>
  </si>
  <si>
    <t>US20100292132</t>
  </si>
  <si>
    <t>USE OF INSULIN C-PEPTIDE, ALONE OR IN COMBINATION WITH GLP-1, AS A THERAPEUTIC AGENT</t>
  </si>
  <si>
    <t>12/676899</t>
  </si>
  <si>
    <t>MONDOBIOTECH LABORATORIES AG</t>
  </si>
  <si>
    <t>MONDOBIOTECH LABORATORIES</t>
  </si>
  <si>
    <t>Bevec; Dorian; (Germering, DE); Cavalli; Fabio; (Beckenried, CH); Cavalli; Vera; (Muzzano, CH); Bacher; Gerald; (Germering, DE)</t>
  </si>
  <si>
    <t>A61K 38/22 20130101;  Y02A 50/411 20180101;  A23V 2002/00 20130101;  Y02A 50/409 20180101;  Y02A 50/415 20180101;  Y02A 50/423 20180101;  Y02A 50/402 20180101;  Y02A 50/385 20180101;  Y02A 50/414 20180101;  A23L 33/40 20160801;  A23L 33/18 20160801;  A23V 2002/00 20130101;  A23V 2200/308 20130101;  A23V 2200/318 20130101;  A23V 2200/322 20130101;  A23V 2200/324 20130101;  A23V 2200/326 20130101;  A23V 2250/55 20130101</t>
  </si>
  <si>
    <t>The present invention is directed to the use of the peptide compound Glu-Ala-Glu-Asp-Leu-Gln-Val-Gly-Gln-Val-Glu-Leu-Gly-Gly-Gly-Pro-Gly-Ala-G- ly-Ser-Leu-Gln-Pro-Leu-Ala-Leu-Glu-Gly-Ser-Leu-Gln-OH as a therapeutic agent for the prophylaxis and/or treatment of cancer, autoimmune diseases, fibrotic diseases, inflammatory diseases, neurodegenerative diseases, infectious diseases, lung diseases, heart and vascular diseases and metabolic diseases. Moreover the present invention relates to pharmaceutical compositions preferably in form of a lyophilisate or liquide buffer solution or artificial mother milk formulation or mother milk substitute containing the peptide Glu-Ala-Glu-Asp-Leu-Gln-Val-Gly-Gln-Val-Glu-Leu-Gly-Gly-Gly-Pro-Gly-Ala-G- ly-Ser-Leu-Gln-Pro-Leu-Ala-Leu-Glu-Gly-Ser-Leu-GIn-OH optionally together with at least one pharmaceutically acceptable carrier, cryoprotectant, lyoprotectant, excipient and/or diluent.</t>
  </si>
  <si>
    <t>US20100291606</t>
  </si>
  <si>
    <t>SCREENING SYSTEM FOR DETECTING INHIBITORS OF HIV INTEGRASE-LEDGF/p-75     INTERACTION</t>
  </si>
  <si>
    <t>12/779154</t>
  </si>
  <si>
    <t>Llano; Manuel; (El Paso, TX); Morales; Elisa; (El Paso, TX)</t>
  </si>
  <si>
    <t>C12Q 1/702 20130101;  G01N 33/5067 20130101;  C12Q 1/25 20130101;  G01N 33/582 20130101;  G01N 33/5008 20130101</t>
  </si>
  <si>
    <t>The development and validation of a cell-based, homogeneous high     throughput screening (HTS) assay for small compounds inhibiting the HIV     integrase-LEDGF/p75 interaction is described herein. The HTS strategy has     the potential to identify small-molecules interfering with the     interaction of HIV integrase-LEDGF/p75. These small molecules represent     starting scaffolds for therapeutic drug development.</t>
  </si>
  <si>
    <t>US20100291146</t>
  </si>
  <si>
    <t>METHOD OF ELICITING AN IMMUNE RESPONSE AGAINST PANDEMIC INFLUENZA VIRUS</t>
  </si>
  <si>
    <t>12/679654</t>
  </si>
  <si>
    <t>CSL LTD.</t>
  </si>
  <si>
    <t>CSL</t>
  </si>
  <si>
    <t>Pearse; Martin; (Victoria, AU); Rockman; Steve; (Victoria, AU); Ryan; David; (Victoria, AU)</t>
  </si>
  <si>
    <t>A61K 39/145 20130101;  A61K 2039/55572 20130101;  A61K 2039/55577 20130101;  C12N 2760/16134 20130101;  A61K 39/39 20130101;  A61K 2039/58 20130101;  A61K 2039/70 20130101;  C12N 2760/16234 20130101;  A61K 39/12 20130101</t>
  </si>
  <si>
    <t>A method for eliciting or inducing a protective immune response in a     subject against a pandemic subtype of influenza virus comprises     administering to the subject a composition comprising (i) at least one     immunogen of an endemic influenza subtype, and (ii) an immunogen-free     immunostimulating complex as adjuvant.</t>
  </si>
  <si>
    <t>US20100290993</t>
  </si>
  <si>
    <t>Antibodies to IL-6 and use thereof</t>
  </si>
  <si>
    <t>12/601295</t>
  </si>
  <si>
    <t>Garcia-Martinez; Leon; (Woodinville, WA); Carvalho; Anne Elisabeth; (Edmonds, WA); Olson; Katie; (Kenmore, WA); Dutzar; Ben; (Seattle, WA); Ojala; Ethan; (Snohomish, WA); Latham; John; (Seattle, WA); Kovacevich; Brian; (Snohomish, WA); Smith; Jeffrey T.L.; (Redmond, WA)</t>
  </si>
  <si>
    <t>A61P 7/00 20180101;  A61P 13/12 20180101;  A61P 37/08 20180101;  C07K 2317/76 20130101;  A61P 29/00 20180101;  A61P 43/00 20180101;  A61P 21/00 20180101;  A61P 25/28 20180101;  A61P 35/04 20180101;  A61P 15/00 20180101;  A61P 11/16 20180101;  C07K 16/248 20130101;  A61P 11/06 20180101;  A61P 3/02 20180101;  A61P 1/14 20180101;  A61P 9/04 20180101;  A61P 19/10 20180101;  A61P 31/04 20180101;  C07K 2317/24 20130101;  A61P 17/00 20180101;  A61P 39/02 20180101;  A61P 35/00 20180101;  A61P 3/10 20180101;  C07K 2317/94 20130101;  A61P 1/04 20180101;  A61P 3/04 20180101;  A61P 19/02 20180101;  A61P 19/08 20180101;  A61P 3/00 20180101;  A61P 9/00 20180101;  A61P 25/00 20180101;  A61P 37/06 20180101;  A61P 37/00 20180101;  A61P 37/02 20180101;  A61P 15/06 20180101;  A61P 7/06 20180101;  A61P 7/02 20180101;  A61P 11/00 20180101;  A61P 25/24 20180101;  C07K 2317/20 20130101;  A61K 45/06 20130101;  A61P 31/16 20180101;  A61P 9/14 20180101;  A61P 13/08 20180101;  A61K 39/3955 20130101;  C07K 2317/34 20130101;  A61P 31/20 20180101;  A61P 35/02 20180101;  C07K 2317/41 20130101;  A61K 2039/505 20130101;  A61P 9/10 20180101;  A61P 17/06 20180101;  A61P 9/12 20180101</t>
  </si>
  <si>
    <t>The present invention is directed to antibodies and fragments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</si>
  <si>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US20100285135</t>
  </si>
  <si>
    <t>Nanoparticles For Use In Immunogenic Compositions</t>
  </si>
  <si>
    <t>12/095655</t>
  </si>
  <si>
    <t>Wendorf; Janet R.; (Emeryville, CA); Singh; Manmohan; (San Ramon, CA); O'Hagan; Derek T.; (Siena, IT)</t>
  </si>
  <si>
    <t>A61K 9/5153 20130101;  Y02A 50/466 20180101;  A61K 2039/55555 20130101;  A61K 39/39 20130101</t>
  </si>
  <si>
    <t>Disclosed herein are sterile-filtered lyophilized nanoparticle compositions which contain at least one biodegradable polymer, at least one surfactant, at least one cryoprotective agent and at least one antigen. Also disclosed are methods of making and using such compositions and kits supplying such compositions.</t>
  </si>
  <si>
    <t>US20100280837</t>
  </si>
  <si>
    <t>System and method for tracking and controlling infections</t>
  </si>
  <si>
    <t>12/003742</t>
  </si>
  <si>
    <t>Naidich; Steven M.; (New York, NY); Kreiswirth; Barry N.; (New York, NY)</t>
  </si>
  <si>
    <t>C12Q 1/6869 20130101;  C12Q 1/689 20130101;  G06F 19/14 20130101;  G06F 19/22 20130101;  G06F 19/28 20130101;  G16H 10/40 20180101;  G06F 19/3418 20130101;  G06Q 50/22 20130101;  C12Q 2600/156 20130101;  G16H 50/80 20180101;  G06F 19/321 20130101</t>
  </si>
  <si>
    <t>The present invention is a system and method for performing real-time     infection control over a computer network. The method comprises obtaining     a sample of a microorganism at a health care facility, sequencing a first     region of a nucleic acid from the microorganism sample, comparing the     first sequenced region with historical sequence data stored in a     database, determining a measure of phylogenetic relatedness between the     microorganism sample and historical samples stored in the database, and     providing infection control information based on the phylogenetic     relatedness determination to the health care facility, thereby allowing     the health care facility to use the infection control information to     control or prevent the spread of an infection.</t>
  </si>
  <si>
    <t>US20100274573</t>
  </si>
  <si>
    <t>DATA RELEVATION AND PATTERN OR EVENT RECOGNITION</t>
  </si>
  <si>
    <t>11/683814</t>
  </si>
  <si>
    <t>Feied; Craig Frederick; (Washington, DC); Iskandar; Fidrick; (Fairfax, VA)</t>
  </si>
  <si>
    <t>G06Q 50/22 20130101;  G16H 50/70 20180101;  G06F 19/00 20130101</t>
  </si>
  <si>
    <t>An adaptable data management system that can address situations and/or scenarios `on-the-fly` is provided. The innovation discloses a system that is not bound by intended content and therefore, allows associations (e.g., patterns, trends) and functionalities (e.g., notifications) to be expressed very rapidly (e.g., in real-time) to address health-related scenarios (e.g., bioterrorism). Accordingly, the system can autonomously decide what information to aggregate, how to receive the information, where to access the information, how to analyze the information, and what to do with the information.</t>
  </si>
  <si>
    <t>US20100260797</t>
  </si>
  <si>
    <t>INFLUENZA COMPOSITION</t>
  </si>
  <si>
    <t>12/746397</t>
  </si>
  <si>
    <t>Hanon; Emmanuel Jules; (Rixensart, BE)</t>
  </si>
  <si>
    <t>A61K 39/145 20130101;  A61K 2039/545 20130101;  A61K 2039/55566 20130101;  A61K 2039/55572 20130101;  A61K 2039/5252 20130101;  C12N 7/00 20130101;  C12N 2760/16151 20130101;  A61K 39/12 20130101;  A61K 2039/55 20130101;  C12N 2760/16134 20130101</t>
  </si>
  <si>
    <t>The present invention relates to influenza vaccine formulations and     accelerating primary vaccination regimes for immunising against influenza     disease, their use in medicine, in particular their use in promoting     effective immune responses to various antigens, and to methods of     preparation. In particular, the invention relates to two-doses     accelerated pandemic or seasonal pandemic primary immunisation regimes     with influenza immunogenic compositions comprising an influenza virus or     antigenic preparation thereof in combination with an oil-in-water     emulsion adjuvant, and to accelerated immunisation regimes.</t>
  </si>
  <si>
    <t>US20100253509</t>
  </si>
  <si>
    <t>Personal environmental monitoring method and system and portable monitor     for use therein</t>
  </si>
  <si>
    <t>12/384430</t>
  </si>
  <si>
    <t>Sharp Corporation</t>
  </si>
  <si>
    <t>SHARP</t>
  </si>
  <si>
    <t>Fu; Yongji; (Aloha, OR); Ayyagari; Deepak; (Vancouver, WA); Colquitt; Nhedti; (Aloha, OR)</t>
  </si>
  <si>
    <t>A61B 2560/0242 20130101;  G08B 21/12 20130101;  G16H 50/80 20180101;  G16H 50/30 20180101;  G16H 40/63 20180101</t>
  </si>
  <si>
    <t>A personal environmental monitoring method and system and a portable     monitor for use therein permit real-time mobile monitoring of     environmental conditions in the immediate vicinity to ensure     compatibility with the particular environmental sensitivities of a person     being monitored. The portable monitor may be a fully integrated mobile     device that provides real-time mobile monitoring of immediate     environmental conditions without network connectivity.</t>
  </si>
  <si>
    <t>US20100233250</t>
  </si>
  <si>
    <t>VACCINE</t>
  </si>
  <si>
    <t>12/665090</t>
  </si>
  <si>
    <t>Baras; Benoit; (Rixensart, BE); Callendret; Benoit; (Nanterre, FR); Escriou; Nicolas; (Paris, FR); Lorin; Valerie; (Nontrouge, FR); Marianneau; Philippe; (Lyon, FR); Van Der Werf; Sylvie; (Gif sur Yvette, FR); Wettendorff; Martine Anne Cecile; (Rixensart, BE)</t>
  </si>
  <si>
    <t>A61P 31/14 20180101;  A61K 2039/55572 20130101;  C07K 16/10 20130101;  A61K 39/215 20130101;  A61K 2039/55555 20130101;  A61K 39/39 20130101;  C07K 2317/76 20130101;  A61K 2039/55577 20130101;  A61P 31/12 20180101;  C12N 2770/20034 20130101;  A61K 39/12 20130101</t>
  </si>
  <si>
    <t>The present invention provides a vaccine or immunogenic composition     comprising: an immunogenic SARS coronavirus S (spike) polypeptide, or a     fragment or variant thereof; and an adjuvant comprising a     lipopolysaccharide, a saponin and a liposome.</t>
  </si>
  <si>
    <t>US20100226932</t>
  </si>
  <si>
    <t>Adjuvant and Vaccine Compositions</t>
  </si>
  <si>
    <t>12/280099</t>
  </si>
  <si>
    <t>Smith; Gail; (Gaithersburg, MD); Shenoy; Dinesh B.; (Karnataka, IN); Lee; Robert W.; (Boyertown, PA)</t>
  </si>
  <si>
    <t>A61K 2039/55566 20130101;  A61P 37/04 20180101;  A61K 47/02 20130101;  A61K 39/39 20130101;  A61K 2039/55505 20130101</t>
  </si>
  <si>
    <t>Abstract Compositions comprising an emulsion and aluminum salt     nano-/micro-particles surface stabilized with at least one surfactant are     useful as immunological adjuvants. The emulsion of these compositions     comprises at least one oil; at least one surfactant; a plurality of     surfactant vesicles; optionally at least one sterol; and an aqueous     phase. The present invention also provides vaccines comprising one or     more antigens combined with the emulsion and surface stabilized aluminum     salt particles of the present invention, or one or more antigens combined     with non-ionic surfactant vesicles.</t>
  </si>
  <si>
    <t>US20100217765</t>
  </si>
  <si>
    <t>Community Health System</t>
  </si>
  <si>
    <t>12/711177</t>
  </si>
  <si>
    <t>Conduent</t>
  </si>
  <si>
    <t>CONDUENT BUSINESS</t>
  </si>
  <si>
    <t>Van Brunt; Deryk; (Ross, CA); Athanasoulis; Marcos; (Brookline, MA)</t>
  </si>
  <si>
    <t>G06Q 50/22 20130101;  G16H 50/80 20180101;  G16H 15/00 20180101;  G16H 50/70 20180101</t>
  </si>
  <si>
    <t>A system of machines, databases, user interfaces, graphical displays and     data input systems produces comparisons of community health conditions,     recommendations to achieve community health improvements and other     tangible outputs. The creation, selection and evolution of promising     health practices and best health practices is facilitated and     continuously reported.</t>
  </si>
  <si>
    <t>US20100217094</t>
  </si>
  <si>
    <t>POINT-OF-CARE ENACTIVE MEDICAL SYSTEM AND METHOD</t>
  </si>
  <si>
    <t>12/710983</t>
  </si>
  <si>
    <t>Seward; James B.; (Rochester, MN)</t>
  </si>
  <si>
    <t>G06Q 50/22 20130101;  G16H 50/20 20180101;  G16H 50/70 20180101</t>
  </si>
  <si>
    <t>A diagnostic enactive medical system that guides a user during acquisition and analyses of medical data for diagnosis and risk assessment. A method of using data-centric analysis and interpretation of acquired medical data in conjunction with metadata management in the point-of-care enactive medical system transforms raw medical data to generate feature-sets of a small number of closely related features associated with a particular medical or physiological state. Medical data from the point-of-care enactive medical system converges onto one or more feature-sets, interacts with the user to provide commentary or request additional information or data concerning a patient. Using an expert knowledgebase, the point-of-care enactive medical system learns from the medical data and then provides the user of tasks suitable for dynamic construction of point-of-care enactive medical knowledge, diagnoses, and recommendations for risk and/or treatment.</t>
  </si>
  <si>
    <t>US20100216722</t>
  </si>
  <si>
    <t>USE OF THE PEPTIDE PRO-GLY-THR-CYS-GLU-ILE-CYS-ALA-TYR-ALA-ALA-CYS-THR-GLY-CYS AS A THERAPEUTIC AGENT</t>
  </si>
  <si>
    <t>12/676905</t>
  </si>
  <si>
    <t>A61K 38/08 20130101;  A61K 38/1709 20130101;  A61K 38/363 20130101;  Y02A 50/411 20180101;  Y02A 50/415 20180101;  Y02A 50/423 20180101;  Y02A 50/409 20180101;  Y02A 50/414 20180101;  Y02A 50/385 20180101;  Y02A 50/402 20180101;  A61K 38/08 20130101;  A61K 2300/00 20130101;  A61K 38/1709 20130101;  A61K 2300/00 20130101</t>
  </si>
  <si>
    <t>The present invention is directed to the use of the peptide compound Pro-Gly-Thr-Cys-Glu-Ile-Cys-Ala-Tyr-Ala-Ala-Cys-Thr-Gly-Cys-OH as a therapeutic agent for the prophylaxis and/or treatment of cancer, autoimmune diseases, fibrotic diseases, inflammatory diseases, neurodegenerative diseases, infectious diseases, lung diseases, heart and vascular diseases and metabolic diseases. Moreover the present invention relates to pharmaceutical compositions preferably in form of a lyophilisate or liquid buffer solution or artificial mother milk formulation or mother milk substitute containing the peptide Pro-Gly-Thr-Cys-Glu-Ile-Cys-Ala-Tyr-Ala-Ala-Cys-Thr-Gly-Cys-OH optionally together with at least one pharmaceutically acceptable carrier, cryoprotectant, lyoprotectant, excipient and/or diluent.</t>
  </si>
  <si>
    <t>US20100211359</t>
  </si>
  <si>
    <t>Transmit Power Scaling Method and System to Detect Occurrences Using     Geographically Distributed Sensors</t>
  </si>
  <si>
    <t>12/550168</t>
  </si>
  <si>
    <t>H04Q 9/00 20130101;  Y02D 70/00 20180101;  H04W 84/18 20130101;  H04L 67/12 20130101;  H04W 4/70 20180201;  H04W 84/005 20130101;  H04W 84/02 20130101;  H04Q 2209/20 20130101;  H04Q 2209/40 20130101;  H04W 52/0245 20130101;  H04W 4/025 20130101;  H04Q 2209/43 20130101;  H04Q 2209/25 20130101;  G16H 50/80 20180101;  H04W 52/28 20130101</t>
  </si>
  <si>
    <t>US20100204596</t>
  </si>
  <si>
    <t>METHOD AND SYSTEM FOR PROVIDING REMOTE HEALTHCARE</t>
  </si>
  <si>
    <t>12/671210</t>
  </si>
  <si>
    <t>TELEXMEDICA AB</t>
  </si>
  <si>
    <t>TELEXMEDICA</t>
  </si>
  <si>
    <t>Knutsson; Per; (Vastra Frolunda, SE)</t>
  </si>
  <si>
    <t>A61B 1/227 20130101;  G16H 50/80 20180101;  A61B 5/02055 20130101;  A61B 5/021 20130101;  A61B 5/411 20130101;  A61B 7/00 20130101;  A61B 7/003 20130101;  G06F 19/3418 20130101;  G06Q 50/22 20130101;  A61B 5/0826 20130101;  A61B 5/0022 20130101;  G16H 10/20 20180101;  G16H 40/63 20180101;  G16H 10/60 20180101;  A61B 5/0002 20130101</t>
  </si>
  <si>
    <t>A method and system are adapted to provide healthcare to a patient. A     portable registration device having a navigation function is provided.     The registration device records health information of the patient. The     health information is then automatically stored in a database that forms     a digital medical journal. A medical professional activates the medical     journal to retrieve the recorded health information. The medical     professional prepares a diagnosis and treatment based on the health     information stored in the on-line database.</t>
  </si>
  <si>
    <t>US20100203015</t>
  </si>
  <si>
    <t>CARBA-NUCLEOSIDE ANALOGS FOR ANTIVIRAL TREATMENT</t>
  </si>
  <si>
    <t>12/702957</t>
  </si>
  <si>
    <t>Butler; Thomas; (Redwood City, CA); Cho; Aesop; (Mountain View, CA); Kim; Choung U.; (San Carlos, CA); Xu; Jie; (Foster City, CA)</t>
  </si>
  <si>
    <t>C07D 495/04 20130101;  A61P 31/14 20180101;  A61P 31/12 20180101;  A61P 31/00 20180101</t>
  </si>
  <si>
    <t>Provided are thieno[3,4-d]pyrimidin-7-yl and furo[3,4-d]pyrimidin-7-yl     ribosides, riboside phosphates and prodrugs thereof as well as     intermediates and methods of preparation. The compounds, compositions,     and methods provided are useful for the treatment of Flaviviridae virus     infections.</t>
  </si>
  <si>
    <t>US20100198023</t>
  </si>
  <si>
    <t>System and methods for health monitoring of anonymous animals in livestock     groups</t>
  </si>
  <si>
    <t>12/320719</t>
  </si>
  <si>
    <t>YANAI; Ehud; (Kiryat Tivon, IL); ELAZARI-VOLCANI; Ron; (Rehovot, IL)</t>
  </si>
  <si>
    <t>Computerized system and method for livestock groups health monitoring     comprising: a storage and computing unit storing at least one database; a     plurality of data collecting units of different types, each type     comprising at least one sensor, the data collecting unit types selected     from the group consisting of acoustic sensors, vitality meters, ammonia     sensors, visual sensors and scent sensors; first communication means for     communicating operating commands from the storage and computing unit to     each of the data collecting units and for communicating data from the     data collecting units to the storage and computing unit; and second     communication means for communicating between the storage and computing     unit and a user device.</t>
  </si>
  <si>
    <t>US20100197585</t>
  </si>
  <si>
    <t>USE OF A RGD-PEPTIDE AND/OR PARATHYROID HORMONE (1-34) AS ANTI-HIV AGENT</t>
  </si>
  <si>
    <t>12/676902</t>
  </si>
  <si>
    <t>A61K 38/08 20130101;  Y02A 50/422 20180101;  A61K 38/11 20130101;  Y02A 50/411 20180101;  Y02A 50/409 20180101;  Y02A 50/415 20180101;  Y02A 50/414 20180101;  Y02A 50/471 20180101;  Y02A 50/385 20180101;  Y02A 50/402 20180101;  Y02A 50/423 20180101;  A61K 38/08 20130101;  A61K 2300/00 20130101;  A61K 38/11 20130101;  A61K 2300/00 20130101</t>
  </si>
  <si>
    <t>The present invention is directed to the use of the peptide compound Gly-Arg-Gly-Asp-Asn-Pro as a therapeutic agent for the prophylaxis and/or treatment of cancer, autoimmune diseases, fibrotic diseases, inflammatory diseases, neurodegenerative diseases, infectious diseases, lung diseases, heart and vascular diseases and metabolic diseases. Moreover the present invention relates to pharmaceutical compositions preferably in form of a lyophilisate or liquid buffer solution or artificial mother milk formulation or mother milk substitute containing the peptide Gly-Arg-Gly-Asp-Asn-Pro optionally together with at least one pharmaceutically acceptable carrier, cryoprotectant, lyoprotectant, excipient and/or diluent.</t>
  </si>
  <si>
    <t>US20100196462</t>
  </si>
  <si>
    <t>Method for Manufacturing a Pharmaceutical Form of Oseltamivir Phosphate</t>
  </si>
  <si>
    <t>12/087455</t>
  </si>
  <si>
    <t>BARDOT SEBASTIEN</t>
  </si>
  <si>
    <t>Bardot; Sebastien; (Orleans, FR)</t>
  </si>
  <si>
    <t>A61K 9/1688 20130101;  A61K 9/2095 20130101</t>
  </si>
  <si>
    <t>The invention relates to a method for manufacturing a pharmaceutical form     of oseltamivir phosphate, characterized by including the following steps:       a) compacting followed by calibration of an oseltamivir phosphate     powder, b) dry mixing with the known product excipients obtained from the     previous step, following by calibration. Application to industrial production adapted to a crisis situation such     as a pandemic.</t>
  </si>
  <si>
    <t>US20100193541</t>
  </si>
  <si>
    <t>DISPENSER OF CLEAN DRINK CUP CLOSURES AND CONDIMENTS</t>
  </si>
  <si>
    <t>12/650328</t>
  </si>
  <si>
    <t>Tester, Harvey James; Salts, Lynn Ward</t>
  </si>
  <si>
    <t>TESTER HARVEY</t>
  </si>
  <si>
    <t>Tester; Harvey James; (Elizabethton, TN); Salts; Lynn Ward; (Johnson City, TN)</t>
  </si>
  <si>
    <t>A47F 1/08 20130101</t>
  </si>
  <si>
    <t>Disclosed is a dispenser for items such as disposable cup closures that     maintains a high degree of protection from air borne disease,     contamination from adjoining surfaces or from contact with the hands of     other patrons. The wide acceptance of clean technology depends on     uncompromised convenience, productivity and cost as well as satisfying     other needs of the store or restaurant proprietors including both     dispenser appearance and low use of counter space. The present invention     therefore provides clean dispensing of items like cup closures and     packaged condiments in a device that is easy to maintain, clean and keep     filled, mounts anywhere in a small space is aesthetically pleasing and     can be customized to match any decor. Disclosed is a unique combination     of a number of small details that together can play a crucial role in     protecting the patrons from the spread of a pandemic.</t>
  </si>
  <si>
    <t>US20100184673</t>
  </si>
  <si>
    <t>USE OF PARATHYROID HORMONE ( 1-34 ) AS ANTI-HIV AGENT</t>
  </si>
  <si>
    <t>12/676903</t>
  </si>
  <si>
    <t>Bevec; Dorian; (Germeringde, DE)</t>
  </si>
  <si>
    <t>A61K 38/10 20130101;  Y02A 50/414 20180101;  Y02A 50/385 20180101;  Y02A 50/402 20180101;  Y02A 50/422 20180101;  Y02A 50/415 20180101;  Y02A 50/409 20180101;  Y02A 50/411 20180101;  Y02A 50/423 20180101</t>
  </si>
  <si>
    <t>The present invention is directed to the use of the peptide compound Ser-Val-Ser-Glu-Ile-Gln-Leu-Met-His-Asn-Leu-Gly-Lys-His-Leu-Asn-Ser-Met-G- lu-Arg-Val-Glu-Trp-Leu-Arg-Lys-Lys-Leu-Gln-Asp-Val-His-Asn-Phe as a therapeutic agent for the prophylaxis and/or treatment of cancer, autoimmune diseases, fibrotic diseases, inflammatory diseases, neurodegenerative diseases, infectious diseases, lung diseases, heart and vascular diseases and metabolic diseases. Moreover the present invention relates to pharmaceutical compositions preferably in form of a lyophilisate or liquid buffer solution or artificial mother milk formulation or mother milk substitute containing the peptide Ser-Val-Ser-Glu-Ile-Gln-Leu-Met-His-Asn-Leu-Gly-Lys-His-Leu-Asn-Ser-Met-G- lu-Arg-Val-Glu-Trp-Leu-Arg-Lys-Lys-Leu-Gln-Asp-Val-His-Asn-Phe optionally together with at least one pharmaceutically acceptable carrier, cryoprotectant, lyoprotectant, excipient and/or diluent.</t>
  </si>
  <si>
    <t>US20100173939</t>
  </si>
  <si>
    <t>12/639404</t>
  </si>
  <si>
    <t>Link; John O.; (San Francisco, CA)</t>
  </si>
  <si>
    <t>A61P 31/12 20180101;  A61P 1/16 20180101;  A61P 31/14 20180101;  C07D 417/14 20130101;  A61P 31/00 20180101;  C07D 401/12 20130101;  C07K 5/06165 20130101</t>
  </si>
  <si>
    <t>The present invention relates to macrocyclic compounds of formula (I)     that are useful as inhibitors of hepatitis C virus (HCV) NS3 protease,     their synthesis, and their use for treating or preventing HCV infection.  ##STR00001##    R.sup.1 is:  ##STR00002##</t>
  </si>
  <si>
    <t>US20100173845</t>
  </si>
  <si>
    <t>Borrelia</t>
  </si>
  <si>
    <t>USE OF FERTIRELIN AND DELTA-ENDORPHIN AS THERAPEUTIC AGENTS</t>
  </si>
  <si>
    <t>12/676900</t>
  </si>
  <si>
    <t>Bevec; Dorian; (Germering, DE)</t>
  </si>
  <si>
    <t>A61K 38/09 20130101;  Y02A 50/422 20180101;  A61K 38/33 20130101;  Y02A 50/411 20180101;  Y02A 50/409 20180101;  Y02A 50/401 20180101;  Y02A 50/469 20180101;  Y02A 50/414 20180101;  Y02A 50/465 20180101;  Y02A 50/481 20180101;  Y02A 50/471 20180101;  Y02A 50/387 20180101;  Y02A 50/385 20180101;  Y02A 50/406 20180101;  Y02A 50/402 20180101;  Y02A 50/423 20180101;  Y02A 50/415 20180101;  A61K 38/09 20130101;  A61K 2300/00 20130101;  A61K 38/33 20130101;  A61K 2300/00 20130101</t>
  </si>
  <si>
    <t>The present invention is directed to the use of the peptide compound Pyr-His-Trp-Ser-Tyr-Gly-Leu-Arg-Pro-NHEt as a therapeutic agent for the prophylaxis and/or treatment of cancer, autoimmune diseases, fibrotic diseases, inflammatory diseases, neurodegenerative diseases, infectious diseases, lung diseases, heart and vascular diseases and metabolic diseases. Moreover the present invention relates to pharmaceutical compositions preferably in form of a lyophilisate or liquid buffer solution or artificial mother milk formulation or mother milk substitute containing the peptide Pyr-His-Trp-Ser-Tyr-Gly-Leu-Arg-Pro-NHEt optionally together with at least one pharmaceutically acceptable carrier, cryoprotectant, lyoprotectant, excipient and/or diluent.</t>
  </si>
  <si>
    <t>US20100168499</t>
  </si>
  <si>
    <t>METHOD AND DEVICE FOR AIR DISINFECTION AND STERILIZATION</t>
  </si>
  <si>
    <t>12/377904</t>
  </si>
  <si>
    <t>Gutsol; Alexander F.; (San Ramon, CA); Fridman; Alexander; (Marlton, NJ); Gallagher; Michael J.; (Philadelphia, PA); Vasilets; Victor; (Moscow, RU); Blank; Kenneth; (Philadelphia, PA)</t>
  </si>
  <si>
    <t>A61L 9/22 20130101;  Y02A 50/22 20180101;  F24F 2003/1664 20130101</t>
  </si>
  <si>
    <t>A method for decontaminating bioaerosol with high concentrations of     bacterial, viral, spore and other airborne microorganisms or biologic     contaminants, in flight at high flow rates. A plasma screen created     across the flow of air contaminated with airborne biologic agents renders     contaminants non-culturable within millisecond. The technology may     cooperate with heating, ventilation, and air conditioning (HVAC) systems.     It may be particularly beneficial in preventing bioterrorism and the     spread of toxic or infectious agents, containing airborne pandemic     threats such as avian flu, sterilizing spaces such as hospitals,     pharmaceutical plants and manufacturing facilities, treating exhaust     ventilation streams, minimizing biological environmental pollutants in     industrial settings, improving general air quality, and preventing sick     building syndrome.</t>
  </si>
  <si>
    <t>US20100166782</t>
  </si>
  <si>
    <t>12/508543</t>
  </si>
  <si>
    <t>Newell; Martha Karen; (Colorado Springs, CO); Newell; Evan; (Menlo Park, CA); Keledjian; Haig; (San Marino, CA); Agadjanyan; Michael; (Huntington Beach, CA)</t>
  </si>
  <si>
    <t>US20100160421</t>
  </si>
  <si>
    <t>INFLUENZA VACCINES</t>
  </si>
  <si>
    <t>12/689547</t>
  </si>
  <si>
    <t>FOMSGAARD; ANDERS; (Frederiksberg, DK)</t>
  </si>
  <si>
    <t>A61K 39/145 20130101;  A61K 2039/53 20130101;  C12N 2760/16134 20130101;  A61K 2039/54 20130101;  A61K 2039/70 20130101;  A61K 39/12 20130101</t>
  </si>
  <si>
    <t>Described herein are vaccines and the use of naked DNA and/or RNA     encoding hemagglutinin (HA) from pandemic influenza, e.g., the 1918 H1N1     and/or the 1957 H2N2 and/or the 1968 H3N2 influenza A virus, as a vaccine     component against present day and coming H1, H2, H3, H5, N1, N2     containing influenza A infections in humans and swine optionally with the     naked DNA and/or RNA encoding Neuraminidase (NA) and/or matrix protein     (M) and/or the nucleoprotein (NP) from pandemic influenza virus included.     If the vaccine components are used as DNA or RNA vaccines with or without     the corresponding protein, the codons can optionally be "humanized" using     preferred codons from highly expressed mammalian genes and the     administration of this DNA vaccine can be by saline or buffered saline     injection of naked DNA or RNA, or injection of DNA plasmid or linear gene     expressing DNA fragments coupled to particles. Addition of the matrix     protein (M) and/or the nucleoprotein (NP) from the 1918 influenza strain     is also disclosed.</t>
  </si>
  <si>
    <t>US20100158939</t>
  </si>
  <si>
    <t>VACCINE AGAINST PANDEMIC STRAINS OF INFLUENZA VIRUSES</t>
  </si>
  <si>
    <t>12/646078</t>
  </si>
  <si>
    <t>HEALTH AND HUMAN SERVICES, UNITED STATES OF AMERICA, THE, AS REPRESENTED BY THE SECRETARY</t>
  </si>
  <si>
    <t>HEALTH AND HUMAN</t>
  </si>
  <si>
    <t>Sambhara; Suryaprakash; (Atlanta, GA); Katz; Jacqueline; (Atlanta, GA); Hoelscher; Mary; (Atlanta, GA); Mittal; Suresh K.; (West Lafayette, IN); Bangari; Dinesh S.; (West Lafayette, IN)</t>
  </si>
  <si>
    <t>A61K 39/145 20130101;  A61K 2039/5256 20130101;  C07K 14/005 20130101;  C12N 7/00 20130101;  C12N 15/86 20130101;  C12N 2710/10343 20130101;  C12N 2710/10352 20130101;  C12N 2760/16122 20130101;  C12N 2760/16134 20130101;  C12N 2800/108 20130101;  A61K 2039/543 20130101;  A61K 2039/55505 20130101;  A61K 39/12 20130101</t>
  </si>
  <si>
    <t>The present disclosure provides compositions and methods for eliciting an     immune response against avian or pandemic influenza. The compositions     include adenovirus vectors comprising avian influenza antigens,     recombinant adenovirus and immunogenic compositions comprising such     recombinant vectors and adenovirus. Methods for eliciting an immune     response against avian or pandemic influenza involving administering such     adenovirus vectors or recombinant adenovirus are also provided.</t>
  </si>
  <si>
    <t>US20100158859</t>
  </si>
  <si>
    <t>12/624816</t>
  </si>
  <si>
    <t>Smith; Jeffrey T.L.; (Redmond, WA); Latham; John; (Seattle, WA); Litton; Mark; (Seattle, WA); Schatzman; Randall; (Redmond, WA)</t>
  </si>
  <si>
    <t>US20100151442</t>
  </si>
  <si>
    <t>METHOD FOR DETECTING EMERGING PANDEMIC INFLUENZA</t>
  </si>
  <si>
    <t>12/332847</t>
  </si>
  <si>
    <t>MRIGLOBAL</t>
  </si>
  <si>
    <t>Mulholland; Niveen M.; (Rockville, MD); Bogan, JR.; Joseph A.; (Germantown, MD); Petrangelo; Ellen; (Gaithersburg, MD); Waybright; Nicole M.; (Silver Spring, MD); Lowary; Peggy T.; (Frederick, MD)</t>
  </si>
  <si>
    <t>A method for detecting emerging pandemic influenza strains is provided.     RT-PCR is used to detect HPAI followed by pyrosequencing to detect codons     defining human or avian influenza signatures. This method screens for     avian influenza viruses containing mutations suspected of making the     virus more infective or virulent to humans.</t>
  </si>
  <si>
    <t>US20100150829</t>
  </si>
  <si>
    <t>12/624778</t>
  </si>
  <si>
    <t>Garcia-Martinez; Leon; (Woodinville, WA); Jensen; Anne Elisabeth Carvalho; (Edmonds, WA); Olson; Katie; (Kenmore, WA); Dutzar; Ben; (Seattle, WA); Latham; John; (Seattle, WA); Kovacevich; Brian; (Snohomish, WA); Smith; Jeffrey T.L.; (Redmond, WA); Litton; Mark; (Seattle, WA); Schatzman; Randall; (Redmond, WA)</t>
  </si>
  <si>
    <t>US20100143299</t>
  </si>
  <si>
    <t>4,6-DI- AND 2,4,6-TRISUBSTITUTED QUINAZOLINE DERIVATIVES AND     PHARMACEUTICAL COMPOSITIONS USEFUL FOR TREATING VIRAL INFECTIONS</t>
  </si>
  <si>
    <t>12/374242</t>
  </si>
  <si>
    <t>Gao; Ling-Jie; (Heverlee, BE); Herdewijn; Piet Andre Maurits Maria; ( RotselaarWezemaal, BE); De Jonghe; Steven Cesar Alfons; (Brussel, BE); Watkins; William John; (Saratoga, CA); Chong; Lee Shun; (Newark, CA)</t>
  </si>
  <si>
    <t>C07D 239/90 20130101;  C07D 401/04 20130101;  C07D 239/95 20130101;  C07D 409/04 20130101;  A61P 31/12 20180101;  C07D 403/04 20130101;  C07D 405/04 20130101;  A61P 31/14 20180101</t>
  </si>
  <si>
    <t>This invention provides the treatment of viral infections with a     4,6-disubstituted or 2,4,6-trisubstituted quinazoline derivative     represented by the structural formula [(I)] wherein: R.sub.2 is selected     from the group consisting of hydrogen, NR'R'' and C.sub.1-7 alkyl; --A is     selected from the group consisting of a bond, O, S(O).sub.n, C.sub.1-7     alkylene, C.sub.2-7 alkenylene and C.sub.2-7 alkynylene; R.sub.4 is     selected from the group consisting of C.sub.1-7 alkyl, C.sub.2-7 alkenyl,     C.sub.3-10cycloalkyl, C.sub.3-10 cycloalkenyl, aryl, heterocyclic,     arylalkyl, heterocyclic-substituted alkyl and cycloalkyl-alkyl; --Y is     selected from the group consisting of a single bond, C.sub.1-7 alkylene,     C.sub.2-7 alkenylene, and C.sub.2-7 alkynylene; n is 0, 1 or 2; and     R.sub.6 is selected from the group consisting of halogen, heteroaryl and     aryl; a pharmaceutically acceptable addition salt, a stereoisomer, a     mono- or a di-.LAMBDA./-oxide, a solvate or a pro-drug thereof.</t>
  </si>
  <si>
    <t>US20100143294</t>
  </si>
  <si>
    <t>12/624830</t>
  </si>
  <si>
    <t>C07K 2317/56 20130101;  A61K 45/06 20130101;  C07K 2317/51 20130101;  A61K 39/3955 20130101;  A61P 35/00 20180101;  C07K 2317/515 20130101;  C07K 2317/94 20130101;  C07K 2317/76 20130101;  C07K 2317/565 20130101;  A61K 2039/505 20130101;  C07K 16/248 20130101;  C07K 2317/33 20130101;  C07K 2317/52 20130101;  C07K 2317/41 20130101;  C07K 2317/34 20130101;  C07K 2317/92 20130101</t>
  </si>
  <si>
    <t>US20100138164</t>
  </si>
  <si>
    <t>PHYSICAL GEOLOCATION SYSTEM</t>
  </si>
  <si>
    <t>12/701318</t>
  </si>
  <si>
    <t>SYRACUSE UNIVERSITY</t>
  </si>
  <si>
    <t>Shepard; Donald F.; (Evergreen, CO); Knaebel; David B.; (Manlius, NY); Gray; D. Anthony; (Liverpool, NY)</t>
  </si>
  <si>
    <t>G06F 19/3493 20130101;  G16H 10/40 20180101;  G16H 50/80 20180101</t>
  </si>
  <si>
    <t>A real-time system for determining the geographic movements of an     individual or object by sampling particulates contained thereon. The     system includes particle collection, sample preparations, and sample     analysis using three primary modes of detecting certain particulates. The     first mode involves the imaging of pollen, spores, or other biological     material which are visible through a light microscope when properly     stained or prepared. The second mode involves the use of real-time     polymerase chain reaction to amplify and detect target nucleic acid     sequences. The third mode involves the use of X-ray diffraction to     identify mineral particles. The results from any mode, or any combination     of modes, are analyzed by comparison to a reference database containing     geographic information and the results are compiled by a controller for     visual display.</t>
  </si>
  <si>
    <t>US20100138160</t>
  </si>
  <si>
    <t>Model transition sensitivity analysis system and method</t>
  </si>
  <si>
    <t>10/220874</t>
  </si>
  <si>
    <t>JACQUEZ GEOFFREY M</t>
  </si>
  <si>
    <t>JACQUEZ GEOFFREY</t>
  </si>
  <si>
    <t>Jacquez; Geoffrey M.; (Ann Arbor, MI); Koopman; James S.; (Ann Arbor, MI); Chick; Stephen E.; (Fontainebleau, FR)</t>
  </si>
  <si>
    <t>G06Q 50/22 20130101;  G16H 50/50 20180101;  Y02A 90/24 20180101;  Y02A 90/26 20180101;  Y02A 90/22 20180101;  G16H 50/80 20180101</t>
  </si>
  <si>
    <t>A method and system for analyzing an infectious disease uses computer     based simulation engines. The method and system utilizes at least two     computer-based simulation engines of the transmission of the infectious     disease. The transmission of the infectious disease is analyzed as a     function of the first and second computer-based simulation engines.</t>
  </si>
  <si>
    <t>US20100129401</t>
  </si>
  <si>
    <t>Functional Influenza Virus Like Particles (VLPs)</t>
  </si>
  <si>
    <t>12/340186</t>
  </si>
  <si>
    <t>Smith; Gale; (Rockville, MD); Bright; Rick; (Washington, DC); Pushko; Peter M.; (Rockville, MD); Zhang; Jinyou; (Rockville, MD); Mahmood; Kutub; (Cupertino, CA)</t>
  </si>
  <si>
    <t>A61K 2039/5258 20130101;  A61K 39/145 20130101;  C12N 7/00 20130101;  C12N 2760/16034 20130101;  A61K 2039/70 20130101;  C07K 14/005 20130101;  C12N 2710/14143 20130101;  A61K 2039/55561 20130101;  A61K 2039/55555 20130101;  C12N 2760/16022 20130101;  C12N 2760/16134 20130101;  C12N 2760/16123 20130101;  A61K 2039/55505 20130101;  A61K 39/12 20130101;  A61K 2039/543 20130101;  A61K 2039/58 20130101;  C12N 2760/16023 20130101;  C12N 2760/16122 20130101</t>
  </si>
  <si>
    <t>US20100129399</t>
  </si>
  <si>
    <t>LINEAR EXPRESSION CONSTRUCTS FOR PRODUCTION OF INFLUENZA VIRUS PARTICLES</t>
  </si>
  <si>
    <t>12/666459</t>
  </si>
  <si>
    <t>Ology Bioservices</t>
  </si>
  <si>
    <t>Wolschek; Markus; (Vienna, AT); Egorov; Andrej; (Vienna, AT); Bergmann; Michael; (Klosterneuburg, AT); Muster; Thomas; (Vienna, AT); Kittel; Christian; (Vienna, AT)</t>
  </si>
  <si>
    <t>C12N 2760/16161 20130101;  A61K 2039/5256 20130101;  A61K 2039/525 20130101;  C12N 2760/16122 20130101;  C07K 14/005 20130101;  C12N 7/00 20130101;  C12N 15/86 20130101;  C12N 2760/16143 20130101</t>
  </si>
  <si>
    <t>The present invention provides a linear expression construct free of any     conventional amplification and/or selection sequences comprising an RNA     polymerase I (polI) promoter and a polI termination signal, inserted     between a RNA polymerase II (polII) promoter and a polyadenylation signal     useful for the expression of segments of viral RNA, preferably influenza     viruses. The inventive construct is useful for efficient and fast     production of viral particles, especially for producing vaccine     formulations for the treatment of epidemic and/or pandemic diseases.</t>
  </si>
  <si>
    <t>US20100129357</t>
  </si>
  <si>
    <t>12/502581</t>
  </si>
  <si>
    <t>Garcia-Martinez; Leon; (Woodinville, WA); Jensen; Ann Elisabeth Carvalho; (Edmonds, WA); Olson; Katie; (Kenmore, WA); Dutzar; Ben; (Seattle, WA); Ojala; Ethan; (Snohomish, WA); Kovacevich; Brian; (Snohomish, WA); Latham; John; (Seattle, WA); Smith; Jeffrey T. L.; (Redmond, WA)</t>
  </si>
  <si>
    <t>US20100120735</t>
  </si>
  <si>
    <t>COMPOUND SHOWING ANTI-INFLAMMATORY ACTIVITY AND ANTIVIRAL ACTIVITY,     PHARMACEUTICAL COMPOSITIONS COMPRISING THE SAME, A PROCESS FOR OBTAINING     THE SAME AND USE OF THE SAME IN THE TREATMENT OF EPIDEMIC     KERATOCONJUNCTIVITES AND HERPETIC STROMAL KERATIS</t>
  </si>
  <si>
    <t>12/452575</t>
  </si>
  <si>
    <t>CONSEJO NACIONAL DE INVESTIGACIONES CIENTIFICAS Y TECNICAS</t>
  </si>
  <si>
    <t>CONSEJO NACIONAL INVESTIGACIONES CIENTIFICAS TECNICAS</t>
  </si>
  <si>
    <t>Ramirez; Javier Alberto; ( Buenos Aires, AR); Michelini; Flavia Mariana; (Prov. De Buenos Aires, AR); Galagovsky; Lydia Raquel; (Buenos Aires, AR); Berra; Alejandro; (Castelar-Prov. De Buenos Aires, AR); Alche; Laura Edith; (Buenos Aires, AR)</t>
  </si>
  <si>
    <t>C07J 9/00 20130101</t>
  </si>
  <si>
    <t>The present invention refers to a compound having anti-inflammatory and     antiviral activity according to the following structural formula:  ##STR00001## wherein, R.sub.1 and R.sub.3 are selected from H, HO--, R.sub.5--O--,     HCOO--, R.sub.5--COO--, --OOC--R.sub.6--COO--, p-toluene sulphonate,     phosphate, tartrate, maleate, sulphate, fluorine, chlorine, bromine,     iodine and methanesulphonate, R.sub.2 is selected from H, HO--,     R.sub.5--O--, HCOO--, R.sub.5--COO--, --OOC--R.sub.6--COO--, p-toluene     sulphonate, phosphate, tartrate, maleate, sulphate, fluorine, chlorine,     bromine, and iodine, or --R.sub.1 and --R.sub.2 can be together --O--,     (CH.sub.3).sub.2--(CO).sub.2-(o-(CH.sub.3--CH.sub.2).sub.2--(CO).sub.2--     R.sub.4 and R.sub.5 are selected from H and linear or branched     C.sub.1-C.sub.4 alkyl, R.sub.6 is --(CH.sub.2)n equals to 1, 2 o 3, and,     can be a single bond or double bond, to the pharmaceutical compositions     comprising the same, to a process for preparing the same and to the use     of the same for preparing pharmaceutical compositions. Particularly, the     compounds of the invention are particularly useful for preparing     ophthalmic pharmaceuticals for the treatment of diseases caused by     adenovirus and preferably, epidemic keratoconjunctivitis. Also, the     compounds of the invention are particularly useful for preparing     ophthalmic pharmaceuticals for the treatment of diseases caused by the     herpes simplex type 1 (HSV-1) and preferably, herpetic stromal keratitis     (HK).</t>
  </si>
  <si>
    <t>US20100113334</t>
  </si>
  <si>
    <t>METHODS FOR REDUCING OR PREVENTING TRANSMISSION OF NOSOCOMIAL PATHOGENS IN     A HEALTH CARE FACILITY</t>
  </si>
  <si>
    <t>12/571789</t>
  </si>
  <si>
    <t>Leach, Timothy S.; Jabes, Daniela; Mosconi, Giorgio</t>
  </si>
  <si>
    <t>LEACH TIMOTHY</t>
  </si>
  <si>
    <t>Leach; Timothy S.; (Groton, MA); Jabes; Daniela; (Cassina Rizzardi, IT); Mosconi; Giorgio; (Wayne, PA)</t>
  </si>
  <si>
    <t>A61K 31/424 20130101;  A61K 31/7048 20130101;  A61K 38/164 20130101;  A61K 45/06 20130101</t>
  </si>
  <si>
    <t>The present invention provides methods and compositions useful for     reducing or preventing the transmission of nosocomial pathogens or an     epidemic of nosocomial pathogens in a health care facility by     decolonizing the gastro-intestinal tract, skin, or nasal passage of     carriers and by preventing colonization of individuals at risk who may     serve as transmission vehicles or vectors to other individuals.</t>
  </si>
  <si>
    <t>US20100104532</t>
  </si>
  <si>
    <t>NUCLEOSIDE ANALOGS FOR ANTIVIRAL TREATMENT</t>
  </si>
  <si>
    <t>12/524545</t>
  </si>
  <si>
    <t>Chen; James M.; (San Ramon, CA); Huang; Alan X.; (San Mateo, CA); Mackman; Richard L.; (Millbrae, CA); Parrish; Jay; (Redwood City, CA); Perry; Jason K.; (San Francisco, CA); Saunders; Oliver L.; (San Mateo, CA); Sperandio; David; (Palo Alto, CA)</t>
  </si>
  <si>
    <t>A61P 1/16 20180101;  A61P 31/14 20180101;  C07H 19/00 20130101;  C07F 9/65586 20130101;  C07F 9/6561 20130101;  C07F 9/65616 20130101</t>
  </si>
  <si>
    <t>The invention provides unsaturated phosphonates of Formula I or a     tautomer or pharmaceutically accepatble salt thereof, as described     herein, as well as pharmaceutical compositions comprising the compounds,     and therapeutic methods comprising administering the compounds. The     compounds have anti-viral properties and are useful for treating viral     infections (e.g. HCV) in animals (e.g. humans).  ##STR00001##</t>
  </si>
  <si>
    <t>US20100097209</t>
  </si>
  <si>
    <t>System and method for creating a proximity map of living beings and     objects</t>
  </si>
  <si>
    <t>12/585403</t>
  </si>
  <si>
    <t>WONG CHON M</t>
  </si>
  <si>
    <t>WONG CHON</t>
  </si>
  <si>
    <t>Wong; Chon Meng; (Lincoln, RI)</t>
  </si>
  <si>
    <t>G01S 5/0284 20130101;  G01S 5/14 20130101;  G01S 13/74 20130101</t>
  </si>
  <si>
    <t>A contact or proximity network map defines who and what objects have come     in contact of each other including location and time. This map selects     the list people who have come in contact with known infected people based     on contagious disease epidemiology criteria for the purpose of control     its spread, or to prevent radiation poisoning, limit bio-chemicals     exposure, etc. This selected list of people then undergoes testing and     quarantine procedures. It can monitor hygiene practices and reduce     nosocomial infections in hospitals and mitigate the pandemic flu threat     by controlling spread and control contamination. It controls people     interaction, information flow in a high security environment, control     crime or gang activities. Each person or object has a proximity-sensing     device with unique ID, which is recorded by the encountered units during     contact. This information is stored with time stamp in a relational     database. It generates contact maps with real time replication of its     database via a central web database for retrieval and analysis at any     site.</t>
  </si>
  <si>
    <t>US20100093667</t>
  </si>
  <si>
    <t>12/499018</t>
  </si>
  <si>
    <t>A61K 31/675 20130101;  C07H 19/20 20130101;  A61K 9/20 20130101;  A61K 9/2018 20130101;  A61K 45/06 20130101;  A61P 31/18 20180101;  A61K 31/675 20130101;  A61K 31/7076 20130101;  A61K 2300/00 20130101</t>
  </si>
  <si>
    <t>US20100083968</t>
  </si>
  <si>
    <t>VENTILATOR WITH BIOFEEDBACK MONITORING AND CONTROL FOR IMPROVING PATIENT     ACTIVITY AND HEALTH</t>
  </si>
  <si>
    <t>12/572033</t>
  </si>
  <si>
    <t>BREATHE TECHNOLOGIES, INC.</t>
  </si>
  <si>
    <t>BREATHE</t>
  </si>
  <si>
    <t>Wondka; Anthony D.; (Thousand Oaks, CA); King; Angela; (Spencerville, IN); Cipollone; Joseph; (San Ramon, CA)</t>
  </si>
  <si>
    <t>A61M 2230/06 20130101;  A61M 2205/502 20130101;  A61M 2016/0015 20130101;  A61M 2230/63 20130101;  A61M 2230/65 20130101;  A61M 2230/205 20130101;  A61M 2230/42 20130101;  G16H 50/30 20180101;  G16H 20/40 20180101;  A61M 2016/0021 20130101;  A61M 2230/432 20130101;  A61M 16/0463 20130101;  A61M 16/0677 20140204;  A61M 16/0461 20130101;  A61M 2205/3592 20130101;  A61M 16/12 20130101;  A61M 16/125 20140204;  A61M 2016/0413 20130101;  A61M 2205/3569 20130101</t>
  </si>
  <si>
    <t>A respiratory support ventilator apparatus is described that mechanically     supports the work of respiration of a patient. The ventilator apparatus     is highly portable and optionally wearable so as to promote mobility and     physical activity of the patient, and to improve the overall health of     the patient. The respiratory support ventilator may monitor a physical     activity level and overall health status of the patient, and process this     information. The information is used to track efficacy of the ventilation     therapy relative to activity level and quality of life, and or to titrate     or optimize the ventilation parameters to improve, maintain or optimize     the physical activity level and overall health status of the patient.</t>
  </si>
  <si>
    <t>US20100066540</t>
  </si>
  <si>
    <t>System, method, and software for automated detection of predictive events</t>
  </si>
  <si>
    <t>12/583978</t>
  </si>
  <si>
    <t>VECNA TECHNOLOGIES, INC.</t>
  </si>
  <si>
    <t>VECNA</t>
  </si>
  <si>
    <t>Theobald; Daniel; (Somerville, MA); Niemczyk; Steven; (Bethesda, MD)</t>
  </si>
  <si>
    <t>G06Q 50/24 20130101;  G16H 40/20 20180101;  G16H 50/20 20180101;  Y02A 90/24 20180101;  Y02A 90/26 20180101;  Y02A 90/22 20180101;  G16H 50/80 20180101</t>
  </si>
  <si>
    <t>A system for the automatic detection and communication of detection of     nosocomial infection and/or antimicrobial resistance events in a health     care environment includes an input unit that receives nosocomial     infection and/or antimicrobial resistance related data, an an event     detection machine, and a knowledge discovery unit. The event detection     machine sorts and analyzes the nosocomial infection and/or antimicrobial     resistance related data to automatically generate alerts for isolates     that violate control parameters indicative of a nosocomial infection     and/or antimicrobial resistance event and communicates the alert to a     user.</t>
  </si>
  <si>
    <t>US20100048559</t>
  </si>
  <si>
    <t>PYRIDO(3,2-d)PYRIDMIDINES USEFUL FOR TREATING VIRAL INFECTIONS</t>
  </si>
  <si>
    <t>12/519500</t>
  </si>
  <si>
    <t>Bondy; Steven S.; (Danville, CA); Watkins; William J.; (Saratoga, CA); Chong; Lee S.; (Newark, CA); Herdewijn; Piet Andre Maurits Maria; (Rotselaar/Wexemaal, BE); De Jonghe; Steven Cesar Alfons; (Brugge, BE)</t>
  </si>
  <si>
    <t>A61P 31/12 20180101;  C07D 471/04 20130101</t>
  </si>
  <si>
    <t>This invention provides pyrido(3,2-d)pyrimidine derivatives represented     by the structural formula (I), wherein: R.sub.1 is amino, R.sup.4 is     hydrogen, and R.sub.2 and R.sub.3 together provide a specific     substitution pattern, pharmaceutical acceptable addition salts,     stereochemical isomeric forms, N-oxides, solvates and pro-drugs thereof,     are useful in the treatment of hepatitis C.</t>
  </si>
  <si>
    <t>US20100042394</t>
  </si>
  <si>
    <t>System and Method to Predict the Global Spread of Infectious Agents Via     Commercial Air Travel</t>
  </si>
  <si>
    <t>12/593976</t>
  </si>
  <si>
    <t>G06Q 10/04 20130101;  G06Q 50/22 20130101;  Y02A 90/24 20180101;  Y02A 90/22 20180101;  G16H 50/80 20180101</t>
  </si>
  <si>
    <t>The invention comprises a system for predicting transmission of an     infectious agent via air travel, comprising: a) a database, the database     containing air passenger travel data for air travel between origin cities     and destination cities, the air passenger travel data including:     frequency of flights from origin cities to destination cities, number of     passengers traveling from origin cities to destination cities, number of     direct non-stop flights from origin cities to destination cities, total     passenger traffic for origin and destination cities, and corresponding     date stamps for all air passenger travel data; b) a modeling engine     operative to map the air passenger travel data with the infectious agent     to determine the probability of infection of an individual destination     city from an individual origin city via air travel; and c) a reporting     engine operative to produce a probability of infection of the individual     destination city from the individual origin city at a given time based on     said map.</t>
  </si>
  <si>
    <t>US20100034827</t>
  </si>
  <si>
    <t>NOVEL HIV REVERSE TRANSCRIPTASE INHIBITORS</t>
  </si>
  <si>
    <t>12/373237</t>
  </si>
  <si>
    <t>Guo; Hongyan; (San Mateo, CA); Kim; Choung U.; (San Carlos, CA); Kirschberg; Thorsten A.; (Belmont, CA); Lee; Iii Young; (Daejeon City, KR); Mitchell; Michael L.; (Hayward, CA); Son; Jong Chan; (Daejeon City, KR); Xu; Lianhong; (Palo Alto, CA)</t>
  </si>
  <si>
    <t>A61P 31/00 20180101;  A61P 31/18 20180101;  C07D 239/54 20130101;  C07D 403/06 20130101;  C07D 413/06 20130101;  C07D 401/06 20130101;  A61P 31/12 20180101</t>
  </si>
  <si>
    <t>The invention is related to compounds of Formula (I), (II), or (III); or     a pharmaceutically acceptable salt, solvate, ester, and/or phosphonate     thereof, compositions containing such compounds, and therapeutic methods     that include the administration of such compounds.</t>
  </si>
  <si>
    <t>US20100022508</t>
  </si>
  <si>
    <t>12/509250</t>
  </si>
  <si>
    <t>Aktoudianakis; Evangelos; (San Mateo, CA); Celebi; Azim Alan; (Burlingame, CA); Du; Zhimin; (Foster City, CA); Jabri; Salman Y.; (Irvine, CA); Jin; Haolun; (Foster City, CA); Kim; Choung U.; (San Carlos, CA); Li; Jiayao; (Foster City, CA); Metobo; Samuel E.; (Newark, CA); Mish; Michael R.; (La Honda, CA); Phillips; Barton W.; (San Mateo, CA); Saugier; Joseph H.; (Livermore, CA); Yang; Zheng-Yu; (Palo Alto, CA); Zonte; Catalin Sebastian; (San Francisco, CA)</t>
  </si>
  <si>
    <t>C07D 471/16 20130101;  C07D 498/16 20130101;  A61P 31/18 20180101</t>
  </si>
  <si>
    <t>US20100021425</t>
  </si>
  <si>
    <t>12/428176</t>
  </si>
  <si>
    <t>Butler; Thomas; (Redwood City, CA); Cho; Aesop; (Mountain View, CA); Kim; Choung U.; (San Carlos, CA); Parrish; Jay; (Redwood City, CA); Saunders; Oliver L.; (San Mateo, CA); Zhang; Lijun; (Los Altos Hills, CA)</t>
  </si>
  <si>
    <t>C07H 19/23 20130101;  A61P 31/14 20180101;  A61P 31/00 20180101;  A61P 31/16 20180101;  A61P 31/12 20180101;  A61P 31/20 20180101;  C07D 487/04 20130101;  A61P 1/16 20180101</t>
  </si>
  <si>
    <t>US20100008952</t>
  </si>
  <si>
    <t>Vaccines for the Rapid Response to Pandemic Avian Influenza</t>
  </si>
  <si>
    <t>12/509167</t>
  </si>
  <si>
    <t>Gambotto, Andrea; Robbins, Paul D.; Wentao, Gao; Barratt-Boyes, Simon; Soloff, Adam</t>
  </si>
  <si>
    <t>GAMBOTTO ANDREA</t>
  </si>
  <si>
    <t>Gambotto; Andrea; (Pittsburgh, PA); Robbins; Paul D.; (Mt. Lebanon, PA); Wentao; Gao; (Pittsburgh, PA); Barratt-Boyes; Simon; (Pittsburgh, PA); Soloff; Adam; (Pittsburgh, PA)</t>
  </si>
  <si>
    <t>A61K 39/145 20130101;  A61K 2039/5256 20130101;  C07K 14/005 20130101;  C12N 15/86 20130101;  C12N 2710/10343 20130101;  C12N 2760/16122 20130101;  C12N 2760/16134 20130101;  A61K 2039/543 20130101;  A61K 39/12 20130101</t>
  </si>
  <si>
    <t>The present invention relates to adenovirus-based vaccines against avian     influenza viruses with pandemic potential. The present invention provides     replication-defective adenoviral vectors, each having a nucleic acid     encoding an influenza A polypeptide. When introduced into a subject, the     expressed influenza A polypeptide induces the production of antibodies     that bind to influenza. The present invention also provides methods for inducing an immune     response in a subject. Subjects are administered a replication-defective     adenoviral vector, wherein the vector has a nucleic acid encoding an     influenza A polypeptide. When the vector is expressed in the subject, the     influenza A polypeptide induces the subject to produce antibodies to     influenza.</t>
  </si>
  <si>
    <t>US20100004945</t>
  </si>
  <si>
    <t>COMPUTER IMPLEMENTED METHODS, SYSTEMS, AND APPARATUS FOR GENERATING AND     UTILIZING HEALTH OUTCOMES INDICES AND FINANCIAL DERIVATIVE INSTRUMENTS     BASED ON THE INDICES</t>
  </si>
  <si>
    <t>12/495003</t>
  </si>
  <si>
    <t>GLOBAL HEALTH OUTCOMES, INC.</t>
  </si>
  <si>
    <t>GLOBAL HEALTH OUTCOMES</t>
  </si>
  <si>
    <t>Petratos; Gerasimos; (New York, NY); Parasidis; Efthimios; (Astoria, NY)</t>
  </si>
  <si>
    <t>G06Q 40/06 20130101;  G06Q 50/22 20130101;  G16H 50/30 20180101;  G16H 50/80 20180101;  G16H 50/20 20180101;  G06Q 40/04 20130101;  G16H 50/50 20180101;  G06F 19/328 20130101;  G06Q 10/10 20130101</t>
  </si>
  <si>
    <t>A computer-implemented method, a computer program product, and a computer     system are provided for generating and utilizing a health outcome index     for a given research interest area and a given population. The     computer-implemented method includes the steps of: (a) receiving data     relating to one or more given criteria pertinent to the research interest     area; (b) calculating a health outcomes index using one or more computer     processes applying a given formula to the data relating to the one or     more given criteria, said given formula including assignment of relative     weights to said one or more criteria; (c) outputting the health outcome     index; and (d) periodically repeating steps (a) through (c).</t>
  </si>
  <si>
    <t>US20090326978</t>
  </si>
  <si>
    <t>Emergency Preparations for an Epidemic</t>
  </si>
  <si>
    <t>12/495793</t>
  </si>
  <si>
    <t>ADAMAS PHARMA, LLC</t>
  </si>
  <si>
    <t>ADAMAS PHARMA</t>
  </si>
  <si>
    <t>Fultz; Timothy J.; (Pleasant Hill, CA); Went; Gregory T.; (Mill Valley, CA); Nguyen; Jack; (San Francisco, CA); Spence; Paul; (Novato, CA); Chernoff; David; (San Anselmo, CA); Burkoth; Terry L.; (Palo Alto, CA); Chapman; Rowan; (Burlingame, CA); Urdea; Mickey S.; (Alamo, CA)</t>
  </si>
  <si>
    <t>G16H 20/10 20180101;  G06Q 10/00 20130101;  G16H 50/80 20180101;  G06Q 50/22 20130101;  G06Q 99/00 20130101</t>
  </si>
  <si>
    <t>Stockpiles and methods of stockpiling a combination antiviral therapy for     responding to an epidemic viral outbreak are described. Methods and     systems of inventory control for co-deployment of drugs used in     combination during a pandemic are described.</t>
  </si>
  <si>
    <t>US20090324543</t>
  </si>
  <si>
    <t>PYRIDO(3,2-d)PYRIMIDINES USEFUL FOR TREATING VIRAL INFECTIONS</t>
  </si>
  <si>
    <t>12/519496</t>
  </si>
  <si>
    <t>Watkins; William John; (Saratoga, CA); Chong; Lee Shung; (Newark, CA); Zhang; Jennifer R.; (Foster City, CA)</t>
  </si>
  <si>
    <t>A61P 31/14 20180101;  C07D 471/04 20130101;  A61P 31/12 20180101</t>
  </si>
  <si>
    <t>2-amino-pyrido(3,2-d)pyrimidine derivatives with a specific substitution     pattern on positions 4 and 6 of the core structure are useful in the     treatment or prevention of an infection due to a virus from the     Flaviviridae family, especially HCV, when administered to a patient in a     therapeutically effective amount.  ##STR00001##</t>
  </si>
  <si>
    <t>US20090319295</t>
  </si>
  <si>
    <t>12/309637</t>
  </si>
  <si>
    <t>NORTHROP GRUMMAN SYSTEMS CORPORATION</t>
  </si>
  <si>
    <t>NORTHROP GRUMMAN SYSTEMS</t>
  </si>
  <si>
    <t>US20090318456</t>
  </si>
  <si>
    <t>SUBSTITUTED PTERIDINES FOR THE TREATMENT AND PREVENTION OF VIRAL     INFECTIONS</t>
  </si>
  <si>
    <t>12/307727</t>
  </si>
  <si>
    <t>Herdewijn; Piet Andre Maurits Maria; (Rotselaar/Wezemaal, BE); De Jonghe; Steven Cesar Alfons; (Brussel, BE); Lee; William A.; (Los Altos, CA); Watkins; William John; (Saratoga, CA); Bondy; Steven S.; (Danville, CA); Chong; Lee S.; (Newark, CA)</t>
  </si>
  <si>
    <t>C07D 475/08 20130101;  A61K 31/519 20130101;  A61P 31/12 20180101;  C07D 475/04 20130101;  A61P 31/14 20180101</t>
  </si>
  <si>
    <t>Tri-substituted pteridines and tetra-substituted pteridines exhibit a     significant and selective activity against certain types of viral     infections, in particular they selectively inhibit the replication of the     hepatitis C virus, and are useful for the prevention and treatment of     such infections.</t>
  </si>
  <si>
    <t>US20090317361</t>
  </si>
  <si>
    <t>12/428234</t>
  </si>
  <si>
    <t>Cho; Aesop; (Mountain View, CA); Kim; Choung U.; (San Carlos, CA); Parrish; Jay; (Redwood City, CA); Xu; Jie; (Foster City, CA)</t>
  </si>
  <si>
    <t>A61P 31/16 20180101;  C07H 19/23 20130101;  A61P 31/14 20180101;  C07D 487/04 20130101;  A61P 31/00 20180101;  A61P 31/20 20180101;  A61P 1/16 20180101;  A61P 31/12 20180101</t>
  </si>
  <si>
    <t>Provided are imidazo[1,5-f][1,2,4]triazinyl,     imidazo[1,2-f][1,2,4]triazinyl, and     [1,2,4]triazolo[4,3-f][1,2,4]triazinyl nucleosides, nucleoside phosphates     and prodrugs thereof. The compounds, compositions, and methods provided     are useful for the treatment of Flaviviridae virus infections,     particularly hepatitis C infections.</t>
  </si>
  <si>
    <t>US20090306112</t>
  </si>
  <si>
    <t>ANTIVIRAL PROTEASE INHIBITORS</t>
  </si>
  <si>
    <t>12/307674</t>
  </si>
  <si>
    <t>Cannizzaro; Carina E.; (Foster City, CA); Chen; James M.; (San Ramon, CA); Desai; Manoj C.; (Pleasant Hill, CA); Mitchell; Michael L.; (Hayward, CA); Swaminathan; Sundaramoorthi; (Burlingame, CA); Xu; Lianhong; (Palo Alto, CA); Yang; Zheng-Yu; (Palo Alto, CA)</t>
  </si>
  <si>
    <t>C07D 407/12 20130101;  C07D 213/56 20130101;  C07D 493/04 20130101;  C07F 9/65583 20130101;  C07D 401/12 20130101;  C07D 405/14 20130101;  C07D 409/12 20130101;  C07F 9/6561 20130101;  C07D 405/12 20130101;  A61P 31/18 20180101;  C07F 9/65586 20130101;  C07D 417/12 20130101</t>
  </si>
  <si>
    <t>The invention is related to compounds of Formula I or a pharmaceutically     acceptable salt, solvate, ester, and/or phosphonate thereof, compositions     containing such compounds, and therapeutic methods that include the     administration of such compounds.  ##STR00001##</t>
  </si>
  <si>
    <t>US20090299767</t>
  </si>
  <si>
    <t>Automated systems and methods for obtaining, storing, processing and     utilizing immunologic information of individuals and populations for     various uses</t>
  </si>
  <si>
    <t>12/291529</t>
  </si>
  <si>
    <t>Michon; Francis; (Bethesda, MD); Moore; Samuel L.; (Skyesville, MD); Wohlstadter; Samuel J.; (Madison, VA); Davis; Charles Quentin; (Frederick, MD); Otero; Glen; (Del Mar, CA); Haleva; Aaron; (Oakhurst, NJ)</t>
  </si>
  <si>
    <t>A system and method for assessing the immunological status of one or more     individuals in a patient population is presented. The method includes     establishing a database comprising a plurality of records of information     each representative of the immune status of an individual in the     population, each of said records including (1) current information from     one or more assays for the presence of a biochemical, and (2) individual     specific information comprising one or more of said individual's medical     history, said individual's doctors' observations and historical,     demographic, lifestyle, and familial information relating to said     individual. The method further includes processing the information in     said database to find trends or patterns relating to the immune status of     individuals in said patient population; and using the said trends or     patterns as part of a health care related decision making process. In     exemplary embodiments of the present invention, processing the     information in the database includes generating a list of correlations     between variables or fields in the database. The correlations in the list     can be further refined automatically, and a set of hypotheses or     literature citations can be linked to the final correlations. The     correlations, the processing, their associated hypotheses can then be     reported to a user or automatically fed into another system component to     generate a medical or health related decision. In exemplary embodiments     of the present invention, a first assay panel containing a plurality of     cytokine assays can be administered and the results processed. Based on     automatic analyses of the cytokine data, a second tier or set of assays     can be run on the same individual. The cytokine assay results being used     to inform the contents of a second assay panel.</t>
  </si>
  <si>
    <t>US20090297513</t>
  </si>
  <si>
    <t>12/391717</t>
  </si>
  <si>
    <t>C07K 2317/34 20130101;  C07K 2317/41 20130101;  C07K 2317/51 20130101;  C07K 2317/565 20130101;  C07K 2317/76 20130101;  A61K 2039/505 20130101;  C07K 2317/24 20130101;  C07K 2317/56 20130101;  C07K 2317/515 20130101;  C07K 16/248 20130101;  C07K 2317/64 20130101</t>
  </si>
  <si>
    <t>US20090297436</t>
  </si>
  <si>
    <t>12/366567</t>
  </si>
  <si>
    <t>Garcia-Martinez; Leon; (Woodinville, WA); Jensen; Anne Elisabeth Carvalho; (Edmonds, WA); Olsen; Katie; (Kenmore, WA); Dutzar; Ben; (Seattle, WA); Ojala; Ethan; (Lynnwood, WA); Kovacevich; Brian; (Snohomish, WA); Latham; John; (Seattle, WA); Smith; Jeffrey T. L.; (Redmond, WA)</t>
  </si>
  <si>
    <t>C07K 2317/41 20130101;  C07K 2317/565 20130101;  C07K 2317/76 20130101;  A61K 2039/505 20130101;  A61P 35/00 20180101;  C12P 21/02 20130101;  C07K 16/248 20130101;  C07K 2317/24 20130101;  C07K 2317/34 20130101;  C07K 2317/92 20130101;  C12N 9/64 20130101;  C07K 2317/56 20130101;  C12N 9/60 20130101;  C12N 15/81 20130101</t>
  </si>
  <si>
    <t>The present invention is directed to antibodies and fragments thereof and     humanized versions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gpl30 and or the formation of     IL-6/IL-6R/gpl30 multimers and thereby inhibit a biological effect     associated with any of the foregoing.</t>
  </si>
  <si>
    <t>US20090291089</t>
  </si>
  <si>
    <t>Antagonists of IL-6 to prevent or treat Thrombosis</t>
  </si>
  <si>
    <t>12/323194</t>
  </si>
  <si>
    <t>A61K 2039/505 20130101;  C07K 2317/24 20130101;  A61K 2039/545 20130101;  A61K 39/395 20130101;  C07K 16/241 20130101;  C07K 2317/76 20130101;  C07K 2317/33 20130101;  C07K 16/248 20130101;  C07K 16/461 20130101;  C07K 2317/34 20130101;  C07K 2317/94 20130101;  C07K 2317/92 20130101</t>
  </si>
  <si>
    <t>US20090291082</t>
  </si>
  <si>
    <t>Antagonists of IL-6 to raise Albumin and/or lower CRP</t>
  </si>
  <si>
    <t>12/323066</t>
  </si>
  <si>
    <t>C07K 2317/41 20130101;  C07K 2317/92 20130101;  C07K 2317/34 20130101;  A61K 39/3955 20130101;  C07K 2317/565 20130101;  A61K 2039/505 20130101;  G01N 2800/52 20130101;  A61K 39/395 20130101;  C07K 2317/24 20130101;  C07K 2317/76 20130101;  G01N 2333/765 20130101;  G01N 2333/4737 20130101;  C07K 2317/56 20130101;  C07K 16/248 20130101;  A61K 45/06 20130101</t>
  </si>
  <si>
    <t>US20090291077</t>
  </si>
  <si>
    <t>Antagonists of IL-6 to prevent or treat Cachexia, weakness, fatigue, and/or fever</t>
  </si>
  <si>
    <t>12/323147</t>
  </si>
  <si>
    <t>US20090285782</t>
  </si>
  <si>
    <t>12/374433</t>
  </si>
  <si>
    <t>Gao; Ling-Jie; (Heverlee, BE); Herdewijn; Piet Andre Maurits Maria; (Rotselaar/Wezemaal, BE); De Jonghe; Steven Cesar Alfons; (Brussel, BE); Watkins; William John; (Saratoga, CA); Chong; Lee Shun; (Newark, CA)</t>
  </si>
  <si>
    <t>A61P 31/12 20180101;  C07D 239/86 20130101;  C07D 239/78 20130101;  A61K 31/517 20130101;  A61K 31/5377 20130101;  C07D 401/04 20130101;  C07D 413/04 20130101;  C07D 409/04 20130101;  C07D 403/04 20130101;  C07D 239/95 20130101;  A61P 31/14 20180101;  C07D 239/72 20130101;  C07D 239/94 20130101;  A61K 31/5375 20130101;  C07D 239/88 20130101;  C07D 405/04 20130101</t>
  </si>
  <si>
    <t>This invention provides quinazoline derivatives represented by the     structural formula: (I); wherein: R.sub.2 is hydrogen, NR'R'', C.sub.1-7     alkyl, arylC.sub.1-7 alkyl or C.sub.3-10 cycloalkyl; R.sub.4 is amino,     C.sub.1-7 alkyl, C.sub.2-7 alkenyl, C.sub.3-10 cycloalkyl, C.sub.3-10     cycloalkenyl, aryl, heterocyclic, arylalkyl, heterocyclic-substituted     C.sub.1-7 alkyl or C.sub.3-10 cycloalkyl-C.sub.1-7 alkyl; R.sub.5 is     hydrogen or C.sub.1-7 alkyl, or R.sub.5 and R.sub.4 together with the     nitrogen atom to which they are attached form a heterocyclic ring; Y is a     single bond, C.sub.1-7alkylene, C.sub.2-7 alkenylene or C.sub.2-7     alkynylene; R.sub.6 is halogen, heteroaryl or aryl; R' and R'' are each     independently hydrogen, C.sub.1-7 alkyl-carbonyl or C.sub.1-7 alkyl;     provided that R.sub.4 is not phenyl substituted with morpholino when     R.sub.2 is H and R.sub.5 is H, and provided that when NR.sub.4R.sub.5 is     piperazinyl, said NR.sub.4R.sub.5 is either non-substituted or     substituted with methyl or acetyl; a pharmaceutically acceptable addition     salt, a stereoisomer, a mono- or a di-N-oxide, a solvate or a pro-drug     thereof, for the treatment of viral infections.</t>
  </si>
  <si>
    <t>US20090263422</t>
  </si>
  <si>
    <t>12/374346</t>
  </si>
  <si>
    <t>A61K 2039/545 20130101;  A61K 39/12 20130101;  C12N 2760/16134 20130101;  A61K 2039/55566 20130101;  A61K 2039/5252 20130101;  A61K 39/145 20130101;  C12N 2760/16234 20130101</t>
  </si>
  <si>
    <t>The present invention relates to monovalent influenza vaccine     formulations and vaccination regimes for immunising against influenza     disease, their use in medicine, in particular their use in augmenting     immune responses to various antigens, and to methods of preparation. In     particular, the invention relates to monovalent influenza immunogenic     compositions comprising an influenza antigen or antigenic preparation     thereof from an influenza virus strain being associated with a pandemic     outbreak or having the potential to be associated with a pandemic     outbreak, in combination with an oil-in-water emulsion adjuvant     comprising a metabolisable oil, a sterol or a tocopherol such as     alphatocopherol, and an emulsifying agent.</t>
  </si>
  <si>
    <t>US20090257978</t>
  </si>
  <si>
    <t>Antiviral coumpounds</t>
  </si>
  <si>
    <t>12/215605</t>
  </si>
  <si>
    <t>CHO AESOP; CLARKE MICHAEL O'NEIL HANRAHAN; KIM CHOUNG U; LINK JOHN O; PYUN HYUNG-JUNG; SHENG XIAONING C; WU QIAOYIN; GILEAD SCIENCES INC</t>
  </si>
  <si>
    <t>CHO AESOP; CLARKE MICHAEL O'NEIL HANRAHAN; KIM CHOUNG LINK JOHN PYUN HYUNG-JUNG; SHENG XIAONING WU QIAOYIN; GILEAD SCIENCES</t>
  </si>
  <si>
    <t>C07D 207/16 20130101;  A61P 1/16 20180101;  C07D 403/14 20130101;  A61P 31/16 20180101;  A61P 31/12 20180101;  C07D 401/12 20130101;  C07K 5/0819 20130101;  C07D 401/14 20130101;  C07D 417/14 20130101;  C07K 5/0821 20130101;  C07D 487/04 20130101;  C07K 5/0804 20130101;  A61P 31/14 20180101;  C07D 403/12 20130101;  C07K 5/0808 20130101;  C07D 413/14 20130101</t>
  </si>
  <si>
    <t>US20090247487</t>
  </si>
  <si>
    <t>Combination Therapy to Treat Hepatitis B Virus</t>
  </si>
  <si>
    <t>12/483800</t>
  </si>
  <si>
    <t>Furman; Phillip A.; (Durham, NC);  Painter, III; George R.; (Chapel Hill, NC); Barry; David W.; (Chapel Hill, NC); Rousseau; Franck; (Durham, NC)</t>
  </si>
  <si>
    <t>A61K 31/675 20130101;  A61K 2300/00 20130101;  A61K 2300/00 20130101;  A61K 31/52 20130101;  A61K 31/66 20130101;  A61K 45/06 20130101;  A61K 2300/00 20130101;  A61K 31/70 20130101;  A61K 31/66 20130101;  A61K 31/70 20130101;  A61K 31/675 20130101;  A61K 31/70 20130101;  A61P 31/20 20180101;  A61P 35/00 20180101;  A61P 31/14 20180101;  A61K 31/52 20130101;  A61P 1/16 20180101;  A61P 31/12 20180101;  A61K 31/52 20130101;  A61K 31/70 20130101</t>
  </si>
  <si>
    <t>The present invention is directed to a method for treating hepatitis B     virus infection in humans comprising administering a synergistically     effective amount of agents having known anti-hepatitis B virus activity     in combination or alternation. Specifically, the invention is directed to     a method for treating hepatitis B virus infection comprising     administering FTC in combination or alternation with penciclovir,     famciclovir or Bis-POM-PMEA. Additionally, the invention is directed to a     method for treating hepatitis B virus infection comprising administering     L-FMAU in combination or alternation with DAPD, penciclovir or     Bis-POM-PMEA. The invention is further directed to a method for treating     hepatitis B virus infection comprising administering DAPD in combination     or alternation with Bis-POM-PMEA.</t>
  </si>
  <si>
    <t>US20090233964</t>
  </si>
  <si>
    <t>METHODS FOR IMPROVING THE PHARMACOKINETICS OF HIV INTEGRASE INHIBITORS</t>
  </si>
  <si>
    <t>12/097859</t>
  </si>
  <si>
    <t>JAPAN TOBACCO INC.</t>
  </si>
  <si>
    <t>JAPAN TOBACCO</t>
  </si>
  <si>
    <t>Kearney; Brian P.; (San Francisco, CA); Kakee; Atsuyuki; (Tokyo, JP); Kawaguchi; Isao; (Tokyo, JP)</t>
  </si>
  <si>
    <t>A61K 31/47 20130101</t>
  </si>
  <si>
    <t>The invention provides methods for improving the pharmacokinetics of an     HIV integrase inhibiting compound by administering food and/or ritonavir     or a pharmaceutically acceptable salt thereof with the HIV integrase     inhibitor.</t>
  </si>
  <si>
    <t>US20090227491</t>
  </si>
  <si>
    <t>12/303219</t>
  </si>
  <si>
    <t>Casarez; Anthony; (Princeton, NJ); Chaudhary; Kleem; (Concord, MA); Cho; Aesop; (Mountain View, CA); Clarke; Michael O'Neil Hanrahan; (Redwood City, CA); Doerffler; Edward; (Foster City, CA); Fardis; Maria; (San Carlos, CA); Kim; Choung U.; (San Carlos, CA); Pyun; Hyung-Jung; (Fremont, CA); Sheng; Xiaoning C.; (Foster City, CA); Wang; Jianying; (Foster City, CA)</t>
  </si>
  <si>
    <t>A61P 31/14 20180101;  A61P 31/12 20180101;  A61P 43/00 20180101;  C07F 9/65583 20130101;  A61P 1/16 20180101</t>
  </si>
  <si>
    <t>US20090226043</t>
  </si>
  <si>
    <t>Detecting Behavioral Deviations by Measuring Respiratory Patterns in     Cohort Groups</t>
  </si>
  <si>
    <t>12/042857</t>
  </si>
  <si>
    <t>Angell; Robert Lee; (Salt Lake City, UT); Kraemer; James R.; (Santa Fe, NM)</t>
  </si>
  <si>
    <t>G06K 9/00771 20130101;  G16H 50/80 20180101;  G16H 50/20 20180101;  G08B 21/0476 20130101</t>
  </si>
  <si>
    <t>A computer implemented method, apparatus, and computer usable program     code for detecting behavioral deviations in members of a cohort group. In     one embodiment, a member of a cohort group is identified. Each member of     the cohort group shares a common characteristic. Respiratory metadata     associated with the member of the cohort group is received in real-time     as the respiratory metadata is generated. The respiratory metadata     describes respiration associated with the member of the cohort group.     Patterns of respiratory changes are identified using the respiratory     metadata. The respiratory metadata is analyzed to identify the patterns     of respiratory changes. In response to the patterns of respiratory     changes indicating behavioral deviations in the member of the cohort     group, the member of the cohort group is identified as a person of     interest.</t>
  </si>
  <si>
    <t>US20090202470</t>
  </si>
  <si>
    <t>Phosphonate Analogs of Hiv Inhibitor Compounds</t>
  </si>
  <si>
    <t>11/658419</t>
  </si>
  <si>
    <t>Boojamra; Constantine G.; (San Francisco, CA); Lin; Kuei-Ying; (Sunnyvale, CA); Mackman; Richard L.; (Millbrae, CA); Markevitch; David Y.; (Los Angeles, CA); Petrakosvsky; Oleg V.; (San Mateo, CA); Ray; Adrian S.; (Redwood City, CA); Zhang; Lijun; (Los Altos Hills, CA)</t>
  </si>
  <si>
    <t>C07H 19/00 20130101;  A61K 31/683 20130101;  A61P 31/00 20180101;  A61K 31/683 20130101;  C07H 19/20 20130101;  A61K 31/675 20130101;  A61K 31/513 20130101;  A61P 31/18 20180101;  A61K 31/341 20130101;  A61K 31/662 20130101;  A61K 31/341 20130101;  A61K 45/06 20130101;  C07H 19/16 20130101;  A61K 31/675 20130101;  A61K 31/513 20130101;  C07F 9/65616 20130101;  A61P 31/14 20180101;  A61K 2300/00 20130101;  A61K 2300/00 20130101;  A61K 2300/00 20130101;  A61K 2300/00 20130101;  A61P 43/00 20180101;  A61P 31/20 20180101;  A61P 31/12 20180101</t>
  </si>
  <si>
    <t>US20090196874</t>
  </si>
  <si>
    <t>ANTI-TSG101 ANTIBODIES AND THEIR USES FOR TREATMENT OF VIRAL INFECTIONS</t>
  </si>
  <si>
    <t>12/190802</t>
  </si>
  <si>
    <t>ELI LILLY AND COMPANY</t>
  </si>
  <si>
    <t>LI; Limin; (North Bethesda, MD)</t>
  </si>
  <si>
    <t>C07K 16/1045 20130101;  A61P 31/12 20180101;  A61K 2039/505 20130101;  Y02A 50/386 20180101;  C07K 16/1081 20130101;  Y02A 50/466 20180101;  C07K 16/32 20130101;  A61P 31/18 20180101</t>
  </si>
  <si>
    <t>The invention involves the detection of virally infected cells by     antibodies or antibody fragments which selectively bind to TSG101. TSG101     is on the surface of mammalian cells, and thus available for detection by     antibodies, during viral budding--a phenomenon wherein viral particles     escape a virally infected cell after propagation in that cell, so as to     infect other cells. To achieve budding, a protein, TSG101 is "hijacked"     and misdirected to, or mis-expressed on, the surface of the infected     cell. Antibodies can be used to selectively detect such infected cells.     Certain TSG101 antibodies may provide therapeutic benefit when     administered to infected mammals.</t>
  </si>
  <si>
    <t>US20090192825</t>
  </si>
  <si>
    <t>PROCESS AND SYSTEM FOR ENHANCING MEDICAL PATIENT CARE</t>
  </si>
  <si>
    <t>12/403142</t>
  </si>
  <si>
    <t>PROVIDENCE MEDICAL TECHNOLOGY, INC.</t>
  </si>
  <si>
    <t>PROVIDENCE MEDICAL</t>
  </si>
  <si>
    <t>Hunt; Jacquelyn Suzanne; (North Plains, OR); Siemienczuk; Joseph; (Clackamas, OR)</t>
  </si>
  <si>
    <t>G06F 17/30 20130101;  G06Q 10/10 20130101;  G06Q 30/0201 20130101;  G06Q 40/08 20130101;  G16H 50/80 20180101;  G06Q 50/24 20130101;  G16H 10/60 20180101;  G16H 40/20 20180101;  G16H 50/70 20180101;  G06Q 50/22 20130101</t>
  </si>
  <si>
    <t>A process and/or system that extracts selected information from e.g.     traditional electronics medical records to enable analysis of a     determined medical condition shared by multiple patients. A data     warehouse receives the extracted information and reformats that     information to enable rapid analysis by a health care provider of that     provider's patient population having that medical condition. It further     collects the selective data of the selected patients for multiple health     care providers and enables comparisons of health care providers' success     for such patients to promote upgrading of the treatment by less     successful providers.</t>
  </si>
  <si>
    <t>US20090192362</t>
  </si>
  <si>
    <t>System And Method For Corroborating Transitory Changes In Wellness Status     Against A Patient Population</t>
  </si>
  <si>
    <t>12/352469</t>
  </si>
  <si>
    <t>Sweeney; Robert J.; (Woodbury, MN)</t>
  </si>
  <si>
    <t>A61B 5/021 20130101;  A61B 5/0402 20130101;  A61B 5/0531 20130101;  A61B 5/08 20130101;  G16H 50/80 20180101;  G06F 19/3418 20130101;  G16H 10/60 20180101;  G16H 50/30 20180101;  A61B 5/14532 20130101</t>
  </si>
  <si>
    <t>A system and method for corroborating transitory changes in wellness     status against a patient population through remote patient care is     provided. A population that includes patients under remote patient care     is managed. Physiometry for each patient over corresponding temporal     periods is regularly obtained and contains recorded physiological     measures. A wellness status for each patient is determined. The     physiometry is evaluated against historical data maintained for the     patient over a predetermined temporal period. Each difference in the     physiometry and the historical data that exceeds a testing metric is     flagged as a transitory change. Profiles of the patients in the     population, which are similar, for those patients presenting     corresponding transitory changes are correlated. A cumulative transitory     change for the correlated patients is generated. The transitory change of     each patient is corroborated against the cumulative transitory change to     determine one of a match and deviation in wellness statuses.</t>
  </si>
  <si>
    <t>US20090189759</t>
  </si>
  <si>
    <t>12/185556</t>
  </si>
  <si>
    <t>Wildman; Timothy D.; (Metamora, IN); Gallant; Dennis J.; (Harrison, OH); Hausman; Phillip; (Cary, NC)</t>
  </si>
  <si>
    <t>US20090186869</t>
  </si>
  <si>
    <t>Antiviral compounds</t>
  </si>
  <si>
    <t>12/215601</t>
  </si>
  <si>
    <t>A61P 31/12 20180101;  C07K 5/0812 20130101;  C07D 495/04 20130101;  C07D 417/14 20130101;  A61K 38/00 20130101;  C07D 401/14 20130101;  C07D 487/04 20130101;  A61P 31/14 20180101;  C07D 401/12 20130101;  C07D 403/12 20130101;  C07K 5/0821 20130101;  C07D 413/14 20130101;  C07K 5/0804 20130101;  C07D 405/14 20130101;  A61P 1/16 20180101;  C07K 5/0808 20130101;  C07D 403/04 20130101;  C07D 207/16 20130101;  A61P 43/00 20180101</t>
  </si>
  <si>
    <t>US20090186041</t>
  </si>
  <si>
    <t>12/105462</t>
  </si>
  <si>
    <t>LI; LIMIN; (North Bethesda, MD); Kinch; Michael; (Laytonsville, MD); Goldbiatt; Michael; (McLean, VA)</t>
  </si>
  <si>
    <t>A61K 2039/505 20130101;  C07K 16/28 20130101;  C07K 2317/76 20130101;  C07K 2317/732 20130101;  C07K 2317/34 20130101;  C07K 2317/56 20130101;  A61P 31/12 20180101;  C07K 2317/565 20130101;  A61P 31/18 20180101;  A61P 31/14 20180101;  C07K 16/18 20130101</t>
  </si>
  <si>
    <t>The present invention provides antibodies that bind to the C-terminal     region of TSG101. The invention also provides methods of using the TSG101     antibodies for the treatment of viral infections, including HIV and Ebola     virus infection.</t>
  </si>
  <si>
    <t>US20090179756</t>
  </si>
  <si>
    <t>BIO-SURVEILLANCE SYSTEM</t>
  </si>
  <si>
    <t>12/407141</t>
  </si>
  <si>
    <t>STOUT TODD</t>
  </si>
  <si>
    <t>Stout; Todd; (Rancho Santa Fe, CA)</t>
  </si>
  <si>
    <t>A61B 5/0002 20130101;  A61B 5/1112 20130101;  G16H 50/80 20180101;  G08B 31/00 20130101;  G08B 21/10 20130101</t>
  </si>
  <si>
    <t>A bio-surveillance system monitors symptoms or groups of symptoms     experienced by people in a geographical area. The system tracks symptoms     reported by calls to an emergency service dispatcher. The     bio-surveillance system monitors the symptoms and associates the     geographical location with the symptoms. Various triggers are programmed     and stored in the system to look for certain types of threats. Each     trigger is set based on a statistical variation of the historical data     relating to the symptoms within a predetermined time in a predefined     geographical area. When the reported symptoms exceed one of the triggers,     an alert is activated to provide an indication of a potential biological     or chemical terrorist attack.</t>
  </si>
  <si>
    <t>US20090175909</t>
  </si>
  <si>
    <t>Influenza Hemagglutinin And Neuraminidase Variants</t>
  </si>
  <si>
    <t>12/399312</t>
  </si>
  <si>
    <t>Yang; Chin-Fen; (San Jose, CA); Kemble; George; (Fremont, CA)</t>
  </si>
  <si>
    <t>US20090163712</t>
  </si>
  <si>
    <t>PROCESSES FOR PREPARING HIV REVERSE TRANSCRIPTASE INHIBITORS</t>
  </si>
  <si>
    <t>12/336762</t>
  </si>
  <si>
    <t>Guo; Hongyan; (San Mateo, CA); Heumann; Stacey; (Redwood City, CA); Lee; Ill Young; (Daejeon City, KR); Mitchell; Michael L.; (Hayward, CA); Pfeiffer; Steven; (Pleasanton, CA); Son; Jong Chan; (Daejeon City, KR)</t>
  </si>
  <si>
    <t>A61P 31/18 20180101;  C07D 239/54 20130101</t>
  </si>
  <si>
    <t>Compounds of Formula (I):  ##STR00001## can be prepared by a multi-step process from compounds of Formula (II):  ##STR00002## wherein G is Cl, Br or I.</t>
  </si>
  <si>
    <t>US20090144121</t>
  </si>
  <si>
    <t>Pandemic Cross Training Process</t>
  </si>
  <si>
    <t>11/948735</t>
  </si>
  <si>
    <t>Bank of America</t>
  </si>
  <si>
    <t>BANK AMERICA</t>
  </si>
  <si>
    <t>Chevis; Nelson J.; (Highland Village, TX); Gorczyca; Timothy Edward; (Allen, TX); Zhou; Mian; (Dallas, TX)</t>
  </si>
  <si>
    <t>G06Q 10/08 20130101;  G06Q 50/265 20130101</t>
  </si>
  <si>
    <t>The disclosure relates to a process which determines a cross-training     plan in order to ensure a company or business unit will be better     prepared for a pandemic event by cross-training additional employees in     the most critical services or functions. The pandemic cross-training plan     is determined by utilizing such criteria such as geography,     experience-level, and employee preference to strategically and     systematically cross-train an employee in a critical function. This can     be completed either manually through a criteria matrix approach or     automatically by a computing device and utilizing mathematical formulas.</t>
  </si>
  <si>
    <t>US20090144078</t>
  </si>
  <si>
    <t>Methods and Apparatus for Healthcare Supply Planning for Healthcare     Continuity and/or Patient Surge</t>
  </si>
  <si>
    <t>11/948135</t>
  </si>
  <si>
    <t>Bajars; Erika L.; (Towaco, NJ); Bagnato; Bridget C.; (Allendale, NJ); Callison; Andrew R.; (Hoboken, NJ)</t>
  </si>
  <si>
    <t>G16H 50/80 20180101;  G16H 40/20 20180101;  G06Q 10/10 20130101;  G06Q 50/22 20130101</t>
  </si>
  <si>
    <t>Methods and apparatus for determining a minimum recommended healthcare     product supply to maintain a healthcare facility through a supply chain     disruption, patient surge or a combination of both are described.     Embodiments of the invention include the ability to make a combined list     of healthcare products, minimizing the number of different healthcare     products which are required to maintain a minimum inventory.</t>
  </si>
  <si>
    <t>US20090143314</t>
  </si>
  <si>
    <t>12/195161</t>
  </si>
  <si>
    <t>Dahl; Terrence C.; (Sunnyvale, CA); Menning; Mark M.; (San Francisco, CA); Oliyai; Reza; (San Carlos, CA)</t>
  </si>
  <si>
    <t>A61K 9/2054 20130101;  A61P 31/00 20180101;  A61K 9/2013 20130101;  A61K 31/675 20130101;  A61K 9/2059 20130101;  A61K 31/683 20130101;  A61K 31/7076 20130101;  A61K 31/513 20130101;  A61P 31/12 20180101;  A61K 31/7076 20130101;  A61P 43/00 20180101;  A61K 31/513 20130101;  A61K 9/2018 20130101;  A61K 2300/00 20130101;  A61K 45/06 20130101;  A61K 2300/00 20130101;  A61K 2300/00 20130101;  A61P 31/18 20180101;  A61K 9/2009 20130101;  A61K 31/675 20130101</t>
  </si>
  <si>
    <t>The present invention relates to therapeutic combinations of     [2-(6-amino-purin-9-yl)-1-methyl-ethoxymethyl]-phosphonic acid     diisopropoxycarbonyloxymethyl ester (tenofovir disoproxil fumarate,     Viread.RTM.) and (2R, 5S,     cis)-4-amino-5-fluoro-1-(2-hydroxymethyl-1,3-oxathiolan-5-yl)-(1H)-pyrimi-    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</si>
  <si>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US20090137882</t>
  </si>
  <si>
    <t>System and a method for detecting an endemic or an epidemic disease</t>
  </si>
  <si>
    <t>12/283428</t>
  </si>
  <si>
    <t>H4D INTERNATIONAL S.A.</t>
  </si>
  <si>
    <t>H4D</t>
  </si>
  <si>
    <t>Baudino; Franck; (Neuilly Sur Seine, FR); Baudino; Laurent; (Boulogne Billancourt, FR)</t>
  </si>
  <si>
    <t>A61B 5/6888 20130101;  A61B 2560/0242 20130101;  G06F 19/34 20130101;  G06F 19/3493 20130101;  G16H 50/80 20180101;  A61B 5/0002 20130101</t>
  </si>
  <si>
    <t>This system of detecting endemic or epidemic diseases includes an     analysis center connected by a computer network to a number of health     booths in which health data can be measured and stored with the     conditions under which the measurements are taken. The analysis center     generates an alert automatically if an endemic or epidemic disease is     detected.</t>
  </si>
  <si>
    <t>US20090137881</t>
  </si>
  <si>
    <t>Linked animal-human health visual analytics</t>
  </si>
  <si>
    <t>12/286756</t>
  </si>
  <si>
    <t>Ebert; David S.; (West Lafayette, IN); Maciejewski; Ross Larry; (Lafayette, IN); Tyner; Benjamin N.; (Lafayette, IN); Jang; Yun; (West Lafayette, IN); Cleveland; William; (Lafayette, IN); Amass; Sandra; (Lafayette, IN)</t>
  </si>
  <si>
    <t>Coordinated animal-human health monitoring can provide an early warning     system with fewer false alarms for naturally occurring disease outbreaks,     as well as biological, chemical and environmental incidents. This     monitoring requires the integration and analysis of multi-field,     multi-scale and multi-source data sets. In order to better understand     these data sets, models and measurements at different resolutions must be     analyzed. To facilitate these investigations, we have created an     application to provide a visual analytics framework for analyzing both     human emergency room data and veterinary hospital data. Our integrated     visual analytic tool links temporally varying geospatial visualization of     animal and human patient health information with advanced statistical     analysis of these multi-source data. Various statistical analysis     techniques have been applied in conjunction with a spatio-temporal     viewing window. Such an application provides researchers with the ability     to visually search the data for clusters in both a statistical model view     and a spatio-temporal view. Our interface provides a factor     specification/filtering component to allow exploration of causal factors     and spread patterns. In this paper, we will discuss the application of     our linked animal-human visual analytics (LAHVA) tool to two specific     case studies. The first case study is the effect of seasonal influenza     and its correlation with different companion animals (e.g., cats, dogs)     syndromes. Here we use data from the Indiana Network for Patient Care     (INPC) and Banfield Pet Hospitals in an attempt to determine if there are     correlations between respiratory syndromes representing the onset of     seasonal influenza in humans and general respiratory syndromes in cats     and dogs. Our second case study examines the effect of the release of     industrial wastewater in a community through companion animal     surveillance.</t>
  </si>
  <si>
    <t>US20090136530</t>
  </si>
  <si>
    <t>Influenza Hemagglutinin and Neuraminidase Variants</t>
  </si>
  <si>
    <t>12/354085</t>
  </si>
  <si>
    <t>US20090099783</t>
  </si>
  <si>
    <t>Stage Specific Prognostic In Vivo Markers of Brain Aging and Dementia</t>
  </si>
  <si>
    <t>12/134768</t>
  </si>
  <si>
    <t>REISBERG, BARRY</t>
  </si>
  <si>
    <t>REISBERG BARRY</t>
  </si>
  <si>
    <t>Reisberg; Barry; (New York, NY)</t>
  </si>
  <si>
    <t>A method for the identification of treatments and preventative agents for     brain aging, subjective cognitive impairment (SCI), mild cognitive     impairment (MCI), Alzheimer's disease (AD) and other degenerative     dementias, the method including (a) the identification of the diagnosis     and stage of the subject, (b) the identification of the duration of the     stage of the condition and/or disorder, (c) the identification of     prognostic markers based upon a formula incorporating the duration of the     condition and/or stage, (d) the prospective separation of prognostic     subgroups based upon outcome wherein the outcome is defined in these     conditions as progression to a subsequent stage or stages, (e) the     employment of a putative prognostic marker for an appropriate period of     time, based upon the formula incorporating the duration of the condition     and/or stage, (f) the application of in vivo, methodology specific     techniques, in conjunction with stage specific prognostic subgroups, for     the appropriate time period, for the identification, prospectively, of     useful markers, (g) the employment of these markers to identify useful     therapeutic agents for prevention and treatment.</t>
  </si>
  <si>
    <t>US20090087438</t>
  </si>
  <si>
    <t>12/184330</t>
  </si>
  <si>
    <t>LI; LIMIN; (North Bethesda, MD)</t>
  </si>
  <si>
    <t>C07K 2317/76 20130101;  C07K 2317/34 20130101;  C07K 16/1081 20130101;  A61P 31/12 20180101;  Y02A 50/386 20180101;  C07K 16/18 20130101;  A61P 31/14 20180101;  C07K 16/1045 20130101;  C07K 16/32 20130101;  A61P 31/18 20180101;  C07K 16/28 20130101;  A61K 2039/505 20130101</t>
  </si>
  <si>
    <t>The present invention provides methods of using antibodies that bind a     TSG101 protein to inhibit or reduce viral production. The invention also     provides methods of using the TSG101 antibodies for the treatment of     viral infections, including HIV infection. The invention further provides     methods of detecting viral infected cells using TSG101 antibodies.</t>
  </si>
  <si>
    <t>US20090076851</t>
  </si>
  <si>
    <t>Early detection of disease outbreak using electronic patient data to     reduce public health threat from bio-terrorism</t>
  </si>
  <si>
    <t>12/190675</t>
  </si>
  <si>
    <t>Rao; R. Bharat; (Berwyn, PA)</t>
  </si>
  <si>
    <t>G06Q 30/0202 20130101;  G06Q 50/22 20130101;  G06Q 50/24 20130101;  Y10S 707/99939 20130101;  Y02A 90/24 20180101;  G16H 50/80 20180101;  Y02A 90/26 20180101;  Y02A 90/22 20180101;  Y10S 707/99945 20130101</t>
  </si>
  <si>
    <t>A method is provided for automatically identifying a disease outbreak     indicative of a potential bio-terror attack. Patient records are mined     from structured and unstructured clinical sources. The patient records     are then analyzed by correlating selected patient data contained in the     patient records with disease indicia for each of a plurality of diseases.     A probability of a disease outbreak is estimated at least in part based     on these correlations. Suspicion may also be indicated if anomalous     disease clusters are found. If any of the estimated probabilities exceeds     a threshold value, a disease outbreak alert is outputted. The disease     indicia may be defined by disease progression models, which may be stored     in a disease knowledge base.</t>
  </si>
  <si>
    <t>US20090070134</t>
  </si>
  <si>
    <t>TRACKING COMMUNICABLE PATHOGENS</t>
  </si>
  <si>
    <t>11/851151</t>
  </si>
  <si>
    <t>BEE CAVE, LLC</t>
  </si>
  <si>
    <t>BEE CAVE</t>
  </si>
  <si>
    <t>Rodgers; Mark E.; (Jackson, MS)</t>
  </si>
  <si>
    <t>G16H 50/80 20180101;  G06Q 50/22 20130101</t>
  </si>
  <si>
    <t>Methods, systems, computer program products, and data structures are used     for tracking communicable pathogens in a healthcare facility. An     individual is digitally tagged as been at risk for spreading communicable     pathogens upon coming into contact with another individually that is     digitally tagged as been at risk for spreading communicable pathogens.     Digitally tagged individuals can be patients that are diagnosed with a     communicable disease, individuals that come into contact with patients     diagnosed with a communicable disease, and individuals that come into     contact with other individuals (e.g., that through a chain of one or more     other contacts) have been in contact with patients diagnosed with a     communicable disease. Staff members and visitors digitally tagged through     contact can perform appropriate hygiene procedures to remove their     digitally tagged status. A system sensor can be used to track individual     contacts and activation of hygiene equipment.</t>
  </si>
  <si>
    <t>US20090068719</t>
  </si>
  <si>
    <t>IMMUNOASSAYS, HAPTENS, IMMUNOGENS AND ANTIBODIES FOR ANTI-HIV THERAPEUTICS</t>
  </si>
  <si>
    <t>11/972874</t>
  </si>
  <si>
    <t>VALDEZ JOHNNY</t>
  </si>
  <si>
    <t>Valdez; Johnny; (Fremont, CA)</t>
  </si>
  <si>
    <t>G01N 33/94 20130101;  G01N 33/56988 20130101;  A61K 31/522 20130101;  C07K 16/44 20130101</t>
  </si>
  <si>
    <t>This invention provides compounds, methods, immunoassays, and kits     relating to active, metabolically sensitive ("met-sensitive") moieties of     anti-HIV therapeutics, such as HIV protease inhibitors (PI) and HIV     non-nucleoside reverse transcriptase inhibitors (NNRTI).</t>
  </si>
  <si>
    <t>US20090048189</t>
  </si>
  <si>
    <t>TRICYCLIC-NUCLEOSIDE COMPOUNDS FOR TREATING VIRAL INFECTIONS</t>
  </si>
  <si>
    <t>11/839380</t>
  </si>
  <si>
    <t>GENELABS TECHNOLOGIES, INC.</t>
  </si>
  <si>
    <t>GENELABS</t>
  </si>
  <si>
    <t>KEICHER; Jesse Daniel; (San Carlos, CA); Roberts; Christopher Don; (Belmont, CA); Reinhard Liehr; Sebastian Johannes; (Palo Alto, CA); Zheng; Xiaoling; (Fremont, CA); Prhavc; Marija; (Encinitas, CA); Rajwanshi; Vivek Kumar; (Cupertino, CA); Griffith; Ronald Conrad; (Escondido, CA); Kim; Choung U.; (San Carlos, CA)</t>
  </si>
  <si>
    <t>A61P 31/14 20180101;  C07H 19/23 20130101</t>
  </si>
  <si>
    <t>Disclosed are tricyclic nucleoside compounds of formula (I), and methods     thereof for treating viral infections mediated at least in part by a     Flaviviridae family virus.  ##STR00001##</t>
  </si>
  <si>
    <t>US20090047252</t>
  </si>
  <si>
    <t>12/215266</t>
  </si>
  <si>
    <t>Cai; Zhenhong R.; (Palo Alto, CA); Cho; Aesop; (Mountain View, CA); Kim; Choung U.; (San Carlos, CA); Xu; Jie; (Foster City, CA)</t>
  </si>
  <si>
    <t>C07D 403/14 20130101;  C07K 5/0808 20130101;  A61P 31/14 20180101;  C07D 417/14 20130101;  C07D 403/12 20130101;  C07K 5/0804 20130101;  C07D 487/04 20130101;  A61P 31/12 20180101</t>
  </si>
  <si>
    <t>US20090036408</t>
  </si>
  <si>
    <t>12/204174</t>
  </si>
  <si>
    <t>A61K 31/7076 20130101;  A61K 9/2009 20130101;  A61K 45/06 20130101;  A61K 31/7076 20130101;  A61P 31/12 20180101;  A61K 31/513 20130101;  A61P 31/18 20180101;  A61K 9/2059 20130101;  A61K 9/2054 20130101;  A61K 31/513 20130101;  A61K 31/675 20130101;  A61K 9/2013 20130101;  A61P 43/00 20180101;  A61P 31/00 20180101;  A61K 9/2018 20130101;  A61K 31/683 20130101;  A61K 31/675 20130101;  A61K 2300/00 20130101;  A61K 2300/00 20130101;  A61K 2300/00 20130101</t>
  </si>
  <si>
    <t>The present invention relates to therapeutic combinations of     [2-(6-amino-purin-9-yl)-1-methyl-ethoxymethyl]-phosphonic acid     diisopropoxycarbonyloxymethyl ester (tenofovir disoproxil fumarate,     Viread.RTM.) and (2R,5S,     cis)-4-amino-5-fluoro-1-(2-hydroxymethyl-1,3-oxathiolan-5-yl)-(1H)-pyrimi-    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</si>
  <si>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US20090028784</t>
  </si>
  <si>
    <t>12/153612</t>
  </si>
  <si>
    <t>Garcia-Martinez; Leon; (Woodinville, WA); Jensen; Anne Elisabeth Carvalho; (Edmonds, WA); Olson; Katie; (Kenmore, WA); Dutzar; Ben; (Seattle, WA); Ojala; Ethan; (Lynnwood, WA); Kovacevich; Brian; (Snohomish, WA); Latham; John; (Seattle, WA); Smith; Jeffrey T. L.; (Redmond, WA)</t>
  </si>
  <si>
    <t>A61P 29/00 20180101;  C07K 16/248 20130101;  A61K 39/3955 20130101;  A61K 45/06 20130101;  A61P 7/00 20180101;  A61P 35/02 20180101;  A61P 37/02 20180101;  A61P 17/06 20180101;  A61P 37/08 20180101;  A61P 25/28 20180101;  A61P 11/06 20180101;  A61P 31/20 20180101;  A61P 3/02 20180101;  A61P 11/00 20180101;  A61P 9/14 20180101;  A61P 37/06 20180101;  A61P 13/12 20180101;  A61P 15/06 20180101;  A61P 25/24 20180101;  A61P 3/10 20180101;  A61P 35/04 20180101;  A61P 25/00 20180101;  A61P 37/00 20180101;  A61P 39/02 20180101;  C07K 2317/34 20130101;  A61P 19/08 20180101;  A61P 9/10 20180101;  A61P 21/00 20180101;  A61P 19/02 20180101;  A61P 15/00 20180101;  A61P 19/10 20180101;  C07K 2317/41 20130101;  A61P 1/14 20180101;  C07K 2317/24 20130101;  C07K 2317/20 20130101;  A61P 7/02 20180101;  A61P 43/00 20180101;  A61P 31/16 20180101;  A61P 31/04 20180101;  A61P 7/06 20180101;  A61P 9/12 20180101;  A61P 11/16 20180101;  A61P 9/00 20180101;  A61P 9/04 20180101;  A61P 3/00 20180101;  A61P 35/00 20180101;  A61K 2039/505 20130101;  A61P 3/04 20180101;  A61P 13/08 20180101;  C07K 2317/76 20130101;  A61P 17/00 20180101;  C07K 2317/94 20130101;  A61P 1/04 20180101</t>
  </si>
  <si>
    <t>US20090024332</t>
  </si>
  <si>
    <t>DIAGNOSING INAPPARENT DISEASES FROM COMMON CLINICAL TESTS USING  BAYESIAN     ANALYSIS</t>
  </si>
  <si>
    <t>12/140880</t>
  </si>
  <si>
    <t>QUEST DIAGNOSTICS INVESTMENTS INCORPORATED</t>
  </si>
  <si>
    <t>QUEST DIAGNOSTICS INVESTMENTS</t>
  </si>
  <si>
    <t>Karlov; Valeri I.; (Boston, MA); Kasten; Bernard; (Cincinnati, OH); Padilla; Carlos E.; (Lexington, MA); Maggio; Edward T.; (San Diego, CA); Billingsley; Frank; (Alexandria, VA)</t>
  </si>
  <si>
    <t>G06Q 50/22 20130101;  G16H 10/20 20180101;  G16H 10/60 20180101;  G16H 50/30 20180101;  G16H 50/70 20180101;  Y02A 90/24 20180101;  G16H 15/00 20180101;  G16H 50/80 20180101;  Y02A 90/26 20180101;  Y02A 90/22 20180101;  G16H 50/20 20180101</t>
  </si>
  <si>
    <t>A system and method of diagnosing diseases from biological data is     disclosed. A system for automated disease diagnostics prediction can be     generated using a database of clinical test data. The diagnostics     prediction can also be used to develop screening tests to screen for one     or more inapparent diseases. The prediction method can be implemented     with Bayesian probability estimation techniques. The system and method     permit clinical test data to be analyzed and mined for improved disease     diagnosis.</t>
  </si>
  <si>
    <t>US20090012037</t>
  </si>
  <si>
    <t>Antiviral Compounds</t>
  </si>
  <si>
    <t>11/658628</t>
  </si>
  <si>
    <t>Boojamra; Constantine G.; (San Francisco, CA); Lin; Kuei-Ying; (Sunnyvale, CA); Mackman; Richard L.; (Millbrae, CA); Markevitch; David Y.; (Los Angeles, CA); Petrakovsky; Oleg V.; (San Mateo, CA); Ray; Adrian S.; (Redwood City, CA); Zhang; Lijun; (Los Altos Hills, CA)</t>
  </si>
  <si>
    <t>A61K 31/675 20130101;  A61P 31/14 20180101;  C07H 19/00 20130101;  C07H 19/20 20130101;  A61K 31/341 20130101;  C07F 9/65616 20130101;  A61K 31/662 20130101;  A61K 31/683 20130101;  A61P 31/00 20180101;  A61P 43/00 20180101;  C07H 19/16 20130101;  A61P 31/12 20180101;  A61P 31/20 20180101;  A61K 2300/00 20130101;  A61K 2300/00 20130101;  A61K 2300/00 20130101;  A61K 2300/00 20130101;  A61K 31/513 20130101;  A61K 31/675 20130101;  A61K 31/341 20130101;  A61K 31/683 20130101;  A61K 31/513 20130101;  A61K 45/06 20130101;  A61P 31/18 20180101</t>
  </si>
  <si>
    <t>US20090004047</t>
  </si>
  <si>
    <t>Air Supply Apparatus</t>
  </si>
  <si>
    <t>12/093040</t>
  </si>
  <si>
    <t>HUNTER, CHARLES ERIC</t>
  </si>
  <si>
    <t>HUNTER CHARLES</t>
  </si>
  <si>
    <t>Hunter; Eric C.; (Jefferson, NC); Hunter; Jocelyn L.; (Jefferson, NC); Ballou, JR.; Bernard L.; (Raleigh, NC); Hebrank; John H.; (Durham, NC); McNeil; Laurie E.; (Chapel Hill, NC)</t>
  </si>
  <si>
    <t>A62B 11/00 20130101;  A62B 23/02 20130101;  A61L 9/205 20130101</t>
  </si>
  <si>
    <t>In an air sterilization system that includes a UV kill chamber for     sterilizing air that is to be supplied to users, the effectiveness of     killing or neutralizing pathogens is increased by including not only a UV     light source of a certain intensity but also including a particle filter     and providing short duration high intensity UV radiation. In the case of     a user specific system that includes a face mask to supply air to a     specific user, exhaled air from the face mask may be sterilized as well,     either by using the same kill chamber or by using a separate kill     chamber.</t>
  </si>
  <si>
    <t>US20080319800</t>
  </si>
  <si>
    <t>Method for the construction and utilization of a medical records system</t>
  </si>
  <si>
    <t>12/217719</t>
  </si>
  <si>
    <t>Illinois Institute of Technology; Northwestern University</t>
  </si>
  <si>
    <t>ILLINOIS INSTITUTE TECHNOLOGY; NORTHWESTERN UNIVERSITY</t>
  </si>
  <si>
    <t>Schaeffer; Anthony J.; (Hinsdale, IL); Frieder; Ophir; (Chicago, IL)</t>
  </si>
  <si>
    <t>G06Q 30/02 20130101;  G06Q 50/22 20130101;  G16H 50/20 20180101;  G16H 10/20 20180101;  G06Q 50/24 20130101</t>
  </si>
  <si>
    <t>A method for the construction and utilization of a medical records system     capable of providing a continuous data stream of epidemiological data to     the records system via kits provided to the symptomatic population to     obtain and record an epidemiological profile in a searchable database by     applying data mining or automated intelligence techniques whereby, when a     valid epidemiological profile is established in the database, automated     diagnosis and prescription of treatment may be had for patients     presenting similar symptoms. Knowledge discovery techniques may further     operate on the database to provide suggested courses of treatment for a     virtual class of patients, epidemic threat awareness, and knowledge of     drug resistance mutations by a pathogen without direct query of the     database.</t>
  </si>
  <si>
    <t>US20080317799</t>
  </si>
  <si>
    <t>NANOEMULSION THERAPEUTIC COMPOSITIONS AND METHODS OF USING THE SAME</t>
  </si>
  <si>
    <t>12/114573</t>
  </si>
  <si>
    <t>Baker; James R.; (Ann Arbor, MI); Rathinavelu; Sivaprakash; (Naperville, IL); Makidon; Paul E.; (Webberville, MI); LiPuma; John J.; (Ann Arbor, MI); Nigavekar; Shraddha; (Columbia, TN)</t>
  </si>
  <si>
    <t>A23V 2002/00 20130101;  A23L 33/135 20160801;  A61K 9/1075 20130101;  A61K 31/22 20130101;  A61K 31/337 20130101;  A61K 31/573 20130101;  A61K 31/7048 20130101;  B82Y 5/00 20130101;  A61K 9/0078 20130101;  A23L 29/10 20160801;  A01N 25/04 20130101;  A61K 6/0008 20130101;  A61K 31/198 20130101;  A61K 33/14 20130101;  A61K 45/06 20130101;  A61K 47/32 20130101;  A23V 2002/00 20130101;  A23V 2200/25 20130101</t>
  </si>
  <si>
    <t>The present invention relates to methods and compositions for treating pulmonary infection. In particular, the present invention provides nanoemulsion compositions and methods of using the same to treat bacteria associated with biofilms (e.g., found in pulmonary infections). Compositions and methods of the present invention find use in, among other things, clinical (e.g. therapeutic and preventative medicine), industrial, and research applications.</t>
  </si>
  <si>
    <t>US20080311153</t>
  </si>
  <si>
    <t>ATTENUATED INFLUENZA VIRUS AND A LIVE VACCINE COMPRISING THE SAME</t>
  </si>
  <si>
    <t>11/764532</t>
  </si>
  <si>
    <t>RAPAVAX INC.</t>
  </si>
  <si>
    <t>RAPAVAX</t>
  </si>
  <si>
    <t>Seong; Baik Lin; (Seoul, KR); Lee; Kwang Hee; (Gyeonggido, KR); Seo; Sang Uk; (Seoul, KR)</t>
  </si>
  <si>
    <t>A61K 39/145 20130101;  A61K 2039/5254 20130101;  C12N 7/00 20130101;  C12N 2760/16134 20130101;  A61K 2039/543 20130101;  A61K 2039/58 20130101;  A61K 2039/70 20130101;  C12N 2760/16234 20130101;  A61K 39/12 20130101</t>
  </si>
  <si>
    <t>The present invention relates to an isolated attenuated influenza virus     strain and a live vaccine comprising the same. The isolated attenuated     influenza virus strain is prepared by cold-adaptation of a mother strain     which carries 6 internal genomes of A/PR/8/34(H1N1) and two surface     antigens HA and NA of A/Aichi/2/68(H3N2). The attenuated influenza virus     strain and the live vaccine of the present invention are useful for     prevention of seasonal influenza episodes and sudden outbreak of     influenza pandemics of predicted or unknown identity, since they have     safety, efficacy, high production yield, immediate protection against     variety of influenza subtypes and prolonged protection against specific     influenza subtype.</t>
  </si>
  <si>
    <t>US20080311135</t>
  </si>
  <si>
    <t>IMMUNE COMPLEX VACCINATION AS A STRATEGY TO ENHANCE IMMUNITY IN THE ELDERLY AND OTHER IMMUNE COMPROMISED POPULATIONS</t>
  </si>
  <si>
    <t>12/125203</t>
  </si>
  <si>
    <t>Zheng; Biao; (Sugar Land, TX); Han; Shuhua; (Sugar Land, TX)</t>
  </si>
  <si>
    <t>A61K 39/39 20130101;  A61K 2039/55516 20130101;  C07K 16/1018 20130101;  C07K 16/1063 20130101;  C07K 16/44 20130101;  C07K 2317/32 20130101;  C07K 2317/92 20130101</t>
  </si>
  <si>
    <t>The present invention generally concerns methods and compositions for improving the immune system of an individual that is an immune-compromised individual. In particular aspects, the immune-compromised individual is elderly or is immunosuppressed, such as from chemotherapy or immunosuppressants following organ or tissue transplantation. In specific embodiments, the invention relates to delivery to the immune-compromised individual of immune complexes harboring an antigen and an antibody that immunologically recognizes the antigen. The antigen may be viral, bacterial, or fungal, for example.</t>
  </si>
  <si>
    <t>US20080306896</t>
  </si>
  <si>
    <t>Detection of epidemic outbreaks with Persistent Causal-chain Dynamic     Bayesian Networks</t>
  </si>
  <si>
    <t>11/806996</t>
  </si>
  <si>
    <t>Dash; Denver; (Pittsburgh, PA)</t>
  </si>
  <si>
    <t>A method for determining a probability of a hidden variable from an     observed variable in a Dynamic Bayesian Network is presented. The method     includes identifying the network based on predetermined criteria,     determining a number of hidden variables in a time slice of the network,     determining a number of the time slices of the network, and determining     the probability of the hidden variable from the observed variable in less     than exponential time with respect to the number of hidden variables.</t>
  </si>
  <si>
    <t>US20080300921</t>
  </si>
  <si>
    <t>METHOD FOR RAPID TRACKING OF TRAUMA VICTIMS</t>
  </si>
  <si>
    <t>12/132668</t>
  </si>
  <si>
    <t>CARLTON MARTHA E</t>
  </si>
  <si>
    <t>CARLTON MARTHA</t>
  </si>
  <si>
    <t>Carlton; Martha E.; (Livonia, MI)</t>
  </si>
  <si>
    <t>G06Q 50/22 20130101;  G16H 50/80 20180101;  G16H 10/65 20180101;  G16H 10/60 20180101</t>
  </si>
  <si>
    <t>A method for rapid identification and treatment of a group of trauma     victims at an initial location comprises the steps of attaching a     wristband containing machine readable information to each victim of the     group, wherein the information comprises both patient information and     first responder information, wherein the patient information comprises     personal identifier information about the patient, and the first     responder information comprises information about a first responder to     the trauma victim, and uploading the information on the wristband into a     database. Such trauma victim information may be uploaded into a     government disaster database. The data in the database may be used to     track and develop statistics, trends and movement of the victims.</t>
  </si>
  <si>
    <t>US20080299151</t>
  </si>
  <si>
    <t>12/156456</t>
  </si>
  <si>
    <t>Fomsgaard; Anders; (Frederiksberg, DK)</t>
  </si>
  <si>
    <t>US20080288293</t>
  </si>
  <si>
    <t>SYSTEM AND METHOD FOR VIRTUAL HEALTH SERVICES</t>
  </si>
  <si>
    <t>12/144708</t>
  </si>
  <si>
    <t>Brown, JR.; Jacob T.; (Charleston, SC)</t>
  </si>
  <si>
    <t>G06F 19/3418 20130101;  G06Q 10/00 20130101;  G06Q 50/22 20130101;  G16H 50/80 20180101;  G16H 80/00 20180101;  G16H 10/60 20180101;  G06Q 50/24 20130101</t>
  </si>
  <si>
    <t>A system and method for allowing health providers and patients to     communicate from a remote location independent of physical location is     disclosed. Health codes are provided to a health provider after the     health provider registers with an online website. The code allows the     provider access to a medical records database. A patient health code is     further established, such that the patient is also allowed access to the     medical records database, whereby an interactive communication means is     provided for consultations and diagnoses regarding the records of the     database.</t>
  </si>
  <si>
    <t>US20080279420</t>
  </si>
  <si>
    <t>VIDEO AND AUDIO MONITORING FOR SYNDROMIC SURVEILLANCE FOR INFECTIOUS     DISEASES</t>
  </si>
  <si>
    <t>11/037914</t>
  </si>
  <si>
    <t>Masticola; Stephen P.; (Kingston, NJ); Beard; David Volk; (Inkom, ID); Comaniciu; Dorin; (Princeton Jct., NJ); Rosca; Justinian; (West Windsor, NJ)</t>
  </si>
  <si>
    <t>A61B 5/01 20130101;  A61B 5/0823 20130101;  A61B 5/1113 20130101;  A61B 5/1123 20130101;  G16H 50/80 20180101;  A61B 5/7275 20130101;  A61B 7/003 20130101;  G08B 31/00 20130101;  A61B 5/1128 20130101</t>
  </si>
  <si>
    <t>We present, in exemplary embodiments of the present invention, novel     systems and methods for syndromic surveillance that can automatically     monitor symptoms that may be associated with the early presentation of a     syndrome (e.g., fever, coughing, sneezing, runny nose, sniffling,     rashes). Although not so limited, the novel surveillance systems     described herein can be placed in common areas occupied by a crowd of     people, in accordance with local and national laws applicable to such     surveillance. Common areas may include public areas (e.g., an airport,     train station, sports arena) and private areas (e.g., a doctor's waiting     room). The monitored symptoms may be transmitted to a responder (e.g., a     person, an information system) outside of the surveillance system, such     that the responder can take appropriate action to identifying, treat and     quarantine potentially infected individuals, as necessary.</t>
  </si>
  <si>
    <t>US20080274214</t>
  </si>
  <si>
    <t>Medicament For The Prevention and Treatment Of Influenza</t>
  </si>
  <si>
    <t>12/065663</t>
  </si>
  <si>
    <t>PANDALIS GEORGIOS</t>
  </si>
  <si>
    <t>Pandalis; Georgios; (Glandorf, DE)</t>
  </si>
  <si>
    <t>A61K 36/185 20130101</t>
  </si>
  <si>
    <t>The invention relates to the use of an extract from plants of the genus     Cistus for the preparation of a medicament for the prevention and     treatment of influenza, in particular of the avian flu and viral strains     derived from the avian flu in the course of an impending pandemic.</t>
  </si>
  <si>
    <t>US20080274095</t>
  </si>
  <si>
    <t>Biocides</t>
  </si>
  <si>
    <t>11/665950</t>
  </si>
  <si>
    <t>Homan; Jane; (Hillpoint, WI); Imboden; Michael; (Madison, WI); Riggs; Michael W.; (Tucson, AZ); Carryn; Stephane; (Zaventen, BE)</t>
  </si>
  <si>
    <t>A23B 4/20 20130101;  A23L 3/3463 20130101;  A61L 2/18 20130101;  A61L 2/23 20130101;  C02F 1/50 20130101;  C02F 2103/02 20130101;  A61K 38/1729 20130101;  A61K 38/40 20130101;  A61K 38/465 20130101;  A01N 63/02 20130101</t>
  </si>
  <si>
    <t>The present invention relates to the use of biocide (e.g., bactericidal enzyme) to target pathogens. In particular, the present invention provides biocides for use in health care (e.g., human and veterinary), agriculture (e.g., animal and plant production), and food processing (e.g., water purification).</t>
  </si>
  <si>
    <t>US20080270628</t>
  </si>
  <si>
    <t>Event Notification Network</t>
  </si>
  <si>
    <t>10/594670</t>
  </si>
  <si>
    <t>BRITISH TELECOMMUNICATIONS PUBLIC LIMITED COMPANY</t>
  </si>
  <si>
    <t>BRITISH TELECOMMUNICATIONS PUBLIC</t>
  </si>
  <si>
    <t>Nekovee; Maziar; (Suffolk, GB); Burbridge; Trevor; (Suffolk, GB); Soppera; Andrea; (Suffolk, GB)</t>
  </si>
  <si>
    <t>H04L 47/10 20130101;  H04L 69/04 20130101;  H04L 67/2828 20130101;  H04L 67/04 20130101;  H04L 67/12 20130101;  H04L 67/2842 20130101;  H04L 67/10 20130101;  H04L 67/28 20130101</t>
  </si>
  <si>
    <t>Data collected by sensors (10, 30) is transmitted to data collection     points (31, 61) over a network using an epidemic protocol in which data     received by a relay (3) is forwarded to a randomly-selected group of     further relays (4, 5, 6) unless the same data has been previously     received by the relay (3) or the data is time-expired. Data received by a     relay (3) from different sources (1, 2, 30) in the same time-frame is     aggregated using a Bloom filter process so that in each time frame only a     single Bloom filter message is transmitted by each relay.</t>
  </si>
  <si>
    <t>US20080270200</t>
  </si>
  <si>
    <t>SYSTEM AND METHODS FOR PANDEMIC PLANNING</t>
  </si>
  <si>
    <t>11/741927</t>
  </si>
  <si>
    <t>Khan; Amir; (Brookfield, CT); Meyer; Harald; (Altdorf, DE); Moore; John; (Brownsburg, IN); Waddell; Blanche M.; (White Plains, NY)</t>
  </si>
  <si>
    <t>G06Q 10/06 20130101;  G06Q 10/0631 20130101;  G06Q 10/06311 20130101;  G06Q 10/06316 20130101;  G06Q 10/0637 20130101;  G06Q 10/06398 20130101</t>
  </si>
  <si>
    <t>A method for pandemic planning includes conducting a preparation stage comprising identifying and inventorying core requirements of an entity's operation; conducting a planning stage including developing action plans to implement the identified core requirements; conducting a practice stage including simulating the action plans; and conducting a performance stage including executing the plans. Each stage considers four focus areas: a people focus area, a policy focus area, a process focus area, and a politics focus area.</t>
  </si>
  <si>
    <t>US20080270029</t>
  </si>
  <si>
    <t>METHOD FOR DETERMINING AND REPORTING THE PRESENCE OF RED TIDE AT BEACHES</t>
  </si>
  <si>
    <t>11/742010</t>
  </si>
  <si>
    <t>MOTE MARINE LABORATORY</t>
  </si>
  <si>
    <t>Kirkpatrick; Barbara A.; (Sarasota, FL); Currier; Robert D.; (Clarksville, VA)</t>
  </si>
  <si>
    <t>Human observers stationed on or near beaches gather subjective     observations of one or more observable beach conditions associated with     respiratory distress. Subjectively determined observations such as dead     fish and audible coughing provide a better indication of the likelihood     of respiratory distress than measurements made using scientific     instruments. The observations may be sent to a remote central database     using handheld communication devices. A beach status evaluation is     determined based on stored observations, and may be provided to     beachgoers through Internet web pages or by telephone or text-message to     enable beachgoers to choose an alternative beach or alternative activity     when respiratory distress is likely.</t>
  </si>
  <si>
    <t>US20080269571</t>
  </si>
  <si>
    <t>REMOTE HEALTH MONITORING SYSTEM</t>
  </si>
  <si>
    <t>12/137660</t>
  </si>
  <si>
    <t>Robert Bosch</t>
  </si>
  <si>
    <t>ROBERT BOSCH</t>
  </si>
  <si>
    <t>Brown; Stephen J.; (Woodside, CA); Gunabushanam; Gowthaman; (Hyderabad, IN)</t>
  </si>
  <si>
    <t>G06F 19/3418 20130101;  G16H 50/80 20180101;  Y10S 128/92 20130101;  A61B 5/0022 20130101</t>
  </si>
  <si>
    <t>The invention relates generally to remote health monitoring systems, as     applied to the field of public health surveillance. In particular, it     relates to a multi-user remote health monitoring system that is capable     of reliably identifying and collecting data from frontline healthcare     providers, laboratory and hospital information systems, patients and     healthy individuals in a number of ways, with a view to aid in the field     of public health. The system can also be used to query and collect     additional information regarding specifics pertaining to the health of     the individuals, and for patient tracking, monitoring, and the collection     of individual data.</t>
  </si>
  <si>
    <t>US20080269122</t>
  </si>
  <si>
    <t>Antimicrobial Peptide Biocides</t>
  </si>
  <si>
    <t>11/875349</t>
  </si>
  <si>
    <t>Imboden; Michael; (Madison, WI); Homan; Jane; (Hillpoint, WI); Bremel; Robert D.; (Hillpoint, WI)</t>
  </si>
  <si>
    <t>A01N 63/00 20130101;  A01N 63/02 20130101;  A01N 63/04 20130101;  A01N 65/00 20130101;  C07K 2319/01 20130101;  C07K 2319/035 20130101;  C07K 2319/33 20130101;  C07K 2319/55 20130101;  C07K 16/00 20130101;  C07K 16/20 20130101;  C07K 2317/52 20130101;  C07K 2319/735 20130101</t>
  </si>
  <si>
    <t>The present invention relates to retroviral constructs that encode novel monoclonal antibodies, novel fusion proteins, and chimeric monoclonal antibodies and to methods of using and producing the same. In particular, the present invention relates to methods of producing a fusion protein comprising a microorganism targeting molecule (e.g., immunoglobulin or innate immune system receptor molecule) and a biocide (e.g., bactericidal enzymes) in transgenic animals (e.g., bovines) and in cell cultures. The present invention also relates to therapeutic and prophylactic methods of using a fusion protein comprising a microorganism targeting molecule and a biocide in health care (e.g., human and veterinary), agriculture (e.g., animal and plant production), and food processing (e.g., beef carcass processing). The present invention also relates to methods of using a fusion protein comprising a microorganism targeting molecule and a biocide in various diagnostic applications in number of diverse fields such as agriculture, medicine, and national defense.</t>
  </si>
  <si>
    <t>US20080267943</t>
  </si>
  <si>
    <t>Innate Immune Receptor Directed Biocides</t>
  </si>
  <si>
    <t>11/875343</t>
  </si>
  <si>
    <t>US20080262782</t>
  </si>
  <si>
    <t>Wireless transmission of temperature data for a geographic area</t>
  </si>
  <si>
    <t>11/787651</t>
  </si>
  <si>
    <t>G06F 17/18 20130101;  G01J 5/02 20130101;  G01J 5/027 20130101;  G01J 5/0025 20130101;  G01K 1/02 20130101;  G01J 5/025 20130101;  G01K 13/002 20130101;  G01K 1/026 20130101;  G01K 1/024 20130101;  G01J 5/0022 20130101;  A61B 5/0008 20130101</t>
  </si>
  <si>
    <t>US20080254065</t>
  </si>
  <si>
    <t>Influenza Virus Vaccines</t>
  </si>
  <si>
    <t>10/592092</t>
  </si>
  <si>
    <t>Podda; Audino; (Siena, IT); Popova; Olga; (Siena, IT); Piccinetti; Francesca; (Siena, IT)</t>
  </si>
  <si>
    <t>US20080248043</t>
  </si>
  <si>
    <t>Antibodies to SARS coronavirus</t>
  </si>
  <si>
    <t>11/805129</t>
  </si>
  <si>
    <t>Babcook; John S.; (Vancouver, CA); Prabhakar; Bellur S.; (Oakbrook, IL); Coughlin; Melissa; (Chicago, IL)</t>
  </si>
  <si>
    <t>C12N 2770/20022 20130101;  C07K 2317/565 20130101;  C07K 14/005 20130101;  C07K 16/10 20130101;  C07K 2317/21 20130101;  A61K 48/00 20130101;  C07K 2317/56 20130101;  A61P 11/00 20180101;  C07K 2317/76 20130101</t>
  </si>
  <si>
    <t>The present invention relates to antibodies including human antibodies     and antigen-binding portions thereof that specifically bind to human     SARS-CoV S protein, and that function to neutralize SARS-CoV. The     invention also relates to antibodies that are bispecific, derivatized,     single chain antibodies or portions of fusion proteins. The invention     also relates to isolated heavy and light chain immunoglobulins derived     from human anti-SARS-CoV S protein antibodies and nucleic acid molecules     encoding such immunoglobulins. The present invention also relates to     methods of using the antibodies and compositions for diagnosis and     treatment. The invention also provides gene therapy methods using nucleic     acid molecules encoding the heavy and/or light immunoglobulin molecules     that comprise the human anti-SARS-CoV S protein antibodies. The invention     also relates to transgenic animals or plants comprising nucleic acid     molecules of the present invention.</t>
  </si>
  <si>
    <t>US20080228757</t>
  </si>
  <si>
    <t>Identifying Co-associating Bioattributes</t>
  </si>
  <si>
    <t>11/957443</t>
  </si>
  <si>
    <t>G06F 16/951 20190101;  G06F 16/9535 20190101;  G16B 20/00 20190201;  G16H 40/20 20180101;  G06Q 40/08 20130101;  G06Q 50/22 20130101;  G06Q 40/00 20130101;  G16H 70/20 20180101;  G06F 16/285 20190101;  G06F 16/955 20190101;  G16H 10/60 20180101;  H04L 65/403 20130101;  G16H 50/30 20180101;  G06F 7/00 20130101;  G06F 16/2282 20190101;  G09B 19/00 20130101;  G06F 19/325 20130101;  G06F 16/24575 20190101;  G06F 40/20 20200101;  G16H 70/60 20180101;  G06F 16/00 20190101;  G06F 17/00 20130101;  G06F 16/24578 20190101;  G16H 40/63 20180101;  H04L 51/32 20130101</t>
  </si>
  <si>
    <t>A bioinformatics method, software, database and system are presented in     which combinations of pangenetic and non-pangenetic attributes that are     most likely to co-associate with a query attribute (i.e., an attribute of     interest) are identified from a database containing attribute     combinations and corresponding statistical results that indicate the     strength of association of the attribute combinations with the query     attribute.</t>
  </si>
  <si>
    <t>US20080228730</t>
  </si>
  <si>
    <t>Compiling Co-associating Bioattributes Using Expanded Bioattribute     Profiles</t>
  </si>
  <si>
    <t>11/968998</t>
  </si>
  <si>
    <t>G06F 16/285 20190101;  G06F 7/00 20130101;  G06F 16/24575 20190101;  G06F 17/00 20130101;  G16H 70/60 20180101;  G06F 16/24578 20190101;  G06F 16/951 20190101;  G06F 19/325 20130101;  H04L 51/32 20130101;  H04L 65/403 20130101;  G06F 40/20 20200101;  G06Q 40/00 20130101;  G06F 16/2282 20190101;  G16H 50/30 20180101;  G16H 40/20 20180101;  G16H 40/63 20180101;  G06Q 50/22 20130101;  G06F 16/00 20190101;  G06F 16/9535 20190101;  G06F 16/955 20190101;  G09B 19/00 20130101;  G16H 10/60 20180101;  G16B 20/00 20190201;  G06Q 40/08 20130101;  G16H 70/20 20180101</t>
  </si>
  <si>
    <t>A bioinformatics method, software, database and system for compiling     attribute combinations that co-associate with a query attribute (i.e., an     attribute of interest) are presented in which expanded attribute profiles     associated with a group of query-attribute-positive individuals and     expanded attribute profiles associated with a group of     query-attribute-negative individuals are accessed, and combinations of     attributes having a higher frequency of occurrence in the set of expanded     attribute profiles associated with the group of query-attribute-positive     individuals are identified and stored to generate a compilation of     attribute combinations that co-associate with the query attribute.</t>
  </si>
  <si>
    <t>US20080208813</t>
  </si>
  <si>
    <t>SYSTEM AND METHOD FOR QUALITY CONTROL IN HEALTHCARE SETTINGS TO     CONTINUOUSLY MONITOR OUTCOMES AND UNDESIRABLE OUTCOMES SUCH AS     INFECTIONS, RE-OPERATIONS, EXCESS MORTALITY, AND READMISSIONS</t>
  </si>
  <si>
    <t>11/741467</t>
  </si>
  <si>
    <t>Friedlander; Robert R.; (Southbury, CT); Hennessy; Richard A.; (Austin, TX); Kraemer; James R.; (Santa Fe, NM)</t>
  </si>
  <si>
    <t>Y02A 90/24 20180101;  G16H 50/80 20180101</t>
  </si>
  <si>
    <t>A method for inferring a probability of a first inference. The inference     is related to identification of a cause of an outcome in a healthcare     setting. A fact, related to the query, is related to the healthcare     setting. The fact further relates to a network of interactions associated     with the outcome. Each datum of the database conforms to the dimensions     of the database. Each datum of the plurality of data has associated     metadata and an associated key. The associated metadata includes data     regarding cohorts associated with the corresponding datum, data regarding     hierarchies associated with the corresponding datum, data regarding a     corresponding source of the datum, and data regarding probabilities     associated with integrity, reliability, and importance of each associated     datum. The query establishes a frame of reference for the search. The     database returns a probability of the correctness of the first inference     based on the query and on the data.</t>
  </si>
  <si>
    <t>US20080206767</t>
  </si>
  <si>
    <t>11/979500</t>
  </si>
  <si>
    <t>Kreiswirth; Barry N.; (New York, NY); Naidich; Steven M.; (New York, NY)</t>
  </si>
  <si>
    <t>G16H 50/30 20180101;  C12Q 1/689 20130101;  G16H 10/40 20180101;  G06F 19/321 20130101;  G16H 10/60 20180101;  C12Q 1/6869 20130101;  G16B 30/00 20190201;  G16H 70/60 20180101;  G16B 50/00 20190201;  G16B 10/00 20190201;  G06F 19/3418 20130101</t>
  </si>
  <si>
    <t>US20080195612</t>
  </si>
  <si>
    <t>Application package to automatically identify some single stranded RNA     viruses from characteristic residues of capsid protein or nucleotide     sequences</t>
  </si>
  <si>
    <t>11/903564</t>
  </si>
  <si>
    <t>Chakravarty, Sugoto; Zhu, Dianhui; Fox, George E.</t>
  </si>
  <si>
    <t>CHAKRAVARTY SUGOTO</t>
  </si>
  <si>
    <t>Chakravarty; Sugoto; (Houston, TX); Zhu; Dianhui; (Houston, TX); Fox; George E.; (Manuel, TX)</t>
  </si>
  <si>
    <t>G06F 19/14 20130101;  G06F 19/22 20130101;  Y02A 90/24 20180101;  G16H 50/80 20180101;  G06F 19/28 20130101</t>
  </si>
  <si>
    <t>A system implemented on a computer is disclosed for automatically     identifying strains of partial or complete capsid sequences of picoma and     caliciviruses, two of the most highly diverse ssRNA virus families.</t>
  </si>
  <si>
    <t>US20080187557</t>
  </si>
  <si>
    <t>Vaccine Against Pandemic Strains Of Influenza Viruses</t>
  </si>
  <si>
    <t>11/911189</t>
  </si>
  <si>
    <t>SAMBHARA SURYAPRAKASH; KATZ JACQUELINE; HOELSCHER MARY; MITTAL SURESH K; BANGARI DINESH S</t>
  </si>
  <si>
    <t>SAMBHARA SURYAPRAKASH; KATZ JACQUELINE; HOELSCHER MARY; MITTAL SURESH BANGARI DINESH</t>
  </si>
  <si>
    <t>US20080187528</t>
  </si>
  <si>
    <t>11/940714</t>
  </si>
  <si>
    <t>Li; Limin; (North Bethesda, MD); Kinch; Michael; (Laytonsville, MD); Goldblatt; Michael; (McLean, VA)</t>
  </si>
  <si>
    <t>C07K 2317/56 20130101;  C07K 16/18 20130101;  C07K 2317/34 20130101;  C07K 2317/76 20130101;  A61K 2039/505 20130101;  A61P 31/14 20180101;  C07K 2317/565 20130101;  C07K 2317/732 20130101;  C07K 16/28 20130101;  A61P 31/12 20180101;  A61P 31/18 20180101</t>
  </si>
  <si>
    <t>US20080183550</t>
  </si>
  <si>
    <t>METHOD AND SYSTEM FOR ESTIMATING DEMAND IMPACT ON A FIRM UNDER CRISIS</t>
  </si>
  <si>
    <t>11/627076</t>
  </si>
  <si>
    <t>Chen-Ritzo; Ching-Hua; (Mahopac, NY); Chowdhary; Pawan Raghunath; (Montrose, NY); Ervolina; Thomas Robert; (Poughquag, NY); Subramanian; Dharmashankar; (Tarrytown, NY)</t>
  </si>
  <si>
    <t>G06Q 30/0202 20130101;  G06Q 30/0205 20130101;  Y04S 10/54 20130101;  G06Q 10/06375 20130101;  G06Q 40/00 20130101</t>
  </si>
  <si>
    <t>Market demand is estimated for a firm under crisis, beginning with an     operational demand forecast of a firm as input, correcting that forecast     to account for the impact of a pandemic or other extraordinary     market-disrupting circumstance, and providing a corrected operational     demand forecast as output. The correction to account for the impact of an     extraordinary market-disrupting circumstance is based on an estimated     economic impact of the disruption and an estimated reduction of the     firm's sales force attributable to the disruption.</t>
  </si>
  <si>
    <t>US20080183433</t>
  </si>
  <si>
    <t>DETECTION AND QUANTIFICATION SYSTEM FOR MONITORING INSTRUMENTS</t>
  </si>
  <si>
    <t>11/700686</t>
  </si>
  <si>
    <t>LAWRENCE LIVERMORE NATIONAL SECURITY, LLC</t>
  </si>
  <si>
    <t>LAWRENCE LIVERMORE NATIONAL SECURITY</t>
  </si>
  <si>
    <t>Dzenitis; John M.; (Danville, CA); Hertzog; Claudia K.; (Houston, TX); Makarewicz; Anthony J.; (Livermore, CA); Henderer; Bruce D.; (Livermore, CA); Riot; Vincent J.; (Oakland, CA)</t>
  </si>
  <si>
    <t>A method of detecting real events by obtaining a set of recent signal     results, calculating measures of the noise or variation based on the set     of recent signal results, calculating an expected baseline value based on     the set of recent signal results, determining sample deviation,     calculating an allowable deviation by multiplying the sample deviation by     a threshold factor, setting an alarm threshold from the baseline value     plus or minus the allowable deviation, and determining whether the signal     results exceed the alarm threshold.</t>
  </si>
  <si>
    <t>US20080182870</t>
  </si>
  <si>
    <t>11/963723</t>
  </si>
  <si>
    <t>Bondy; Steven S.; (Danville, CA); Chou; Chien-hung; (Livermore, CA); Watkins; William John; (Saratoga, CA); Chong; Lee S.; (Newark, CA); Zhang; Jennifer R.; (Foster City, CA); Mishra; Ruchika; (San Jose, CA)</t>
  </si>
  <si>
    <t>C07D 471/04 20130101;  A61P 31/12 20180101;  A61P 31/14 20180101</t>
  </si>
  <si>
    <t>Pyrido(3,2-d)pyrimidine derivatives represented by the structural formula     (I):  ##STR00001## wherein:   R.sub.4 is hydrogen, and R.sub.1, R.sub.2 and R.sub.3 together     provide a specific substitution pattern, pharmaceutical acceptable     addition salts, stereochemical isomeric forms, N-oxides, solvates and     pro-drugs thereof, are useful in the treatment of hepatitis C.</t>
  </si>
  <si>
    <t>US20080177614</t>
  </si>
  <si>
    <t>METHOD AND SYSTEM FOR ESTIMATING DYNAMICS OF WORKFORCE ABSENTEEISM USING     INFORMATION ON PANDEMIC SPREAD AND MITIGATION ACTIONS</t>
  </si>
  <si>
    <t>11/626452</t>
  </si>
  <si>
    <t>An; Lianjun; (Yorktown Heights, NY); Buckley; Stephen John; (White Plains, NY); Lee; Young Min; (Old Westbury, NY)</t>
  </si>
  <si>
    <t>G06F 19/3437 20130101;  G06F 19/3493 20130101;  G06Q 10/04 20130101;  G16H 50/50 20180101;  G06Q 10/06375 20130101;  G16H 50/80 20180101;  G06Q 10/06311 20130101</t>
  </si>
  <si>
    <t>The present invention provides a method and system estimating the     likelihood of employees not being available for work as a result of     pandemic occurrence and effectiveness of related mitigation actions. The     invention allows users to assess the impact of pandemic on availability     of corporate workforce and to estimate the effectiveness of various     corporate mitigation actions in terms of how such actions may reduce the     adverse effects of a pandemic on employee availability by incorporating     information on infection rate, perception, needs for family care and     infrastructure availability into a system of algebraic and differential     equations.</t>
  </si>
  <si>
    <t>US20080177571</t>
  </si>
  <si>
    <t>SYSTEM AND METHOD FOR PUBLIC HEALTH SURVEILLANCE AND RESPONSE</t>
  </si>
  <si>
    <t>11/870582</t>
  </si>
  <si>
    <t>Rooney; James H.; (Harvard, MA); Stamm; James C.; (Richardson, TX); Takhar; Gurpartap S.; (N. Attleboro, MA)</t>
  </si>
  <si>
    <t>A system and method for public health surveillance and response employ at     least one processing center configured to receive medical data and to     process the medical data to generate processed medical data indicative of     a medical event. The method and system can provide to a subscriber of the     system and method at least one of an alert message indicative of the     medical event or medical data associated with the processed medical data.</t>
  </si>
  <si>
    <t>US20080172262</t>
  </si>
  <si>
    <t>Method and System for Disaster Mitigation Planning and Business Impact Assessment</t>
  </si>
  <si>
    <t>11/622705</t>
  </si>
  <si>
    <t>An; Lianjun; (Yorktown Heights, NY); Buckley; Stephen John; (White Plains, NY); Chen-Ritzo; Ching-Hua; (Mahopac, NY); Chowdhary; Pawan Raghunath; (Montrose, NY); Ervolina; Thomas Robert; (Poughquag, NY); Ford; Daniel A.; (Mount Kisco, NY); Frolow; Igor; (Austin, TX); Lamba; Naveen; (Haymarket, VA); Lee; Young Min; (Old Westbury, NY); Mukkarmala; Prakaah; (Herndon, VA); Subramanian; Dharmashankar; (Tarrytown, NY)</t>
  </si>
  <si>
    <t>G06Q 10/0637 20130101;  G06Q 10/06375 20130101;  G06Q 10/0639 20130101;  G06Q 40/08 20130101</t>
  </si>
  <si>
    <t>The present invention provides a method and system making it possible to reduce a description of the impact of a disaster on the world at large to measurable, firm-specific operational and financial implications. This makes it possible to bridge the divide between disaster prediction and business planning by facilitating the translation of physical and other effects of a disaster on a business into a dollars-and-cents impact. The present invention also allows a user to evaluate the costs and benefits of various disaster mitigation plans and/or policies and to understand the combined effects of multiple mitigation plans.</t>
  </si>
  <si>
    <t>US20080171916</t>
  </si>
  <si>
    <t>Practical computer program that diagnoses diseases in actual patients</t>
  </si>
  <si>
    <t>12/075609</t>
  </si>
  <si>
    <t>Feder, Carlos; Feder, Tomas</t>
  </si>
  <si>
    <t>FEDER CARLOS</t>
  </si>
  <si>
    <t>Feder; Carlos; (Palo Alto, CA); Feder; Tomas; (Palo Alto, CA)</t>
  </si>
  <si>
    <t>G16H 50/70 20180101;  Y02A 90/24 20180101;  Y02A 90/26 20180101;  G16H 50/20 20180101</t>
  </si>
  <si>
    <t>This algorithm and corresponding computer program emulates the diagnostic     reasoning of a clinician. Accurate and efficient, it concludes only those     final diagnoses that agree with the diseases that actually afflict a     patient. A differential diagnosis list is created and the probability of     each diagnosis is calculated with a novel procedure that we call Mini-Max     Procedure that uses the positive predictive value of clinical data     present to increase probability and the sensitivity of clinical data     absent to reduce probability. The probability of a diagnosis is     considered equal to the maximum positive predictive value of all clinical     data present that support the diagnosis, circumventing more complex and     inaccurate prior art methods. The Mini-Max Procedure also identifies     concurrent diseases. Bayes formula, because of its inability to process     properly interdependent clinical data and concurrent diseases, is used     with modifications. The algorithm recommends at each diagnostic step, the     best cost-benefit clinical datum next to investigate. Furthermore, the     algorithm can simultaneously recommend several best cost-benefit clinical     data, avoiding the need to contact the patient after the result of each     single test is obtained. Heuristic parameters and abridged output files     reduce the great number of best cost benefit clinical data recommended,     without compromising the accuracy of the diagnostic procedure.     Interactions of drugs and concurrent diseases with clinical data of the     primary disease is detected, precluding ruling out of serious diseases     due to this masking effect. Overlooking of important diagnoses is     precluded by searching and processing diagnoses that are related to     confirmed diagnoses. The algorithm diagnoses clinical forms of disease     and complex clinical presentations, where disease, syndromes,     complications, and other clinical entities coexist in a single patient.     The algorithm processes efficiently synonyms of clinical data and     diagnoses. The algorithm is straightforward, logical and mathematically     simple; heuristic restrictions preclude excessive proliferation of     clinical data and diagnoses. Because it is expressed in natural language,     it is readily understandable and user friendly.</t>
  </si>
  <si>
    <t>US20080171063</t>
  </si>
  <si>
    <t>Novel Composition</t>
  </si>
  <si>
    <t>11/909388</t>
  </si>
  <si>
    <t>C12N 2760/16134 20130101;  A61K 2039/55511 20130101;  A61K 2039/55572 20130101;  A61K 39/12 20130101;  C12N 7/00 20130101;  C12N 2760/16034 20130101;  A61K 2039/55566 20130101;  A61K 2039/55 20130101;  C12N 2760/16234 20130101;  A61K 39/145 20130101;  A61K 2039/57 20130101;  A61K 39/39 20130101;  A61K 2039/70 20130101</t>
  </si>
  <si>
    <t>US20080168990</t>
  </si>
  <si>
    <t>11/871341</t>
  </si>
  <si>
    <t>Cooke; Richard Henry; (Essex, GB); Ong; Nicholas; (Bellevue, WA); Hays; Roy; (Seattle, WA)</t>
  </si>
  <si>
    <t>A61M 16/0434 20130101;  A61M 16/209 20140204;  A61M 2016/0021 20130101;  A61M 2016/0027 20130101;  A61M 2202/0208 20130101;  A61M 2205/18 20130101;  A61M 2205/581 20130101;  A61M 2205/587 20130101;  A61M 2205/8206 20130101;  A61M 16/0409 20140204;  A61M 16/127 20140204;  A61M 16/204 20140204;  A61M 16/205 20140204;  A61M 16/207 20140204;  A61M 16/20 20130101</t>
  </si>
  <si>
    <t>The present invention relates generally to the field of ventilators, and,     more specifically, to a ventilator system that addresses respiratory     distress due to the onset of an epidemic or pandemic disease state. In     particular, the present invention is a ventilator system that can be     manufactured quickly with minimal skill requirements and employed rapidly     in response to epidemic respiratory disease conditions.</t>
  </si>
  <si>
    <t>US20080153783</t>
  </si>
  <si>
    <t>Pyrimidyl Phosphonate Antiviral Compounds and Methods of Use</t>
  </si>
  <si>
    <t>10/585504</t>
  </si>
  <si>
    <t>Jin; Haolun; (Foster City, CA); Kim; Choung U.; (San Carlos, CA)</t>
  </si>
  <si>
    <t>A61P 31/12 20180101;  C07F 9/6512 20130101;  C07F 9/6561 20130101;  C07F 9/65583 20130101</t>
  </si>
  <si>
    <t>Pyrimidine I and pyrimidinone II phosphonate compounds and methods for     viral inhibition are disclosed. The compounds include at least one     phosphonate group covalently attached at any site.  ##STR00001##</t>
  </si>
  <si>
    <t>US20080152735</t>
  </si>
  <si>
    <t>Herbal Extract Having Anti- Influenza Virus Activity and Preparation of     Same</t>
  </si>
  <si>
    <t>11/963628</t>
  </si>
  <si>
    <t>Chang; Wen-Liang; (Taipei City, TW); Yao; Chen-Wen; (Taipei, TW); Chen; Ann; (Taipei City, TW); Yen; Chung-Yang; (Taipei, TW); Shi; Li-Shian; (Huwei Township, TW); Chen; Jenn-Han; (Taipei City, TW); Liao; Ching-Len; (Taipei, TW); Hwa; Kuo-Yuan; (Taipei, TW); Lee; An-Rong; (Taipei City, TW); Liang; Po-Huang; (Taipei, TW)</t>
  </si>
  <si>
    <t>A61K 36/484 20130101;  A61K 36/489 20130101;  A61K 36/236 20130101;  A61P 31/12 20180101;  A61K 31/352 20130101</t>
  </si>
  <si>
    <t>The invention provides a herbal extract having anti-influenza virus     activity, by extracting Sophora flavescens Ait, Thesium chinense Turcz,     licorice, or mixture thereof with solvent. The herbal extract contains at     least one compound selected from the group of compounds represented by     following formula (I) or (II) or mixture thereof:  ##STR00001##</t>
  </si>
  <si>
    <t>US20080140708</t>
  </si>
  <si>
    <t>System and method for providing a computer aided medical diagnostic over a     network</t>
  </si>
  <si>
    <t>10/355091</t>
  </si>
  <si>
    <t>Fuerst, Oren; Fuerst, Tzameret</t>
  </si>
  <si>
    <t>FUERST OREN</t>
  </si>
  <si>
    <t>Fuerst; Oren; (New York, NY); Fuerst; Tzameret; (New York, NY)</t>
  </si>
  <si>
    <t>G06F 19/321 20130101;  G06F 19/3418 20130101;  G16H 50/80 20180101;  G16H 50/70 20180101;  G16H 50/20 20180101;  G16H 50/30 20180101</t>
  </si>
  <si>
    <t>The present invention relates to a method for improving the quality of     diagnosis accuracy of diseases using remote analysis of images. Data     including a medical image is being sent to a data center where an     analysis is conducted to compare the digital image and additional     information with a data base that includes the characteristics of a     suspected image, based on a learning path of previously diagnoses     maligned and benign images. A predictive probability is the result of the     process, and is being sent to the patient and to his or her healthcare     provider. Predictive probabilities are then compared over time with actual results     over time and are being used to improve the algorithms providing the     predictive probabilities.</t>
  </si>
  <si>
    <t>US20080139890</t>
  </si>
  <si>
    <t>Methods, systems, and computer program products for aggregating medical     information</t>
  </si>
  <si>
    <t>11/581912</t>
  </si>
  <si>
    <t>US20080091471</t>
  </si>
  <si>
    <t>Systems and methods for obtaining, storing, processing and utilizing     immunologic and other information of individuals and populations</t>
  </si>
  <si>
    <t>11/796727</t>
  </si>
  <si>
    <t>BIOVERIS CORPORATION</t>
  </si>
  <si>
    <t>BIOVERIS</t>
  </si>
  <si>
    <t>Michon; Francis; (Bethesda, MD); Moore; Samuel L.; (Sykesville, MD); Fusco; Peter C.; (Silver Spring, MD); Wohlstadter; Samuel J.; (Madison, VA); Davis; Charles Quentin; (Frederick, MD); Haleva; Aaron; (Oakhurst, NJ)</t>
  </si>
  <si>
    <t>G06Q 40/08 20130101;  G06Q 50/22 20130101;  G06Q 50/24 20130101;  G06F 19/18 20130101;  Y02A 90/24 20180101;  G16H 50/70 20180101;  G16H 50/80 20180101;  Y02A 90/26 20180101;  Y02A 90/22 20180101;  G06F 19/24 20130101</t>
  </si>
  <si>
    <t>A system and method for assessing the immunological status of one or more     individuals in a patient population is presented. The method includes     establishing a database comprising a plurality of records of information     each representative of the immune status of an individual in the     population, each of said records including (1) current information from     one or more assays for the presence of a biochemical, and (2) individual     specific information comprising one or more of said individual's medical     history, said individual's doctors' observations and historical,     demographic, lifestyle, and familial information relating to said     individual. The method further includes processing the information in     said database to find trends or patterns relating to the immune status of     individuals in said patient population; and using the said trends or     patterns as part of a health care related decision making process. In     exemplary embodiments of the present invention, processing the     information in the database includes generating a list of correlations     between variables or fields in the database, and for each correlation in     the list generating a set of hypotheses that may explain said     correlation. In exemplary embodiments of the present invention, as to     each hypothesis in the set, automatically refuting, supporting or stating     that there is insufficient data to analyze said hypothesis by further     processing of the database; and reporting the correlations, their     associated hypotheses and the refutation, support, or determination of     insufficient data to refute or support, to a user.</t>
  </si>
  <si>
    <t>US20080076740</t>
  </si>
  <si>
    <t>11/494818</t>
  </si>
  <si>
    <t>Cai; Zhenhong R.; (Foster City, CA); Jabri; Salman Y.; (San Francisco, CA); Jin; Haolun; (Foster City, CA); Kim; Choung U.; (San Carlos, CA); Metobo; Samuel E.; (Newark, CA); Mish; Michael R.; (La Honda, CA); Pastor; Richard M.; (San Francisco, CA)</t>
  </si>
  <si>
    <t>A61K 47/548 20170801;  A61P 31/18 20180101</t>
  </si>
  <si>
    <t>US20080069821</t>
  </si>
  <si>
    <t>11/836413</t>
  </si>
  <si>
    <t>US20080065416</t>
  </si>
  <si>
    <t>Repeater Providing Data Exchange With A Medical Device For Remote Patient     Care And Method Thereof</t>
  </si>
  <si>
    <t>11/872841</t>
  </si>
  <si>
    <t>Mazar; Scott T.; (Inver Grove Heights, MN); Manicka; Yatheendhar D.; (Woodbury, MN)</t>
  </si>
  <si>
    <t>A61B 5/0031 20130101;  G16H 50/80 20180101;  A61B 5/0215 20130101;  A61B 5/0809 20130101;  A61B 5/14532 20130101;  A61B 5/4839 20130101;  A61B 2560/0209 20130101;  A61B 2560/0271 20130101;  A61B 2560/045 20130101;  G06F 19/3418 20130101;  G06Q 50/22 20130101;  G06Q 50/24 20130101;  A61B 5/0022 20130101;  A61B 5/747 20130101;  G16H 40/63 20180101;  G16H 10/60 20180101;  G16H 50/20 20180101;  A61B 5/02055 20130101</t>
  </si>
  <si>
    <t>A repeater providing data exchange with a medical device for remote     patient care and method thereof are provided. A plurality of interfaces     include a medical device interface interconnected with a medical device,     a wireless interface coupled to a wireless medium, and a wired interface     coupled to a wired medium. An interface selector includes a test module     operable over the wireless interface and the wired interface to evaluate     conditions on each respective medium that could affect data exchange over     each of the interfaces. The interface selector further includes a     selection module specifying data exchange to occur using one of the     wireless interface and the wired interface based on the evaluated     conditions. An interrogator module exchanges data with the medical device     over the medical device interface. A data transfer module exchanges the     data with an external device over the specified interface.</t>
  </si>
  <si>
    <t>US20080063665</t>
  </si>
  <si>
    <t>Menigococcus</t>
  </si>
  <si>
    <t>Meningococcal Outer Membarne Vesicles</t>
  </si>
  <si>
    <t>11/661996</t>
  </si>
  <si>
    <t>Oster; Philipp; (Siena, IT); Pizza; Mariagrazia; (Siena, IT); Rappouli; Rino; (Siena, IT)</t>
  </si>
  <si>
    <t>A61K 39/095 20130101;  A61K 2039/545 20130101;  A61K 2039/55555 20130101</t>
  </si>
  <si>
    <t>OMVs targeted against specific epidemic strains can be highly effective     in controlling localised outbreaks of disease. In combination with     large-scale and reproducible manufacturing techniques, a vaccine can be     rapidly produced after an outbreak. The invention provides a method for     preparing a meningococcal outer membrane vesicle (OMV) vaccine,     comprising the steps of: (i) identifying the serosubtype of a     meningococcal strain associated with an outbreak of meningococcal     meningitis; (ii) preparing OMVs from a meningococcal strain having the     serosubtype identified in step (i) for use in vaccine manufacture. The     method may comprise one or both of the further steps of (iii) formulating     said OMVs as a vaccine; and (iv) distributing said vaccine in a     geographical area affected by or likely to be affected by said outbreak.     The meningococcal strain will typically be in serogroup B, but may be     instead by in serogroup A, C, W135, Y, etc.</t>
  </si>
  <si>
    <t>US20080057081</t>
  </si>
  <si>
    <t>11/836369</t>
  </si>
  <si>
    <t>US20080057031</t>
  </si>
  <si>
    <t>Antiviral phosphinate compounds</t>
  </si>
  <si>
    <t>11/825606</t>
  </si>
  <si>
    <t>Casarez; Anthony; (Princeton, NJ); Chaudhary; Kleem; (Concord, MA); Cho; Aesop; (Mountain View, CA); Clarke; Michael; (Redwood City, CA); Doerffler; Edward; (Foster City, CA); Fardis; Maria; (San Carlos, CA); Kim; Choung U.; (San Carlos, CA); Pyun; Hyungjung; (Fremont, CA); Sheng; Xiaoning C.; (Foster City, CA); Wang; Jianying; (Foster City, CA)</t>
  </si>
  <si>
    <t>A61P 43/00 20180101;  A61P 1/16 20180101;  A61P 31/12 20180101;  C07F 9/65583 20130101;  A61P 31/14 20180101</t>
  </si>
  <si>
    <t>US20080052122</t>
  </si>
  <si>
    <t>DISEASE MANAGEMENT SYSTEM AND METHOD</t>
  </si>
  <si>
    <t>11/933098</t>
  </si>
  <si>
    <t>HEALTHWAYS, INC.CLINICAL DECISION SUPPORT, LLCHEALTHHONORS, LLC</t>
  </si>
  <si>
    <t>HEALTHWAYS</t>
  </si>
  <si>
    <t>Iliff; Edwin C.; (La Jolla, CA)</t>
  </si>
  <si>
    <t>G06F 19/324 20130101;  Y02A 90/24 20180101;  G06F 19/3418 20130101;  G06F 19/3481 20130101;  G06Q 50/22 20130101;  G06Q 50/24 20130101;  G06F 19/30 20130101;  Y10S 128/92 20130101;  Y10S 128/925 20130101;  G16H 10/20 20180101;  G16H 80/00 20180101;  G16H 10/60 20180101;  G16H 50/30 20180101;  G16H 50/20 20180101;  G16H 15/00 20180101;  Y02A 90/26 20180101;  Y02A 90/22 20180101;  G06F 19/325 20130101</t>
  </si>
  <si>
    <t>One aspect of the invention is directed to a system and method for allowing a patient to access an automated process for managing a specified health problem called a disease. The system performs disease management in a fully automated manner, using periodic interactive dialogs with the patient to obtain health state measurements from the patient, to evaluate and assess the progress of the patient's disease, to review and adjust therapy to optimal levels, and to give the patient medical advice for administering treatment and handling symptom flare-ups and acute episodes of the disease. The medical records are updated, the progression of the disease is stored and tracked, and the patient's preferences for treatment are stored and then used to offer medical advice based on the current state of the disease. Subjective and objective health measurements are used to determine a metric, which can be used to adjust patient therapy.</t>
  </si>
  <si>
    <t>US20080052116</t>
  </si>
  <si>
    <t>11/927630</t>
  </si>
  <si>
    <t>US20080035155</t>
  </si>
  <si>
    <t>Topical Antiviral Formulations</t>
  </si>
  <si>
    <t>11/631876</t>
  </si>
  <si>
    <t>CONRAD</t>
  </si>
  <si>
    <t>Dahl; Terrence C.; (Sunnyvale, CA)</t>
  </si>
  <si>
    <t>A61P 15/00 20180101;  A61P 43/00 20180101;  A61K 9/0034 20130101;  A61F 6/04 20130101;  A61K 9/0014 20130101;  A61P 31/12 20180101;  A61K 31/505 20130101;  A61P 31/00 20180101;  A61P 31/18 20180101;  A61K 9/02 20130101;  A61K 31/675 20130101</t>
  </si>
  <si>
    <t>The present invention relates to formulations of nucleotide reverse     transcriptase inhibitors (N(t)RTIs), preferably     [2-(6-Amino-purin-9-yl)-1-methyl-ethoxymethyl]-phosphonic acid     (tenofovir, PMPA), or a physiologically functional derivative thereof,     suitable for topical application and their use in the prevention of HIV     infections.</t>
  </si>
  <si>
    <t>US20080027751</t>
  </si>
  <si>
    <t>Medical product reservation, distribution and purchasing system and method</t>
  </si>
  <si>
    <t>11/493690</t>
  </si>
  <si>
    <t>PAPPALARDO MARC</t>
  </si>
  <si>
    <t>Pappalardo; Marc; (Boulder, CO)</t>
  </si>
  <si>
    <t>G06Q 50/22 20130101;  G06Q 10/00 20130101</t>
  </si>
  <si>
    <t>A system and method for the reservation, distribution and purchasing of     medical products is disclosed. More specifically, what is disclosed is a     system and method of reserving and distributing pharmaceuticals,     vaccines, medical devices and other medical supplies. The system and     method disclosed herein is particularly applicable and useful in     preparation for and during situations in which one or more medical     products would be in short supply, such as during an epidemic, pandemic,     or catastrophic events, such as natural disasters or man-made disasters.</t>
  </si>
  <si>
    <t>US20080014217</t>
  </si>
  <si>
    <t>11/692792</t>
  </si>
  <si>
    <t>A61K 39/145 20130101;  A61K 2039/5252 20130101;  A61K 2039/55566 20130101;  C12N 2760/16134 20130101;  A61K 39/39 20130101;  A61K 2039/58 20130101;  A61K 39/12 20130101</t>
  </si>
  <si>
    <t>US20080009682</t>
  </si>
  <si>
    <t>Method and system for clinical interpretation and review of patient data</t>
  </si>
  <si>
    <t>11/483206</t>
  </si>
  <si>
    <t>Hernke; David; (Sussex, WI)</t>
  </si>
  <si>
    <t>A61B 5/0002 20130101;  G16H 50/80 20180101;  G16H 50/70 20180101;  A61B 5/021 20130101</t>
  </si>
  <si>
    <t>The method and system improves the efficiency of the use of trained     medical personnel in treating monitored patients. Specifically, this     efficiency is improved in remote chronic disease monitoring. The method     and system incorporates a pool of call screeners to contact and screen     remote patients that have not submitted their data. Depending on the     results of the screening, the patient may require assistance from skilled     medical personnel and be routed to such personnel. Alternative     embodiments may screen all remote patients without first collecting     physiological data. A preferred embodiment will include a means for the     patient to provide feedback to the caseworker or the skilled medical     personnel.</t>
  </si>
  <si>
    <t>US20080004242</t>
  </si>
  <si>
    <t>Process for preparation of HIV protease inhibitors</t>
  </si>
  <si>
    <t>11/729522</t>
  </si>
  <si>
    <t>Crawford; Kenneth R.; (Burke, VA); Dowdy; Eric; (Foster City, CA); Gutierrez; Arnold; (San Jose, CA); Polniaszek; Richard P.; (Redwood City, CA); Yu; Richard Hung Chiu; (San Francisco, CA)</t>
  </si>
  <si>
    <t>C07C 253/30 20130101;  C07C 311/29 20130101;  C07F 9/4075 20130101;  A61P 31/12 20180101;  C07C 303/40 20130101;  C07C 51/412 20130101;  A61P 43/00 20180101;  C07C 303/38 20130101;  C07D 493/04 20130101;  C07C 303/40 20130101;  A61K 31/665 20130101;  C07C 253/30 20130101;  C07C 303/38 20130101;  C07F 9/4084 20130101;  A61P 31/18 20180101;  C07F 9/6561 20130101;  C07F 9/4006 20130101;  C07C 311/29 20130101;  C07C 311/29 20130101;  C07C 255/60 20130101</t>
  </si>
  <si>
    <t>US20070293781</t>
  </si>
  <si>
    <t>Respiration Motion Detection and Health State Assesment System</t>
  </si>
  <si>
    <t>10/595674</t>
  </si>
  <si>
    <t>Sims; Nathaniel; (Milton, MA); Colquitt; Nhedti; (Aloha, OR); Wollowitz; Michael; (Chatham, NY); Hickcox; Matt; (Westford, MA); Dempsey; Michael; (Westford, MA)</t>
  </si>
  <si>
    <t>A61B 5/1135 20130101;  A61B 5/6831 20130101;  A61B 2562/0261 20130101;  A61B 5/02055 20130101;  A61B 5/113 20130101;  A61B 5/6804 20130101;  G16H 50/80 20180101;  G06F 19/3418 20130101;  G06F 19/34 20130101;  G16H 50/30 20180101;  G16H 50/20 20180101;  G16H 15/00 20180101;  A61B 5/72 20130101</t>
  </si>
  <si>
    <t>A wearable platform embodied in a belt or flattened patch-like central     body shaped to conform to the abdomen provides physiological monitoring     of soldiers during field operations or trauma victims at accident sites     and makes health state assessments. The platform includes sensors for     heart rate, body motion, respiration rate and intensity, and temperature     and further contains a microprocessor and short range transmitter. The     respiration sensor uses conductive ink in a novel manner. A small square     of the ink is coated on an arched structure so that flexing of the arch     either to increase or decrease its radius of curvature modifies the     resistance of the structure. This is utilized to set the unstressed     resistance of the arch structure and to allow a greater range of     resistance values capable of measuring distortions in different     deformations of the arch. The respiration sensor supplements the motion     information provided by an accelerometer sensor.</t>
  </si>
  <si>
    <t>US20070281911</t>
  </si>
  <si>
    <t>Use of Adefovir or Tenofovir for Inhibiting Mmtv-Like Viruses Involved in     Breast Cancer and Primary Biliary Cirrhosis</t>
  </si>
  <si>
    <t>10/586627</t>
  </si>
  <si>
    <t>Cihlar; Tomas; (Foster City, CA); Douglas; Janet L.; (Portland, OR); Gibbs; Craig S.; (Palo Alto, CA)</t>
  </si>
  <si>
    <t>A61P 31/12 20180101;  A61K 31/675 20130101;  A61P 1/16 20180101;  A61K 45/06 20130101;  A61P 15/14 20180101;  A61P 35/00 20180101;  A61P 43/00 20180101</t>
  </si>
  <si>
    <t>The active metabolites of adefovir and tenofovir (PMEApp and PMPApp) are     active against the MMTV RT. They are 25-fold more potent than 3TCppp,     suggesting that tenofovir and adefovir may be effective at inhibiting the     MMTV-like retroviruses, which may be the etiological agents involved in     PBC and breast cancer.</t>
  </si>
  <si>
    <t>US20070258999</t>
  </si>
  <si>
    <t>Sars Virus Nucleotide and Amino Acid Sequences and Uses Thereof</t>
  </si>
  <si>
    <t>10/555073</t>
  </si>
  <si>
    <t>THE PUBLIC HEALTH AGENCY OF CANADA</t>
  </si>
  <si>
    <t>THE PUBLIC HEALTH AGENCY CANADA</t>
  </si>
  <si>
    <t>Plummer; Frank; (Winnipeg, CA); Feldmann; Heinz; (Winnipeg, CA); Jones; Steven Michael; (Winnipeg, CA); Li; Yan; (Winnipeg, CA); Bastien; Nathalie; (Winnipeg, CA); Brunham; Robert Conrad; (Vancouver, CA); Brooks-Wilson; Angela; (Richmond, CA); Holt; Robert; (North Vancouver, CA); Upton; Christopher; (Victoria, AU); Roper; Rachel; (Winterville, CA); Astell; Caroline; (Vancouver, CA); Jones; Steven; (Burnaby, CA)</t>
  </si>
  <si>
    <t>G01N 2333/165 20130101;  C07K 14/005 20130101;  C12N 2770/20021 20130101;  A61K 2039/53 20130101;  C12N 2770/20022 20130101;  C12N 7/00 20130101</t>
  </si>
  <si>
    <t>The invention provides, in part, the genomic sequence of a putative     coronavirus, the SARS virus, and provides novel nucleic acid and amino     acid sequences that may be used, for example, for the diagnosis,     prophylaxis, or therapy of a variety of SARS virus related disorders.</t>
  </si>
  <si>
    <t>US20070239480</t>
  </si>
  <si>
    <t>Subscription-based catastrophe-triggered medical services facilitation     method</t>
  </si>
  <si>
    <t>11/394350</t>
  </si>
  <si>
    <t>MOORE BARRETT H</t>
  </si>
  <si>
    <t>MOORE BARRETT</t>
  </si>
  <si>
    <t>Moore; Barrett H.; (Winnetka, IL)</t>
  </si>
  <si>
    <t>G06Q 20/401 20130101;  G16H 50/80 20180101;  G16H 40/20 20180101;  G06Q 50/22 20130101</t>
  </si>
  <si>
    <t>Consideration-based private civil security subscriptions are accepted     (101) from subscribers with respect to providing civilly-catastrophic     event-based access to at least one life-sustaining medical service. That     life-sustaining medical service is then maintained (102) pending a need     to permit subscription-based access to the life-sustaining medical     service in the event of a catastrophic event. The nature of the     subscribed-to life-sustaining medical service can vary with the needs or     requirements of a given application setting but may comprise one or more     of a consumable life-sustaining medical service, a non-consumable     life-sustaining medical service, a venue where such services can be     securely offered, transportation to effect the above-mentioned access,     and/or rescue, to note but a few useful examples. By one approach, these     subscriptions may also relate to offering civilly-catastrophic     event-based access to one or more life-enhancing medical services (as     versus life-sustaining) (including both consumable and non-consumable     life-enhancing medical services).</t>
  </si>
  <si>
    <t>US20070229290</t>
  </si>
  <si>
    <t>Method and Apparatus to Provide Outbreak Notifications Based on Historical     Location Data</t>
  </si>
  <si>
    <t>11/686908</t>
  </si>
  <si>
    <t>Huawei Technologies</t>
  </si>
  <si>
    <t>HUAWEI</t>
  </si>
  <si>
    <t>Kahn; Philippe; (Aptos, CA); Kinsolving; Arthur; (Santa Cruz, CA)</t>
  </si>
  <si>
    <t>A method and apparatus to collect user location data over time,     correlating user location data with outbreak data. The method and     apparatus further comprising an alert mechanism to indicate to a user if     there was a potential exposure.</t>
  </si>
  <si>
    <t>US20070228145</t>
  </si>
  <si>
    <t>Monitoring device and security system</t>
  </si>
  <si>
    <t>11/221599</t>
  </si>
  <si>
    <t>ARROWHEAD CENTER, INC.</t>
  </si>
  <si>
    <t>ARROWHEAD CENTER</t>
  </si>
  <si>
    <t>Diemer; Joel A.; (Las Cruces, NM)</t>
  </si>
  <si>
    <t>G06Q 40/00 20130101;  G06Q 50/26 20130101;  G16H 50/80 20180101;  G07C 5/008 20130101;  G08G 1/20 20130101;  G06Q 50/30 20130101</t>
  </si>
  <si>
    <t>The present invention provides for an integrated global biological     activity detection, traffic tracking and scheduling, and boundary/border     security system. Detection apparatuses of the system are preferably     placed in a stream of currency such as in financial institutions and     other sites of currency exchange, and are also placed in or about     transportation vehicles and linked into a data collection, analysis, and     graphical information system to provide early warning for security     activities. Detection apparatuses located in and about transportation     vehicles are combined with a system for routing vehicles into security     corridors and with a system of notification, scheduling, and monitoring     to enhance the capacity of authorities to insure security and efficient     trade movement particularly as it approaches boundaries and borders.</t>
  </si>
  <si>
    <t>US20070222599</t>
  </si>
  <si>
    <t>Method and Apparatus for Cataloging and Poling Movement in an Environment     for Purposes of Tracking and/or Containment of Infectious Diseases</t>
  </si>
  <si>
    <t>10/589128</t>
  </si>
  <si>
    <t>CSTAR TECHNOLOGIES INC.</t>
  </si>
  <si>
    <t>CSTAR</t>
  </si>
  <si>
    <t>Coveley; Michael; (Richmond Hill, CA); Huang; Yuping; (Richmond Hill, CA)</t>
  </si>
  <si>
    <t>A61B 5/1113 20130101;  A61B 5/117 20130101;  G01V 15/00 20130101;  G06K 2017/0045 20130101;  G06Q 10/08 20130101;  G06Q 50/22 20130101;  G16H 50/80 20180101;  G07C 9/00111 20130101;  G07C 2011/02 20130101;  G08B 13/2462 20130101;  H01Q 7/00 20130101;  G16H 40/20 20180101;  G07C 1/10 20130101</t>
  </si>
  <si>
    <t>A system and method for containing and restricting spread of infectious     diseases within hospitals, clinics and other medical facilities by     cataloguing and delimiting movement of patients, medical staff,     employees, visitors, contractors and other personnel attending or     on-site. The system also provides for tracking and cataloguing     contaminated medical apparatus, medicine trolleys, food trolleys, medical     gas stations, laundry baskets and other mobile or movable medical     equipment or facility equipment to prevent spread of the infectious     disease or viral entities. According to another aspect, the system     includes a poling or supervisory network for auditing the presence or     absence of patients, medical staff and other personnel; and medical     apparatus, movable equipment or other facility equipment.</t>
  </si>
  <si>
    <t>US20070221221</t>
  </si>
  <si>
    <t>11/678201</t>
  </si>
  <si>
    <t>The present invention relates generally to the field of ventilators, and,     more specifically, to a ventilator system that addresses respiratory     distress due to the onset of an epidemic or pandemic disease state. In     particular, the present invention is a ventilator system that can be     manufactured quickly with minimal skill requirements and employed rapidly     in response to epidemic respiratory disease conditions. In one     embodiment, the present invention is directed toward a ventilator having     a gas input, an inhalation conduit connected to the gas input, a patient     flow control valve, operably connected to the gas input via the     inhalation conduit, a patient interface, separated from the inhalation     conduit by the flow control valve, and a gas shut-off mechanism that     senses a pressure state in the inhalation conduit.</t>
  </si>
  <si>
    <t>US20070218486</t>
  </si>
  <si>
    <t>Immunoassays, Haptens, Immunogens and Antibodies for Anti-HIV Therapeutics</t>
  </si>
  <si>
    <t>11/681072</t>
  </si>
  <si>
    <t>ARK DIAGNOSTICS, INC.</t>
  </si>
  <si>
    <t>ARK DIAGNOSTICS</t>
  </si>
  <si>
    <t>C07K 16/44 20130101;  A61K 47/643 20170801;  A61K 47/54 20170801;  A61K 47/646 20170801</t>
  </si>
  <si>
    <t>This invention provides compounds, methods, immunoassays, and kits     relating to active, metabolically sensitive ("met-sensitive") moieties of     anti-HIV therapeutics, such as HIV protease inhibitors (PI), HIV     nucleoside reverse transcriptase inhibitors (NRTI) and HIV entry     inhibitors (EII).</t>
  </si>
  <si>
    <t>US20070214007</t>
  </si>
  <si>
    <t>Case-finding systems and methods</t>
  </si>
  <si>
    <t>11/373568</t>
  </si>
  <si>
    <t>Hackner; Dani; (Sherman Oaks, CA)</t>
  </si>
  <si>
    <t>G06Q 50/22 20130101;  G16H 50/80 20180101;  G16H 50/70 20180101;  G16H 10/60 20180101</t>
  </si>
  <si>
    <t>The present invention relates to quality improvement in patient care. In     particular, the present invention relates to a rapid, easily     computer-implemented case-finding algorithm to identify patients with     target clinical conditions.</t>
  </si>
  <si>
    <t>US20070184526</t>
  </si>
  <si>
    <t>Functional influenza virus like particles (VLPs)</t>
  </si>
  <si>
    <t>11/582540</t>
  </si>
  <si>
    <t>Smith; Gale; (Rockville, MD); Bright; Rick; (Rockville, MD); Pushko; Peter; (Rockville, MD); Zhang; Jinyou; (Rockville, MD); Mahmood; Kutub; (Rockville, MD)</t>
  </si>
  <si>
    <t>C12N 2760/16034 20130101;  C12N 2760/16071 20130101;  C12N 2760/16123 20130101;  C12N 2760/16023 20130101;  C12N 15/86 20130101;  A61K 2039/55505 20130101;  C12N 7/00 20130101;  C12N 2760/16122 20130101;  C12N 2760/16134 20130101;  A61K 39/145 20130101;  A61K 2039/55555 20130101;  C12N 2710/14143 20130101;  C07K 14/005 20130101;  A61K 39/39 20130101;  A61K 2039/5258 20130101;  A61K 2039/70 20130101;  A61K 39/12 20130101;  A61K 2039/543 20130101</t>
  </si>
  <si>
    <t>US20070174091</t>
  </si>
  <si>
    <t>Methods, data structures, systems and computer program products for     identifying obsure patterns in healthcare related data</t>
  </si>
  <si>
    <t>11/339932</t>
  </si>
  <si>
    <t>Friedlander; Robert R.; (Southbury, CT); Kraemer; James R.; (Santa Fe, NM)</t>
  </si>
  <si>
    <t>G06Q 50/24 20130101;  G16H 50/80 20180101;  G16H 50/70 20180101</t>
  </si>
  <si>
    <t>Methods, data structures, systems and computer program products are     provided for identifying patterns in available healthcare related data. A     triggering observation in the available healthcare related data is     hierarchically related to at least one additional observation in the     available healthcare related data based on a possible relationship     between the triggering observation and the at least one additional     observation in a computer database environment.</t>
  </si>
  <si>
    <t>US20070172929</t>
  </si>
  <si>
    <t>Cold-Adapted Influenza Virus</t>
  </si>
  <si>
    <t>11/690498</t>
  </si>
  <si>
    <t>Maassab; Hunein F.; (Ann Arbor, MI); Herlocher; Martha Louise; (Ann Arbor, MI)</t>
  </si>
  <si>
    <t>A61K 39/145 20130101;  A61K 2039/5254 20130101;  C07K 14/005 20130101;  C12N 7/00 20130101;  C12N 2760/16122 20130101;  C12N 2760/16134 20130101;  C12N 2760/16164 20130101;  C12N 2760/16222 20130101;  C12N 2760/16234 20130101;  C12N 2760/16264 20130101;  A61K 39/12 20130101;  A61K 2039/70 20130101;  A61K 2039/543 20130101</t>
  </si>
  <si>
    <t>The cold-adapted master strain A/Ann Arbor/6/60 7PI (H2N2) and progenitor     wild type E2(3) viral strains have been deposited and their genomic     sequences identified. Seven nucleotide differences were found between the     sequences identified herein and the previously published sequences for     cold-adapted A/Ann Arbor/6/60 genes. The cold-adapted live influenza     virus of the present invention can be reasserted with a variety of     epidemic wild type influenza viruses and used to produce vaccines to     prophylactically and therapeutically treat influenza.</t>
  </si>
  <si>
    <t>US20070148124</t>
  </si>
  <si>
    <t>Cellulose and acrylic based polymers and the use thereof for the treatment     of infectious diseases</t>
  </si>
  <si>
    <t>11/592479</t>
  </si>
  <si>
    <t>LABIB MOHAMED E; RANDO ROBERT F</t>
  </si>
  <si>
    <t>LABIB MOHAMED RANDO ROBERT</t>
  </si>
  <si>
    <t>Labib; Mohamed E.; (Princeton, NJ); Rando; Robert F.; (Annandale, NJ)</t>
  </si>
  <si>
    <t>C08F 216/18 20130101;  A61P 31/18 20180101;  C08F 222/06 20130101;  C08B 3/16 20130101;  A61K 8/731 20130101;  A61K 31/74 20130101;  A61P 31/12 20180101;  C08B 13/00 20130101;  A61P 31/10 20180101;  A61P 43/00 20180101;  A61P 15/00 20180101;  A61Q 17/005 20130101;  C08B 11/20 20130101;  A61P 31/22 20180101;  A61P 31/04 20180101</t>
  </si>
  <si>
    <t>The present invention provides methods for the treatment or prevention of     a viral, bacterial, or fungal infection using an anionic cellulose- or     acrylic-based polymer, a prodrug thereof, or a pharmaceutically     acceptable salt of said anionic cellulose based polymer or acrylic based     polymer or prodrug of either. The present invention also provides     pharmaceutical compositions comprising an anionic cellulose or acrylic     based polymer, a prodrug thereof, or a pharmaceutically acceptable salt     of said anionic cellulose-based polymer or prodrug. The present invention     further provides combination therapies for the treatment or prevention of     a viral, bacterial, or fungal infection using an anionic cellulose or     acrylic-based polymer, a prodrug thereof, or a pharmaceutically     acceptable salt of said anionic cellulose based or acrylic based polymer     or prodrug of either and one or more anti-infective agents.</t>
  </si>
  <si>
    <t>US20070143088</t>
  </si>
  <si>
    <t>System and method for predicting biting insect conditions</t>
  </si>
  <si>
    <t>11/303389</t>
  </si>
  <si>
    <t>GARLAND AKHIL D</t>
  </si>
  <si>
    <t>GARLAND AKHIL</t>
  </si>
  <si>
    <t>Garland; Akhil Demian; (Harrisville, NH)</t>
  </si>
  <si>
    <t>A system uses not only current information but also historical     information to determine and predict current and future insect activity.     The system includes a processing unit which receives, as input, one or     more factors such as current environmental information, date, time, user     input, insect trap activity and perhaps weather information along with     historical insect activity and associated environmental factors, to     predict present and future insect activity. The system may include a     display to show the user by geographic zone, the predicted insect     activity level.</t>
  </si>
  <si>
    <t>US20070141078</t>
  </si>
  <si>
    <t>Influenza vaccine</t>
  </si>
  <si>
    <t>11/487769</t>
  </si>
  <si>
    <t>SMITHKLINE BEECHAM CORPORATION</t>
  </si>
  <si>
    <t>SMITHKLINE BEECHAM</t>
  </si>
  <si>
    <t>D'Hondt; Erik; (Bazel, BE); Hehme; Norbert; (Dresden, DE); Hanon; Emmanuel Jules; (Rixensart, BE); Stephenne; Jean; (Rixensart, BE)</t>
  </si>
  <si>
    <t>A61K 2039/5252 20130101;  A61K 2039/55505 20130101;  C12N 2760/16234 20130101;  A61K 2039/54 20130101;  C07K 14/005 20130101;  C12N 2760/16251 20130101;  A61K 2039/543 20130101;  C12N 2760/16222 20130101;  C12N 2760/16151 20130101;  C12N 2760/16122 20130101;  C12N 7/00 20130101;  A61K 39/145 20130101;  A61K 39/12 20130101</t>
  </si>
  <si>
    <t>The present invention relates to monovalent influenza vaccine     formulations and vaccination regimes for immunising against influenza     disease, their use in medicine, in particular their use in augmenting     immune responses to various antigens, and to methods of preparation. In     particular, the invention relates to monovalent influenza immunogenic     compositions comprising an influenza antigen or antigenic preparation     thereof from an influenza virus strain being associated with a pandemic     outbreak or having the potential to be associated with a pandemic     outbreak, in combination with an oil-in-water emulsion adjuvant     comprising a metabolisable oil, a sterol or a tocopherol such as alpha     tocopherol, and an emulsifying agent.</t>
  </si>
  <si>
    <t>US20070128625</t>
  </si>
  <si>
    <t>Drug-resistant mutants of hepatitis C virus</t>
  </si>
  <si>
    <t>11/491756</t>
  </si>
  <si>
    <t>Boddeker; Nina; (Berkeley, CA); Neyts; Johan; (Kessel-Lo, BE); Shih; I-Hung; (San Francisco, CA); Vliegen; Inge; (Tongeren, BE); Zhong; Weidong; (San Ramon, CA)</t>
  </si>
  <si>
    <t>C12N 7/00 20130101;  C12Q 1/707 20130101;  C12N 2770/24222 20130101;  C12Q 2600/156 20130101;  C12N 2770/24211 20130101</t>
  </si>
  <si>
    <t>The present invention provides nucleotides, peptides, HCV mutants, and     cell lines containing mutations associated with drug resistance. In     addition, the present invention provides methods for screening for     therapeutic compounds capable of inhibiting HCV as well as methods for     inhibiting HCV, e.g., by targeting specific binding sites associated with     HCV drug resistance.</t>
  </si>
  <si>
    <t>US20070124190</t>
  </si>
  <si>
    <t>METHOD AND SYSTEM FOR ESTIMATING SUPPLY IMPACT ON A FIRM UNDER A GLOBAL CRISIS</t>
  </si>
  <si>
    <t>11/627064</t>
  </si>
  <si>
    <t>G06Q 10/063 20130101;  G06Q 10/0631 20130101;  G06Q 10/06311 20130101;  G06Q 10/06312 20130101;  G06Q 30/0202 20130101;  G06Q 30/0205 20130101;  H01L 21/2254 20130101;  H01L 21/2257 20130101;  H01L 21/26586 20130101;  H01L 21/28512 20130101;  H01L 21/28525 20130101;  H01L 21/76877 20130101;  H01L 21/823425 20130101;  H01L 21/823475 20130101;  H01L 23/485 20130101;  H01L 27/10855 20130101;  H01L 27/10873 20130101;  H01L 27/10888 20130101;  H01L 29/1083 20130101;  H01L 29/6656 20130101;  H01L 29/6659 20130101;  H01L 2924/0002 20130101;  H01L 2924/0002 20130101;  H01L 2924/00 20130101</t>
  </si>
  <si>
    <t>The availability of relevant business resources, or supply, during a global crisis or disruption are estimated by using a forecast of a baseline supply of human resources and various forms of infrastructure and raw materials for a firm as input. That forecast is corrected to account for the impact of a crisis or other disruption, and a corrected forecast as output is provided. The corrected forecast reflects changes in the availability of business resources due to the crisis or disruption, dependencies between resources, as well as any mitigating effects resulting from the implementation of mitigation policies.</t>
  </si>
  <si>
    <t>US20070118916</t>
  </si>
  <si>
    <t>Process for the production of fine chemicals</t>
  </si>
  <si>
    <t>11/516230</t>
  </si>
  <si>
    <t>PUZIO PIOTR; WENDEL BIRGIT; HEROLD MICHAEL MANFRED; LOOSER RALF; BLAU ASTRID; PLESCH GUNNAR; KAMLAGE BEATE; SCHAUWECKER FLORIAN; METANOMICS GMBH</t>
  </si>
  <si>
    <t>PUZIO PIOTR; WENDEL BIRGIT; HEROLD MICHAEL MANFRED; LOOSER RALF; BLAU ASTRID; PLESCH GUNNAR; KAMLAGE BEATE; SCHAUWECKER FLORIAN; METANOMICS</t>
  </si>
  <si>
    <t>Puzio; Piotr; (Berlin, DE); Wendel; Birgit; (Berlin, DE); Herold; Michael Manfred; (Berlin, DE); Looser; Ralf; (Berlin, DE); Blau; Astrid; (Stahnsdorf, DE); Plesch; Gunnar; (Potsdam, DE); Kamlage; Beate; (Berlin, DE); Schauwecker; Florian; (Berlin, DE)</t>
  </si>
  <si>
    <t>C12N 15/8214 20130101;  C12N 15/8221 20130101;  C12N 15/8243 20130101;  C12N 15/8245 20130101;  C12N 15/8247 20130101;  C12N 15/825 20130101;  C12N 15/8251 20130101;  C12N 15/8253 20130101;  C12N 15/8254 20130101;  C12P 7/64 20130101;  C12P 13/06 20130101;  C12P 13/10 20130101;  C12P 13/12 20130101</t>
  </si>
  <si>
    <t>The present invention relates to a process for the production of the fine chemical in a microorganism, a plant cell, a plant, a plant tissue or in one or more parts thereof, preferably in plastids. The invention furthermore relates to nucleic acid molecules, polypeptides, nucleic acid constructs, vectors, antibodies, host cells, plant tissue, propagation material, harvested material, plants, microorganisms as well as agricultural compositions and to their use.</t>
  </si>
  <si>
    <t>US20070106775</t>
  </si>
  <si>
    <t>System and method for creating a proximity map of plurality of living     beings and objects</t>
  </si>
  <si>
    <t>11/363103</t>
  </si>
  <si>
    <t>G01S 5/14 20130101;  G01S 13/74 20130101;  G01S 5/0284 20130101</t>
  </si>
  <si>
    <t>A proximity network map defines who and what objects have come in contact     of each other including location and time. This map selects the list     people who have come in contact with known infected people based on     contagious disease epidemiology criteria to control its spread, or to     prevent radiation poisoning, limit bio-chemicals exposure, etc. These     people then undergo testing and quarantine procedures. It monitors     hygiene practices and reduces nosocomial infections in hospitals and     mitigates the pandemic flu threat by controlling contamination. It     controls people interaction, information flow in a high security     environment, control crime or gang activities. Each person or object     carrying a proximity-sensing unit with unique ID records all units it     encountered over a period of time. This information is stored with time     stamp in a relational database and transferred to network servers. The     databases are then replication throughout via a central web database     server for retrieval and analysis.</t>
  </si>
  <si>
    <t>US20070102280</t>
  </si>
  <si>
    <t>Air supply apparatus</t>
  </si>
  <si>
    <t>11/434552</t>
  </si>
  <si>
    <t>NEXT SAFETY, INC.</t>
  </si>
  <si>
    <t>NEXT SAFETY</t>
  </si>
  <si>
    <t>Hunter; C. Eric; (Jefferson, NC); Hunter; Jocelyn L.; (Jefferson, NC); Ballou; Bernard L. JR.; (Raleigh, NC); Hebrank; John H.; (Durham, NC); McNeil; Laurie E.; (Chapel Hill, NC)</t>
  </si>
  <si>
    <t>A61L 9/16 20130101;  B01D 2257/91 20130101;  B01D 53/007 20130101;  A61L 9/205 20130101</t>
  </si>
  <si>
    <t>US20070090942</t>
  </si>
  <si>
    <t>Methods for responding to biological, chemical or nuclear attacks</t>
  </si>
  <si>
    <t>11/514567</t>
  </si>
  <si>
    <t>BERRY KENNETH M</t>
  </si>
  <si>
    <t>BERRY KENNETH</t>
  </si>
  <si>
    <t>Berry; Kenneth M.; (Lavallette, NJ)</t>
  </si>
  <si>
    <t>G16H 50/80 20180101;  G08B 21/12 20130101</t>
  </si>
  <si>
    <t>A system is provided for responding to chemical, biological and/or     nuclear attacks in large areas such as cities, states and nations. The     system protects the public before significant exposure occurs, utilizing     a preventive approach rather than a purely reactive approach. Modeling     may be conducted to selectively position sensors for the on-going     collection of real-time detection data, such as contaminant types and     concentrations, weather conditions, terrain data, dispersion data and the     like. The detection data is compared to background data and modeled data     to detect unsafe contaminant levels and immediately activate a response     system. The integrated modeling and simulation component may function to     interface with real-time data from the sensors providing integrated     real-time plume depiction, prediction, and verification, as well as     real-time response and mitigation. This is testable and serves as an     advanced redundant scientific control. The response system may implement     a variety of measures, including, but not limited to, medical response     procedures for emergency rooms and hospitals, warning alarms,     instructions for personal protection, sealing of buildings, introduction     of positive pressure in buildings, and introduction of clean air in     confined spaces. During the response period, actual affects of the     contaminant release may be determined, such as symptoms developed by     people, animals and plants, treatments given to patients, medication     consumption, assessments of environmental damage and remediation thereof,     etc. The response to the contaminant release may then be modified based     on the determined actual affects of the contaminant release.</t>
  </si>
  <si>
    <t>US20070078081</t>
  </si>
  <si>
    <t>11/487445</t>
  </si>
  <si>
    <t>Casarez; Anthony; (San Francisco, CA); Chaudhary; Kleem; (Pleasanton, CA); Kim; Choung U.; (San Carlos, CA); McMurtrie; Darren; (San Mateo, CA); Sheng; Xiaoning C.; (Foster City, CA)</t>
  </si>
  <si>
    <t>A61P 31/14 20180101;  A61P 31/12 20180101;  C07K 5/0808 20130101;  C07F 9/6561 20130101;  C07F 9/65128 20130101;  C07F 9/65583 20130101;  A61K 38/00 20130101;  A61P 43/00 20180101</t>
  </si>
  <si>
    <t>The invention is related to HCV inhibitory compounds, compositions     containing such compounds, and therapeutic methods that include the     administration of such compounds, as well as to processes and     intermediates useful for preparing such compound.</t>
  </si>
  <si>
    <t>US20070072809</t>
  </si>
  <si>
    <t>11/487542</t>
  </si>
  <si>
    <t>Cho; Aesop; (Mountain View, CA); Kim; Choung U.; (San Carlos, CA); Sheng; Xiaoning C.; (Foster City, CA)</t>
  </si>
  <si>
    <t>A61K 38/21 20130101;  A61K 2300/00 20130101;  A61K 38/21 20130101;  A61P 43/00 20180101;  C07F 9/572 20130101;  C07D 417/14 20130101;  C07K 5/0812 20130101;  A61P 31/12 20180101</t>
  </si>
  <si>
    <t>The invention is related to HCV inhibitory compounds, compositions     containing such compounds, and therapeutic methods that include the     administration of such compounds, as well as to processes and     intermediates useful for preparing such compounds.</t>
  </si>
  <si>
    <t>US20070049754</t>
  </si>
  <si>
    <t>11/190225</t>
  </si>
  <si>
    <t>Boojamra; Constantine G.; (San Francisco, CA); Lin; Kuei-Ying; (Fremont, CA); Mackman; Richard; (Millbrae, CA); Markevitch; David Y.; (Los Angeles, CA); Petrakovsky; Oleg V.; (San Mateo, CA); Ray; Adrian S.; (San Mateo, CA); Zhang; Lijun; (Palo Alto, CA)</t>
  </si>
  <si>
    <t>A61K 45/06 20130101;  A61K 31/341 20130101;  C07H 19/20 20130101;  A61P 31/12 20180101;  A61P 31/20 20180101;  A61K 31/683 20130101;  A61P 43/00 20180101;  A61K 31/683 20130101;  A61P 31/18 20180101;  A61P 31/14 20180101;  A61K 31/662 20130101;  A61K 31/513 20130101;  C07H 19/00 20130101;  A61K 2300/00 20130101;  A61K 2300/00 20130101;  A61K 2300/00 20130101;  A61K 2300/00 20130101;  A61K 31/675 20130101;  C07F 9/65616 20130101;  A61K 31/675 20130101;  A61K 31/341 20130101;  A61P 31/00 20180101;  C07H 19/16 20130101;  A61K 31/513 20130101</t>
  </si>
  <si>
    <t>US20070026426</t>
  </si>
  <si>
    <t>System for genetic surveillance and analysis</t>
  </si>
  <si>
    <t>11/412030</t>
  </si>
  <si>
    <t>Fuernkranz; Hans; (Saratoga, CA); Patel; Chirag J.; (Foster City, CA)</t>
  </si>
  <si>
    <t>US20070003576</t>
  </si>
  <si>
    <t>Vaccines for the rapid response to pandemic avian influenza</t>
  </si>
  <si>
    <t>11/298102</t>
  </si>
  <si>
    <t>The present invention relates to adenovirus-based vaccines against avian     influenza viruses with pandemic potential. The present invention provides     replication-defective adenoviral vectors, each having a nucleic acid     encoding an influenza A polypeptide. When introduced into a subject, the     expressed influenza A polypeptide induces the production of antibodies     that bind to influenza. The present invention also provides methods for     inducing an immune response in a subject. Subjects are administered a     replication-defective adenoviral vector, wherein the vector has a nucleic     acid encoding an influenza A polypeptide. When the vector is expressed in     the subject, the influenza A polypeptide induces the subject to produce     antibodies to influenza.</t>
  </si>
  <si>
    <t>US20060263804</t>
  </si>
  <si>
    <t>Functional influenza virus-like particles (VLPs)</t>
  </si>
  <si>
    <t>11/372466</t>
  </si>
  <si>
    <t>Robinson; Robin A.; (Dickerson, MD); Pushko; Peter M.; (Frederick, MD)</t>
  </si>
  <si>
    <t>A61K 39/12 20130101;  C12N 2760/16023 20130101;  A61K 2039/70 20130101;  C12N 7/00 20130101;  C07K 14/005 20130101;  C12N 2760/16123 20130101;  A61K 2039/5258 20130101;  C12N 2760/16134 20130101;  C07H 21/04 20130101;  C12N 2760/16034 20130101;  A61P 37/04 20180101;  C12N 2760/16122 20130101;  A61K 2039/575 20130101;  A61P 31/16 20180101;  A61K 39/145 20130101</t>
  </si>
  <si>
    <t>US20060252791</t>
  </si>
  <si>
    <t>Imidazo[4,5-c]pyridine compound and method of antiviral treatment</t>
  </si>
  <si>
    <t>11/316050</t>
  </si>
  <si>
    <t>Bondy; Steven S.; (Danville, CA); Oare; David A.; (Belmont, CA); Tse; Winston C.; (San Mateo, CA)</t>
  </si>
  <si>
    <t>A61P 1/16 20180101;  A61P 31/00 20180101;  A61P 31/12 20180101;  C07D 471/04 20130101;  A61P 31/14 20180101</t>
  </si>
  <si>
    <t>The compound     5-((3-(2,4-trifluoromethyphenyl)isoxazol-5-yl)methyl)-2-(2-fluorophenyl)--    5H-imidazo[4,5-c]pyridine, together with the salts and solvates thereof.     Also provided are compositions comprising this compound and     pharmaceutically acceptable carriers, as well as the use of such     compositions in the treatment or prophylaxis of viral infections.</t>
  </si>
  <si>
    <t>US20060252715</t>
  </si>
  <si>
    <t>Tricyclic-nucleoside compounds for treating viral infections</t>
  </si>
  <si>
    <t>11/365321</t>
  </si>
  <si>
    <t>Keicher; Jesse Daniel; (San Carlos, CA); Roberts; Christopher Don; (Belmont, CA); Liehr; Sebastian Johannes Reinhard; (Palo Alto, CA); Zheng; Xiaoling; (Fremont, CA); Prhavc; Marija; (Encinitas, CA); Rajwanshi; Vivek Kumar; (Cupertino, CA); Griffith; Ronald Conrad; (Escondido, CA); Kim; Choung U.; (San Carlos, CA)</t>
  </si>
  <si>
    <t>A61P 31/12 20180101;  C07D 487/16 20130101;  C07H 19/00 20130101;  C07H 19/23 20130101;  A61P 43/00 20180101;  C07H 19/22 20130101;  A61P 1/16 20180101;  A61P 31/14 20180101</t>
  </si>
  <si>
    <t>Disclosed are compounds represented by formulae I, II, and III, and the     compositions and methods thereof for treating viral infections caused by     a Flaviviridae family virus.   ##STR1##</t>
  </si>
  <si>
    <t>US20060229822</t>
  </si>
  <si>
    <t>11/284094</t>
  </si>
  <si>
    <t>US20060218010</t>
  </si>
  <si>
    <t>Systems and methods for obtaining, storing, processing and utilizing     immunologic information of individuals and populations</t>
  </si>
  <si>
    <t>11/255161</t>
  </si>
  <si>
    <t>32 MOTT STREET ACQUISITION I, LLC D/B/A WELLSTAT VACCINES</t>
  </si>
  <si>
    <t>MOTT STREET ACQUISITION</t>
  </si>
  <si>
    <t>Michon; Francis; (Bethesda, MD); Moore; Samuel L.; (Sykesville, MD); Fusco; Peter C.; (Silver Spring, MD); Wohlstadter; Samuel J.; (Madison, VA); Davis; Charles Quentin; (Frederick, MD); Coleman; David; (Gaithersburg, MD); Shetty; Suraj; (Arlington, VA); Joshi; Kamini; (Ashburn, VA)</t>
  </si>
  <si>
    <t>G06F 19/18 20130101;  G06F 19/3456 20130101;  G06Q 50/24 20130101;  Y02A 90/22 20180101;  Y02A 90/24 20180101;  Y02A 90/26 20180101;  G16H 50/30 20180101;  G16H 50/20 20180101;  G16H 15/00 20180101;  G16H 50/80 20180101;  G16H 10/60 20180101</t>
  </si>
  <si>
    <t>A system and method for obtaining, storing, processing and utilizing     immunologic information of individuals and populations is presented. In     exemplary embodiments of the present invention, a biological sample can     be taken from one or more individuals and the sample submitted to one or     more panels of assays. The results of the assays can be stored and     analyzed, and such analysis can include (i) calculating derived     quantities which take the results of the assays as inputs, and (ii)     submitting the results and the derived quantities to a set of rules, each     of which has a defined output state. In exemplary embodiments of the     present invention, based upon the output state of the rules, an     appropriate recommendation as to one or more immunization or other     interventions can be generated and incorporated with provider and patient     reminders. In exemplary embodiments of the present invention the results     of the assays and the recommendation, as well as additional information     specific to the individual can be stored for further analysis. In     exemplary embodiments of the present invention the assay panel or panels     can be chosen as a function of a defined demographic group or enterprise     affinity into which the individual corresponds. In exemplary embodiments     a database can be maintained for storing and further processing of all     immunologic informatics collected according to the methods of the present     invention, and can be further processed or used to optimize the delivery     of products and/or services in various commercial, research and     governmental contexts.</t>
  </si>
  <si>
    <t>US20060206010</t>
  </si>
  <si>
    <t>Diagnostic support system and mobile terminal</t>
  </si>
  <si>
    <t>10/554532</t>
  </si>
  <si>
    <t>Iida; Kazuhiro; (Tokyo, JP); Sano; Toru; (Tokyo, JP); Hattori; Wataru; (Tokyo, JP)</t>
  </si>
  <si>
    <t>A61B 5/0002 20130101;  A61B 5/411 20130101;  G16H 50/80 20180101;  G16H 50/30 20180101;  G06Q 10/10 20130101</t>
  </si>
  <si>
    <t>A diagnostic support system includes a mobile terminal (14) and an     analytical center (20), which are connected to each other through a     network, and judges a morbidity possibility that a user holding the     mobile terminal (14) is suffering from a disease. The analytical center     (20) includes a data obtaining unit (26) which obtains symptom data     representing the symptom of the user from the mobile terminal (14) in     correspondence with a position at which and a date on which the symptom     data was made, a morbidity possibility calculation unit (36) which judges     the morbidity possibility that the user is suffering from the disease,     based on the symptom data and a reference parameter representing the     feature generated in sufferers of the disease, and an estimation     processing unit (34) which estimates the existing states of sufferers of     the disease for each area and in each period, based on morbidity     possibilities of a plurality of users, and corresponding positions and     dates.</t>
  </si>
  <si>
    <t>US20060184337</t>
  </si>
  <si>
    <t>Method for measuring a degree of association for dimensionally referenced     data</t>
  </si>
  <si>
    <t>11/347049</t>
  </si>
  <si>
    <t>Biomedware, Inc.</t>
  </si>
  <si>
    <t>BIOMEDWARE</t>
  </si>
  <si>
    <t>Jacquez; Geoffrey M.; (Ann Arbor, MI)</t>
  </si>
  <si>
    <t>G06F 17/10 20130101;  Y02A 90/24 20180101;  G16H 50/80 20180101;  G06F 17/18 20130101</t>
  </si>
  <si>
    <t>A method for measuring a degree of association (58) between, and for     selectively creating a grouping (40) of, n plurality of spatially     referenced physical events (22) of a predetermined physical     characteristic. The method includes the steps of assembling n plurality     of physical events (26), assembling a universe of possible sample     locations (36), determining a reference distribution (54), determining a     restricted distribution (56), and determining the degree of association     (58) between the n plurality of physical events. Specifically, the     physical events each have an indicia of location and a physical     characteristic above a threshold. The step (54) of determining a     reference distribution is conducted by calculating a test statistic (78)     for each of n' plurality of random allocations (74) of the n plurality of     physical events over the selected n plurality of sample locations.     Further, the step (58) of determining a restricted distribution includes     calculating the test statistic (82) for each of n'' plurality of     restricted random allocations (80) of the n plurality of physical events     over the n plurality of sample locations (62).</t>
  </si>
  <si>
    <t>US20060178567</t>
  </si>
  <si>
    <t>Method and system for capturing and monitoring a physiological parameter     and movement within an area of at least one person</t>
  </si>
  <si>
    <t>10/564493</t>
  </si>
  <si>
    <t>CADI SCIENTIFIC PTE LTD.</t>
  </si>
  <si>
    <t>CADI SCIENTIFIC PTE</t>
  </si>
  <si>
    <t>Goh; Zenton; (Bedok South Avenue, SG); Neo; Sian Sheng; (Choa Chu Kang North, SG); Ng; Hon Cheong; (Choa Chu Kang Street, SG); Lim; Soh Min; (Canberra Road, SG)</t>
  </si>
  <si>
    <t>A61B 5/0002 20130101;  G16H 50/80 20180101;  Y10S 128/903 20130101;  G06F 19/3418 20130101;  G06F 19/30 20130101;  G01S 5/0294 20130101;  Y10S 128/92 20130101;  G01S 5/0018 20130101;  G01S 5/0009 20130101;  A61B 5/01 20130101;  A61B 5/0015 20130101;  Y10S 128/904 20130101;  G01S 5/0231 20130101;  A61B 2562/08 20130101;  A61B 5/1113 20130101</t>
  </si>
  <si>
    <t>A method for capturing and monitoring at least one physiological     parameter and movement within an area of at least one person are     disclosed. The area is divided into cells having respective location     identifiers. Each person is provided with a respective device for     measuring at least one physiological parameter of the person. The     physiological parameter is indicative of whether the person has a     physical condition. Each device has a device identifier. The device is     used to at least intermittently measure a physiological parameter of the     person using the respective device to obtain a physiological parameter     reading for each measurement. The physiological parameter reading is     associated with the respective device identifier of the device by which,     the respective location identifier of the cell in which, and a time at     which the physiological parameter reading is obtained. The associated     information is stored at a remote location. A system and a physiological     parameter device are also disclosed.</t>
  </si>
  <si>
    <t>US20060167742</t>
  </si>
  <si>
    <t>Categorizing and analyzing sales of particular products</t>
  </si>
  <si>
    <t>11/391006</t>
  </si>
  <si>
    <t>BRACKEN FOSTER &amp; ASSOCIATES, LLC</t>
  </si>
  <si>
    <t>BRACKEN FOSTERASSOCIATES</t>
  </si>
  <si>
    <t>Bracken; Todd C.; (Indianapolis, IN); Chowning; Kimberly; (Indianapolis, IN)</t>
  </si>
  <si>
    <t>G06F 19/328 20130101;  G06Q 30/02 20130101;  G16H 50/80 20180101;  G06Q 30/0204 20130101;  G06Q 30/0205 20130101;  G06Q 30/0201 20130101</t>
  </si>
  <si>
    <t>A system and method for identification and notification of elevated     over-the-counter medication sales is disclosed. Localized alerts of     elevated sales of specified over-the-counter medications and graphical     views of historical sales intensity by medication category are provided.     Intervention instructions to manage responses to factors causing the     elevation of sales are provided. The system analyzes sales volume from     stores that sell the identified medications to determine if sales volume     exceeds expected thresholds. Data from individual products are combined     into meaningful categories for tracking, and alerts are sent to users of     data anomalies and of intervention messages or tasks requiring attention.     Users view a geographic area and define their own notification events and     mode. User interaction includes: a graphical representation of their     geographic area with indicators of all current alerts; historical sales     trend charts per category; graphical time-lapse representations of sales     intensity per category; and task management to coordinate action and     response.</t>
  </si>
  <si>
    <t>US20060155578</t>
  </si>
  <si>
    <t>Privacy entitlement protocols for secure data exchange, collection,     monitoring and/or alerting</t>
  </si>
  <si>
    <t>11/032391</t>
  </si>
  <si>
    <t>Eisenberger; George; (White Plains, NY); McCulloch; Edgar H. III; (Arlington, VA); Richards; Thomas L. II; (Chicago, IL)</t>
  </si>
  <si>
    <t>G06F 19/321 20130101;  G06Q 10/10 20130101;  G06Q 50/22 20130101;  H04L 29/06 20130101;  Y02A 90/24 20180101;  G16H 10/60 20180101;  G16H 50/80 20180101;  Y02A 90/26 20180101;  Y02A 90/22 20180101;  H04L 67/104 20130101</t>
  </si>
  <si>
    <t>Methods, systems and related computer products for providing entitlement     controlled levels of collaborative exchange of data using a computer     network of Subscribers and Publishers, are configured to: (a) define a     set of different privacy levels, each privacy level having associated     data sharing parameters that control a participating Publisher's ability     to send and a participating Subscriber's ability to receive content     specific data; and (b) provide an electronic privacy level register that     defines the different data sharing parameters for each of the different     privacy levels and identifies an associated at least one privacy level     for each participating Subscriber and Publisher.</t>
  </si>
  <si>
    <t>US20060147442</t>
  </si>
  <si>
    <t>11/254500</t>
  </si>
  <si>
    <t>Homan; Jane; (Hillpoint, WI); Imboden; Michael; (Madison, WI); Riggs; Michael; (Tuscon, AZ); Carryn; Stephane; (Brussels, BE); Schaefer; Deborah A.; (Tuscon, AZ)</t>
  </si>
  <si>
    <t>A01N 63/02 20130101;  A61K 38/10 20130101;  A61K 38/1709 20130101;  A61K 38/40 20130101;  A61L 2/16 20130101;  A61K 38/1729 20130101;  A61K 38/465 20130101</t>
  </si>
  <si>
    <t>US20060132316</t>
  </si>
  <si>
    <t>Hygiene monitoring system</t>
  </si>
  <si>
    <t>11/339378</t>
  </si>
  <si>
    <t>US20060122123</t>
  </si>
  <si>
    <t>11/184429</t>
  </si>
  <si>
    <t>Chaudhary; Kleem; (Hayward, CA); Fleury; Melissa; (Redwood City, CA); Kim; Choung U.; (San Carlos, CA); McMurtrie; Darren J.; (San Mateo, CA); Sheng; Xiaoning C.; (Foster City, CA)</t>
  </si>
  <si>
    <t>C07F 9/572 20130101;  C07K 5/0827 20130101;  A61P 31/12 20180101;  A61P 43/00 20180101;  A61P 31/14 20180101;  C07F 9/65583 20130101;  A61P 1/16 20180101;  C07K 5/06191 20130101;  C07K 5/0808 20130101;  A61K 38/00 20130101</t>
  </si>
  <si>
    <t>US20060121447</t>
  </si>
  <si>
    <t>Purified subfragment codifying for neuroaminidase, recombinant     neuroaminidase and its use in zooprophylaxis</t>
  </si>
  <si>
    <t>10/511229</t>
  </si>
  <si>
    <t>Capua, Ilaria; Marangon, Stefano; Cattoli, Giovanni</t>
  </si>
  <si>
    <t>CAPUA ILARIA</t>
  </si>
  <si>
    <t>Capua; Ilaria; (Padova, IT); Marangon; Stefano; (Mestre, IT); Cattoli; Giovanni; (Padova, IT)</t>
  </si>
  <si>
    <t>A61K 39/145 20130101;  A61K 2039/5256 20130101;  A61K 2039/552 20130101;  C07K 14/005 20130101;  C12N 2710/14143 20130101;  C12N 2760/16122 20130101;  C12N 2760/16134 20130101;  G01N 33/56983 20130101;  G01N 2333/11 20130101;  G01N 2469/20 20130101;  A61K 39/12 20130101;  A61K 2039/5252 20130101;  A61K 2039/55566 20130101;  A61K 2039/58 20130101</t>
  </si>
  <si>
    <t>Within the prophylaxis strategies for the control of type A avian     influenza caused by viral infection with specific epidemic strain H7N1, a     vaccination process is envisaged comprising the preparation of a     heterologous vaccine that is administered to an animal population, said     vaccine featuring the same subtype of viral haemoagglutinin HA7 and a     different subtype of neuroaminidase NA3, and thereafter detecting the     viralinfection positiveness by contacting an antigen with at least one     genomic sequence that codes for a neuroaminidase NA1 protein with the     biological fluids collected from the animals By subsequently revealing an     antigen-anti-body reaction by means of a test for detecting positiveness     (iIFA, ELISA among others), the vaccinated animals can be discriminated     from the other ones. The recombinant antigen is represented by the     recombinant glycoprotein neuroaminidase NA1, the genomic sequence of     which is carried by a baculovirus and expressed in insect cell.</t>
  </si>
  <si>
    <t>US20060099628</t>
  </si>
  <si>
    <t>Diagnostic assay for rickettsia prowazekii disease by detection of     responsive gene expression</t>
  </si>
  <si>
    <t>11/272419</t>
  </si>
  <si>
    <t>Ching, Wei-Mei; Ge, Hong</t>
  </si>
  <si>
    <t>CHING WEI</t>
  </si>
  <si>
    <t>Ching; Wei-Mei; (Bethesda, MD); Ge; Hong; (Potomac, MD)</t>
  </si>
  <si>
    <t>C12Q 1/6883 20130101;  C12Q 1/689 20130101;  C12Q 2600/158 20130101;  G16B 25/00 20190201;  Y02A 90/26 20180101;  Y02A 90/22 20180101;  Y02A 90/24 20180101;  Y02A 50/59 20180101</t>
  </si>
  <si>
    <t>The inventive subject matter relates to a method for the detection and     diagnosis of Rickettsia prowazekii infection by measuring the increased     or decreased expression of specific human genes following infection by     microarray or polymerase chain reaction analysis. Gene modulation     profiles can be further analyzed by computer. The method permits the     early detection and diagnosis of Rickettsia prowazekii exposure and     infection and diagnosis of epidemic typhus earlier than any currently     available methods.</t>
  </si>
  <si>
    <t>US20060080149</t>
  </si>
  <si>
    <t>Healthcare guidance support system</t>
  </si>
  <si>
    <t>11/195686</t>
  </si>
  <si>
    <t>Hitachi</t>
  </si>
  <si>
    <t>HITACHI</t>
  </si>
  <si>
    <t>Takada; Hidekatsu; (Fujimi, JP); Osaki; Takanobu; (Kokubunji, JP); Ban; Hideyuki; (Kodaira, JP)</t>
  </si>
  <si>
    <t>G16H 50/80 20180101;  G16H 50/70 20180101;  G16H 50/30 20180101;  G06Q 50/24 20130101;  G06F 19/3475 20130101;  G06F 19/3481 20130101</t>
  </si>
  <si>
    <t>A health guidance support system for examinee's health improvement     including a health checkup data storage for examinees' data containing     levels of health conditions or development of diseases and related risk     data collected at a certain time interval, an input unit for a health     level and risk data in the present user's condition and a future target     level, an extraction unit to extract checkup data satisfying the health     level and risk data in the user's present condition at a preceding time     point as a first data group and checkup data contained therein and     satisfying a target health level at a subsequent time point as a second     data group, a computing unit to compute an attainment level of the target     health level corresponding to a combination of the risk data at the     subsequent time point based on both data groups, and a display unit for     the combination and attainment level is provided.</t>
  </si>
  <si>
    <t>US20060058265</t>
  </si>
  <si>
    <t>Topical antiviral formulations</t>
  </si>
  <si>
    <t>11/174215</t>
  </si>
  <si>
    <t>A61P 31/18 20180101;  A61P 31/00 20180101;  A61P 31/12 20180101;  A61P 15/00 20180101;  A61P 43/00 20180101;  A61K 31/505 20130101;  A61F 6/04 20130101;  A61K 9/0014 20130101;  A61K 9/02 20130101;  A61K 9/0034 20130101;  A61K 31/675 20130101</t>
  </si>
  <si>
    <t>The present invention relates to formulations of nucleotide reverse     transcriptase inhibitors (NRTIs), preferably     [2-(6-Amino-purin-9-yl)-1-methyl-ethoxymethyl]-phosphonic acid     (tenofovir, PMPA), or a physiologically functional derivative thereof,     suitable for topical application and their use in the prevention of HIV     infections.</t>
  </si>
  <si>
    <t>US20060052326</t>
  </si>
  <si>
    <t>Werner's syndrome helicase as a target for anti -HIV/AIDS therapy</t>
  </si>
  <si>
    <t>11/213359</t>
  </si>
  <si>
    <t>SOUTHERN METHODIST UNIVERSITY</t>
  </si>
  <si>
    <t>Harrod; Robert; (Rockwall, TX)</t>
  </si>
  <si>
    <t>C12N 2510/04 20130101;  C12N 9/90 20130101;  C12N 2740/16322 20130101;  C12Q 1/6897 20130101;  G01N 2333/163 20130101;  G01N 33/5008 20130101;  G01N 2333/99 20130101;  A61K 48/00 20130101;  C12Q 1/6897 20130101;  A61K 31/522 20130101;  C07K 14/005 20130101;  A61K 38/52 20130101;  C12Q 1/703 20130101;  G01N 2333/91245 20130101;  A61K 31/551 20130101;  C12Q 2521/531 20130101</t>
  </si>
  <si>
    <t>Werner's Syndrome helicase (WRN) interacts in Tat/TAR-RNA     chromatin-remodeling complexes assembled on the HIV-1 LTR to promote     transcriptional activation and viral replication. WRN markedly increases     basal HIV-1 transcription and synergizes with Tat to support LTR     trans-activation. Inhibition of WRN functions, through expression of the     trans-dominant-negative WRN.sub.K577M mutant, potently represses HIV-1     LTR trans-activation and prevents intracellular synthesis of p24.sup.Gag     and inhibits virus production in HIV-infected H9.sub.HIV-1IIIB     lymphocytes. Therefore, the present disclosure provides a novel target     for anti-HIV therapy. Methods and compositions of the disclosure may be     used to perform high throughput screens for small molecule anti-HIV     therapeutics. Such therapeutics may inhibit a stage in the HIV     replicative cycle not affected by current anti-HIV drugs.</t>
  </si>
  <si>
    <t>US20060036619</t>
  </si>
  <si>
    <t>Method for accessing and analyzing medically related information from     multiple sources collected into one or more databases for deriving     illness probability and/or for generating alerts for the detection of     emergency events relating to disease management including HIV and SARS,     and for syndromic surveillance of infectious disease and for predicting     risk of adverse events to one or more drugs</t>
  </si>
  <si>
    <t>11/198588</t>
  </si>
  <si>
    <t>G06Q 10/10 20130101;  G06Q 50/22 20130101;  G16H 50/70 20180101;  Y02A 90/24 20180101;  Y02A 90/26 20180101;  Y02A 90/22 20180101;  G16H 50/80 20180101</t>
  </si>
  <si>
    <t>The method of the present invention derives the illness probability of     any selected person from a database of people stored in a computer and/or     on a computer network using collected relational data from every person     in the database, including whether a person has a contact relationship     with another person in said database and utilizes a database of illnesses     infection probability functions given different illnesses and states of     nature including data relating to social relationship; type of disease;     probability function of infection given a time unit; length of contact of     the particular contact relationship link; and calculates at least one     relational path between said person and each person in the data base with     whom there is a contact relationship, direct or via other persons in the     said database for deriving the illness probability of the selected     person. In addition. the method of the present invention permits     selecting the optimum treatment for a patient with an infectious disease     based upon recommending a drug or drugs deemed optimum for treating the     patient and permits generating alerts for the detection of emergency     events such as the outbreak of an infectious disease or a biological,     chemical or nuclear attack and for diseases management. Moreover, in     accordance with the method of the present invention a given patient may     compare his or her medical record with summary information of patients     with similar defined criteria.</t>
  </si>
  <si>
    <t>US20060031018</t>
  </si>
  <si>
    <t>System and method for processing and reporting biologically significant     events</t>
  </si>
  <si>
    <t>10/911713</t>
  </si>
  <si>
    <t>Bush; Aaron M.; (Kearney, MO); Gosch; Jody L.; (Liberty, MO); Hoffman; Mark A.; (Lees Summit, MO)</t>
  </si>
  <si>
    <t>G16H 50/80 20180101;  G16H 10/60 20180101;  G16H 40/67 20180101;  G06Q 50/24 20130101;  Y02A 90/26 20180101;  Y02A 90/22 20180101</t>
  </si>
  <si>
    <t>A system and method are provided for processing reports of biological     events in order to filter the reports and output the reports to     appropriate institutions and individuals for reporting. The system     includes a primary filter for receiving a record, evaluating an event     contained within the record, identifying any potential receiving     organization based on the event evaluation, and creating a record for     each potential receiving organization. The system may also include     additional filters such as secondary filters, location filters, and     column level filters for limiting the records created by the primary     filter based on definitions provided by the receiving institutions.</t>
  </si>
  <si>
    <t>US20060024668</t>
  </si>
  <si>
    <t>Coronavirus, nucleic acid, protein, and methods for the generation of     vaccine, medicaments and diagnostics</t>
  </si>
  <si>
    <t>10/922232</t>
  </si>
  <si>
    <t>Hoek; Cornelia van der; (Diemen, NL)</t>
  </si>
  <si>
    <t>C12N 2770/20011 20130101;  A61K 39/215 20130101;  C12N 7/00 20130101;  C12N 2770/20021 20130101;  C07K 14/005 20130101;  C12Q 1/701 20130101;  C12Q 1/70 20130101;  C12Q 1/702 20130101;  A61K 39/00 20130101;  A61K 38/00 20130101;  C12N 2770/20034 20130101;  C12N 2770/20022 20130101;  G01N 33/56983 20130101;  A61K 39/12 20130101;  A61K 2039/525 20130101;  C12Q 1/702 20130101;  A61P 31/00 20180101;  C07K 16/10 20130101;  A61P 31/14 20180101;  G01N 2333/165 20130101;  C12Q 2531/113 20130101</t>
  </si>
  <si>
    <t>A new coronavirus is disclosed herein with a tropism that includes     humans. Means and methods are provided for diagnosing subjects     (previously) infected with the virus. Also provided are among others     vacines, medicaments, nucleic acids and specific binding members.</t>
  </si>
  <si>
    <t>US20060020391</t>
  </si>
  <si>
    <t>Method for tracking and controlling infections</t>
  </si>
  <si>
    <t>10/799749</t>
  </si>
  <si>
    <t>C12Q 1/6869 20130101;  C12Q 1/689 20130101;  G06F 19/14 20130101;  G06F 19/22 20130101;  G06F 19/28 20130101;  C12Q 2600/156 20130101;  G06F 19/3418 20130101;  G06Q 50/22 20130101;  G16H 50/80 20180101;  G16H 10/40 20180101;  G06F 19/321 20130101</t>
  </si>
  <si>
    <t>US20060008473</t>
  </si>
  <si>
    <t>Influenza hemagglutinin and neuraminidase variants</t>
  </si>
  <si>
    <t>11/133346</t>
  </si>
  <si>
    <t>Yang; Chin-Fen; (San Jose, CA); Kemble; George; (Saratoga, CA); Subbarao; Kanta; (Bethesda, MD); Murphy; Brian; (Bethesda, MD)</t>
  </si>
  <si>
    <t>US20050287172</t>
  </si>
  <si>
    <t>11/133360</t>
  </si>
  <si>
    <t>Yang, Chin-Fen; (San Jose, CA); Kemble, George; (Saratoga, CA)</t>
  </si>
  <si>
    <t>US20050282839</t>
  </si>
  <si>
    <t>Pyrimidyl phosphonate antiviral compounds and methods of use</t>
  </si>
  <si>
    <t>11/033422</t>
  </si>
  <si>
    <t>Jin, Haolun; (Foster City, CA); Kim, Choung U.; (San Carlos, CA)</t>
  </si>
  <si>
    <t>C07F 9/3808 20130101;  C07F 9/6512 20130101;  C07F 9/58 20130101;  A61K 47/548 20170801;  A61P 37/04 20180101;  A61P 35/00 20180101;  C07F 9/4006 20130101;  C07D 239/54 20130101;  C07F 9/6561 20130101;  C07F 9/6536 20130101;  C07F 9/65583 20130101;  A61P 43/00 20180101;  A61P 31/12 20180101;  C07D 239/557 20130101;  A61P 31/18 20180101</t>
  </si>
  <si>
    <t>Pyrimidine I and pyrimidinone II phosphonate compounds and methods for     viral inhibition are disclosed. The compounds include at least one     phosphonate group covalently attached at any site.  1</t>
  </si>
  <si>
    <t>US20050261841</t>
  </si>
  <si>
    <t>Physical geolocation system</t>
  </si>
  <si>
    <t>10/983379</t>
  </si>
  <si>
    <t>SHEPARD DONALD F; KNAEBEL DAVID B; GRAY D A</t>
  </si>
  <si>
    <t>SHEPARD DONALD KNAEBEL DAVID GRAY A</t>
  </si>
  <si>
    <t>Shepard, Donald F.; (Evergreen, CO); Knaebel, David B.; (Manlius, NY); Gray, D. Anthony; (Liverpool, NY)</t>
  </si>
  <si>
    <t>US20050249739</t>
  </si>
  <si>
    <t>Antibodies against SARS-CoV and methods of use thereof</t>
  </si>
  <si>
    <t>10/997201</t>
  </si>
  <si>
    <t>Marasco, Wayne; (Wellesley, MA); Sui, Jianhua; (Boston, MA)</t>
  </si>
  <si>
    <t>C07K 16/10 20130101;  C07K 2317/34 20130101;  C07K 2317/76 20130101;  A61K 2039/505 20130101;  C07K 2317/56 20130101;  C07K 2317/21 20130101;  C12N 2770/20011 20130101;  A61K 2039/545 20130101;  C07K 2319/30 20130101;  C07K 2317/622 20130101</t>
  </si>
  <si>
    <t>The invention provides scFv antibodies and monoclonal antibodies that     neutralize SARS-CoV. Also provided are methods of treating and/or     preventing a coronavirus-related disease or disorder such as SARS. The     invention also provides methods of vaccinating a patient against     SARS-CoV. Also provided are methods of diagnosing coronavirus-related     diseases or disorders and methods of detecting the presence of a     coronavirus in a sample. The invention additionally provides methods of     screening for compounds that modulate the binding of SARS-CoV and the     SARS-CoV receptor ACE2 as well as for compounds useful to treat     SARS-CoV-related diseases or disorders.</t>
  </si>
  <si>
    <t>US20050244816</t>
  </si>
  <si>
    <t>Immunoassays, haptens, immunogens and antibodies for anti-HIV therapeutics</t>
  </si>
  <si>
    <t>11/019419</t>
  </si>
  <si>
    <t>Valdez, Johnny; (Fremont, CA)</t>
  </si>
  <si>
    <t>US20050239753</t>
  </si>
  <si>
    <t>Methods of inhibition of MMTV-like viruses</t>
  </si>
  <si>
    <t>11/040929</t>
  </si>
  <si>
    <t>Cihlar, Tomas; (Foster City, CA); Douglas, Janet L.; (Portland, OR); Gibbs, Craig S.; (Palo Alto, CA)</t>
  </si>
  <si>
    <t>A61K 31/675 20130101;  A61P 31/12 20180101;  A61K 45/06 20130101;  A61P 43/00 20180101;  A61P 1/16 20180101;  A61P 35/00 20180101;  A61P 15/14 20180101</t>
  </si>
  <si>
    <t>US20050222198</t>
  </si>
  <si>
    <t>Imidazo[4,5-c]pyridine compounds and methods of antiviral treatment</t>
  </si>
  <si>
    <t>11/019830</t>
  </si>
  <si>
    <t>Bondy, Steven S.; (Danville, CA); Dowdy, Eric Davis; (Foster City, CA); Kim, Choung U.; (San Carlos, CA); Neyts, Johan; (Kessel-Lo, BE); Oare, David A.; (Belmont, CA); Puerstinger, Gerhard; (Igls, AT); Zia, Vahid; (San Carlos, CA)</t>
  </si>
  <si>
    <t>A61P 31/12 20180101;  A61P 43/00 20180101;  A61P 31/14 20180101;  A61P 3/12 20180101;  C07D 471/04 20130101</t>
  </si>
  <si>
    <t>The present invention relates to pharmaceutical compositions for the     treatment or prevention of viral infections comprising as an active     principle at least one imidazo[4,5-c]pyridine prodrug having the general     formula (A):  1wherein the substituents are described in the specification.The invention also relates to processes for the preparation and screening     of compounds according to the invention having above mentioned general     formula and their use in the treatment or prophylaxis of viral     infections.</t>
  </si>
  <si>
    <t>US20050215525</t>
  </si>
  <si>
    <t>Anti-infective phosphonate analogs</t>
  </si>
  <si>
    <t>10/833291</t>
  </si>
  <si>
    <t>Boojamra, Constantine G.; (San Francisco, CA); Cho, Aesop; (Mountain View, CA); Watkins, William J.; (Sunnyvale, CA)</t>
  </si>
  <si>
    <t>C07F 9/58 20130101;  C07F 9/650952 20130101;  C07F 9/65583 20130101;  C07F 9/4006 20130101;  A61K 47/548 20170801;  C07F 9/6561 20130101;  C07F 9/65586 20130101</t>
  </si>
  <si>
    <t>The invention is related to phosphorus substituted anti-infective     compounds, compositions containing such compounds, and therapeutic     methods that include the administration of such compounds, as well as to     processes and intermediates useful for preparing such compounds.</t>
  </si>
  <si>
    <t>US20050209197</t>
  </si>
  <si>
    <t>Cellular accumulation of phosphonate analogs of HIV protease inhibitor     compounds</t>
  </si>
  <si>
    <t>10/423496</t>
  </si>
  <si>
    <t>Arimilli, Murty N.; (Oakridge, NC); Becker, Mark M.; (Belmont, CA); Bryant, Clifford; (Millbrae, CA); Chen, James M.; (San Ramon, CA); Chen, Xiaowu; (San Mateo, CA); Dastgah, Azar; (Sunnyvale, CA); Fardis, Maria; (San Carlos, CA); He, Gong-Xin; (Fremont, CA); Jin, Haolun; (Foster City, CA); Kim, Choung U.; (San Carlos, CA); Lee, William A.; (Los Altos, CA); Lee, Christopher P.; (San Francisco, CA); Lin, Kuei-Ying; (Fremont, CA); Liu, Hongtao; (Foster City, CA); Mackman, Richard L.; (Millbrae, CA); Mitchell, Michael L.; (Foster City, CA); Nelson, Peter H.; (Los Altos, CA); Pyun, Hyung-Jung; (Fremont, CA); Rowe, Tanisha D.; (Modesto, CA); Sparacino, Mark; (Morgan Hill, CA); Swaminathan, Sundaramoorthi; (Burlingame, CA); Tario, James D.; (San Mateo, CA); Wang, Jianying; (Foster City, CA); Williams, Matthew A.; (San Mateo, CA); Xu, Lianhong; (San Mateo, CA); Yang, Zheng-Yu; (Foster City, CA); Yu, Richard H.; (San Francisco, CA); Zhang, Jiancun; (Oakland, CA); Zhang, Lijun; (Foster City, CA)</t>
  </si>
  <si>
    <t>A61K 31/675 20130101;  A61K 31/66 20130101;  A61P 31/18 20180101;  C40B 40/04 20130101;  G01N 2500/04 20130101;  C12Q 1/18 20130101;  A61P 43/00 20180101;  C07F 9/6512 20130101;  C07D 243/04 20130101;  C07F 9/6561 20130101;  C07D 239/49 20130101;  C07D 471/14 20130101;  C07D 265/18 20130101;  C07F 9/65128 20130101;  C07F 9/645 20130101;  C07D 307/68 20130101;  C07F 9/65583 20130101;  G01N 2333/16 20130101;  C07F 9/6506 20130101;  C07D 213/85 20130101;  C07D 403/06 20130101;  G01N 33/5038 20130101;  C07F 9/58 20130101;  C07F 9/65515 20130101;  C07D 233/42 20130101;  C07D 401/06 20130101;  C07D 491/04 20130101;  C12N 9/16 20130101;  C12Q 1/44 20130101;  C07F 9/4006 20130101;  C07D 231/20 20130101;  C07D 213/75 20130101;  C07D 239/80 20130101;  C07F 9/650905 20130101;  C07D 231/12 20130101;  C07F 9/650947 20130101;  C07F 9/65335 20130101;  C12Q 1/37 20130101</t>
  </si>
  <si>
    <t>Phosphonate substituted compounds with HIV protease inhibitory properties     having use as therapeutics and for other industrial purposes are     disclosed. The compositions inhibit HIV protease activity and/or are     useful therapeutically for the treatment of AIDS and other antiviral     infections, as well as in assays for the detection of HIV protease.</t>
  </si>
  <si>
    <t>US20050177393</t>
  </si>
  <si>
    <t>Method and system of rule-based triage</t>
  </si>
  <si>
    <t>10/944110</t>
  </si>
  <si>
    <t>Sacco, William J.; (Bel Air, MD); Navin, D. Michael; (Bel Air, MD)</t>
  </si>
  <si>
    <t>G06Q 40/08 20130101;  G06Q 50/22 20130101;  G16H 50/80 20180101;  G16H 40/20 20180101;  G16H 50/20 20180101;  G06Q 50/24 20130101</t>
  </si>
  <si>
    <t>A method and system for ordering treatment or transport of victims of a     mass casualty incident, prior to the incident, by establishing simulated     casualty severity scores for each of the victims and considering the     casualty severity scores and simulated resource availability. The order     of treatment is provided on a card, chart, table or graph. Ordering     treatment occurs through an analysis of triage simulations using     analytical or mathematical programming techniques considering the     severity scores, time periods of treatment delay resulting from     constrained resources, estimated survival probabilities, and/or     deterioration rates applied to the severity scores due to treatment     delay. Alternatively, the order of treatment can be determined through     data mining, pattern recognition, or greedy algorithm optimization     techniques analyzing survival probability estimates associated with the     simulated casualty severity scores, and changes to the survival     probability estimates due to time periods of treatment delay resulting     from constrained resources.</t>
  </si>
  <si>
    <t>US20050158402</t>
  </si>
  <si>
    <t>Preparation of Chinese herbal composite recipe used in environmental     sanitation</t>
  </si>
  <si>
    <t>10/858055</t>
  </si>
  <si>
    <t>LEE, CHEN-SHENG</t>
  </si>
  <si>
    <t>LEE CHEN</t>
  </si>
  <si>
    <t>Lee, Chien-Yung; (Kaohsiung Hsien, TW)</t>
  </si>
  <si>
    <t>A61K 36/185 20130101;  A61K 36/41 20130101;  A61K 36/489 20130101;  A61K 36/53 20130101;  A61K 36/535 20130101;  A61K 36/704 20130101;  A61K 36/904 20130101;  A61K 36/185 20130101;  A61K 2300/00 20130101;  A61K 36/41 20130101;  A61K 2300/00 20130101;  A61K 36/489 20130101;  A61K 2300/00 20130101;  A61K 36/53 20130101;  A61K 2300/00 20130101;  A61K 36/535 20130101;  A61K 2300/00 20130101;  A61K 36/704 20130101;  A61K 2300/00 20130101;  A61K 36/904 20130101;  A61K 2300/00 20130101</t>
  </si>
  <si>
    <t>A Chinese herbal composition for environmental sanitation is free of toxin     and user-friendly water-soluble spray. The practical applications of this     spray include pest annihilation, better environmental sanitation,     germicide and viruses inhibitive functions. It is also effective in     prevention against epidemic and prevalent disease. This composition is     composed of Akebia trifoliata, Polygonum perifoliatum, Euodia rutaecarpa,     Stemona tuberose, Bryophyllum pinnatum, and Sophora flavescens. These     drugs have passed the western and oriental pharmacologists'     pharmacological experiments and proved of pesticide, germicide and     viruses inhibitive effects. As based on above, the inventor also concerns     the multiple effects of drug composition. By using revolutionary     extraction and scientific preparation methods, the non-toxic Chinese     herbal ingredients can be transformed into potent annihilative     preparation.</t>
  </si>
  <si>
    <t>US20050136395</t>
  </si>
  <si>
    <t>Methods for genetic analysis of SARS virus</t>
  </si>
  <si>
    <t>10/843527</t>
  </si>
  <si>
    <t>AFFYMETRIX, INC.</t>
  </si>
  <si>
    <t>AFFYMETRIX</t>
  </si>
  <si>
    <t>Mittmann, Michael P.; (Palo Alto, CA); Schell, Eric B.; (Mountain View, CA)</t>
  </si>
  <si>
    <t>C12Q 1/6837 20130101;  C12Q 1/701 20130101</t>
  </si>
  <si>
    <t>The invention provides arrays and probes for resequencing a SARS virus     using an array of probes that are complementary to a SARS reference     sequence and to each possible single nucleotide substitution of the     reference sequence. Methods of identifying mutations in viral sequences     and methods of characterizing viral isolates are also provided. The     invention also provides high throughput methods to monitor epidemics and     pandemics caused by pathogens such as viruses.</t>
  </si>
  <si>
    <t>US20050123599</t>
  </si>
  <si>
    <t>Immunological adjuvant compositions</t>
  </si>
  <si>
    <t>11/042745</t>
  </si>
  <si>
    <t>Ott, Gary S.; (Oakland, CA); Singh, Manmohan; (Hercules, CA); O'Hagan, Derek; (Berkeley, CA)</t>
  </si>
  <si>
    <t>A61K 9/0019 20130101;  C07H 15/24 20130101;  A61K 47/26 20130101;  A61K 9/107 20130101</t>
  </si>
  <si>
    <t>The present invention is directed to novel adjuvant compositions, which     target the cellular and/or humoral arms of immunity. According to an     embodiment of the invention, an oil-in-water adjuvant composition is     provided that comprises: (a) water; (b) a metabolizable oil comprising at     least one branched or unbranched long-chain hydrocarbon moiety; (c) a     steroid; and (d) a saponin.</t>
  </si>
  <si>
    <t>US20050060189</t>
  </si>
  <si>
    <t>Methods and system for bio-intelligence from over-the-counter     pharmaceutical sales</t>
  </si>
  <si>
    <t>10/662552</t>
  </si>
  <si>
    <t>ZHANG, XIAOLIN</t>
  </si>
  <si>
    <t>ZHANG XIAOLIN</t>
  </si>
  <si>
    <t>Zhang, Xiaohui; (Tucson, AZ)</t>
  </si>
  <si>
    <t>G06Q 50/22 20130101;  G16H 50/80 20180101;  G16H 50/20 20180101;  G16H 50/70 20180101</t>
  </si>
  <si>
    <t>An analysis and unusual event detection method is presented herein that     was developed systematically for bio-intelligence in the area of     syndromic surveillance using over-the-counter (OTC) pharmaceutical sales     data. First, a measurement scheme was defined. It bases on historical     sales records and a set of derived seasonally varying reference lines.     The relative deviation (RD) of the current daily medicine sales data from     the reference lines, the n-days cumulation of the relative deviations,     and the daily change of the relative deviations are calculated. Second, a     dynamic system model for categorized public health status was developed     and described by a set of state variables and state transitions. State     transitions are determined by a rule system. The combination of the     quantitative measurements listed above establishes the supporting set for     the rule system. Therefore, the dynamic change of public health status is     systematically modeled over time and space by rule-system-driven state     transitions. Certain system states represent unusual events and can be     fully described through this methodology.</t>
  </si>
  <si>
    <t>US20050059637</t>
  </si>
  <si>
    <t>Nucleobase phosphonate analogs for antiviral treatment</t>
  </si>
  <si>
    <t>10/903288</t>
  </si>
  <si>
    <t>Krawczyk, Steven H.; (Palo Alto, CA)</t>
  </si>
  <si>
    <t>A61P 31/14 20180101;  C07F 9/65616 20130101;  A61P 43/00 20180101;  A61P 31/18 20180101;  A61K 31/675 20130101;  A61P 31/12 20180101</t>
  </si>
  <si>
    <t>The present invention provides novel compounds with activity against     infectious viruses. The compounds of the invention may inhibit retroviral     reverse transcriptases and thus inhibit the replication of the virus.     They are useful for treating human patients infected with a human     retrovirus, such as human immunodeficiency virus (strains of HIV-1 or     HIV-2) or human T-cell leukemia viruses (HTLV-I or HTLV-II) which results     in acquired immunodeficiency syndrome (AIDS) and/or related diseases. The     present invention also relates generally to the accumulation or retention     of therapeutic compounds inside cells. The invention is more particularly     related to attaining high concentrations of active metabolite molecules     in HIV infected cells. Intracellular targeting may be achieved by methods     and compositions which allow accumulation or retention of biologically     active agents inside cells. Such effective targeting may be applicable to     a variety of therapeutic formulations and procedures.</t>
  </si>
  <si>
    <t>US20050043223</t>
  </si>
  <si>
    <t>Methods for reducing or preventing transmission of nosocomial pathogens in     a health care facility</t>
  </si>
  <si>
    <t>10/832965</t>
  </si>
  <si>
    <t>LEACH TIMOTHY S; JABES DANIELA; MOSCONI GIORGIO</t>
  </si>
  <si>
    <t>LEACH TIMOTHY JABES DANIELA; MOSCONI GIORGIO</t>
  </si>
  <si>
    <t>Leach, Timothy S.; (Groton, MA); Jabes, Daniela; (Cassina Rizzardi, IT); Mosconi, Giorgio; (Wayne, PA)</t>
  </si>
  <si>
    <t>US20050038685</t>
  </si>
  <si>
    <t>System and method for delivery of goods during epidemic</t>
  </si>
  <si>
    <t>10/641439</t>
  </si>
  <si>
    <t>ROGITZ, JOHN L.</t>
  </si>
  <si>
    <t>ROGITZ JOHN</t>
  </si>
  <si>
    <t>Collins, Kenneth A.; (Mission Viejo, CA)</t>
  </si>
  <si>
    <t>G06Q 10/06398 20130101;  Y04S 10/54 20130101;  G06Q 10/0832 20130101;  G06Q 10/08 20130101</t>
  </si>
  <si>
    <t>Goods are delivered to recipients during, e.g., isolation or quarantine     during an epidemic such as SARS such that the contents of a package, once     sterile, remain sterile until opened. Also, the external surface of the     package remains free of infectious agents since it is not touched by     anyone after sterilization other than the intended recipient. To do this,     delivery personnel do not have to touch or otherwise interact with the     distribution system in a way that could contaminate the packages through     direct or indirect contact.</t>
  </si>
  <si>
    <t>US20050027459</t>
  </si>
  <si>
    <t>Secondary structure defining database and methods for determining identity     and geographic origin of an unknown bioagent thereby</t>
  </si>
  <si>
    <t>10/439706</t>
  </si>
  <si>
    <t>Ecker, David J.; (Encinitas, CA); Griffey, Richard H.; (Vista, CA); Sampath, Rangarajan; (San Diego, CA); Hofstadler, Steven A.; (Oceanside, CA); McNeil, John; (La Jolla, CA); Crooke, Stanley T.; (Carlsbad, CA)</t>
  </si>
  <si>
    <t>US20050014932</t>
  </si>
  <si>
    <t>Targeted biocides</t>
  </si>
  <si>
    <t>10/844837</t>
  </si>
  <si>
    <t>Imboden, Michael; (Madison, WI); Homan, Jane; (Hillpoint, WI); Bremel, Robert D.; (Hillpoint, WI)</t>
  </si>
  <si>
    <t>US20040236604</t>
  </si>
  <si>
    <t>System and method for detecting spatiotemporal clusters</t>
  </si>
  <si>
    <t>10/744976</t>
  </si>
  <si>
    <t>McNair, Douglas S.; (Leawood, KS)</t>
  </si>
  <si>
    <t>G06Q 50/22 20130101;  Y02A 90/24 20180101;  Y02A 90/22 20180101;  G16H 50/80 20180101</t>
  </si>
  <si>
    <t>A method and system suitable for automated surveillance for disease     detection and particularly for syndromic information represented in the     transaction order records from clinical information systems of hospitals,     clinics, and emergency rooms. Patient's findings and conditions expressed     as order annotations may be combined with evidence recorded by physicians     in a syndromic classifier software application that yields daily counts     of proband cases possibly denoting the occurrence of a     bioterrorist-caused illness. Techniques from digital signal processing     and statistical spatiotemporal image processing are combined in a method     that allows for optimization of the parameters of the signal processing     and statistical hypothesis testing, prediction for planning and     decision-making, and inferencing. Once optimized, the method and system     can achieve high-sensitivity high-specificity detection of true     occurrences of syndromic illness such as bioterrorism, while avoiding     false-alarm signals.</t>
  </si>
  <si>
    <t>US20040224917</t>
  </si>
  <si>
    <t>Compositions and methods for combination antiviral therapy</t>
  </si>
  <si>
    <t>10/757141</t>
  </si>
  <si>
    <t>Dahl, Terrance C.; (Sunnyvale, CA); Menning, Mark M.; (San Francisco, CA); Oliyai, Reza; (San Carlos, CA)</t>
  </si>
  <si>
    <t>A61K 31/675 20130101;  A61K 9/2013 20130101;  A61K 9/2009 20130101;  A61P 31/12 20180101;  A61K 31/675 20130101;  A61P 31/00 20180101;  A61K 9/2018 20130101;  A61P 43/00 20180101;  A61K 9/2054 20130101;  A61K 31/683 20130101;  A61K 31/513 20130101;  A61K 31/513 20130101;  A61K 31/7076 20130101;  A61K 2300/00 20130101;  A61K 31/7076 20130101;  A61K 2300/00 20130101;  A61K 2300/00 20130101;  A61K 45/06 20130101;  A61K 9/2059 20130101;  A61P 31/18 20180101</t>
  </si>
  <si>
    <t>The present invention relates to therapeutic combinations of     [2-(6-amino-purin-9-yl)-1-methyl-ethoxymethyl]-phosphonic acid     diisopropoxycarbonyloxymethyl ester (tenofovir disoproxil fumarate,     Viread.RTM.) and (2R, 5S, cis)-4-amino-5-fluoro-1-(2-hydroxymethyl-1,3-ox-    athiolan-5-yl)-(1H)-pyrimidin-2-one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</si>
  <si>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US20040224916</t>
  </si>
  <si>
    <t>10/757122</t>
  </si>
  <si>
    <t>A61K 9/2018 20130101;  A61K 31/513 20130101;  A61P 31/00 20180101;  A61K 31/7076 20130101;  A61K 31/683 20130101;  A61K 31/675 20130101;  A61P 43/00 20180101;  A61K 9/2009 20130101;  A61K 9/2013 20130101;  A61K 9/2059 20130101;  A61K 31/7076 20130101;  A61K 9/2054 20130101;  A61K 45/06 20130101;  A61P 31/12 20180101;  A61K 31/513 20130101;  A61K 2300/00 20130101;  A61K 2300/00 20130101;  A61K 2300/00 20130101;  A61K 31/675 20130101;  A61P 31/18 20180101</t>
  </si>
  <si>
    <t>The present invention relates to therapeutic combinations of     [9-[R-2-[[(S)-[[(S)-1-(isopropoxycarbonyl)ethyl]amino]-phenoxyphosphinyl]-    methoxy]propyl]adenine (GS-7340) and (2R,5S, cis)-4-amino-5-fluoro-1-(2-hy-    droxymethyl-1,3-oxathiolan-5-yl)-(1H)-pyrimidin-2-one (emtricitabine,     (-)-cis FTC, Emtriva.TM.)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GS-7340 and emtricitabine, and their physiologically     functional derivatives, as well as therapeutic methods of use of those     compositions and formulations.</t>
  </si>
  <si>
    <t>US20040204915</t>
  </si>
  <si>
    <t>Chemical and biological agent sensor array detectors</t>
  </si>
  <si>
    <t>10/698042</t>
  </si>
  <si>
    <t>SMITHS DETECTION INC.</t>
  </si>
  <si>
    <t>SMITHS DETECTION</t>
  </si>
  <si>
    <t>Steinthal, Gregory; (Los Angeles, CA); Sunshine, Steven; (Pasadena, CA); Burch, Tim; (San Gabriel, CA); Plotkin, Neil; (Pasadena, CA); Hsiung, Chang-Meng; (Irvine, CA)</t>
  </si>
  <si>
    <t>B82Y 30/00 20130101;  G01N 33/0063 20130101;  G08B 21/12 20130101;  Y02A 90/24 20180101;  G01N 33/48707 20130101;  G01N 33/0075 20130101;  G16H 50/80 20180101;  G01N 33/0031 20130101</t>
  </si>
  <si>
    <t>Chemical and biological detector systems, devices and apparatus. Such     devices may be portable and wearable, such as badges, that are     analyte-general, rather than analyte-specific, and which provide an     optimal way to notify and protect personnel against known and unknown     airborne chemical and biological hazards. The devices of the present     invention are advantageously low-cost, have low-power requirements, may     be wearable and are designed to detect and alarm to a general chemical     and biological threat. A sensor device of the present invention in one     embodiment includes two or more sensor devices, a processing module     coupled to each of the sensor devices and configured to process signals     received from each of the two or more sensor devices to determine an     environmental state; and a communication module that communicates     information about the environmental state to a user.</t>
  </si>
  <si>
    <t>US20040162707</t>
  </si>
  <si>
    <t>Early alert and response system</t>
  </si>
  <si>
    <t>10/777330</t>
  </si>
  <si>
    <t>See Inventors</t>
  </si>
  <si>
    <t>SEE INVENTORS</t>
  </si>
  <si>
    <t>Saint-Amour, Paula J.; (West Hurley, NY); Schleim, Peter A.; (West Hurley, NY)</t>
  </si>
  <si>
    <t>G16H 50/30 20180101;  Y02A 90/24 20180101;  Y02A 90/26 20180101;  G16H 50/80 20180101</t>
  </si>
  <si>
    <t>An early alert and response system and method for identifying a public     health risk stemming from an introduction of a chemical and/or biological     contaminant. The system is a real-time attendance tracking software     system that monitors attendance information for students. The attendance     information is monitored to identify trends that may be indicative of a     public health risk. The present invention is also directed to an     electronic bus routing system that enables parents of students to monitor     bus routes assigned to their students and change the bus routes as     necessary.</t>
  </si>
  <si>
    <t>US20040162703</t>
  </si>
  <si>
    <t>10/775319</t>
  </si>
  <si>
    <t>Jacquez, Geoffrey M.; (Ann Arbor, MI)</t>
  </si>
  <si>
    <t>A method for measuring a degree of association (58) between, and for     selectively creating a grouping (40) of, n plurality of spatially     referenced physical events (22) of a predetermined physical     characteristic. The method includes the steps of assembling n plurality     of physical events (26), assembling a universe of possible sample     locations (36), determining a reference distribution (54), determining a     restricted distribution (56), and determining the degree of association     (58) between the n plurality of physical events. Specifically, the     physical events each have an indicia of location and a physical     characteristic above a threshold. The step (54) of determining a     reference distribution is conducted by calculating a test statistic (78)     for each of n' plurality of random allocations (74) of the n plurality of     physical events over the selected n plurality of sample locations.     Further, the step (58) of determining a restricted distribution includes     calculating the test statistic (82) for each of n" plurality of     restricted random allocations (80) of the n plurality of physical events     over the n plurality of sample locations (62).</t>
  </si>
  <si>
    <t>US20040143462</t>
  </si>
  <si>
    <t>Process and system for enhancing medical patient care</t>
  </si>
  <si>
    <t>10/346937</t>
  </si>
  <si>
    <t>Hunt, Jacquelyn Suzanne; (North Plains, OR); Siemienczuk, Joseph; (Clackamas, OR)</t>
  </si>
  <si>
    <t>US20040143455</t>
  </si>
  <si>
    <t>Hyper-fractionation of transmission history for medical diagnostic     software</t>
  </si>
  <si>
    <t>10/350217</t>
  </si>
  <si>
    <t>SIMULCONSULT, INC.</t>
  </si>
  <si>
    <t>SIMULCONSULT</t>
  </si>
  <si>
    <t>Segal, Michael M.; (Chestnut Hill, MA)</t>
  </si>
  <si>
    <t>G06Q 30/02 20130101;  G06Q 40/08 20130101;  G06Q 50/22 20130101;  G16H 50/80 20180101;  G16H 50/50 20180101;  G16H 50/20 20180101;  G06Q 50/24 20130101</t>
  </si>
  <si>
    <t>The difficulties in incorporating transmission history into medical     diagnostic software are non-obvious. These are addressed here with     systems and methods for hyper-fractionation of transmission history in a     way that allows the full power of this information to be used in medical     diagnostic software.</t>
  </si>
  <si>
    <t>US20040128184</t>
  </si>
  <si>
    <t>System and method for identification and notification of elevated     over-the-counter medication sales with response coordination</t>
  </si>
  <si>
    <t>10/335467</t>
  </si>
  <si>
    <t>Bracken, Todd C.; (Indianapolis, IN); Chowning, Kimberly; (Indianapolis, IN)</t>
  </si>
  <si>
    <t>US20040126365</t>
  </si>
  <si>
    <t>Method, system and computer program product for technical management and     biocontrol of disease in animal production systems</t>
  </si>
  <si>
    <t>10/381271</t>
  </si>
  <si>
    <t>ACUABIOTEC LLC</t>
  </si>
  <si>
    <t>ACUABIOTEC</t>
  </si>
  <si>
    <t>Villamar, Daniel F; (Milwaukee, WI); Moriarty, David J. W.; (Wellington Point, AU)</t>
  </si>
  <si>
    <t>A01K 29/00 20130101;  C12Q 1/10 20130101;  G01N 2333/28 20130101;  H04L 29/06027 20130101;  Y02A 90/24 20180101;  H04L 67/12 20130101;  G16H 50/80 20180101;  Y02A 90/26 20180101;  H04L 65/80 20130101</t>
  </si>
  <si>
    <t>A system, method and computer program product for controlling disease at     an end user location, including (a) testing a range of candidates     including at least one of: (i) Bacillus species, (i) Bacillus strains,     (iii) species of beneficial bacteria (iv) strains of beneficial bacteria     and (v) strains of beneficial bacterial viruses, against samples     including at least one of pathogenic Vibrio, Gram negative pathogenic     bacteria and Gram positive pathogenic bacteria taken from an end user     location; (b) performing at least one of the following steps: (i)     selecting one or more of the candidates that one of inhibit and attack at     least one of the samples by direct inhibition of at least one of in situ     antibiotic production, competitive exclusion, production of enzymes that     degrade quorum sensing molecules, and (ii) testing a range of quorum     sensing inhibitor compounds against the samples; and (c) performing the     steps (a) and (b) for the end user location, including one of a country,     major region and individual end user location, to target microbial     technology to use in bio-control of disease specific to the end user     location.</t>
  </si>
  <si>
    <t>US20040121316</t>
  </si>
  <si>
    <t>Method and compositions for identifying anti-HIV therapeutic compounds</t>
  </si>
  <si>
    <t>10/424186</t>
  </si>
  <si>
    <t>Birkus, Gabriel; (San Francisco, CA); Chen, James M.; (San Ramon, CA); Chen, Xiaowu; (San Mateo, CA); Cihlar, Tomas; (Foster City, CA); Eisenberg, Eugene J.; (San Carlos, CA); Hatada, Marcos; (Fremont, CA); He, Gong-Xin; (Fremont, CA); Kim, Choung U.; (San Carlos, CA); Lee, William A.; (Los Altos, CA); McDermott, Martin J.; (Redwood City, CA); Swaminathan, Sundaramoorthi; (Burlingame, CA)</t>
  </si>
  <si>
    <t>C07F 9/58 20130101;  C07F 9/65515 20130101;  C07F 9/6561 20130101;  C07F 9/650905 20130101;  G01N 2333/16 20130101;  C07F 9/65128 20130101;  C07D 307/68 20130101;  C07F 9/65583 20130101;  C07D 243/04 20130101;  C07F 9/4006 20130101;  C07F 9/6506 20130101;  C07F 9/65335 20130101;  C07D 403/06 20130101;  C07D 265/18 20130101;  A61P 31/18 20180101;  C07D 491/04 20130101;  C07F 9/645 20130101;  C07D 231/20 20130101;  C07D 233/42 20130101;  C07F 9/650947 20130101;  A61P 43/00 20180101;  C07D 239/49 20130101;  C07D 471/14 20130101;  G01N 33/5038 20130101;  C07F 9/6512 20130101;  C07D 231/12 20130101;  C07D 401/06 20130101;  C12Q 1/37 20130101;  C12Q 1/18 20130101;  C07D 213/85 20130101;  C07D 239/80 20130101;  C12Q 1/44 20130101;  A61K 31/66 20130101;  C07D 213/75 20130101;  C12N 9/16 20130101;  C40B 40/04 20130101;  G01N 2500/04 20130101;  A61K 31/675 20130101</t>
  </si>
  <si>
    <t>Methods are provided for identifying anti-HIV therapeutic compounds     substituted with carboxyl ester or phosphonate ester groups. Libraries of     such compounds are screened optionally using the novel enzyme GS-7340     Ester Hydrolase. Compositions and methods relating to GS-7340 Ester     Hydrolase also are provided.</t>
  </si>
  <si>
    <t>US20040117129</t>
  </si>
  <si>
    <t>10/439690</t>
  </si>
  <si>
    <t>US20040116821</t>
  </si>
  <si>
    <t>Early warning system and methods for detection of a bioterrorism event</t>
  </si>
  <si>
    <t>10/080746</t>
  </si>
  <si>
    <t>BIOALERT SYSTEMS, INC.</t>
  </si>
  <si>
    <t>BIOALERT SYSTEMS</t>
  </si>
  <si>
    <t>Beiswenger, John L.; (Strasburg, PA); Ranck, Michael H.; (Strasburg, PA); Taualofai, Jody L.; (Lancaster, PA)</t>
  </si>
  <si>
    <t>A61B 5/0008 20130101;  Y02A 90/24 20180101;  G16H 50/80 20180101</t>
  </si>
  <si>
    <t>A method and system for an early warning detection of bioterrorism events     includes obtaining temperature readings from a statistical sample of     individuals in a community, and comparing the individual readings to one     or more detection thresholds spaced apart by predetermined values with at     least one of the thresholds being below the normally accepted temperature     range defined as a low-grade fever. The comparison is then used to     identify and evaluate a community's potential infection by a biological     warfare agent so that early therapeutic action may be taken.</t>
  </si>
  <si>
    <t>US20040090333</t>
  </si>
  <si>
    <t>10/698652</t>
  </si>
  <si>
    <t>Wildman, Timothy D.; (Metamora, IN); Gallant, Dennis J.; (Harrison, OH); Hausman, Phillip J.; (Cary, NC)</t>
  </si>
  <si>
    <t>US20040073459</t>
  </si>
  <si>
    <t>Bio-surveillance system and method</t>
  </si>
  <si>
    <t>10/649127</t>
  </si>
  <si>
    <t>ARES CAPITAL CORPORATION, AS SUCCESSOR AGENT</t>
  </si>
  <si>
    <t>ARES CAPITAL</t>
  </si>
  <si>
    <t>Barthell, Edward N.; (Mequon, WI)</t>
  </si>
  <si>
    <t>G06F 19/3493 20130101;  G06Q 10/10 20130101;  Y02A 90/24 20180101;  G16H 50/80 20180101;  Y02A 90/22 20180101;  G06Q 50/22 20130101</t>
  </si>
  <si>
    <t>A method and apparatus of detecting a bio-emergency, including receiving     patient health information at a plurality of health care facilities. The     patient health information, preferably triage data, is transmitted     simultaneously with the receiving step to a bio-surveillance network for     pooling and further analysis. In particular, the patient health     information is then compiled to create, for example, volumetric health     data. The information preferably is transmitted over a multi-level     network including a number of local health care facilities such as     hospital emergency rooms, a number of regional repositories such as     regional health departments, and a centralized recipient such as the CDC.     The local health care facilities communicate vertically with the regional     repositories that, in turn, communicate vertically with the centralized     recipient and possibly horizontally with other regional repositories. The     centralized recipient can then transmit related information such as a     health warning to the other members of the network and/or to other     authorities.</t>
  </si>
  <si>
    <t>US20040052773</t>
  </si>
  <si>
    <t>Production of multi-chain protein from muscle</t>
  </si>
  <si>
    <t>10/345410</t>
  </si>
  <si>
    <t>INOVIO AS</t>
  </si>
  <si>
    <t>INOVIO</t>
  </si>
  <si>
    <t>Bogen, Bjarne; (Snaroya, NO); Mathiesen, Iacob; (Oslo, NO); Tjelle, Torunn; (Oslo, NO)</t>
  </si>
  <si>
    <t>A61P 21/04 20180101;  A61K 2039/54 20130101;  A61P 35/00 20180101;  A61K 39/00 20130101;  C07K 2317/31 20130101;  A61K 2039/505 20130101;  C07K 16/28 20130101;  A61K 2039/53 20130101;  C07K 2317/24 20130101;  C07K 16/4283 20130101</t>
  </si>
  <si>
    <t>A multi-chain protein can be produced in a subject by intramuscular     injection of one or more vectors that code for the chains of the protein     and, optionally, by applying one or more electrical pulses across the     injection site. A preferred multi-chain protein is an immunoglobulin.     This approach to antibody production has various applications, including     for expressing multi-chain proteins in vivo for disease therapy and for     eliciting an immune response to one or more foreign antigenic     determinants of the expressed protein.</t>
  </si>
  <si>
    <t>US20040019259</t>
  </si>
  <si>
    <t>Remote monitoring and data management platform</t>
  </si>
  <si>
    <t>10/435619</t>
  </si>
  <si>
    <t>Brown, Stephen J.; (Woodside, CA); Cherry, Julie C.; (Milpitas, CA); Clapp, Geoffrey; (Los Altos, CA)</t>
  </si>
  <si>
    <t>A61B 5/0002 20130101;  G06F 19/3418 20130101;  A61B 5/7275 20130101</t>
  </si>
  <si>
    <t>A networked system for remotely determining the health status of an individual or a plurality of individuals and to remotely communicate intervention protocols to an individual or a plurality of individuals using microprocessor controlled communication devices.</t>
  </si>
  <si>
    <t>US20040015337</t>
  </si>
  <si>
    <t>Systems and methods for predicting disease behavior</t>
  </si>
  <si>
    <t>10/336688</t>
  </si>
  <si>
    <t>CANSWERS LLC</t>
  </si>
  <si>
    <t>CANSWERS</t>
  </si>
  <si>
    <t>Thomas, Austin W.; (Falls Church, VA); Thomas, Richard D.; (McLean, VA); Thomas, Sterling W.; (McLean, VA); Hawkins, Scott J.; (McLean, VA); Parrish, James K.; (Sterling, VA); Weiss, Diane; (Herndon, VA); Robertson, Lawrence V. III; (North Arlington, VA)</t>
  </si>
  <si>
    <t>G06Q 50/24 20130101;  G16H 50/20 20180101;  G16H 50/80 20180101</t>
  </si>
  <si>
    <t>A system and method of predicting disease behavior is disclosed that     includes one or more independent components that also interact to produce     a prediction of disease behavior based on mathematical modeling of the     biological mechanisms and historical patient data.</t>
  </si>
  <si>
    <t>US20040009245</t>
  </si>
  <si>
    <t>Methods and apparatus to prevent, treat and cure infections of the human     respiratory system by pathogens causing severe acute respiratory syndrome     (SARS)</t>
  </si>
  <si>
    <t>10/429077</t>
  </si>
  <si>
    <t>INHALATION, INC.</t>
  </si>
  <si>
    <t>INHALATION</t>
  </si>
  <si>
    <t>Vail, William Banning III; (Bothell, WA); Vail, Marilyn L.; (Bothell, WA)</t>
  </si>
  <si>
    <t>A61M 11/06 20130101;  A61M 15/00 20130101;  Y10S 514/888 20130101;  A61M 11/04 20130101;  A61M 11/02 20130101;  A61K 36/534 20130101;  A61M 2205/073 20130101;  A61M 11/042 20140204</t>
  </si>
  <si>
    <t>Concentrated vapors from botanical essential oils are inhaled to prevent,     treat and cure infections of the respiratory pathogens causing Severe     Acute Respiratory Syndrome ("SARS"). These vapors are inhaled as a     practical method to reduce the risks of infection by the pathogens     causing SARS in crowded public places. These vapors are also inhaled as a     practical method to reduce the risks of infection by unknown, and     unpredictable, respiratory pathogens that may be present in public     places. The essential oils have antiseptic properties, are safe to     inhale, and include, but are not limited to, the essential oils from     Eucalyptus globulus, Melaleuca alternifolia, Eucalyptus citriodora, and     Eucalyptus radiata. Convenient hand-held inhaler apparatus are provided     for the inhalation of concentrated vapors from the antiseptic essential     oils and other substances. The antiseptic essential oils have selected     antiviral, antibacterial, and antifungal properties.</t>
  </si>
  <si>
    <t>US20030225529</t>
  </si>
  <si>
    <t>Secondary structure defining database and methods for determining identity     and geographic origin of an unknown bioagent for environmental testing     thereby</t>
  </si>
  <si>
    <t>10/323210</t>
  </si>
  <si>
    <t>Ecker, David J.; (Encinitas, CA); Griffey, Richard; (Vista, CA); Sampath, Rangarajan; (San Diego, CA); Hofstadler, Steven; (Oceanside, CA); McNeil, John; (La Jolla, CA); Crooke, Stanley T.; (Carlsbad, CA)</t>
  </si>
  <si>
    <t>US20030212492</t>
  </si>
  <si>
    <t>10/457963</t>
  </si>
  <si>
    <t>US20030204130</t>
  </si>
  <si>
    <t>Early detection of contagious diseases</t>
  </si>
  <si>
    <t>10/375273</t>
  </si>
  <si>
    <t>Colston, Billy W. JR.; (San Ramon, CA); Milanovich, Fred P.; (Lafayette, CA); Estacio, Pedro; (Mission San Jose, CA); Chang, John; (Walnut Creek, CA)</t>
  </si>
  <si>
    <t>G06F 19/3418 20130101;  A61B 5/002 20130101;  G16H 50/80 20180101;  Y10S 128/903 20130101;  Y10S 128/92 20130101</t>
  </si>
  <si>
    <t>This invention provides an electronic proximity apparatus and a     surveillance method using such an apparatus for alerting individuals that     are exposed to a contagious disease. When a person becomes symptomatic     and is diagnosed as positive for a given contagious agent, individuals     that have recently maintained a threshold proximity with respect to an     infected individual are notified and advised to seek immediate medial     care. Treatment of individuals in the very early phases of infection     (pre-symptomatic) significantly reduces contagiousness of the infected     population first exposed to the contagious disease, thus preventing     spread of the disease throughout the general population.</t>
  </si>
  <si>
    <t>US20030187809</t>
  </si>
  <si>
    <t>Automatic hierarchical classification of temporal ordered case log     documents for detection of changes</t>
  </si>
  <si>
    <t>10/113318</t>
  </si>
  <si>
    <t>Suermondt, Henri Jacques; (Sunnyvale, CA); Hsu, Melchun; (Los Altos Hills, CA)</t>
  </si>
  <si>
    <t>A method and apparatus for automatic detection of trends (and epidemics)     among cases faced by a customer or patient support organization, based on     automated classification of the logs of those cases in a topic hierarchy.     The method includes establishing an item topic hierarchy of desired     granularity and applying that hierarchy to a selected group of items,     automatically classifying new items to at least one topic in the     hierarchy, establishing windows having sequential sets of items based     upon selected temporal parameters, determining item distributions over     respective windows, and comparing respective item distributions in at     least two such windows.</t>
  </si>
  <si>
    <t>US20030187615</t>
  </si>
  <si>
    <t>Methods and apparatus for early detection of health-related events in a     population</t>
  </si>
  <si>
    <t>10/106841</t>
  </si>
  <si>
    <t>Wells Fargo Bank, N.A.</t>
  </si>
  <si>
    <t>WELLS FARGO</t>
  </si>
  <si>
    <t>Epler, John; (Evanston, IL); VanRooyen, Michael J.; (Cockeysville, MD); Crockett, Mark D.; (Naperville, IL)</t>
  </si>
  <si>
    <t>G06N 99/005 20130101;  G06Q 50/24 20130101;  Y10S 128/923 20130101;  G16H 10/20 20180101;  G16H 10/60 20180101;  Y02A 90/24 20180101;  G16H 15/00 20180101;  G16H 50/80 20180101;  Y02A 90/26 20180101;  Y02A 90/22 20180101;  G16H 50/70 20180101</t>
  </si>
  <si>
    <t>A method is disclosed for providing early detection, classification, and     reporting of health-related events in a population. The method includes     capturing sets of specific emergency room patient information from a     subset of the population as the patient information is first     electronically entered into, for example, an electronic medical record     (EMR). The patient information is pre-processed, transmitted to and     stored in a central database in a central computer facility. The patient     information is sorted and analyzed by the central computer facility to     detect any health-related events in the population and to generate     corresponding alerts. The alerts are electronically reported to     designated authorities such as health officials and other government     authorities such as the CDC.</t>
  </si>
  <si>
    <t>US20030187593</t>
  </si>
  <si>
    <t>10/340482</t>
  </si>
  <si>
    <t>Ecker, David J.; (Encinitas, CA); Griffey, Richard H.; (Vista, CA); Sampath, Rangarajan; (San Diego, CA); Hofstadler, Steven; (Oceanside, CA); McNeil, John; (La Jolla, CA); Crooke, Stanley T.; (Carlsbad, CA)</t>
  </si>
  <si>
    <t>G06F 19/18 20130101;  G06F 19/10 20130101;  G16H 50/80 20180101;  G06F 19/16 20130101;  Y02A 90/24 20180101;  G06F 19/28 20130101;  Y02A 90/26 20180101</t>
  </si>
  <si>
    <t>US20030187588</t>
  </si>
  <si>
    <t>10/340321</t>
  </si>
  <si>
    <t>Ecker, David J.; (Encinitas, CA); Griffey, Richard; (Vista, CA); Sampath, Rangarajan; (San Diego, CA); Hofstadler, Steven A.; (Oceanside, CA); McNeil, John; (La Jolla, CA); Crooke, Stanley T.; (Carlsbad, CA)</t>
  </si>
  <si>
    <t>US20030177038</t>
  </si>
  <si>
    <t>10/319365</t>
  </si>
  <si>
    <t>Rao, R. Bharat; (Berwyn, PA)</t>
  </si>
  <si>
    <t>US20030167134</t>
  </si>
  <si>
    <t>10/340483</t>
  </si>
  <si>
    <t>US20030167133</t>
  </si>
  <si>
    <t>10/340461</t>
  </si>
  <si>
    <t>ECKER DAVID J; GRIFFEY RICHARD H; SAMPATH RANGARAJAN; HOFSTADLER STEVEN A; MCNEIL JOHN; CROOKE STANLEY T</t>
  </si>
  <si>
    <t>ECKER DAVID GRIFFEY RICHARD SAMPATH RANGARAJAN; HOFSTADLER STEVEN MCNEIL JOHN; CROOKE STANLEY</t>
  </si>
  <si>
    <t>US20030163351</t>
  </si>
  <si>
    <t>Public health surveillance system</t>
  </si>
  <si>
    <t>10/279749</t>
  </si>
  <si>
    <t>HEALTH HERO NETWORK, INC.</t>
  </si>
  <si>
    <t>HEALTH HERO NETWORK</t>
  </si>
  <si>
    <t>Brown, Stephen J.; (Woodside, CA); Cherry, Julie C.; (Milpitas, CA); Clapp, Geoffrey J.; (Los Altos, CA); Gunabushanam, Gowthaman; (Hyderabad, IN)</t>
  </si>
  <si>
    <t>A61B 5/0002 20130101;  G16H 50/80 20180101;  G06Q 50/22 20130101;  G06Q 10/10 20130101</t>
  </si>
  <si>
    <t>A networked system for identifying whether an individual or a plurality of     individuals has been exposed to a disease-causing infectious agent     associated with a bioterrorism event.</t>
  </si>
  <si>
    <t>US20030153819</t>
  </si>
  <si>
    <t>Disease management system and method including correlation assessment</t>
  </si>
  <si>
    <t>10/368681</t>
  </si>
  <si>
    <t>Iliff, Edwin C.; (La Jolla, CA)</t>
  </si>
  <si>
    <t>US20030129578</t>
  </si>
  <si>
    <t>Method and system for early detection of infectious diseases or symptoms     of bioterrorism attacks</t>
  </si>
  <si>
    <t>10/162510</t>
  </si>
  <si>
    <t>HEALTHETECH INC.</t>
  </si>
  <si>
    <t>HEALTHETECH</t>
  </si>
  <si>
    <t>Mault, James R.; (Evergreen, CO)</t>
  </si>
  <si>
    <t>G01N 33/50 20130101;  G06Q 10/06 20130101;  G16H 50/80 20180101;  G06Q 50/24 20130101;  G06Q 40/02 20130101</t>
  </si>
  <si>
    <t>A method and system for the early detection of infectious diseases, or the     symptoms of bioterrorism attacks in a population, includes a plurality of     local input devices located with a plurality of individuals     geographically dispersed with a population, the local input devices being     capable of recording information relating to certain physiological     conditions of the respective individuals, and transmitting the     information to a central computer via a communication network; and a     central computer capable of receiving the transmitted information, of     statistically analyzing the information based on a comparison of such     information to information transmitted at previous times, to detect     patterns of infectious diseases or symptoms of terrorism attacks, and of     utilizing the statistical analysis to produce outputs relating to actions     to be taken.</t>
  </si>
  <si>
    <t>US20030114986</t>
  </si>
  <si>
    <t>Architectures of sensor networks for biological and chemical agent     detection and identification</t>
  </si>
  <si>
    <t>10/021898</t>
  </si>
  <si>
    <t>Padmanabhan, Aravind; (Plymouth, MN); Krishnankutty, Subash; (North Haven, CT); Au, Wing; (Bloomington, MN); Bazakos, Mike; (Bloomington, MN); Krafthefer, Brian; (Stillwater, MN)</t>
  </si>
  <si>
    <t>A sensor network provides the ability to detect, classify and identify a     diverse range of agents over a large area, such as a geographical region     or building. The network possesses speed of detection, sensitivity, and     specificity for the diverse range of agents. Different functional level     types of sensors are employed in the network to perform early warning,     broadband detection and highly specific and sensitive detection. A high     probability of detection with low probability of false alarm is provided     by the processing of information provided from multiple sensors. A     Bayesian net is utilized to combine probabilities from the multiple     sensors in the network to reach a decision regarding the presence or     absence of a threat. The network is field portable and capable of     autonomous operation. It also is capable of providing automated output     decisions.</t>
  </si>
  <si>
    <t>US20030104503</t>
  </si>
  <si>
    <t>Combinational strategy for identification of biological agents</t>
  </si>
  <si>
    <t>10/055318</t>
  </si>
  <si>
    <t>Sullivan, Brian M.; (Redondo Beach, CA); Zsolnay, Denes L.; (Rolling Hills Estates, CA)</t>
  </si>
  <si>
    <t>G01N 33/53 20130101;  G16H 50/80 20180101;  G01N 33/54313 20130101</t>
  </si>
  <si>
    <t>The existence of any one of a plurality of 2.sup.N-1 bioagents in a sample     (1) may be determined by dividing the sample into N parts and performing     separate ELISA processes (TEST 1 &amp; TEST 2) on each of the N parts     concurrently, where N is an integer greater than 1, each of the separate     ELISA processes possessing the capability to identify a bioagent from a     combination of possible bioagents (3), and in which the combination of     possible bioagents of any one of the separate ELISA processes is     different (7) from the combination of possible bioagents of any other of     the separate ELISA processes.</t>
  </si>
  <si>
    <t>US20030095988</t>
  </si>
  <si>
    <t>Method of inducing autovaccination against HIV infection using structured     treatment interruptions</t>
  </si>
  <si>
    <t>09/493769</t>
  </si>
  <si>
    <t>LISZIEWICZ JULIANNA; LORI FRANCO; XU JIANQING; VARGA GEORG STEPHEN</t>
  </si>
  <si>
    <t>LISZIEWICZ JULIANNA; LORI FRANCO; JIANQING; VARGA GEORG STEPHEN</t>
  </si>
  <si>
    <t>Lisziewicz, Julianna; (Bethesda, MD); Lori, Franco; (Bethesda, MD); Xu, Jianqing; (Silver Spring, MD); Varga, Georg Stephen; (Washington, DC)</t>
  </si>
  <si>
    <t>A61K 39/21 20130101;  A61K 39/21 20130101;  A61K 2039/57 20130101;  A61K 2300/00 20130101;  A61K 39/12 20130101;  A61K 2039/545 20130101;  C12N 2740/15034 20130101;  A61K 45/06 20130101</t>
  </si>
  <si>
    <t>Structured Treatment Interruptions of drug therapy for Human     Immunodeficiency Virus infection can be used to enhance HIV-specific     immune responses, thereby allowing the individual to control viral     replication after interrupting the drug treatment. Immunoregulatory     adjuvants can further increase these immune responses. A diagnostic     method for the immune status of the patient that controls HIV includes     measurements of viral load and production of both IFN-gamma and IL-10.</t>
  </si>
  <si>
    <t>US20030082539</t>
  </si>
  <si>
    <t>09/891793</t>
  </si>
  <si>
    <t>US20030068324</t>
  </si>
  <si>
    <t>Vibrio cholerae</t>
  </si>
  <si>
    <t>Conjugate vaccine composed of the polysaccharide moiety of the     lipopolysaccharide of Vibrio cholerae O139 bound to tetanus toxoid</t>
  </si>
  <si>
    <t>10/116109</t>
  </si>
  <si>
    <t>Fournier, Jean-Michel; (Paris, FR); Boutonnier, Alain; (Paris, FR)</t>
  </si>
  <si>
    <t>A61K 39/107 20130101;  A61K 2039/6037 20130101;  Y02A 50/472 20180101;  A61K 47/646 20170801;  A61K 47/6415 20170801</t>
  </si>
  <si>
    <t>The epidemic and pandemic potential of V. cholerae O139 is such that a     vaccine against this newly emerged serogroup of V. cholerae is required.     A conjugate made of the polysaccharide moiety (O-specific     polysaccharide+core) of the lipopolysaccharide (LPS) of V. cholerae O139     (pmLPS) was prepared by derivatization of the pmLPS with adipic acid     dihydrazide and coupling to tetanus toxoid (TT) by carbodiimide-mediated     condensation. The immunologic properties of the conjugate were tested     using BALB/c mice injected subcutaneously three times at 2 weeks interval     and then a fourth time 4 weeks later. Mice were bled 7 days after each     injection and then once each month for the following six months. LPS and     TT antibody levels were determined by ELISA using immunoplates coated     with either O139 LPS or TT. Both pmLPS and pmLPS-TT conjugate elicited     low levels of IgM, peaking 5 weeks after the first immunization. The     conjugate elicited high levels of IgG antibodies, peaking 3 months after     the first immunization and declining slowly during the following 5     months. TT alone, or as a component of conjugate, induced mostly IgG     antibodies. Antibodies elicited by the conjugate recognized both capsular     polysaccharide (CP) and LPS from V. cholerae O139, and were vibriocidal.     They were also protective in the neonatal mouse model of cholera     infection. The conjugation of the O139 pmLPS, therefore, enhanced its     immunogenicity and conferred T-dependent properties to this     polysaccharide.</t>
  </si>
  <si>
    <t>US20030065535</t>
  </si>
  <si>
    <t>Diagnosing inapparent diseases from common clinical tests using bayesian     analysis</t>
  </si>
  <si>
    <t>10/138068</t>
  </si>
  <si>
    <t>Karlov, Valeri I.; (Boston, MA); Kasten, Bernard; (Cincinnati, OH); Padilla, Carlos E.; (Lexington, MA); Maggio, Edward T.; (San Diego, CA); Billingsley, Frank; (Alexandria, VA)</t>
  </si>
  <si>
    <t>US20030065362</t>
  </si>
  <si>
    <t>Method for genetic immunization</t>
  </si>
  <si>
    <t>10/141561</t>
  </si>
  <si>
    <t>Mathiesen, Iacob; (Oslo, NO)</t>
  </si>
  <si>
    <t>A61N 1/325 20130101;  A61N 1/36017 20130101;  A61K 2039/54 20130101;  A61N 1/36003 20130101;  A61K 2039/53 20130101;  A61K 2039/545 20130101;  A61K 39/00 20130101;  A61P 43/00 20180101;  A61N 1/36 20130101;  A61P 37/04 20180101;  A61K 2039/57 20130101;  A61K 41/00 20130101;  A61K 39/04 20130101</t>
  </si>
  <si>
    <t>A method is disclosed for enhanced vaccination and genetic vaccination of     mammals. The vaccination is accomplished by delivering molecules such as     proteins and nucleic acids into skeletal muscle and other cells residing     in the skeletal muscle in vivo. The protein or nucleic acid is first     injected into the muscle at one or multiple sites. Immediately or shortly     after injection, electrodes are placed flanking the injection site and a     specific amount of electrical current is passed through the muscle. The     electrical current makes the muscle permeable, thus allowing the     pharmaceutical drug or nucleic acid to enter the cell. The efficiency of     transfer permits robust immune responses using DNA vaccines and produces     sufficient secreted proteins for systemic biological activity to be     observed.</t>
  </si>
  <si>
    <t>US20030049275</t>
  </si>
  <si>
    <t>Composition and method for inducing tolerance to viral infection in     aquatic animals</t>
  </si>
  <si>
    <t>10/115653</t>
  </si>
  <si>
    <t>FIRST REPUBLIC CORPORATION OF AMERICA</t>
  </si>
  <si>
    <t>FIRST REPUBLIC AMERICA</t>
  </si>
  <si>
    <t>Laramore, Charles Rolland; (Vero Beach, FL)</t>
  </si>
  <si>
    <t>A61K 39/12 20130101;  A61K 2039/5252 20130101;  C12N 7/00 20130101;  C12N 2710/18034 20130101;  Y10S 530/826 20130101;  A61K 2039/54 20130101;  A61K 2039/542 20130101;  A61K 2039/552 20130101</t>
  </si>
  <si>
    <t>The White Spot Syndrome Virus (WSSV) is a virus affecting shrimps as well     as other crustaceans, and the WSSV epidemic poses a serious threat to the     shrimp farming industry. The present invention relates to compositions     and methods for inducing tolerance and/or immunity to White Spot Syndrome     Virus infections. In one embodiment, the invention provides for a     tolerine composition based on inactivated viral particles. In another     embodiment, the invention provides for a method for inducing     tolerance/immunity in shrimps by exposing larval shrimps to the tolerine     composition. In yet another embodiment, the invention provides for     tolerine composition with improved purity.</t>
  </si>
  <si>
    <t>US20030009239</t>
  </si>
  <si>
    <t>Method and system for bio-surveillance detection and alerting</t>
  </si>
  <si>
    <t>10/130404</t>
  </si>
  <si>
    <t>Lombardo, Joseph S; (Annapolis, MD); Pineda, Fernando J; (Baltimore, MD); Burkom, Howard S; (Baltimore, MD); Newhall, Bruce K; (Columbia, MD); Chotani, Rashid A; (Owing Mills, MD); Wojcik, Richard A; (Columbia, MD); Loschen, Wayne A; (Odenton, MD)</t>
  </si>
  <si>
    <t>G16H 10/60 20180101;  G16H 50/80 20180101;  Y02A 90/24 20180101;  Y02A 90/22 20180101;  Y02A 90/26 20180101</t>
  </si>
  <si>
    <t>Background noise from relevant data sets, including for example     over-the-counter sales data, absenteeism data, etc., is subtracted using     a background estimation algorithm that outputs residual data The effects     of hypothetical anomalous events, such as a bio-terrorist attack, on the     relevant data sets are modeled to create replica data. The replica data     may be based on input from epidemiologists and various scenario templates     including information on disease manifestation and other intelligence.     The residual data and the replica data are then matched using a detector.     Types of detectors include for example adaptive matched-filter detectors,     change detectors and Bayesian Inference Networks. An alarm is triggered     if a real anomalous event similar to a hypothetical anomalous event is     detected. A Geographical Information System (GIS) may be used to display     data from individual zip codes.</t>
  </si>
  <si>
    <t>US20020193967</t>
  </si>
  <si>
    <t>Early Warning network for biological terrorism</t>
  </si>
  <si>
    <t>09/882886</t>
  </si>
  <si>
    <t>Siegel, Neil G.; (Ranch Palos Verdes, CA)</t>
  </si>
  <si>
    <t>G06F 19/3418 20130101;  G06Q 50/22 20130101;  G16H 50/80 20180101;  G16H 50/70 20180101;  G06Q 50/24 20130101</t>
  </si>
  <si>
    <t>A computerized early warning network for biological events or terrorism     produces the alert that calls the health authorities to action. Data     generated in the point of sale (POS1 . . . POSn, POSa &amp; POSb) units of a     retail store or pharmacy that sells prescription and non-prescription     medicines contain information regarding purchases of various medicines     which are available at the central server (S2) associated with the point     of sale equipment. The database of purchases is periodically culled to     extract information regarding the quantities of different types of     medicines purchased (PROG) in the period, such as over a day, and that     information is transmitted, directly or indirectly, to the servers (S3)     of the public health authorities. With medicine type correlated to     specific diseases, the computers of the health authorities evaluate the     purchase information on a type-by-type basis and region-by-region basis     to determine occurrence of a biological event in any of the regions.</t>
  </si>
  <si>
    <t>US20020146434</t>
  </si>
  <si>
    <t>Measles</t>
  </si>
  <si>
    <t>Gene coding for the measles virus mutant antigen</t>
  </si>
  <si>
    <t>09/873233</t>
  </si>
  <si>
    <t>THE RESEARCH FOUNDATION FOR MICROBIAL DISEASES OF OSAKA UNIVERSITY</t>
  </si>
  <si>
    <t>THE RESEARCH FOUNDATION FOR MICROBIAL DISEASES OSAKA UNIVERSITY</t>
  </si>
  <si>
    <t>Ueda, Shigeharu; (Nishinomiya-shi, JP); Watanabe, Michiko; (Osaka, JP); Kawanish, Hitomi; (Sakaide-shi, JP)</t>
  </si>
  <si>
    <t>A61K 39/00 20130101;  A61K 2039/51 20130101;  A61K 2039/525 20130101;  A61K 2039/53 20130101;  C07K 14/005 20130101;  C12N 2760/18422 20130101</t>
  </si>
  <si>
    <t>Disclosed is a measles virus mutant antigen, comprising at least one     protein antigen selected from the group consisting of (I) a measles virus     mutant H protein antigen and (II) a measles virus mutant F protein     antigen,the measles virus mutant H protein antigen (I) being at least one member     selected from the group consisting of the whole protein and fragmentary     peptides identified with the positional amino acid numbers of either SEQ     ID NO: 2 or SEQ ID NO: 10; andthe measles virus mutant F protein antigen (II) 4 being at least one     member selected from the group consisting of the whole protein and     fragmentary peptides identified with the positional amino acid numbers of     either SEQ ID NO: 18 or SEQ ID NO: 20.Also disclosed is a measles virus mutant gene coding for the measles virus     mutant antigen. By the use of the measles virus mutant antigen or the     gene coding for the same of the present invention, it has become possible     to provide efficiently and economically a live attenuated measles vaccine     or gene vaccine which is adapted for an epidemic strain of measles virus,     and a diagnostic reagent capable of accurately detecting infections with     an epidemic strain of measles virus.</t>
  </si>
  <si>
    <t>US20020128860</t>
  </si>
  <si>
    <t>Collecting and managing clinical information</t>
  </si>
  <si>
    <t>09/754743</t>
  </si>
  <si>
    <t>SCIENTIA</t>
  </si>
  <si>
    <t>Leveque, Joseph A.; (Altadena, CA); Frymark, Lori Dolan; (Pasadena, CA); Lind, Douglas D.; (New York, NY)</t>
  </si>
  <si>
    <t>G06F 19/324 20130101;  G06F 19/328 20130101;  G16H 50/80 20180101;  G16H 10/60 20180101;  G16H 15/00 20180101;  G06Q 50/22 20130101</t>
  </si>
  <si>
    <t>The present system includes the aggregation, anonymization, analysis, and     dissemination of information including susceptibility, progression,     severity of disease, the resources utilized to treat those diseases,     quality of life of patients who have those diseases, ability to     participate in the workforce and, ultimately, survival. This information,     when analyzed for patients along with relatives of those patients,     provides an understanding of why genetically similar or identical     patients express diseases differently. Collecting the information and     linking that information to genotypic information provides a     determination of role the genetic makeup of an individual plays in     disease contraction, treatment and outcome.</t>
  </si>
  <si>
    <t>US20020120408</t>
  </si>
  <si>
    <t>10/073256</t>
  </si>
  <si>
    <t>Kreiswirth, Barry N.; (New York, NY); Naidich, Steven M.; (New York, NY)</t>
  </si>
  <si>
    <t>US20020037497</t>
  </si>
  <si>
    <t>METHODS FOR THE IDENTIFICATION OF COMPOUNDS CAPABLE OF INHIBITING HIV-1     VIRAL REPLICATION EMPLOYING TRANSGENIC MICE AND MURINE CELL LINES     EXPRESSING HUMAN TOPOISOMERASE I</t>
  </si>
  <si>
    <t>08/814866</t>
  </si>
  <si>
    <t>UNIV ROCKEFELLER</t>
  </si>
  <si>
    <t>HALL, WILLIAM W.; (NEW YORK, NY); TAKAHASHI, HIDEHIRO; (TOKYO, JP)</t>
  </si>
  <si>
    <t>A61K 31/7072 20130101;  A61K 31/7076 20130101;  C12Q 1/703 20130101;  A61K 31/7064 20130101;  A61K 31/708 20130101;  A61P 31/18 20180101</t>
  </si>
  <si>
    <t>The present invention relates to therapeutic protocols and pharmaceutical     compositions designed to target topo I for the treatment of HIV     infection. The invention relates to therapeutic modalities and     pharmaceutical compositions for the treatment of HIV-infection using     human topo I and its interaction with HIV gag and RT as a target for     intervention. The invention further relates to the use of human topo I to     enhance the activity of RT. The present invention also relates to the     expression of human topo I in transgenic animals, in particular mice, as     a system to study the HIV life cycle and to screen agents for their     ability to interfere with the HIV life cycle.</t>
  </si>
  <si>
    <t>US20010012913</t>
  </si>
  <si>
    <t>09/818187</t>
  </si>
  <si>
    <t>CLINICAL DECISION SUPPORT, LLC</t>
  </si>
  <si>
    <t>CLINICAL DECISION SUPPORT</t>
  </si>
  <si>
    <t>US20010006681</t>
  </si>
  <si>
    <t>Chemokine inhibition of immunodeficiency virus</t>
  </si>
  <si>
    <t>09/747142</t>
  </si>
  <si>
    <t>Vico, Anthony De; (Alexandria, VA); Garzino-Demo, Alfredo; (Baltimore, MD); Gallo, Robert C.; (Bethesda, MD)</t>
  </si>
  <si>
    <t>C12Q 1/703 20130101;  A61K 38/00 20130101;  A61P 31/18 20180101;  C07K 14/521 20130101;  A61K 48/00 20130101;  A61P 37/04 20180101;  C07K 2319/00 20130101</t>
  </si>
  <si>
    <t>The invention relates to therapeutic compositions and methods for treating     and preventing infection by an immunodeficiency virus, particularly HIV     infection, using chemokine proteins, nucleic acids and/or derivatives or     analogs thereof.</t>
  </si>
  <si>
    <t>Issued</t>
  </si>
  <si>
    <t>USRE47351</t>
  </si>
  <si>
    <t>2-(N-pyrazolo)adenosines with application as adenosine A.sub.2A receptor agonists</t>
  </si>
  <si>
    <t>15/635017</t>
  </si>
  <si>
    <t>Jeff A. Zablocki, Elfatih O. Elzein, Venkata P. Palle, Luiz Belardinelli</t>
  </si>
  <si>
    <t>N-pyrazole substituted 2-adenosine compounds and methods for using the compounds as A.sub.2A-adenosine receptor agonists useful to stimulate mammalian coronary vasodilation for therapeutic purposes and as adjuncts in cardiological imaging.</t>
  </si>
  <si>
    <t>USRE47334</t>
  </si>
  <si>
    <t>Macrocyclic inhibitors of flaviviridae viruses</t>
  </si>
  <si>
    <t>15/715080</t>
  </si>
  <si>
    <t>Caroline Aciro, Victoria Alexandra Steadman, Simon Neil Pettit, Karine G. Poullennec, Linos Lazarides, David Kenneth Dean, Neil Andrew Dunbar, Adrian John Highton, Andrew John Keats, Dustin Scott Siegel, Kapil Kumar Karki, Adam James Schrier, Petr Jansa, Richard Mackman, Jean Yves Chiva</t>
  </si>
  <si>
    <t>C07K 5/06052 (20130101); A61K 38/12 (20130101); A61P 37/02 (20180101); A61K 45/06 (20130101); A61P 11/00 (20180101); C07K 5/06086 (20130101); A61P 3/04 (20180101); C07K 5/06191 (20130101); A61P 31/14 (20180101); A61P 31/18 (20180101); C07K 5/06139 (20130101); A61P 31/00 (20180101); C07D 487/18 (20130101); C07K 5/06191 (20130101); A61K 38/12 (20130101); A61P 31/12 (20180101); C07D 498/18 (20130101); A61P 43/00 (20180101); A61P 1/16 (20180101); A61P 29/00 (20180101); A61P 35/00 (20180101); C07K 5/06052 (20130101); C07K 5/06139 (20130101); C07K 5/06086 (20130101); A61K 45/06 (20130101); C07D 498/18 (20130101); C07D 487/18 (20130101); A61K 38/21 (20130101); Y02A 50/395 (20180101); Y02A 50/385 (20180101); Y02A 50/387 (20180101); Y02A 50/391 (20180101); A61K 38/21 (20130101); Y02A 50/389 (20180101)</t>
  </si>
  <si>
    <t>Provided are compounds of Formula I:  ##STR00001##    and     pharmaceutically acceptable salts and esters thereof. The compounds,     compositions, and methods provided are useful for the treatment of virus     infections, particularly hepatitis C infections.</t>
  </si>
  <si>
    <t>USRE46762</t>
  </si>
  <si>
    <t>1'-substituted carba-nucleoside analogs for antiviral treatment</t>
  </si>
  <si>
    <t>15/288271</t>
  </si>
  <si>
    <t>Thomas Butler, Aesop Cho, Choung U. Kim, Jay P. Parrish, Oliver L. Saunders, Lijun Zhang</t>
  </si>
  <si>
    <t>A61P 43/00 (20180101); A61P 31/00 (20180101); C07D 487/04 (20130101); A61P 31/16 (20180101); A61P 31/20 (20180101); C07H 19/23 (20130101); C07D 487/04 (20130101); A61P 31/14 (20180101); C07H 19/23 (20130101); A61P 31/12 (20180101); A61P 1/16 (20180101)</t>
  </si>
  <si>
    <t>USRE38333</t>
  </si>
  <si>
    <t>Antiviral phosphonomethoxy nucleotide analogs having increased oral     bioavailability</t>
  </si>
  <si>
    <t>10/159888</t>
  </si>
  <si>
    <t>Murty N. Arimilli, Kenneth C. Cundy, Joseph P. Dougherty, Choung U. Kim, Reza Oliyai, Valentino J. Stella</t>
  </si>
  <si>
    <t>C07F 9/6512 (20130101); C07F 9/65616 (20130101)</t>
  </si>
  <si>
    <t>Novel compounds are provided that comprise esters of antiviral     phosphonomethoxy nucleotide analogs with carbonates and/or carbamates     having the structure --OC(R.sup.2).sub.2 OC(O)X(R).sub.a, wherein R.sup.2     independently is H, C.sub.1 -C.sub.12 alkyl, aryl, alkenyl, alkynyl,     alkyenylaryl, alkynylaryl, alkaryl, arylalkynyl, arylalkenyl or arylalkyl     which is unsubstituted or is substituted with halo, azido, nitro or     OR.sup.3 in which R.sup.3 is C.sub.1 -C.sub.12 alkyl; X is N or O; R is     independently H, C.sub.1 -C.sub.12 alkyl, aryl, alkenyl, alkynyl,     alkyenylaryl, alkynylaryl, alkaryl, arylalkynyl, arylalkenyl or arylalkyl     which is unsubstituted or is substituted with halo, azido, nitro, --O--,     --N.dbd., --NR.sup.4 --, --N(R.sup.4).sub.2 -- or OR.sup.3, R.sup.4     independently is --H or C.sub.1 -C.sub.8 alkyl, provided that at least one     R is not H; and a is 1 or 2, with the proviso that when a is 2 and X is N,     (a) two R groups can be taken together to form a carbocycle or     oxygen-containing heterocycle, or (b) one R additionally can be OR.sup.3.     The compounds are useful as intermediates for the preparation of antiviral     compounds or oligonucleotides, or are useful for administration directly     to patients for antiviral therapy of prophylaxis. Embodiments are     particularly useful when administered orally.</t>
  </si>
  <si>
    <t>USD881233</t>
  </si>
  <si>
    <t>Display screen or portion thereof with graphical user interface</t>
  </si>
  <si>
    <t>D/650172</t>
  </si>
  <si>
    <t>Paul Maguire, Charles Corcoran, Cody Ostrum, Claire Ostrum, Tim Do</t>
  </si>
  <si>
    <t>H04L67/22 20130101; H04L67/125 20130101; G16H50/80 20180101; H04L67/36 20130101; H04W4/02 20130101</t>
  </si>
  <si>
    <t>US9994635</t>
  </si>
  <si>
    <t>Jeffrey T. L. Smith</t>
  </si>
  <si>
    <t>A61P 1/00 (20180101); C07K 16/248 (20130101); A61P 35/00 (20180101); A61P 35/02 (20180101); A61K 38/2013 (20130101); A61P 9/10 (20180101); A61P 19/08 (20180101); A61K 45/06 (20130101); A61P 19/02 (20180101); A61P 1/16 (20180101); A61P 35/04 (20180101); A61K 38/16 (20130101); A61K 39/3955 (20130101); A61P 1/04 (20180101); A61K 38/208 (20130101); A61K 45/00 (20130101); A61K 31/7088 (20130101); A61P 25/00 (20180101); C07K 2317/41 (20130101); C07K 2317/34 (20130101); C07K 2317/24 (20130101); C07K 2317/76 (20130101); C07K 2317/92 (20130101); A61K 2039/505 (20130101); A61K 2039/545 (20130101); A61K 2039/54 (20130101)</t>
  </si>
  <si>
    <t>US9993545</t>
  </si>
  <si>
    <t>Foot and mouth disease virus (FMDV) consensus proteins, coding sequences therefor and vaccines made therefrom</t>
  </si>
  <si>
    <t>David B. Weiner, Jian Yan, Karuppiah Muthumani, Niranjan Y. Sardesai</t>
  </si>
  <si>
    <t>A61K 39/135 (20130101); A61K 39/12 (20130101); C07K 14/005 (20130101); C12N 7/00 (20130101); C12N 2770/32134 (20130101); A61K 2039/53 (20130101); A61K 2039/552 (20130101)</t>
  </si>
  <si>
    <t>The present invention relates to synthetic, consensus foot-and-mouth disease virus (FMDV) immunogenic proteins and nucleic acid molecule encoding such proteins, to vaccines against FMDV, to methods for inducing immune responses against FMVD, to methods for distinguishing between individuals infected with FMDV versus those vaccinated against FMDV, and methods of prophylactically and/or therapeutically immunizing individuals against FMDV.</t>
  </si>
  <si>
    <t>US9987347</t>
  </si>
  <si>
    <t>Vaccines against multiple subtypes of dengue virus</t>
  </si>
  <si>
    <t>David B. Weiner, Jian Yan, Niranjan Sardesai</t>
  </si>
  <si>
    <t>A61K 39/12 (20130101); A61N 1/0412 (20130101); A61N 1/327 (20130101); C07K 14/005 (20130101); C12N 7/00 (20130101); A61K 31/7088 (20130101); C12N 2770/24141 (20130101); A61K 2039/53 (20130101); A61K 2039/54 (20130101); A61K 2039/55527 (20130101); A61K 2039/55538 (20130101); A61K 2039/575 (20130101); A61N 1/0476 (20130101); C12N 2770/24122 (20130101); C12N 2770/24134 (20130101)</t>
  </si>
  <si>
    <t>An aspect of the present invention is related to nucleic acid constructs capable of expressing a polypeptide, such as a consensus dengue prME that elicits an immune response in a mammal against more than one subtype of dengue virus, and methods of use thereof. Additionally, there are DNA plasmid vaccines capable of generating in a mammal an immune response against a plurality of dengue virus subtypes, comprising a DNA plasmid and a pharmaceutically acceptable excipient, and methods of use thereof. The DNA plasmid is capable of expressing a consensus dengue antigen in a cell of the mammal in a quantity effective to elicit an immune response in the mammal that is cross reactive against all 4 dengue subtypes.</t>
  </si>
  <si>
    <t>US9984214</t>
  </si>
  <si>
    <t>Methods, systems and computer program products for aggregating medical     information</t>
  </si>
  <si>
    <t>Ari Craine, Jonathan Reeves, Steven Tischer</t>
  </si>
  <si>
    <t>G16H 50/80 (20180101); G16H 40/67 (20180101)</t>
  </si>
  <si>
    <t>US9982006</t>
  </si>
  <si>
    <t>2'-chloro aminopyrimidinone and pyrimidine dione nucleosides</t>
  </si>
  <si>
    <t>Michael O'Neil Hanrahan Clarke, Richard L. Mackman, Dustin Siegel</t>
  </si>
  <si>
    <t>A61P 31/12 (20180101); C07H 19/06 (20130101); C07H 19/073 (20130101); A61P 11/00 (20180101); A61K 31/7068 (20130101); A61K 31/7072 (20130101); C07H 19/10 (20130101); A61P 31/14 (20180101)</t>
  </si>
  <si>
    <t>Provided herein are formulations, methods and substituted 2'-chloro     aminopyrimidinone and pyrimidine dione compounds of Formula (I) for     treating Pneumovirinae virus infections, including respiratory syncytial     virus infections, as well as methods and intermediates for synthesis of     substituted 2'-chloro aminopyrimidinone and pyrimidine dione compounds.     ##STR00001##</t>
  </si>
  <si>
    <t>US9981955</t>
  </si>
  <si>
    <t>Elizabeth M. Bacon, Eda Canales, Aesop Cho, Jeromy J. Cottell, Manoj C. Desai, Michael Graupe, Hongyan Guo, Randall L. Halcomb, Darryl Kato, Choung U. Kim, Thorsten A. Kirschberg, Evan S. Krygowski, Scott E. Lazerwith, John O. Link, Hongtao Liu, Qi Liu, Richard L. Mackman, Michael L. Mitchell, Jay P. Parrish, Hyung-Jung Pyun, Joseph H. Saugier, Scott D. Schroeder, Jianyu Sun, James G. Taylor, James D. Trenkle, Winston C. Tse, Randall W. Vivian, William J. Watkins, Lianhong Xu</t>
  </si>
  <si>
    <t>A61K 31/435 (20130101); C07D 471/10 (20130101); A61K 31/427 (20130101); A61K 31/5377 (20130101); C07D 403/14 (20130101); C07D 471/08 (20130101); A61K 31/519 (20130101); C07D 495/04 (20130101); A61K 45/06 (20130101); A61K 31/496 (20130101); C07D 471/04 (20130101); A61K 31/4178 (20130101); C07D 401/14 (20130101); C07D 409/14 (20130101); C07D 207/16 (20130101); C07D 417/14 (20130101); C07D 487/04 (20130101); A61K 31/4184 (20130101); A61K 31/454 (20130101); C07D 403/04 (20130101); C07D 491/113 (20130101); A61K 31/4439 (20130101); C07F 5/025 (20130101); A61K 31/55 (20130101); A61K 31/437 (20130101); C07D 405/14 (20130101); C07D 413/14 (20130101); A61K 31/5415 (20130101); A61P 31/12 (20180101); A61K 31/4025 (20130101)</t>
  </si>
  <si>
    <t>US9973834</t>
  </si>
  <si>
    <t>Communication system and method for using human telematic data to provide a hazard alarm/notification message to a user in a static environment such as in or around buildings or other structures</t>
  </si>
  <si>
    <t>14/507600</t>
  </si>
  <si>
    <t>ALLSTATE INSURANCE COMPANY</t>
  </si>
  <si>
    <t>ALLSTATE INSURANCE</t>
  </si>
  <si>
    <t>Matthew James Manzella, Alinawaz Ismaili</t>
  </si>
  <si>
    <t>H04Q 9/14 (20130101); G08B 25/00 (20130101); G08B 25/008 (20130101); G06Q 40/08 (20130101); G06F 19/00 (20130101); H04Q 2209/30 (20130101)</t>
  </si>
  <si>
    <t>Systems and methods are disclosed herein for providing near real time communication to a user based on analysis of various user and environmental telematic data. The system includes a user with a wearable human telematic sensor providing telematic data about the wearer. Also, the system and method includes at least one building/environment telematic sensor configured to provide telematic data about the building and/or surrounding environment. The various telematic data is communicated and processed to provide a notification back to the user such as a potential safety hazard. The safety hazard may be based upon sensed data specific to the user, specific to the user's environment, or combinations thereof.</t>
  </si>
  <si>
    <t>US9962449</t>
  </si>
  <si>
    <t>MultiLigand agent for drug delivery</t>
  </si>
  <si>
    <t>15/224474</t>
  </si>
  <si>
    <t>Joseph E. Payne, Padmanabh Chivukula, Steven P. Tanis</t>
  </si>
  <si>
    <t>A61K 9/0019 (20130101); A61K 31/713 (20130101); C12N 15/113 (20130101); A61K 47/554 (20170801); A61K 47/549 (20170801); C12N 2310/3515 (20130101); C12N 2320/32 (20130101); C12N 2310/14 (20130101)</t>
  </si>
  <si>
    <t>Described herein is a compound having the structure of formula I, II, or III, ##STR00001## wherein R comprises a double stranded RNA molecule, and L.sub.1, L.sub.2, and L.sub.3 independently for each occurrence comprise a ligand selected from the group consisting of a carbohydrate, a cholesteryl, or a peptide; a pharmaceutically accepted salt or pharmaceutical composition thereof; and a method of making the compound.</t>
  </si>
  <si>
    <t>US9957275</t>
  </si>
  <si>
    <t>Pyrazolo[1,5-A]pyrimidines for antiviral treatment</t>
  </si>
  <si>
    <t>Kerim Babaoglu, Constantine G. Boojamra, Eugene J. Eisenberg, Hon Chung Hui, Richard L. Mackman, Jay P. Parrish, Michael Sangi, Oliver L. Saunders, Dustin Siegel, David Sperandio, Hai Yang</t>
  </si>
  <si>
    <t>A61P 31/12 (20180101); A61K 45/06 (20130101); C07D 487/04 (20130101); A61K 31/551 (20130101); A61P 11/00 (20180101); A61K 31/55 (20130101); C07D 495/04 (20130101); C07D 513/04 (20130101); A61K 31/5377 (20130101); C07F 9/65616 (20130101); A61K 31/519 (20130101); A61P 31/14 (20180101); A61P 31/16 (20180101); C07D 519/00 (20130101); A61K 31/675 (20130101)</t>
  </si>
  <si>
    <t>The invention provides compounds of Formula I or Formula II:     ##STR00001##  or a pharmaceutically acceptable salt or ester, thereof, as     described herein. The compounds and compositions thereof are useful for     treating Pneumovirinae virus infections. The compounds, compositions, and     methods provided are particularly useful for the treatment of Human     respiratory syncytial virus infections.</t>
  </si>
  <si>
    <t>US9956280</t>
  </si>
  <si>
    <t>Robin A. Robinson, Peter M. Pushko</t>
  </si>
  <si>
    <t>C12N 7/00 (20130101); A61P 37/04 (20180101); A61K 39/12 (20130101); C07H 21/04 (20130101); C07K 14/005 (20130101); A61P 31/16 (20180101); A61K 39/145 (20130101); C12N 2760/16034 (20130101); C12N 2760/16023 (20130101); A61K 2039/5258 (20130101); A61K 2039/70 (20130101); C12N 2760/16123 (20130101); A61K 2039/575 (20130101); C12N 2760/16134 (20130101); C12N 2760/16122 (20130101)</t>
  </si>
  <si>
    <t>US9951122</t>
  </si>
  <si>
    <t>Antibodies against influenza virus and methods of use thereof</t>
  </si>
  <si>
    <t>Wayne A. Marasco, Jianhua Sui, Robert C. Liddington</t>
  </si>
  <si>
    <t>C07K 16/1018 (20130101); A61P 31/16 (20180101); C07K 14/005 (20130101); C07K 2317/565 (20130101); C07K 2317/92 (20130101); C07K 2319/00 (20130101); C07K 2317/76 (20130101); C07K 2317/52 (20130101); A61K 2039/505 (20130101); C07K 2317/622 (20130101); C12N 2760/16122 (20130101); C07K 2317/21 (20130101); C07K 2319/40 (20130101)</t>
  </si>
  <si>
    <t>US9951065</t>
  </si>
  <si>
    <t>Benzimidazole and imadazopyridine carboximidamide compounds</t>
  </si>
  <si>
    <t>15/153527</t>
  </si>
  <si>
    <t>Mark J. Bartlett, Julian Andrew Codelli, Britton Kenneth Corkey, Jennifer Leigh Cosman, Kristyna Elbel, Jennifer Alissa Loyer-Drew, David Sperandio, Joshua Van Veldhuizen, Hai Yang, Suet Chung Yeung</t>
  </si>
  <si>
    <t>A61P 25/28 (20180101); A61K 31/553 (20130101); A61K 31/438 (20130101); C07D 401/04 (20130101); A61K 31/506 (20130101); C07D 405/12 (20130101); A61K 31/4439 (20130101); A61P 25/24 (20180101); C07D 405/14 (20130101); C07D 235/24 (20130101); C07D 295/125 (20130101); C07D 487/04 (20130101); A61K 31/4184 (20130101); A61K 31/4545 (20130101); A61K 31/55 (20130101); A61P 27/12 (20180101); A61P 31/12 (20180101); C07D 235/12 (20130101); C07D 471/08 (20130101); A61P 43/00 (20180101); A61K 45/06 (20130101); C07D 235/06 (20130101); C07D 235/14 (20130101); C07D 235/16 (20130101); A61K 31/496 (20130101); C07D 413/12 (20130101); A61K 31/497 (20130101); A61P 17/02 (20180101); A61K 31/444 (20130101); C07D 235/08 (20130101); A61K 31/454 (20130101); A61K 31/5386 (20130101); A61P 31/20 (20180101); A61P 37/06 (20180101); C07D 235/30 (20130101); A61P 37/02 (20180101); C07D 409/12 (20130101); A61K 31/4725 (20130101); A61K 31/541 (20130101); C07D 235/28 (20130101); C07D 401/12 (20130101); A61K 31/439 (20130101); A61K 31/538 (20130101); A61P 35/00 (20180101); A61K 31/5377 (20130101); A61K 31/437 (20130101); C07D 403/12 (20130101); A61P 31/18 (20180101); C07D 471/04 (20130101)</t>
  </si>
  <si>
    <t>The present disclosure provides indoleamine 2,3-dioxygenase 1 (IDO1)     inhibitors of Formula I:  ##STR00001##  or pharmaceutically acceptable     salts thereof, in which X, L, n, m, R.sup.1, R.sup.2a, R.sup.2b, R.sup.n,     R.sup.m, and R.sup.t are as defined herein, as well as pharmaceutical     compositions that include a compound of Formula I, or pharmaceutically     acceptable salts thereof, and methods of using the same to treat     conditions mediated by IDO1.</t>
  </si>
  <si>
    <t>US9951058</t>
  </si>
  <si>
    <t>Compound, pharmaceutically acceptable salt or optical isomer thereof, method for preparing the same, and pharmaceutical composition for prevention or treatment of viral diseases containing same as active ingredient</t>
  </si>
  <si>
    <t>Young Sik Jung, Soo Bong Han, Chong-Kyo Lee, Hae Soo Kim, Jin Soo Shin, Johan Neyts, Hendrik Jan Thibaut, Yashwardhan Radhamohan Malpani</t>
  </si>
  <si>
    <t>C07D 407/12 (20130101); C07D 409/12 (20130101); C07D 405/12 (20130101); C07D 417/12 (20130101); C07D 307/93 (20130101); C07D 413/12 (20130101)</t>
  </si>
  <si>
    <t>The present invention relates to a novel compound, to a pharmaceutically acceptable salt or optical isomer thereof, to a method for preparing same, and to a pharmaceutical composition for the prevention or treatment of viral diseases containing same as an active ingredient. The novel compound according to the present invention not only has low cytotoxicity but also has excellent antiviral activity against picornavirus such as coxsackievirus, enterovirus, echovirus, poliovirus and rhinovirus, and thus can be effectively used as a pharmaceutical composition for the prevention or treatment of viral diseases such as infantile paralysis, acute hemorrhagic conjunctivitis, viral meningitis, hand-foot-and-mouth disease, vesicular disease, hepatitis A, myitis, myocarditis, pancreatitis, diabetes, epidemic myalgia, encephalitis, cold, herpangina, foot-and-mouth disease, asthma, chronic obstructive pulmonary disease, pneumonia, sinus infection, or otitis media.</t>
  </si>
  <si>
    <t>US9951002</t>
  </si>
  <si>
    <t>Ionizable cationic lipid for RNA delivery</t>
  </si>
  <si>
    <t>15/818424</t>
  </si>
  <si>
    <t>Joseph E. Payne, Padmanabh Chivukula</t>
  </si>
  <si>
    <t>C07C 323/52 (20130101); C12N 15/113 (20130101); C12N 2320/32 (20130101); C12N 2310/14 (20130101)</t>
  </si>
  <si>
    <t>What is described is a compound having the formula ##STR00001## wherein R.sub.1 is branched alkyl of the structure (CH.sub.3(CH.sub.2).sub.m).sub.2CH--, wherein m is 2 or 3; R.sub.2 is a linear alkyl of 1, 2, 3, 4, 5, 6, 7, 8, or 9 carbons, a branched alkyl of 3, 4, 5, 6, 7, 8, or 9 carbons, or an alkenyl or alkynyl of 2, 3, 4, 5, 6, 7, 8, 9, 10 or 11 carbons; R.sub.3 is --(CH.sub.2).sub.p--, wherein p is 2, 3, 4, 5 or 6; R.sub.4 and R.sub.5 are the same or different, each a hydrogen, or a linear or branched alkyl of 1, 2, 3, 4, 5 or 6 carbons; L.sub.1 and L.sub.2 are the same or different, of the structure --(CH.sub.2).sub.n--, wherein n is 7, 8, 9, 10, 11, 12, 13, 14, 15, 16, 17, or 18; L.sub.3 is a bond; X.sub.1 is --CO--O-- whereby -L.sub.2-CO--O--R.sub.2 is formed; X.sub.2 is S or O; and X.sub.3 is --CO--O-- whereby -L.sub.1-CO--O--R.sub.1 is formed; and wherein m+n+p is 11, 12, 13, 14, 15, 16, 17, 18, 19, 20, 21, 22, 23, 24, 25, 26, or 27; or a pharmaceutically acceptable salt thereof.</t>
  </si>
  <si>
    <t>US9950061</t>
  </si>
  <si>
    <t>Porcine epidemic diarrhea virus vaccine</t>
  </si>
  <si>
    <t>Luis Alejandro Hernandez, Arun V. Iyer, Dianna M. Murphy Jordan, Abby Rae Patterson, Michael B. Roof, Eric Martin Vaughn, Joseph Gilbert Victoria</t>
  </si>
  <si>
    <t>A61K 39/215 (20130101); A61K 45/06 (20130101); C07K 14/005 (20130101); C07K 16/10 (20130101); C12N 7/00 (20130101); A61K 2039/5252 (20130101); C12N 2770/20063 (20130101); C07K 2317/76 (20130101); C12N 2710/14043 (20130101); C12N 2710/14143 (20130101); C12N 2770/20021 (20130101); C12N 2770/20022 (20130101); C12N 2770/20034 (20130101); A61K 2039/552 (20130101)</t>
  </si>
  <si>
    <t>US9949994</t>
  </si>
  <si>
    <t>Methods for treating Filoviridae virus infections</t>
  </si>
  <si>
    <t>Byoung Kwon Chun, Michael O'Neil Hanrahan Clarke, Edward Doerffler, Hon Chung Hui, Robert Jordan, Richard L. Mackman, Jay P. Parrish, Adrian S. Ray, Dustin Siegel</t>
  </si>
  <si>
    <t>A61K 31/00 (20130101); C07F 9/2429 (20130101); A61K 31/665 (20130101); C07F 9/65616 (20130101); A61P 43/00 (20180101); A61P 31/14 (20180101); A61K 31/7056 (20130101); C07H 11/00 (20130101); A61K 31/685 (20130101); A61K 31/675 (20130101); A61K 31/706 (20130101); C07H 15/18 (20130101); A61K 31/683 (20130101); A61K 45/06 (20130101); A61P 31/00 (20180101); C07D 519/00 (20130101); C07H 1/02 (20130101); A61K 31/53 (20130101); C07D 487/04 (20130101); C07H 1/00 (20130101); A61K 31/6615 (20130101); A61P 31/12 (20180101); A61K 31/53 (20130101); A61K 2300/00 (20130101); A61K 31/675 (20130101); A61K 2300/00 (20130101); A61K 31/685 (20130101); A61K 2300/00 (20130101)</t>
  </si>
  <si>
    <t>Provided are compounds, methods, and pharmaceutical compositions for     treating Filoviridae virus infections by administering ribosides,     riboside phosphates and prodrugs thereof, of Formula IV:  ##STR00001##     The compounds, compositions, and methods provided are particularly useful     for the treatment of Marburg virus, Ebola virus and Cueva virus     infections.</t>
  </si>
  <si>
    <t>US9949945</t>
  </si>
  <si>
    <t>3' equatorial-fluorine-substituted neuraminidase inhibitor compounds,     compositions and methods for the use thereof as anti-virals</t>
  </si>
  <si>
    <t>Stephen Withers, Hongming Chen, Ricardo Resende, Jennifer Lois Breschkin</t>
  </si>
  <si>
    <t>A61P 31/16 (20180101); A61P 31/12 (20180101); C07D 309/14 (20130101); A61K 31/351 (20130101)</t>
  </si>
  <si>
    <t>Equatorial 2,3-fluorinated glycosides compounds of formula (I) useful for     the treatment or prophylaxis of viral infection, particularly viral     influenza, the methods for their preparation, and their pharmaceutical     compositions are provided. The therapeutic effect is achieved via     inhibition of viral neuraminidases.</t>
  </si>
  <si>
    <t>US9945856</t>
  </si>
  <si>
    <t>Cornelia Maria van der Hoek</t>
  </si>
  <si>
    <t>C07K 16/10 (20130101); G01N 33/56983 (20130101); A61K 39/12 (20130101); C12N 7/00 (20130101); C12Q 1/701 (20130101); A61P 31/00 (20180101); C07K 14/005 (20130101); C12Q 1/702 (20130101); A61K 39/215 (20130101); A61P 31/14 (20180101); C12Q 1/702 (20130101); C12Q 2531/113 (20130101); G01N 2333/165 (20130101); C12Q 1/70 (20130101); C12N 2770/20021 (20130101); C12N 2770/20034 (20130101); A61K 39/00 (20130101); C12N 2770/20022 (20130101); A61K 38/00 (20130101); A61K 2039/525 (20130101); C12N 2770/20011 (20130101)</t>
  </si>
  <si>
    <t>US9944619</t>
  </si>
  <si>
    <t>Compounds for the treatment of HIV</t>
  </si>
  <si>
    <t>Steven S. Bondy, Carina E. Cannizzaro, Chien-Hung Chou, Randall L. Halcomb, Yunfeng Eric Hu, John O. Link, Qi Liu, Scott D. Schroeder, Winston C. Tse, Jennifer R. Zhang</t>
  </si>
  <si>
    <t>A61K 31/4545 (20130101); A61P 31/14 (20180101); C07D 401/12 (20130101); A61K 31/4709 (20130101); C07D 401/14 (20130101); C07D 403/12 (20130101); C07D 491/052 (20130101); A61P 43/00 (20180101); C07D 409/14 (20130101); C07D 491/04 (20130101); A61K 31/444 (20130101); A61K 31/5377 (20130101); C07D 487/04 (20130101); C07D 471/06 (20130101); A61K 31/4985 (20130101); A61K 31/506 (20130101); C07D 403/14 (20130101); C07D 213/40 (20130101); A61K 31/50 (20130101); C07D 413/14 (20130101); C07D 495/04 (20130101); C07D 471/04 (20130101); A61P 31/18 (20180101); A61K 31/4439 (20130101); C07D 405/12 (20130101); A61K 45/06 (20130101)</t>
  </si>
  <si>
    <t>US9943588</t>
  </si>
  <si>
    <t>Emmanuel Jules Hanon, Jean Stephenne</t>
  </si>
  <si>
    <t>A61K 39/145 (20130101); A61K 39/12 (20130101); A61K 39/39 (20130101); C12N 7/00 (20130101); A61K 2039/5252 (20130101); C12N 2760/16234 (20130101); A61K 2039/55566 (20130101); A61K 2039/572 (20130101); A61K 2039/575 (20130101); C12N 2760/16134 (20130101); C12N 2760/16171 (20130101); A61K 2039/545 (20130101)</t>
  </si>
  <si>
    <t>The present invention relates to monovalent influenza vaccine formulations and vaccination regimes for immunising against influenza disease, their use in medicine, in particular their use in augmenting immune responses to various antigens, and to methods of preparation. In particular, the invention relates to monovalent influenza immunogenic compositions comprising an influenza antigen or antigenic preparation thereof from an influenza virus strain being associated with a pandemic outbreak or having the potential to be associated with a pandemic outbreak, in combination with an oil-in-water emulsion adjuvant comprising a metabolisable oil, a sterol and/or a tocopherol such as alpha tocopherol, and an emulsifying agent.</t>
  </si>
  <si>
    <t>US9937253</t>
  </si>
  <si>
    <t>Functional influenza virus-like particles (VLPS)</t>
  </si>
  <si>
    <t>Gale Smith, Rick Bright, Peter Pushko, Jinyou Zhang, Kutub Mahmood</t>
  </si>
  <si>
    <t>A61K 39/145 (20130101); A61K 39/39 (20130101); C07K 14/005 (20130101); C12N 7/00 (20130101); C12N 15/86 (20130101); A61K 39/12 (20130101); C12N 2760/16134 (20130101); A61K 2039/5258 (20130101); A61K 2039/543 (20130101); A61K 2039/55505 (20130101); A61K 2039/55555 (20130101); A61K 2039/70 (20130101); C12N 2710/14143 (20130101); C12N 2760/16023 (20130101); C12N 2760/16034 (20130101); C12N 2760/16071 (20130101); C12N 2760/16122 (20130101); C12N 2760/16123 (20130101)</t>
  </si>
  <si>
    <t>US9926553</t>
  </si>
  <si>
    <t>Sample extraction and preparation device</t>
  </si>
  <si>
    <t>Marc Dominic DeJohn, Jesse Wilson van Westrienen</t>
  </si>
  <si>
    <t>C12N 15/1017 (20130101); B01L 3/502 (20130101); B01L 3/0217 (20130101); B01L 2400/0478 (20130101); B01L 2200/0631 (20130101); B01L 2300/0681 (20130101); B01L 2400/049 (20130101)</t>
  </si>
  <si>
    <t>US9926370</t>
  </si>
  <si>
    <t>Antagonists of IL-6 to prevent or treat thrombosis</t>
  </si>
  <si>
    <t>C07K 16/248 (20130101); C07K 16/461 (20130101); A61P 7/02 (20180101); C07K 16/241 (20130101); C07K 2317/33 (20130101); A61K 39/395 (20130101); C07K 2317/94 (20130101); C07K 2317/34 (20130101); C07K 2317/92 (20130101); A61K 2039/505 (20130101); C07K 2317/24 (20130101); A61K 2039/545 (20130101); C07K 2317/76 (20130101)</t>
  </si>
  <si>
    <t>US9919043</t>
  </si>
  <si>
    <t>Influenza virus mutants and uses therefor</t>
  </si>
  <si>
    <t>15/040705</t>
  </si>
  <si>
    <t>FLUGEN, INC.</t>
  </si>
  <si>
    <t>FLUGEN</t>
  </si>
  <si>
    <t>Pamuk Bilsel, Yasuko Hatta</t>
  </si>
  <si>
    <t>A61P 31/16 (20180101); A61K 35/76 (20130101); C12N 7/00 (20130101); A61K 39/12 (20130101); A61K 39/145 (20130101); C07K 14/005 (20130101); A61P 37/04 (20180101); A61K 2039/543 (20130101); C12N 2760/16234 (20130101); A61K 2039/54 (20130101); A61K 2039/5254 (20130101); C12N 2760/16162 (20130101); A61K 2039/552 (20130101); A61K 2039/70 (20130101); C12N 2760/16262 (20130101); C12N 2760/16171 (20130101); A61K 2039/58 (20130101); A61K 2039/545 (20130101); C12N 2760/16134 (20130101); C12N 2760/16121 (20130101); C12N 2760/16151 (20130101); C12N 2760/16122 (20130101)</t>
  </si>
  <si>
    <t>Disclosed herein are compositions and methods related to mutant viruses,     and in particular, mutant influenza viruses. The mutant viruses disclosed     herein include a mutant M2 sequence, and are useful in immunogenic     compositions, e.g., as vaccines. Also disclosed herein are methods,     compositions and cells for propagating the viral mutants, and methods,     devices and compositions related to vaccination.</t>
  </si>
  <si>
    <t>US9919042</t>
  </si>
  <si>
    <t>15/040277</t>
  </si>
  <si>
    <t>A61P 37/04 (20180101); A61K 35/76 (20130101); C12N 7/00 (20130101); C07K 14/005 (20130101); A61P 31/16 (20180101); A61K 39/145 (20130101); A61K 39/12 (20130101); A61K 2039/70 (20130101); C12N 2760/16134 (20130101); C12N 2760/16171 (20130101); A61K 2039/543 (20130101); A61K 2039/54 (20130101); A61K 2039/5254 (20130101); C12N 2760/16151 (20130101); C12N 2760/16122 (20130101); A61K 2039/552 (20130101); C12N 2760/16234 (20130101); A61K 2039/58 (20130101); C12N 2760/16121 (20130101); C12N 2760/16162 (20130101); A61K 2039/545 (20130101); C12N 2760/16262 (20130101)</t>
  </si>
  <si>
    <t>US9916428</t>
  </si>
  <si>
    <t>Systems and methods for detecting infectious diseases</t>
  </si>
  <si>
    <t>Pranav Patel, Scott Tabakman, Kamila Belhocine, Aaron Richardson, Josephine Lee, Clarissa Lui</t>
  </si>
  <si>
    <t>C12Q 1/689 (20130101); C12Q 1/6893 (20130101); C12Q 1/6895 (20130101); C12Q 1/70 (20130101); C12Q 1/701 (20130101); C12Q 1/703 (20130101); C12Q 1/705 (20130101); C12Q 1/706 (20130101); G01N 33/56911 (20130101); G01N 33/56916 (20130101); G01N 33/56938 (20130101); G01N 33/56944 (20130101); G01N 33/56983 (20130101); G01N 33/56988 (20130101); G01N 33/56994 (20130101); G16H 10/40 (20180101); G16H 50/20 (20180101); Y10T 436/11 (20150115); G16H 20/10 (20180101); C12Q 1/68 (20130101); C12Q 1/6806 (20130101); C12Q 1/6844 (20130101); C12Q 2521/501 (20130101); C12Q 2600/158 (20130101); C12Q 2600/16 (20130101); G01N 2333/11 (20130101); G01N 2469/10 (20130101); G01N 2469/20 (20130101)</t>
  </si>
  <si>
    <t>US9911312</t>
  </si>
  <si>
    <t>Timothy D. Wildman, Dennis J. Gallant, Phillip J. Hausman</t>
  </si>
  <si>
    <t>G16H 50/80 (20180101); G08B 21/245 (20130101); G16H 80/00 (20180101); G08B 21/02 (20130101); A47K 2005/1218 (20130101)</t>
  </si>
  <si>
    <t>US9908931</t>
  </si>
  <si>
    <t>Anti-hemagglutinin antibodies and methods of use</t>
  </si>
  <si>
    <t>15/042436</t>
  </si>
  <si>
    <t>Genentech</t>
  </si>
  <si>
    <t>GENENTECH</t>
  </si>
  <si>
    <t>Min Xu, Mercedesz Balazs, Ning Chai, Nancy Chiang, Henry Chiu, Zhaoyu Jin, Zhonghua Lin, Patrick Lupardus, Gerald r. Nakamura, Hyunjoo Park, Lee Swem</t>
  </si>
  <si>
    <t>A61K 31/215 (20130101); A61P 43/00 (20180101); A61K 39/42 (20130101); A61P 31/16 (20180101); A61K 31/235 (20130101); A61K 31/24 (20130101); C07K 16/1018 (20130101); A61K 39/42 (20130101); A61K 2300/00 (20130101); C07K 2317/33 (20130101); C07K 2317/76 (20130101); C07K 2317/94 (20130101); C07K 2317/21 (20130101); A61K 2039/505 (20130101); A61K 2039/507 (20130101); C07K 2317/56 (20130101); A61K 2039/545 (20130101)</t>
  </si>
  <si>
    <t>The present invention provides anti-hemagglutinin antibodies,     compositions comprising anti-hemagglutinin antibodies, and methods of     using the same.</t>
  </si>
  <si>
    <t>US9907846</t>
  </si>
  <si>
    <t>Nanoparticles, composed of sterol and saponin from Quillaja saponaria     Molina for use in pharmaceutical compositions</t>
  </si>
  <si>
    <t>14/781761</t>
  </si>
  <si>
    <t>CRODA INTERNATIONAL PLC</t>
  </si>
  <si>
    <t>CRODA PLC</t>
  </si>
  <si>
    <t>Bror Morein, Saideh Berenjian, Kefei Hu</t>
  </si>
  <si>
    <t>A61K 47/28 (20130101); A61K 9/1075 (20130101); A61K 9/5123 (20130101); A61K 31/575 (20130101); A61K 31/704 (20130101); A61K 39/145 (20130101); A61K 39/39 (20130101); G01N 33/5011 (20130101); A61K 9/0019 (20130101); G01N 2800/52 (20130101)</t>
  </si>
  <si>
    <t>A nanoparticle comprising at least one sterol, e.g. cholesterol and a     component from Quillaja Saponaria Molina (QuilQ) selected from quillaja     saponin, characterized in that said nanoparticles do not comprise a     phospholipid and in that the sterol molecule is bound by a hydrophobic     bond between a hydroxyl group of the sterol and terpene moieties in a     Quil A micelle and by an hydrophilic ester bond between a sterol OH.sup.-     and COOH.sup.- or aldehyde groups in the QuilA micelle. It also relates     to a composition comprising the nanoparticles, and the use thereof as     adjuvant, especially in vaccines, as carriers for amphipathic or     hydrophobic molecules and as agents for treatment of cancer. Further, it     regards a method for producing the phospholipid-free nanoparticles, a     method for the treatment of cancer and a method for assessing the     applicability of the cancer treating method.</t>
  </si>
  <si>
    <t>US9907845</t>
  </si>
  <si>
    <t>Methods of using a vaccine composition containing synthetic adjuvant</t>
  </si>
  <si>
    <t>14/096582</t>
  </si>
  <si>
    <t>Steven G. Reed, Darrick Carter</t>
  </si>
  <si>
    <t>A61P 35/00 (20180101); A61P 31/08 (20180101); A61P 31/06 (20180101); A61P 37/00 (20180101); A61K 9/107 (20130101); A61P 37/02 (20180101); A61K 39/39 (20130101); A61P 33/02 (20180101); A61P 31/16 (20180101); A61K 39/145 (20130101); A61P 43/00 (20180101); A61K 45/06 (20130101); A61P 37/04 (20180101); A61K 39/35 (20130101); A61K 39/008 (20130101); A61K 39/0011 (20130101); A61K 39/04 (20130101); A61P 31/00 (20180101); Y02A 50/41 (20180101); A61K 2039/55511 (20130101); Y02A 50/39 (20180101); Y02A 50/396 (20180101); Y02A 50/388 (20180101); Y02A 50/386 (20180101); Y02A 50/491 (20180101); A61K 2039/55572 (20130101)</t>
  </si>
  <si>
    <t>Compositions and methods, including vaccines and pharmaceutical     compositions for inducing or enhancing an immune response are disclosed     based on the discovery of useful immunological adjuvant properties in a     synthetic, glucopyranosyl lipid adjuvant (GLA) that is provided in     substantially homogeneous form. Chemically defined, synthetic GLA offers     a consistent vaccine component from lot to lot without the fluctuations     in contaminants or activity that compromise natural-product adjuvants.     Also provided are vaccines and pharmaceutical compositions that include     GLA and one or more of an antigen, a Toll-like receptor (TLR) agonist, a     co-adjuvant and a carrier such as a pharmaceutical carrier.</t>
  </si>
  <si>
    <t>US9907809</t>
  </si>
  <si>
    <t>Antiviral supplement formulations</t>
  </si>
  <si>
    <t>14/681817</t>
  </si>
  <si>
    <t>Kenneth E. Phillips, Cynthia A. Winning</t>
  </si>
  <si>
    <t>A61K 31/185 (20130101); A61K 31/145 (20130101); A61K 31/513 (20130101); A61P 31/14 (20180101); A61P 31/16 (20180101); A61K 31/375 (20130101); A61K 31/455 (20130101); A61K 31/44 (20130101); A61K 31/4415 (20130101); A61K 31/7048 (20130101); A61P 31/12 (20180101); A61K 45/06 (20130101); A61K 31/7028 (20130101); A61K 31/221 (20130101); A61K 31/198 (20130101); A61K 31/185 (20130101); A61K 2300/00 (20130101); A61K 31/198 (20130101); A61K 2300/00 (20130101); A61K 31/221 (20130101); A61K 2300/00 (20130101); A61K 31/375 (20130101); A61K 2300/00 (20130101); A61K 31/4415 (20130101); A61K 2300/00 (20130101); A61K 31/513 (20130101); A61K 2300/00 (20130101); A61K 31/7048 (20130101); A61K 2300/00 (20130101); Y02A 50/465 (20180101)</t>
  </si>
  <si>
    <t>US9903874</t>
  </si>
  <si>
    <t>Method of determining resistance to influenza virus</t>
  </si>
  <si>
    <t>Fujitsu</t>
  </si>
  <si>
    <t>Yoshikazu Kurosawa, Nobuko Ohshima</t>
  </si>
  <si>
    <t>G01N 33/56983 (20130101); G01N 33/686 (20130101); C07K 16/1018 (20130101); G01N 2333/11 (20130101); C07K 2317/21 (20130101); C07K 2317/55 (20130101); C07K 2317/565 (20130101); C07K 2317/76 (20130101)</t>
  </si>
  <si>
    <t>US9902990</t>
  </si>
  <si>
    <t>Microfluidic cell trap and assay apparatus for high-throughput analysis</t>
  </si>
  <si>
    <t>Carl Lars Genghis Hansen, Michael VanInsberghe, Adam White, Oleh Petriv, Tim Leaver, Anupam Singhal, William Bowden, Veronique Lecault, Dan Da Costa, Leo Wu, Georgia Russell, Darek Sikorski</t>
  </si>
  <si>
    <t>G01N 33/54366 (20130101); G01N 1/34 (20130101); B01L 3/502753 (20130101); C12Q 1/6806 (20130101); G01N 33/569 (20130101); G01N 33/5005 (20130101); B01L 3/502761 (20130101); C12M 23/16 (20130101); C12Q 1/6844 (20130101); B01L 2400/086 (20130101); B01L 2300/0816 (20130101); B01L 7/52 (20130101); B01L 2200/0668 (20130101)</t>
  </si>
  <si>
    <t>US9901634</t>
  </si>
  <si>
    <t>Compositions comprising iscom particles and live micro-organisms</t>
  </si>
  <si>
    <t>Bror Morein, Karin Lovgren Bengtsson</t>
  </si>
  <si>
    <t>A61P 31/16 (20180101); A61P 31/20 (20180101); A61K 39/39 (20130101); C12N 7/00 (20130101); A61K 39/155 (20130101); A61P 31/14 (20180101); A61K 39/145 (20130101); A61K 2039/525 (20130101); A61K 2039/55511 (20130101); A61K 2039/55577 (20130101); A61K 2039/70 (20130101); C12N 2760/16134 (20130101); A61K 2039/5252 (20130101); C12N 2760/18634 (20130101)</t>
  </si>
  <si>
    <t>US9896413</t>
  </si>
  <si>
    <t>15/614499</t>
  </si>
  <si>
    <t>A61P 29/00 (20180101); C07C 235/12 (20130101); A61P 35/00 (20180101); A61K 47/20 (20130101); C07C 271/22 (20130101); C07C 323/52 (20130101); C07J 41/0055 (20130101); C07C 323/25 (20130101); C12N 15/111 (20130101); A61K 47/18 (20130101); C07C 323/60 (20130101); C12N 15/1137 (20130101); C07C 237/12 (20130101); C07C 333/04 (20130101); C11C 3/04 (20130101); C12N 15/113 (20130101); C12N 2320/32 (20130101); C12N 2310/14 (20130101)</t>
  </si>
  <si>
    <t>What is described is a compound of formula I  ##STR00001##  wherein     R.sub.1 is a linear alkyl, alkenyl, or alkynyl of 2 to 12 carbons, or a     branched alkyl with 12 to 20 carbons, R.sub.2 is a branched alkyl with 12     to 20 carbons, L.sub.1 and L.sub.2 are independently a linear alkylene     with 1-18 carbons or alkenylene with 2-18 carbons, X is S or O, L.sub.3     is a bond or an alkylene with 1 to 6 carbons, R.sub.3 is an alkylene with     1 to 6 carbons, and R.sub.4 and R.sub.5 are the same or different, each a     linear or branched alkyl with 1 to 6 carbons.</t>
  </si>
  <si>
    <t>US9890363</t>
  </si>
  <si>
    <t>Influenza virus replication for vaccine development</t>
  </si>
  <si>
    <t>15/203581</t>
  </si>
  <si>
    <t>Yoshihiro Kawaoka, Gabriele Neumann, Jihui Ping</t>
  </si>
  <si>
    <t>A61K 39/145 (20130101); C12N 7/00 (20130101); C07K 14/005 (20130101); C12N 15/86 (20130101); C12N 2760/16121 (20130101); C12N 2760/16134 (20130101); C12N 2760/16122 (20130101); C12N 2760/16151 (20130101); C12N 2760/16111 (20130101); C12N 2760/16143 (20130101)</t>
  </si>
  <si>
    <t>The invention provides a composition useful to prepare high titer     influenza viruses, e.g., in the absence of helper virus, which includes     internal genes from an influenza virus vaccine strain or isolate, e.g.,     one that is safe in humans, for instance, one that does not result in     significant disease, that confer enhanced growth in cells in culture,     such as MDCK cells, or in eggs.</t>
  </si>
  <si>
    <t>US9890134</t>
  </si>
  <si>
    <t>Processes for preparing antiviral compounds</t>
  </si>
  <si>
    <t>Kevin M. Allan, Shinji Fujimori, Lars V. Heumann, Grace May Huynh, Katie Ann Keaton, Chrisopher M. Levins, Ganapati Reddy Pamulapati, Benjamin James Roberts, Keshab Sarma, Martin Gerald Teresk, Xiang Wang, Scott Alan Wolckenhauer</t>
  </si>
  <si>
    <t>C07C 49/755 (20130101); C07C 49/80 (20130101); C07C 49/82 (20130101); C07D 491/052 (20130101); C07D 405/12 (20130101); C07D 311/78 (20130101); C07D 405/14 (20130101); A61P 31/14 (20180101); C07C 2602/10 (20170501)</t>
  </si>
  <si>
    <t>The present disclosure provides processes for the preparation of a     compound of formula:  ##STR00001##  which is useful as an antiviral     agent. The disclosure also provides compounds that are synthetic     intermediates.</t>
  </si>
  <si>
    <t>US9890133</t>
  </si>
  <si>
    <t>Indanone derivatives, pharmaceutically acceptable salts or optical isomers     thereof, preparation method for same, and pharmaceutical compositions     containing same as active ingredient for preventing or treating viral     diseases</t>
  </si>
  <si>
    <t>Young Sik Jung, Chong Kgo Lee, Hae Soo Kim, Hee Chun Jeong, Pil Ho Kim, Soo Bong Han, Jin Soo Shin, Johan Neyts, Hendrik Jan Thibaut</t>
  </si>
  <si>
    <t>C07D 491/048 (20130101); C07D 413/12 (20130101); C07D 487/04 (20130101); C07F 9/65517 (20130101); C07D 405/04 (20130101); C07D 307/93 (20130101); C07D 209/94 (20130101); C07D 409/12 (20130101); C07D 417/12 (20130101); C07D 405/12 (20130101); C07C 233/32 (20130101); C07D 471/04 (20130101); C07D 407/12 (20130101)</t>
  </si>
  <si>
    <t>US9889194</t>
  </si>
  <si>
    <t>Immunogenic composition for MERS coronavirus infection</t>
  </si>
  <si>
    <t>Shibo Jiang, Lanying Du, Yusen Zhou, Guangyu Zhao</t>
  </si>
  <si>
    <t>A61K 39/215 (20130101); A61K 39/12 (20130101); C07K 16/10 (20130101); C12N 7/00 (20130101); C07K 14/005 (20130101); A61K 2039/55561 (20130101); A61K 2039/55566 (20130101); C07K 2319/30 (20130101); C12N 2770/20021 (20130101); C12N 2770/20034 (20130101); C12N 2770/20022 (20130101); A61K 2039/575 (20130101); C07K 2319/21 (20130101)</t>
  </si>
  <si>
    <t>US9884912</t>
  </si>
  <si>
    <t>Leon F. Garcia-Martinez, Anne Elisabeth Carvalho Jensen, Katie Olson Anderson, Benjamin H. Dutzar, Ethan Wayne Ojala, Brian R. Kovacevich, John A. Latham, Jeffrey T. L. Smith</t>
  </si>
  <si>
    <t>C07K 16/248 (20130101); A61K 2039/505 (20130101); C07K 2317/24 (20130101); C07K 2317/76 (20130101); C07K 2317/56 (20130101); C07K 2317/565 (20130101); C07K 2317/34 (20130101); C07K 2317/41 (20130101)</t>
  </si>
  <si>
    <t>US9884895</t>
  </si>
  <si>
    <t>Methods and compositions for chimeric coronavirus spike proteins</t>
  </si>
  <si>
    <t>Ralph Baric, Sudhakar Agnihothram, Boyd Yount</t>
  </si>
  <si>
    <t>A61P 31/12 (20180101); C07K 14/005 (20130101); A61K 39/12 (20130101); C07K 16/10 (20130101); C12N 7/00 (20130101); C07K 2317/34 (20130101); C12N 2770/20034 (20130101); C12N 2770/20022 (20130101); C12N 2770/36144 (20130101); C07K 2317/76 (20130101); A61K 2039/70 (20130101); C12N 2770/36123 (20130101); A61K 2039/5258 (20130101); C12N 2770/36143 (20130101); A61K 2039/5256 (20130101)</t>
  </si>
  <si>
    <t>US9884876</t>
  </si>
  <si>
    <t>Anti-viral compounds, pharmaceutical compositions, and methods of use     thereof</t>
  </si>
  <si>
    <t>15/308058</t>
  </si>
  <si>
    <t>KINETA, INC.</t>
  </si>
  <si>
    <t>KINETA</t>
  </si>
  <si>
    <t>Shawn P. Iadonato, Kristin M. Bedard, Kerry W. Fowler, Ikenna Madu, Shari Kaiser</t>
  </si>
  <si>
    <t>C07D 417/04 (20130101); A61P 31/14 (20180101); C07D 513/04 (20130101); A61P 31/20 (20180101); A61P 31/12 (20180101); C07D 417/06 (20130101); A61P 37/04 (20180101); A61P 31/18 (20180101); C07D 417/12 (20130101); A61P 31/22 (20180101); C07D 277/82 (20130101); A61P 31/16 (20180101)</t>
  </si>
  <si>
    <t>Disclosed herein are compounds, pharmaceutical compositions, and related     methods for the treatment of viral infection, including RNA viral     infection in subjects. The compounds, pharmaceutical compositions, and     methods can modulate the innate immune antiviral response in vertebrate     cells, including activating the RIG-I pathway.</t>
  </si>
  <si>
    <t>US9884873</t>
  </si>
  <si>
    <t>Solid forms of an antiviral compound</t>
  </si>
  <si>
    <t>Olga Viktorovna Lapina, Bing Shi, Fang Wang, Scott Alan Wolckenhauer</t>
  </si>
  <si>
    <t>C07D 491/052 (20130101); A61P 31/00 (20180101); A61P 31/14 (20180101); C07B 2200/13 (20130101)</t>
  </si>
  <si>
    <t>Crystalline solid forms of methyl     {(2S)-1-[(2S,5S)-2-(9-{2-[(2S,4S)-1-{(2R)-2-[(methoxycarbonyl)amino]-2-ph-    enylacetyl}-4-(methoxymethyl)pyrrolidin-2-yl]-1H-imidazol-5-yl}-1,11-dihyd-    roisochromeno[4',3':6,7]naphtho[1,2-d]imidazol-2-yl)-5-methylpyrrolidin-1--    yl]-3-methyl-1-oxobutan-2-yl}carbamate (Compound I) were prepared and     characterized in the solid state:  ##STR00001##  Also provided are     processes of manufacture and methods of using these crystalline forms.</t>
  </si>
  <si>
    <t>US9884832</t>
  </si>
  <si>
    <t>Inhibitors targeting drug-resistant influenza A</t>
  </si>
  <si>
    <t>14/363116</t>
  </si>
  <si>
    <t>William F. DeGrado, Jizhou Wang, Jun Wang, Hyunil Jo, Belgin Canturk</t>
  </si>
  <si>
    <t>C07D 271/06 (20130101); A61K 31/417 (20130101); A61K 45/06 (20130101); C07C 215/50 (20130101); A61K 31/137 (20130101); A61K 31/155 (20130101); A61K 31/15 (20130101); C07C 211/38 (20130101); C07C 271/28 (20130101); A61K 31/27 (20130101); C07C 255/58 (20130101); A61K 31/26 (20130101); C07D 257/04 (20130101); A61K 31/41 (20130101); A61K 31/4245 (20130101); C07D 213/38 (20130101); A61K 31/4402 (20130101); C07D 233/88 (20130101); A61K 31/505 (20130101); C07D 261/08 (20130101); A61K 31/5377 (20130101); C07C 211/27 (20130101); C07C 211/49 (20130101); C07C 217/58 (20130101); C07C 219/28 (20130101); C07C 233/43 (20130101); C07C 235/20 (20130101); C07C 237/30 (20130101); C07C 255/24 (20130101); C07C 317/32 (20130101); C07C 323/32 (20130101); C07D 207/335 (20130101); C07D 413/04 (20130101); C07C 2601/02 (20170501); C07C 2603/74 (20170501); A61K 31/422 (20130101)</t>
  </si>
  <si>
    <t>Provided are compounds according to formula (Ia) or (Ib) as described     herein, that are capable of modulating the activity of influenza viruses     (e.g., influenza A virus), for example, via interaction with the M2     transmembrane protein, and other similar viroporins. Also provided are     methods for treating an influenza A-affected disease state or infection     comprising administering a composition comprising one or more compounds     according to according to formulas (Ia') or (Ib), as described herein.</t>
  </si>
  <si>
    <t>US9879074</t>
  </si>
  <si>
    <t>Leon F. Garcia-Martinez, Anne Elisabeth Carvalho Jensen, Katie Anderson, Benjamin H. Dutzar, Ethan W. Ojala, Brian R. Kovacevich, John A. Latham, Jeffrey T. L. Smith</t>
  </si>
  <si>
    <t>A61K 39/39533 (20130101); A61K 45/06 (20130101); C07K 16/18 (20130101); C07K 16/248 (20130101); A61K 2039/505 (20130101); Y02A 50/412 (20180101); C07K 2317/24 (20130101); C07K 2317/41 (20130101); C07K 2317/92 (20130101); C07K 2317/34 (20130101); C07K 2317/76 (20130101); C07K 2317/622 (20130101); C07K 2317/21 (20130101); C07K 2317/94 (20130101); A61K 2039/545 (20130101); C07K 2317/569 (20130101); C07K 2317/56 (20130101); A61K 2039/54 (20130101); C07K 2317/54 (20130101); C07K 2317/55 (20130101)</t>
  </si>
  <si>
    <t>US9879066</t>
  </si>
  <si>
    <t>Influenza A H7N9 virus therapies</t>
  </si>
  <si>
    <t>15/215738</t>
  </si>
  <si>
    <t>Ning Chai, Jacqueline McBride, Lee Swem</t>
  </si>
  <si>
    <t>A61K 31/215 (20130101); A61K 31/196 (20130101); A61K 45/06 (20130101); C07K 16/1018 (20130101); A61K 31/7012 (20130101); A61P 31/16 (20180101); A61K 39/39575 (20130101); A61K 31/215 (20130101); A61K 2300/00 (20130101); A61K 31/7012 (20130101); A61K 2300/00 (20130101); A61K 31/196 (20130101); A61K 2300/00 (20130101); A61K 2039/507 (20130101); C07K 2317/567 (20130101); C07K 2317/569 (20130101); C07K 2317/565 (20130101); C07K 2317/56 (20130101); A61K 2039/505 (20130101); C07K 2317/565 (20130101); C07K 2317/567 (20130101); C07K 2317/569 (20130101)</t>
  </si>
  <si>
    <t>The present invention provides anti-influenza A virus antibodies     effective at binding, neutralizing, and treating influenza A H7N9 virus,     compositions comprising such antibodies, and methods of using the same.</t>
  </si>
  <si>
    <t>US9873716</t>
  </si>
  <si>
    <t>Caroline Aciro, David Kenneth Dean, Neil Andrew Dunbar, Adrian John Highton, Petr Jansa, Kapil Kumar Karki, Andrew J. Keats, Linos Lazarides, Richard L. Mackman, Simon N. Pettit, Karine G. Poullennec, Adam James Schrier, Dustin Siegel, Victoria Alexandra Steadman</t>
  </si>
  <si>
    <t>A61P 37/02 (20180101); C07D 471/18 (20130101); C07K 5/06034 (20130101); A61K 38/21 (20130101); A61K 31/7072 (20130101); A61K 31/497 (20130101); A61K 31/403 (20130101); C07D 498/18 (20130101); A61P 31/00 (20180101); A61K 38/05 (20130101); C07K 5/06078 (20130101); C07K 5/0606 (20130101); A61P 31/20 (20180101); C07K 5/06086 (20130101); C07D 498/08 (20130101); A61K 38/12 (20130101); C07K 5/06052 (20130101); A61P 29/00 (20180101); C07D 498/22 (20130101); C07K 5/06139 (20130101); C07K 5/06191 (20130101); A61K 39/29 (20130101); A61P 35/00 (20180101); A61P 43/00 (20180101); A61K 31/7056 (20130101); A61P 3/04 (20180101); C07K 5/02 (20130101); A61K 45/06 (20130101); A61K 38/55 (20130101); A61P 31/18 (20180101); C07K 19/00 (20130101); A61P 31/14 (20180101); A61P 11/00 (20180101); A61K 31/504 (20130101); A61P 1/16 (20180101); A61P 31/12 (20180101); C07D 487/08 (20130101); A61K 38/21 (20130101); A61K 2300/00 (20130101); A61K 38/55 (20130101); A61K 2300/00 (20130101); A61K 31/7056 (20130101); A61K 2300/00 (20130101); A61K 31/497 (20130101); A61K 2300/00 (20130101); A61K 31/403 (20130101); A61K 2300/00 (20130101); A61K 31/7072 (20130101); A61K 2300/00 (20130101); A61K 31/504 (20130101); A61K 2300/00 (20130101); Y02A 50/395 (20180101); Y02A 50/389 (20180101); Y02A 50/387 (20180101); Y02A 50/385 (20180101); A61K 38/15 (20130101); Y02A 50/391 (20180101); A61K 38/00 (20130101)</t>
  </si>
  <si>
    <t>Provided are compounds of Formula I:  ##STR00001##  and pharmaceutically     acceptable salts and esters thereof. The compounds, compositions, and     methods provided are useful for the treatment of virus infections,     particularly hepatitis C infections.</t>
  </si>
  <si>
    <t>US9872900</t>
  </si>
  <si>
    <t>Nucleic acid vaccines</t>
  </si>
  <si>
    <t>Giuseppe Ciaramella, Axel Bouchon, Eric Yi-Chun Huang</t>
  </si>
  <si>
    <t>A61K 39/145 (20130101); A61K 9/1271 (20130101); A61K 9/5123 (20130101); A61K 9/5146 (20130101); A61K 31/7105 (20130101); A61K 39/12 (20130101); A61K 39/155 (20130101); A61K 39/39 (20130101); A61K 48/00 (20130101); C12N 7/00 (20130101); A61K 9/0019 (20130101); C12N 2760/16234 (20130101); A61K 2039/53 (20130101); A61K 2039/545 (20130101); A61K 2039/55555 (20130101); C12N 2760/16122 (20130101); C12N 2760/16134 (20130101)</t>
  </si>
  <si>
    <t>US9868952</t>
  </si>
  <si>
    <t>Compositions and methods for "resistance-proof" SiRNA therapeutics for     influenza</t>
  </si>
  <si>
    <t>14/418432</t>
  </si>
  <si>
    <t>Patrick Y. Lu, David M. Evans, John J. Xu, Alan Y. Lu, Qing Ge</t>
  </si>
  <si>
    <t>C12N 15/1131 (20130101); A61K 9/007 (20130101); A61K 31/713 (20130101); C12N 2310/14 (20130101); C12N 2310/17 (20130101); C12N 2320/11 (20130101); C12N 2320/31 (20130101); C12N 2320/32 (20130101)</t>
  </si>
  <si>
    <t>The present invention relates to compositions and methods for development     of resistance-proof siRNA therapeutics for prevention and treatment of     influenza viral infections. The compositions include a pharmaceutical     composition comprising siRNA molecules that target conserved regions of     an influenza virus gene and a pharmaceutically acceptable polymeric     carrier. In one embodiment, the polymeric carrier condenses the molecules     to form a nanoparticle.</t>
  </si>
  <si>
    <t>US9868745</t>
  </si>
  <si>
    <t>Elizabeth M. Bacon, Jeromy J. Cottell, Ashley Anne Katana, Darryl Kato, Evan S. Krygowski, John O. Link, James G. Taylor, Chinh Viet Tran, Teresa Alejandra Trejo Martin, Zheng-Yu Yang, Sheila Zipfel</t>
  </si>
  <si>
    <t>A61K 47/60 (20170801); C07F 5/025 (20130101); C07D 491/052 (20130101); A61P 31/14 (20180101); A61K 31/7056 (20130101); A61K 31/7072 (20130101); A61P 31/12 (20180101); C07D 405/12 (20130101); A61K 31/7064 (20130101); A61K 38/06 (20130101); A61P 43/00 (20180101); A61K 38/07 (20130101); A61P 1/16 (20180101); A61K 45/06 (20130101); A61K 38/21 (20130101); A61K 31/4188 (20130101); A61K 31/7056 (20130101); A61K 2300/00 (20130101); A61K 31/4188 (20130101); A61K 2300/00 (20130101); A61K 31/7064 (20130101); A61K 2300/00 (20130101); A61K 31/7072 (20130101); A61K 2300/00 (20130101); Y10S 514/894 (20130101)</t>
  </si>
  <si>
    <t>US9862728</t>
  </si>
  <si>
    <t>Crystalline forms of an antiviral compound</t>
  </si>
  <si>
    <t>Dustin Bringley, Johann Chan, Peter Fung, Katie Keaton, Olga Lapina, Henry Morrison, Dominika Pcion</t>
  </si>
  <si>
    <t>C07K 5/0808 (20130101); A61K 45/06 (20130101); A61P 31/14 (20180101); A61P 31/12 (20180101); A61P 1/16 (20180101); C07D 498/16 (20130101); A61K 31/4985 (20130101)</t>
  </si>
  <si>
    <t>Crystalline forms of the anti-HCV compound     (1aR,5S,8S,9S,10R,22aR)-5-tert-butyl-N-[(1R,2R)-2-(difluoromethyl)-1-{[(1-    -methylcyclopropyl)sulfonyl]carbamoyl}cyclopropyl]-9-ethyl-18,18-difluoro--    14-methoxy-3,6-dioxo-1,1a,3,4,5,6,9,10,18,19,20,21,22,22a-tetradecahydro-8-    H-7,10-methanocyclopropa[18,19][1,10,3,6]dioxadiazacyclononadecino[11,12-b-    ]quinoxaline-8-carboxamide (Compound I) were prepared and characterized in     the solid state:  ##STR00001##  Also provided are processes of     manufacture and methods of using the crystalline forms.</t>
  </si>
  <si>
    <t>US9850202</t>
  </si>
  <si>
    <t>15/423008</t>
  </si>
  <si>
    <t>C07J 41/0055 (20130101); C07C 271/22 (20130101); C12N 15/111 (20130101); C12N 15/113 (20130101); C12N 15/1137 (20130101); C07C 237/12 (20130101); C07C 323/60 (20130101); A61K 47/18 (20130101); A61P 29/00 (20180101); A61P 35/00 (20180101); C07C 323/25 (20130101); A61K 47/20 (20130101); C07C 333/04 (20130101); C11C 3/04 (20130101); C07C 235/12 (20130101); C07C 323/52 (20130101); C12N 2320/32 (20130101); C12N 2310/14 (20130101)</t>
  </si>
  <si>
    <t>What is described is a compound  ##STR00001##  wherein   R.sub.1 and     R.sub.2 are the same or different, each a linear or branched alkyl with     1-9 carbons, or an alkenyl or alkynyl with 2 to 11 carbons; L.sub.1 and     L.sub.2 are the same or different, each a linear alkyl having 3 to 18     carbons; X.sub.1 and X.sub.3 are --CO--O--; X.sub.3 is S or O; L.sub.3 is     a lower alkyl; R.sub.3 is a lower alkyl; and R.sub.4 and R.sub.5 are the     same or different, each a lower alkyl; or a pharmaceutically acceptable     salt thereof.</t>
  </si>
  <si>
    <t>US9841425</t>
  </si>
  <si>
    <t>Methods for evaluating viral receptor/co-receptor usage and inhibitors of     virus entry using recombinant virus assays</t>
  </si>
  <si>
    <t>14/926837</t>
  </si>
  <si>
    <t>MONOGRAM BIOSCIENCES, INC.</t>
  </si>
  <si>
    <t>MONOGRAM BIOSCIENCES</t>
  </si>
  <si>
    <t>Douglas Richman, Mary T Wrin, Susan Little, Christos J. Petropoulos, Neil T. Parkin, Jeannette Whitcomb, Wei Huang</t>
  </si>
  <si>
    <t>C12Q 1/6897 (20130101); G01N 33/5044 (20130101); G01N 33/5091 (20130101); G01N 33/56983 (20130101); G01N 33/56988 (20130101); C12Q 1/703 (20130101); C07K 16/10 (20130101); G01N 2333/16 (20130101); C07K 14/162 (20130101); C07K 14/16 (20130101); C07K 16/08 (20130101); C07K 14/005 (20130101)</t>
  </si>
  <si>
    <t>Provided are methods for identifying whether a compound inhibits entry of     a virus into a cell. The method may include obtaining nucleic acid     encoding a viral envelope protein from a patient infected by the virus     and co-transfecting it into a first cell along with a viral expression     vector which lacks a nucleic acid encoding the envelope protein. The     method may further include contacting the viral particles produced by the     first cell with a second cell to which the virus binds in the absence and     presence of the compound and measuring the amount of signal produced by     the second cell.</t>
  </si>
  <si>
    <t>US9834603</t>
  </si>
  <si>
    <t>Leon F. Garcia-Martinez, Ann Elisabeth Carvalho Jensen, Katie Olson Anderson, Benjamin H. Dutzar, Ethan W. Ojala, Brian R. Kovacevich, John A. Latham, Jeffrey T. L. Smith</t>
  </si>
  <si>
    <t>US9834510</t>
  </si>
  <si>
    <t>Aromatic ionizable cationic lipid</t>
  </si>
  <si>
    <t>15/393840</t>
  </si>
  <si>
    <t>C07C 271/22 (20130101); C07C 333/04 (20130101)</t>
  </si>
  <si>
    <t>What is described is a compound of formula I  ##STR00001##  wherein   X     is an ethene, or an unsubstituted or substituted arene or heteroarene; Y     is a bond, an ethene, or an unsubstituted or substituted arene or     heteroarene; Z is S or O; L is a linear or branched alkylene of 1 to 6     carbons; R.sub.1 and R.sub.2 are independently a linear or branched alkyl     or alkenyl of 1 to 18 carbons; R.sub.3 and R.sub.4 are independently a     linear or branched alkyl of 1 to 6 carbons; n is 0 to 6; and m, p, q, and     r are independently 1-18; or a pharmaceutically acceptable salt thereof.</t>
  </si>
  <si>
    <t>US9833423</t>
  </si>
  <si>
    <t>1,3-Di-oxo-indene derivative, pharmaceutically acceptable salt or optical     isomer thereof, preparation method thereof, and pharmaceutical     composition containing same as an antiviral, active ingredient</t>
  </si>
  <si>
    <t>KOREA RES INST CHEMICAL TECH; KATHOLIEKE UNIV LEUVEN K U LEUVEN R &amp; D</t>
  </si>
  <si>
    <t>KOREA RES INST CHEMICAL TECH; KATHOLIEKE UNIV LEUVEN U LEUVEN D</t>
  </si>
  <si>
    <t>Young Sik Jung, Chong Kgo Lee, Ihl Young Choi, Hae Soo Kim, Phil Ho Kim, Soo Bong Han, Johan Neyts, Hendrik Jan Thibaut</t>
  </si>
  <si>
    <t>C07C 233/76 (20130101); C07C 69/22 (20130101); C07C 225/20 (20130101); C07D 215/20 (20130101); C07C 233/41 (20130101); A61K 31/435 (20130101); C07C 69/54 (20130101); C07C 225/22 (20130101); C07C 233/61 (20130101); C07C 67/00 (20130101); C07C 69/63 (20130101); C07C 271/44 (20130101); C07C 69/736 (20130101); C07C 275/64 (20130101); C07C 49/747 (20130101); C07C 69/18 (20130101); C07C 49/753 (20130101); C07C 323/22 (20130101); C07C 231/02 (20130101); C07C 269/00 (20130101); C07C 67/08 (20130101); C07C 271/64 (20130101); C07C 69/28 (20130101); C07D 221/04 (20130101); C07D 213/65 (20130101); C07C 69/738 (20130101); C07C 275/26 (20130101); A61K 31/122 (20130101); C07C 69/16 (20130101); C07C 69/618 (20130101); C07C 233/33 (20130101); C07C 45/00 (20130101); C07C 69/78 (20130101); C07C 233/32 (20130101); C07C 233/43 (20130101); C07C 271/24 (20130101); C07C 271/12 (20130101); C07C 49/755 (20130101); C07C 69/12 (20130101); C07C 205/45 (20130101); C07C 247/14 (20130101); C07C 2601/02 (20170501); C07C 2602/08 (20170501)</t>
  </si>
  <si>
    <t>Disclosed are 1,3-Dioxoindene derivatives, pharmaceutically acceptable     salts thereof or enantiomers, a preparation method thereof, and a     pharmaceutical composition for the prevention or treatment of viral     diseases, comprising the same as an active ingredient. The     1,3-Dioxoindene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hepatitis A, myositis,     myocarditis, pancreatitis, diabetes, epidemic myalgia, encephalitis,     cold, herpangina, foot-and-mouth disease, asthma, chronic obstructive     pulmonary disease, pneumonia, sinusitis or otitis media.</t>
  </si>
  <si>
    <t>US9828388</t>
  </si>
  <si>
    <t>Thieno[3,2-d]pyrimidine, furo[3,2-d]pyrimidine, and     pyrrolo[3,2-D]pyrimidines useful for treating respiratory syncitial virus     infections</t>
  </si>
  <si>
    <t>C07D 519/00 (20130101); A61P 31/16 (20180101); A61P 31/12 (20180101); C07H 11/04 (20130101); C07D 495/04 (20130101); C07H 7/06 (20130101); A61P 11/00 (20180101); A61P 31/14 (20180101)</t>
  </si>
  <si>
    <t>US9827304</t>
  </si>
  <si>
    <t>Live attenuated vaccines for influenza viruses</t>
  </si>
  <si>
    <t>14/940307</t>
  </si>
  <si>
    <t>Honglin Chen, Min Zheng, Kwok-Yung Yuen</t>
  </si>
  <si>
    <t>A61K 39/12 (20130101); A61K 39/145 (20130101); A61P 31/16 (20180101); C12N 7/00 (20130101); C12N 7/04 (20130101); C12N 2760/16171 (20130101); C12N 2760/16121 (20130101); A61K 2039/5254 (20130101); C12N 2760/16162 (20130101); C12N 2760/16134 (20130101)</t>
  </si>
  <si>
    <t>The subject invention pertains to attenuated influenza viruses, and     related vaccines and methods, comprising a genetically modified viral     genome. The genetically modified viral genome comprises a disruption in     the non-structural (NS1) coding segment and one or more base substitution     in the matrix membrane protein coding segment. The genetic modifications     result in viruses that lose NS1 functionality, yet remain replication     competent.</t>
  </si>
  <si>
    <t>US9809600</t>
  </si>
  <si>
    <t>Elizabeth M. Bacon, Jeromy J. Cottell, Ashley Anne Katana, Darryl Kato, Evan S. Krygowski, John O. Link, James G. Taylor, Chinh Viet Tran, Teresa Alejandra Trejo Martin, Zheng-Yu Yang, Sheila M. Zipfel</t>
  </si>
  <si>
    <t>C07D 405/12 (20130101); A61P 43/00 (20180101); A61K 31/7064 (20130101); A61P 31/12 (20180101); A61K 47/60 (20170801); A61K 45/06 (20130101); A61K 38/07 (20130101); A61K 31/7056 (20130101); A61K 38/21 (20130101); A61K 31/4188 (20130101); C07F 5/025 (20130101); C07D 491/052 (20130101); A61K 31/7072 (20130101); A61K 38/06 (20130101); A61P 31/14 (20180101); A61P 1/16 (20180101); A61K 31/7056 (20130101); A61K 2300/00 (20130101); A61K 31/4188 (20130101); A61K 2300/00 (20130101); A61K 31/7064 (20130101); A61K 2300/00 (20130101); A61K 31/7072 (20130101); A61K 2300/00 (20130101); Y10S 514/894 (20130101)</t>
  </si>
  <si>
    <t>US9808459</t>
  </si>
  <si>
    <t>Inhibitors of influenza viruses replication</t>
  </si>
  <si>
    <t>15/299757</t>
  </si>
  <si>
    <t>VERTEX PHARMACEUTICALS INCORPORATED</t>
  </si>
  <si>
    <t>VERTEX PHARMACEUTICALS</t>
  </si>
  <si>
    <t>Paul S. Charifson, Michael P. Clark, Upul K. Bandarage, Randy S. Bethiel, John J. Court, Hongbo Deng, Ioana Davies, John P. Duffy, Luc J. Farmer, Huai Gao, Wenxin Gu, Dylan H. Jacobs, Joseph M. Kennedy, Mark W. Ledeboer, Brian Ledford, Francois Maltais, Emanuele Perola, Tiansheng Wang, M. Woods Wannamaker, Randal Byrn, Yi Zhou, Chao Lin, Min Jiang, Steven Jones, Ursula A. Germann, Francesco G. Salituro, Ann Dak-Yee Kwong</t>
  </si>
  <si>
    <t>A61K 31/506 (20130101); A61K 31/5377 (20130101); A61K 31/553 (20130101); A61P 43/00 (20180101); A61K 31/55 (20130101); C07D 471/04 (20130101); C07D 401/10 (20130101); A61P 31/16 (20180101); A61P 31/00 (20180101); A61P 37/04 (20180101); C07D 239/30 (20130101); C07D 401/04 (20130101)</t>
  </si>
  <si>
    <t>Methods of inhibiting the replication of influenza viruses in a     biological sample or patient, of reducing the amount of influenza viruses     in a biological sample or patient, and of treating influenza in a     patient, comprises administering to said biological sample or patient an     effective amount of a compound represented by Structural Formula (I):     ##STR00001##  or a pharmaceutically acceptable salt thereof, wherein the     values of Structural Formula (IA) are as described herein. A compound is     represented by Structural Formula (IA) or a pharmaceutically acceptable     salt thereof, wherein the values of Structural Formula (IA) are as     described herein. A pharmaceutical composition comprises an effective     amount of such a compound or pharmaceutically acceptable salt thereof,     and a pharmaceutically acceptable carrier, adjuvant or vehicle.</t>
  </si>
  <si>
    <t>US9807183</t>
  </si>
  <si>
    <t>System and server for analyzing and integrating data collected by an     electronic device</t>
  </si>
  <si>
    <t>Paul Maguire, Lisa Cinnamon, Claire Ostrum, Brian O'Toole, Steven Edgett, Charles Corcoran</t>
  </si>
  <si>
    <t>H04L 67/125 (20130101); G16H 50/80 (20180101); G06F 19/3493 (20130101); H04L 67/22 (20130101); H04L 67/36 (20130101); H04W 4/02 (20130101)</t>
  </si>
  <si>
    <t>US9801935</t>
  </si>
  <si>
    <t>Soluble needle arrays for delivery of influenza vaccines</t>
  </si>
  <si>
    <t>Derek O'Hagan, Manmohan Singh, Sung-Yun Kwon</t>
  </si>
  <si>
    <t>A61K 9/146 (20130101); A61K 39/145 (20130101); A61B 17/205 (20130101); A61M 37/0015 (20130101); G01N 33/68 (20130101); A61K 39/12 (20130101); C12N 2760/16134 (20130101); A61M 2037/0023 (20130101); A61K 2039/70 (20130101); C12N 2760/16111 (20130101); A61K 2039/5252 (20130101); A61B 2017/00004 (20130101); A61K 2039/54 (20130101); C12N 2760/16234 (20130101); A61M 2037/0046 (20130101); C12N 2760/16211 (20130101); G01N 2333/11 (20130101); A61M 2202/30 (20130101)</t>
  </si>
  <si>
    <t>US9795666</t>
  </si>
  <si>
    <t>High-yield transgenic mammalian expression system for generating     virus-like particles</t>
  </si>
  <si>
    <t>14/619693</t>
  </si>
  <si>
    <t>Pei-Wen Hsiao, Chia-Ying Wu, Yi-Chun Yeh</t>
  </si>
  <si>
    <t>A61K 39/215 (20130101); A61P 31/16 (20180101); A61K 39/145 (20130101); C07K 16/1018 (20130101); C07K 14/005 (20130101); A61K 39/12 (20130101); G01N 33/56983 (20130101); G01N 2469/10 (20130101); C12N 2760/16134 (20130101); C12N 2760/16122 (20130101); G01N 2333/11 (20130101); A61K 2039/5258 (20130101); C12N 2770/20023 (20130101); C12N 2770/20034 (20130101); C12N 2830/006 (20130101); G01N 2469/20 (20130101); C12N 2760/16034 (20130101); C12N 2770/20022 (20130101); C12N 2760/16123 (20130101)</t>
  </si>
  <si>
    <t>Virus-like particles (VLPs) of mammalian-hosted viruses, such as SARS-CoV     and influenza viruses, have been recombinantly produced from Vero cells.     The VLPs closely emulate the exterior of authentic virus particles and     are highly immunogenic. They can elicit not only humoral but also     cellular immune responses in a mammal. Compositions and methods related     to the VLPs are also described.</t>
  </si>
  <si>
    <t>US9792809</t>
  </si>
  <si>
    <t>Bio-threat alert system</t>
  </si>
  <si>
    <t>Francois Dupoteau</t>
  </si>
  <si>
    <t>G08B 27/005 (20130101); G16H 50/80 (20180101); G08B 31/00 (20130101)</t>
  </si>
  <si>
    <t>US9790509</t>
  </si>
  <si>
    <t>5'-triphosphate oligoribonucleotides</t>
  </si>
  <si>
    <t>14/802187</t>
  </si>
  <si>
    <t>OREGON HEALTH AND SCIENCE UNIVERSITY</t>
  </si>
  <si>
    <t>John Hiscott</t>
  </si>
  <si>
    <t>A61K 39/12 (20130101); C12N 15/117 (20130101); A61K 39/39 (20130101); C12N 7/00 (20130101); C12N 2310/531 (20130101); Y02A 50/383 (20180101); A61K 2039/5258 (20130101); C12N 2760/16123 (20130101); C12N 2760/16134 (20130101); A61K 2039/55561 (20130101); Y02A 50/386 (20180101); C12N 2320/31 (20130101)</t>
  </si>
  <si>
    <t>Disclosed herein are synthetic oligoribonucleotides that form hairpin     loop structures. The oligoribonucleotides can be used in the treatment of     viral infection including prophylactic treatments. The     oligoribonucleotides can also be used as adjuvants.</t>
  </si>
  <si>
    <t>US9790197</t>
  </si>
  <si>
    <t>Compound, pharmaceutically acceptable salt or optical isomer thereof,     method for preparing the same, and pharmaceutical composition for     prevention or treatment of viral diseases containing same as active     ingredient</t>
  </si>
  <si>
    <t>C07D 307/93 (20130101); C07D 405/12 (20130101); C07D 407/12 (20130101); C07D 413/12 (20130101); C07D 417/12 (20130101); C07D 409/12 (20130101)</t>
  </si>
  <si>
    <t>US9783794</t>
  </si>
  <si>
    <t>Influenza A 2009 pandemic H1N1 polypeptide fragments comprising     endonuclease activity and their use</t>
  </si>
  <si>
    <t>Stephen Cusack, Eva Kowalinski, Chloe Zubieta</t>
  </si>
  <si>
    <t>A61K 31/33 (20130101); C07K 14/005 (20130101); C12N 9/22 (20130101); G16B 15/00 (20190201); C07K 16/40 (20130101); C07H 19/10 (20130101); C07D 311/62 (20130101); C07D 211/96 (20130101); C07D 211/32 (20130101); A61K 38/00 (20130101); C07K 2299/00 (20130101); C12N 2760/16122 (20130101); C07K 2317/34 (20130101)</t>
  </si>
  <si>
    <t>The present invention relates to polypeptide fragments comprising an     amino-terminal fragment of the PA subunit of a viral RNA-dependent RNA     polymerase possessing endonuclease activity, wherein the PA subunit is     from Influenza A 2009 pandemic H1N1 virus or is a variant thereof. This     invention also relates to (i) crystals of the polypeptide fragments which     are suitable for structure determination of the polypeptide fragments     using X-ray crystallography and (ii) computational methods using the     structural coordinates of the polypeptide to screen for and design     compounds that modulate, preferably inhibit the endonucleolytically     active site within the polypeptide fragment. In addition, this invention     relates to methods of identifying compounds that bind to the PA     polypeptide fragments possessing endonuclease activity and preferably     inhibit the endonucleolytic activity, as well as the compounds     themselves. Preferably, the compounds are identifiable by the methods     disclosed herein or the pharmaceutical compositions are producible by the     methods disclosed herein.</t>
  </si>
  <si>
    <t>US9783568</t>
  </si>
  <si>
    <t>Salts of HIV inhibitor compounds</t>
  </si>
  <si>
    <t>Benjamin R. Graetz, Richard Polniaszek</t>
  </si>
  <si>
    <t>A61K 9/2018 (20130101); A61K 9/20 (20130101); A61K 31/675 (20130101); C07H 19/20 (20130101); A61P 31/18 (20180101); A61K 45/06 (20130101); A61K 31/7076 (20130101); A61K 31/675 (20130101); A61K 2300/00 (20130101)</t>
  </si>
  <si>
    <t>US9783567</t>
  </si>
  <si>
    <t>Processes and intermediates for preparing anti-HIV agents</t>
  </si>
  <si>
    <t>Richard Hung Chiu Yu, Brandon Heath Brown, Richard P. Polniaszek, Benjamin R. Graetz, Keiko Sujino, Duong Tran, Alan Scott Triman, Kenneth M. Kent, Steven Pfeiffer</t>
  </si>
  <si>
    <t>C07F 9/65616 (20130101); C07H 19/16 (20130101); C07H 19/173 (20130101); C07F 9/4075 (20130101); C07H 19/04 (20130101); C07H 19/20 (20130101); C07H 19/02 (20130101); C07F 9/4449 (20130101); C07D 473/34 (20130101); C07H 23/00 (20130101); A61K 31/66 (20130101)</t>
  </si>
  <si>
    <t>US9777045</t>
  </si>
  <si>
    <t>Immunogenic compositions and methods</t>
  </si>
  <si>
    <t>15/205476</t>
  </si>
  <si>
    <t>MIDCAP FINANCIAL TRUST, AS AGENT</t>
  </si>
  <si>
    <t>MIDCAP FINANCIAL TRUST</t>
  </si>
  <si>
    <t>Gerald W. Fischer, Luke T. Daum</t>
  </si>
  <si>
    <t>A61K 39/085 (20130101); C07K 14/35 (20130101); C12N 7/00 (20130101); A61P 31/16 (20180101); A61K 39/092 (20130101); A61P 31/04 (20180101); A61P 31/12 (20180101); A61K 39/145 (20130101); A61P 37/00 (20180101); C07K 7/06 (20130101); C07K 14/005 (20130101); A61K 39/12 (20130101); C07K 14/33 (20130101); A61K 39/102 (20130101); C12N 2760/16134 (20130101); A61K 2039/525 (20130101); A61K 2039/5254 (20130101); A61K 2039/70 (20130101); A61K 2039/5252 (20130101); A61K 2039/6037 (20130101); A61K 2039/6043 (20130101); A61K 2039/55566 (20130101); C07K 2319/40 (20130101); A61K 2039/6068 (20130101); C12N 2760/16122 (20130101); A61K 2039/575 (20130101); C07K 2319/42 (20130101); C12N 2760/16161 (20130101); A61K 2039/545 (20130101); A61K 2039/543 (20130101)</t>
  </si>
  <si>
    <t>Disclosed are immunogenic compositions and methods for their use in the     formulation and administration of therapeutic and prophylactic     pharmaceutical agents. In particular, the invention provides immunogenic     compositions and methods for preventing, treating, and/or ameliorating     the symptoms of one or more microbial infections, including, for example,     influenza.</t>
  </si>
  <si>
    <t>US9771564</t>
  </si>
  <si>
    <t>Influenza virus</t>
  </si>
  <si>
    <t>13/386355</t>
  </si>
  <si>
    <t>Thomas Muster, Ekaterina Romanovskaya-Romanko, Oleg Kiselev, Markus Wolschek, Boris Ferko, Andrej Egorov</t>
  </si>
  <si>
    <t>A61P 31/16 (20180101); C12N 7/00 (20130101); C07K 14/005 (20130101); A61K 39/12 (20130101); A61P 37/04 (20180101); C12N 2760/16161 (20130101); C12N 2760/16122 (20130101); C12N 2760/16134 (20130101); A61K 2039/5258 (20130101); C12N 2760/16121 (20130101); A61K 2039/543 (20130101)</t>
  </si>
  <si>
    <t>The present invention provides a novel influenza virus wherein both the     NS and the PB1 gene segments are modified and wherein the PB1-F2 open     reading frame is modified by introduction of at least one stop codon.     Specifically, the influenza virus is lacking functional NS1 and PB1-F2     proteins. Additionally, a vaccine formulation comprising the modified     influenza virus is provided and its use for prevention of influenza     vaccination.</t>
  </si>
  <si>
    <t>US9764024</t>
  </si>
  <si>
    <t>Optimized influenza vaccines</t>
  </si>
  <si>
    <t>Anders Fomsgaard, Karoline Bragstad</t>
  </si>
  <si>
    <t>A61K 39/12 (20130101); A61K 39/145 (20130101); A61K 2039/53 (20130101); C12N 2760/16134 (20130101); A61K 2039/58 (20130101); A61K 2039/70 (20130101); A61K 2039/54 (20130101)</t>
  </si>
  <si>
    <t>US9764007</t>
  </si>
  <si>
    <t>Class of therapeutic protein based molecules</t>
  </si>
  <si>
    <t>14/954467</t>
  </si>
  <si>
    <t>ANSUN BIOPHARMA, INC.</t>
  </si>
  <si>
    <t>ANSUN BIOPHARMA</t>
  </si>
  <si>
    <t>Fang Fang, Michael P. Malakhov</t>
  </si>
  <si>
    <t>C07K 14/775 (20130101); C07K 14/5421 (20130101); C07K 14/8117 (20130101); C07K 14/521 (20130101); C12Y 302/01018 (20130101); A61K 48/0008 (20130101); A61P 31/16 (20180101); A61K 38/47 (20130101); C12N 15/86 (20130101); C07K 14/522 (20130101); C12N 9/2405 (20130101); C07K 14/47 (20130101); C07K 14/4711 (20130101); C07K 14/8128 (20130101); C12N 7/00 (20130101); C07K 14/4703 (20130101); C12N 9/2402 (20130101); C07K 14/475 (20130101); C12N 2760/16111 (20130101); C07K 2319/00 (20130101); A61K 38/00 (20130101); A61K 39/00 (20130101); C12N 2750/14143 (20130101); C07K 2319/01 (20130101); C07K 2319/33 (20130101); C12N 2750/14145 (20130101)</t>
  </si>
  <si>
    <t>The present invention provides new compositions and methods for     preventing and treating pathogen infection. In particular, the present     invention provides compounds having an anchoring domain that anchors the     compound to the surface of a target cell, and a therapeutic domain that     can act extracellularly to prevent infection of a target cell by a     pathogen, such as a virus. The present invention also comprises     therapeutic compositions having sialidase activity, including     protein-based compounds having sialidase catalytic domains. Compounds of     the invention can be used for treating or preventing pathogen infection,     and for treating and reducing allergic and inflammatory responses. The     invention also provides compositions and methods for enhancing     transduction of target cells by recombinant viruses. Such compositions     and methods can be used in gene therapy.</t>
  </si>
  <si>
    <t>US9758579</t>
  </si>
  <si>
    <t>Nucleic acids encoding anti-IL-6 antibodies of defined epitopic     specificity</t>
  </si>
  <si>
    <t>Leon Garcia-Martinez, Anne Elisabeth Carvalho Jensen, Katie Olson, Ben Dutzar, Ethan Ojala, Brian Kovacevich, John Latham, Jeffrey T. L. Smith</t>
  </si>
  <si>
    <t>A61P 35/00 (20180101); C12N 9/60 (20130101); C12N 15/81 (20130101); C12N 9/64 (20130101); C12P 21/02 (20130101); C07K 16/248 (20130101); C07K 2317/24 (20130101); C07K 2317/56 (20130101); C07K 2317/34 (20130101); C07K 2317/92 (20130101); C07K 2317/41 (20130101); C07K 2317/76 (20130101); C07K 2317/565 (20130101); A61K 2039/505 (20130101)</t>
  </si>
  <si>
    <t>US9757406</t>
  </si>
  <si>
    <t>Combination formulation of two antiviral compounds</t>
  </si>
  <si>
    <t>Eric Gorman, Erik Mogalian, Reza Oliyai, Dimitrios Stefanidis, Lauren Wiser, Vahid Zia</t>
  </si>
  <si>
    <t>A61P 31/12 (20180101); A61K 31/7072 (20130101); A61P 1/16 (20180101); A61K 9/1635 (20130101); A61K 9/284 (20130101); A61K 31/7056 (20130101); A61K 9/2054 (20130101); A61K 9/1623 (20130101); A61K 31/4188 (20130101); A61P 43/00 (20180101); A61P 31/14 (20180101); A61K 31/4188 (20130101); A61K 2300/00 (20130101); A61K 31/7072 (20130101); A61K 2300/00 (20130101)</t>
  </si>
  <si>
    <t>Disclosed are pharmaceutical compositions comprising Compound I, having     the formula:  ##STR00001##  and an effective amount of sofosbuvir wherein     the sofosbuvir is substantially crystalline. Also disclosed are methods     of use for the pharmaceutical composition.</t>
  </si>
  <si>
    <t>US9749716</t>
  </si>
  <si>
    <t>Transmit power scaling method and system to detect occurrences using     geographically distributed sensors</t>
  </si>
  <si>
    <t>Neelesh B. Mehta</t>
  </si>
  <si>
    <t>H04Q 9/00 (20130101); H04L 67/12 (20130101); H04W 52/28 (20130101); Y02D 70/00 (20180101); H04W 84/18 (20130101); H04W 4/70 (20180201); H04Q 2209/25 (20130101); H04Q 2209/20 (20130101); H04Q 2209/40 (20130101); H04W 84/005 (20130101); H04W 52/0245 (20130101); H04W 4/025 (20130101); H04Q 2209/43 (20130101); H04W 84/02 (20130101); G16H 50/80 (20180101)</t>
  </si>
  <si>
    <t>US9744181</t>
  </si>
  <si>
    <t>Terrence C. Dahl, Mark M. Menning, Reza Oliyai</t>
  </si>
  <si>
    <t>A61K 31/7076 (20130101); A61K 9/2054 (20130101); A61P 31/18 (20180101); A61P 31/00 (20180101); A61K 45/06 (20130101); A61K 9/2009 (20130101); A61K 9/2018 (20130101); A61K 31/683 (20130101); A61K 9/2013 (20130101); A61P 31/12 (20180101); A61P 43/00 (20180101); A61K 31/513 (20130101); A61K 31/675 (20130101); A61K 9/2059 (20130101); A61K 31/675 (20130101); A61K 2300/00 (20130101); A61K 31/7076 (20130101); A61K 2300/00 (20130101); A61K 31/513 (20130101); A61K 2300/00 (20130101)</t>
  </si>
  <si>
    <t>The present invention relates to therapeutic combinations of     [2-(6-amino-purin-9 yl)-1-methyl-ethoxymethyl]-phosphonic acid     diisopropoxycarbonyloxymethyl ester (tenofovir disoproxil fumarate,     Viread.RTM.) and (2R,5S,cis)-4-amino-5-fluoro-1-(2     hydroxymethyl-1,3-oxathiolan-5-yl)-(1H)-pyrimidin-2-one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</si>
  <si>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US9732092</t>
  </si>
  <si>
    <t>Substituted     2,3,4,5,7,9,13,13a-octahydropyrido[1',2':4,5]pyrazino[2,1-b][1,3]OXAZEPIN-    ES and methods for treating viral infections</t>
  </si>
  <si>
    <t>15/349934</t>
  </si>
  <si>
    <t>Haolun Jin, Scott E. Lazerwith, Hyung-Jung Pyun, Elizabeth M. Bacon, Philip Anthony Morganelli, Mingzhe Ji</t>
  </si>
  <si>
    <t>A61K 45/06 (20130101); A61P 31/12 (20180101); A61K 31/553 (20130101); A61K 31/498 (20130101); A61K 31/4985 (20130101); C07D 471/22 (20130101); A61K 31/529 (20130101); C07D 498/18 (20130101); A61P 31/18 (20180101); A61K 31/551 (20130101); A61P 43/00 (20180101); C07D 487/14 (20130101); C07D 498/14 (20130101); A61K 31/537 (20130101); C07D 471/18 (20130101); A61K 31/553 (20130101); A61K 2300/00 (20130101); A61K 31/4985 (20130101); A61K 2300/00 (20130101); A61K 31/529 (20130101); A61K 2300/00 (20130101)</t>
  </si>
  <si>
    <t>Compounds for use in the treatment of human immunodeficiency virus (HIV)     infection are disclosed. The compounds have the following Formula (I):     ##STR00001##  including stereoisomers and pharmaceutically acceptable     salts thereof, wherein R.sup.1, X, W, Y.sup.1, Y.sup.2, Z.sup.1, and     Z.sup.4 are as defined herein. Methods associated with preparation and     use of such compounds, as well as pharmaceutical compositions comprising     such compounds, are also disclosed.</t>
  </si>
  <si>
    <t>US9731000</t>
  </si>
  <si>
    <t>Modified RSV F proteins and methods of their use</t>
  </si>
  <si>
    <t>Peter M. Pushko, Yingyun Wu, Michael J. Massare, Ye Liu, Gale Smith, Bin Zhou</t>
  </si>
  <si>
    <t>A61K 9/1075 (20130101); A61K 39/39 (20130101); A61P 31/12 (20180101); A61P 37/04 (20180101); C07K 14/005 (20130101); A61K 39/155 (20130101); C12N 7/00 (20130101); A61K 39/12 (20130101); A61K 9/0019 (20130101); A61P 31/14 (20180101); A61K 2039/57 (20130101); A61K 2039/55505 (20130101); A61K 39/00 (20130101); C12N 2760/18522 (20130101); C07K 2319/00 (20130101); A61K 2039/54 (20130101); C12N 2760/18534 (20130101); C12N 2760/18571 (20130101); A61K 2039/575 (20130101); A61K 2039/55 (20130101); A61K 2039/545 (20130101); C12N 2760/18523 (20130101); C12N 2760/18562 (20130101); A61K 2039/5258 (20130101)</t>
  </si>
  <si>
    <t>US9730999</t>
  </si>
  <si>
    <t>Adjuvanted influenza virus compositions</t>
  </si>
  <si>
    <t>A61K 39/145 (20130101); C12N 7/00 (20130101); A61K 39/12 (20130101); A61K 39/39 (20130101); A61K 2039/57 (20130101); A61K 2039/70 (20130101); A61K 2039/55572 (20130101); A61K 2039/55511 (20130101); C12N 2760/16134 (20130101); A61K 2039/55566 (20130101); C12N 2760/16234 (20130101); C12N 2760/16034 (20130101); A61K 2039/55 (20130101)</t>
  </si>
  <si>
    <t>US9727702</t>
  </si>
  <si>
    <t>Global disease surveillance platform, and corresponding system and method</t>
  </si>
  <si>
    <t>Taha A. Kass-Hout, Massimo Mirabito</t>
  </si>
  <si>
    <t>G06F 19/3493 (20130101); G06Q 10/1095 (20130101); G06Q 50/22 (20130101); G16H 50/80 (20180101); G06Q 50/26 (20130101); Y02A 90/24 (20180101); Y02A 90/22 (20180101)</t>
  </si>
  <si>
    <t>US9724360</t>
  </si>
  <si>
    <t>Byoung Kwon Chun, Michael O' Neil Hanrahan Clarke, Edward Doerffler, Hon Chung Hui, Robert Jordan, Richard L. Mackman, Jay P. Parrish, Adrian S. Ray, Dustin Siegel</t>
  </si>
  <si>
    <t>C07H 15/18 (20130101); A61K 31/00 (20130101); C07F 9/65616 (20130101); C07D 487/04 (20130101); A61K 31/706 (20130101); A61P 31/14 (20180101); A61K 31/665 (20130101); C07D 519/00 (20130101); A61K 31/6615 (20130101); C07H 1/02 (20130101); A61K 31/675 (20130101); A61K 31/53 (20130101); A61K 45/06 (20130101); A61P 43/00 (20180101); A61K 31/685 (20130101); A61P 31/12 (20180101); A61K 31/683 (20130101); C07H 1/00 (20130101); A61K 31/7056 (20130101); C07F 9/2429 (20130101); A61P 31/00 (20180101); C07H 11/00 (20130101); A61K 31/53 (20130101); A61K 2300/00 (20130101); A61K 31/675 (20130101); A61K 2300/00 (20130101); A61K 31/685 (20130101); A61K 2300/00 (20130101)</t>
  </si>
  <si>
    <t>US9718872</t>
  </si>
  <si>
    <t>Human antibodies to middle east respiratory syndrome--coronavirus spike     protein</t>
  </si>
  <si>
    <t>Christos Kyratsous, Neil Stahl, Sumathi Sivapalasingam</t>
  </si>
  <si>
    <t>A61P 11/00 (20180101); A61P 31/04 (20180101); G01N 33/569 (20130101); C07K 16/10 (20130101); A61P 29/00 (20180101); C07K 14/165 (20130101); A61K 39/12 (20130101); A61P 1/12 (20180101); A61K 39/39583 (20130101); A61P 31/14 (20180101); A61P 31/12 (20180101); A61K 39/215 (20130101); A61K 45/06 (20130101); A61K 38/00 (20130101); C12N 2770/20022 (20130101); C07K 2317/31 (20130101); A61K 2039/505 (20130101); C07K 2317/30 (20130101); C07K 2317/565 (20130101); C07K 2317/56 (20130101); A61K 2039/507 (20130101); C07K 2317/92 (20130101); C12N 7/00 (20130101); C12N 2770/20034 (20130101); C07K 2317/76 (20130101); C07K 2317/21 (20130101)</t>
  </si>
  <si>
    <t>US9718807</t>
  </si>
  <si>
    <t>Synthesis of antiviral compound</t>
  </si>
  <si>
    <t>Robert William Scott, Justin Philip Vitale, Kenneth Stanley Matthews, Martin Gerald Teresk, Alexandra Formella, Jared Wayne Evans</t>
  </si>
  <si>
    <t>A61P 31/14 (20180101); C07D 403/04 (20130101); C07D 403/14 (20130101); A61P 31/12 (20180101); A61P 1/16 (20180101); Y02P 20/55 (20151101)</t>
  </si>
  <si>
    <t>The present disclosure provides processes for the preparation of a     compound of formula I:  ##STR00001##  which is useful as an antiviral     agent. The disclosure also provides compounds that are synthetic     intermediates to compounds of formula I.</t>
  </si>
  <si>
    <t>US9717786</t>
  </si>
  <si>
    <t>Peter M. Pushko, Yingyun Wu, Michael J Massare, Ye Liu, Gale Smith, Bin Zhou</t>
  </si>
  <si>
    <t>A61P 31/14 (20180101); C12N 7/00 (20130101); A61K 39/12 (20130101); A61K 9/1075 (20130101); A61K 39/155 (20130101); A61K 39/39 (20130101); A61P 31/12 (20180101); A61P 37/04 (20180101); A61K 9/0019 (20130101); C07K 14/005 (20130101); A61K 2039/545 (20130101); A61K 2039/55505 (20130101); C07K 2319/00 (20130101); A61K 2039/55 (20130101); C12N 2760/18534 (20130101); A61K 2039/57 (20130101); A61K 2039/575 (20130101); C12N 2760/18562 (20130101); A61K 2039/5258 (20130101); C12N 2760/18523 (20130101); C12N 2760/18571 (20130101); A61K 2039/54 (20130101); C12N 2760/18522 (20130101); A61K 39/00 (20130101)</t>
  </si>
  <si>
    <t>US9715817</t>
  </si>
  <si>
    <t>G06F 19/3418 (20130101); G16H 50/80 (20180101); G08B 21/02 (20130101); G08B 21/245 (20130101); A47K 2005/1218 (20130101)</t>
  </si>
  <si>
    <t>US9713639</t>
  </si>
  <si>
    <t>Recombinant spike protein subunit based vaccine for porcine epidemic     diarrhea virus (PEDV)</t>
  </si>
  <si>
    <t>Paulraj Lawrence, Russell Bey</t>
  </si>
  <si>
    <t>A61K 39/225 (20130101); C12N 7/00 (20130101); A61K 39/215 (20130101); C12N 2770/20034 (20130101); A61K 2039/70 (20130101); A61K 2039/552 (20130101); C12N 2710/14041 (20130101); A61K 2039/5256 (20130101)</t>
  </si>
  <si>
    <t>US9701682</t>
  </si>
  <si>
    <t>Pyrrolo[1,2-f][1,2,4]triazines useful for treating respiratory syncitial     virus infections</t>
  </si>
  <si>
    <t>Michael O'Neil Hanrahan Clarke, Edward Doerffler, Richard L. Mackman, Dustin Siegel</t>
  </si>
  <si>
    <t>C07D 487/04 (20130101); A61P 31/16 (20180101); C07D 405/04 (20130101); C07F 9/6561 (20130101); C07D 405/14 (20130101); C07H 7/06 (20130101)</t>
  </si>
  <si>
    <t>Provided herein are formulations, methods and substituted     tetrahydrofuranyl-pyrrolo[1,2-f][1,2,4]triazine-4-amine compounds of     Formula (I) for treating Pneumovirinae virus infections, including     respiratory syncytial virus infections, as well as methods and     intermediates for synthesis of     tetrahydrofuranyl-pyrrolo[1,2-f][1,2,4]triazine-4-amine compounds.     ##STR00001##</t>
  </si>
  <si>
    <t>US9694066</t>
  </si>
  <si>
    <t>Gale Smith, Rick Bright, Peter M. Pushko, Jinyou Zhang, Kutub Mahmood</t>
  </si>
  <si>
    <t>C07K 14/005 (20130101); A61K 39/145 (20130101); A61K 39/12 (20130101); C12N 7/00 (20130101); A61K 2039/58 (20130101); C12N 2760/16022 (20130101); C12N 2760/16123 (20130101); C12N 2760/16122 (20130101); C12N 2760/16034 (20130101); C12N 2760/16134 (20130101); C12N 2710/14143 (20130101); A61K 2039/5258 (20130101); A61K 2039/543 (20130101); A61K 2039/70 (20130101); A61K 2039/55505 (20130101); A61K 2039/55561 (20130101); A61K 2039/55555 (20130101); C12N 2760/16023 (20130101)</t>
  </si>
  <si>
    <t>US9682989</t>
  </si>
  <si>
    <t>Elizabeth M. Bacon, Jeromy J. Cottell, John O. Link, Teresa Alejandra Trejo Martin</t>
  </si>
  <si>
    <t>A61K 31/7068 (20130101); A61P 43/00 (20180101); A61K 38/21 (20130101); A61K 45/06 (20130101); A61P 31/14 (20180101); A61K 31/7056 (20130101); A61P 31/12 (20180101); C07D 491/052 (20130101); A61K 31/4188 (20130101); A61P 31/00 (20180101); A61K 31/7072 (20130101); C07D 491/04 (20130101); A61P 1/16 (20180101); A61K 31/7056 (20130101); A61K 2300/00 (20130101); A61K 38/21 (20130101); A61K 2300/00 (20130101); A61K 31/7072 (20130101); A61K 2300/00 (20130101); A61K 31/7068 (20130101); A61K 2300/00 (20130101)</t>
  </si>
  <si>
    <t>US9682987</t>
  </si>
  <si>
    <t>Erik Mogalian, Robert William Scott, Bing Shi, Fang Wang</t>
  </si>
  <si>
    <t>C07D 471/08 (20130101); A61P 1/16 (20180101); A61K 31/4184 (20130101); C07D 403/14 (20130101); A61P 31/14 (20180101); A61P 31/12 (20180101); A61K 31/381 (20130101); C07D 487/08 (20130101); A61K 31/7056 (20130101); C07B 2200/13 (20130101)</t>
  </si>
  <si>
    <t>Amorphous and crystalline solid forms of the anti-HCV compound     (1-{3-[6-(9,9-difluoro-7-{2-[5-(2-methoxycarbonylamino-3-methyl-butyryl)--    5-aza-spiro[2.4]hept-6-yl]-3H-imidazol-4-yl}-9H-fluoren-2-yl)-1H-benzoimid-    azol-2-yl]-2-aza-bicyclo[2.2.1]heptane-2-carbonyl}-2-methyl-propyl)-carbam-    ic acid methyl ester (Compound I) were prepared and characterized in the     solid state:  ##STR00001##  Also provided are processes of manufacture     and methods of using the amorphous and crystalline forms.</t>
  </si>
  <si>
    <t>US9682130</t>
  </si>
  <si>
    <t>Viral conjunctivitis treatment using Ranpirnase and/or Amphinase</t>
  </si>
  <si>
    <t>Brian Strem</t>
  </si>
  <si>
    <t>C12Y 301/27005 (20130101); C12Y 301/27 (20130101); A61K 38/465 (20130101); A61K 9/0048 (20130101); A61K 9/0051 (20130101); A61P 27/02 (20180101)</t>
  </si>
  <si>
    <t>US9676808</t>
  </si>
  <si>
    <t>2',4'-substituted nucleosides as antiviral agents</t>
  </si>
  <si>
    <t>Jinfa Du, Michael Joseph Sofia</t>
  </si>
  <si>
    <t>A61P 35/00 (20180101); C07H 19/14 (20130101); A61K 31/7076 (20130101); C07H 19/06 (20130101); A61P 31/18 (20180101); A61K 31/7064 (20130101); A61P 31/20 (20180101); A61K 31/7072 (20130101); A61P 31/04 (20180101); A61P 31/14 (20180101); A61P 31/00 (20180101); A61P 31/12 (20180101); C07H 19/073 (20130101); C07H 19/16 (20130101); C07H 19/173 (20130101); A61K 31/7068 (20130101)</t>
  </si>
  <si>
    <t>US9676804</t>
  </si>
  <si>
    <t>Methods for preparing anti-viral nucleotide analogs</t>
  </si>
  <si>
    <t>Denise A. Colby, Andrew Anthony Martins, Benjamin James Roberts, Robert William Scott, Nicole S. White</t>
  </si>
  <si>
    <t>C07F 9/6512 (20130101); A61P 35/00 (20180101); C07F 9/65583 (20130101); A61P 31/12 (20180101); C07F 9/65616 (20130101)</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</si>
  <si>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</si>
  <si>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US9675685</t>
  </si>
  <si>
    <t>Peter Pushko, Yingyun Wu, Michael J. Massare, Ye Liu, Gale Smith, Bin Zhou</t>
  </si>
  <si>
    <t>C07K 14/005 (20130101); A61K 9/0019 (20130101); A61P 37/04 (20180101); A61P 31/12 (20180101); A61K 39/155 (20130101); A61P 31/14 (20180101); C12N 7/00 (20130101); A61K 39/12 (20130101); A61K 9/1075 (20130101); A61K 39/39 (20130101); A61K 2039/54 (20130101); A61K 2039/545 (20130101); A61K 2039/55 (20130101); A61K 39/00 (20130101); A61K 2039/57 (20130101); C07K 2319/00 (20130101); C12N 2760/18523 (20130101); A61K 2039/575 (20130101); C12N 2760/18522 (20130101); A61K 2039/5258 (20130101); C12N 2760/18534 (20130101); C12N 2760/18571 (20130101); A61K 2039/55505 (20130101); C12N 2760/18562 (20130101)</t>
  </si>
  <si>
    <t>US9670187</t>
  </si>
  <si>
    <t>Kevin M. Allan, Shinji Fujimori, Lars V. Heumann, Grace May Huynh, Katie Ann Keaton, Christopher M. Levins, Ganapati Reddy Pamulapati, Benjamin James Roberts, Keshab Sarma, Martin Gerald Teresk, Xiang Wang, Scott Alan Wolckenhauer</t>
  </si>
  <si>
    <t>C07C 49/80 (20130101); C07D 491/052 (20130101); C07D 405/14 (20130101); C07D 405/12 (20130101); C07D 311/78 (20130101); C07C 49/82 (20130101); A61P 31/14 (20180101); C07C 49/755 (20130101); C07C 2602/10 (20170501)</t>
  </si>
  <si>
    <t>US9669091</t>
  </si>
  <si>
    <t>Vaccines having an antigen and interleukin-23 as an adjuvant</t>
  </si>
  <si>
    <t>14/775087</t>
  </si>
  <si>
    <t>David B. Weiner, Jian Yan, Matthew Morrow, Bernadette Ferraro, David Hokey</t>
  </si>
  <si>
    <t>A61K 39/39 (20130101); A61P 17/00 (20180101); A61P 37/04 (20180101); C12N 7/00 (20130101); C07K 14/54 (20130101); A61P 21/00 (20180101); A61K 39/12 (20130101); A61P 31/20 (20180101); A61P 31/18 (20180101); A61P 31/16 (20180101); C12P 21/02 (20130101); A61K 9/0009 (20130101); A61P 33/06 (20180101); A61K 39/015 (20130101); C12N 15/03 (20130101); Y02A 50/412 (20180101); C12N 2710/20034 (20130101); A61K 2039/55527 (20130101); A61K 2039/54 (20130101); A61K 2039/53 (20130101); C12N 2710/20033 (20130101)</t>
  </si>
  <si>
    <t>Disclosed herein is a vaccine comprising an antigen and IL-23. Also     disclosed herein are methods for increasing an immune response in a     subject. The methods may comprise administering the vaccine to the     subject in need thereof.</t>
  </si>
  <si>
    <t>US9663528</t>
  </si>
  <si>
    <t>Substituted     1,2,3,4,6,8,12,12a-octahydro-1,4-methanodipyrido[1,2-a:1',2'-d]pyrazines     and methods for treating viral infections</t>
  </si>
  <si>
    <t>Manoj C. Desai, Haolun Jin, Scott E. Lazerwith, Hyung-Jung Pyun, James G. Taylor</t>
  </si>
  <si>
    <t>A61K 31/537 (20130101); A61K 31/529 (20130101); A61P 31/12 (20180101); A61P 31/18 (20180101); A61K 45/06 (20130101); A61P 43/00 (20180101); C07D 471/18 (20130101); A61K 31/4985 (20130101); C07D 498/18 (20130101); A61K 31/551 (20130101); A61K 31/553 (20130101); C07D 487/14 (20130101); C07D 498/14 (20130101); C07D 471/22 (20130101); A61K 31/498 (20130101); A61K 31/553 (20130101); A61K 2300/00 (20130101); A61K 31/4985 (20130101); A61K 2300/00 (20130101); A61K 31/529 (20130101); A61K 2300/00 (20130101)</t>
  </si>
  <si>
    <t>US9655944</t>
  </si>
  <si>
    <t>Inhibitors of hepatitis C virus</t>
  </si>
  <si>
    <t>Kyla Bjornson, Eda Canales, Jeromy J. Cottell, Kapil K. Karki, Ashley A. Katana, Darryl Kato, Tetsuya Kobayashi, John O. Link, Ruben Martinez, Barton W. Phillips, Hyung-jung Pyun, Michael Sangi, Adam J. Schrier, Dustin Siegel, James G. Taylor, Chinh V. Tran, Teresa A. Trejo Martin, Randall W. Vivian, Zheng-Yu Yang, Jeff Zablocki, Sheila Zipfel</t>
  </si>
  <si>
    <t>A61P 31/12 (20180101); C07D 498/22 (20130101); A61P 43/00 (20180101); A61P 31/14 (20180101); C07D 498/16 (20130101); A61K 31/498 (20130101); C07K 5/0812 (20130101); C07D 241/36 (20130101); A61K 45/06 (20130101); A61K 31/401 (20130101); A61K 31/4745 (20130101); A61K 31/4985 (20130101); C07D 403/14 (20130101); C07K 5/08 (20130101); A61K 31/519 (20130101); A61K 38/21 (20130101); A61K 31/10 (20130101); C07K 5/0808 (20130101); A61K 38/06 (20130101); A61P 1/16 (20180101); C07K 5/0827 (20130101); A61P 31/00 (20180101); A61K 31/506 (20130101); A61P 31/10 (20180101); A61K 38/21 (20130101); A61K 2300/00 (20130101); A61K 38/00 (20130101)</t>
  </si>
  <si>
    <t>Compounds of Formula I are disclosed  ##STR00001##  As well as     pharmaceutically acceptable salts thereof. Methods of using said     compounds and pharmaceutical compositions containing said compounds are     also disclosed.</t>
  </si>
  <si>
    <t>US9650434</t>
  </si>
  <si>
    <t>Broad-spectrum monoclonal antibody recognizing HA1 domain of hemagglutinin     of influenza virus</t>
  </si>
  <si>
    <t>Yixin Chen, Qingbing Zheng, Rui Li, Chenguang Shen, Shaojun Ke, Wenxin Luo, Honglin Chen, Ningshao Xia</t>
  </si>
  <si>
    <t>C07K 16/1018 (20130101); G01N 33/56983 (20130101); A61K 2039/505 (20130101); C07K 2317/76 (20130101); C07K 2317/34 (20130101); G01N 2333/11 (20130101); G01N 2469/10 (20130101); C07K 2317/33 (20130101)</t>
  </si>
  <si>
    <t>US9649371</t>
  </si>
  <si>
    <t>Recombinant mumps virus vaccine</t>
  </si>
  <si>
    <t>Biao He</t>
  </si>
  <si>
    <t>A61K 39/12 (20130101); A61K 39/165 (20130101); C07K 16/1027 (20130101); C07K 16/241 (20130101); C12N 7/00 (20130101); A61K 39/155 (20130101); C12N 2760/18762 (20130101); A61K 2039/5254 (20130101); A61K 2039/5256 (20130101); A61K 2039/543 (20130101); C12N 2760/18534 (20130101); C12N 2760/18734 (20130101); C12N 2760/18743 (20130101); C07K 2317/34 (20130101); C12N 2760/18721 (20130101)</t>
  </si>
  <si>
    <t>US9642889</t>
  </si>
  <si>
    <t>Macrocyclic inhibitors of Flaviviridae viruses</t>
  </si>
  <si>
    <t>Caroline Aciro, Jean Yves Chiva, David Kenneth Dean, Adrian John Highton, Petr Jansa, Andrew John Keats, Linos Lazarides, Richard Mackman, Karine G. Poullennec, Adam James Schrier, Dustin Scott Siegel, Victoria Alexandra Steadman, Greg Watt</t>
  </si>
  <si>
    <t>C07D 487/08 (20130101); C07K 5/0202 (20130101); A61K 39/05 (20130101); A61K 39/29 (20130101); A61P 31/14 (20180101); A61P 31/18 (20180101); A61P 1/14 (20180101); A61P 11/00 (20180101); A61K 45/06 (20130101); C07K 5/02 (20130101); A61P 31/20 (20180101); C07D 498/08 (20130101); A61K 38/12 (20130101); A61P 3/04 (20180101); A61P 35/00 (20180101); A61P 29/00 (20180101); A61P 31/12 (20180101); A61P 31/00 (20180101); A61P 43/00 (20180101); C07D 498/22 (20130101); C07D 498/18 (20130101); A61P 1/16 (20180101); A61P 37/02 (20180101); Y02A 50/387 (20180101); Y02A 50/385 (20180101); A61K 38/00 (20130101); Y02A 50/393 (20180101); Y02A 50/395 (20180101); A61K 38/15 (20130101); Y02A 50/389 (20180101); Y02A 50/391 (20180101)</t>
  </si>
  <si>
    <t>US9642562</t>
  </si>
  <si>
    <t>Bio-surveillance system</t>
  </si>
  <si>
    <t>10/524918</t>
  </si>
  <si>
    <t>STOUT SOLUTIONS, LLC</t>
  </si>
  <si>
    <t>STOUT SOLUTIONS</t>
  </si>
  <si>
    <t>Todd Stout</t>
  </si>
  <si>
    <t>A61B 5/0002 (20130101); A61B 5/1112 (20130101); G16H 50/80 (20180101); G08B 31/00 (20130101); G08B 21/10 (20130101)</t>
  </si>
  <si>
    <t>US9630972</t>
  </si>
  <si>
    <t>C07D 491/052 (20130101); A61P 31/14 (20180101); A61P 31/00 (20180101); C07B 2200/13 (20130101)</t>
  </si>
  <si>
    <t>US9623104</t>
  </si>
  <si>
    <t>C12N 7/00 (20130101); A61K 39/145 (20130101); C07K 14/005 (20130101); C12N 15/86 (20130101); A61K 39/39 (20130101); A61K 39/12 (20130101); A61K 2039/70 (20130101); C12N 2760/16023 (20130101); C12N 2760/16123 (20130101); A61K 2039/55555 (20130101); A61K 2039/5258 (20130101); A61K 2039/543 (20130101); C12N 2710/14143 (20130101); A61K 2039/55505 (20130101); C12N 2760/16134 (20130101); C12N 2760/16071 (20130101); C12N 2760/16122 (20130101); C12N 2760/16034 (20130101)</t>
  </si>
  <si>
    <t>US9617310</t>
  </si>
  <si>
    <t>Kyla L. Bjornson, Kapil K. Karki, John O. Link, Hyung-jung Pyun, Adam J. Schrier, Kirk L. Stevens, James G. Taylor, Randall W. Vivian, Jeff Zablocki, Sheila Zipfel</t>
  </si>
  <si>
    <t>C07D 487/00 (20130101); A61P 31/20 (20180101); A61K 31/519 (20130101); A61P 31/14 (20180101); C07K 7/64 (20130101); A61P 1/16 (20180101); C07D 487/02 (20130101); C07D 203/02 (20130101); A61K 31/437 (20130101); C07D 498/22 (20130101)</t>
  </si>
  <si>
    <t>Compounds of formula I:  ##STR00001##  or pharmaceutically acceptable     salts thereof, wherein the various substituents are defined herein,     methods of using said compounds, and pharmaceutical compositions     containing said compounds.</t>
  </si>
  <si>
    <t>US9617295</t>
  </si>
  <si>
    <t>A61K 31/7072 (20130101); A61P 31/12 (20180101); A61P 11/00 (20180101); C07H 19/10 (20130101); A61P 31/14 (20180101); A61K 31/7068 (20130101); C07H 19/06 (20130101); C07H 19/073 (20130101)</t>
  </si>
  <si>
    <t>US9609872</t>
  </si>
  <si>
    <t>Antibacterial agent composition and antiviral agent composition comprising silicon-containing compound; antibacterializing method, cleaning/mouth rinsing method; method for fixing antibacterial agent and antiviral agent</t>
  </si>
  <si>
    <t>Hiroki Nikawa, Hironori Takeda, Toshio Kakihara, Takemasa Sakaguchi</t>
  </si>
  <si>
    <t>A01N 33/12 (20130101); A01N 55/00 (20130101); A61K 31/695 (20130101); C07F 7/1836 (20130101); C11D 3/3742 (20130101); C11D 3/48 (20130101); A01N 55/00 (20130101); A01N 25/30 (20130101); A61K 9/0014 (20130101)</t>
  </si>
  <si>
    <t>US9605053</t>
  </si>
  <si>
    <t>Influenza virus-neutralizing antibody and screening method therefor</t>
  </si>
  <si>
    <t>15/017246</t>
  </si>
  <si>
    <t>Yoshikazu Kurosawa, Yoshitaka Iba, Nobuko Ohshima, Yoshinobu Okuno</t>
  </si>
  <si>
    <t>A61P 31/16 (20180101); C07K 16/1018 (20130101); C07K 2317/33 (20130101); C07K 2317/52 (20130101); C07K 2317/21 (20130101); A61K 2039/505 (20130101); C07K 2317/55 (20130101); C07K 2319/00 (20130101); C07K 2317/76 (20130101); C07K 2317/34 (20130101)</t>
  </si>
  <si>
    <t>Provided is an anti-influenza virus antibody that exhibits neutralizing     activity beyond the barrier of the two groups of influenza viruses     categorized according to the conservativeness of hemagglutinin amino     acids, a method of producing the same, and a test method for determining     whether the subject carries the neutralizing antibody.</t>
  </si>
  <si>
    <t>US9603920</t>
  </si>
  <si>
    <t>Compositions and methods for treating influenza</t>
  </si>
  <si>
    <t>Francisco Diaz-Mitoma, Andrei Ogrel, Jose V. Torres, David E. Anderson</t>
  </si>
  <si>
    <t>A61K 39/145 (20130101); C07K 14/00 (20130101); A61K 39/39 (20130101); C07K 14/005 (20130101); C07K 7/08 (20130101); C12N 7/00 (20130101); A61K 38/162 (20130101); A61K 39/12 (20130101); C12N 2760/16122 (20130101); A61K 2039/55572 (20130101); C12N 2760/16234 (20130101); A61K 39/00 (20130101); A61K 2039/55505 (20130101); C12N 2760/16171 (20130101); A61K 2039/55561 (20130101); C12N 2760/16222 (20130101); C12N 2760/16134 (20130101); C12N 2760/16271 (20130101); A61K 2039/542 (20130101); A61K 2039/55511 (20130101); A61K 2039/6018 (20130101); A61K 2039/55555 (20130101)</t>
  </si>
  <si>
    <t>US9598488</t>
  </si>
  <si>
    <t>Blockage of interferon-gamma for prevention of polymicrobial synergy</t>
  </si>
  <si>
    <t>12/865673</t>
  </si>
  <si>
    <t>ALBANY MEDICAL COLLEGE</t>
  </si>
  <si>
    <t>Dennis W. Metzger, Keer Sun</t>
  </si>
  <si>
    <t>A61P 31/12 (20180101); C07K 16/249 (20130101); A61P 31/04 (20180101); C07K 2317/77 (20130101); C07K 2317/73 (20130101); A61K 2039/505 (20130101)</t>
  </si>
  <si>
    <t>The present invention is directed to methods for treating a viral     respiratory infection in a subject, preventing polymicrobial synergy in a     subject, or preventing a bacterial infection in a subject. These methods     include selecting a subject with a viral respiratory infection, a subject     susceptible to polymicrobial synergy, or a subject susceptible to     bacterial infection, respectively. In each case a therapeutic agent that     inhibits interferon-gamma (IFN.gamma.) is provided and administered to     the selected subject under conditions effective to treat the viral     respiratory infection, to prevent polymicrobial synergy, or to prevent a     bacterial infection, respectively.</t>
  </si>
  <si>
    <t>US9598459</t>
  </si>
  <si>
    <t>Pharmaceutical compositions and methods</t>
  </si>
  <si>
    <t>15/222062</t>
  </si>
  <si>
    <t>Randice Lisa Altschul, Neil David Theise, Andreas J. Kesel, Myron Rapkin, Rebecca O'Brien, Anthony R. Arment</t>
  </si>
  <si>
    <t>A61K 31/58 (20130101); A61K 31/7084 (20130101); C07H 19/067 (20130101); C07J 17/00 (20130101); C07J 41/00 (20130101); A61K 31/7068 (20130101); A61K 45/06 (20130101); C07H 19/06 (20130101); C07J 41/0005 (20130101)</t>
  </si>
  <si>
    <t>US9594878</t>
  </si>
  <si>
    <t>Geographic utilization of artificial intelligence in real-time for disease     identification and alert notification</t>
  </si>
  <si>
    <t>Julio Cesar Silva, Dino Peter Rumoro</t>
  </si>
  <si>
    <t>G06Q 10/101 (20130101); G06Q 30/0205 (20130101); G06Q 50/22 (20130101); G16H 50/20 (20180101); G06F 19/3493 (20130101); G16H 50/80 (20180101); G06F 19/345 (20130101)</t>
  </si>
  <si>
    <t>US9589235</t>
  </si>
  <si>
    <t>Method for measuring individual entities' infectivity and susceptibility     in contagion</t>
  </si>
  <si>
    <t>Jiali Ding</t>
  </si>
  <si>
    <t>G16H 50/80 (20180101); G06N 7/005 (20130101)</t>
  </si>
  <si>
    <t>Measurements of individual-level infectivity, susceptibility and baseline     infection risk to biological or social contagion and sensitivity to     environmental factors are made for large number of entities from their     contact relation, sequential infection occurrences and environmental     factors, using computer implemented Markov Chain Monte Carlo and     likelihood maximization for Bayesian estimations of an integrated latent     trait response model. The method is useful for precise and efficient     contagion control and prevention.</t>
  </si>
  <si>
    <t>US9589108</t>
  </si>
  <si>
    <t>Method and apparatus for tracking and disseminating health information via     mobile channels</t>
  </si>
  <si>
    <t>Jan Otto Blom, Dhaval Jitendra Joshi</t>
  </si>
  <si>
    <t>G06F 19/3493 (20130101); G08B 27/005 (20130101); G08B 27/006 (20130101); H04W 4/90 (20180201); G16H 50/80 (20180101); H04W 4/021 (20130101); H04W 4/185 (20130101); Y02A 90/24 (20180101)</t>
  </si>
  <si>
    <t>US9580711</t>
  </si>
  <si>
    <t>Lipid particles with asymmetric cationic lipids for RNA delivery</t>
  </si>
  <si>
    <t>15/146783</t>
  </si>
  <si>
    <t>Joseph E. Payne, Padmanabh Chivukula, David Webb</t>
  </si>
  <si>
    <t>C07C 271/22 (20130101); A61K 31/713 (20130101); C07C 237/12 (20130101); C07C 235/12 (20130101); A61K 9/1075 (20130101); C07C 333/04 (20130101); C12N 15/111 (20130101); C12N 15/113 (20130101); A23D 9/013 (20130101); C07J 41/0055 (20130101); C12N 2310/14 (20130101); A61K 9/1272 (20130101); C12N 2320/32 (20130101)</t>
  </si>
  <si>
    <t>What is described is a lipid particle comprising the compound of formula     I  ##STR00001##  wherein   R.sub.1 consists of alkyl, alkenyl, alkynyl,     or cholesteryl; R.sub.2 consists of alkyl or alkenyl; L.sub.1 consists of     alkyl, alkylene or alkenyl; X.sub.1 consists of --O--(CO)-- or     --(CO)--O--; X.sub.2 consists of S or O; L.sub.2 consists of a bond or     alkylene; R.sub.3 consists of alkylene; and R.sub.4 and R.sub.5 are the     same or different, each consisting of alkyl; or a pharmaceutical     preparation thereof.</t>
  </si>
  <si>
    <t>US9579655</t>
  </si>
  <si>
    <t>Analytic device</t>
  </si>
  <si>
    <t>Marc Dominic DeJohn, Jesse Wilson vanWestrienen, Maximilian Maksutovic</t>
  </si>
  <si>
    <t>B01L 7/52 (20130101); G01N 35/00871 (20130101); G01N 21/77 (20130101); C12Q 1/686 (20130101); G01N 2035/00881 (20130101); B01L 2200/147 (20130101); B01L 2300/1894 (20130101); B01L 2300/023 (20130101); G01N 2035/00445 (20130101); B01L 2300/1822 (20130101); B01L 2300/1844 (20130101); G01N 2021/7786 (20130101); B01L 2200/028 (20130101); B01L 2300/0627 (20130101); B01L 2300/1827 (20130101); B01L 2300/0654 (20130101); B01L 2300/1805 (20130101); B01L 2300/0832 (20130101); B01L 2200/025 (20130101); G01N 2035/00366 (20130101); B01L 2300/0609 (20130101)</t>
  </si>
  <si>
    <t>US9579332</t>
  </si>
  <si>
    <t>Constantine G. Boojamra, Kuei-Ying Lin, Richard L. Mackman, David Y. Markevitch, Oleg V. Petrakovsky, Adrian S. Ray, Lijun Zhang</t>
  </si>
  <si>
    <t>A61P 31/12 (20180101); A61K 31/341 (20130101); A61K 31/683 (20130101); A61K 31/675 (20130101); C07H 19/20 (20130101); A61P 43/00 (20180101); A61K 45/06 (20130101); A61P 31/00 (20180101); A61P 31/14 (20180101); C07H 19/00 (20130101); C07H 19/16 (20130101); A61K 31/513 (20130101); A61K 31/662 (20130101); A61P 31/18 (20180101); A61P 31/20 (20180101); C07F 9/65616 (20130101); A61K 31/675 (20130101); A61K 2300/00 (20130101); A61K 31/683 (20130101); A61K 2300/00 (20130101); A61K 31/513 (20130101); A61K 2300/00 (20130101); A61K 31/341 (20130101); A61K 2300/00 (20130101)</t>
  </si>
  <si>
    <t>US9562058</t>
  </si>
  <si>
    <t>A61K 45/06 (20130101); A61P 31/14 (20180101); A61P 31/12 (20180101); A61K 31/4985 (20130101); A61P 1/16 (20180101); C07D 498/16 (20130101); C07K 5/0808 (20130101)</t>
  </si>
  <si>
    <t>US9549941</t>
  </si>
  <si>
    <t>Compositions and methods for treating hepatitis C virus</t>
  </si>
  <si>
    <t>Darryl G. Cleary, Charles J. Reynolds, Miriam Michelle Berrey, Robert G. Hindes, William T. Symonds, Adrian S. Ray, Hongmei Mo, Christy M. Hebner, Reza Oliyai, Vahid Zia, Dimitrios Stefanidis, Rowchanak Pakdaman, Melissa Jean Casteel</t>
  </si>
  <si>
    <t>A61K 9/2009 (20130101); A61K 9/2013 (20130101); A61K 31/7072 (20130101); A61K 31/7068 (20130101); A61K 31/7056 (20130101); A61K 31/685 (20130101); A61K 31/675 (20130101); A61K 31/664 (20130101); A61K 31/513 (20130101); A61K 9/2054 (20130101); A61K 31/4196 (20130101); A61K 31/7056 (20130101); A61K 31/7068 (20130101); A61K 31/685 (20130101); A61K 31/664 (20130101); A61K 31/4196 (20130101); A61K 2300/00 (20130101); A61K 2300/00 (20130101); A61K 2300/00 (20130101); A61K 2300/00 (20130101); A61K 2300/00 (20130101)</t>
  </si>
  <si>
    <t>US9546213</t>
  </si>
  <si>
    <t>Antagonists of IL-6 to prevent or treat cachexia, weakness, fatigue,     and/or fever</t>
  </si>
  <si>
    <t>Jeffrey T. L. Smith, Randall C. Schatzman, Mark J. Litton, John Latham</t>
  </si>
  <si>
    <t>C07K 16/248 (20130101); A61P 37/06 (20180101); A61P 21/00 (20180101); A61P 3/00 (20180101); C07K 2317/34 (20130101); C07K 2317/52 (20130101); A61K 2039/505 (20130101); C07K 2317/76 (20130101); C07K 2317/94 (20130101); C07K 2317/565 (20130101); C07K 2317/24 (20130101); C07K 2317/41 (20130101); C07K 2317/56 (20130101); C07K 2317/92 (20130101)</t>
  </si>
  <si>
    <t>US9542597</t>
  </si>
  <si>
    <t>Event registration and management system and method for a mass gathering event</t>
  </si>
  <si>
    <t>Kevin Kwong-Tai Chung, Albert Han-Ping Chung</t>
  </si>
  <si>
    <t>G06K 9/00362 (20130101); G06Q 10/10 (20130101); G16H 50/80 (20180101); G06K 9/00 (20130101); G06Q 50/26 (20130101)</t>
  </si>
  <si>
    <t>A system and method employing geo-tagging and/or biometric identification is employed for registration and management of a mass gathering event. Electronic devices are configured for capturing data and geo-tagging the captured data using the geographic position of the electronic device. Data relating thereto and related data concerning persons and/or locations and/or other things are associated with a unique identifier and are stored in a relational database from when they may be retrieved and processed for generating a response or other follow up which can be communicated to an electronic device. Responses are communicated to the electronic device that captured the data relating to the particular group of registrants or to an electronic device using its geographic location.</t>
  </si>
  <si>
    <t>US9540343</t>
  </si>
  <si>
    <t>Steven S. Bondy, Carina E. Cannizzaro, Chien-hung Chou, Randall L. Halcomb, Yunfeng Eric Hu, John O. Link, Qi Liu, Scott D. Schroeder, Winston C. Tse, Jennifer R. Zhang</t>
  </si>
  <si>
    <t>C07D 401/12 (20130101); A61P 31/18 (20180101); A61K 31/506 (20130101); C07D 495/04 (20130101); A61K 31/4709 (20130101); C07D 471/06 (20130101); C07D 403/14 (20130101); A61K 31/4985 (20130101); A61K 31/50 (20130101); A61K 31/5377 (20130101); A61P 43/00 (20180101); C07D 491/052 (20130101); C07D 213/40 (20130101); A61P 31/14 (20180101); C07D 401/14 (20130101); C07D 403/12 (20130101); C07D 413/14 (20130101); C07D 487/04 (20130101); C07D 491/04 (20130101); A61K 31/444 (20130101); A61K 31/4439 (20130101); A61K 31/4545 (20130101); A61K 45/06 (20130101); C07D 405/12 (20130101); C07D 471/04 (20130101); C07D 409/14 (20130101)</t>
  </si>
  <si>
    <t>US9529974</t>
  </si>
  <si>
    <t>System and method for detecting, collecting, analyzing, and communicating     event-related information</t>
  </si>
  <si>
    <t>Peter C. Li, Jeffrey R. Collmann, Jane W. Blake, Mark G. Polyak, James M. Wilson, Jae I. Yoon, Manabu Torii, Carla S. Thomas</t>
  </si>
  <si>
    <t>H04L 29/08072 (20130101); G06F 17/30616 (20130101); G06F 19/3493 (20130101); G06Q 10/04 (20130101); G06Q 50/26 (20130101); G16H 50/80 (20180101); G06Q 50/22 (20130101); Y02A 90/24 (20180101); Y02A 90/22 (20180101)</t>
  </si>
  <si>
    <t>US9522171</t>
  </si>
  <si>
    <t>EV576 for use in the treatment of viral infections of the respiratory     tract</t>
  </si>
  <si>
    <t>Wynne Weston-Davies</t>
  </si>
  <si>
    <t>A61K 38/16 (20130101); A61K 38/1767 (20130101)</t>
  </si>
  <si>
    <t>US9517205</t>
  </si>
  <si>
    <t>A61M 37/0015 (20130101); G01N 33/68 (20130101); A61K 39/145 (20130101); A61B 17/205 (20130101); A61K 39/12 (20130101); A61K 9/146 (20130101); A61M 2037/0046 (20130101); A61K 2039/5252 (20130101); A61B 2017/00004 (20130101); C12N 2760/16234 (20130101); G01N 2333/11 (20130101); A61M 2202/30 (20130101); A61K 2039/54 (20130101); C12N 2760/16134 (20130101); C12N 2760/16211 (20130101); A61M 2037/0023 (20130101); A61K 2039/70 (20130101); C12N 2760/16111 (20130101)</t>
  </si>
  <si>
    <t>US9512175</t>
  </si>
  <si>
    <t>Caroline Aciro, Jean Yves Chiva, David Kenneth Dean, Neil Andrew Dunbar, Adrian John Highton, Petr Jansa, Kapil Kumar Karki, Andrew John Keats, Linos Lazarides, Richard Mackman, Simon Neil Pettit, Karine G. Poullennec, Adam James Schrier, Dustin Scott Siegel, Victoria Alexandra Steadman</t>
  </si>
  <si>
    <t>A61P 29/00 (20180101); A61P 43/00 (20180101); A61K 38/12 (20130101); C07K 5/06086 (20130101); A61P 1/16 (20180101); A61P 31/00 (20180101); A61P 35/00 (20180101); A61P 31/18 (20180101); C07D 498/18 (20130101); C07K 5/06139 (20130101); A61P 11/00 (20180101); C07D 487/18 (20130101); C07K 5/06191 (20130101); A61P 31/14 (20180101); C07K 5/06052 (20130101); A61K 45/06 (20130101); A61P 31/12 (20180101); A61P 3/04 (20180101); A61P 37/02 (20180101); Y02A 50/391 (20180101); Y02A 50/389 (20180101); A61K 38/21 (20130101); Y02A 50/395 (20180101); Y02A 50/385 (20180101); Y02A 50/387 (20180101)</t>
  </si>
  <si>
    <t>Provided are compounds of Formula:  ##STR00001##    and pharmaceutically     acceptable salts and esters thereof. The compounds, compositions, and     methods provided are useful for the treatment of virus infections,     particularly hepatitis C infections.</t>
  </si>
  <si>
    <t>US9511056</t>
  </si>
  <si>
    <t>C07D 409/14 (20130101); C07D 471/08 (20130101); A61K 31/4439 (20130101); C07D 471/04 (20130101); A61K 31/454 (20130101); C07D 207/16 (20130101); C07D 403/04 (20130101); C07D 401/14 (20130101); C07D 487/04 (20130101); A61K 31/496 (20130101); C07D 471/10 (20130101); C07F 5/025 (20130101); A61K 31/5415 (20130101); A61K 45/06 (20130101); A61K 31/4184 (20130101); A61K 31/55 (20130101); A61P 31/12 (20180101); C07D 403/14 (20130101); A61K 31/519 (20130101); A61K 31/4178 (20130101); A61K 31/435 (20130101); A61K 31/4025 (20130101); C07D 491/113 (20130101); A61K 31/427 (20130101); C07D 405/14 (20130101); C07D 413/14 (20130101); C07D 417/14 (20130101); C07D 495/04 (20130101); A61K 31/437 (20130101); A61K 31/5377 (20130101)</t>
  </si>
  <si>
    <t>US9504689</t>
  </si>
  <si>
    <t>Compounds and methods for antiviral treatment</t>
  </si>
  <si>
    <t>Dustin Siegel, David Sperandio, Hai Yang, Michael Sangi, Jay P. Parrish, Hon Chung Hui</t>
  </si>
  <si>
    <t>A61K 31/5025 (20130101); C07D 487/04 (20130101); C07D 471/04 (20130101); A61P 31/12 (20180101); A61P 31/14 (20180101); A61K 45/06 (20130101); C07D 519/00 (20130101); A61P 43/00 (20180101); A61K 31/519 (20130101); A61P 11/00 (20180101); A61K 31/53 (20130101); A61K 31/4545 (20130101); A61K 31/5377 (20130101); A61P 31/00 (20180101)</t>
  </si>
  <si>
    <t>US9504387</t>
  </si>
  <si>
    <t>Device and method for the early detection of cattle physiological     variables and location in a remote and autonomous way</t>
  </si>
  <si>
    <t>Maria Victoria Alonsoperez Lanza</t>
  </si>
  <si>
    <t>A61B 5/1112 (20130101); G16H 40/67 (20180101); A61B 5/0022 (20130101); G06F 19/00 (20130101); A61B 5/0008 (20130101); A61B 2503/40 (20130101)</t>
  </si>
  <si>
    <t>US9492413</t>
  </si>
  <si>
    <t>Use of salt of an acetylsalicylic acid for the treatment of viral     infections</t>
  </si>
  <si>
    <t>12/679251</t>
  </si>
  <si>
    <t>ASPIAIR GMBH</t>
  </si>
  <si>
    <t>ASPIAIR</t>
  </si>
  <si>
    <t>Stephan Ludwig</t>
  </si>
  <si>
    <t>A61K 31/197 (20130101); A61K 31/19 (20130101); A61K 9/008 (20130101); A61K 51/088 (20130101); A61P 31/00 (20180101); A61K 49/0004 (20130101); A61K 38/00 (20130101); A61K 39/145 (20130101); A61P 31/14 (20180101); A61P 31/16 (20180101); A61P 43/00 (20180101); A61K 31/616 (20130101); A61P 31/12 (20180101); A61K 31/19 (20130101); A61K 2300/00 (20130101)</t>
  </si>
  <si>
    <t>The invention relates to a method of use of a composition comprising a     salt of the o-acetylsalicylic acid with a basic amino acid for producing     a pharmaceutical composition for the prophylaxis or treatment of viral     infections of humans or of animals, in particular mammals and birds.</t>
  </si>
  <si>
    <t>US9487749</t>
  </si>
  <si>
    <t>Use of methylsulfonylmethane (MSM) to modulate microbial activity</t>
  </si>
  <si>
    <t>14/458148</t>
  </si>
  <si>
    <t>Rodney L. Benjamin, Jeffrey Varelman, Anthony L. Keller</t>
  </si>
  <si>
    <t>A61K 31/431 (20130101); C12P 7/56 (20130101); C12P 7/06 (20130101); C12N 1/38 (20130101); C12N 1/18 (20130101); C12N 1/20 (20130101); A61P 31/04 (20180101); A61P 43/00 (20180101); A61K 31/437 (20130101); A01N 41/10 (20130101); A61K 45/06 (20130101); A61K 31/10 (20130101); A61K 9/0014 (20130101); A61K 31/43 (20130101); A61P 31/16 (20180101); A61P 31/00 (20180101); A61P 31/10 (20180101); A61K 31/43 (20130101); A61K 2300/00 (20130101); A61K 31/431 (20130101); A61K 2300/00 (20130101); Y02A 50/406 (20180101); Y02E 50/343 (20130101); Y02A 50/409 (20180101); Y02E 50/17 (20130101); Y02A 50/473 (20180101); Y02A 50/411 (20180101)</t>
  </si>
  <si>
    <t>US9481704</t>
  </si>
  <si>
    <t>2'-substituted carba-nucleoside analogs for antiviral treatment</t>
  </si>
  <si>
    <t>Michael O'Neil Hanrahan Clarke</t>
  </si>
  <si>
    <t>C07H 19/12 (20130101); A61P 31/16 (20180101); A61K 45/06 (20130101); A61P 31/14 (20180101); A61P 43/00 (20180101); A61P 31/00 (20180101); A61K 31/706 (20130101); C07H 19/23 (20130101)</t>
  </si>
  <si>
    <t>Provided are compounds of Formula I,  ##STR00001##  as well as     pharmaceutical compositions containing compounds of Formula I and methods     for treating Orthomyxoviridae virus infections by administering these     compounds. The compounds, compositions, and methods provided are     particularly useful for the treatment of Human Influenza virus     infections.</t>
  </si>
  <si>
    <t>US9476032</t>
  </si>
  <si>
    <t>Attenuated viruses useful for vaccines</t>
  </si>
  <si>
    <t>12/594173</t>
  </si>
  <si>
    <t>Eckard Wimmer, Steve Skiena, Steffen Mueller, Bruce Futcher, Dimitris Papamichail, John Robert Coleman, Jeronimo Cello</t>
  </si>
  <si>
    <t>C12N 7/00 (20130101); A61K 39/145 (20130101); A61P 31/16 (20180101); A61P 31/12 (20180101); A61K 39/12 (20130101); A61P 31/14 (20180101); A61P 31/20 (20180101); A61P 31/22 (20180101); C07K 14/005 (20130101); A61K 39/13 (20130101); A61P 37/04 (20180101); A61P 31/18 (20180101); C12N 2770/32634 (20130101); C12N 2770/32671 (20130101); C12N 2760/16121 (20130101); Y02A 50/386 (20180101); C12N 2760/16162 (20130101); C12N 2770/20061 (20130101); C12N 2770/32061 (20130101); C12N 2770/32721 (20130101); C12N 2740/15061 (20130101); C12N 2770/32662 (20130101); C12N 2770/32761 (20130101); C12N 2760/16061 (20130101); C12N 2770/32762 (20130101); Y02A 50/388 (20180101); C12N 2770/32621 (20130101); C12N 2760/16134 (20130101); C12N 2720/12361 (20130101); Y02A 50/466 (20180101); C12N 2770/32661 (20130101); C12N 2770/24161 (20130101); A61K 2039/5254 (20130101)</t>
  </si>
  <si>
    <t>This invention provides an attenuated virus which comprises a modified     viral genome containing nucleotide substitutions engineered in multiple     locations in the genome, wherein the substitutions introduce synonymous     deoptimized codons into the genome. The instant attenuated virus may be     used in a vaccine composition for inducing a protective immune response     in a subject. The invention also provides a method of synthesizing the     instant attenuated virus. Further, this invention further provides a     method for preventing a subject from becoming afflicted with a     virus-associated disease comprising administering to the subject a     prophylactically effective dose of a vaccine composition comprising the     instant attenuated virus.</t>
  </si>
  <si>
    <t>US9474799</t>
  </si>
  <si>
    <t>C12N 7/00 (20130101); C07K 14/005 (20130101); A61P 37/04 (20180101); C07H 21/04 (20130101); A61K 39/145 (20130101); A61P 31/16 (20180101); A61K 39/12 (20130101); C12N 2760/16023 (20130101); C12N 2760/16122 (20130101); C12N 2760/16134 (20130101); C12N 2760/16123 (20130101); C12N 2760/16034 (20130101); A61K 2039/70 (20130101); A61K 2039/5258 (20130101); A61K 2039/575 (20130101)</t>
  </si>
  <si>
    <t>US9474798</t>
  </si>
  <si>
    <t>Influenza M2 protein mutant viruses as live influenza attenuated vaccines</t>
  </si>
  <si>
    <t>12/214414</t>
  </si>
  <si>
    <t>Tokiko Watanabe, Yoshihiro Kawaoka</t>
  </si>
  <si>
    <t>A61K 39/145 (20130101); C07K 14/005 (20130101); C12N 7/00 (20130101); A61K 39/12 (20130101); A61K 2039/5254 (20130101); C12N 2760/16122 (20130101); C12N 2760/16134 (20130101); A61K 2039/543 (20130101); C12N 2760/16121 (20130101); C12N 2760/16011 (20130101); C12N 2760/16021 (20130101); C12N 2760/00 (20130101); C07K 16/1018 (20130101); C12N 2760/16022 (20130101)</t>
  </si>
  <si>
    <t>A method to prepare recombinant influenza viruses comprising a mutant M2     protein which has a deletion of two or more residues in the cytoplasmic     tail and is attenuated in vivo, is provided, as well the resulting virus     and vaccines with the virus.</t>
  </si>
  <si>
    <t>US9464276</t>
  </si>
  <si>
    <t>Highly efficient influenza matrix (M1) proteins</t>
  </si>
  <si>
    <t>14/628513</t>
  </si>
  <si>
    <t>Gale Smith, Yingyun Wu, Michael Massare, Peter Pushko, Margaret Nathan, Thomas Kort, Robin Robinson</t>
  </si>
  <si>
    <t>A61K 39/12 (20130101); C12N 9/2402 (20130101); C07K 14/005 (20130101); A61P 37/04 (20180101); C12N 7/00 (20130101); C12Y 302/01018 (20130101); C12N 2760/16151 (20130101); A61K 2039/5258 (20130101); A61K 2039/55505 (20130101); A61K 2039/55555 (20130101); C12N 2760/16223 (20130101); C12N 2710/14143 (20130101); C07K 2319/03 (20130101); C12N 2760/16171 (20130101); C12N 2770/20023 (20130101); C12N 2770/20051 (20130101); C12N 2800/22 (20130101); C12N 2760/16134 (20130101); C12N 2760/16123 (20130101); C12N 2760/16251 (20130101); C12N 2770/20022 (20130101); C12N 2760/16222 (20130101); C07K 2319/01 (20130101); C12N 2760/16122 (20130101)</t>
  </si>
  <si>
    <t>This invention discloses a method of increasing production of virus-like     particles comprising expressing an avian influenza matrix protein. The     invention also comprises methods of making and using said VLPs.</t>
  </si>
  <si>
    <t>US9464124</t>
  </si>
  <si>
    <t>Engineered nucleic acids and methods of use thereof</t>
  </si>
  <si>
    <t>Stephane Bancel, Jason P. Schrum, Alexander Aristarkhov</t>
  </si>
  <si>
    <t>A61K 38/465 (20130101); C12Y 301/27 (20130101); A61K 48/0075 (20130101); A61K 45/06 (20130101); A61K 38/1729 (20130101); C07K 14/4723 (20130101)</t>
  </si>
  <si>
    <t>US9464067</t>
  </si>
  <si>
    <t>C07C 233/32 (20130101); C07D 471/04 (20130101); C07D 417/12 (20130101); C07D 405/12 (20130101); C07D 407/12 (20130101); C07D 487/04 (20130101); C07D 405/04 (20130101); C07D 307/93 (20130101); C07D 491/048 (20130101); C07F 9/65517 (20130101); C07D 209/94 (20130101); C07D 413/12 (20130101); C07D 409/12 (20130101)</t>
  </si>
  <si>
    <t>Disclosed are indanone derivatives, pharmaceutically acceptable salts     thereof or enantiomers, a preparation method thereof, and a     pharmaceutical composition for the prevention or treatment of viral     diseases, comprising the same as an active ingredient. The indanone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hepatitis A, myositis, myocarditis,     pancreatitis, diabetes, epidemic myalgia, encephalitis, cold, herpangina,     foot-and-mouth disease, asthma, chronic obstructive pulmonary disease,     pneumonia, sinusitis or otitis media.</t>
  </si>
  <si>
    <t>US9463194</t>
  </si>
  <si>
    <t>Methods of treating patients co-infected with HIV and tuberculosis</t>
  </si>
  <si>
    <t>Rebecca Restituto Begley, Joseph Marcello Custodio, Brian P. Kearney</t>
  </si>
  <si>
    <t>A61K 31/435 (20130101); A61K 31/426 (20130101); A61K 31/473 (20130101); A61K 31/454 (20130101); A61K 31/47 (20130101); A61K 31/438 (20130101); A61K 31/683 (20130101); A61K 31/675 (20130101); A61K 31/52 (20130101); A61P 31/06 (20180101); A61K 31/427 (20130101); A61K 45/06 (20130101); A61P 31/18 (20180101); A61K 31/506 (20130101); A61K 31/5377 (20130101); A61K 31/473 (20130101); A61K 2300/00 (20130101); A61K 31/454 (20130101); A61K 2300/00 (20130101); A61K 31/426 (20130101); A61K 2300/00 (20130101); A61K 31/425 (20130101); A61K 2300/00 (20130101); A61K 31/5377 (20130101); A61K 2300/00 (20130101); A61K 31/52 (20130101); A61K 2300/00 (20130101); A61K 31/675 (20130101); A61K 2300/00 (20130101); A61K 31/435 (20130101); A61K 2300/00 (20130101)</t>
  </si>
  <si>
    <t>US9460268</t>
  </si>
  <si>
    <t>Elizabeth A. Holmes, Kamila Belhocine, Josephine Lee, Pranav Patel, Aaron Richardson, Scott Tabakman</t>
  </si>
  <si>
    <t>G01N 33/56983 (20130101); C12Q 1/689 (20130101); C12Q 1/703 (20130101); G01N 33/56994 (20130101); C12Q 1/706 (20130101); C12Q 1/6895 (20130101); G01N 33/56944 (20130101); C12Q 1/701 (20130101); G01N 33/56988 (20130101); G16H 10/40 (20180101); C12Q 1/705 (20130101); G01N 33/56911 (20130101); G01N 35/10 (20130101); G01N 33/56916 (20130101); C12Q 1/6893 (20130101); G01N 33/56938 (20130101); C12Q 1/707 (20130101); C12Q 1/70 (20130101); C12Q 2600/16 (20130101); G01N 2333/11 (20130101); C12Q 1/6844 (20130101); G01N 2035/00237 (20130101); C12Q 1/6806 (20130101); C12Q 2600/158 (20130101); Y02A 90/24 (20180101); G16H 20/10 (20180101); Y10T 436/11 (20150115); G01N 2469/10 (20130101); G01N 2469/20 (20130101); C12Q 1/68 (20130101); C12Q 2521/501 (20130101); Y02A 50/58 (20180101); Y02A 90/26 (20180101); G16H 50/20 (20180101)</t>
  </si>
  <si>
    <t>US9460263</t>
  </si>
  <si>
    <t>Integrated health data capture and analysis system</t>
  </si>
  <si>
    <t>Elizabeth A. Holmes, Ian Gibbons, Daniel L. Young, Seth G. Michelson</t>
  </si>
  <si>
    <t>G06F 19/3437 (20130101); G16H 50/50 (20180101); G16H 50/70 (20180101); G16H 50/80 (20180101); G16H 50/20 (20180101); Y02A 90/24 (20180101); Y02A 90/26 (20180101); Y02A 90/22 (20180101)</t>
  </si>
  <si>
    <t>US9459253</t>
  </si>
  <si>
    <t>Assay for measuring cell-mediated immunoresponsiveness</t>
  </si>
  <si>
    <t>Jeff Boyle, Rachel De Las Heras</t>
  </si>
  <si>
    <t>G01N 33/56972 (20130101); G01N 33/5047 (20130101); Y02A 90/26 (20180101); Y02A 90/24 (20180101); Y02A 90/22 (20180101)</t>
  </si>
  <si>
    <t>US9458159</t>
  </si>
  <si>
    <t>Substituted pyrido[1',2':4,5]pyrazino[1,2-a]azepines for treating viral     infections</t>
  </si>
  <si>
    <t>14/329697</t>
  </si>
  <si>
    <t>Manoj C. Desai, Mingzhe Ji, Haolun Jin, Teresa Alejandra Trejo Martin, Hyung-Jung Pyun</t>
  </si>
  <si>
    <t>A61P 31/18 (20180101); C07D 471/14 (20130101); A61P 31/00 (20180101); A61K 31/4985 (20130101); C07D 471/18 (20130101)</t>
  </si>
  <si>
    <t>Compounds for use in the treatment of human immunodeficiency virus (HIV)     infection are disclosed. The compounds have the following Formula (I):     ##STR00001##  including stereoisomers and pharmaceutically acceptable     salts thereof, wherein L, R.sup.1, R.sup.5, W, X, Y.sup.1, Y.sup.2, and Z     are as defined herein. Methods associated with preparation and use of     such compounds, as well as pharmaceutical compositions comprising such     compounds, are also disclosed.</t>
  </si>
  <si>
    <t>US9457036</t>
  </si>
  <si>
    <t>A61K 31/513 (20130101); A61K 45/06 (20130101); A61K 9/2059 (20130101); A61P 31/18 (20180101); A61P 43/00 (20180101); A61P 31/12 (20180101); A61K 9/2013 (20130101); A61K 9/2009 (20130101); A61K 9/2054 (20130101); A61K 31/7076 (20130101); A61K 31/683 (20130101); A61K 9/2018 (20130101); A61K 31/675 (20130101); A61P 31/00 (20180101); A61K 31/675 (20130101); A61K 2300/00 (20130101); A61K 31/7076 (20130101); A61K 2300/00 (20130101); A61K 31/513 (20130101); A61K 2300/00 (20130101)</t>
  </si>
  <si>
    <t>US9457035</t>
  </si>
  <si>
    <t>A61K 31/513 (20130101); A61P 31/14 (20180101); A61P 31/18 (20180101); A61P 43/00 (20180101); A61K 45/06 (20130101); A61P 31/20 (20180101); C07H 19/16 (20130101); C07F 9/65616 (20130101); C07H 19/20 (20130101); A61K 31/683 (20130101); A61P 31/00 (20180101); A61K 31/341 (20130101); A61P 31/12 (20180101); C07H 19/00 (20130101); A61K 31/675 (20130101); A61K 31/662 (20130101); A61K 31/675 (20130101); A61K 2300/00 (20130101); A61K 31/683 (20130101); A61K 2300/00 (20130101); A61K 31/513 (20130101); A61K 2300/00 (20130101); A61K 31/341 (20130101); A61K 2300/00 (20130101)</t>
  </si>
  <si>
    <t>US9452210</t>
  </si>
  <si>
    <t>Influenza virus-like particles (VLPS) comprising hemagglutinin produced     within a plant</t>
  </si>
  <si>
    <t>13/734886</t>
  </si>
  <si>
    <t>Medicago Inc</t>
  </si>
  <si>
    <t>MEDICAGO</t>
  </si>
  <si>
    <t>Marc-Andre D'Aoust, Manon Couture, Frederic Ors, Sonia Trepanier, Pierre-Olivier Lavoie, Michele Dargis, Louis-Philippe Vezina, Nathalie Landry</t>
  </si>
  <si>
    <t>C12N 15/8257 (20130101); A61K 39/12 (20130101); C12N 15/8258 (20130101); A61P 31/00 (20180101); A61P 37/04 (20180101); C12N 7/00 (20130101); A61P 31/16 (20180101); A61P 37/00 (20180101); C07K 14/005 (20130101); A61K 39/145 (20130101); C12N 2760/16134 (20130101); A61K 2039/55505 (20130101); A61K 2039/55583 (20130101); C12N 2760/16123 (20130101); A61K 2039/517 (20130101); A61K 2039/543 (20130101); A61K 2039/5258 (20130101); A61K 2039/58 (20130101); C12N 2760/16122 (20130101)</t>
  </si>
  <si>
    <t>A method for synthesizing influenza virus-like particles (VLPs) within a     plant or a portion of a plant is provided. The method involves expression     of influenza HA in plants and the purification by size exclusion     chromatography. The invention is also directed towards a VLP comprising     influenza HA protein and plant lipids. The invention is also directed to     a nucleic acid encoding influenza HA as well as vectors. The VLPs may be     used to formulate influenza vaccines, or may be used to enrich existing     vaccines.</t>
  </si>
  <si>
    <t>US9446143</t>
  </si>
  <si>
    <t>Influenza antigen delivery vectors and constructs</t>
  </si>
  <si>
    <t>14/139293</t>
  </si>
  <si>
    <t>Dominique Bonnet, Carlton B. Brown, Bertrand Victor Gilbert Georges, Philip J. Sizer</t>
  </si>
  <si>
    <t>A61K 39/145 (20130101); A61K 39/12 (20130101); A61K 39/385 (20130101); C07K 14/005 (20130101); A61P 43/00 (20180101); A61K 47/58 (20170801); A61K 47/646 (20170801); A61K 47/54 (20170801); A61P 31/16 (20180101); A61K 39/21 (20130101); A61K 2039/55511 (20130101); C12N 2760/16222 (20130101); C12N 2740/16134 (20130101); A61K 2039/6018 (20130101); A61K 2039/54 (20130101); C12N 2740/16122 (20130101); A61K 2039/60 (20130101); A61K 2039/6031 (20130101); C12N 2760/16322 (20130101); C12N 2760/16122 (20130101); C12N 2760/16034 (20130101)</t>
  </si>
  <si>
    <t>The present invention relates to fluorocarbon vectors for the delivery of     influenza antigens to immunoresponsive target cells. It further relates     to fluorocarbon vector-influenza antigen constructs and the use of such     vectors associated with antigens as vaccines and immunotherapeutics in     animals, including humans.</t>
  </si>
  <si>
    <t>US9446116</t>
  </si>
  <si>
    <t>Peptide sequences and compositions</t>
  </si>
  <si>
    <t>13/906232</t>
  </si>
  <si>
    <t>PEPTCELL LIMITED</t>
  </si>
  <si>
    <t>PEPTCELL</t>
  </si>
  <si>
    <t>Gregory Alan Stoloff, Wilson Romero Caparros-Wanderley</t>
  </si>
  <si>
    <t>C07K 14/11 (20130101); A61P 37/02 (20180101); A61K 39/145 (20130101); C07K 14/005 (20130101); A61P 37/06 (20180101); C07K 7/08 (20130101); A61K 39/12 (20130101); A61P 31/16 (20180101); A61K 2039/57 (20130101); C12N 2760/16171 (20130101); C12N 2760/16122 (20130101); C12N 2760/16222 (20130101); C12N 2760/16234 (20130101); A61K 2039/572 (20130101); A61K 2039/55566 (20130101); A61K 2039/70 (20130101); C12N 2760/16134 (20130101); C12N 2760/16271 (20130101)</t>
  </si>
  <si>
    <t>Provided is a polypeptide having no more than 100 amino acids, which     polypeptide comprises one or more sequences having at least 60% homology     with any of SEQ ID 1-6, or comprises two or more epitopes having 7 amino     acids or more, each epitope having at least 60% homology with a     sub-sequence of any of SEQ ID 1-6 that has the same length as the     epitope:    TABLE-US-00001       SEQ ID 1       DLEALMEWLKTRPILSPLTKGILGFVFTLTVP       SEQ ID 2       LLYCLMVMYLNPGNYSMQVKLGTLCALCEKQASHS       SEQ ID 3       DLIFLARSALILRGSVAHKSC       SEQ ID 4       PGIADIEDLTLLARSMVVVRP       SEQ ID 5       LLIDGTASLSPGMMMGMFNMLSTVLGVSILNLGQ       SEQ ID 6       IIGILHLILWILDRLFFKCIYRLF wherein, the polypeptide is immunogenic in a vertebrate expressing a     major histocompatibility complex (MHC) allele, and wherein the     polypeptide is not a complete influenza virus protein.</t>
  </si>
  <si>
    <t>US9446114</t>
  </si>
  <si>
    <t>Cross-protective arenavirus vaccines and their method of use</t>
  </si>
  <si>
    <t>14/232110</t>
  </si>
  <si>
    <t>Kate Broderick, Niranjan Sardesai, Kathleen Cashman, Connie Schmaljohn</t>
  </si>
  <si>
    <t>A61K 39/12 (20130101); A61N 1/327 (20130101); A61P 31/14 (20180101); A61K 2039/53 (20130101); C12N 2760/10034 (20130101); A61K 2039/54 (20130101); C12N 2760/10022 (20130101)</t>
  </si>
  <si>
    <t>The invention relates to DNA vaccines that target multiple arenavirus     agents singly or simultaneously.</t>
  </si>
  <si>
    <t>US9446112</t>
  </si>
  <si>
    <t>Clostridium difficile DNA vaccine</t>
  </si>
  <si>
    <t>Michele Kutzler, Scott Baliban, David B. Weiner, Niranjan Y. Sardesai, J. Joseph Kim</t>
  </si>
  <si>
    <t>A61K 39/08 (20130101); A61P 1/00 (20180101); A61P 31/04 (20180101); A61P 1/12 (20180101); A61N 1/327 (20130101); A61P 37/04 (20180101); C07K 14/33 (20130101); A61K 2039/53 (20130101)</t>
  </si>
  <si>
    <t>US9441019</t>
  </si>
  <si>
    <t>Influenza hemagglutinin protein-based vaccines</t>
  </si>
  <si>
    <t>14/346849</t>
  </si>
  <si>
    <t>Gary J. Nabel, Masaro Kanekiyo, Chih-Jen Wei, Patrick M. McTamney, Hadi M. Yassine, Jeffrey C. Boyington</t>
  </si>
  <si>
    <t>G01N 33/56983 (20130101); A61P 37/04 (20180101); A61P 31/16 (20180101); A61K 39/145 (20130101); C07K 14/005 (20130101); A61K 39/12 (20130101); C12N 7/00 (20130101); C07K 14/205 (20130101); A61K 2039/55555 (20130101); C07K 2319/735 (20130101); C07K 2319/35 (20130101); C12N 2760/16071 (20130101); A61K 2039/70 (20130101); C07K 2319/00 (20130101); C07K 2319/21 (20130101); C12N 2760/16022 (20130101); C12N 2760/16134 (20130101); C12N 2760/16234 (20130101); A61K 2039/6031 (20130101); A61K 2039/55566 (20130101); A61K 2039/575 (20130101); C07K 2319/40 (20130101); C12N 2760/16034 (20130101); A61K 39/105 (20130101)</t>
  </si>
  <si>
    <t>Novel vaccines are provided that elicit broadly neutralizing     anti-influenza antibodies. Some vaccines comprise nanoparticles that     display hemagglutinin trimers from influenza virus on their surface. The     nanoparticles comprise fusion proteins comprising a monomeric subunit of     ferritin joined to at least a portion of an influenza hemagglutinin     protein. Some portions comprise the ectodomain while some portions are     limited to the stem region. The fusion proteins self-assemble to form the     hemagglutinin-displaying nanoparticles. Some vaccines comprise only the     stem region of an influenza hemagglutinin protein joined to a     trimerization domain. Such vaccines can be used to vaccinate an     individual against infection by heterologous influenza viruses and     influenza virus that are antigenically divergent from the virus from     which the nanoparticle hemagglutinin protein was obtained. Also provided     are fusion proteins and nucleic acid molecules encoding such proteins.</t>
  </si>
  <si>
    <t>US9440991</t>
  </si>
  <si>
    <t>Synthesis of an antiviral compound</t>
  </si>
  <si>
    <t>Amy Cagulada, Johann Chan, Lina Chan, Denise A. Colby, Kapil Kumar Karki, Darryl Kato, Katie Ann Keaton, Sudha Kondapally, Chris Levins, Adam Littke, Ruben Martinez, Dominika Pcion, Troy Reynolds, Bruce Ross, Michael Sangi, Adam J. Schrier, Pamela Seng, Dustin Siegel, Nathan Shapiro, Donald Tang, James G. Taylor, Jonathan Tripp, Andrew W. Waltman, Lawrence Yu</t>
  </si>
  <si>
    <t>C07C 227/02 (20130101); A61P 1/16 (20180101); C07C 271/34 (20130101); C07C 251/12 (20130101); C07C 233/09 (20130101); C07D 241/44 (20130101); C07D 403/12 (20130101); C07D 498/18 (20130101); A61P 31/14 (20180101); C07K 5/0808 (20130101); C07C 205/57 (20130101); C07D 498/16 (20130101); C07C 209/00 (20130101); C07D 453/02 (20130101); C07C 51/09 (20130101); C07C 255/61 (20130101); C07C 2601/02 (20170501)</t>
  </si>
  <si>
    <t>The present disclosure provides processes for the preparation of a     compound of formula I:  ##STR00001##  which is useful as an antiviral     agent. The disclosure also provides compounds and processes for the     preparation of the compounds that are synthetic intermediates to the     compound of formula I.</t>
  </si>
  <si>
    <t>US9433592</t>
  </si>
  <si>
    <t>Pharmaceutical or veterinary antiviral compositions</t>
  </si>
  <si>
    <t>13/513877</t>
  </si>
  <si>
    <t>UNIVERSITE CLAUDE BERNARD LYON 1</t>
  </si>
  <si>
    <t>UNIVERSITE CLAUDE BERNARD LYON</t>
  </si>
  <si>
    <t>Manuel Rosa-Calatrava, Jean-Jacques Diaz, Julien Textoris, Laurence Josset</t>
  </si>
  <si>
    <t>A61K 31/221 (20130101); A61K 31/542 (20130101); A61P 31/12 (20180101); A61K 31/135 (20130101); A61K 31/351 (20130101); A61K 31/195 (20130101); A61K 31/437 (20130101); A61K 31/421 (20130101); A61K 31/165 (20130101); A61K 31/13 (20130101); A61K 31/137 (20130101); A61P 31/16 (20180101); A61K 31/215 (20130101); A61K 31/404 (20130101); A61K 45/06 (20130101); A61K 31/137 (20130101); A61K 2300/00 (20130101); A61K 31/165 (20130101); A61K 2300/00 (20130101); A61K 31/421 (20130101); A61K 2300/00 (20130101); A61K 31/437 (20130101); A61K 2300/00 (20130101); A61K 31/542 (20130101); A61K 2300/00 (20130101)</t>
  </si>
  <si>
    <t>Pharmaceutical or veterinary compositions to prevent or treat viral     infections, in particular to prevent or treat influenza A, B and C virus     infections.</t>
  </si>
  <si>
    <t>US9421252</t>
  </si>
  <si>
    <t>Live bacterial vaccines resistant to carbon dioxide (CO.sub.2), acidic pH     and/or osmolarity for viral infection prophylaxis or treatment</t>
  </si>
  <si>
    <t>14/172272</t>
  </si>
  <si>
    <t>BERMUDES DAVID GORDON; AVIEX TECH LLC</t>
  </si>
  <si>
    <t>BERMUDES DAVID GORDON; AVIEX TECH</t>
  </si>
  <si>
    <t>David Gordon Bermudes</t>
  </si>
  <si>
    <t>C12N 1/36 (20130101); A61K 39/12 (20130101); A61P 31/16 (20180101); C12N 1/20 (20130101); A61P 31/12 (20180101); C12N 9/1025 (20130101); A61K 39/145 (20130101); C12N 7/00 (20130101); A61K 2039/523 (20130101); C12N 2760/16034 (20130101); C12N 2760/16134 (20130101); A61K 2039/522 (20130101); C12N 2510/00 (20130101)</t>
  </si>
  <si>
    <t>Gram-negative bacterial mutants resistant stress conditions, including     CO.sub.2, acid pH, and high osmolarity are provided, having reduced     TNF-.alpha. induction having a msbB mutation, that are rendered     stress-resistant by a mutation in the zwf gene. A method for prophylaxis     or treatment of a virally induced disease in a subject comprising     administering to said subject attenuated stress-resistant gram-negative     bacterial mutants, is also provided, along with Methods for prophylaxis     or treatment of a virally induced disease in a subject comprise     administering to said subject one or more stress-resistant gram-negative     bacterial mutants as vectors for the delivery of one or more therapeutic     molecules. The methods provide efficient delivery of therapeutic     molecules by stress-resistant gram-negative bacterial mutants engineered     to express said therapeutic molecules.</t>
  </si>
  <si>
    <t>US9415087</t>
  </si>
  <si>
    <t>Compositions and methods for treating coronavirus infection</t>
  </si>
  <si>
    <t>Nikolai Naoumov, Albrecht von Brunn</t>
  </si>
  <si>
    <t>A61K 38/12 (20130101); A61K 45/06 (20130101); A61P 31/14 (20180101); A61K 31/7056 (20130101); A61K 38/13 (20130101); A61K 31/7056 (20130101); A61K 2300/00 (20130101); A61K 38/12 (20130101); A61K 2300/00 (20130101); A61K 38/13 (20130101); A61K 2300/00 (20130101)</t>
  </si>
  <si>
    <t>US9409891</t>
  </si>
  <si>
    <t>Ahmad Hashash, Scott Wolckenhauer, Bing Shi</t>
  </si>
  <si>
    <t>A61P 1/16 (20180101); A61K 31/381 (20130101); A61P 31/14 (20180101); A61K 31/4184 (20130101); C07D 409/12 (20130101); A61K 45/06 (20130101); C07D 407/04 (20130101); C07D 471/08 (20130101); A61K 31/7072 (20130101); A61P 31/12 (20180101); A61K 31/7056 (20130101); A61P 43/00 (20180101)</t>
  </si>
  <si>
    <t>Crystalline solid forms and the amorphous form of the anti-HCV compound     5-(3,3-dimethylbutyn-1-yl)-3-[(cis-4-hydroxy-4-{[(3S)-tetrahydrofuran-3-y-    loxy]methyl}cyclohexyl){[(1R)-4-methylcyclohex-3-en-1-yl]carbonyl}amino]th-    iophene-2-carboxylic acid (Compound I) were prepared and characterized in     the solid state:  ##STR00001##  Also provided are processes of     manufacture and methods of using the crystalline forms.</t>
  </si>
  <si>
    <t>US9408831</t>
  </si>
  <si>
    <t>Methods for treating respiratory viral infection</t>
  </si>
  <si>
    <t>Jerome B. Zeldis</t>
  </si>
  <si>
    <t>A61P 31/12 (20180101); A61P 31/04 (20180101); A61P 11/00 (20180101); A61P 43/00 (20180101); A61K 45/06 (20130101); A61K 31/4035 (20130101); A61P 31/16 (20180101); A61K 31/454 (20130101); A61K 31/4035 (20130101); A61K 2300/00 (20130101)</t>
  </si>
  <si>
    <t>US9408559</t>
  </si>
  <si>
    <t>14/078718</t>
  </si>
  <si>
    <t>Katherine Rose Kovarik, Joseph E. Kovarik, Mourad Zarouri</t>
  </si>
  <si>
    <t>A61B 5/1114 (20130101); A61B 5/6803 (20130101); A61B 5/6804 (20130101); A61B 5/6822 (20130101); A61B 5/6891 (20130101); G01N 33/56983 (20130101); A61B 5/6887 (20130101); A61B 5/746 (20130101); A61B 5/7455 (20130101); A61B 5/742 (20130101); A61B 5/7405 (20130101); A61F 5/0003 (20130101); A61B 5/15 (20130101); A61B 5/0026 (20130101); A61B 10/0051 (20130101); A61B 10/0038 (20130101); A61B 5/7282 (20130101); A61B 5/6897 (20130101); A61B 5/6893 (20130101); A61B 5/6898 (20130101); A61B 5/411 (20130101); A61B 2560/0418 (20130101); A61B 2562/0257 (20130101); G01N 2333/075 (20130101); G01N 2469/20 (20130101); G01N 2800/044 (20130101)</t>
  </si>
  <si>
    <t>US9406212</t>
  </si>
  <si>
    <t>Nicholas De Luca, Koichi Sato</t>
  </si>
  <si>
    <t>G06K 9/00281 (20130101); G06K 9/00335 (20130101); G16H 50/80 (20180101); G08B 21/245 (20130101); G06Q 10/08 (20130101); G08B 13/1427 (20130101); G08B 21/12 (20130101); G08B 21/22 (20130101); G06K 9/00771 (20130101); G16H 40/20 (20180101)</t>
  </si>
  <si>
    <t>US9403855</t>
  </si>
  <si>
    <t>Zanamivir phosphonate congeners with anti-influenza activity and     determining oseltamivir susceptibility of influenza viruses</t>
  </si>
  <si>
    <t>13/697794</t>
  </si>
  <si>
    <t>Chi-Huey Wong, Jim-Min Fang, Yih-Shyun Edmund Cheng, Jiun-Jie Shie</t>
  </si>
  <si>
    <t>A61K 31/665 (20130101); A61P 43/00 (20180101); A61K 31/683 (20130101); A61P 31/16 (20180101); C07F 9/6552 (20130101); G01N 33/56983 (20130101); G01N 2333/11 (20130101)</t>
  </si>
  <si>
    <t>Methods and compositions for detection of drug resistant pathogens and     treatment against infections thereof are provided. Methods for detection     of oseltamivir-resistant influenza viruses by competitive binding assays     utilizing non-oseltamivir influenza virus neuraminidase inhibitors and     oseltamivir carboxylate are provided. Influenza virus neuraminidase     inhibitors coupled to sensors and useful for employment in the methods of     the invention are disclosed. Novel phosphonate compounds active as     neuraminidase inhibitors against wild-type and oseltamivir-resistant     influenza strains of H1N1, H5N1 and H3N2 viruses are disclosed. An     enantioselective synthetic route to preparation of these phosphonate     compounds via sialic acid is provided.</t>
  </si>
  <si>
    <t>US9396638</t>
  </si>
  <si>
    <t>US9394331</t>
  </si>
  <si>
    <t>2'-spiro-nucleosides and derivatives thereof useful for treating hepatitis     C virus and dengue virus infections</t>
  </si>
  <si>
    <t>A61K 31/708 (20130101); C07H 19/06 (20130101); C07H 19/207 (20130101); A61K 31/7052 (20130101); A61P 31/00 (20180101); A61P 31/12 (20180101); A61P 31/22 (20180101); A61K 31/706 (20130101); A61P 31/14 (20180101); A61K 31/7064 (20130101); C07H 19/10 (20130101); A61K 45/06 (20130101); C07H 23/00 (20130101); A61K 31/7076 (20130101); C07H 19/20 (20130101); C07H 19/16 (20130101); Y02A 50/463 (20180101); Y02A 50/385 (20180101)</t>
  </si>
  <si>
    <t>US9394302</t>
  </si>
  <si>
    <t>14/666567</t>
  </si>
  <si>
    <t>Paul S. Charifson, Michael P. Clark, Upul K. Bandarage, Randy S. Bethiel, Michael J. Boyd, Ioana Davies, Hongbo Deng, John P. Duffy, Luc J. Farmer, Huai Gao, Wenxin Gu, Joseph M. Kennedy, Brian Ledford, Mark W. Ledeboer, Francois Maltais, Emanuele Perola, Tiansheng Wang</t>
  </si>
  <si>
    <t>A61K 45/06 (20130101); A61P 31/00 (20180101); A61K 31/215 (20130101); A61P 31/16 (20180101); C07F 9/6561 (20130101); A61K 31/506 (20130101); A61P 43/00 (20180101); A61K 31/444 (20130101); A61K 31/351 (20130101); C07D 471/04 (20130101); A61K 31/497 (20130101)</t>
  </si>
  <si>
    <t>This invention provides methods of preparing     3-(pyrimidin-2-yl)-1H-pyrrolo[2,3-b]pyridines and     3-(pyrimidin-2-yl)-1H-pyrazolo[3,4-b]pyridines, or pharmaceutically     acceptable salts thereof that are useful for inhibiting the replication     of influenza viruses in a biological sample or patient, reducing the     amount of influenza viruses in a biological sample or patient, and     treating influenza in a patient.</t>
  </si>
  <si>
    <t>US9388220</t>
  </si>
  <si>
    <t>14/473605</t>
  </si>
  <si>
    <t>A61P 37/00 (20180101); C07K 7/06 (20130101); A61P 31/04 (20180101); C07K 14/35 (20130101); A61K 39/102 (20130101); A61K 39/145 (20130101); A61K 39/12 (20130101); C07K 14/33 (20130101); A61P 31/16 (20180101); C07K 14/005 (20130101); A61K 39/085 (20130101); C12N 7/00 (20130101); A61K 39/092 (20130101); A61P 31/12 (20180101); A61K 2039/543 (20130101); A61K 2039/70 (20130101); A61K 2039/6037 (20130101); C07K 2319/40 (20130101); A61K 2039/545 (20130101); A61K 2039/575 (20130101); A61K 2039/6043 (20130101); C07K 2319/42 (20130101); C12N 2760/16122 (20130101); C12N 2760/16161 (20130101); A61K 2039/525 (20130101); C12N 2760/16134 (20130101); A61K 2039/5254 (20130101); A61K 2039/5252 (20130101); A61K 2039/6068 (20130101); A61K 2039/55566 (20130101)</t>
  </si>
  <si>
    <t>The invention is directed to immunogenic compositions and methods for     their use in the formulation and administration of therapeutic and     prophylactic pharmaceutical agents. In particular, the invention provides     immunogenic compositions and methods for preventing, treating, and/or     ameliorating the symptoms of one or more microbial infections, including,     for example, influenza.</t>
  </si>
  <si>
    <t>US9388208</t>
  </si>
  <si>
    <t>Michael O'Neil Hanrahan Clarke, Edward Doerffler, Richard L Mackman, Dustin Siegel</t>
  </si>
  <si>
    <t>C07H 7/06 (20130101); C07D 405/14 (20130101); C07D 405/04 (20130101); A61P 31/16 (20180101); C07F 9/6561 (20130101); C07D 487/04 (20130101)</t>
  </si>
  <si>
    <t>US9387242</t>
  </si>
  <si>
    <t>Chimeric viruses presenting non-native surface proteins and uses thereof</t>
  </si>
  <si>
    <t>11/633130</t>
  </si>
  <si>
    <t>ICAHN SCHOOL OF MEDICINE AT MOUNT SINAI</t>
  </si>
  <si>
    <t>ICAHN SCHOOL MEDICINE MOUNT SINAI</t>
  </si>
  <si>
    <t>Peter Palese, Adolfo Garcia-Sastre</t>
  </si>
  <si>
    <t>A61P 31/00 (20180101); A61P 31/14 (20180101); A61P 31/12 (20180101); A61K 39/145 (20130101); A61K 39/17 (20130101); C12N 7/00 (20130101); A61K 39/12 (20130101); A61P 31/16 (20180101); C07K 14/005 (20130101); C12N 2760/16171 (20130101); C07K 2319/03 (20130101); C12N 2760/18122 (20130101); C12N 2760/16143 (20130101); C12N 2760/18143 (20130101); C12N 2760/18134 (20130101); C12N 2760/18171 (20130101); C12N 2760/16122 (20130101); C12N 2760/16151 (20130101); C12N 2760/18151 (20130101); A61K 2039/552 (20130101); A61K 2039/70 (20130101); A61K 2039/5256 (20130101); C12N 2760/16134 (20130101); C12N 2760/18121 (20130101); A61K 2039/541 (20130101)</t>
  </si>
  <si>
    <t>The present invention provides chimeric negative-stand RNA viruses that     allow a subject, e.g., an avian, to be immunized against two infectious     agents by using a single chimeric virus of the invention. In particular,     the present invention provides chimeric influenza viruses engineered to     express and incorporate into their virions a fusion protein comprising an     ectodomain of a protein of an infectious agent and the transmembrane and     cytoplasmic domain of an influenza virus protein. Such chimeric viruses     induce an immune response against influenza virus and the infectious     agent. The present invention also provides chimeric Newcastle Disease     viruses (NDV) engineered to express and incorporate into their virions a     fusion protein comprising the ectodomain of a protein of an infectious     agent and the transmembrane and cytoplasmic domain of an NDV protein.     Such chimeric viruses induce an immune response against NDV and the     infectious agent.</t>
  </si>
  <si>
    <t>US9387241</t>
  </si>
  <si>
    <t>Influenza virus-like particle (VLP) compositions</t>
  </si>
  <si>
    <t>14/296095</t>
  </si>
  <si>
    <t>TECHNOVAX, INC.</t>
  </si>
  <si>
    <t>TECHNOVAX</t>
  </si>
  <si>
    <t>Jose M. Galarza, Demetrius Matassov</t>
  </si>
  <si>
    <t>A61P 31/16 (20180101); A61K 39/145 (20130101); C12N 7/00 (20130101); C07K 14/005 (20130101); A61K 39/12 (20130101); A61K 2039/55561 (20130101); A61K 2039/543 (20130101); C12N 2760/16134 (20130101); C12N 2760/16123 (20130101); C12N 2760/16122 (20130101); A61K 2039/5258 (20130101)</t>
  </si>
  <si>
    <t>Influenza virus-like particles (VLPs) comprising influenza antigenic     polypeptides are described. Also described are compositions comprising     these VLPs as well as methods of making and using these VLPs.</t>
  </si>
  <si>
    <t>US9381239</t>
  </si>
  <si>
    <t>VLPS derived from cells that do not express a viral matrix or core protein</t>
  </si>
  <si>
    <t>Gale Smith, Peter Pushko, Kutub Mahmood, Bin Zhou</t>
  </si>
  <si>
    <t>C12N 7/00 (20130101); A61P 31/16 (20180101); A61K 39/145 (20130101); A61K 2039/5258 (20130101); C12N 2710/16723 (20130101); C07K 2319/00 (20130101); C12N 2760/16123 (20130101)</t>
  </si>
  <si>
    <t>US9381238</t>
  </si>
  <si>
    <t>Method for improving the production of influenza viruses and vaccine seeds</t>
  </si>
  <si>
    <t>13/883310</t>
  </si>
  <si>
    <t>UNIVERSITY OF DUNDEE</t>
  </si>
  <si>
    <t>UNIVERSITY DUNDEE</t>
  </si>
  <si>
    <t>Olivier Terrier, Jean-Christophe Bourdon, Manuel Rosa-Calatrava</t>
  </si>
  <si>
    <t>A61P 31/16 (20180101); A61K 39/145 (20130101); A61P 37/04 (20180101); A61K 39/12 (20130101); C12N 7/00 (20130101); C12N 2760/16151 (20130101); C12N 2760/16051 (20130101)</t>
  </si>
  <si>
    <t>The present invention relates to a method for improving the production of     an influenza virus, and in particular influenza vaccine seeds, or a     vaccine directed against an influenza virus, characterized in that the     production is carried out in the presence of an inhibitor of the     interaction between the Mdm2 protein and the p53 protein.</t>
  </si>
  <si>
    <t>US9381206</t>
  </si>
  <si>
    <t>A61K 31/7076 (20130101); C07H 19/20 (20130101); A61K 45/06 (20130101); A61K 9/2018 (20130101); A61K 9/20 (20130101); A61K 31/675 (20130101); A61P 31/18 (20180101); A61K 31/675 (20130101); A61K 2300/00 (20130101)</t>
  </si>
  <si>
    <t>US9376392</t>
  </si>
  <si>
    <t>2-(tert-butoxy)-2-(7-methylquinolin-6-yl) acetic acid derivatives for     treating AIDS</t>
  </si>
  <si>
    <t>Kerim Babaoglu, Kyla L. Bjornson, Paul Hrvatin, Eric Lansdon, John O. Link, Hongtao Liu, Ryan McFadden, Michael L. Mitchell, Yingmei Qi, Paul A. Roethle, Lianhong Xu</t>
  </si>
  <si>
    <t>A61K 45/06 (20130101); A61K 31/4745 (20130101); C07D 491/06 (20130101); A61K 31/4741 (20130101); A61K 31/4704 (20130101); A61K 31/506 (20130101); C07D 519/00 (20130101); A61P 31/18 (20180101); A61K 31/497 (20130101); C07D 215/227 (20130101)</t>
  </si>
  <si>
    <t>US9365610</t>
  </si>
  <si>
    <t>Asymmetric ionizable cationic lipid for RNA delivery</t>
  </si>
  <si>
    <t>14/707876</t>
  </si>
  <si>
    <t>C07J 41/0055 (20130101); C07C 333/04 (20130101); C07C 271/22 (20130101); C07C 235/12 (20130101); C07C 237/12 (20130101); A61K 31/713 (20130101); A61K 9/1075 (20130101); A23D 9/013 (20130101); C12N 15/113 (20130101); C12N 15/111 (20130101); A61K 9/1272 (20130101); C12N 2310/14 (20130101); C12N 2320/32 (20130101)</t>
  </si>
  <si>
    <t>What is described is a compound of formula I  ##STR00001##  wherein     R.sub.1 consists of a linear or branched alkyl consisting of 1-18     carbons, an alkenyl or alkynyl consisting of 2 to 12 carbons, or a     cholesteryl; R.sub.2 consists of a linear or branched alkyl or an alkenyl     consisting of 1 to 18 carbons; L.sub.1 consists of a linear alkyl     consisting of 5 to 9 carbons or, when R.sub.1 consists of a cholesteryl     then L.sub.1 consists of a linear alkylene or alkenyl consisting of 3 to     4 carbons; X.sub.1 consists of --O--(CO)-- or --(CO)--O--; X.sub.2     consists of S or O; L.sub.2 consists of a bond or a linear alkylene of 1     to 6 carbons; R.sub.3 consists of a linear or branched alkylene with 1 to     6 carbons; and R.sub.4 and R.sub.5 are the same or different, each     consisting of a linear or branched alkyl of 1 to 6 carbons; or a     pharmaceutically acceptable salt thereof.</t>
  </si>
  <si>
    <t>US9353159</t>
  </si>
  <si>
    <t>Multimeric multiepitope influenza vaccines</t>
  </si>
  <si>
    <t>14/263359</t>
  </si>
  <si>
    <t>Tamar Ben-Yedidia, Yossi Singer</t>
  </si>
  <si>
    <t>A61P 31/14 (20180101); A61P 31/16 (20180101); A61K 39/145 (20130101); C07K 14/005 (20130101); A61K 39/12 (20130101); A61K 2039/57 (20130101); C12N 2760/16234 (20130101); C12N 2760/16134 (20130101); A61K 2039/55566 (20130101); A61K 2039/645 (20130101); C12N 2760/16034 (20130101); A61K 2039/53 (20130101)</t>
  </si>
  <si>
    <t>An isolated polynucleotide encoding an influenza multi-epitope     polypeptide, wherein the multi-epitope polypeptide comprises multiple     copies of a plurality of influenza virus peptide epitopes wherein the     polypeptide is B(X.sub.1ZX.sub.2Z . . . X.sub.m).sub.nB or     B(X.sub.1).sub.nZ(X.sub.2).sub.nZ . . . (X.sub.m).sub.nB; wherein B is an     optional sequence of 1-4 amino acid residues; n is at each occurrence     independently an integer of 2-50; m is an integer of 3-15; each of     X.sub.1, X.sub.2 . . . X.sub.m is an influenza peptide epitope of 4-24     amino acid residues; and Z at each occurrence is a bond or a spacer of     1-4 amino acid residues.</t>
  </si>
  <si>
    <t>US9349267</t>
  </si>
  <si>
    <t>US9346841</t>
  </si>
  <si>
    <t>C07F 9/6512 (20130101); C07F 9/65616 (20130101); C07F 9/65583 (20130101); A61P 31/12 (20180101); A61P 35/00 (20180101)</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</si>
  <si>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</si>
  <si>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US9346749</t>
  </si>
  <si>
    <t>1,3-di-oxo-indene derivative, pharmaceutically acceptable salt or optical     isomer thereof, preparation method thereof, and pharmaceutical     composition containing same as an antiviral, active ingredient</t>
  </si>
  <si>
    <t>Young Sik Jung, Chong Kgo Lee, Ihl Young Choi, Hae Soo Kim, Pil Ho Kim, Soo Bong Han, Johan Neyts, Hendrik Jan Thibaut</t>
  </si>
  <si>
    <t>C07C 49/753 (20130101); C07C 271/12 (20130101); C07C 69/12 (20130101); C07D 215/20 (20130101); C07D 221/04 (20130101); A61K 31/435 (20130101); C07C 45/00 (20130101); C07C 205/45 (20130101); C07C 269/00 (20130101); C07C 231/02 (20130101); C07C 271/44 (20130101); C07C 275/26 (20130101); C07C 69/16 (20130101); C07C 49/755 (20130101); C07C 233/76 (20130101); C07C 69/618 (20130101); C07C 271/64 (20130101); C07C 275/64 (20130101); C07C 247/14 (20130101); C07C 323/22 (20130101); A61K 31/122 (20130101); C07C 233/33 (20130101); C07C 271/24 (20130101); C07C 69/54 (20130101); C07C 69/736 (20130101); C07C 69/22 (20130101); C07D 213/65 (20130101); C07C 69/18 (20130101); C07C 69/738 (20130101); C07C 225/20 (20130101); C07C 233/43 (20130101); C07C 67/08 (20130101); C07C 233/32 (20130101); C07C 49/747 (20130101); C07C 225/22 (20130101); C07C 69/28 (20130101); C07C 67/00 (20130101); C07C 233/41 (20130101); C07C 69/78 (20130101); C07C 233/61 (20130101); C07C 69/63 (20130101); C07C 2602/08 (20170501); C07C 2601/02 (20170501)</t>
  </si>
  <si>
    <t>US9345708</t>
  </si>
  <si>
    <t>14/305393</t>
  </si>
  <si>
    <t>A61P 37/04 (20180101); A61K 31/506 (20130101); C07D 401/10 (20130101); A61K 31/553 (20130101); A61P 31/16 (20180101); A61P 31/00 (20180101); A61K 31/55 (20130101); A61K 31/5377 (20130101); A61P 43/00 (20180101); C07D 471/04 (20130101); C07D 401/04 (20130101); C07D 239/30 (20130101)</t>
  </si>
  <si>
    <t>US9340568</t>
  </si>
  <si>
    <t>Melissa Jean Casteel, Kathleen Dashner, Hyuk-Jun Jung, Mun Sik Seo, Bing Shi, Fang Wang, Vahid Zia</t>
  </si>
  <si>
    <t>A61P 31/14 (20180101); A61K 31/706 (20130101); A61K 31/7064 (20130101); C07H 19/06 (20130101); A61K 31/7072 (20130101); C07H 19/10 (20130101); C07F 9/65586 (20130101); A61K 31/7068 (20130101); A61P 31/12 (20180101); A61P 31/18 (20180101); A61P 1/16 (20180101); A61K 31/7052 (20130101)</t>
  </si>
  <si>
    <t>Crystalline solid forms of the anti-HCV compound (S)-isopropyl     2-((S)-(((2R,3R,4R,5R)-5-(2,4-dioxo-3,4-dihydropyrimidin-1(2H)-yl)-4-fluo-    ro-3-hydroxy-4-methyltetrahydrofuran-2-     yl)methoxy)(phenoxy)phosphorylamino)propanoate (Compound I) are described      ##STR00001##  Also provided are processes of making and methods of using     the crystalline forms.</t>
  </si>
  <si>
    <t>US9328146</t>
  </si>
  <si>
    <t>Lentiviral gene transfer vectors and their medicinal applications</t>
  </si>
  <si>
    <t>14/197532</t>
  </si>
  <si>
    <t>INSTITUT PASTEUR; CENTRE NATIONAL DE LA RECHERCHE SCIENTIFIQUE; THERAVECTYS</t>
  </si>
  <si>
    <t>INSTITUT PASTEUR; CENTRE NATIONAL LA RECHERCHE SCIENTIFIQUE; THERAVECTYS</t>
  </si>
  <si>
    <t>Pierre Charneau, Anne-Sophie Beignon, Frederic Philippe Coutant, Karine Courbeyrette</t>
  </si>
  <si>
    <t>A61P 35/00 (20180101); A61K 39/12 (20130101); A61P 33/00 (20180101); A61P 31/12 (20180101); C07K 16/1054 (20130101); C07K 16/10 (20130101); C12N 15/86 (20130101); A61P 31/04 (20180101); C07K 16/1081 (20130101); C07K 14/005 (20130101); A61P 31/14 (20180101); A61P 31/18 (20180101); A61P 31/16 (20180101); A61K 2039/5256 (20130101); Y02A 50/386 (20180101); C07K 2317/76 (20130101); C07K 2317/34 (20130101); C07K 2317/21 (20130101); C12N 2740/16222 (20130101); A61K 2039/545 (20130101); A61K 2039/525 (20130101); C12N 2740/15022 (20130101); C12N 2810/6081 (20130101); Y02A 50/388 (20180101); C12N 2760/20222 (20130101); C12N 2740/15043 (20130101); C12N 2770/24122 (20130101); Y02A 50/39 (20180101); C12N 2740/15034 (20130101); C12N 2770/24134 (20130101); A61K 2039/505 (20130101); Y02A 50/394 (20180101)</t>
  </si>
  <si>
    <t>The present invention relates to the design of gene transfer vectors and     especially provides lentiviral gene transfer vectors suitable for either     a unique administration or for iterative administration in a host, and to     their medicinal application (such as vaccination against Immunodeficiency     Virus, especially suitable in human hosts). Gene transfer vectors can be     either integrative or non-integrative vectors. The invention encompasses     prophylactic, therapeutic, symptomatic, and curative treatments of     animals, including humans, as well as gene therapy and vaccination in     vivo.</t>
  </si>
  <si>
    <t>US9321753</t>
  </si>
  <si>
    <t>Inhibitors of Flaviviridae viruses</t>
  </si>
  <si>
    <t>Eda Canales, Michael O'Neil Hanrahan Clarke, Scott E. Lazerwith, Willard Lew, Philip Anthony Morganelli, William J. Watkins</t>
  </si>
  <si>
    <t>A61P 31/12 (20180101); C07D 409/12 (20130101); A61P 31/00 (20180101); A61K 31/4436 (20130101); A61K 31/381 (20130101); A61P 31/14 (20180101); A61K 45/06 (20130101)</t>
  </si>
  <si>
    <t>Provided are compounds of Formula I:  ##STR00001##  and pharmaceutically     acceptable salts and esters thereof. The compounds, compositions, and     methods provided are useful for the treatment of Flaviviridae virus     infections, particularly hepatitis C infections.</t>
  </si>
  <si>
    <t>US9310088</t>
  </si>
  <si>
    <t>Device and method for reducing spread of microorganisms and airborne health hazardous matter and/or for protection from microorganisms and airborne health hazardous matter</t>
  </si>
  <si>
    <t>Arsen Krikor Melikov, Shengwei Zhu, Zhecho Dimitrov Bolashikov</t>
  </si>
  <si>
    <t>A61G 10/02 (20130101); A61G 13/108 (20130101); A61L 9/20 (20130101); F24F 3/1607 (20130101); A61G 15/10 (20130101); A61G 2203/46 (20130101); A61L 2209/111 (20130101); A61L 2209/14 (20130101)</t>
  </si>
  <si>
    <t>US9303070</t>
  </si>
  <si>
    <t>Multimeric multiepitope polypeptides in improved seasonal and pandemic     influenza vaccines</t>
  </si>
  <si>
    <t>Tamar Ben-Yedidia, George H. Lowell</t>
  </si>
  <si>
    <t>A61K 39/145 (20130101); C07K 14/005 (20130101); A61K 39/12 (20130101); A61K 2039/545 (20130101); A61K 2039/645 (20130101); A61K 2039/55 (20130101); A61K 2039/58 (20130101); A61K 2039/70 (20130101); C12N 2760/16134 (20130101); C12N 2760/16234 (20130101); A61K 2039/55566 (20130101)</t>
  </si>
  <si>
    <t>US9296782</t>
  </si>
  <si>
    <t>Kyla Bjornson, Eda Canales, Jeromy J. Cottell, Kapil Kumar Karki, Ashley Anne Katana, Darryl Kato, Tetsuya Kobayashi, John O. Link, Ruben Martinez, Barton W. Phillips, Hyung-Jung Pyun, Michael Sangi, Adam James Schrier, Dustin Siegel, James G. Taylor, Chinh Viet Tran, Teresa Alejandra Trejo Martin, Randall W. Vivian, Zheng-Yu Yang, Jeff Zablocki, Sheila Zipfel</t>
  </si>
  <si>
    <t>A61K 31/4745 (20130101); A61P 31/10 (20180101); A61K 31/519 (20130101); C07K 5/0827 (20130101); A61P 1/16 (20180101); C07K 5/0812 (20130101); A61K 31/498 (20130101); A61P 31/14 (20180101); C07D 241/36 (20130101); A61K 31/10 (20130101); C07K 5/0808 (20130101); C07K 5/08 (20130101); A61P 31/00 (20180101); C07D 498/16 (20130101); A61K 45/06 (20130101); A61P 31/12 (20180101); C07D 403/14 (20130101); A61K 31/4985 (20130101); A61K 38/06 (20130101); A61K 38/21 (20130101); A61P 43/00 (20180101); C07D 498/22 (20130101); A61K 31/401 (20130101); A61K 31/506 (20130101); A61K 38/21 (20130101); A61K 2300/00 (20130101); A61K 38/00 (20130101)</t>
  </si>
  <si>
    <t>US9296779</t>
  </si>
  <si>
    <t>Richard Hung Chiu Yu, Brandon Heath Brown, Richard P. Polniaszek, Benjamin R. Graetz, Keiko Sujino, Duong Duc-Phi Tran, Alan Scott Triman, Kenneth M. Kent, Steven Pfeiffer</t>
  </si>
  <si>
    <t>C07F 9/4449 (20130101); C07H 19/173 (20130101); C07H 19/02 (20130101); C07H 19/04 (20130101); C07F 9/4075 (20130101); C07F 9/65616 (20130101); C07H 19/20 (20130101); C07D 473/34 (20130101); C07H 23/00 (20130101); C07H 19/16 (20130101); A61K 31/66 (20130101)</t>
  </si>
  <si>
    <t>US9296777</t>
  </si>
  <si>
    <t>Michael Joseph Sofia, Jinfa Du</t>
  </si>
  <si>
    <t>A61P 31/18 (20180101); A61K 31/7064 (20130101); A61P 31/12 (20180101); A61K 31/7068 (20130101); C07H 19/173 (20130101); A61P 31/14 (20180101); C07H 19/06 (20130101); A61P 31/20 (20180101); C07H 19/073 (20130101); A61P 31/00 (20180101); A61P 35/00 (20180101); C07H 19/14 (20130101); A61P 31/04 (20180101); A61K 31/7072 (20130101); C07H 19/16 (20130101); A61K 31/7076 (20130101)</t>
  </si>
  <si>
    <t>US9296758</t>
  </si>
  <si>
    <t>2-quinolinyl-acetic acid derivatives as HIV antiviral compounds</t>
  </si>
  <si>
    <t>Kerim Babaoglu, Kyla Bjornson, Hongyan Guo, Randall L. Halcomb, John O. Link, Hongtao Liu, Michael L. Mitchell, Jianyu Sun, James Taylor, Randall W. Vivian, Lianhong Xu</t>
  </si>
  <si>
    <t>C07D 417/04 (20130101); C07D 405/04 (20130101); C07D 401/12 (20130101); C07D 491/052 (20130101); C07D 215/227 (20130101); C07D 215/38 (20130101); C07D 215/48 (20130101); C07D 519/00 (20130101); C07D 215/14 (20130101); C07D 215/06 (20130101); C07D 401/04 (20130101); C07D 413/04 (20130101); C07D 498/04 (20130101); C07D 487/04 (20130101); A61P 31/18 (20180101); C07D 215/18 (20130101); C07D 215/20 (20130101)</t>
  </si>
  <si>
    <t>US9286511</t>
  </si>
  <si>
    <t>Event registration and management system and method employing geo-tagging and biometrics</t>
  </si>
  <si>
    <t>US9284533</t>
  </si>
  <si>
    <t>14/128415</t>
  </si>
  <si>
    <t>C12N 7/00 (20130101); A61P 37/04 (20180101); C07K 14/005 (20130101); A61P 31/16 (20180101); A61K 39/12 (20130101); A61K 39/145 (20130101); A61K 35/76 (20130101); A61K 2039/58 (20130101); C12N 2760/16234 (20130101); A61K 2039/5254 (20130101); C12N 2760/16134 (20130101); A61K 2039/70 (20130101); C12N 2760/16122 (20130101); C12N 2760/16262 (20130101); A61K 2039/545 (20130101); C12N 2760/16151 (20130101); C12N 2760/16162 (20130101); C12N 2760/16171 (20130101); A61K 2039/54 (20130101); A61K 2039/543 (20130101); C12N 2760/16121 (20130101); A61K 2039/552 (20130101)</t>
  </si>
  <si>
    <t>US9284323</t>
  </si>
  <si>
    <t>Naphthalene acetic acid derivatives against HIV infection</t>
  </si>
  <si>
    <t>Kerim Babaoglu, Gediminas Brizgys, Hongyan Guo, Paul Hrvatin, Eric Lansdon, John O. Link, Hongtao Liu, Ryan McFadden, Michael L. Mitchell, Yingmei Qi, Paul A. Roethle, Randall W. Vivian, Lianhong Xu, Hong Yang</t>
  </si>
  <si>
    <t>C07C 59/64 (20130101); A61K 31/4402 (20130101); C07D 277/30 (20130101); A61K 31/5377 (20130101); C07D 231/56 (20130101); C07D 277/34 (20130101); A61K 31/436 (20130101); A61P 31/18 (20180101); A61K 31/4406 (20130101); C07D 491/06 (20130101); A61K 31/4409 (20130101); A61K 31/506 (20130101); C07D 213/55 (20130101); A61K 31/426 (20130101); A61K 45/06 (20130101); C07D 491/04 (20130101); A61K 31/192 (20130101)</t>
  </si>
  <si>
    <t>US9278975</t>
  </si>
  <si>
    <t>Pyrazolo[1,5-A]pyrimidines as antiviral agents</t>
  </si>
  <si>
    <t>Michael Sangi</t>
  </si>
  <si>
    <t>A61K 31/538 (20130101); A61K 31/5025 (20130101); A61K 31/5377 (20130101); A61K 31/675 (20130101); C07F 9/6561 (20130101); A61K 31/519 (20130101); C07D 487/08 (20130101); C07D 519/00 (20130101); A61K 45/06 (20130101); A61P 31/12 (20180101); A61P 11/00 (20180101); C07D 487/04 (20130101)</t>
  </si>
  <si>
    <t>US9278127</t>
  </si>
  <si>
    <t>C12N 7/00 (20130101); A61K 39/12 (20130101); A61K 39/39 (20130101); A61K 39/145 (20130101); A61K 2039/572 (20130101); C12N 2760/16171 (20130101); A61K 2039/575 (20130101); A61K 2039/55566 (20130101); A61K 2039/5252 (20130101); A61K 2039/545 (20130101); C12N 2760/16234 (20130101); C12N 2760/16134 (20130101)</t>
  </si>
  <si>
    <t>The present invention relates to monovalent influenza vaccine     formulations and vaccination regimes for immunizing against influenza     disease, their use in medicine, in particular their use in augmenting     immune responses to various antigens, and to methods of preparation. In     particular, the invention relates to monovalent influenza immunogenic     compositions comprising an influenza antigen or antigenic preparation     thereof from an influenza virus strain being associated with a pandemic     outbreak or having the potential to be associated with a pandemic     outbreak, in combination with an oil-in-water emulsion adjuvant     comprising a metabolizable oil, a sterol and/or a tocopherol such as     alpha tocopherol, and an emulsifying agent.</t>
  </si>
  <si>
    <t>US9278107</t>
  </si>
  <si>
    <t>Antibacterial agent composition and antiviral agent composition comprising     silicon-containing compound; antibacterializing method, cleaning/mouth     rinsing method; method for fixing antibacterial agent and antiviral agent</t>
  </si>
  <si>
    <t>C11D 3/3742 (20130101); C11D 3/48 (20130101); A61K 31/695 (20130101); A61P 31/02 (20180101); A61P 1/02 (20180101); A61K 9/0014 (20130101); C07F 7/1804 (20130101); A01N 55/00 (20130101); A61P 31/12 (20180101); A01N 33/12 (20130101); A61P 31/16 (20180101); A01N 55/00 (20130101); A01N 25/30 (20130101)</t>
  </si>
  <si>
    <t>Disclosed is an antibacterial agent composition which is highly safe and     has excellent antibacterial abilities, by using a silicon-containing     compound that is obtained by a specific manufacturing method. The     antibacterial agent composition has a more stable antibacterial     component, and is capable of imparting antibacterial abilities to teeth,     while being also capable of cleaning an article or the mouth. Also     disclosed are: an antiviral agent composition which is highly safe and     has excellent virus deactivation abilities; an antibacterializing method,     a cleaning/mouth rinsing method, each using the antibacterial agent     composition or the antiviral agent composition; and a method for fixing     an antibacterial agent or an antiviral agent. The antibacterial agent     composition may contain a silicon-containing compound which is     represented by general formula (1) and obtained by reacting a specific     triethoxysilyl compound in an ethanol solvent.  ##STR00001##</t>
  </si>
  <si>
    <t>US9265825</t>
  </si>
  <si>
    <t>ALDERBIO HOLDINGS LLC; ALDERBIO HOLDINGS LLC</t>
  </si>
  <si>
    <t>ALDERBIO LLC; ALDERBIO</t>
  </si>
  <si>
    <t>A61P 1/04 (20180101); A61P 19/02 (20180101); A61P 19/08 (20180101); A61K 38/16 (20130101); A61K 39/3955 (20130101); A61P 1/00 (20180101); A61P 25/00 (20180101); A61P 1/16 (20180101); A61P 35/00 (20180101); A61K 31/7088 (20130101); A61K 45/06 (20130101); A61P 35/02 (20180101); C07K 16/248 (20130101); A61K 38/2013 (20130101); A61K 38/208 (20130101); A61K 45/00 (20130101); A61P 9/10 (20180101); A61P 35/04 (20180101); C07K 2317/92 (20130101); A61K 2039/505 (20130101); C07K 2317/34 (20130101); A61K 2039/54 (20130101); C07K 2317/41 (20130101); C07K 2317/76 (20130101); C07K 2317/24 (20130101); A61K 2039/545 (20130101)</t>
  </si>
  <si>
    <t>US9259426</t>
  </si>
  <si>
    <t>4,6-di- and 2,4,6-trisubstituted quinazoline derivatives useful for     treating viral infections</t>
  </si>
  <si>
    <t>Ling-Jie Gao, Piet Andre Maurits Maria Herdewijn, Steven Cesar Alfons De Jonghe, William John Watkins, Lee Shun Chong</t>
  </si>
  <si>
    <t>A61P 31/12 (20180101); A61P 31/14 (20180101); C07D 239/78 (20130101); C07D 239/94 (20130101); C07D 239/72 (20130101); A61K 31/517 (20130101); C07D 401/04 (20130101); C07D 239/95 (20130101); C07D 409/04 (20130101); C07D 403/04 (20130101); C07D 239/88 (20130101); C07D 239/86 (20130101); A61K 31/5377 (20130101); C07D 405/04 (20130101); C07D 413/04 (20130101); A61K 31/5375 (20130101)</t>
  </si>
  <si>
    <t>US9251685</t>
  </si>
  <si>
    <t>System and method for medical diagnosis using geospatial location data     integrated with biomedical sensor information</t>
  </si>
  <si>
    <t>Sandeep R. Patil, John G. Musial, Dhaval K. Shah, Abhinay R. Nagpal</t>
  </si>
  <si>
    <t>G06F 19/3418 (20130101); G08B 21/02 (20130101); A61B 5/0022 (20130101); G16H 50/80 (20180101); Y02A 90/24 (20180101); Y02A 90/26 (20180101); A61B 5/1112 (20130101)</t>
  </si>
  <si>
    <t>US9243047</t>
  </si>
  <si>
    <t>Influenza nucleoprotein vaccines</t>
  </si>
  <si>
    <t>14/570155</t>
  </si>
  <si>
    <t>OSIVAX SAS</t>
  </si>
  <si>
    <t>OSIVAX</t>
  </si>
  <si>
    <t>Judith Del Campo Ascarateil, Fergal Hill</t>
  </si>
  <si>
    <t>C12N 7/00 (20130101); C07K 14/11 (20130101); A61P 31/16 (20180101); C07K 14/435 (20130101); A61K 39/145 (20130101); A61P 37/04 (20180101); C07K 14/005 (20130101); A61K 47/646 (20170801); C07K 14/47 (20130101); C07K 14/445 (20130101); C12N 2760/16034 (20130101); C12N 2760/16134 (20130101); C07K 2319/735 (20130101); A61K 2039/525 (20130101); C07K 2319/00 (20130101); A61K 2039/53 (20130101)</t>
  </si>
  <si>
    <t>The present invention is related to a fusion protein comprising a variant     of a nucleoprotein antigen from Influenza strain A, B or C, and a variant     of a C4bp oligomerization domain for increasing the cellular     immunogenicity of the nucleoprotein antigen from Influenza. The invention     is also related to nucleic acids, vectors, fusion proteins and     immunogenic compositions, for their use as a vaccine or immunotherapy for     the prevention and treatment of influenza disease.</t>
  </si>
  <si>
    <t>US9241990</t>
  </si>
  <si>
    <t>Antagonists of IL-6 to raise albumin and/or lower CRIP</t>
  </si>
  <si>
    <t>C07K 16/248 (20130101); A61K 39/3955 (20130101); A61P 43/00 (20180101); A61K 45/06 (20130101); A61K 39/395 (20130101); C07K 2317/41 (20130101); C07K 2317/24 (20130101); G01N 2800/52 (20130101); C07K 2317/92 (20130101); C07K 2317/76 (20130101); G01N 2333/765 (20130101); A61K 2039/505 (20130101); C07K 2317/34 (20130101); C07K 2317/56 (20130101); C07K 2317/565 (20130101); G01N 2333/4737 (20130101)</t>
  </si>
  <si>
    <t>US9238039</t>
  </si>
  <si>
    <t>C07D 495/04 (20130101); A61K 31/551 (20130101); A61P 31/16 (20180101); A61K 31/675 (20130101); A61K 31/519 (20130101); A61K 31/5377 (20130101); A61P 31/12 (20180101); A61P 31/14 (20180101); C07D 487/04 (20130101); A61P 11/00 (20180101); C07F 9/65616 (20130101); C07D 519/00 (20130101); C07D 513/04 (20130101); A61K 31/55 (20130101); A61K 45/06 (20130101)</t>
  </si>
  <si>
    <t>US9235684</t>
  </si>
  <si>
    <t>Modeling long-term host-pathogen interactions</t>
  </si>
  <si>
    <t>10/900352</t>
  </si>
  <si>
    <t>Steven David Prior, Kenneth A. De Jong, Jayshree Sarma</t>
  </si>
  <si>
    <t>G06F 19/3437 (20130101); G16H 50/50 (20180101); G16H 50/80 (20180101); Y02A 90/24 (20180101); Y02A 90/26 (20180101)</t>
  </si>
  <si>
    <t>Using an in silico testing environment, host-pathogen interactions can be     modeled and simulated by, in any effective order, identifying a plurality     of biological events associated with a pathogen's invasion of a host;     identifying for each biological event, at least one agent associated with     the event; describing the state for each agent and/or identifying at     least one action for each agent; identifying at least one interaction     between agents; simulating a temporal course of the host-pathogen     interaction using the plurality of biological events; and displaying the     results of the simulation phase. The simulation phase may be accomplished     using an agent-based simulation system that includes a feedback loop. The     feedback loop is configured for continuously using output of at least one     simulation as input for at least another simulation until an end is met.</t>
  </si>
  <si>
    <t>US9233974</t>
  </si>
  <si>
    <t>John O. Link, Jeromy J. Cottell, Teresa Alejandra Trejo Martin, Elizabeth M. Bacon</t>
  </si>
  <si>
    <t>C07D 491/04 (20130101); A61K 31/7068 (20130101); A61K 31/7072 (20130101); A61K 38/21 (20130101); A61P 31/00 (20180101); A61K 45/06 (20130101); A61K 31/7056 (20130101); A61K 31/352 (20130101); A61P 31/14 (20180101); C07D 491/052 (20130101); A61K 31/4188 (20130101); A61P 31/12 (20180101); A61P 1/16 (20180101)</t>
  </si>
  <si>
    <t>US9226958</t>
  </si>
  <si>
    <t>Use of Listeria vaccine vectors to reverse vaccine unresponsiveness in     parasitically infected individuals</t>
  </si>
  <si>
    <t>13/876810</t>
  </si>
  <si>
    <t>Donald A. Harn, Jr., Yvonne Paterson, Lisa McEwen</t>
  </si>
  <si>
    <t>A61P 33/12 (20180101); A61P 31/00 (20180101); A61P 31/18 (20180101); A61P 33/06 (20180101); A61P 33/02 (20180101); A61K 39/12 (20130101); A61K 39/00 (20130101); A61P 33/00 (20180101); A61P 31/04 (20180101); A61P 31/06 (20180101); A61P 33/10 (20180101); A61P 31/20 (20180101); A61K 39/21 (20130101); A61P 37/08 (20180101); A61K 39/0003 (20130101); A61P 35/00 (20180101); A61P 37/04 (20180101); A61K 2039/54 (20130101); Y02A 50/487 (20180101); C12N 2740/16034 (20130101); A61K 2039/577 (20130101); C12N 2710/20034 (20130101); Y02A 50/41 (20180101); Y02A 50/412 (20180101); Y02A 50/423 (20180101); A61K 2039/523 (20130101)</t>
  </si>
  <si>
    <t>This invention relates to methods of using a Listeria vaccine vector to     induce a Th1 immune response in subjects having persistent Th2 immune     response profiles.</t>
  </si>
  <si>
    <t>US9221833</t>
  </si>
  <si>
    <t>Elizabeth M. Bacon, Jeromy J. Cottell, Ashley Anne Katana, Darryl Kato, Evan S. Krygowski, John O. Link, James Taylor, Chinh Viet Tran, Teresa Alejandra Trejo Martin, Zheng-Yu Yang, Sheila Zipfel</t>
  </si>
  <si>
    <t>C07D 405/12 (20130101); C07D 491/052 (20130101); A61K 31/4188 (20130101); A61K 38/21 (20130101); A61K 45/06 (20130101); A61K 31/7072 (20130101); A61P 31/14 (20180101); A61P 1/16 (20180101); A61K 38/07 (20130101); C07F 5/025 (20130101); A61K 38/06 (20130101); A61K 47/60 (20170801); A61P 31/12 (20180101); A61P 43/00 (20180101); A61K 31/7056 (20130101); A61K 31/7064 (20130101); A61K 31/7056 (20130101); A61K 2300/00 (20130101); A61K 31/4188 (20130101); A61K 2300/00 (20130101); A61K 31/7064 (20130101); A61K 2300/00 (20130101); A61K 31/7072 (20130101); A61K 2300/00 (20130101); Y10S 514/894 (20130101)</t>
  </si>
  <si>
    <t>US9220769</t>
  </si>
  <si>
    <t>Composition</t>
  </si>
  <si>
    <t>14/346669</t>
  </si>
  <si>
    <t>Alain Townsend</t>
  </si>
  <si>
    <t>A61K 39/145 (20130101); A61K 39/12 (20130101); C12N 7/00 (20130101); C07K 14/005 (20130101); C12N 2760/16062 (20130101); C12N 2760/16134 (20130101); C12N 2760/16162 (20130101); A61K 2039/58 (20130101); C12N 2760/16022 (20130101); C12N 2760/16122 (20130101); A61K 2039/5254 (20130101)</t>
  </si>
  <si>
    <t>The present invention provides a modified influenza virus wherein the RNA     of the haemagglutinin gene has been modified such that the haemagglutinin     signal sequence is not expressed and the virus produces a haemagglutinin     protein that lacks a functional signal sequence. The invention further     provides composition comprising the modified virus and uses of the     modified virus.</t>
  </si>
  <si>
    <t>US9216996</t>
  </si>
  <si>
    <t>Substituted     2,3,4,5,7,9,13,13a-octahydropyrido[1',2':4,5]pyrazino[2,1-b][1,3]oxazepin-    es and methods for treating viral infections</t>
  </si>
  <si>
    <t>14/133858</t>
  </si>
  <si>
    <t>Haolun Jin, Scott E. Lazerwith, Hyung-Jung Pyun</t>
  </si>
  <si>
    <t>A61P 31/12 (20180101); C07D 471/18 (20130101); A61K 31/553 (20130101); A61K 31/498 (20130101); A61K 31/529 (20130101); A61K 31/537 (20130101); A61K 45/06 (20130101); C07D 498/18 (20130101); A61K 31/4985 (20130101); C07D 498/14 (20130101); C07D 471/22 (20130101); A61K 31/551 (20130101); C07D 487/14 (20130101); A61P 31/18 (20180101); A61P 43/00 (20180101); A61K 31/553 (20130101); A61K 2300/00 (20130101); A61K 31/4985 (20130101); A61K 2300/00 (20130101); A61K 31/529 (20130101); A61K 2300/00 (20130101)</t>
  </si>
  <si>
    <t>Compounds for use in the treatment of human immunodeficiency virus (HIV)     infection are disclosed. The compounds have the following Formula (I):     ##STR00001##  including stereoisomers and pharmaceutically acceptable     salts thereof, wherein R.sup.1, X, W, Y.sup.1, Y.sup.2, Z.sup.1, and     Z.sup.4are as defined herein. Methods associated with preparation and use     of such compounds, as well as pharmaceutical compositions comprising such     compounds, are also disclosed.</t>
  </si>
  <si>
    <t>US9212223</t>
  </si>
  <si>
    <t>A61K 39/3955 (20130101); A61K 45/06 (20130101); C07K 16/248 (20130101); A61K 2039/505 (20130101); C07K 2317/41 (20130101); C07K 2317/56 (20130101); C07K 2317/565 (20130101); C07K 2317/92 (20130101); C07K 2317/34 (20130101); C07K 2317/76 (20130101); C07K 2317/33 (20130101); C07K 2317/52 (20130101); C07K 2317/515 (20130101); C07K 2317/51 (20130101); C07K 2317/94 (20130101)</t>
  </si>
  <si>
    <t>US9211537</t>
  </si>
  <si>
    <t>Microfluidic device and method of using same</t>
  </si>
  <si>
    <t>Carl Lars Genghis Hansen, Carolina Tropini</t>
  </si>
  <si>
    <t>G06F 3/04842 (20130101); B01L 3/5027 (20130101); G06F 3/017 (20130101); G06F 3/04815 (20130101); B01J 2219/00317 (20130101); B01J 2219/00398 (20130101); B01J 2219/00495 (20130101); B01J 2219/00529 (20130101); B01J 2219/00596 (20130101); B01J 2219/00608 (20130101); B01J 2219/00659 (20130101); B01J 2219/00722 (20130101); B01L 3/5025 (20130101); B01L 3/502723 (20130101); B01L 3/50273 (20130101); B01L 3/50851 (20130101); B01L 7/52 (20130101); B01L 2200/0605 (20130101); B01L 2200/0621 (20130101); B01L 2200/0642 (20130101); B01L 2200/0689 (20130101); B01L 2200/16 (20130101); B01L 2300/0819 (20130101); B01L 2300/0829 (20130101); B01L 2300/0864 (20130101); B01L 2300/123 (20130101); B01L 2300/1805 (20130101); B01L 2400/0487 (20130101); B01J 2219/00396 (20130101)</t>
  </si>
  <si>
    <t>US9208672</t>
  </si>
  <si>
    <t>Sandeep R. Patil, John G. Musial, Abhinay R. Nagpal, Dhaval K. Shah</t>
  </si>
  <si>
    <t>US9205147</t>
  </si>
  <si>
    <t>Composition comprising iscom particles and live micro-organisms</t>
  </si>
  <si>
    <t>C12N 7/00 (20130101); A61P 31/14 (20180101); A61K 39/39 (20130101); A61P 31/16 (20180101); A61K 39/155 (20130101); A61P 31/20 (20180101); A61K 39/145 (20130101); A61K 2039/5252 (20130101); C12N 2760/16134 (20130101); A61K 2039/55511 (20130101); A61K 2039/55577 (20130101); A61K 2039/70 (20130101); C12N 2760/18634 (20130101); A61K 2039/525 (20130101)</t>
  </si>
  <si>
    <t>US9205122</t>
  </si>
  <si>
    <t>Herbal composition comprising ginger and goldenrod for the treatment of     cold and flu</t>
  </si>
  <si>
    <t>13/503097</t>
  </si>
  <si>
    <t>MARESINS PHARMA, INC.</t>
  </si>
  <si>
    <t>MARESINS PHARMA</t>
  </si>
  <si>
    <t>Benoit Cyr, Johane Guay, Brigitte Page, Nathalie Gendron</t>
  </si>
  <si>
    <t>A61P 31/16 (20180101); A61K 36/28 (20130101); A61P 31/12 (20180101); A61P 11/04 (20180101); A61P 29/00 (20180101); A61P 3/02 (20180101); A61K 36/9068 (20130101); A61P 25/06 (20180101); A61P 21/00 (20180101); A61P 11/02 (20180101); A61P 1/14 (20180101); A61K 9/4866 (20130101); A61P 11/14 (20180101); A61P 31/00 (20180101); A61K 36/28 (20130101); A61K 2300/00 (20130101); A61K 36/9068 (20130101); A61K 2300/00 (20130101); A61K 9/0095 (20130101)</t>
  </si>
  <si>
    <t>Described herein is a composition comprising a combination of ginger and     goldenrod for the prevention and/or treatment of cold and/or flu     infection. Also described is a method of treating or preventing a cold     and/or flu infection in a subject in need thereof comprising     administering to the subject an effective amount of a composition     comprising a combination of ginger and goldenrod.</t>
  </si>
  <si>
    <t>US9187560</t>
  </si>
  <si>
    <t>Antagonists of IL-6 to treat cachexia, weakness, fatigue, and/or fever</t>
  </si>
  <si>
    <t>Jeffrey T. L. Smith, John A. Latham, Mark Litton, Randall Schatzman</t>
  </si>
  <si>
    <t>A61P 43/00 (20180101); A61K 45/06 (20130101); C07K 16/248 (20130101); A61K 39/3955 (20130101); C07K 2317/34 (20130101); C07K 2317/76 (20130101); A61K 2039/505 (20130101); Y02A 50/412 (20180101); C07K 2317/92 (20130101); A61K 2039/545 (20130101)</t>
  </si>
  <si>
    <t>US9181307</t>
  </si>
  <si>
    <t>A61K 31/33 (20130101); C07K 14/005 (20130101); C12N 9/22 (20130101); G16B 15/00 (20190201); C07K 16/40 (20130101); C07H 19/10 (20130101); C07D 211/96 (20130101); C07D 211/32 (20130101); C07D 311/62 (20130101); A61K 38/00 (20130101); C07K 2299/00 (20130101); C12N 2760/16122 (20130101); C07K 2317/34 (20130101)</t>
  </si>
  <si>
    <t>US9180180</t>
  </si>
  <si>
    <t>C12N 7/00 (20130101); A61K 39/145 (20130101); A61K 39/12 (20130101); A61K 39/39 (20130101); C12N 15/86 (20130101); C07K 14/005 (20130101); A61K 2039/5258 (20130101); A61K 2039/55505 (20130101); A61K 2039/55555 (20130101); A61K 2039/70 (20130101); C12N 2760/16034 (20130101); C12N 2760/16134 (20130101); A61K 2039/543 (20130101); C12N 2760/16122 (20130101); C12N 2760/16071 (20130101); C12N 2760/16023 (20130101); C12N 2760/16123 (20130101); C12N 2710/14143 (20130101)</t>
  </si>
  <si>
    <t>US9175356</t>
  </si>
  <si>
    <t>Infectious disease detection system</t>
  </si>
  <si>
    <t>Leora Peltz, Shawn Hyunsoo Park</t>
  </si>
  <si>
    <t>C12M 41/48 (20130101); C12Q 3/00 (20130101); G16H 50/80 (20180101); G01N 15/0255 (20130101); Y10T 436/25 (20150115); Y10T 436/255 (20150115); Y10T 436/114998 (20150115)</t>
  </si>
  <si>
    <t>US9175355</t>
  </si>
  <si>
    <t>Methods for determining the presence of antibodies blocking viral     infection</t>
  </si>
  <si>
    <t>12/635539</t>
  </si>
  <si>
    <t>Douglas Richman, Mary T. Wrin, Susan Little, Christos J. Petropoulos, Neil T. Parkin, Jeannette Whitcomb, Wei Huang</t>
  </si>
  <si>
    <t>The present invention provides a method for identifying whether a     compound inhibits entry of a virus into a cell which comprises: (a)     obtaining nucleic acid encoding a viral envelope protein from a patient     infected by the virus; (b) co-transfecting into a first cell (i) the     nucleic acid of step (a), and (ii) a viral expression vector which lacks     a nucleic acid encoding an envelope protein, and which comprises an     indicator nucleic acid which produces a detectable signal, such that the     first cell produces viral particles comprising the envelope protein     encoded by the nucleic acid obtained from the patient; (c) contacting the     viral particles produced in step (b) with a second cell in the presence     of the compound, wherein the second cell expresses a cell surface     receptor to which the virus binds; (d) measuring the amount of signal     produced by the second cell in order to determine the infectivity of the     viral particles; and (e) comparing the amount of signal measured in step     (d) with the amount of signal produced in the absence of the compound,     wherein a reduced amount of signal measured in the presence of the     compound indicates that the compound inhibits entry of the virus into the     second cell.</t>
  </si>
  <si>
    <t>US9171451</t>
  </si>
  <si>
    <t>US9161975</t>
  </si>
  <si>
    <t>Immunogenic composition</t>
  </si>
  <si>
    <t>13/881932</t>
  </si>
  <si>
    <t>BLAIS NORMAND; LANTEIGNE ANNE-MARIE; LAROCQUE DANIEL; MALLETT COREY PATRICK; GLAXOSMITHKLINE BIOLOG SA</t>
  </si>
  <si>
    <t>BLAIS NORMAND; LANTEIGNE ANNE-MARIE; LAROCQUE DANIEL; MALLETT COREY PATRICK; GLAXOSMITHKLINE BIOLOG</t>
  </si>
  <si>
    <t>Normand Blais, Anne-Marie Lanteigne, Daniel Larocque, Corey Patrick Mallett</t>
  </si>
  <si>
    <t>A61K 39/0283 (20130101); A61P 31/00 (20180101); A61K 39/12 (20130101); A61K 39/145 (20130101); A61K 39/39 (20130101); A61P 25/28 (20180101); A61K 39/155 (20130101); A61K 2039/6068 (20130101); C12N 2760/16134 (20130101); A61K 35/74 (20130101); A61K 2039/55594 (20130101); A61K 2039/543 (20130101); C12N 2760/18534 (20130101); A61K 2039/6087 (20130101)</t>
  </si>
  <si>
    <t>The present invention relates to the use of a immunogenic or     immunostimulatory composition comprising a Shigella outer membrane     protein (OMP) and Shigella LPS molecule in medicine and methods for     preparing the composition.</t>
  </si>
  <si>
    <t>US9161934</t>
  </si>
  <si>
    <t>Derivatives of purine or deazapurine useful for the treatment of (inter     alia) viral infections</t>
  </si>
  <si>
    <t>Randall L. Halcomb, Paul A. Roethle</t>
  </si>
  <si>
    <t>A61P 11/06 (20180101); A61P 35/00 (20180101); C07D 473/16 (20130101); A61P 1/16 (20180101); A61K 31/5377 (20130101); A61P 31/16 (20180101); A61K 31/522 (20130101); A61P 11/02 (20180101); C07D 473/24 (20130101); A61P 31/12 (20180101); A61P 31/18 (20180101); C07D 473/34 (20130101); A61P 31/00 (20180101); A61P 37/08 (20180101); A61P 11/00 (20180101); A61K 31/437 (20130101); A61P 1/04 (20180101); C07D 473/18 (20130101); A61P 43/00 (20180101); A61P 31/14 (20180101); C07D 471/04 (20130101)</t>
  </si>
  <si>
    <t>US9156891</t>
  </si>
  <si>
    <t>Vaccines and methods for using the same</t>
  </si>
  <si>
    <t>David B. Weiner, Krystle A. Lang-Kuhs, Jian Yan, Ruxandra Draghia-Akli, Amir S. Khan</t>
  </si>
  <si>
    <t>A61K 39/29 (20130101); A61P 31/14 (20180101); C07K 14/005 (20130101); A61K 39/12 (20130101); A61K 31/711 (20130101); A61K 2039/53 (20130101); C07K 2319/02 (20130101); C12N 2770/24222 (20130101); A61K 38/00 (20130101); C12N 2770/24234 (20130101); A61K 2039/57 (20130101)</t>
  </si>
  <si>
    <t>US9156890</t>
  </si>
  <si>
    <t>HCV vaccines and methods for using the same</t>
  </si>
  <si>
    <t>David B. Weiner, Krystle A. Lang, Jian Yan, Ruxandra Draghia-Akli, Amir Khan</t>
  </si>
  <si>
    <t>A61P 31/14 (20180101); A61P 37/04 (20180101); C12N 15/86 (20130101); A61K 39/12 (20130101); C07K 14/005 (20130101); C12N 9/506 (20130101); C12N 7/00 (20130101); A61K 39/29 (20130101); C12N 2710/24143 (20130101); C12N 2770/24222 (20130101); A61K 2039/5254 (20130101); A61K 2039/55 (20130101); A61K 2039/5256 (20130101); A61K 2039/53 (20130101); C12N 2770/24234 (20130101); A61K 39/00 (20130101)</t>
  </si>
  <si>
    <t>US9156871</t>
  </si>
  <si>
    <t>Materials and methods for prevention and treatment of viral infections</t>
  </si>
  <si>
    <t>13/863781</t>
  </si>
  <si>
    <t>BAGI RESEARCH LIMITED</t>
  </si>
  <si>
    <t>BAGI RESEARCH</t>
  </si>
  <si>
    <t>Allan Sik Yin Lau, Lai Hung Cindy Yang</t>
  </si>
  <si>
    <t>C07H 15/18 (20130101); A61K 31/7012 (20130101); A61P 31/16 (20180101); A61P 31/00 (20180101); A61P 31/12 (20180101); C07H 15/26 (20130101); C07D 309/10 (20130101); A61K 31/70 (20130101); A61K 31/7042 (20130101); A61P 1/16 (20180101); Y02A 50/463 (20180101)</t>
  </si>
  <si>
    <t>The present invention provides novel and advantageous materials and     methods for preventing and treating viral infection.</t>
  </si>
  <si>
    <t>US9156823</t>
  </si>
  <si>
    <t>13/884578</t>
  </si>
  <si>
    <t>BACON ELIZABETH M; COTTELL JEROMY J; KATANA ASHLEY ANNE; KATO DARRYL; KRYGOWSKI EVAN S; LINK JOHN O; TAYLOR JAMES; TRAN CHINH VIET; MARTIN TERESA ALEJANDRA TREJO; YANG ZHENG-YU; ZIPFEL SHEILA; GILEAD PHARMASSET LLC</t>
  </si>
  <si>
    <t>BACON ELIZABETH COTTELL JEROMY KATANA ASHLEY ANNE; KATO DARRYL; KRYGOWSKI EVAN LINK JOHN TAYLOR JAMES; TRAN CHINH VIET; MARTIN TERESA ALEJ</t>
  </si>
  <si>
    <t>A61K 31/4188 (20130101); C07D 491/107 (20130101); C07D 417/14 (20130101); A61K 31/4178 (20130101); A61K 31/4184 (20130101); A61P 31/00 (20180101); C07D 491/10 (20130101); A61P 1/16 (20180101); C07D 513/04 (20130101); C07D 491/113 (20130101); C07D 493/04 (20130101); C07D 495/04 (20130101); C07D 471/08 (20130101); A61P 31/14 (20180101); A61P 43/00 (20180101); C07D 405/14 (20130101); C07D 403/14 (20130101); A61P 31/18 (20180101); A61K 45/06 (20130101); A61K 31/5377 (20130101); A61P 31/12 (20180101); A61K 31/4178 (20130101); A61K 2300/00 (20130101); A61K 31/4184 (20130101); A61K 2300/00 (20130101); A61K 31/4188 (20130101); A61K 2300/00 (20130101)</t>
  </si>
  <si>
    <t>US9155309</t>
  </si>
  <si>
    <t>Virus inactivating sheet</t>
  </si>
  <si>
    <t>13/395691</t>
  </si>
  <si>
    <t>NBC MESHTEC INC.</t>
  </si>
  <si>
    <t>NBC MESHTEC</t>
  </si>
  <si>
    <t>Yoshie Fujimori, Youhei Jikihara, Tetsuya Sato, Yoko Fukui, Tsuruo Nakayama</t>
  </si>
  <si>
    <t>A61K 33/34 (20130101); A01N 25/34 (20130101); A61L 31/16 (20130101); D06N 7/0039 (20130101); A61P 31/16 (20180101); D06M 11/11 (20130101); A61P 31/12 (20180101); A61K 33/18 (20130101); D06M 11/00 (20130101); D01F 1/103 (20130101); A01N 59/20 (20130101); A01N 59/12 (20130101); A61L 15/44 (20130101); D21H 21/36 (20130101); B32B 5/16 (20130101); D06M 23/08 (20130101); D21H 27/20 (20130101); D06M 16/00 (20130101); A01N 59/12 (20130101); A01N 25/34 (20130101); A01N 59/16 (20130101); A01N 59/20 (20130101); A01N 59/12 (20130101); A01N 2300/00 (20130101); A61K 33/18 (20130101); A61K 2300/00 (20130101); A61K 33/34 (20130101); A61K 2300/00 (20130101); A01N 25/34 (20130101); A01N 59/12 (20130101); A01N 59/16 (20130101); A01N 59/20 (20130101); Y02A 50/465 (20180101); D06M 2400/01 (20130101); A61L 2300/102 (20130101); A61L 2300/408 (20130101); D06M 2101/06 (20130101)</t>
  </si>
  <si>
    <t>A virus inactivating sheet is provided that can inactivate viruses     adhering thereto even in the presence of lipids and proteins regardless     of whether or not the viruses have an envelope. The virus inactivating     sheet can inactivate viruses adhering thereto and includes a sheet body,     and monovalent copper compound fine particles and/or iodide fine     particles that are held by the sheet body. The virus inactivating sheet     can inactivate various viruses. These viruses can be inactivated even in     the presence of lipids and proteins.</t>
  </si>
  <si>
    <t>US9152769</t>
  </si>
  <si>
    <t>Franck Baudino, Laurent Baudino</t>
  </si>
  <si>
    <t>A61B 5/6888 (20130101); G16H 50/80 (20180101); G06F 19/34 (20130101); G06F 19/3493 (20130101); A61B 5/0002 (20130101); A61B 2560/0242 (20130101)</t>
  </si>
  <si>
    <t>US9145441</t>
  </si>
  <si>
    <t>13/913259</t>
  </si>
  <si>
    <t>A61P 37/02 (20180101); A61P 29/00 (20180101); A61K 38/12 (20130101); C07K 5/06052 (20130101); C07K 5/06139 (20130101); A61P 31/00 (20180101); A61P 31/12 (20180101); C07K 5/06191 (20130101); C07D 498/18 (20130101); A61P 31/18 (20180101); A61P 35/00 (20180101); C07K 5/06086 (20130101); A61K 45/06 (20130101); A61P 11/00 (20180101); C07D 487/18 (20130101); A61P 31/14 (20180101); A61P 1/16 (20180101); A61P 3/04 (20180101); A61P 43/00 (20180101); Y02A 50/385 (20180101); Y02A 50/391 (20180101); Y02A 50/387 (20180101); Y02A 50/389 (20180101); A61K 38/21 (20130101); Y02A 50/395 (20180101)</t>
  </si>
  <si>
    <t>US9144607</t>
  </si>
  <si>
    <t>A61K 39/12 (20130101); A61K 39/145 (20130101); A61P 31/16 (20180101); C12N 7/00 (20130101); A61P 37/04 (20180101); C07K 14/005 (20130101); C07H 21/04 (20130101); C12N 2760/16122 (20130101); A61K 2039/70 (20130101); C12N 2760/16134 (20130101); C12N 2760/16034 (20130101); A61K 2039/575 (20130101); C12N 2760/16123 (20130101); C12N 2760/16023 (20130101); A61K 2039/5258 (20130101)</t>
  </si>
  <si>
    <t>US9139604</t>
  </si>
  <si>
    <t>Antiviral phosphonate analogs</t>
  </si>
  <si>
    <t>Constantine G. Boojamra, Carina E. Cannizzaro, James M. Chen, Xiaowu Chen, Aesop Cho, Lee S. Chong, Maria Fardis, Haolun Jin, Ralph Hirschmann, Alan X. Huang, Choung U. Kim, Thorsten A. Kirschberg, Christopher P. Lee, William A. Lee, Richard L. Mackman, David Y. Markevitch, David A. Oare, Vidya K. Prasad, Hyung-Jung Pyun, Adrian S. Ray, Rosemarie O'Shea, Sundaramoorthi Swaminathan, William J. Watkins, Jennifer R. Zhang</t>
  </si>
  <si>
    <t>A61K 47/548 (20170801); A61P 31/12 (20180101); C07F 9/58 (20130101); C07F 9/6539 (20130101); C07H 19/20 (20130101); C07H 21/00 (20130101); C07F 9/65031 (20130101); C07F 9/653 (20130101); A61K 31/662 (20130101); C07F 9/65616 (20130101); C07H 15/00 (20130101); C07F 9/655354 (20130101); C07H 19/056 (20130101); C07D 205/04 (20130101); C07F 9/4075 (20130101); C07F 9/650905 (20130101); C07D 413/14 (20130101); C07F 9/5728 (20130101); A61P 31/18 (20180101); C07D 409/06 (20130101); A61K 31/7076 (20130101); C07D 409/14 (20130101); C07F 9/65515 (20130101); C07H 17/00 (20130101); C07D 475/00 (20130101); A61P 43/00 (20180101); C07H 19/10 (20130101); C07D 211/58 (20130101); C07F 9/60 (20130101); C07F 9/6561 (20130101); A61K 31/7072 (20130101); A61P 31/14 (20180101); Y02A 50/393 (20180101); Y02A 50/465 (20180101)</t>
  </si>
  <si>
    <t>US9139570</t>
  </si>
  <si>
    <t>C07D 487/08 (20130101); A61P 1/16 (20180101); C07D 403/14 (20130101); A61P 31/12 (20180101); A61P 31/14 (20180101); A61K 31/4184 (20130101); A61K 31/7056 (20130101); C07D 471/08 (20130101); A61K 31/381 (20130101); C07B 2200/13 (20130101)</t>
  </si>
  <si>
    <t>US9129039</t>
  </si>
  <si>
    <t>Scenario driven data modelling: a method for integrating diverse sources     of data and data streams</t>
  </si>
  <si>
    <t>Thomas S. Brettin, Robert W. Cottingham, Shelton D. Griffith, Daniel J. Quest</t>
  </si>
  <si>
    <t>G06F 17/30958 (20130101); G06F 19/28 (20130101); G16H 50/80 (20180101)</t>
  </si>
  <si>
    <t>US9118980</t>
  </si>
  <si>
    <t>MEHTA NEELESH B; INDIAN INST OF SCIENCE IISC</t>
  </si>
  <si>
    <t>MEHTA NEELESH INDIAN INST SCIENCE IISC</t>
  </si>
  <si>
    <t>H04Q 9/00 (20130101); H04L 67/12 (20130101); H04W 52/28 (20130101); Y02D 70/00 (20180101); H04W 84/18 (20130101); H04W 4/70 (20180201); H04Q 2209/20 (20130101); H04Q 2209/40 (20130101); H04W 84/005 (20130101); H04W 52/0245 (20130101); H04W 4/025 (20130101); H04Q 2209/43 (20130101); H04W 84/02 (20130101); H04Q 2209/25 (20130101); G16H 50/80 (20180101)</t>
  </si>
  <si>
    <t>US9109014</t>
  </si>
  <si>
    <t>Foot and mouth disease virus (FMDV) consensus proteins, coding sequences     therefor and vaccines made therefrom</t>
  </si>
  <si>
    <t>13/503828</t>
  </si>
  <si>
    <t>David B Weiner, Bernadette Ferraro, Jian Yan, Patricia A Brown, Rodney A Bowling, Douglas R Kern, Mathura P Ramanathan, Niranjan Y Sardesai, Karuppiah Muthumani</t>
  </si>
  <si>
    <t>A61N 1/327 (20130101); A61P 31/14 (20180101); A61K 39/12 (20130101); A61M 37/00 (20130101); C07K 14/005 (20130101); G01N 33/56983 (20130101); A61K 39/39 (20130101); A61P 37/04 (20180101); C12N 7/00 (20130101); A61K 39/135 (20130101); A61K 2039/523 (20130101); A61K 2039/552 (20130101); A61K 2039/53 (20130101); G01N 2469/20 (20130101); C12N 2770/32122 (20130101); C12N 2770/32134 (20130101); G01N 2333/09 (20130101)</t>
  </si>
  <si>
    <t>US9090653</t>
  </si>
  <si>
    <t>Caroline Aciro, Victoria Alexandra Steadman, Simon Neil Pettit, Karine G. Poullennec, Linos Lazarides, David Kenneth Dean, Neil Andrew Dunbar, Adrian John Highton, Andrew John Keats, Dustin Scott Siegel, Kapil Kumar Karki, Adam James Schrier, Petr Jansa, Richard Mackman</t>
  </si>
  <si>
    <t>A61K 39/29 (20130101); A61K 38/55 (20130101); C07K 5/06034 (20130101); A61P 1/16 (20180101); C07D 487/08 (20130101); A61P 3/04 (20180101); C07K 19/00 (20130101); C07K 5/06086 (20130101); A61K 38/05 (20130101); C07K 5/06078 (20130101); A61P 31/18 (20180101); C07D 498/18 (20130101); C07K 5/06052 (20130101); C07K 5/06139 (20130101); A61P 37/02 (20180101); C07D 471/18 (20130101); A61K 38/12 (20130101); A61K 38/21 (20130101); A61K 45/06 (20130101); A61K 31/504 (20130101); A61P 31/20 (20180101); A61K 31/7072 (20130101); A61P 31/12 (20180101); A61P 31/14 (20180101); A61P 43/00 (20180101); C07K 5/02 (20130101); A61P 11/00 (20180101); C07K 5/0606 (20130101); A61K 31/497 (20130101); A61P 29/00 (20180101); C07D 498/08 (20130101); A61K 31/7056 (20130101); A61P 35/00 (20180101); C07D 498/22 (20130101); C07K 5/06191 (20130101); A61K 31/403 (20130101); A61P 31/00 (20180101); A61K 38/21 (20130101); A61K 2300/00 (20130101); A61K 38/55 (20130101); A61K 2300/00 (20130101); A61K 31/7056 (20130101); A61K 2300/00 (20130101); A61K 31/497 (20130101); A61K 2300/00 (20130101); A61K 31/403 (20130101); A61K 2300/00 (20130101); A61K 31/7072 (20130101); A61K 2300/00 (20130101); A61K 31/504 (20130101); A61K 2300/00 (20130101); Y02A 50/391 (20180101); Y02A 50/387 (20180101); A61K 38/00 (20130101); Y02A 50/395 (20180101); Y02A 50/385 (20180101); A61K 38/15 (20130101); Y02A 50/389 (20180101)</t>
  </si>
  <si>
    <t>US9089516</t>
  </si>
  <si>
    <t>Method of preventing or treating influenza A viral infection using cloned     DI influenza A viral particles</t>
  </si>
  <si>
    <t>13/712045</t>
  </si>
  <si>
    <t>THE UNIVERSITY OF WARWICK</t>
  </si>
  <si>
    <t>THE UNIVERSITY WARWICK</t>
  </si>
  <si>
    <t>Nigel Dimmock</t>
  </si>
  <si>
    <t>A61K 35/76 (20130101); A61K 39/12 (20130101); C07K 14/005 (20130101); C12N 7/00 (20130101); A61K 39/145 (20130101); C12N 2760/16121 (20130101); A61K 2039/543 (20130101); C12N 2760/16134 (20130101); A61K 2039/5252 (20130101); C12N 2760/16122 (20130101); A61K 2039/542 (20130101)</t>
  </si>
  <si>
    <t>Cloned, i.e. defined, defective interfering (DI) influenza A virus is     produced in embryonated hens eggs using a method which generates large     quantities of DI virus material. Co-administration of cloned DI influenza     A virus with a lethal dose of virulent influenza A virus conferred     protection in mice compared to a control of inactivated cloned DI     influenza A virus. Control mice which received only cloned DI influenza A     virus and no lethal challenge of virulent influenza A virus were not     protected three weeks later on lethal challenge with infective virus.     Cloned DI influenza A virus of one subtype is found to act in vivo as an     effective antiviral against the same or any other sub-type of influenza A     virus. The antiviral effect has been found to have both a therapeutic and     a prophylactic application against influenza A infection in humans,     mammals and birds.</t>
  </si>
  <si>
    <t>US9085615</t>
  </si>
  <si>
    <t>Antibodies to IL-6 to inhibit or treat inflammation</t>
  </si>
  <si>
    <t>Leon F. Garcia-Martinez, Ann Elisabeth Carvalho Jensen, Katie Anderson, Benjamin H. Dutzar, Ethan W. Ojala, Brian R. Kovacevich, John A. Latham, Jeffrey T. L. Smith</t>
  </si>
  <si>
    <t>US9079887</t>
  </si>
  <si>
    <t>A61K 31/7056 (20130101); A61K 45/06 (20130101); C07D 403/14 (20130101); A61K 31/4178 (20130101); C07D 401/14 (20130101); A61K 31/7064 (20130101); C07D 405/14 (20130101); A61K 38/21 (20130101); A61P 31/14 (20180101); A61K 31/7072 (20130101); A61K 31/4178 (20130101); A61K 2300/00 (20130101); A61K 31/7072 (20130101); A61K 2300/00 (20130101); A61K 31/7056 (20130101); A61K 2300/00 (20130101); A61K 31/7064 (20130101); A61K 2300/00 (20130101); A61K 38/21 (20130101); A61K 2300/00 (20130101)</t>
  </si>
  <si>
    <t>US9075909</t>
  </si>
  <si>
    <t>System and method to enable detection of viral infection by users of     electronic communication devices</t>
  </si>
  <si>
    <t>ALMOGY GAL; ALMOGY GILAD</t>
  </si>
  <si>
    <t>Gal Almogy, Gilad Almogy</t>
  </si>
  <si>
    <t>G16H 50/80 (20180101); G16H 50/20 (20180101); Y02A 90/24 (20180101)</t>
  </si>
  <si>
    <t>US9072701</t>
  </si>
  <si>
    <t>Avian influenza viruses, vaccines, compositions, formulations, and methods</t>
  </si>
  <si>
    <t>11/737104</t>
  </si>
  <si>
    <t>HOFFMANN ERICH; KRAUSS SCOTT L; KUMAR MAHESH; WEBBY RICHARD J; WEBSTER ROBERT G; ST JUDE CHILDRENS RES HOSPITAL; ZOETIS SERVICES LLC</t>
  </si>
  <si>
    <t>HOFFMANN ERICH; KRAUSS SCOTT KUMAR MAHESH; WEBBY RICHARD WEBSTER ROBERT ST JUDE CHILDRENS RES HOSPITAL; ZOETIS</t>
  </si>
  <si>
    <t>Erich Hoffmann, Scott L. Krauss, Mahesh Kumar, Richard J. Webby, Robert G. Webster</t>
  </si>
  <si>
    <t>A61K 39/145 (20130101); C07K 14/005 (20130101); A61K 39/39 (20130101); A61K 49/0004 (20130101); A61K 35/12 (20130101); A61K 39/12 (20130101); A61K 2039/5252 (20130101); A61K 2039/552 (20130101); A61K 2039/55566 (20130101); C12N 2760/16134 (20130101); A61K 2039/70 (20130101)</t>
  </si>
  <si>
    <t>A vaccine composition and method which is effective in preventing or     ameliorating Avian Influenza Virus infection is set forth herein. The     vaccine contains at least two inactivated strains of avian influenza     virus, wherein the combined hemagglutinin (HA) total is at least about     200 HA/dose of the vaccine composition, and wherein each of the strains     presents at least about 128 HA/dose, and further wherein one of the     strains has the same HA subtype as that of a challenge virus, and wherein     at least one of the strains has a different NA subtype than the challenge     virus.</t>
  </si>
  <si>
    <t>US9062092</t>
  </si>
  <si>
    <t>Victoria Alexandra Steadman, Karine G. Poullennec, Linos Lazarides, Caroline Aciro, David Kenneth Dean, Andrew John Keats, Dustin Scott Siegel, Adam James Schrier, Richard Mackman, Petr Jansa</t>
  </si>
  <si>
    <t>C07D 498/18 (20130101); C07K 5/0202 (20130101); C07D 487/08 (20130101); A61P 3/04 (20180101); A61P 31/12 (20180101); A61P 11/00 (20180101); A61P 31/14 (20180101); A61K 39/29 (20130101); C07D 498/08 (20130101); A61P 43/00 (20180101); C07D 498/22 (20130101); A61P 1/16 (20180101); A61P 31/00 (20180101); A61P 29/00 (20180101); A61K 38/12 (20130101); A61K 45/06 (20130101); A61P 31/20 (20180101); A61P 35/00 (20180101); A61P 37/02 (20180101); A61P 1/14 (20180101); A61P 31/18 (20180101); A61K 39/05 (20130101); C07K 5/02 (20130101); Y02A 50/385 (20180101); Y02A 50/395 (20180101); Y02A 50/389 (20180101); Y02A 50/391 (20180101); A61K 38/00 (20130101); Y02A 50/387 (20180101); Y02A 50/393 (20180101); A61K 38/15 (20130101)</t>
  </si>
  <si>
    <t>US9056860</t>
  </si>
  <si>
    <t>A61P 31/12 (20180101); A61P 1/16 (20180101); C07D 403/04 (20130101); A61P 31/14 (20180101); C07D 403/14 (20130101); Y02P 20/55 (20151101)</t>
  </si>
  <si>
    <t>US9051340</t>
  </si>
  <si>
    <t>A61K 38/21 (20130101); A61K 31/4188 (20130101); A61K 31/7064 (20130101); A61K 31/7072 (20130101); C07D 491/052 (20130101); A61K 47/60 (20170801); A61P 31/12 (20180101); A61P 43/00 (20180101); C07F 5/025 (20130101); C07D 405/12 (20130101); A61P 1/16 (20180101); A61K 38/07 (20130101); A61K 38/06 (20130101); A61K 45/06 (20130101); A61P 31/14 (20180101); A61K 31/7056 (20130101); A61K 31/7056 (20130101); A61K 2300/00 (20130101); A61K 31/4188 (20130101); A61K 2300/00 (20130101); A61K 31/7064 (20130101); A61K 2300/00 (20130101); A61K 31/7072 (20130101); A61K 2300/00 (20130101); Y10S 514/894 (20130101)</t>
  </si>
  <si>
    <t>US9050290</t>
  </si>
  <si>
    <t>A61K 39/145 (20130101); C07K 14/005 (20130101); A61K 39/12 (20130101); C12N 7/00 (20130101); A61K 2039/58 (20130101); A61K 2039/55555 (20130101); C12N 2710/14143 (20130101); C12N 2760/16123 (20130101); A61K 2039/55561 (20130101); C12N 2760/16034 (20130101); A61K 2039/543 (20130101); A61K 2039/70 (20130101); C12N 2760/16023 (20130101); C12N 2760/16134 (20130101); A61K 2039/5258 (20130101); C12N 2760/16022 (20130101); A61K 2039/55505 (20130101); C12N 2760/16122 (20130101)</t>
  </si>
  <si>
    <t>US9045777</t>
  </si>
  <si>
    <t>Pol I promoter derived from Vero cells and recombinant vector containing     same</t>
  </si>
  <si>
    <t>Young Ki Choi, Chun Kang, Kee Jong Hong, Min Suk Song, Yun Hee Baek</t>
  </si>
  <si>
    <t>C12N 15/85 (20130101); C12N 7/00 (20130101); C12Y 207/07007 (20130101); C12N 9/1252 (20130101); C12N 2830/85 (20130101); C12N 2760/16151 (20130101); C12N 2760/16152 (20130101); C12N 2760/16052 (20130101); C12N 2760/16051 (20130101)</t>
  </si>
  <si>
    <t>US9045462</t>
  </si>
  <si>
    <t>Jared Wayne Evans, Shinji Fujimori, Grace M. Huynh, Qi Liu, Martin Gerald Teresk</t>
  </si>
  <si>
    <t>C07D 307/20 (20130101); C07D 409/12 (20130101)</t>
  </si>
  <si>
    <t>The present disclosure provides processes for the preparation of a     compound of Formula I:  ##STR00001##  which is useful as an antiviral     agent. The disclosure also provides compounds that are synthetic     intermediates to compounds of formula.</t>
  </si>
  <si>
    <t>US9034313</t>
  </si>
  <si>
    <t>Nucleic acid molecules encoding rantes, and compositions comprising and     methods of using the same</t>
  </si>
  <si>
    <t>13/577387</t>
  </si>
  <si>
    <t>David B Weiner, Jean D Boyer, Michele Kutzler</t>
  </si>
  <si>
    <t>A61P 31/00 (20180101); A61P 37/06 (20180101); A61K 39/21 (20130101); C07K 14/523 (20130101); A61P 35/00 (20180101); A61K 31/7088 (20130101); A61P 37/02 (20180101); C07H 21/04 (20130101); A61P 37/04 (20180101); A61K 39/12 (20130101); C12N 2740/15034 (20130101); Y02A 50/41 (20180101); Y02A 50/491 (20180101); A61K 2039/55538 (20130101); C12N 2740/16011 (20130101); A61K 2039/53 (20130101); C12N 15/63 (20130101); Y02A 50/423 (20180101); A61K 2039/545 (20130101); A61K 48/00 (20130101); C07K 14/47 (20130101); C07K 14/435 (20130101); Y02A 50/487 (20180101); C12N 2740/16034 (20130101); Y02A 50/412 (20180101); A61K 2039/57 (20130101)</t>
  </si>
  <si>
    <t>Nucleic acid molecules comprising a nucleotide sequence encoding RANTES     and fragments and variants thereof are disclosed. Additionally, nucleic     acid molecules and compositions comprising the nucleotide sequence     encoding RANTES and fragments and variants thereof in combination with     nucleic acid sequences encoding immunogens are provided. Recombinant     viral vectors comprising the nucleotide sequence encoding RANTES and     fragments and variants thereof with or without a nucleic acid sequence     encoding immunogens are also provided as are live attenuated pathogens     comprising a nucleotide sequence encoding RANTES and fragments and     variants thereof. Methods of modulating immune responses and of inducing     an immune response against an immunogen are also disclosed.</t>
  </si>
  <si>
    <t>US9031632</t>
  </si>
  <si>
    <t>Imaging based virus detection</t>
  </si>
  <si>
    <t>Mark E. Olszewski, Matthew J. Walker</t>
  </si>
  <si>
    <t>A61B 6/032 (20130101); A61B 6/5217 (20130101); G06F 19/321 (20130101); G16H 50/20 (20180101); A61B 8/5223 (20130101); A61B 8/485 (20130101); G16H 50/80 (20180101)</t>
  </si>
  <si>
    <t>US9029534</t>
  </si>
  <si>
    <t>C07F 9/6512 (20130101); A61P 31/12 (20180101); C07F 9/65616 (20130101); C07F 9/65583 (20130101); A61P 35/00 (20180101)</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</si>
  <si>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</si>
  <si>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US9029526</t>
  </si>
  <si>
    <t>Nucleic acid molecules, polypeptides, antibodies and compositions for     treating and detecting influenza virus infection</t>
  </si>
  <si>
    <t>13/680132</t>
  </si>
  <si>
    <t>Ruth Arnon, Sung-Ho Jeon, Basak Kayhan, Tamar Ben-Yedidia</t>
  </si>
  <si>
    <t>A61P 29/00 (20180101); C07H 21/04 (20130101); A61P 43/00 (20180101); C12N 15/115 (20130101); G01N 33/56983 (20130101); A61P 37/00 (20180101); A61P 31/16 (20180101); A61P 11/00 (20180101); A61P 31/12 (20180101); C12N 2310/322 (20130101); C12N 2310/16 (20130101); G01N 2333/11 (20130101)</t>
  </si>
  <si>
    <t>Polynucleotides and polypeptides which participate in influenza virus     infection of cells and nucleic acid molecules, which include a     polynucleotide sequence capable of specifically binding the polypeptides     of the present invention. Also provided are methods of using such nucleic     acid molecules, polynucleotides and antibodies directed thereagainst for     diagnosing, treating and preventing influenza virus infection.</t>
  </si>
  <si>
    <t>US9028838</t>
  </si>
  <si>
    <t>Chin-Fen Yang, George Kemble</t>
  </si>
  <si>
    <t>A61K 39/145 (20130101); C07K 14/005 (20130101); A61K 39/12 (20130101); C12N 7/00 (20130101); A61K 39/00 (20130101); A61K 2039/5252 (20130101); A61K 2039/5254 (20130101); C12N 2760/16122 (20130101); C12N 2760/16134 (20130101); C12N 2760/16164 (20130101); A61K 2039/543 (20130101)</t>
  </si>
  <si>
    <t>US9028797</t>
  </si>
  <si>
    <t>Composite body for antigen or drug delivery</t>
  </si>
  <si>
    <t>13/581194</t>
  </si>
  <si>
    <t>NAGASAKI UNIVERSITY</t>
  </si>
  <si>
    <t>Hitoshi Sasaki, Tomoaki Kurosaki, Takashi Kitahara, Hideto To, Katsuyuki Yui, Kenji Hirayama, Kouichi Morita, Takahiro Mukai, Yasuhiro Magata, Mikako Ogawa, Kohei Sano</t>
  </si>
  <si>
    <t>A61K 47/59 (20170801); A61K 39/39 (20130101); A61P 31/04 (20180101); A61P 31/12 (20180101); A61K 31/711 (20130101); A61P 35/00 (20180101); A61P 31/16 (20180101); A61K 47/6455 (20170801); A61K 39/0011 (20130101); A61P 37/04 (20180101); A61K 39/12 (20130101); A61P 33/06 (20180101); A61K 31/713 (20130101); A61P 35/04 (20180101); A61P 31/00 (20180101); A61P 31/18 (20180101); A61K 39/145 (20130101); A61K 49/0002 (20130101); A61K 47/645 (20170801); A61P 31/20 (20180101); A61K 51/065 (20130101); A61K 39/015 (20130101); A61K 47/593 (20170801); A61K 2039/55555 (20130101); A61K 2039/5252 (20130101); C12N 2760/16034 (20130101)</t>
  </si>
  <si>
    <t>The invention provides an antigen or drug delivery complex containing a     complex of an antigen or drug and a cationic molecule, and an anionic     molecule encapsulating the same. The antigen or drug delivery complex can     be used as a main component of a drug delivery system that delivers     various antigens and drugs to a particular cell or organ.</t>
  </si>
  <si>
    <t>US9026531</t>
  </si>
  <si>
    <t>Associating multiple data sources into a web-accessible framework</t>
  </si>
  <si>
    <t>Mark A. Hoffman, Kevin M. Power, Kathleen M. Gorman, Aaron Bush, Michelle Siefert, Matthew F. Emons</t>
  </si>
  <si>
    <t>G06F 17/30899 (20130101); G16H 50/80 (20180101); G06F 19/3456 (20130101); G06F 17/3089 (20130101)</t>
  </si>
  <si>
    <t>US9012136</t>
  </si>
  <si>
    <t>Detection of an analyte in a sample</t>
  </si>
  <si>
    <t>12/742996</t>
  </si>
  <si>
    <t>Emmanuel Delamarche, Daniel J. Solis</t>
  </si>
  <si>
    <t>B01L 3/502753 (20130101); G01N 33/56983 (20130101); B01L 3/502761 (20130101); B01L 3/5029 (20130101); B01L 2200/0668 (20130101); B01L 2300/0654 (20130101); G01N 2333/11 (20130101); B01L 2400/0406 (20130101); B01L 2400/0688 (20130101); B01L 2400/086 (20130101); B01L 2300/0681 (20130101)</t>
  </si>
  <si>
    <t>US9005887</t>
  </si>
  <si>
    <t>13/459764</t>
  </si>
  <si>
    <t>US8999969</t>
  </si>
  <si>
    <t>Anti-RSV compounds</t>
  </si>
  <si>
    <t>Richard L. Mackman, David Sperandio, Hai Yang</t>
  </si>
  <si>
    <t>A61P 31/12 (20180101); A61P 29/00 (20180101); C07D 495/04 (20130101); A61P 31/14 (20180101)</t>
  </si>
  <si>
    <t>US8999353</t>
  </si>
  <si>
    <t>Method of eliciting an immune response against pandemic influenza virus</t>
  </si>
  <si>
    <t>Martin Pearse, Steve Rockman, David Ryan</t>
  </si>
  <si>
    <t>A61K 39/145 (20130101); A61K 39/12 (20130101); A61K 39/39 (20130101); A61K 2039/55572 (20130101); A61K 2039/55577 (20130101); C12N 2760/16134 (20130101); A61K 2039/58 (20130101); A61K 2039/70 (20130101); C12N 2760/16234 (20130101)</t>
  </si>
  <si>
    <t>US8999330</t>
  </si>
  <si>
    <t>C07K 16/241 (20130101); C07K 16/461 (20130101); C07K 16/248 (20130101); A61P 7/02 (20180101); C07K 2317/94 (20130101); A61K 2039/545 (20130101); C07K 2317/24 (20130101); A61K 39/395 (20130101); C07K 2317/76 (20130101); C07K 2317/34 (20130101); C07K 2317/33 (20130101); A61K 2039/505 (20130101); C07K 2317/92 (20130101)</t>
  </si>
  <si>
    <t>US8987437</t>
  </si>
  <si>
    <t>Processes and intermediates for preparing anti-HIV Agents</t>
  </si>
  <si>
    <t>13/475569</t>
  </si>
  <si>
    <t>C07H 19/173 (20130101); C07D 473/34 (20130101); C07H 19/20 (20130101); C07F 9/4075 (20130101); C07H 19/16 (20130101); C07H 23/00 (20130101); C07H 19/02 (20130101); C07F 9/65616 (20130101); C07F 9/4449 (20130101); C07H 19/04 (20130101); A61K 31/66 (20130101)</t>
  </si>
  <si>
    <t>US8980878</t>
  </si>
  <si>
    <t>A61K 31/53 (20130101); A61P 31/00 (20180101); A61K 31/5377 (20130101); C07D 519/00 (20130101); A61K 31/519 (20130101); A61P 43/00 (20180101); C07D 487/04 (20130101); A61K 31/4545 (20130101); A61K 31/5025 (20130101); A61P 31/12 (20180101); A61P 11/00 (20180101); A61P 31/14 (20180101); C07D 471/04 (20130101); A61K 45/06 (20130101)</t>
  </si>
  <si>
    <t>US8969588</t>
  </si>
  <si>
    <t>Robert William Scott, Fang Wang, Bing Shi, Erik Mogalian</t>
  </si>
  <si>
    <t>C07D 471/08 (20130101); C07D 403/14 (20130101); A61P 31/12 (20180101); A61P 31/14 (20180101); C07D 487/08 (20130101); A61K 31/7056 (20130101); A61K 31/381 (20130101); A61P 1/16 (20180101); A61K 31/4184 (20130101); C07B 2200/13 (20130101)</t>
  </si>
  <si>
    <t>Amorphous and crystalline solid forms of the anti-HCV compound     (1-{3-[6-(9,9-difluoro-7-{2     -[5-(2-methoxycarbonylamino-3-methyl-butyryl)-5-aza-spiro[2.4]hept-6-yl]--    3H-imidazol-4-yl}-9H-fluoren-2-yl)-1H-benzoimidazol-2-yl]-2-aza-bicyclo[2.-    2.1]heptane-2-carbonyl}-2-methyl -propyl)-carbamic acid methyl ester     (Compound I) were prepared and characterized in the solid state:     ##STR00001##  Also provided are processes of manufacture and methods of     using the amorphous and crystalline forms.</t>
  </si>
  <si>
    <t>US8962652</t>
  </si>
  <si>
    <t>Randall L. Halcomb, Paul Roethle</t>
  </si>
  <si>
    <t>C07D 473/16 (20130101); A61P 31/12 (20180101); A61K 31/437 (20130101); A61P 31/18 (20180101); A61P 11/02 (20180101); A61P 43/00 (20180101); A61P 1/16 (20180101); C07D 473/34 (20130101); A61K 31/522 (20130101); A61P 31/16 (20180101); C07D 471/04 (20130101); A61K 31/5377 (20130101); A61P 11/06 (20180101); A61P 11/00 (20180101); A61P 31/14 (20180101); C07D 473/18 (20130101); A61P 1/04 (20180101); A61P 35/00 (20180101); A61P 31/00 (20180101); A61P 37/08 (20180101); C07D 473/24 (20130101)</t>
  </si>
  <si>
    <t>US8960194</t>
  </si>
  <si>
    <t>Ventilator for rapid response to respiratory disease conditions</t>
  </si>
  <si>
    <t>Richard Henry Cooke, Nicholas Ong, Roy Hays, David Kevin Hinton, Theodore Scott Hergert, Jeffrey Jay Gilham</t>
  </si>
  <si>
    <t>A61M 16/20 (20130101); A61M 16/0409 (20140204); A61M 16/127 (20140204); A61M 16/204 (20140204); A61M 16/205 (20140204); A61M 16/207 (20140204); A61M 16/209 (20140204); A61M 2205/581 (20130101); Y10T 29/49002 (20150115); A61M 2205/8206 (20130101); A61M 2209/06 (20130101); A61M 16/0434 (20130101); A61M 2016/0015 (20130101); A61M 2016/0021 (20130101); A61M 2016/0027 (20130101); A61M 2202/0208 (20130101); A61M 2205/18 (20130101); Y10T 29/5313 (20150115); A61M 2205/587 (20130101)</t>
  </si>
  <si>
    <t>US8951986</t>
  </si>
  <si>
    <t>A61P 31/18 (20180101); A61K 9/20 (20130101); A61K 9/2018 (20130101); A61K 31/7076 (20130101); A61K 31/675 (20130101); A61K 45/06 (20130101); C07H 19/20 (20130101); A61K 31/675 (20130101); A61K 2300/00 (20130101)</t>
  </si>
  <si>
    <t>US8951537</t>
  </si>
  <si>
    <t>C07K 14/005 (20130101); A61K 39/39 (20130101); A61K 39/12 (20130101); A61K 39/145 (20130101); C12N 7/00 (20130101); C12N 15/86 (20130101); C12N 2710/14143 (20130101); A61K 2039/5258 (20130101); A61K 2039/70 (20130101); C12N 2760/16134 (20130101); C12N 2760/16123 (20130101); A61K 2039/55555 (20130101); C12N 2760/16071 (20130101); C12N 2760/16034 (20130101); A61K 2039/543 (20130101); C12N 2760/16122 (20130101); C12N 2760/16023 (20130101); A61K 2039/55505 (20130101)</t>
  </si>
  <si>
    <t>US8946238</t>
  </si>
  <si>
    <t>Constantine G. Boojamra, Hon Chung Hui, Petr Jansa, Richard L. Mackman, Jay P. Parrish, Michael Sangi, Dustin Siegel, David Sperandio, Hai Yang</t>
  </si>
  <si>
    <t>A61P 11/00 (20180101); C07D 519/00 (20130101); A61P 31/12 (20180101); C07D 487/04 (20130101); C07D 487/08 (20130101); A61K 31/519 (20130101); A61K 31/538 (20130101); A61K 45/06 (20130101); A61K 31/5377 (20130101); A61K 31/675 (20130101); A61K 31/5025 (20130101); C07F 9/6561 (20130101)</t>
  </si>
  <si>
    <t>US8945009</t>
  </si>
  <si>
    <t>Remote health monitoring system</t>
  </si>
  <si>
    <t>Stephen J. Brown, Gowthaman Gunabushanam</t>
  </si>
  <si>
    <t>G06F 19/3418 (20130101); G16H 50/80 (20180101); A61B 5/0022 (20130101); Y10S 128/92 (20130101)</t>
  </si>
  <si>
    <t>US8940718</t>
  </si>
  <si>
    <t>A61K 31/4188 (20130101); A61K 38/21 (20130101); A61K 38/07 (20130101); C07F 5/025 (20130101); A61P 1/16 (20180101); A61K 31/7072 (20130101); A61K 31/7056 (20130101); A61K 38/06 (20130101); A61P 31/14 (20180101); C07D 491/052 (20130101); A61P 31/12 (20180101); A61K 31/7064 (20130101); A61P 43/00 (20180101); C07D 405/12 (20130101); A61K 45/06 (20130101); A61K 47/60 (20170801); A61K 31/7056 (20130101); A61K 2300/00 (20130101); A61K 31/4188 (20130101); A61K 2300/00 (20130101); A61K 31/7064 (20130101); A61K 2300/00 (20130101); A61K 31/7072 (20130101); A61K 2300/00 (20130101); Y10S 514/894 (20130101)</t>
  </si>
  <si>
    <t>US8936944</t>
  </si>
  <si>
    <t>C12M 41/48 (20130101); C12Q 3/00 (20130101); G16H 50/80 (20180101); G01N 15/0255 (20130101); Y10T 436/255 (20150115); Y10T 436/114998 (20150115); Y10T 436/25 (20150115)</t>
  </si>
  <si>
    <t>US8933015</t>
  </si>
  <si>
    <t>Todd Appleby, Hans G. Fliri, Andrew J. Keats, Linos Lazarides, Richard L. Mackman, Simon N. Pettit, Karine G. Poullennec, Jonathan Sanvoisin, Victoria A. Steadman, Gregory M. Watt</t>
  </si>
  <si>
    <t>A61K 45/06 (20130101); A61P 31/18 (20180101); C07D 487/04 (20130101); A61P 31/12 (20180101); C07D 498/08 (20130101); C07D 487/08 (20130101); C07D 498/18 (20130101); A61P 31/10 (20180101); A61P 31/14 (20180101); A61K 38/06 (20130101); C07K 5/06052 (20130101); A61P 31/00 (20180101); C07K 5/02 (20130101)</t>
  </si>
  <si>
    <t>US8927741</t>
  </si>
  <si>
    <t>William John Watkins, Qi Liu</t>
  </si>
  <si>
    <t>C07D 409/12 (20130101); C07D 333/36 (20130101); A61P 31/12 (20180101)</t>
  </si>
  <si>
    <t>The present disclosure provides a processes for the preparation of a     compound of Formula I:  ##STR00001##  which is useful as an antiviral     agent. The disclosure also provides compounds that are synthetic     intermediates to compounds of Formula I.</t>
  </si>
  <si>
    <t>US8927484</t>
  </si>
  <si>
    <t>Zhenhong R. Cai, Michael O'Neil Hanrahan Clarke, Edward Doerffler, Mingzhe Ji, Choung U. Kim, Hyung-jung Pyun, Xiaoning C. Sheng, Qiaoyin Wu</t>
  </si>
  <si>
    <t>C07D 487/04 (20130101); A61P 31/14 (20180101); C07D 498/04 (20130101); C07D 471/04 (20130101); A61K 38/00 (20130101)</t>
  </si>
  <si>
    <t>US8921536</t>
  </si>
  <si>
    <t>13/278160</t>
  </si>
  <si>
    <t>David B Weiner, Krystle Lang, Jian Yan, Ruxandra Draghia-Akli, Amir S Khan</t>
  </si>
  <si>
    <t>C07K 14/005 (20130101); A61P 31/14 (20180101); A61K 39/29 (20130101); A61K 31/711 (20130101); A61K 39/12 (20130101); A61K 2039/57 (20130101); C07K 2319/02 (20130101); A61K 38/00 (20130101); A61K 2039/53 (20130101); C12N 2770/24222 (20130101); C12N 2770/24234 (20130101)</t>
  </si>
  <si>
    <t>US8921341</t>
  </si>
  <si>
    <t>C07D 491/052 (20130101); A61K 45/06 (20130101); A61K 38/07 (20130101); A61K 31/7056 (20130101); A61P 43/00 (20180101); A61K 31/4188 (20130101); A61K 31/7064 (20130101); A61K 38/21 (20130101); A61K 38/06 (20130101); A61P 1/16 (20180101); C07D 405/12 (20130101); C07F 5/025 (20130101); A61K 47/60 (20170801); A61P 31/14 (20180101); A61K 31/7072 (20130101); A61P 31/12 (20180101); A61K 31/7056 (20130101); A61K 2300/00 (20130101); A61K 31/4188 (20130101); A61K 2300/00 (20130101); A61K 31/7064 (20130101); A61K 2300/00 (20130101); A61K 31/7072 (20130101); A61K 2300/00 (20130101); Y10S 514/894 (20130101)</t>
  </si>
  <si>
    <t>US8921047</t>
  </si>
  <si>
    <t>David J. Ecker, Richard H. Griffey, Rangarajan Sampath, Steven A. Hofstadler, John McNeil, Stanley T. Crooke</t>
  </si>
  <si>
    <t>G06F 19/18 (20130101); G06F 19/10 (20130101); G06F 19/16 (20130101); G16H 50/80 (20180101); G06F 19/28 (20130101); Y02A 90/24 (20180101); Y02A 90/26 (20180101)</t>
  </si>
  <si>
    <t>US8920812</t>
  </si>
  <si>
    <t>Chimeric RSV-F polypeptide and lentivirus or alpha-retrovirus Gag-based     VLPS</t>
  </si>
  <si>
    <t>13/505250</t>
  </si>
  <si>
    <t>TAKEDA GMBH</t>
  </si>
  <si>
    <t>TAKEDA</t>
  </si>
  <si>
    <t>Joel R. Haynes</t>
  </si>
  <si>
    <t>C07K 14/005 (20130101); C07K 16/1027 (20130101); A61P 31/14 (20180101); C07K 16/087 (20130101); A61P 31/12 (20180101); A61P 11/00 (20180101); A61K 39/12 (20130101); A61P 37/04 (20180101); C12N 2760/00023 (20130101); C12N 2740/16222 (20130101); C12N 2760/18522 (20130101); C07K 2317/76 (20130101); C07K 2319/00 (20130101); C12N 2740/11023 (20130101); C12N 2740/16023 (20130101); C12N 2760/18534 (20130101); A61K 2039/5258 (20130101)</t>
  </si>
  <si>
    <t>The present invention relates to chimeric RSV-F polypeptide and     lentivirus or alpha-retrovirus GAG-based virus-like particles (VLPs). The     present invention also includes methods of making and using such chimeric     VLPs. In certain embodiments, the GAG polypeptide of the chimeric VLPs     comprises an HIV or ALV GAG polypeptide.</t>
  </si>
  <si>
    <t>US8889159</t>
  </si>
  <si>
    <t>US8884030</t>
  </si>
  <si>
    <t>Eda Canales, Lee S. Chong, Michael O'Neil Hanrahan Clarke, Edward Doerffler, Scott E. Lazerwith, Willard Lew, Michael Mertzman, Philip A. Morganelli, William J. Watkins</t>
  </si>
  <si>
    <t>A61P 31/00 (20180101); A61K 31/381 (20130101); A61K 31/4545 (20130101); A61K 45/06 (20130101); A61K 31/4535 (20130101); A61P 31/14 (20180101); A61K 31/501 (20130101); A61P 31/12 (20180101); C07D 493/04 (20130101); C07D 333/38 (20130101); A61K 31/427 (20130101); A61K 31/454 (20130101); C07D 409/14 (20130101); A61K 31/4025 (20130101); A61K 31/497 (20130101); C07D 413/12 (20130101); C07D 409/12 (20130101)</t>
  </si>
  <si>
    <t>US8882664</t>
  </si>
  <si>
    <t>Animal symptom visual analytics</t>
  </si>
  <si>
    <t>David S. Ebert, Ross Larry Maciejewski, Benjamin N. Tyner, Yun Jang, William Cleveland, Sandra Amass</t>
  </si>
  <si>
    <t>G06F 19/3493 (20130101); G06F 19/26 (20130101); G16H 50/80 (20180101); G06F 19/24 (20130101); G16H 15/00 (20180101)</t>
  </si>
  <si>
    <t>US8877733</t>
  </si>
  <si>
    <t>1'-substituted pyrimidine N-nucleoside analogs for antiviral treatment</t>
  </si>
  <si>
    <t>Aesop Cho, Choung U. Kim, Thorsten A. Kirschberg, Michael R. Mish, Neil Squires</t>
  </si>
  <si>
    <t>A61K 38/21 (20130101); C07H 19/067 (20130101); C07H 19/06 (20130101); A61P 43/00 (20180101); A61K 31/7072 (20130101); A61K 31/13 (20130101); A61K 31/245 (20130101); C07H 19/09 (20130101); C07H 19/073 (20130101); A61K 45/06 (20130101); C07H 19/10 (20130101); A61P 31/14 (20180101); C07H 19/11 (20130101); A61K 31/7068 (20130101); A61P 31/12 (20180101); A61K 31/196 (20130101); A61K 31/351 (20130101); A61K 38/21 (20130101); A61K 2300/00 (20130101); A61K 31/13 (20130101); A61K 2300/00 (20130101); A61K 31/245 (20130101); A61K 2300/00 (20130101); A61K 31/351 (20130101); A61K 2300/00 (20130101); A61K 31/196 (20130101); A61K 2300/00 (20130101); A61K 31/7068 (20130101); A61K 2300/00 (20130101); A61K 31/7072 (20130101); A61K 2300/00 (20130101)</t>
  </si>
  <si>
    <t>Provided are compounds of Formula I:  ##STR00001##  nucleosides,     nucleoside phosphates and prodrugs thereof, wherein R.sup.6 is CN,     ethenyl, 2-haloethen-1-yl, or (C.sub.2-C.sub.8)-alkyn-1-yl. The     compounds, compositions, and methods provided are useful for the     treatment of Flaviviridae virus infections.</t>
  </si>
  <si>
    <t>US8871785</t>
  </si>
  <si>
    <t>Constantine G. Boojamra, Carina E. Cannizzaro, James M. Chen, Xiaowu Chen, Aesop Cho, Lee S. Chong, Maria Fardis, Haolun Jin, Ralph Hirschmann, Alan X. Huang, Choung U. Kim, Thorsten A. Kirschberg, Christopher P. Lee, William A. Lee, Richard L. Mackman, David Y. Markevitch, David A. Oare, Vidya K. Prasad, Hyung-Jung Pyun, Adrian S. Ray, Rosemarie O'Shea, Sundaramoorthi Swaninathan, William J. Watkins, Jennifer R. Zhang</t>
  </si>
  <si>
    <t>A61K 31/7076 (20130101); C07H 15/00 (20130101); C07D 205/04 (20130101); A61P 31/14 (20180101); C07D 211/58 (20130101); C07H 17/00 (20130101); A61K 31/7072 (20130101); C07H 19/20 (20130101); C07F 9/4075 (20130101); C07F 9/60 (20130101); A61K 47/548 (20170801); C07H 19/056 (20130101); C07D 409/14 (20130101); C07F 9/653 (20130101); C07F 9/655354 (20130101); A61P 31/12 (20180101); A61P 31/18 (20180101); C07F 9/65031 (20130101); C07H 21/00 (20130101); C07F 9/65616 (20130101); C07D 475/00 (20130101); C07F 9/5728 (20130101); A61P 43/00 (20180101); C07F 9/58 (20130101); C07F 9/6561 (20130101); A61K 31/662 (20130101); C07F 9/6539 (20130101); C07H 19/10 (20130101); C07D 409/06 (20130101); C07D 413/14 (20130101); C07F 9/65515 (20130101); C07F 9/650905 (20130101); Y02A 50/465 (20180101); Y02A 50/393 (20180101)</t>
  </si>
  <si>
    <t>US8862448</t>
  </si>
  <si>
    <t>US8853171</t>
  </si>
  <si>
    <t>A61P 43/00 (20180101); A61P 31/12 (20180101); A61P 31/20 (20180101); C07D 487/04 (20130101); C07H 19/23 (20130101); A61P 31/00 (20180101); A61P 31/16 (20180101); A61P 31/14 (20180101); A61P 1/16 (20180101)</t>
  </si>
  <si>
    <t>US8852892</t>
  </si>
  <si>
    <t>Donald F. Shepard, David B. Knaebel, D. Anthony Gray</t>
  </si>
  <si>
    <t>G06F 19/3493 (20130101); G16H 50/80 (20180101); G16H 10/40 (20180101)</t>
  </si>
  <si>
    <t>US8849728</t>
  </si>
  <si>
    <t>Visual analytics law enforcement tools</t>
  </si>
  <si>
    <t>David S. Ebert, Timothy Collins, Ross Maciejewski, Abish Malik</t>
  </si>
  <si>
    <t>G06K 9/6218 (20130101); G16H 50/80 (20180101)</t>
  </si>
  <si>
    <t>US8841340</t>
  </si>
  <si>
    <t>A61K 31/7056 (20130101); C07D 409/12 (20130101); A61K 45/06 (20130101); A61P 43/00 (20180101); A61P 1/16 (20180101); C07D 407/04 (20130101); A61P 31/12 (20180101); A61K 31/381 (20130101); A61K 31/4184 (20130101); A61P 31/14 (20180101); C07D 471/08 (20130101); A61K 31/7072 (20130101)</t>
  </si>
  <si>
    <t>US8841331</t>
  </si>
  <si>
    <t>Inhibitors of human immunodeficiency virus replication</t>
  </si>
  <si>
    <t>Christiane Yoakim, Murray D. Bailey, Francois Bilodeau, Rebekah Carson, Lee Fader, Stephen Kawai, Sebastien Morin, Carl Thibeault, Bruno Simoneau, Simon Surprenant, Youla S. Tsantrizos, Steven R. Laplante</t>
  </si>
  <si>
    <t>C07D 413/14 (20130101); C07D 405/10 (20130101); C07D 413/10 (20130101); A61K 31/4741 (20130101); A61K 31/4375 (20130101); A61K 31/4433 (20130101); A61K 31/4709 (20130101); A61K 31/44 (20130101); C07D 405/14 (20130101); A61K 31/4439 (20130101); C07D 401/12 (20130101); A61K 31/5383 (20130101); C07D 417/10 (20130101); A61K 31/444 (20130101); A61K 31/501 (20130101); A61P 31/18 (20180101); A61K 31/538 (20130101); C07D 213/55 (20130101); C07D 213/81 (20130101); A61K 31/506 (20130101); A61K 45/06 (20130101); C07D 498/06 (20130101); C07D 471/04 (20130101); C07D 411/10 (20130101); C07D 491/06 (20130101); A61K 31/4436 (20130101)</t>
  </si>
  <si>
    <t>Compounds of formula I:  ##STR00001##  wherein a, R.sup.1, R.sup.2,     R.sup.3, R.sup.4, R.sup.5 and R.sup.6 are defined herein, are useful as     inhibitors of HIV replication.</t>
  </si>
  <si>
    <t>US8841278</t>
  </si>
  <si>
    <t>A61K 31/454 (20130101); C07F 5/025 (20130101); C07D 403/04 (20130101); C07D 471/04 (20130101); C07D 409/14 (20130101); C07D 495/04 (20130101); A61P 31/12 (20180101); C07D 471/10 (20130101); A61K 31/4184 (20130101); A61K 31/4025 (20130101); A61K 31/437 (20130101); C07D 413/14 (20130101); C07D 487/04 (20130101); C07D 471/08 (20130101); A61K 31/519 (20130101); C07D 417/14 (20130101); C07D 403/14 (20130101); A61K 31/5415 (20130101); A61K 45/06 (20130101); C07D 207/16 (20130101); A61K 31/496 (20130101); C07D 491/113 (20130101); A61K 31/427 (20130101); A61K 31/4439 (20130101); C07D 401/14 (20130101); C07D 405/14 (20130101); A61K 31/4178 (20130101); A61K 31/435 (20130101); A61K 31/5377 (20130101); A61K 31/55 (20130101)</t>
  </si>
  <si>
    <t>US8841275</t>
  </si>
  <si>
    <t>13/307256</t>
  </si>
  <si>
    <t>A61K 31/7076 (20130101); A61P 31/12 (20180101); C07H 23/00 (20130101); A61P 31/00 (20180101); A61P 31/14 (20180101); C07H 19/16 (20130101); A61K 31/706 (20130101); A61P 31/22 (20180101); A61K 31/7052 (20130101); A61K 31/708 (20130101); C07H 19/207 (20130101); C07H 19/06 (20130101); C07H 19/20 (20130101); C07H 19/10 (20130101); A61K 45/06 (20130101); A61K 31/7064 (20130101); Y02A 50/463 (20180101); Y02A 50/385 (20180101)</t>
  </si>
  <si>
    <t>US8841100</t>
  </si>
  <si>
    <t>A61P 31/16 (20180101); A61K 45/06 (20130101); C12P 7/06 (20130101); A61P 31/04 (20180101); A61K 31/10 (20130101); A61P 31/10 (20180101); A61K 9/0014 (20130101); C12N 1/18 (20130101); A61K 31/431 (20130101); C12P 7/56 (20130101); A61K 31/43 (20130101); A61P 31/00 (20180101); A61P 43/00 (20180101); A01N 41/10 (20130101); C12N 1/20 (20130101); C12N 1/38 (20130101); A61K 31/437 (20130101); A61K 31/43 (20130101); A61K 2300/00 (20130101); A61K 31/431 (20130101); A61K 2300/00 (20130101); Y02A 50/473 (20180101); Y02E 50/17 (20130101); Y02E 50/343 (20130101); Y02A 50/411 (20180101); Y02A 50/406 (20180101); Y02A 50/409 (20180101)</t>
  </si>
  <si>
    <t>US8835107</t>
  </si>
  <si>
    <t>VAN DER HOEK CORNELIA MARIA; AMSTERDAM INST OF VIRAL GENOMICS B V</t>
  </si>
  <si>
    <t>VAN DER HOEK CORNELIA MARIA; AMSTERDAM INST VIRAL GENOMICS V</t>
  </si>
  <si>
    <t>Cornelia Maria Van Der Hoek</t>
  </si>
  <si>
    <t>A61P 31/00 (20180101); C12N 7/00 (20130101); C07K 14/005 (20130101); C07K 16/10 (20130101); C12Q 1/701 (20130101); A61K 39/215 (20130101); A61K 39/12 (20130101); A61P 31/14 (20180101); C12Q 1/702 (20130101); G01N 33/56983 (20130101); C12Q 1/702 (20130101); C12Q 2531/113 (20130101); C12N 2770/20022 (20130101); C12N 2770/20021 (20130101); A61K 38/00 (20130101); G01N 2333/165 (20130101); C12N 2770/20011 (20130101); A61K 39/00 (20130101); C12N 2770/20034 (20130101); C12Q 1/70 (20130101); A61K 2039/525 (20130101)</t>
  </si>
  <si>
    <t>US8829174</t>
  </si>
  <si>
    <t>13/127008</t>
  </si>
  <si>
    <t>David B Weiner, Krystle A. Lang Kuhs, Jian Yan, Ruxandra Draghia-Akli, Amir Khan</t>
  </si>
  <si>
    <t>C12N 15/86 (20130101); C12N 9/506 (20130101); A61K 39/29 (20130101); C07K 14/005 (20130101); A61K 39/12 (20130101); A61P 37/04 (20180101); A61P 31/14 (20180101); C12N 7/00 (20130101); A61K 2039/53 (20130101); A61K 2039/55 (20130101); A61K 39/00 (20130101); C12N 2710/24143 (20130101); A61K 2039/5254 (20130101); C12N 2770/24234 (20130101); C12N 2770/24222 (20130101); A61K 2039/5256 (20130101)</t>
  </si>
  <si>
    <t>Improved anti-HCV immunogens and nucleic acid molecules that encode them     are disclosed. Immunogens disclosed include those having consensus HCV     genotype 1 a/1 b NS3 and NS4A. Pharmaceutical composition, recombinant     vaccines comprising and live attenuated vaccines are disclosed as well     methods of inducing an immune response in an individual against HCV are     disclosed.</t>
  </si>
  <si>
    <t>US8823525</t>
  </si>
  <si>
    <t>Hygiene compliance monitoring system</t>
  </si>
  <si>
    <t>Todd J. Cartner, Jackson W. Wegelin</t>
  </si>
  <si>
    <t>G06F 19/327 (20130101); G08B 21/245 (20130101); G16H 40/20 (20180101); Y02A 90/24 (20180101); G16H 50/80 (20180101); Y02A 90/22 (20180101)</t>
  </si>
  <si>
    <t>US8822430</t>
  </si>
  <si>
    <t>C07D 403/04 (20130101); A61K 31/437 (20130101); A61K 45/06 (20130101); C07D 471/08 (20130101); C07F 5/025 (20130101); C07D 403/14 (20130101); C07D 471/10 (20130101); C07D 413/14 (20130101); C07D 495/04 (20130101); A61K 31/4025 (20130101); A61K 31/4178 (20130101); C07D 401/14 (20130101); A61K 31/55 (20130101); A61K 31/4439 (20130101); A61K 31/5377 (20130101); A61K 31/5415 (20130101); C07D 207/16 (20130101); C07D 487/04 (20130101); A61P 31/12 (20180101); C07D 491/113 (20130101); A61K 31/4184 (20130101); A61K 31/496 (20130101); C07D 405/14 (20130101); C07D 409/14 (20130101); A61K 31/435 (20130101); C07D 417/14 (20130101); A61K 31/519 (20130101); C07D 471/04 (20130101); A61K 31/454 (20130101); A61K 31/427 (20130101)</t>
  </si>
  <si>
    <t>US8815858</t>
  </si>
  <si>
    <t>Heterocyclic flaviviridae virus inhibitors</t>
  </si>
  <si>
    <t>Kyla Bjornson, Steven S. Bondy, You-chul Choi, Chien-Hung Chou, Ruchika Mishra, James D. Trenkle, Winston C. Tse, Randall W. Vivian, James G. Taylor</t>
  </si>
  <si>
    <t>A61K 45/00 (20130101); A61K 31/5025 (20130101); A61K 31/519 (20130101); A61P 1/16 (20180101); C07D 487/04 (20130101); A61P 31/14 (20180101); A61K 38/21 (20130101)</t>
  </si>
  <si>
    <t>The invention is related to anti-viral compounds of formula (A) as     defined in the claims, compositions containing such compounds, and     therapeutic methods that include the administration of such compounds, as     well to processes and intermediates useful for preparing such compounds.     ##STR00001##</t>
  </si>
  <si>
    <t>US8809330</t>
  </si>
  <si>
    <t>A61P 11/00 (20180101); A61K 45/06 (20130101); C07D 495/04 (20130101); C07D 513/04 (20130101); A61K 31/5377 (20130101); A61K 31/55 (20130101); A61P 31/12 (20180101); C07D 519/00 (20130101); C07D 487/04 (20130101); A61P 31/16 (20180101); A61K 31/519 (20130101); C07F 9/65616 (20130101); A61K 31/551 (20130101); A61P 31/14 (20180101); A61K 31/675 (20130101)</t>
  </si>
  <si>
    <t>The invention provides compounds of Formula I or Formula II:     ##STR00001##    or a pharmaceutically acceptable salt or ester, thereof,     as described herein. The compounds and compositions thereof are useful     for treating Pneumovirinae virus infections. The compounds, compositions,     and methods provided are particularly useful for the treatment of Human     respiratory syncytial virus infections.</t>
  </si>
  <si>
    <t>US8809267</t>
  </si>
  <si>
    <t>Jeromy J. Cottell, John O. Link, Scott D. Schroeder, James Taylor, Winston C. Tse, Randall W. Vivian, Zheng-Yu Yang</t>
  </si>
  <si>
    <t>C07K 5/0821 (20130101); C07D 401/14 (20130101); C07D 207/16 (20130101); C07D 403/04 (20130101); C07D 413/14 (20130101); C07D 405/14 (20130101); C07K 5/0804 (20130101); C07D 401/12 (20130101); A61P 31/12 (20180101); A61P 43/00 (20180101); A61P 1/16 (20180101); C07D 495/04 (20130101); A61P 31/14 (20180101); C07K 5/0812 (20130101); C07D 417/14 (20130101); C07K 5/0808 (20130101); C07D 403/12 (20130101); C07D 487/04 (20130101); A61K 38/00 (20130101)</t>
  </si>
  <si>
    <t>US8809266</t>
  </si>
  <si>
    <t>Aesop Cho, Michael O'Neil Hanrahan Clarke, Choung U. Kim, John O. Link, Hyung-jung Pyun, Xiaoning C. Sheng, Qiaoyin Wu</t>
  </si>
  <si>
    <t>C07K 5/0819 (20130101); C07D 413/14 (20130101); A61P 31/12 (20180101); C07D 417/14 (20130101); C07D 487/04 (20130101); C07D 401/12 (20130101); C07K 5/0821 (20130101); C07D 403/12 (20130101); C07K 5/0804 (20130101); C07K 5/0808 (20130101); A61P 31/16 (20180101); A61P 1/16 (20180101); C07D 403/14 (20130101); A61P 31/14 (20180101); C07D 401/14 (20130101); C07D 207/16 (20130101)</t>
  </si>
  <si>
    <t>US8808711</t>
  </si>
  <si>
    <t>Meningococcal outer membrane vesicles</t>
  </si>
  <si>
    <t>Philipp Oster, Mariagrazia Pizza, Rino Rappouli</t>
  </si>
  <si>
    <t>A61K 39/095 (20130101); A61K 2039/55555 (20130101); A61K 2039/545 (20130101)</t>
  </si>
  <si>
    <t>OMVs targeted against specific epidemic strains can be highly effective     in controlling localized outbreaks of disease. In combination with     large-scale and reproducible manufacturing techniques, a vaccine can be     rapidly produced after an outbreak. The invention provides a method for     preparing a meningococcal outer membrane vesicle (OMV) vaccine,     comprising the steps of: (i) identifying the serosubtype of a     meningococcal strain associated with an outbreak of meningococcal     meningitis; (ii) preparing OMVs from a meningococcal strain having the     serosubtype identified in step (i) for use in vaccine manufacture. The     method may comprise one or both of the further steps of (iii) formulating     said OMVs as a vaccine; and (iv) distributing said vaccine in a     geographical area affected by or likely to be affected by said outbreak.     The meningococcal strain will typically be in serogroup B, but may be     instead by in serogroup A, C, W135, Y, etc.</t>
  </si>
  <si>
    <t>US8801609</t>
  </si>
  <si>
    <t>Apparatus and system for predictive health monitoring</t>
  </si>
  <si>
    <t>10/599344</t>
  </si>
  <si>
    <t>John L. Beiswenger, Jody L. Taualofai</t>
  </si>
  <si>
    <t>A61B 5/0008 (20130101); A61B 5/01 (20130101); A61B 5/09 (20130101); A61B 5/14539 (20130101); G16H 50/80 (20180101); G06F 19/3418 (20130101); A61B 5/0803 (20130101); A61B 5/097 (20130101); G06F 19/3487 (20130101); G16H 15/00 (20180101); A61B 5/0871 (20130101); A61B 5/145 (20130101); A61B 10/0051 (20130101)</t>
  </si>
  <si>
    <t>US8796423</t>
  </si>
  <si>
    <t>Anti-TSG101 antibodies and their uses for treatment of viral infections</t>
  </si>
  <si>
    <t>Limin Li, Michael Kinch, Michael Goldbiatt</t>
  </si>
  <si>
    <t>A61P 31/12 (20180101); C07K 16/28 (20130101); C07K 16/18 (20130101); A61P 31/14 (20180101); A61P 31/18 (20180101); C07K 2317/732 (20130101); C07K 2317/34 (20130101); C07K 2317/56 (20130101); A61K 2039/505 (20130101); C07K 2317/565 (20130101); C07K 2317/76 (20130101)</t>
  </si>
  <si>
    <t>US8795168</t>
  </si>
  <si>
    <t>Zenton Goh, Sian Sheng Neo, Hon Cheong Ng, Soh Min Lim</t>
  </si>
  <si>
    <t>A61B 5/0002 (20130101); G16H 50/80 (20180101); G06F 19/3418 (20130101); G06F 19/30 (20130101); G01S 5/0294 (20130101); G01S 5/0018 (20130101); G01S 5/0009 (20130101); A61B 5/01 (20130101); A61B 5/0015 (20130101); G01S 5/0231 (20130101); A61B 5/1113 (20130101); Y10S 128/903 (20130101); Y10S 128/92 (20130101); Y10S 128/904 (20130101); A61B 2562/08 (20130101)</t>
  </si>
  <si>
    <t>US8791815</t>
  </si>
  <si>
    <t>System and method providing data exchange with a medical device for remote     patient care</t>
  </si>
  <si>
    <t>Scott T. Mazar, Yatheendhar D. Manicka</t>
  </si>
  <si>
    <t>A61B 5/0031 (20130101); A61B 5/0809 (20130101); A61B 5/4839 (20130101); G06F 19/3406 (20130101); G06F 19/3418 (20130101); G06F 19/345 (20130101); G06Q 50/22 (20130101); G06Q 50/24 (20130101); H04B 17/00 (20130101); A61B 5/0022 (20130101); A61B 5/02055 (20130101); A61B 5/747 (20130101); A61B 5/0215 (20130101); A61B 5/14532 (20130101); A61B 2560/0209 (20130101); A61B 2560/0271 (20130101); A61B 2560/045 (20130101); G06F 19/322 (20130101); G06F 19/3493 (20130101)</t>
  </si>
  <si>
    <t>US8785133</t>
  </si>
  <si>
    <t>Oligonucleotides and process for detection of swine flu virus</t>
  </si>
  <si>
    <t>13/509535</t>
  </si>
  <si>
    <t>DEFENCE RESEARCH &amp; DEVELOPMENT ORGANISATION</t>
  </si>
  <si>
    <t>DEFENCE RESEARCHDEVELOPMENT ORGANISATION</t>
  </si>
  <si>
    <t>Manmohan Parida, Jyoti Shukla, Santhosh Sannarangiah, Sashi Sharma, Venkata Lakshmana Putcha Rao, Rajagopalan Vijayaraghavan</t>
  </si>
  <si>
    <t>C12Q 1/70 (20130101); C12Q 1/70 (20130101); C12Q 2527/101 (20130101)</t>
  </si>
  <si>
    <t>A process of detection of pandemic swine flu virus H1N1 type in a sample     is provided herein. Also provided are highly specific oligonucleotides     useful for rapid detection of swine flu virus in a sample, as well as     swine flu virus specific isothermal gene amplification assay for early     clinical diagnosis of H1N1 human patients.</t>
  </si>
  <si>
    <t>US8779141</t>
  </si>
  <si>
    <t>Viral inhibitors</t>
  </si>
  <si>
    <t>12/468667</t>
  </si>
  <si>
    <t>Johan Neyts, Gerhard Purstinger, Erik De Clercq</t>
  </si>
  <si>
    <t>A61P 31/14 (20180101); A61P 31/20 (20180101); A61P 31/00 (20180101); A61P 31/12 (20180101); A61P 43/00 (20180101); C07D 471/04 (20130101)</t>
  </si>
  <si>
    <t>The present invention relates to imidazo[4,5-c]pyridine compounds and     pharmaceutical compositions for the treatment or prevention of viral     infections, wherein the imidazo[4,5-c]pyridine compounds have the     formula:  ##STR00001##</t>
  </si>
  <si>
    <t>US8765722</t>
  </si>
  <si>
    <t>Inhibitors of flaviviridae viruses</t>
  </si>
  <si>
    <t>Aesop Cho, Lee S. Chong, Michael O'Neil Hanrahan Clarke, Edward Doerffler, Choung U. Kim, Qi Liu, William J. Watkins, Jennifer R. Zhang</t>
  </si>
  <si>
    <t>C07F 9/65586 (20130101); C07F 9/65681 (20130101); A61P 31/14 (20180101); C07F 9/655345 (20130101); A61K 31/662 (20130101); A61K 31/67 (20130101); A61P 31/12 (20180101); A61K 31/675 (20130101); A61P 43/00 (20180101); A61K 31/683 (20130101); C07F 9/6561 (20130101); A61K 45/06 (20130101)</t>
  </si>
  <si>
    <t>US8765710</t>
  </si>
  <si>
    <t>13/324068</t>
  </si>
  <si>
    <t>C07H 19/06 (20130101); A61P 31/14 (20180101); C07H 19/16 (20130101); A61K 31/7064 (20130101); A61K 31/7076 (20130101); A61P 31/00 (20180101); A61P 31/20 (20180101); C07H 19/14 (20130101); C07H 19/173 (20130101); C07H 19/073 (20130101); A61P 31/04 (20180101); A61P 31/18 (20180101); A61K 31/7072 (20130101); A61K 31/7068 (20130101); A61P 31/12 (20180101); A61P 35/00 (20180101)</t>
  </si>
  <si>
    <t>US8765136</t>
  </si>
  <si>
    <t>Chin-Fen Yang, George Kemble, Kanta Subbarao, Brian Murphy</t>
  </si>
  <si>
    <t>C07K 14/005 (20130101); C12N 7/00 (20130101); A61K 39/12 (20130101); C12Q 1/701 (20130101); A61K 2039/5254 (20130101); C12N 2501/70 (20130101); C12N 2760/16121 (20130101); C12N 2760/16122 (20130101); C12N 2760/16161 (20130101); C12N 2760/16162 (20130101); C12N 2760/16171 (20130101); A61K 2039/543 (20130101); A61K 2039/58 (20130101); C12N 2760/16134 (20130101)</t>
  </si>
  <si>
    <t>US8759544</t>
  </si>
  <si>
    <t>C07D 409/12 (20130101); C07D 307/20 (20130101)</t>
  </si>
  <si>
    <t>US8754062</t>
  </si>
  <si>
    <t>DLIN-KC2-DMA lipid nanoparticle delivery of modified polynucleotides</t>
  </si>
  <si>
    <t>Antonin de Fougerolles, Kristy M. Wood, Sayda M. Elbashir, Jason P. Schrum</t>
  </si>
  <si>
    <t>A61K 48/00 (20130101); C07K 14/535 (20130101); A61K 9/16 (20130101); A61K 9/1271 (20130101); A61K 38/4833 (20130101); C12P 21/00 (20130101); A61K 48/0041 (20130101); A61K 48/0033 (20130101); A61K 48/005 (20130101); A61K 48/0066 (20130101); C12N 15/88 (20130101); A61K 31/7105 (20130101); C12N 15/117 (20130101); C07K 2/00 (20130101); A61K 31/7088 (20130101); A61K 9/0019 (20130101); A61K 9/0024 (20130101); A61K 9/0048 (20130101); A61K 9/1272 (20130101); A61K 9/1647 (20130101); C12N 15/00 (20130101); A61K 38/193 (20130101); A61K 9/14 (20130101)</t>
  </si>
  <si>
    <t>US8747872</t>
  </si>
  <si>
    <t>Nanoemulsion therapeutic compositions and methods of using the same</t>
  </si>
  <si>
    <t>James R. Baker, Sivaprakash Rathinavelu, Paul E. Makidon, John J. LiPuma, Shraddha Nigavekar</t>
  </si>
  <si>
    <t>A23L 29/10 (20160801); A61K 9/1075 (20130101); A61K 31/22 (20130101); A61K 31/337 (20130101); A61K 31/573 (20130101); A61K 31/7048 (20130101); B82Y 5/00 (20130101); A61K 9/0078 (20130101); A61K 6/0008 (20130101); A61K 31/198 (20130101); A61K 33/14 (20130101); A61K 45/06 (20130101); A61K 47/32 (20130101); A23L 33/135 (20160801); A01N 25/04 (20130101); A23V 2002/00 (20130101); A23V 2002/00 (20130101); A23V 2200/25 (20130101)</t>
  </si>
  <si>
    <t>US8741946</t>
  </si>
  <si>
    <t>William J. Watkins, Eda Canales, Michael O'Neil Hanrahan Clarke, Edward Doerffler, Scott E. Lazerwith</t>
  </si>
  <si>
    <t>A61P 1/16 (20180101); C07D 333/40 (20130101); A61P 31/14 (20180101); A61P 43/00 (20180101)</t>
  </si>
  <si>
    <t>Provided are compounds of Formula I:  ##STR00001##  and pharmaceutically     acceptable salts and esters thereof. The compounds, compositions, and     methods provided are useful for the treatment of Flaviviridae virus     infections (e.g. hepatitis C infections), particularly drug resistant     Flaviviridae virus infections.</t>
  </si>
  <si>
    <t>US8740790</t>
  </si>
  <si>
    <t>Disease management system and method</t>
  </si>
  <si>
    <t>Edwin C Iliff</t>
  </si>
  <si>
    <t>G06F 19/3418 (20130101); G06F 19/3481 (20130101); G06Q 50/22 (20130101); G06Q 50/24 (20130101); G06F 19/30 (20130101); G16H 80/00 (20180101); G16H 10/60 (20180101); G16H 50/30 (20180101); G16H 50/20 (20180101); G06F 19/324 (20130101); Y02A 90/24 (20180101); Y10S 128/92 (20130101); Y10S 128/925 (20130101); G16H 10/20 (20180101); G16H 15/00 (20180101); Y02A 90/26 (20180101); Y02A 90/22 (20180101); G06F 19/325 (20130101)</t>
  </si>
  <si>
    <t>US8740789</t>
  </si>
  <si>
    <t>Automatic etiology sequencing system and method</t>
  </si>
  <si>
    <t>11/071646</t>
  </si>
  <si>
    <t>Marina Brockway, David Johnson, Don Goscha, Veerichetty A. Kadhiresan, Muralidharan Srivathsa, Lisa Haeder</t>
  </si>
  <si>
    <t>A61B 5/00 (20130101); G16H 50/20 (20180101); A61B 5/7275 (20130101); A61B 5/7282 (20130101); G06N 3/0427 (20130101); G06Q 50/24 (20130101); G06N 3/02 (20130101); G06F 19/345 (20130101); G06F 19/3418 (20130101); G06F 19/34 (20130101); G06F 19/32 (20130101); G06F 19/30 (20130101); G16H 15/00 (20180101); G16H 10/20 (20180101); G16H 40/63 (20180101); A61B 5/7267 (20130101); A61B 5/0002 (20130101); Y10S 706/924 (20130101); Y10S 128/924 (20130101); Y10S 128/92 (20130101); A61B 5/686 (20130101); A61B 5/0022 (20130101); Y10S 128/925 (20130101); A61B 5/7264 (20130101)</t>
  </si>
  <si>
    <t>A system and related method for identifying a trigger event to a patient health-related exacerbation. The system includes at least one sensor configured to collect data related to the patient health-related exacerbation, an analyzer configured to validate the collected data, a patient interface device configured to receive patient inputs to at least one question, and an identifier device configured to receive the patient inputs and collected data and identify the trigger event. The system may also include an expert system configured to receive the patient inputs and the validated collected data and identify a primary patient disease, and a reporting device configured to generate reports related to the identified primary patient disease, patient inputs, and sensed patient conditions.</t>
  </si>
  <si>
    <t>US8731828</t>
  </si>
  <si>
    <t>Moving route processing device and information providing system using this     moving route processing device</t>
  </si>
  <si>
    <t>Shuichi Nishikawa</t>
  </si>
  <si>
    <t>G08G 1/005 (20130101); G08G 1/096816 (20130101); G08G 1/09685 (20130101); G01C 21/00 (20130101); G08G 1/096883 (20130101); G16H 50/80 (20180101); G01C 21/34 (20130101)</t>
  </si>
  <si>
    <t>US8729089</t>
  </si>
  <si>
    <t>Pyrido(3,2-d)pyrimidines useful for treating viral infections</t>
  </si>
  <si>
    <t>Steven S. Bondy, Chien-hung Chou, William John Watkins, Lee S. Chong, Jennifer R. Zhang, Ruchika Mishra</t>
  </si>
  <si>
    <t>C07D 471/04 (20130101); A61P 31/12 (20180101); A61P 31/14 (20180101)</t>
  </si>
  <si>
    <t>Pyrido(3,2-d)pyrimidine derivatives represented by the structural formula     (I):  ##STR00001##  wherein:   R.sub.4 is hydrogen, and R.sub.1, R.sub.2     and R.sub.3 together provide a specific substitution pattern,     pharmaceutical acceptable addition salts, stereochemical isomeric forms,     N-oxides, solvates and pro-drugs thereof, are useful in the treatment of     hepatitis C.</t>
  </si>
  <si>
    <t>US8725251</t>
  </si>
  <si>
    <t>Device, method, and system for neural modulation as vaccine adjuvant in a vertebrate subject</t>
  </si>
  <si>
    <t>13/741168</t>
  </si>
  <si>
    <t>GEARBOX, LLC</t>
  </si>
  <si>
    <t>GEARBOX</t>
  </si>
  <si>
    <t>Gregory J. Della Rocca, Joshua L. Dowling, Eleanor V. Goodall, Roderick A. Hyde, Muriel Y. Ishikawa, Jordin T. Kare, Eric C. Leuthardt, Stephen L. Malaska, Nathan P. Myhrvold, Paul Santiago, Todd J. Stewart, Elizabeth A. Sweeney, Clarence T. Tegreene, Lowell L. Wood, Jr., Victoria Y. H. Wood</t>
  </si>
  <si>
    <t>A61K 39/39 (20130101); A61N 1/36121 (20130101); A61F 7/00 (20130101); A61M 37/00 (20130101); A61M 37/0092 (20130101); A61N 1/32 (20130101); A61N 1/303 (20130101); A61N 1/306 (20130101); A61N 2/002 (20130101); A61N 2/006 (20130101); A61N 2/00 (20130101); A61N 5/0622 (20130101); A61N 2/02 (20130101)</t>
  </si>
  <si>
    <t>A method for enhancing an immune response in a vertebrate subject is described. The method includes providing at least one energy stimulus configured to modulate one or more nervous system components of the vertebrate subject, and administering one or more immunogen to the vertebrate subject, wherein the at least one energy stimulus and the one or more immunogen are provided in a combination and in a temporal sequence sufficient to enhance an immune response in the vertebrate subject.</t>
  </si>
  <si>
    <t>US8722677</t>
  </si>
  <si>
    <t>13/530612</t>
  </si>
  <si>
    <t>Steven S. Bondy, David A. Oare, Gerhard Puerstinger</t>
  </si>
  <si>
    <t>A61P 31/14 (20180101); A61P 31/12 (20180101); C07D 471/04 (20130101); A61P 31/00 (20180101)</t>
  </si>
  <si>
    <t>Pyrrolo[2,3-c]pyridine or pyrrolo[3,2-c]pyridine compounds having the     general formula (A),  ##STR00001##  wherein the dashed lines, X, Y and     R.sup.1 through R.sup.5 are as defined in the specification. The     compounds are useful in the prophylaxis or treatment of viral infections.</t>
  </si>
  <si>
    <t>US8716264</t>
  </si>
  <si>
    <t>A61K 9/2013 (20130101); A61K 31/683 (20130101); A61K 31/675 (20130101); A61P 31/18 (20180101); A61K 9/2009 (20130101); A61K 31/7076 (20130101); A61K 9/2018 (20130101); A61K 45/06 (20130101); A61K 31/513 (20130101); A61P 31/12 (20180101); A61K 9/2054 (20130101); A61K 9/2059 (20130101); A61P 43/00 (20180101); A61P 31/00 (20180101); A61K 31/675 (20130101); A61K 2300/00 (20130101); A61K 31/7076 (20130101); A61K 2300/00 (20130101); A61K 31/513 (20130101); A61K 2300/00 (20130101)</t>
  </si>
  <si>
    <t>US8715692</t>
  </si>
  <si>
    <t>12/633995</t>
  </si>
  <si>
    <t>Peter Pushko, Yingyun Wu, Michael Massare, Ye Liu, Gale Smith, Bin Zhou</t>
  </si>
  <si>
    <t>A61P 37/04 (20180101); C07K 14/005 (20130101); A61K 9/1075 (20130101); A61K 39/155 (20130101); A61K 39/12 (20130101); A61K 39/39 (20130101); A61P 31/12 (20180101); A61P 31/14 (20180101); A61K 9/0019 (20130101); C12N 7/00 (20130101); A61K 2039/575 (20130101); C12N 2760/18534 (20130101); A61K 2039/54 (20130101); A61K 2039/55 (20130101); C12N 2760/18522 (20130101); C07K 2319/00 (20130101); C12N 2760/18523 (20130101); A61K 39/00 (20130101); A61K 2039/545 (20130101); A61K 2039/57 (20130101); A61K 2039/5258 (20130101); C12N 2760/18571 (20130101); A61K 2039/55505 (20130101); C12N 2760/18562 (20130101)</t>
  </si>
  <si>
    <t>US8715640</t>
  </si>
  <si>
    <t>Packaging cells for producing retrovirus pseudotyped with an E2 alphavirus glycoprotein</t>
  </si>
  <si>
    <t>12/688689</t>
  </si>
  <si>
    <t>Pin Wang, Lilli Yang, David Baltimore</t>
  </si>
  <si>
    <t>A61K 31/70 (20130101); A61K 38/2086 (20130101); A61K 38/191 (20130101); A61K 38/193 (20130101); A61K 38/20 (20130101); C07K 14/005 (20130101); A61K 38/177 (20130101); A61K 38/1793 (20130101); A61K 38/2013 (20130101); A61K 38/2026 (20130101); A61K 38/204 (20130101); A61K 38/2046 (20130101); A61K 38/1774 (20130101); C12N 15/86 (20130101); A61K 38/178 (20130101); A61K 35/76 (20130101); A61K 39/21 (20130101); C12N 7/00 (20130101); A61K 38/177 (20130101); A61K 38/191 (20130101); A61K 38/193 (20130101); A61K 38/20 (20130101); A61K 38/178 (20130101); A61K 2039/5256 (20130101); C12N 2740/13043 (20130101); C12N 2740/13045 (20130101); C12N 2770/36122 (20130101); C12N 2810/609 (20130101); C12N 2810/855 (20130101); C12N 2740/15045 (20130101); C12N 2740/15043 (20130101); C12N 2740/15041 (20130101); C12N 2770/36134 (20130101); A61K 2300/00 (20130101); A61K 2300/00 (20130101); A61K 2300/00 (20130101); A61K 2300/00 (20130101); A61K 2300/00 (20130101)</t>
  </si>
  <si>
    <t>US8714156</t>
  </si>
  <si>
    <t>Richard Henry Cooke, Nicholas Ong, Roy Hays</t>
  </si>
  <si>
    <t>A61M 16/209 (20140204); A61M 16/0409 (20140204); A61M 16/127 (20140204); A61M 16/204 (20140204); A61M 16/205 (20140204); A61M 16/207 (20140204); A61M 16/20 (20130101); A61M 16/0434 (20130101); A61M 2016/0021 (20130101); A61M 2016/0027 (20130101); A61M 2202/0208 (20130101); A61M 2205/18 (20130101); A61M 2205/581 (20130101); A61M 2205/587 (20130101); A61M 2205/8206 (20130101)</t>
  </si>
  <si>
    <t>US8712020</t>
  </si>
  <si>
    <t>Pandemic protocol for emergency dispatch</t>
  </si>
  <si>
    <t>Jeffrey J. Clawson</t>
  </si>
  <si>
    <t>H04M 3/5116 (20130101); G16H 50/20 (20180101); G16H 50/80 (20180101); Y02A 90/24 (20180101); Y02A 90/26 (20180101); Y02A 90/22 (20180101)</t>
  </si>
  <si>
    <t>US8710230</t>
  </si>
  <si>
    <t>Youla S. Tsantrizos, Murray D. Bailey, Francois Bilodeau, Rene Coulombe, Teddy Halmos, Stephen Kawai, Serge R. Landry, Steven LaPlante, Sebastien Morin, Marc-Andre Poupart, Bruno Simoneau, Lee Fader, Rebekah J. Carson, Mathieu Parisien</t>
  </si>
  <si>
    <t>C07D 413/04 (20130101); A61P 31/12 (20180101); C07D 417/04 (20130101); A61K 31/473 (20130101); C07D 405/04 (20130101); A61K 31/5383 (20130101); A61P 43/00 (20180101); C07D 221/16 (20130101); C07D 215/14 (20130101); C07D 491/06 (20130101); A61K 31/4709 (20130101); A61K 31/4741 (20130101); A61K 31/47 (20130101); A61K 31/538 (20130101); C07D 401/04 (20130101); C07D 498/06 (20130101); C07D 215/18 (20130101); C07D 409/04 (20130101); A61P 31/18 (20180101)</t>
  </si>
  <si>
    <t>Compounds of formula I:  ##STR00001##  wherein R.sup.4, R.sup.6 and     R.sup.7 are defined herein, are useful as inhibitors of HIV replication.</t>
  </si>
  <si>
    <t>US8706514</t>
  </si>
  <si>
    <t>Case management system and method for mediating anomaly notifications in     health data to health alerts</t>
  </si>
  <si>
    <t>11/253164</t>
  </si>
  <si>
    <t>Colin Goodall, Guy Jacobson, Simon Tse, John Mark F. Mocenigo, Richard Drechsler</t>
  </si>
  <si>
    <t>G06Q 50/22 (20130101); G06Q 10/103 (20130101); G16H 50/70 (20180101); G16H 50/80 (20180101); G16H 80/00 (20180101)</t>
  </si>
  <si>
    <t>US8697861</t>
  </si>
  <si>
    <t>A61K 31/683 (20130101); A61K 31/513 (20130101); A61K 45/06 (20130101); C07F 9/65616 (20130101); C07H 19/00 (20130101); A61P 31/14 (20180101); C07H 19/20 (20130101); A61P 31/12 (20180101); A61K 31/341 (20130101); A61P 31/18 (20180101); A61K 31/675 (20130101); A61P 43/00 (20180101); C07H 19/16 (20130101); A61K 31/662 (20130101); A61P 31/00 (20180101); A61P 31/20 (20180101); A61K 31/675 (20130101); A61K 2300/00 (20130101); A61K 31/683 (20130101); A61K 2300/00 (20130101); A61K 31/513 (20130101); A61K 2300/00 (20130101); A61K 31/341 (20130101); A61K 2300/00 (20130101)</t>
  </si>
  <si>
    <t>US8697088</t>
  </si>
  <si>
    <t>VLPs derived from cells that do not express a viral matrix or core protein</t>
  </si>
  <si>
    <t>12/127625</t>
  </si>
  <si>
    <t>Gale Smith, Peter Pushko, Kutub Mahmood, Bin Zhao</t>
  </si>
  <si>
    <t>A61P 31/16 (20180101); A61K 39/145 (20130101); C12N 7/00 (20130101); C12N 2760/16123 (20130101); C12N 2710/16723 (20130101); A61K 2039/5258 (20130101); C07K 2319/00 (20130101)</t>
  </si>
  <si>
    <t>US8691238</t>
  </si>
  <si>
    <t>High growth reassortant influenza A virus</t>
  </si>
  <si>
    <t>MUSTER THOMAS; WOLSCHEK MARKUS; EGOROV ANDREJ; ROETHL ELISABETH; ROMANOVA JULIA; BERGMANN MICHAEL; BAXTER HEALTHCARE SA</t>
  </si>
  <si>
    <t>MUSTER THOMAS; WOLSCHEK MARKUS; EGOROV ANDREJ; ROETHL ELISABETH; ROMANOVA JULIA; BERGMANN MICHAEL; BAXTER HEALTHCARE</t>
  </si>
  <si>
    <t>Thomas Muster, Markus Wolschek, Andrej Egorov, Elisabeth Roethl, Julia Romanova, Michael Bergmann</t>
  </si>
  <si>
    <t>A61K 39/145 (20130101); C07K 14/005 (20130101); A61K 39/12 (20130101); C12N 7/00 (20130101); A61K 2039/525 (20130101); C12N 2760/16122 (20130101); C12N 2760/16134 (20130101); C12N 2760/16151 (20130101)</t>
  </si>
  <si>
    <t>The present invention provides a high growth reassortant influenza A     virus having at least two gene segments of seasonal or pandemic strain     origin, a PB1 gene segment of A/Texas/1/77 strain origin and a PA gene     segment of A/Puerto Rico/8/34 (H1N1) origin coding for a PA protein     comprising at least one amino acid modification at any one of positions     10, 275, 682, according to SEQ ID No. 1. Further provided are vaccine     formulations comprising the reassortant influenza A virus of the     invention.</t>
  </si>
  <si>
    <t>US8685652</t>
  </si>
  <si>
    <t>Targets and compounds for therapeutic intervention of HIV infection</t>
  </si>
  <si>
    <t>Annette Friebe, Hanjo Hennemann, Claudia Carl, Nina Schurmann, Sabine Wirths</t>
  </si>
  <si>
    <t>A61P 31/18 (20180101); C07K 14/4702 (20130101); C07K 14/47 (20130101); A61K 38/00 (20130101); C12N 2740/16311 (20130101)</t>
  </si>
  <si>
    <t>US8685409</t>
  </si>
  <si>
    <t>Influenza T-cell immunization against diverse influenza A viruses</t>
  </si>
  <si>
    <t>Jin-Won Youn, Ji-Sun Kwon, Jung-Soon Yoon, Yeon-Jung Kim</t>
  </si>
  <si>
    <t>A61K 39/12 (20130101); A61K 2039/5256 (20130101); C12N 2760/16134 (20130101); C12N 2710/24143 (20130101); A61K 2039/57 (20130101)</t>
  </si>
  <si>
    <t>US8684923</t>
  </si>
  <si>
    <t>Methods systems, and computer program products for aggregating medical information</t>
  </si>
  <si>
    <t>G06F 19/3418 (20130101); G06F 19/00 (20130101); G16H 40/67 (20180101); G16H 50/80 (20180101)</t>
  </si>
  <si>
    <t>A method of aggregating medical information can include receiving, at a remote aggregation system, individual syndromes collected by mobile personal medical devices associated with respective bodies as the mobile personal medical devices move within an environment, aggregating the individual syndromes at the remote aggregation system, and determining whether an environmental syndrome exists for at least some of the individual syndromes. Related systems and computer program products are also disclosed.</t>
  </si>
  <si>
    <t>US8677941</t>
  </si>
  <si>
    <t>Ehud Yanai, Ron Elazari-Volcani</t>
  </si>
  <si>
    <t>G06F 19/3418 (20130101); G06Q 10/00 (20130101); A01K 29/005 (20130101); A61B 5/0013 (20130101); A61B 5/7282 (20130101); A61D 99/00 (20130101); A61F 7/00 (20130101); A61B 5/0077 (20130101); G16H 50/80 (20180101)</t>
  </si>
  <si>
    <t>US8674088</t>
  </si>
  <si>
    <t>Anthony Casarez, Kleem Chaudhary, Aesop Cho, Michael Clarke, Edward Doerffler, Maria Fardis, Choung U. Kim, Hyungjung Pyun, Xiaoning C. Sheng, Jianying Wang</t>
  </si>
  <si>
    <t>A61P 1/16 (20180101); A61P 31/14 (20180101); A61P 31/12 (20180101); C07F 9/65583 (20130101); A61P 43/00 (20180101)</t>
  </si>
  <si>
    <t>US8673929</t>
  </si>
  <si>
    <t>4,6-di- and 2,4,6-trisubstituted quinazoline derivatives and     pharmaceutical compositions useful for treating viral infections</t>
  </si>
  <si>
    <t>C07D 239/90 (20130101); C07D 239/95 (20130101); C07D 401/04 (20130101); C07D 403/04 (20130101); A61P 31/14 (20180101); C07D 409/04 (20130101); A61P 31/12 (20180101); C07D 405/04 (20130101)</t>
  </si>
  <si>
    <t>US8669234</t>
  </si>
  <si>
    <t>GUO HONGYAN; KATO DARRYL; KIRSCHBERG THORSTEN A; LIU HONGTAO; LINK JOHN O; MITCHELL MICHAEL L; PARRISH JAY P; SUN JIANYU; TAYLOR JAMES; BACON ELIZABETH M; CANALES EDA; CHO AESOP; KIM CHOUNG U; COTTELL JEROMY J; DESAI MANOJ C; HALCOMB RANDALL L; GRAUPE MICHAEL; KRYGOWSKI EVAN S; LAZERWITH SCOTT E; LIU QI; MACKMAN RICHARD L; PYUN HYUNG-JUNG; SAUGIER JOSEPH H; TRENKLE JAMES D; TSE WINSTON C; VIVIAN RANDALL W; SCHROEDER SCOTT D; WATKINS WILLIAM J; XU LIANHONG; GILEAD SCIENCES INC</t>
  </si>
  <si>
    <t>GUO HONGYAN; KATO DARRYL; KIRSCHBERG THORSTEN LIU HONGTAO; LINK JOHN MITCHELL MICHAEL PARRISH JAY SUN JIANYU; TAYLOR JAMES; BACON ELIZABET</t>
  </si>
  <si>
    <t>Hongyan Guo, Darryl Kato, Thorsten A. Kirschberg, Evan S. Krygowski, John O. Link, Michael L. Mitchell, Jay P. Parrish, James Taylor</t>
  </si>
  <si>
    <t>C07D 207/16 (20130101); C07D 401/14 (20130101); A61P 31/12 (20180101); C07D 471/08 (20130101); C07D 409/14 (20130101); C07D 495/04 (20130101); C07F 5/025 (20130101); A61K 31/435 (20130101); A61K 31/5377 (20130101); A61K 31/4184 (20130101); C07D 403/14 (20130101); C07D 471/10 (20130101); C07D 491/113 (20130101); A61K 31/4178 (20130101); C07D 403/04 (20130101); C07D 417/14 (20130101); A61K 31/437 (20130101); A61K 31/55 (20130101); C07D 405/14 (20130101); C07D 413/14 (20130101); A61K 31/454 (20130101); C07D 487/04 (20130101); A61K 31/4025 (20130101); A61K 31/427 (20130101); A61K 45/06 (20130101); A61K 31/496 (20130101); A61K 31/4439 (20130101); A61K 31/519 (20130101); A61K 31/5415 (20130101); C07D 471/04 (20130101)</t>
  </si>
  <si>
    <t>US8669046</t>
  </si>
  <si>
    <t>Reagents and methods for detecting influenza virus proteins</t>
  </si>
  <si>
    <t>Xuguang (Sean) Li, Runtao He, Gary Van Domselaar</t>
  </si>
  <si>
    <t>C07K 14/005 (20130101); C07K 16/1018 (20130101); G01N 2333/11 (20130101); C12N 2760/16122 (20130101)</t>
  </si>
  <si>
    <t>US8668904</t>
  </si>
  <si>
    <t>Influenza composition</t>
  </si>
  <si>
    <t>Emmanuel Jules Hanon</t>
  </si>
  <si>
    <t>A61K 39/145 (20130101); C12N 7/00 (20130101); A61K 39/12 (20130101); A61K 2039/545 (20130101); A61K 2039/55566 (20130101); A61K 2039/55572 (20130101); A61K 2039/5252 (20130101); C12N 2760/16151 (20130101); A61K 2039/55 (20130101); C12N 2760/16134 (20130101)</t>
  </si>
  <si>
    <t>The present invention relates to influenza vaccine formulations and     accelerating primary vaccination regimes for immunizing against influenza     disease, their use in medicine, in particular their use in promoting     effective immune responses to various antigens, and to methods of     preparation. In particular, the invention relates to two-doses     accelerated pandemic or seasonal pandemic primary immunization regimes     with influenza immunogenic compositions comprising an influenza virus or     antigenic preparation thereof in combination with an oil-in-water     emulsion adjuvant, and to accelerated immunization regimes.</t>
  </si>
  <si>
    <t>US8664386</t>
  </si>
  <si>
    <t>13/573666</t>
  </si>
  <si>
    <t>C07F 9/65616 (20130101); A61P 35/00 (20180101); C07F 9/6512 (20130101); A61P 31/12 (20180101); C07F 9/65583 (20130101)</t>
  </si>
  <si>
    <t>US8664194</t>
  </si>
  <si>
    <t>Method for producing a protein of interest in a primate</t>
  </si>
  <si>
    <t>13/898758</t>
  </si>
  <si>
    <t>US8660884</t>
  </si>
  <si>
    <t>Method and system for estimating demand impact on a firm under crisis</t>
  </si>
  <si>
    <t>Ching-Hua Chen-Ritzo, Pawan Raghunath Chowdhary, Thomas Robert Ervolina, Dharmashankar Subramanian</t>
  </si>
  <si>
    <t>G06Q 30/0202 (20130101); G06Q 10/06375 (20130101); G06Q 40/00 (20130101); G06Q 30/0205 (20130101)</t>
  </si>
  <si>
    <t>US8658617</t>
  </si>
  <si>
    <t>A61K 31/675 (20130101); A61K 31/7076 (20130101); C07H 19/20 (20130101); A61K 45/06 (20130101); A61P 31/18 (20180101); A61K 9/2018 (20130101); A61K 9/20 (20130101); A61K 31/675 (20130101); A61K 2300/00 (20130101)</t>
  </si>
  <si>
    <t>US8645538</t>
  </si>
  <si>
    <t>System and method for monitoring outbreak of contagious diseases</t>
  </si>
  <si>
    <t>Yang Pan</t>
  </si>
  <si>
    <t>H04W 4/90 (20180201); G16H 50/80 (20180101); H04W 4/02 (20130101)</t>
  </si>
  <si>
    <t>US8637531</t>
  </si>
  <si>
    <t>Pyrido(3,2-d)pyridmidines useful for treating viral infections</t>
  </si>
  <si>
    <t>Steven S. Bondy, William J. Watkins, Lee S. Chong, Piet Andre Maurits Maria Herdewijn, Steven Cesar Alfons De Jonghe</t>
  </si>
  <si>
    <t>A61P 31/12 (20180101); C07D 471/04 (20130101)</t>
  </si>
  <si>
    <t>This invention provides pyrido(3,2-d)pyrimidine derivatives represented     by the structural formula (I), wherein: R.sub.1 is amino, R.sub.4 is     hydrogen, and R.sub.2 and R.sub.3 together provide a specific     substitution pattern, pharmaceutical acceptable addition salts,     stereochemical isomeric forms, N-oxides, solvates and pro-drugs thereof,     are useful in the treatment of hepatitis C.</t>
  </si>
  <si>
    <t>US8630875</t>
  </si>
  <si>
    <t>Disease management system and health assessment method</t>
  </si>
  <si>
    <t>11/930778</t>
  </si>
  <si>
    <t>Edwin C. Iliff</t>
  </si>
  <si>
    <t>A system and method for allowing a patient to access an automated process for managing a specified health problem called a disease. The system performs disease management in a fully automated manner, using periodic interactive dialogs with the patient to obtain health state measurements from the patient, to evaluate and assess the progress of the patient's disease, to review and adjust therapy to optimal levels, and to give the patient medical advice for administering treatment and handling symptom flare-ups and acute episodes of the disease. The medical records are updated, the progression of the disease is stored and tracked, and the patient's preferences for treatment are stored and then used to offer medical advice based on the current state of the disease. A prestored general disease trend curve is compared against a patient specific disease trend curve, and the system makes an automated response such as adjusting therapy.</t>
  </si>
  <si>
    <t>US8626521</t>
  </si>
  <si>
    <t>Stephen J. Brown, Julie C. Cherry, Geoffrey J. Clapp, Gowthaman Gunabushanam</t>
  </si>
  <si>
    <t>A61B 5/0002 (20130101); G16H 50/80 (20180101); G06Q 50/22 (20130101); G06Q 10/10 (20130101)</t>
  </si>
  <si>
    <t>A networked system for identifying whether an individual or a plurality     of individuals has been exposed to a disease-causing infectious agent     associated with a bioterrorism event.</t>
  </si>
  <si>
    <t>US8623426</t>
  </si>
  <si>
    <t>Composition for preventing or treating diseases caused by influenza viruses</t>
  </si>
  <si>
    <t>Jin Yeul Ma, Young Ran Um, Jae Hoon Lee, Hwa Yong Park</t>
  </si>
  <si>
    <t>A23L 33/105 (20160801); A61K 36/296 (20130101)</t>
  </si>
  <si>
    <t>The present invention relates to herbal medicine extracts useful in the prevention or treatment of diseases caused by influenza viruses, and to a pharmaceutical composition or health food comprising the extracts. The herbal medicine extracts of the present invention are derived from natural materials, and are safe for the human body, and can be used in preventing and treating and in relieving symptoms of diseases caused by various types of influenza viruses.</t>
  </si>
  <si>
    <t>US8598996</t>
  </si>
  <si>
    <t>Hygiene compliance reporting system</t>
  </si>
  <si>
    <t>US8592397</t>
  </si>
  <si>
    <t>A61K 31/675 (20130101); A61K 9/2054 (20130101); A61K 9/2018 (20130101); A61K 9/2013 (20130101); A61K 31/683 (20130101); A61P 31/18 (20180101); A61K 31/7076 (20130101); A61P 31/00 (20180101); A61K 31/513 (20130101); A61K 45/06 (20130101); A61K 9/2059 (20130101); A61P 43/00 (20180101); A61K 9/2009 (20130101); A61P 31/12 (20180101); A61K 31/675 (20130101); A61K 2300/00 (20130101); A61K 31/7076 (20130101); A61K 2300/00 (20130101); A61K 31/513 (20130101); A61K 2300/00 (20130101)</t>
  </si>
  <si>
    <t>The present invention relates to therapeutic combinations of     [2-(6-amino-purin-9-yl)-1-methyl-ethoxymethyl]-phosphonic acid     diisopropoxycarbonyloxymethyl ester (tenofovir disoproxil fumarate,     Viread.RTM.) and (2R, 5S,     cis)-4-amino-5-fluoro-1-(2-hydroxymethyl-1,3-oxathiolan-5-yl)-(1H)-pyrimi-    din-2-one(emtricitabine,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</si>
  <si>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US8592197</t>
  </si>
  <si>
    <t>10/617569</t>
  </si>
  <si>
    <t>A61P 31/16 (20180101); C07K 14/005 (20130101); C12N 7/00 (20130101); C07H 21/04 (20130101); A61K 39/145 (20130101); A61P 37/04 (20180101); A61K 39/12 (20130101); C12N 2760/16122 (20130101); A61K 2039/70 (20130101); C12N 2760/16134 (20130101); C12N 2760/16123 (20130101); C12N 2760/16023 (20130101); A61K 2039/5258 (20130101); C12N 2760/16034 (20130101); A61K 2039/575 (20130101)</t>
  </si>
  <si>
    <t>US8586744</t>
  </si>
  <si>
    <t>A61P 31/12 (20180101); A61P 43/00 (20180101); A61P 1/16 (20180101); A61P 31/14 (20180101); C07F 9/65583 (20130101)</t>
  </si>
  <si>
    <t>US8580277</t>
  </si>
  <si>
    <t>Chin-Fen Yang, George Kemble, Kanta Subbaro, Brian Murphy</t>
  </si>
  <si>
    <t>US8577642</t>
  </si>
  <si>
    <t>Francesco Pompei, Janette H. Lee, Jason N. Jarboe</t>
  </si>
  <si>
    <t>G01K 1/026 (20130101); G01K 13/002 (20130101); G01J 5/027 (20130101); G01J 5/0025 (20130101); G01J 5/02 (20130101); A61B 5/0008 (20130101); G01K 1/02 (20130101); G01J 5/0022 (20130101); G01J 5/025 (20130101); G01K 1/024 (20130101); G06F 17/18 (20130101)</t>
  </si>
  <si>
    <t>US8575135</t>
  </si>
  <si>
    <t>C07F 5/025 (20130101); A61K 38/06 (20130101); A61K 31/4188 (20130101); A61P 1/16 (20180101); C07D 405/12 (20130101); A61K 38/07 (20130101); A61K 31/7072 (20130101); A61P 31/12 (20180101); A61K 38/21 (20130101); A61P 43/00 (20180101); A61K 45/06 (20130101); C07D 491/052 (20130101); A61P 31/14 (20180101); A61K 31/7064 (20130101); A61K 31/7056 (20130101); A61K 47/60 (20170801); A61K 31/7056 (20130101); A61K 2300/00 (20130101); A61K 31/4188 (20130101); A61K 2300/00 (20130101); A61K 31/7064 (20130101); A61K 2300/00 (20130101); A61K 31/7072 (20130101); A61K 2300/00 (20130101); Y10S 514/894 (20130101)</t>
  </si>
  <si>
    <t>US8575118</t>
  </si>
  <si>
    <t>Hongyan Guo, Darryl Kato, Thorsten A. Kirschberg, Hongtao Liu, John O. Link, Michael L. Mitchell, Jay P. Parrish, Jianyu Sun, James Taylor, Elizabeth M. Bacon, Eda Canales, Aesop Cho, Choung U. Kim, Jeromy J. Cottell, Manoj C. Desai, Randall L. Halcomb, Michael Graupe, Evan S. Krygowski, Scott E. Lazerwith, Qi Liu, Richard Mackman, Hyung-Jung Pyun, Joseph H. Saugier, James Trenkle, Winston C. Tse, Randall W. Vivian, Scott D. Schroeder, William J. Watkins, Lianhong Xu</t>
  </si>
  <si>
    <t>A61K 31/4439 (20130101); A61K 31/435 (20130101); A61K 31/4184 (20130101); A61K 31/437 (20130101); C07D 401/14 (20130101); C07D 403/14 (20130101); C07D 471/04 (20130101); C07D 491/113 (20130101); C07D 403/04 (20130101); C07D 405/14 (20130101); C07D 409/14 (20130101); A61K 31/5377 (20130101); C07D 471/08 (20130101); C07F 5/025 (20130101); A61K 45/06 (20130101); A61K 31/4178 (20130101); A61P 31/12 (20180101); C07D 471/10 (20130101); C07D 487/04 (20130101); C07D 413/14 (20130101); C07D 495/04 (20130101); A61K 31/55 (20130101); A61K 31/5415 (20130101); A61K 31/454 (20130101); A61K 31/4025 (20130101); C07D 207/16 (20130101); A61K 31/496 (20130101); C07D 417/14 (20130101); A61K 31/427 (20130101); A61K 31/519 (20130101)</t>
  </si>
  <si>
    <t>US8572059</t>
  </si>
  <si>
    <t>Surveillance, monitoring and real-time events platform</t>
  </si>
  <si>
    <t>10/886515</t>
  </si>
  <si>
    <t>Colin P. Britton, Howard Greenblatt, Alan Greenblatt</t>
  </si>
  <si>
    <t>H04L 67/42 (20130101); G16H 50/80 (20180101); G16H 50/20 (20180101)</t>
  </si>
  <si>
    <t>US8569478</t>
  </si>
  <si>
    <t>Modified 4'-nucleosides as antiviral agents</t>
  </si>
  <si>
    <t>12/067995</t>
  </si>
  <si>
    <t>Jinfa Du, Phillip Furman, Michael Joseph Sofia</t>
  </si>
  <si>
    <t>C07H 19/06 (20130101); A61P 31/20 (20180101); A61P 43/00 (20180101); A61P 31/12 (20180101); A61P 31/18 (20180101); C07H 19/16 (20130101)</t>
  </si>
  <si>
    <t>Compounds, methods and compositions for treating a host infected with     human immunodeficiency virus and hepatitis B virus comprising     administering an effective amount of a described 4'-C-substituted     .beta.-D- and .beta.-L-nucleoside or a pharmaceutically acceptable salt     or prodrug thereof, are provided.</t>
  </si>
  <si>
    <t>US8569302</t>
  </si>
  <si>
    <t>Eda Canales, Lee S. Chong, Michael O'Neil Hanrahan Clarke, Edward Doerffler, Scott E. Lazerwith, Willard Lew, Qi Liu, Michael Mertzman, Philip A. Morganelli, William J. Watkins, Hong Ye</t>
  </si>
  <si>
    <t>A61K 31/497 (20130101); A61P 31/14 (20180101); C07D 409/14 (20130101); A61P 1/16 (20180101); C07D 487/04 (20130101); C07D 493/04 (20130101); A61K 31/427 (20130101); A61K 31/501 (20130101); A61K 31/513 (20130101); A61K 31/4709 (20130101); A61K 31/4436 (20130101); C07D 413/12 (20130101); A61K 45/06 (20130101); C07D 333/68 (20130101); C07D 417/12 (20130101); A61P 31/12 (20180101); C07D 409/12 (20130101); A61P 43/00 (20180101)</t>
  </si>
  <si>
    <t>US8560339</t>
  </si>
  <si>
    <t>System and method to predict the global spread of infectious agents via     commercial air travel</t>
  </si>
  <si>
    <t>Kamran Khan</t>
  </si>
  <si>
    <t>G06Q 10/04 (20130101); G06Q 50/22 (20130101); G16H 50/80 (20180101); Y02A 90/24 (20180101); Y02A 90/22 (20180101)</t>
  </si>
  <si>
    <t>US8536187</t>
  </si>
  <si>
    <t>2,4,6-trisubstituted pyrido(3,2-d)pyrimidines useful for treating viral     infections</t>
  </si>
  <si>
    <t>Eda Canales, Lee S. Chong, Michael O' Neil Hanrahan Clarke, Scott E. Lazerwith, Willard Lew, Qi Liu, Michael L. Mitchell, William J. Watkins, Jennifer R. Zhang</t>
  </si>
  <si>
    <t>A61P 31/12 (20180101); A61P 31/14 (20180101); C07D 471/04 (20130101); A61P 39/00 (20180101)</t>
  </si>
  <si>
    <t>US8535687</t>
  </si>
  <si>
    <t>Smallpox DNA vaccine and the antigens therein that elicit an immune     response</t>
  </si>
  <si>
    <t>12/473634</t>
  </si>
  <si>
    <t>Ruxandra Draghia-Akli, Jon Prigge, Niranjan Y. Sardesai, David B. Weiner, Lauren A. Hirao</t>
  </si>
  <si>
    <t>A61P 31/20 (20180101); C12N 7/00 (20130101); A61P 43/00 (20180101); A61P 37/04 (20180101); A61K 39/12 (20130101); A61K 39/285 (20130101); A61K 2039/53 (20130101); C12N 2710/24134 (20130101); C12N 2710/24151 (20130101); A61K 2039/545 (20130101)</t>
  </si>
  <si>
    <t>The present invention relates to DNA vaccines that are capable of     generating a protective immune response in mammals against a pox virus,     and comprises at least one DNA plasmid capable of expressing a plurality     of VACV MV antigens, and at least one DNA plasmid capable of expressing a     plurality of VACV EV antigens. Also, the present invention relates to     methods of inducing a protective immune response in a mammal to pox     virus, including a neutralizing antibody response, comprising: injecting     into tissue of said mammal said DNA vaccine.</t>
  </si>
  <si>
    <t>US8524764</t>
  </si>
  <si>
    <t>Eda Canales, Lee S. Chong, Michael O' Neil Hanrahan Clarke, Edward Doerffler, Scott E. Lazerwith, Willard Lew, Michael Mertzman, Philip A. Morganelli, William J. Watkins</t>
  </si>
  <si>
    <t>A61K 31/454 (20130101); A61P 31/12 (20180101); C07D 493/04 (20130101); A61K 31/427 (20130101); A61K 31/4545 (20130101); A61K 31/4535 (20130101); A61K 31/501 (20130101); A61K 31/4025 (20130101); C07D 413/12 (20130101); C07D 409/12 (20130101); A61P 31/00 (20180101); C07D 409/14 (20130101); C07D 333/38 (20130101); A61K 31/497 (20130101); A61K 31/381 (20130101); A61K 45/06 (20130101); A61P 31/14 (20180101)</t>
  </si>
  <si>
    <t>US8519850</t>
  </si>
  <si>
    <t>Method and system for the acquisition, transmission and assessment of     remote sensor data for trend analysis, prediction and remediation</t>
  </si>
  <si>
    <t>Michael A. Reinpoldt</t>
  </si>
  <si>
    <t>G16H 50/80 (20180101)</t>
  </si>
  <si>
    <t>US8515777</t>
  </si>
  <si>
    <t>System and method for efficient provision of healthcare</t>
  </si>
  <si>
    <t>13/272213</t>
  </si>
  <si>
    <t>PROCESSPROXY CORPORATION</t>
  </si>
  <si>
    <t>PROCESSPROXY</t>
  </si>
  <si>
    <t>Terry Rajasenan</t>
  </si>
  <si>
    <t>G16H 50/30 (20180101); G06Q 10/06313 (20130101); G06Q 50/22 (20130101); G16H 40/20 (20180101); Y02A 90/26 (20180101); Y02A 90/22 (20180101)</t>
  </si>
  <si>
    <t>A healthcare provisioning system improves efficiency in providing     healthcare services. Healthcare supply and demand models are analyzed by     a healthcare provisioning system to efficiently allocate healthcare     supply resources to satisfy healthcare demand. Healthcare supply     resources are allocated so as to avoid tipping points that can result in     increased costs and negative patient outcomes.</t>
  </si>
  <si>
    <t>US8513298</t>
  </si>
  <si>
    <t>A61P 31/14 (20180101); C07D 409/12 (20130101); A61K 31/381 (20130101); A61K 45/06 (20130101); A61K 31/4436 (20130101); A61P 31/12 (20180101); A61P 31/00 (20180101)</t>
  </si>
  <si>
    <t>US8513186</t>
  </si>
  <si>
    <t>C07D 487/04 (20130101); C07K 5/0821 (20130101); C07D 417/14 (20130101); A61P 31/12 (20180101); C07K 5/0812 (20130101); C07D 401/12 (20130101); C07D 403/04 (20130101); A61P 1/16 (20180101); A61P 31/14 (20180101); C07D 207/16 (20130101); C07D 413/14 (20130101); A61P 43/00 (20180101); C07D 403/12 (20130101); C07K 5/0808 (20130101); C07D 495/04 (20130101); C07D 405/14 (20130101); C07K 5/0804 (20130101); C07D 401/14 (20130101); A61K 38/00 (20130101)</t>
  </si>
  <si>
    <t>US8513184</t>
  </si>
  <si>
    <t>C07D 487/04 (20130101); C07D 498/08 (20130101); A61P 31/00 (20180101); A61P 31/14 (20180101); C07D 498/18 (20130101); C07K 5/02 (20130101); A61P 31/10 (20180101); A61K 45/06 (20130101); A61P 31/12 (20180101); A61K 38/06 (20130101); A61P 31/18 (20180101); C07K 5/06052 (20130101); C07D 487/08 (20130101)</t>
  </si>
  <si>
    <t>US8506967</t>
  </si>
  <si>
    <t>A61K 39/145 (20130101); A61K 39/12 (20130101); C07K 14/005 (20130101); C12N 7/00 (20130101); A61K 2039/70 (20130101); A61K 2039/55555 (20130101); C12N 2760/16034 (20130101); C12N 2760/16134 (20130101); C12N 2760/16123 (20130101); A61K 2039/543 (20130101); A61K 2039/55505 (20130101); A61K 2039/58 (20130101); C12N 2760/16122 (20130101); C12N 2710/14143 (20130101); C12N 2760/16022 (20130101); A61K 2039/5258 (20130101); A61K 2039/55561 (20130101); C12N 2760/16023 (20130101)</t>
  </si>
  <si>
    <t>US8501714</t>
  </si>
  <si>
    <t>C07F 9/655345 (20130101); C07F 9/65681 (20130101); C07F 9/6561 (20130101); A61K 31/683 (20130101); A61P 31/12 (20180101); A61K 31/662 (20130101); A61K 45/06 (20130101); A61P 43/00 (20180101); A61K 31/67 (20130101); A61P 31/14 (20180101); C07F 9/65586 (20130101); A61K 31/675 (20130101)</t>
  </si>
  <si>
    <t>US8498879</t>
  </si>
  <si>
    <t>Francis Michon, Samuel L. Moore, Samuel J. Wohlstadter, Charles Quentin Davis, Glen Otero, Aaron Haleva</t>
  </si>
  <si>
    <t>G06Q 50/22 (20130101); G06Q 50/24 (20130101); G16H 10/60 (20180101); G16H 50/30 (20180101); G16H 50/80 (20180101); G16H 50/70 (20180101); Y02A 90/24 (20180101); Y02A 90/26 (20180101); Y02A 90/22 (20180101)</t>
  </si>
  <si>
    <t>US8489419</t>
  </si>
  <si>
    <t>Transportation mode determination in non-mass casualty triage</t>
  </si>
  <si>
    <t>William J. Sacco, D. Michael Navin</t>
  </si>
  <si>
    <t>G06Q 50/22 (20130101); G16H 50/80 (20180101); G16H 50/20 (20180101); G16H 40/20 (20180101)</t>
  </si>
  <si>
    <t>US8486938</t>
  </si>
  <si>
    <t>Pyrazolo[1,5-a]pyrimidines for antiviral treatment</t>
  </si>
  <si>
    <t>A61K 31/55 (20130101); A61P 11/00 (20180101); A61K 31/551 (20130101); A61P 31/14 (20180101); A61K 31/519 (20130101); A61P 31/12 (20180101); C07D 513/04 (20130101); A61K 31/675 (20130101); C07D 495/04 (20130101); C07D 487/04 (20130101); A61K 31/5377 (20130101); C07F 9/65616 (20130101); A61K 45/06 (20130101); C07D 519/00 (20130101); A61P 31/16 (20180101)</t>
  </si>
  <si>
    <t>US8476225</t>
  </si>
  <si>
    <t>Anthony Casarez, Mingzhe Ji, Choung U. Kim, Xiaoning C. Sheng, Qiaoyin Wu</t>
  </si>
  <si>
    <t>C07D 233/02 (20130101); C07D 401/12 (20130101); C07D 403/04 (20130101); C07K 5/0808 (20130101); C07D 403/12 (20130101); C07D 409/10 (20130101); C07D 409/12 (20130101); C07D 487/04 (20130101); C07D 403/10 (20130101); A61K 38/00 (20130101)</t>
  </si>
  <si>
    <t>US8475807</t>
  </si>
  <si>
    <t>Daniel R. Perez</t>
  </si>
  <si>
    <t>A61K 39/145 (20130101); C12N 7/00 (20130101); A61K 39/12 (20130101); A61K 2039/5254 (20130101); C12N 2760/16134 (20130101); C12N 2760/16161 (20130101); A61K 2039/543 (20130101); A61K 2039/544 (20130101); A61K 2039/55 (20130101); A61K 2039/58 (20130101); A61K 2039/541 (20130101)</t>
  </si>
  <si>
    <t>US8461180</t>
  </si>
  <si>
    <t>12/743146</t>
  </si>
  <si>
    <t>Youla S. Tsantrizos, Murray D. Bailey, Punit-Kumar Bhardwaj, Christian Brochu, Paul J. Edwards, Lee Fader, Araz Jakalian, Stephen Kawai, Mathieu Parisien, Marc-Andre Poupart, Bruno Simoneau</t>
  </si>
  <si>
    <t>C07D 471/04 (20130101); A61P 43/00 (20180101); A61P 31/18 (20180101)</t>
  </si>
  <si>
    <t>Compounds of formula (I): wherein c, X, Y, R.sup.2, R.sup.4 and R.sup.5     are defined herein, are useful as inhibitors of HIV replication.     ##STR00001##</t>
  </si>
  <si>
    <t>US8455451</t>
  </si>
  <si>
    <t>2'-fluoro substituted carba-nucleoside analogs for antiviral treatment</t>
  </si>
  <si>
    <t>Aesop Cho, Choung U. Kim, Adrian S. Ray</t>
  </si>
  <si>
    <t>A61K 31/7056 (20130101); C07D 487/04 (20130101); A61P 31/14 (20180101); A61K 31/706 (20130101); A61K 31/41 (20130101)</t>
  </si>
  <si>
    <t>US8451113</t>
  </si>
  <si>
    <t>Repeater providing data exchange with a medical device for remote patient     care and method thereof</t>
  </si>
  <si>
    <t>A61B 5/0031 (20130101); A61B 5/0809 (20130101); A61B 5/4839 (20130101); G06F 19/3418 (20130101); G06Q 50/22 (20130101); G06Q 50/24 (20130101); H04B 17/00 (20130101); A61B 5/0022 (20130101); G16H 40/63 (20180101); G16H 50/20 (20180101); A61B 5/02055 (20130101); G16H 50/80 (20180101); A61B 5/0215 (20130101); A61B 5/14532 (20130101); A61B 2560/0209 (20130101); A61B 2560/0271 (20130101); A61B 2560/045 (20130101); A61B 5/747 (20130101); G16H 10/60 (20180101)</t>
  </si>
  <si>
    <t>US8431745</t>
  </si>
  <si>
    <t>Kenneth R. Crawford, Eric D. Dowdy, Arnold Gutierrez, Richard P. Polniaszek, Richard Hung Chiu Yu</t>
  </si>
  <si>
    <t>C07C 303/40 (20130101); A61P 31/12 (20180101); C07F 9/4084 (20130101); A61P 43/00 (20180101); C07C 51/412 (20130101); C07C 253/30 (20130101); C07F 9/4006 (20130101); C07C 303/38 (20130101); C07F 9/4075 (20130101); C07D 493/04 (20130101); A61K 31/665 (20130101); C07C 311/29 (20130101); A61P 31/18 (20180101); C07F 9/6561 (20130101); C07C 303/38 (20130101); C07C 311/29 (20130101); C07C 303/40 (20130101); C07C 311/29 (20130101); C07C 253/30 (20130101); C07C 255/60 (20130101)</t>
  </si>
  <si>
    <t>A process for the synthesis of bisfuran intermediates useful for     preparing antiviral HIV protease inhibitor compounds is hereby disclosed.</t>
  </si>
  <si>
    <t>US8431554</t>
  </si>
  <si>
    <t>Compound showing anti-inflammatory activity and antiviral activity,     pharmaceutical compositions comprising the same, a process for obtaining     the same and use of the same in the treatment of epidemic     keratoconjunctivites and herpetic stromal keratis</t>
  </si>
  <si>
    <t>Javier Alberto Ramirez, Flavia Mariana Michelini, Lydia Raquel Galagovsky, Alejandro Berra, Laura Edith Alche</t>
  </si>
  <si>
    <t>C07J 9/00 (20130101)</t>
  </si>
  <si>
    <t>Brassinosteriods, illustrated by the following exemplary compounds, are     disclosed:  ##STR00001##  The compounds have anti-inflammatory and     antiviral activity. In pharmaceutical compositions, the compounds are     useful in ophthalmic pharmaceuticals for treatment of diseases caused by     adenovirus, such as epidemic keratoconjunctivitis, and herpes simplex     type 1, such as herpetic stromal keratitis.</t>
  </si>
  <si>
    <t>US8431137</t>
  </si>
  <si>
    <t>YANG CHIN-FEN; KEMBLE GEORGE; MEDIMMUNE LLC</t>
  </si>
  <si>
    <t>YANG CHIN-FEN; KEMBLE GEORGE; MEDIMMUNE</t>
  </si>
  <si>
    <t>US8420597</t>
  </si>
  <si>
    <t>A61P 31/12 (20180101); C07D 207/16 (20130101); C07D 487/04 (20130101); C07D 413/14 (20130101); C07D 403/14 (20130101); C07D 417/14 (20130101); C07D 403/12 (20130101); C07D 401/14 (20130101); A61P 1/16 (20180101); C07K 5/0804 (20130101); C07K 5/0821 (20130101); A61P 31/14 (20180101); A61P 31/16 (20180101); C07K 5/0808 (20130101); C07K 5/0819 (20130101); C07D 401/12 (20130101)</t>
  </si>
  <si>
    <t>US8420089</t>
  </si>
  <si>
    <t>A61K 38/208 (20130101); A61P 19/02 (20180101); C07K 16/248 (20130101); A61K 39/3955 (20130101); A61K 45/00 (20130101); A61P 1/00 (20180101); A61P 35/00 (20180101); A61P 9/10 (20180101); A61K 38/16 (20130101); A61K 38/2013 (20130101); A61P 25/00 (20180101); A61P 35/02 (20180101); A61P 19/08 (20180101); A61P 1/16 (20180101); A61K 31/7088 (20130101); A61K 45/06 (20130101); A61P 35/04 (20180101); A61P 1/04 (20180101); C07K 2317/34 (20130101); A61K 2039/54 (20130101); C07K 2317/24 (20130101); C07K 2317/92 (20130101); A61K 2039/505 (20130101); C07K 2317/41 (20130101); C07K 2317/76 (20130101); A61K 2039/545 (20130101)</t>
  </si>
  <si>
    <t>US8415322</t>
  </si>
  <si>
    <t>Modified fluorinated nucleoside analogues</t>
  </si>
  <si>
    <t>12/878262</t>
  </si>
  <si>
    <t>Jeremy Clark</t>
  </si>
  <si>
    <t>A61P 31/16 (20180101); A61P 35/00 (20180101); A61P 43/00 (20180101); C07H 19/04 (20130101); A61K 31/7072 (20130101); A61P 31/12 (20180101); A61K 31/7068 (20130101); C07H 19/16 (20130101); C07H 19/048 (20130101); A61P 31/00 (20180101); C07H 19/06 (20130101); A61P 31/04 (20180101); C07H 19/14 (20130101); A61P 1/16 (20180101); C07H 19/00 (20130101); A61P 31/14 (20180101)</t>
  </si>
  <si>
    <t>US8415308</t>
  </si>
  <si>
    <t>1'-substituted-carba-nucleoside prodrugs for antiviral treatment</t>
  </si>
  <si>
    <t>Aesop Cho, Choung U. Kim, Adrian S. Ray, Lijun Zhang</t>
  </si>
  <si>
    <t>C07F 9/6561 (20130101); A61P 31/00 (20180101); A61P 43/00 (20180101); A61K 31/40 (20130101); A61P 1/16 (20180101); A61P 31/14 (20180101); C07F 9/00 (20130101); C07D 309/10 (20130101)</t>
  </si>
  <si>
    <t>US8405503</t>
  </si>
  <si>
    <t>Chon Meng Wong</t>
  </si>
  <si>
    <t>G01S 5/0284 (20130101); G01S 5/14 (20130101); G01S 13/74 (20130101)</t>
  </si>
  <si>
    <t>US8404235</t>
  </si>
  <si>
    <t>A61P 43/00 (20180101); C07K 16/248 (20130101); A61K 39/3955 (20130101); A61K 39/395 (20130101); A61K 45/06 (20130101); C07K 2317/92 (20130101); C07K 2317/34 (20130101); G01N 2333/765 (20130101); C07K 2317/41 (20130101); C07K 2317/565 (20130101); C07K 2317/56 (20130101); G01N 2333/4737 (20130101); C07K 2317/24 (20130101); C07K 2317/76 (20130101); A61K 2039/505 (20130101); G01N 2800/52 (20130101)</t>
  </si>
  <si>
    <t>US8396721</t>
  </si>
  <si>
    <t>Community health system</t>
  </si>
  <si>
    <t>Deryk Van Brunt, Marcos Athanasoulis</t>
  </si>
  <si>
    <t>G06Q 50/22 (20130101); G16H 15/00 (20180101); G16H 50/70 (20180101); G16H 50/80 (20180101)</t>
  </si>
  <si>
    <t>US8392152</t>
  </si>
  <si>
    <t>R. Bharat Rao</t>
  </si>
  <si>
    <t>G06Q 30/0202 (20130101); G06Q 50/22 (20130101); G06Q 50/24 (20130101); G16H 50/80 (20180101); Y10S 707/99939 (20130101); Y02A 90/24 (20180101); Y02A 90/26 (20180101); Y02A 90/22 (20180101); Y10S 707/99945 (20130101)</t>
  </si>
  <si>
    <t>US8380442</t>
  </si>
  <si>
    <t>US8377960</t>
  </si>
  <si>
    <t>12/743138</t>
  </si>
  <si>
    <t>Youla S. Tsantrizos, Murray D. Bailey, Francois Bilodeau, Rebekah J. Carson, Lee Fader, Teddy Halmos, Stephen Kawai, Serge R. Landry, Steven Laplantea, Bruno Simoneau</t>
  </si>
  <si>
    <t>C07D 405/14 (20130101); C07D 491/04 (20130101); C07D 215/18 (20130101); C07D 215/48 (20130101); A61P 43/00 (20180101); A61P 31/18 (20180101); C07D 215/20 (20130101); C07D 405/04 (20130101); C07D 413/14 (20130101); C07D 401/04 (20130101); C07D 413/10 (20130101); C07D 215/38 (20130101); C07D 413/04 (20130101); A61P 31/00 (20180101); C07D 417/12 (20130101); C07D 215/14 (20130101); C07D 417/14 (20130101); C07D 413/06 (20130101)</t>
  </si>
  <si>
    <t>Compounds of formula I: wherein c, R.sup.2, R.sup.3, R.sup.4, R.sup.5,     R.sup.6, R.sup.7 and R.sup.8 are defined herein, are useful as inhibitors     of HIV replication.  ##STR00001##</t>
  </si>
  <si>
    <t>US8368544</t>
  </si>
  <si>
    <t>WILDMAN TIMOTHY D; GALLANT DENNIS J; HAUSMAN PHILLIP J</t>
  </si>
  <si>
    <t>WILDMAN TIMOTHY GALLANT DENNIS HAUSMAN PHILLIP</t>
  </si>
  <si>
    <t>Timothy D. Wildman, Dennis J. Gallant, Phill Hausman</t>
  </si>
  <si>
    <t>US8364258</t>
  </si>
  <si>
    <t>Device, method, and system for neural modulation as vaccine adjuvant in a     vertebrate subject</t>
  </si>
  <si>
    <t>12/802812</t>
  </si>
  <si>
    <t>Gregory J. Della Rocca, Joshua L. Dowling, Eleanor V. Goodall, Roderick A. Hyde, Jordin T. Kare, Muriel Y. Ishikawa, Eric C. Leuthardt, Stephen L. Malaska, Nathan P. Myhrvold, Paul Santiago, Todd J. Stewart, Elizabeth A. Sweeney, Clarence T. Tegreene, Lowell L. Wood, Jr., Victoria Y. H. Wood</t>
  </si>
  <si>
    <t>A61N 1/303 (20130101); A61P 43/00 (20180101); A61N 1/32 (20130101); A61P 37/00 (20180101); A61N 2/00 (20130101); A61K 39/39 (20130101); A61N 2/002 (20130101); A61F 7/00 (20130101); A61M 37/0092 (20130101); A61N 1/36121 (20130101); A61N 2/006 (20130101); A61N 1/306 (20130101); A61M 37/00 (20130101); A61N 5/0622 (20130101); A61N 2/02 (20130101)</t>
  </si>
  <si>
    <t>An apparatus for enhancing an immune response in a vertebrate subject is     described. The apparatus includes providing at least one energy stimulus     configured to modulate one or more nervous system components of the     vertebrate subject, and administering one or more immunogen to the     vertebrate subject, wherein the at least one energy stimulus and the one     or more immunogen are provided in a combination and in a temporal     sequence sufficient to enhance an immune response in the vertebrate     subject.</t>
  </si>
  <si>
    <t>US8354429</t>
  </si>
  <si>
    <t>12/742997</t>
  </si>
  <si>
    <t>Youla S. Tsantrizos, Murray D. Bailey, Francois Bilodeau, Rebekah J. Carson, Rene Coulombe, Lee Fader, Teddy Halmos, Stephen Kawai, Serge Landry, Steven LaPlante, Sebastien Morin, Mathieu Parisien, Marc-Andre Poupart, Bruno Simoneau</t>
  </si>
  <si>
    <t>A61K 31/538 (20130101); C07D 491/06 (20130101); A61K 31/4741 (20130101); C07D 405/04 (20130101); C07D 413/04 (20130101); A61P 43/00 (20180101); C07D 221/16 (20130101); C07D 498/06 (20130101); A61P 31/12 (20180101); A61K 31/47 (20130101); C07D 215/18 (20130101); A61P 31/18 (20180101); A61K 31/4709 (20130101); C07D 401/04 (20130101); A61K 31/5383 (20130101); C07D 215/14 (20130101); A61K 31/473 (20130101); C07D 417/04 (20130101); C07D 409/04 (20130101)</t>
  </si>
  <si>
    <t>US8338441</t>
  </si>
  <si>
    <t>12/777406</t>
  </si>
  <si>
    <t>Christiane Yoakim, Murray Bailey, Francois Bilodeau, Rebekah Carson, Lee Fader, Stephen Kawai, Sebastien Morin, Carl Thibeault, Bruno Simoneau, Simon Surprenant, Youla Tsantrizos, Steven Laplante</t>
  </si>
  <si>
    <t>C07D 413/14 (20130101); A61K 31/4439 (20130101); A61K 31/506 (20130101); C07D 405/10 (20130101); A61K 31/4436 (20130101); C07D 213/81 (20130101); A61K 31/4433 (20130101); A61K 31/538 (20130101); C07D 471/04 (20130101); C07D 401/12 (20130101); A61K 31/4741 (20130101); C07D 413/10 (20130101); C07D 491/06 (20130101); C07D 405/14 (20130101); C07D 411/10 (20130101); A61K 31/5383 (20130101); A61P 31/18 (20180101); A61K 45/06 (20130101); C07D 213/55 (20130101); A61K 31/4375 (20130101); A61K 31/4709 (20130101); C07D 498/06 (20130101); A61K 31/444 (20130101); A61K 31/501 (20130101); A61K 31/44 (20130101); C07D 417/10 (20130101)</t>
  </si>
  <si>
    <t>US8338435</t>
  </si>
  <si>
    <t>Substituted pyrido(3,2-D) pyrimidines and pharmaceutical compositions for     treating viral infections</t>
  </si>
  <si>
    <t>12/374223</t>
  </si>
  <si>
    <t>Piet Andre Maurits Maria Herdewijn, Steven Cesar Alfons De Jonghe, William John Watkins, Lee Shun Chong, Jennifer Zhang</t>
  </si>
  <si>
    <t>C07D 471/04 (20130101); A61P 31/12 (20180101)</t>
  </si>
  <si>
    <t>This invention provides di-, tri- and tetra-substituted     pyrido(3,2-d)pyrimidine derivatives with specific substituting patterns,     their pharmaceutically acceptable salts, N-oxides, solvates, pro-drugs     and enantiomers, possessing unexpectedly desirable pharmaceutical     properties, in particular being highly active antiviral agents. The     invention also provides use of such derivatives in the treatment of viral     infections and pathologic conditions associated therewith, including     hepatitis C.  ##STR00001##</t>
  </si>
  <si>
    <t>US8335298</t>
  </si>
  <si>
    <t>Pandemic diagnostic and intervention tool for emergency dispatch</t>
  </si>
  <si>
    <t>H04M 11/04 (20130101); G06Q 50/22 (20130101); G16H 50/80 (20180101)</t>
  </si>
  <si>
    <t>US8334422</t>
  </si>
  <si>
    <t>Method and device for air disinfection and sterilization</t>
  </si>
  <si>
    <t>Alexander F. Gutsol, Alexander Fridman, Michael J. Gallagher, Victor Vasilets, Kenneth Blank</t>
  </si>
  <si>
    <t>A61L 9/22 (20130101); Y02A 50/22 (20180101); F24F 2003/1664 (20130101)</t>
  </si>
  <si>
    <t>US8329926</t>
  </si>
  <si>
    <t>A61P 31/00 (20180101); C07H 19/16 (20130101); A61P 31/14 (20180101); A61K 31/341 (20130101); A61K 31/513 (20130101); A61K 45/06 (20130101); A61K 31/662 (20130101); C07H 19/00 (20130101); C07H 19/20 (20130101); A61P 43/00 (20180101); A61K 31/675 (20130101); A61P 31/12 (20180101); C07F 9/65616 (20130101); A61P 31/18 (20180101); A61P 31/20 (20180101); A61K 31/683 (20130101); A61K 31/675 (20130101); A61K 2300/00 (20130101); A61K 31/683 (20130101); A61K 2300/00 (20130101); A61K 31/513 (20130101); A61K 2300/00 (20130101); A61K 31/341 (20130101); A61K 2300/00 (20130101)</t>
  </si>
  <si>
    <t>US8329727</t>
  </si>
  <si>
    <t>12/577865</t>
  </si>
  <si>
    <t>Steven S. Bondy, Eric Davis Dowdy, Choung U. Kim, David A. Oare, Johan Neyts, Vahid Zia, Gerhard Purstinger</t>
  </si>
  <si>
    <t>A61P 31/12 (20180101); A61P 43/00 (20180101); A61P 3/12 (20180101); C07D 471/04 (20130101); A61P 31/14 (20180101)</t>
  </si>
  <si>
    <t>The present invention relates to pharmaceutical compositions for the     treatment or prevention of viral infections comprising as an active     principle at least one imidazo[4,5-c]pyridine prodrug having the general     Formula (A) wherein the substituents are described in the specification.     The invention also relates to processes for the preparation and screening     of compounds according to the invention having above mentioned general     Formula and their use in the treatment or prophylaxis of viral     infections.</t>
  </si>
  <si>
    <t>US8324179</t>
  </si>
  <si>
    <t>Nucleoside analogs for antiviral treatment</t>
  </si>
  <si>
    <t>James M. Chen, Alan X. Huang, Richard L. Mackman, Jay Parrish, Jason K. Perry, Oliver L. Saunders, David Sperandio</t>
  </si>
  <si>
    <t>A61P 1/16 (20180101); C07F 9/65586 (20130101); A61P 31/14 (20180101); C07H 19/00 (20130101); C07F 9/65616 (20130101); C07F 9/6561 (20130101)</t>
  </si>
  <si>
    <t>The invention provides unsaturated phosphonates of Formula I or a     tautomer or pharmaceutically acceptable salt thereof, as described     herein, as well as pharmaceutical compositions comprising the compounds,     and therapeutic methods comprising administering the compounds. The     compounds have anti-viral properties and are useful for treating viral     infections (e.g. HCV) in animals (e.g. humans).  ##STR00001##</t>
  </si>
  <si>
    <t>US8323649</t>
  </si>
  <si>
    <t>C07K 16/248 (20130101); A61K 45/06 (20130101); C07K 16/18 (20130101); A61K 39/39533 (20130101); A61P 37/02 (20180101); C07K 2317/92 (20130101); C07K 2317/24 (20130101); C07K 2317/55 (20130101); C07K 2317/56 (20130101); C07K 2317/54 (20130101); A61K 2039/545 (20130101); C07K 2317/622 (20130101); Y02A 50/412 (20180101); C07K 2317/41 (20130101); C07K 2317/76 (20130101); C07K 2317/21 (20130101); C07K 2317/94 (20130101); A61K 2039/54 (20130101); C07K 2317/569 (20130101); A61K 2039/505 (20130101); C07K 2317/34 (20130101)</t>
  </si>
  <si>
    <t>The present invention is directed to therapeutic methods using IL-6     antagonists such as an Ab1 antibody or antibody fragment having binding     specificity for IL-6 to prevent or treat disease or to improve     survivability or quality of life of a patient in need thereof. In     preferred embodiments these patients will comprise those exhibiting (or     at risk of developing) an elevated serum C-reactive protein level,     reduced serum albumin level, elevated D-dimer or other coagulation     cascade related protein(s), cachexia, fever, weakness and/or fatigue     prior to treatment. The subject therapies also may include the     administration of other actives such as chemotherapeutics,     anti-coagulants, statins, and others.</t>
  </si>
  <si>
    <t>US8318701</t>
  </si>
  <si>
    <t>A61P 31/18 (20180101); A61K 31/662 (20130101); C07H 19/16 (20130101); C07H 19/20 (20130101); A61K 31/513 (20130101); A61K 45/06 (20130101); A61P 31/00 (20180101); A61K 31/683 (20130101); C07F 9/65616 (20130101); A61P 31/20 (20180101); A61K 31/341 (20130101); C07H 19/00 (20130101); A61P 43/00 (20180101); A61P 31/12 (20180101); A61P 31/14 (20180101); A61K 31/675 (20130101); A61K 31/675 (20130101); A61K 2300/00 (20130101); A61K 31/683 (20130101); A61K 2300/00 (20130101); A61K 31/513 (20130101); A61K 2300/00 (20130101); A61K 31/341 (20130101); A61K 2300/00 (20130101)</t>
  </si>
  <si>
    <t>US8318682</t>
  </si>
  <si>
    <t>1'substituted carba-nucleoside analogs for antiviral treatment</t>
  </si>
  <si>
    <t>A61P 31/12 (20180101); A61P 43/00 (20180101); A61P 1/16 (20180101); C07H 19/23 (20130101); A61P 31/00 (20180101); C07D 487/04 (20130101); A61P 31/14 (20180101); A61P 31/16 (20180101); A61P 31/20 (20180101)</t>
  </si>
  <si>
    <t>Provided are pyrrolo[1,2-f][1,2,4]triazinyl,     imidazo[1,5-f][1,2,4]triazinyl, imidazo[1,2-f][1,2,4]triazinyl, and     [1,2,4]triazolo[4,3-f][1,2,4]triazinyl nucleosides, nucleoside phosphates     and prodrugs thereof, wherein the 1' position of the nucleoside sugar is     substituted with a cyano group. The compounds, compositions, and methods     provided are useful for the treatment of Flaviviridae virus infections,     particularly hepatitis C infections.</t>
  </si>
  <si>
    <t>US8298760</t>
  </si>
  <si>
    <t>US8297231</t>
  </si>
  <si>
    <t>A01K 29/005 (20130101); A61B 5/7282 (20130101); A61D 99/00 (20130101); A61B 5/0077 (20130101); G06F 19/3418 (20130101); G06Q 10/00 (20130101); A61B 5/0013 (20130101); A61F 7/00 (20130101); G16H 50/80 (20180101)</t>
  </si>
  <si>
    <t>US8288090</t>
  </si>
  <si>
    <t>Anders Fomsgaard</t>
  </si>
  <si>
    <t>A61K 39/145 (20130101); A61K 39/12 (20130101); A61K 2039/53 (20130101); A61K 2039/54 (20130101); A61K 2039/70 (20130101); C12N 2760/16134 (20130101)</t>
  </si>
  <si>
    <t>US8283442</t>
  </si>
  <si>
    <t>C07D 403/12 (20130101); C07K 5/0804 (20130101); A61P 31/16 (20180101); C07D 401/14 (20130101); C07D 413/14 (20130101); C07D 487/04 (20130101); A61P 31/14 (20180101); C07D 207/16 (20130101); C07D 401/12 (20130101); C07D 417/14 (20130101); A61P 31/12 (20180101); C07K 5/0808 (20130101); A61P 1/16 (20180101); C07D 403/14 (20130101); C07K 5/0821 (20130101); C07K 5/0819 (20130101)</t>
  </si>
  <si>
    <t>US8282937</t>
  </si>
  <si>
    <t>Cold-adapted (CA) reassortant influenza virus</t>
  </si>
  <si>
    <t>Hunein Maassab, Martha Louise Herlocher</t>
  </si>
  <si>
    <t>A61K 39/145 (20130101); C07K 14/005 (20130101); C12N 7/00 (20130101); A61K 39/12 (20130101); A61K 2039/5254 (20130101); C12N 2760/16122 (20130101); C12N 2760/16134 (20130101); A61K 2039/543 (20130101); C12N 2760/16222 (20130101); C12N 2760/16234 (20130101); C12N 2760/16264 (20130101); A61K 2039/70 (20130101); C12N 2760/16164 (20130101)</t>
  </si>
  <si>
    <t>US8277804</t>
  </si>
  <si>
    <t>A61P 35/00 (20180101); A61K 45/06 (20130101); A61P 9/00 (20180101); A61P 7/00 (20180101); A61K 39/3955 (20130101); C07K 16/248 (20130101); C07K 2317/76 (20130101); C07K 2317/51 (20130101); C07K 2317/52 (20130101); C07K 2317/41 (20130101); C07K 2317/33 (20130101); C07K 2317/92 (20130101); A61K 2039/505 (20130101); C07K 2317/34 (20130101); C07K 2317/515 (20130101); C07K 2317/56 (20130101); C07K 2317/565 (20130101); C07K 2317/94 (20130101)</t>
  </si>
  <si>
    <t>US8273341</t>
  </si>
  <si>
    <t>Hongyan Guo, Darryl Kato, Thorsten A. Kirschberg, Hongtao Liu, John O. Link, Michael L. Mitchell, Jay P. Parrish, Michael Graupe, Jianyu Sun, James Taylor, Elizabeth M. Bacon, Eda Canales, Aesop Cho, Choung U. Kim, Jeromy J. Cottell, Manoj C. Desai, Randall L. Halcomb, Evan S. Krygowski, Scott E. Lazerwith, Qi Liu, Richard Mackman, Hyung-Jun Pyun, Joseph H. Saugier, James D. Trenkle, Winston C. Tse, Randall W. Vivian, Scott D. Schroeder, William J. Watkins, Lianhong Xu</t>
  </si>
  <si>
    <t>C07D 495/04 (20130101); C07D 487/04 (20130101); A61P 31/12 (20180101); A61K 31/4439 (20130101); A61K 31/519 (20130101); A61K 31/496 (20130101); A61K 31/4184 (20130101); C07D 409/14 (20130101); A61K 31/4025 (20130101); A61K 31/435 (20130101); C07D 403/14 (20130101); A61K 31/437 (20130101); C07D 413/14 (20130101); C07D 403/04 (20130101); A61K 31/55 (20130101); C07D 405/14 (20130101); A61K 31/5377 (20130101); A61K 31/454 (20130101); C07D 417/14 (20130101); C07D 471/10 (20130101); C07D 471/08 (20130101); C07D 491/113 (20130101); C07F 5/025 (20130101); A61K 31/5415 (20130101); C07D 471/04 (20130101); A61K 45/06 (20130101); A61K 31/4178 (20130101); C07D 401/14 (20130101); C07D 207/16 (20130101); A61K 31/427 (20130101)</t>
  </si>
  <si>
    <t>US8263612</t>
  </si>
  <si>
    <t>11/957017</t>
  </si>
  <si>
    <t>C07D 471/04 (20130101); A61P 31/12 (20180101); A61P 31/00 (20180101); A61P 31/14 (20180101)</t>
  </si>
  <si>
    <t>US8252286</t>
  </si>
  <si>
    <t>C07K 16/248 (20130101); C07K 16/461 (20130101); A61P 7/02 (20180101); C07K 16/241 (20130101); C07K 2317/33 (20130101); C07K 2317/94 (20130101); C07K 2317/24 (20130101); A61K 2039/545 (20130101); C07K 2317/92 (20130101); A61K 39/395 (20130101); A61K 2039/505 (20130101); C07K 2317/34 (20130101); C07K 2317/76 (20130101)</t>
  </si>
  <si>
    <t>US8234129</t>
  </si>
  <si>
    <t>Francis Michon, Samuel L. Moore, Peter C. Fusco, Samuel J. Wohlstadter, Charles Quentin Davis, Aaron Haleva</t>
  </si>
  <si>
    <t>G06Q 40/08 (20130101); G06Q 50/22 (20130101); G06Q 50/24 (20130101); G06F 19/18 (20130101); G16H 50/70 (20180101); G16H 50/80 (20180101); G06F 19/24 (20130101); Y02A 90/24 (20180101); Y02A 90/26 (20180101); Y02A 90/22 (20180101)</t>
  </si>
  <si>
    <t>A system and method for assessing immunological status of individuals and     populations is presented. The method includes establishing a database     containing a plurality of records, each record containing information     representative of the immune status of an individual, including (1)     bioassay results, and (2) individual specific information such as,     medical history, clinical observations and historical, demographic,     lifestyle, and familial/genetic information. By processing the     information trends and/or patterns are obtained correlating various     variables in the records across an individual, population or     sub-population. The identified trends and/or patterns can, for example,     be used in health care related decision making. In exemplary embodiments     such processing can include generating a set of correlations and for each     correlation generating a set of explanatory or relevant hypotheses. Then,     for example, each hypothesis can be automatically refuted or supported,     to the extent possible. The identified correlations, their associated     hypotheses and the results of such automated vetting can then be reported     to a user.</t>
  </si>
  <si>
    <t>US8218871</t>
  </si>
  <si>
    <t>Detecting behavioral deviations by measuring respiratory patterns in cohort groups</t>
  </si>
  <si>
    <t>Robert Lee Angell, James R. Kraemer</t>
  </si>
  <si>
    <t>G06K 9/00771 (20130101); G08B 21/0476 (20130101); G16H 50/80 (20180101); G06F 19/00 (20130101); G16H 50/20 (20180101)</t>
  </si>
  <si>
    <t>A computer implemented method, apparatus, and computer usable program code for detecting behavioral deviations in members of a cohort group. In one embodiment, a member of a cohort group is identified. Each member of the cohort group shares a common characteristic. Respiratory metadata associated with the member of the cohort group is received in real-time as the respiratory metadata is generated. The respiratory metadata describes respiration associated with the member of the cohort group. Patterns of respiratory changes are identified using the respiratory metadata. The respiratory metadata is analyzed to identify the patterns of respiratory changes. In response to the patterns of respiratory changes indicating behavioral deviations in the member of the cohort group, the member of the cohort group is identified as a person of interest.</t>
  </si>
  <si>
    <t>US8190448</t>
  </si>
  <si>
    <t>Methods and apparatus for healthcare supply planning for healthcare     continuity and/or patient surge</t>
  </si>
  <si>
    <t>Erika L. Bajars, Bridget C. Bagnato, Andrew R. Callison</t>
  </si>
  <si>
    <t>G16H 50/80 (20180101); G16H 40/20 (20180101); G06Q 50/22 (20130101); G06Q 10/10 (20130101)</t>
  </si>
  <si>
    <t>US8183035</t>
  </si>
  <si>
    <t>Single container manufacturing of biological product</t>
  </si>
  <si>
    <t>13/227324</t>
  </si>
  <si>
    <t>ADELLO BIOLOGICS, LLC</t>
  </si>
  <si>
    <t>ADELLO BIOLOGICS</t>
  </si>
  <si>
    <t>Sarfaraz Niazi</t>
  </si>
  <si>
    <t>B01J 20/2805 (20130101); C07K 1/165 (20130101); C07K 1/18 (20130101); C07K 1/20 (20130101); C12M 41/34 (20130101); C12M 23/26 (20130101); C12M 29/20 (20130101); C12M 29/24 (20130101); C12M 37/02 (20130101); C07K 1/22 (20130101); B01D 15/22 (20130101); C12M 27/16 (20130101)</t>
  </si>
  <si>
    <t>A method of manufacturing biological products in a single container from     the growth of cells to purification of the product is performed in a     flexible disposable bioreactor that uses only a compressed gas for mixing     and gasification. A porous septum is used to create the gasification and     mixing as well as to separate a chromatography media used to harvest and     purify a biological product in the same container. The closed container     can be used in any environment without the risk of contamination to the     product or the risk of contamination of environment with the product.     This allows large manufacturing of hazardous substances, drugs and     vaccines anywhere at the lowest cost possible. Numerous applications can     be found in counter-terrorism and biodefense operations as well in     managing epidemic illnesses.</t>
  </si>
  <si>
    <t>US8182985</t>
  </si>
  <si>
    <t>Limin Li</t>
  </si>
  <si>
    <t>C07K 16/18 (20130101); C07K 16/1045 (20130101); A61P 31/12 (20180101); C07K 16/28 (20130101); A61P 31/18 (20180101); A61P 31/14 (20180101); C07K 16/32 (20130101); C07K 16/1081 (20130101); Y02A 50/386 (20180101); C07K 2317/76 (20130101); A61K 2039/505 (20130101); C07K 2317/34 (20130101)</t>
  </si>
  <si>
    <t>US8178491</t>
  </si>
  <si>
    <t>A61P 31/14 (20180101); C07D 413/14 (20130101); C07K 5/0819 (20130101); C07K 5/0808 (20130101); C07K 5/0821 (20130101); A61P 31/12 (20180101); C07D 401/14 (20130101); C07D 403/12 (20130101); C07D 207/16 (20130101); C07D 401/12 (20130101); C07D 487/04 (20130101); C07K 5/0804 (20130101); A61P 31/16 (20180101); A61P 1/16 (20180101); C07D 403/14 (20130101); C07D 417/14 (20130101)</t>
  </si>
  <si>
    <t>US8173623</t>
  </si>
  <si>
    <t>Kenneth R. Crawford, Eric Dowdy, Arnold Gutierrez, Richard P. Polniaszek, Richard Hung Chiu Yu</t>
  </si>
  <si>
    <t>C07C 303/40 (20130101); A61P 31/18 (20180101); A61P 31/12 (20180101); C07F 9/6561 (20130101); C07D 493/04 (20130101); C07C 253/30 (20130101); C07C 51/412 (20130101); C07F 9/4084 (20130101); C07C 303/38 (20130101); A61P 43/00 (20180101); C07C 311/29 (20130101); C07F 9/4006 (20130101); A61K 31/665 (20130101); C07F 9/4075 (20130101); C07C 303/38 (20130101); C07C 311/29 (20130101); C07C 303/40 (20130101); C07C 311/29 (20130101); C07C 253/30 (20130101); C07C 255/60 (20130101)</t>
  </si>
  <si>
    <t>US8163545</t>
  </si>
  <si>
    <t>Vaccine against pandemic strains of influenza viruses</t>
  </si>
  <si>
    <t>Suryaprakash Sambhara, Jacqueline Katz, Mary Hoelscher, Suresh K. Mittal, Dinesh S. Bangari</t>
  </si>
  <si>
    <t>A61K 39/145 (20130101); C07K 14/005 (20130101); C12N 7/00 (20130101); C12N 15/86 (20130101); A61K 39/12 (20130101); A61K 2039/5256 (20130101); C12N 2710/10343 (20130101); C12N 2760/16122 (20130101); C12N 2760/16134 (20130101); C12N 2800/108 (20130101); A61K 2039/543 (20130101); A61K 2039/55505 (20130101); C12N 2710/10352 (20130101)</t>
  </si>
  <si>
    <t>US8160836</t>
  </si>
  <si>
    <t>A61B 5/0008 (20130101); G01J 5/025 (20130101); G01J 5/027 (20130101); G01K 1/024 (20130101); G06F 17/18 (20130101); G01J 5/02 (20130101); G01J 5/0025 (20130101); G01J 5/0022 (20130101); G01K 1/026 (20130101); G01K 13/002 (20130101); G01K 1/02 (20130101)</t>
  </si>
  <si>
    <t>US8143394</t>
  </si>
  <si>
    <t>William John Watkins, Lee Shun Chong, Jennifer R. Zhang</t>
  </si>
  <si>
    <t>A61P 31/12 (20180101); C07D 471/04 (20130101); A61P 31/14 (20180101)</t>
  </si>
  <si>
    <t>2-amino-pyrido(3,2-d)pyrimidine derivatives with a specific substitution     pattern on positions 4 and 6 of the core structure are useful in the     treatment or prevention of an infection due to a virus from the     Flaviviridae family, especially HCV, when administered to a patient in a     therapeutically effective amount.</t>
  </si>
  <si>
    <t>US8135863</t>
  </si>
  <si>
    <t>Event notification network</t>
  </si>
  <si>
    <t>Maziar Nekovee, Trevor Burbridge, Andrea Soppera</t>
  </si>
  <si>
    <t>H04L 47/10 (20130101); H04L 69/04 (20130101); H04L 67/2828 (20130101); H04L 67/28 (20130101); H04L 67/12 (20130101); H04L 67/10 (20130101); H04L 67/04 (20130101); H04L 67/2842 (20130101)</t>
  </si>
  <si>
    <t>US8130093</t>
  </si>
  <si>
    <t>US8090592</t>
  </si>
  <si>
    <t>Method and apparatus for multi-domain anomaly pattern definition and     detection</t>
  </si>
  <si>
    <t>11/931789</t>
  </si>
  <si>
    <t>Colin Goodall, Guy Jacobson, Greg B. Kinne, Arnold Lent</t>
  </si>
  <si>
    <t>G06Q 10/063 (20130101); G06Q 10/0635 (20130101); G16H 50/80 (20180101); Y02A 90/22 (20180101); G06Q 50/22 (20130101); Y02A 90/26 (20180101); G16H 40/67 (20180101)</t>
  </si>
  <si>
    <t>Disclosed herein is a multi-domain anomaly pattern definition and     detection module. The module receives raw data from different kinds of     anomalies from a variety of detection algorithms and generates scores     associated with the data. If one or more scores exceed a threshold, then     the algorithm gathers further information which may include counts or     listings of detailed data for a geographic region which may include such     information as emergency department and lab department data related to a     particular health concern such as a respiratory syndrome. Summaries are     provided which may identify anomalies and numbers of events according to     geographic region and utilizing probability algorithms. Other databases     such as animal data collected under the Department of Agriculture may     also be utilized. The data is presented in a familiar form such as a map     or a table such that a subject matter expert may determine whether to     further investigate an anomaly as a potential risk, for example, a health     risk.</t>
  </si>
  <si>
    <t>US8088754</t>
  </si>
  <si>
    <t>Anti-proliferative compounds, compositions, and methods of use thereof</t>
  </si>
  <si>
    <t>12/388295</t>
  </si>
  <si>
    <t>VETDC IP, LLC</t>
  </si>
  <si>
    <t>VETDC</t>
  </si>
  <si>
    <t>Xiaoqin Cheng, Gary P. Cook, Gong-Xin He, Choung U. Kim, John C. Rohloff, Jianying Wang, Zheng-Yu Yang</t>
  </si>
  <si>
    <t>A61P 31/12 (20180101); A61P 31/00 (20180101); A61P 35/00 (20180101); A61P 31/18 (20180101); A61P 31/20 (20180101); C07F 9/65616 (20130101); A61P 43/00 (20180101); Y02P 20/55 (20151101)</t>
  </si>
  <si>
    <t>Compounds and compositions of Formula I are described, useful as     anti-proliferative agents, and in particular anti-HPV,  ##STR00001##     wherein:   Y.sup.1A and Y.sup.1B are independently Y.sup.1; R.sup.X1 and     R.sup.X2 are independently R.sup.X; Y.sup.1 is .dbd.O, --O(R.sup.X),     .dbd.S, --N(R.sup.X), --N(O)(R.sup.X), --N(OR.sup.X), --N(O)(OR.sup.X),     or --N(N(R.sup.X)(R.sup.X)); and pharmaceutically acceptable salts     thereof.</t>
  </si>
  <si>
    <t>US8088368</t>
  </si>
  <si>
    <t>12/779023</t>
  </si>
  <si>
    <t>Hongyan Guo, Darryl Kato, Thorsten A. Kirschberg, Hongtao Liu, John O. Link, Michael L. Mitchell, Jay P. Parrish, Jianyu Sun, James Taylor, Elizabeth M. Bacon, Eda Canales, Aesop Cho, Choung U. Kim, Jeromy J. Cottell, Manoj C. Desai, Randall L. Halcomb, Scott E. Lazerwith, Richard L. Mackman, Hyung-Jung Pyun, Joseph H. Saugier, James D. Trenkle, Winston C. Tse, William J. Watkins, Lianhong Xu</t>
  </si>
  <si>
    <t>A61K 31/5415 (20130101); C07D 471/10 (20130101); A61K 45/06 (20130101); C07D 409/14 (20130101); C07D 491/113 (20130101); A61K 31/437 (20130101); A61P 31/12 (20180101); A61K 31/4439 (20130101); C07D 495/04 (20130101); C07D 413/14 (20130101); A61K 31/4025 (20130101); A61K 31/435 (20130101); C07D 207/16 (20130101); C07D 403/14 (20130101); C07D 405/14 (20130101); C07D 417/14 (20130101); C07D 487/04 (20130101); A61K 31/4178 (20130101); A61K 31/4184 (20130101); A61K 31/5377 (20130101); C07D 471/08 (20130101); C07F 5/025 (20130101); A61K 31/454 (20130101); C07D 401/14 (20130101); C07D 403/04 (20130101); C07D 471/04 (20130101); A61K 31/519 (20130101); A61K 31/427 (20130101); A61K 31/496 (20130101); A61K 31/55 (20130101)</t>
  </si>
  <si>
    <t>US8085145</t>
  </si>
  <si>
    <t>Yongji Fu, Deepak Ayyagari, Nhedti Colquitt</t>
  </si>
  <si>
    <t>G08B 21/12 (20130101); G16H 40/63 (20180101); A61B 2560/0242 (20130101); G16H 50/80 (20180101); G16H 50/30 (20180101)</t>
  </si>
  <si>
    <t>US8080255</t>
  </si>
  <si>
    <t>A61K 39/39 (20130101); C12N 7/00 (20130101); C12N 15/86 (20130101); A61K 39/12 (20130101); A61K 39/145 (20130101); C07K 14/005 (20130101); A61K 2039/55555 (20130101); A61K 2039/5258 (20130101); C12N 2760/16071 (20130101); C12N 2760/16123 (20130101); C12N 2760/16134 (20130101); C12N 2760/16034 (20130101); C12N 2760/16122 (20130101); C12N 2760/16023 (20130101); A61K 2039/70 (20130101); C12N 2710/14143 (20130101); A61K 2039/543 (20130101); A61K 2039/55505 (20130101)</t>
  </si>
  <si>
    <t>US8068993</t>
  </si>
  <si>
    <t>Diagnosing inapparent diseases from common clinical tests using Bayesian     analysis</t>
  </si>
  <si>
    <t>Valeri I. Karlov, Bernard Kasten, Carlos E. Padilla, Edward T. Maggio, Frank Billingsley</t>
  </si>
  <si>
    <t>G06Q 50/22 (20130101); G16H 50/30 (20180101); G16H 50/70 (20180101); G16H 15/00 (20180101); G16H 50/80 (20180101); G16H 50/20 (20180101); G16H 10/20 (20180101); G16H 10/60 (20180101); Y02A 90/24 (20180101); Y02A 90/26 (20180101); Y02A 90/22 (20180101)</t>
  </si>
  <si>
    <t>US8049614</t>
  </si>
  <si>
    <t>Method and apparatus to utilize location-related data</t>
  </si>
  <si>
    <t>12/764097</t>
  </si>
  <si>
    <t>Philippe Kahn, Arthur Kinsolving</t>
  </si>
  <si>
    <t>G06F 19/00 (20130101); G16H 50/80 (20180101)</t>
  </si>
  <si>
    <t>A method and apparatus to collect user location data over time, correlating user location data with outbreak data. The method and apparatus further comprising an alert mechanism to indicate to a user if there was a potential exposure.</t>
  </si>
  <si>
    <t>US8046172</t>
  </si>
  <si>
    <t>Barry N. Kreiswirth, Steven M. Naidich</t>
  </si>
  <si>
    <t>G06F 19/3418 (20130101); G16H 70/60 (20180101); G16B 30/00 (20190201); G06F 19/321 (20130101); C12Q 1/689 (20130101); G16H 50/30 (20180101); G16H 10/60 (20180101); G16H 10/40 (20180101); G16B 10/00 (20190201); C12Q 1/6869 (20130101); G16B 50/00 (20190201)</t>
  </si>
  <si>
    <t>US8039002</t>
  </si>
  <si>
    <t>US8022083</t>
  </si>
  <si>
    <t>12/166076</t>
  </si>
  <si>
    <t>Constantine G. Boojamra, Carina Cannizzaro, James M. Chen, Xiaowu Chen, Aesop Cho, Lee S. Chong, Maria Fardis, Haolun Jin, Ralph F. Hirschmann, Alan X. Huang, Choung U. Kim, Thorsten Kirschberg, Christopher P. Lee, William A. Lee, Richard L. Mackman, David Y. Markevitch, David A. Oare, Vidya K. Prasad, Hyung-Jung Pyun, Adrian S. Ray, Rosemarie Sherlock, Sundaramoorthi Swaminathan, William J. Watkins, Jennifer R. Zhang</t>
  </si>
  <si>
    <t>C07H 19/10 (20130101); C07H 17/00 (20130101); A61K 31/662 (20130101); C07F 9/655354 (20130101); C07D 211/58 (20130101); C07F 9/65031 (20130101); A61K 31/7076 (20130101); A61K 31/7072 (20130101); C07F 9/6539 (20130101); C07D 205/04 (20130101); C07F 9/5728 (20130101); A61P 31/14 (20180101); C07F 9/65515 (20130101); C07F 9/650905 (20130101); C07H 15/00 (20130101); C07H 19/20 (20130101); A61P 31/18 (20180101); A61P 31/12 (20180101); C07F 9/60 (20130101); C07H 19/056 (20130101); C07D 475/00 (20130101); C07F 9/58 (20130101); C07H 21/00 (20130101); A61K 47/548 (20170801); C07F 9/653 (20130101); C07D 413/14 (20130101); A61P 43/00 (20180101); C07F 9/6561 (20130101); C07D 409/14 (20130101); C07F 9/4075 (20130101); C07F 9/65616 (20130101); C07D 409/06 (20130101); Y02A 50/393 (20180101); Y02A 50/465 (20180101)</t>
  </si>
  <si>
    <t>US8012942</t>
  </si>
  <si>
    <t>Carba-nucleoside analogs for antiviral treatment</t>
  </si>
  <si>
    <t>Thomas Butler, Aesop Cho, Choung U. Kim, Jie Xu</t>
  </si>
  <si>
    <t>A61P 31/00 (20180101); C07D 495/04 (20130101); A61P 31/12 (20180101); A61P 31/14 (20180101)</t>
  </si>
  <si>
    <t>US8012941</t>
  </si>
  <si>
    <t>Aesop Cho, Choung U. Kim, Jay Parrish, Jie Xu</t>
  </si>
  <si>
    <t>C07H 19/23 (20130101); A61P 43/00 (20180101); C07D 487/04 (20130101); A61P 31/20 (20180101); A61P 31/00 (20180101); A61P 31/12 (20180101); A61P 1/16 (20180101); A61P 31/16 (20180101); A61P 31/14 (20180101)</t>
  </si>
  <si>
    <t>US8008264</t>
  </si>
  <si>
    <t>Thomas Butler, Aesop Cho, Choung U. Kim, Jay Parrish, Oliver L. Saunders, Lijun Zhang</t>
  </si>
  <si>
    <t>A61P 31/14 (20180101); A61P 31/16 (20180101); A61P 43/00 (20180101); A61P 31/12 (20180101); A61P 31/00 (20180101); C07H 19/23 (20130101); A61P 31/20 (20180101); A61P 1/16 (20180101); C07D 487/04 (20130101)</t>
  </si>
  <si>
    <t>US7998950</t>
  </si>
  <si>
    <t>Evangelos Aktoudianakis, Azim Alan Celebi, Zhimin Du, Salman Y. Jabri, Haolun Jin, Choung U. Kim, Jiayao Li, Samuel E. Metobo, Michael R. Mish, Barton W. Phillips, Joseph H. Saugier, Zheng-Yu Yang, Catalin Sebastian Zonte</t>
  </si>
  <si>
    <t>C07D 498/16 (20130101); A61P 31/18 (20180101); C07D 471/16 (20130101)</t>
  </si>
  <si>
    <t>US7993266</t>
  </si>
  <si>
    <t>Billy W. Colston, Jr., Fred P. Milanovich, Pedro Estacio, John Chang</t>
  </si>
  <si>
    <t>A61B 5/002 (20130101); G16H 50/80 (20180101); G06F 19/3418 (20130101); Y10S 128/903 (20130101); Y10S 128/92 (20130101)</t>
  </si>
  <si>
    <t>US7981429</t>
  </si>
  <si>
    <t>US7973013</t>
  </si>
  <si>
    <t>Aesop Cho, Choung U. Kim, Samuel E. Metobo, Adrian S. Ray, Jie Xu</t>
  </si>
  <si>
    <t>C07H 13/08 (20130101); C07D 487/04 (20130101); C07H 7/06 (20130101); A61P 31/14 (20180101)</t>
  </si>
  <si>
    <t>US7933912</t>
  </si>
  <si>
    <t>Compiling co-associating bioattributes using expanded bioattribute     profiles</t>
  </si>
  <si>
    <t>Andrew Alexander Kenedy, Charles Anthony Eldering</t>
  </si>
  <si>
    <t>G06F 16/2282 (20190101); G09B 19/00 (20130101); G06Q 40/00 (20130101); G06F 16/24575 (20190101); G16H 50/30 (20180101); H04L 51/32 (20130101); G06Q 50/22 (20130101); G16H 70/60 (20180101); H04L 65/403 (20130101); G16H 70/20 (20180101); G06F 16/24578 (20190101); G06F 7/00 (20130101); G06F 17/00 (20130101); G06F 16/00 (20190101); G06Q 40/08 (20130101); G06F 16/9535 (20190101); G06F 19/325 (20130101); G06F 40/20 (20200101); G16H 40/63 (20180101); G16B 20/00 (20190201); G16H 40/20 (20180101); G06F 16/955 (20190101); G16H 10/60 (20180101); G06F 16/285 (20190101); G06F 16/951 (20190101)</t>
  </si>
  <si>
    <t>US7917478</t>
  </si>
  <si>
    <t>System and method for quality control in healthcare settings to     continuously monitor outcomes and undesirable outcomes such as     infections, re-operations, excess mortality, and readmissions</t>
  </si>
  <si>
    <t>Robert R. Friedlander, Richard A. Hennessy, James R. Kraemer</t>
  </si>
  <si>
    <t>G16H 50/80 (20180101); Y02A 90/24 (20180101)</t>
  </si>
  <si>
    <t>US7899682</t>
  </si>
  <si>
    <t>G06Q 40/08 (20130101); G06Q 50/22 (20130101); G16H 50/80 (20180101); G16H 40/20 (20180101); G16H 50/20 (20180101); G06Q 50/24 (20130101)</t>
  </si>
  <si>
    <t>US7893264</t>
  </si>
  <si>
    <t>A61P 1/16 (20180101); C07F 9/65583 (20130101); A61P 31/12 (20180101); A61P 43/00 (20180101); A61P 31/14 (20180101)</t>
  </si>
  <si>
    <t>US7877277</t>
  </si>
  <si>
    <t>System and method for predictive modeling in disease management</t>
  </si>
  <si>
    <t>12/697735</t>
  </si>
  <si>
    <t>MATRIA HEALTHCARE, INC.</t>
  </si>
  <si>
    <t>MATRIA HEALTHCARE</t>
  </si>
  <si>
    <t>Parker H. Petit, Martin L. Olson</t>
  </si>
  <si>
    <t>G06Q 40/08 (20130101); G06Q 50/22 (20130101); G06Q 10/10 (20130101); G16H 50/70 (20180101); G16H 50/30 (20180101); G16H 10/20 (20180101); G06Q 50/24 (20130101); G06F 19/328 (20130101); G16H 50/80 (20180101); G16H 50/20 (20180101); G16H 50/50 (20180101)</t>
  </si>
  <si>
    <t>A method and system for administering a disease management program to     improve healthcare quality, reduce healthcare costs, and optimize     delivery of healthcare services. A multi-condition risk assessment is     conducted for all or a substantial portion of a population of program     participants, and collected multi-condition risk assessment data are     combined with claims data for predictive modeling of future healthcare     risk and expense. Participants are risk-stratified into one or more     classifications of future healthcare cost risk, and appropriate     intervention or delivery of healthcare services is made based on the risk     classification.</t>
  </si>
  <si>
    <t>US7871991</t>
  </si>
  <si>
    <t>Constantine G. Boojamra, Kuei-Ying Lin, Richard Mackman, David Y. Markevitch, Oleg V. Petrakovsky, Adrian S. Ray, Lijun Zhang</t>
  </si>
  <si>
    <t>A61K 31/683 (20130101); A61K 31/662 (20130101); C07H 19/20 (20130101); A61K 31/513 (20130101); A61P 43/00 (20180101); A61P 31/12 (20180101); C07F 9/65616 (20130101); C07H 19/16 (20130101); A61K 31/341 (20130101); A61K 31/675 (20130101); A61P 31/14 (20180101); A61P 31/18 (20180101); A61K 45/06 (20130101); C07H 19/00 (20130101); A61P 31/00 (20180101); A61P 31/20 (20180101); A61K 31/675 (20130101); A61K 2300/00 (20130101); A61K 31/683 (20130101); A61K 2300/00 (20130101); A61K 31/513 (20130101); A61K 2300/00 (20130101); A61K 31/341 (20130101); A61K 2300/00 (20130101)</t>
  </si>
  <si>
    <t>US7851512</t>
  </si>
  <si>
    <t>Composition containing artemisinin for treatment of malaria</t>
  </si>
  <si>
    <t>10/587277</t>
  </si>
  <si>
    <t>ARTEPHARM CO., LTD., CHINA</t>
  </si>
  <si>
    <t>ARTEPHARM</t>
  </si>
  <si>
    <t>Li Guogiao, Jianping Song</t>
  </si>
  <si>
    <t>A61K 31/336 (20130101); A61K 31/4706 (20130101); A61K 31/496 (20130101); A61K 31/336 (20130101); A61K 31/4706 (20130101); A61K 31/496 (20130101); Y02A 50/411 (20180101); Y10S 514/895 (20130101); A61K 2300/00 (20130101); A61K 2300/00 (20130101); A61K 2300/00 (20130101)</t>
  </si>
  <si>
    <t>The present invention provides a novel combination comprising artemisinin     in the form of tablets and related dosage forms for pediatric use, such     as granules, suppository, suspension syrup and dry powder, for the     treatment of human malarias including multiple-resistant subtertian     malaria, tertian malaria and quartan malaria. The combination is     comprised of artemisinin, piperaquine and primaquine. Clinical tests in     Southeast Asia countries where malaria is epidemic demonstrate that,     apart from having high and rapid therapeutic effect possessed by the most     excellent domestic and foreign artemisinin-type anti-malarial drugs, the     present combination is also featured with shorter course of treatment,     less side effect, lower material cost, and more convenience for     administration, and its ability of rapidly killing gametophyte and     cutting off infection source thereby blocking spreading of malaria is a     further improvement.</t>
  </si>
  <si>
    <t>US7840421</t>
  </si>
  <si>
    <t>Infectious disease surveillance system</t>
  </si>
  <si>
    <t>10/209542</t>
  </si>
  <si>
    <t>GERNTHOLTZ OTTO CARL</t>
  </si>
  <si>
    <t>Otto Carl Gerntholtz</t>
  </si>
  <si>
    <t>G06F 19/324 (20130101); G06Q 10/10 (20130101); G06Q 50/22 (20130101); G16H 50/80 (20180101); G06Q 50/24 (20130101); Y02A 90/24 (20180101); Y02A 90/26 (20180101); Y02A 90/22 (20180101)</t>
  </si>
  <si>
    <t>An infectious disease surveillance system is disclosed, which comprises a     database system for storing data relating to at least one infectious     disease; input means for providing data to the database system; a complex     adaptive system associated with the database system; processing means for     processing the data of the database system and converting the data into     surveillance data; and output means for displaying the surveillance data.</t>
  </si>
  <si>
    <t>US7827234</t>
  </si>
  <si>
    <t>George Eisenberger, Edgar H. McCulloch, III, Thomas L. Richards, II</t>
  </si>
  <si>
    <t>G06Q 10/10 (20130101); G06Q 50/22 (20130101); H04L 29/06 (20130101); G16H 10/60 (20180101); H04L 67/104 (20130101); G06F 19/321 (20130101); Y02A 90/24 (20180101); G16H 50/80 (20180101); Y02A 90/26 (20180101); Y02A 90/22 (20180101)</t>
  </si>
  <si>
    <t>US7822782</t>
  </si>
  <si>
    <t>Sugoto Chakravarty, Dianhui Zhu, George E. Fox</t>
  </si>
  <si>
    <t>G06F 19/14 (20130101); G06F 19/22 (20130101); Y02A 90/24 (20180101); G16H 50/80 (20180101); G06F 19/28 (20130101)</t>
  </si>
  <si>
    <t>A system implemented on a computer is disclosed for automatically     identifying strains of partial or complete capsid sequences of picorna     and caliciviruses, two of the most highly diverse ssRNA virus families.</t>
  </si>
  <si>
    <t>US7817046</t>
  </si>
  <si>
    <t>Method and apparatus for cataloging and poling movement in an environment     for purposes of tracking and/or containment of infectious diseases</t>
  </si>
  <si>
    <t>Michael Coveley, Yuping Huang</t>
  </si>
  <si>
    <t>A61B 5/1113 (20130101); G01V 15/00 (20130101); G06Q 10/08 (20130101); G06Q 50/22 (20130101); G07C 9/00111 (20130101); G08B 13/2462 (20130101); H01Q 7/00 (20130101); G07C 1/10 (20130101); A61B 5/117 (20130101); G06K 2017/0045 (20130101); G16H 50/80 (20180101); G07C 2011/02 (20130101); G16H 40/20 (20180101)</t>
  </si>
  <si>
    <t>US7815945</t>
  </si>
  <si>
    <t>Medicament for the prevention and treatment of influenza</t>
  </si>
  <si>
    <t>Georgios Pandalis</t>
  </si>
  <si>
    <t>A61K 36/185 (20130101)</t>
  </si>
  <si>
    <t>The invention relates to the use of an extract from plants of the genus Cistus for the preparation of a medicament for the prevention and treatment of influenza, in particular of the avian flu and viral strains derived from the avian flu in the course of an impending pandemic.</t>
  </si>
  <si>
    <t>US7813879</t>
  </si>
  <si>
    <t>Aaron M. Bush, Jody L. Gosch, Mark A. Hoffman</t>
  </si>
  <si>
    <t>G16H 50/80 (20180101); G16H 40/67 (20180101); G06Q 50/24 (20130101); G16H 10/60 (20180101); Y02A 90/26 (20180101); Y02A 90/22 (20180101)</t>
  </si>
  <si>
    <t>US7812730</t>
  </si>
  <si>
    <t>US7797109</t>
  </si>
  <si>
    <t>Method for determining and reporting the presence of red tide at beaches</t>
  </si>
  <si>
    <t>Barbara A. Kirkpatrick, Robert D. Currier</t>
  </si>
  <si>
    <t>Human observers stationed on or near beaches gather subjective observations of one or more observable beach conditions associated with respiratory distress. Subjectively determined observations such as dead fish and audible coughing provide a better indication of the likelihood of respiratory distress than measurements made using scientific instruments. The observations may be sent to a remote central database using handheld communication devices. A beach status evaluation is determined based on stored observations, and may be provided to beachgoers through Internet web pages or by telephone or text-message to enable beachgoers to choose an alternative beach or alternative activity when respiratory distress is likely.</t>
  </si>
  <si>
    <t>US7795276</t>
  </si>
  <si>
    <t>Imiadazo[4,5-c] pyridine compound and method of antiviral treatment</t>
  </si>
  <si>
    <t>12/022557</t>
  </si>
  <si>
    <t>Steven S. Bondy, David A. Oare, Winston C. Tse</t>
  </si>
  <si>
    <t>C07D 471/04 (20130101); A61P 1/16 (20180101); A61P 31/12 (20180101); A61P 31/00 (20180101); A61P 31/14 (20180101)</t>
  </si>
  <si>
    <t>The compound 5-((3-(2,4-trifluoromethyphenyl)isoxazol-5-yl)methyl)-2     -(2-fluorophenyl)-5H-imidazo[4,5-c]pyridine, together with the salts and     solvates thereof. Also provided are compositions comprising this compound     and pharmaceutically acceptable carriers, as well as the use of such     compositions in the treatment or prophylaxis of viral infections.</t>
  </si>
  <si>
    <t>US7792779</t>
  </si>
  <si>
    <t>Detection of epidemic outbreaks with Persistent Causal-Chain Dynamic     Bayesian Networks</t>
  </si>
  <si>
    <t>Denver Dash</t>
  </si>
  <si>
    <t>US7791467</t>
  </si>
  <si>
    <t>US7769600</t>
  </si>
  <si>
    <t>US7763450</t>
  </si>
  <si>
    <t>C07H 21/04 (20130101); A61P 37/04 (20180101); C12N 7/00 (20130101); A61K 39/12 (20130101); A61P 31/16 (20180101); A61K 39/145 (20130101); C07K 14/005 (20130101); C12N 2760/16122 (20130101); C12N 2760/16123 (20130101); A61K 2039/575 (20130101); C12N 2760/16034 (20130101); C12N 2760/16134 (20130101); A61K 2039/5258 (20130101); A61K 2039/70 (20130101); C12N 2760/16023 (20130101)</t>
  </si>
  <si>
    <t>US7758867</t>
  </si>
  <si>
    <t>Attenuated influenza virus and a live vaccine comprising the same</t>
  </si>
  <si>
    <t>Baik Lin Seong, Kwang Hee Lee, Sang Uk Seo</t>
  </si>
  <si>
    <t>A61K 39/145 (20130101); C12N 7/00 (20130101); A61K 39/12 (20130101); A61K 2039/5254 (20130101); C12N 2760/16134 (20130101); A61K 2039/58 (20130101); A61K 2039/70 (20130101); C12N 2760/16234 (20130101); A61K 2039/543 (20130101)</t>
  </si>
  <si>
    <t>US7744901</t>
  </si>
  <si>
    <t>US7742932</t>
  </si>
  <si>
    <t>Michael M. Segal</t>
  </si>
  <si>
    <t>G06Q 30/02 (20130101); G06Q 40/08 (20130101); G06Q 50/22 (20130101); G16H 50/50 (20180101); G16H 50/20 (20180101); G06Q 50/24 (20130101); G16H 50/80 (20180101)</t>
  </si>
  <si>
    <t>US7737162</t>
  </si>
  <si>
    <t>10/519756</t>
  </si>
  <si>
    <t>A61P 31/12 (20180101); A61P 31/00 (20180101); C07D 471/04 (20130101); A61P 31/20 (20180101); A61P 43/00 (20180101); A61P 31/14 (20180101)</t>
  </si>
  <si>
    <t>The present invention relates to a pharmaceutical composition for the     treatment or prevention of viral infections comprising as an active     principle at least one imidazo[4,5-c]pyridine derivative having the     general formula (Z): (formula). The invention also relates to processes     for the preparation of compounds according to the invention having above     mentioned general formula and their use as a medicine or to treat or     prevent viral infections.  ##STR00001##</t>
  </si>
  <si>
    <t>US7723380</t>
  </si>
  <si>
    <t>Antiviral protease inhibitors</t>
  </si>
  <si>
    <t>11/880069</t>
  </si>
  <si>
    <t>Carina E. Cannizzaro, James M. Chen, Manoj C. Desai, Michael L. Mitchell, Sundaramoorthi Swaminathan, Lianhong Xu, Zheng-Yu Yang</t>
  </si>
  <si>
    <t>C07D 417/12 (20130101); C07D 213/56 (20130101); C07D 407/12 (20130101); C07D 405/14 (20130101); C07D 409/12 (20130101); A61P 43/00 (20180101); C07F 9/6561 (20130101); C07D 405/12 (20130101); C07F 9/65586 (20130101); C07D 401/12 (20130101); A61P 31/18 (20180101); C07D 493/04 (20130101); C07F 9/65583 (20130101)</t>
  </si>
  <si>
    <t>The invention is related to compounds of Formula I:  ##STR00001##  or a     pharmaceutically acceptable salt, solvate, ester, and/or phosphonate     thereof, compositions containing such compounds, and therapeutic methods     that include the administration of such compounds.</t>
  </si>
  <si>
    <t>US7722861</t>
  </si>
  <si>
    <t>Attenuated Mycobacterium tuberculosis vaccines</t>
  </si>
  <si>
    <t>10/351452</t>
  </si>
  <si>
    <t>William R. Jacobs, Tsungda Hsu, Stoyan Bardarov, Svetoslav Bardarov, legal representative, Vasan Sambandamurthy</t>
  </si>
  <si>
    <t>C07K 14/35 (20130101); C12Y 603/02001 (20130101); C12N 9/93 (20130101); C12Y 401/01011 (20130101); C12N 9/88 (20130101); A61K 39/00 (20130101); A61K 2039/51 (20130101)</t>
  </si>
  <si>
    <t>Non-naturally occurring mycobacteria in the Mycobacterium tuberculosis     complex are provided. These mycobacteria have a deletion of an RD1 region     or a region controlling production of a vitamin, and exhibit attenuated     virulence in a mammal when compared to the mycobacteria without the     deletion. Also provided are non-naturally occurring mycobacteria that     have a deletion of a region controlling production of lysine, and     mycobacteria comprising two attenuating deletions. Vaccines comprising     these mycobacteria are also provided, as are methods of protecting     mammals from virulent mycobacteria using the vaccines. Also provided are     methods of preparing these vaccines which include the step of deleting an     RD1 region or a region controlling production of a vitamin from a     mycobacterium in the M. tuberculosis complex.</t>
  </si>
  <si>
    <t>US7709190</t>
  </si>
  <si>
    <t>Influenza A virus vaccines and inhibitors</t>
  </si>
  <si>
    <t>11/566216</t>
  </si>
  <si>
    <t>Gaetano Montelione, Kalyan Das, Edward Arnold, LiChung Ma, Rong Xiao, Robert M. Krug, Karen Y. Twu, Rei-Lin Kuo</t>
  </si>
  <si>
    <t>A61K 38/162 (20130101); A61P 31/12 (20180101); C12N 7/00 (20130101); A61B 50/39 (20160201); C07K 14/47 (20130101); A61K 39/145 (20130101); A61P 31/16 (20180101); C07K 14/005 (20130101); C12N 2760/16134 (20130101); A61K 2039/5254 (20130101); A61K 2039/53 (20130101); C12N 2760/16162 (20130101); C12N 2760/16034 (20130101); C12N 2760/16122 (20130101); C12N 2760/16071 (20130101)</t>
  </si>
  <si>
    <t>The present invention includes compositions and methods related to the     structure and function of the cellular polyadenylation and specificity     factor 30 (CPSF30) binding site on the surface of the influenza A     non-structural protein 1 (NS1). Specifically, critical biochemical     reagents, conditions for crystallization and NMR analysis, assays, and     general processes are described for (i) discovering, designing, and     optimizing small molecule inhibitors of influenza A (avian flu) viruses     and (ii) creating attenuated influenza virus strains suitable for avian     and human flu vaccine development.</t>
  </si>
  <si>
    <t>US7705723</t>
  </si>
  <si>
    <t>Method and apparatus to provide outbreak notifications based on historical     location data</t>
  </si>
  <si>
    <t>US7703671</t>
  </si>
  <si>
    <t>Joel A. Diemer</t>
  </si>
  <si>
    <t>G06Q 40/00 (20130101); G06Q 50/26 (20130101); G07C 5/008 (20130101); G08G 1/20 (20130101); G06Q 50/30 (20130101); G16H 50/80 (20180101)</t>
  </si>
  <si>
    <t>US7685000</t>
  </si>
  <si>
    <t>Predictive modeling system and method for disease management</t>
  </si>
  <si>
    <t>11/200804</t>
  </si>
  <si>
    <t>G06Q 10/10 (20130101); G16H 10/20 (20180101); G06F 19/328 (20130101); G06Q 40/08 (20130101); G16H 50/70 (20180101); G16H 50/80 (20180101); G06Q 50/22 (20130101); G06Q 50/24 (20130101); G16H 50/30 (20180101); G16H 50/20 (20180101); G16H 50/50 (20180101)</t>
  </si>
  <si>
    <t>US7649015</t>
  </si>
  <si>
    <t>Murty N. Arimili, Xiaowu Chen, Maria Fardis, Gong-Xin He, Haolun Jin, Choung U. Kim, William A. Lee, Kuei-Ying Lin, Hongtao Liu, Richard L. Mackman, Michael L. Mitchell, Hyung-Jung Pyun, Mark Sparacino, Sundaramoorthi Swaminathan, Jianying Wang, Matthew A. Williams, Lianhong Xu, Zheng-Yu Yang, Richard H. Yu, Jiancun Zhang, Lijun Zhang</t>
  </si>
  <si>
    <t>C07D 213/75 (20130101); C07D 307/68 (20130101); C07D 471/14 (20130101); C07D 243/04 (20130101); C12Q 1/44 (20130101); C07D 401/06 (20130101); G01N 33/5038 (20130101); C07D 231/20 (20130101); C07D 403/06 (20130101); C07F 9/4006 (20130101); C07F 9/645 (20130101); A61P 43/00 (20180101); A61K 31/675 (20130101); C07D 239/49 (20130101); C07F 9/65515 (20130101); C07D 213/85 (20130101); C07F 9/58 (20130101); C07F 9/65128 (20130101); C40B 40/04 (20130101); C07D 231/12 (20130101); C07D 233/42 (20130101); C07F 9/650947 (20130101); C07F 9/6561 (20130101); C07F 9/6506 (20130101); C07D 265/18 (20130101); C07D 239/80 (20130101); C07F 9/6512 (20130101); C12Q 1/18 (20130101); A61K 31/66 (20130101); C12N 9/16 (20130101); C12Q 1/37 (20130101); C07F 9/65335 (20130101); C07D 491/04 (20130101); C07F 9/650905 (20130101); C07F 9/65583 (20130101); A61P 31/18 (20180101); G01N 2333/16 (20130101); G01N 2500/04 (20130101)</t>
  </si>
  <si>
    <t>US7648998</t>
  </si>
  <si>
    <t>Imidazo 4,5-c pyridine compounds and methods of antiviral treatment</t>
  </si>
  <si>
    <t>10/583814</t>
  </si>
  <si>
    <t>C07D 471/04 (20130101); A61P 3/12 (20180101); A61P 31/14 (20180101); A61P 43/00 (20180101); A61P 31/12 (20180101)</t>
  </si>
  <si>
    <t>The present invention relates to a pharmaceutical composition for the     treatment or prevention of viral infections comprising as an active     principle at least one imidazo[4,5-c]pyridine prodrug having the general     Formula (A) wherein the substituents are described in the specification.     The invention also relates to processes for the preparation and screening     ofcompounds according to the invention having above mentioned general     Formula and their use in the treatment or prophylaxis of viral     infections.  ##STR00001##</t>
  </si>
  <si>
    <t>US7645448</t>
  </si>
  <si>
    <t>12/256230</t>
  </si>
  <si>
    <t>Fang Fang, Michael Malakhov</t>
  </si>
  <si>
    <t>A61P 31/14 (20180101); A61P 11/04 (20180101); A61P 31/04 (20180101); A61P 31/16 (20180101); A61P 33/02 (20180101); A61P 11/06 (20180101); A61P 29/00 (20180101); A61P 17/00 (20180101); A61P 37/08 (20180101); A61P 43/00 (20180101); A61P 27/16 (20180101); C12Y 302/01018 (20130101); A61P 17/06 (20180101); C12N 9/2402 (20130101); C07K 2319/33 (20130101); C07K 2319/01 (20130101); C07K 2319/00 (20130101); C12N 2760/16111 (20130101); A61K 38/00 (20130101); A61K 39/00 (20130101)</t>
  </si>
  <si>
    <t>US7642339</t>
  </si>
  <si>
    <t>Kleem Chaudhary, Melissa Fleury, Choung U. Kim, Darren J. McMurtrie, Xiaoning C. Sheng</t>
  </si>
  <si>
    <t>A61P 31/12 (20180101); A61P 31/14 (20180101); C07K 5/0808 (20130101); A61P 1/16 (20180101); C07F 9/572 (20130101); C07F 9/65583 (20130101); C07K 5/06191 (20130101); C07K 5/0827 (20130101); A61P 43/00 (20180101); A61K 38/00 (20130101)</t>
  </si>
  <si>
    <t>US7641911</t>
  </si>
  <si>
    <t>Gary S. Ott, Manmohan Singh, Derek O'Hagan</t>
  </si>
  <si>
    <t>A61K 9/107 (20130101); C07H 15/24 (20130101); A61K 9/0019 (20130101); A61K 47/26 (20130101)</t>
  </si>
  <si>
    <t>US7627489</t>
  </si>
  <si>
    <t>Anthony J. Schaeffer, Ophir Frieder</t>
  </si>
  <si>
    <t>G06Q 30/02 (20130101); G06Q 50/22 (20130101); G16H 50/20 (20180101); G16H 10/20 (20180101); G06Q 50/24 (20130101)</t>
  </si>
  <si>
    <t>US7623971</t>
  </si>
  <si>
    <t>David J. W. Moriarty</t>
  </si>
  <si>
    <t>A01K 29/00 (20130101); C12Q 1/10 (20130101); H04L 29/06027 (20130101); H04L 67/12 (20130101); G16H 50/80 (20180101); H04L 65/80 (20130101); G01N 2333/28 (20130101); Y02A 90/24 (20180101); Y02A 90/26 (20180101)</t>
  </si>
  <si>
    <t>US7601490</t>
  </si>
  <si>
    <t>Development of influenza A antivirals</t>
  </si>
  <si>
    <t>11/566214</t>
  </si>
  <si>
    <t>Robert M. Krug, Karen Y. Twu</t>
  </si>
  <si>
    <t>C07K 14/47 (20130101); C12N 2760/16111 (20130101); C12N 5/163 (20130101); C12N 7/04 (20130101); C12N 7/00 (20130101); Y10S 514/888 (20130101); C07K 14/705 (20130101); A61K 39/0008 (20130101); A61K 38/16 (20130101); C12N 2760/16134 (20130101); A61K 38/17 (20130101); C12N 5/0636 (20130101); A61K 2039/55516 (20130101); C07K 14/005 (20130101)</t>
  </si>
  <si>
    <t>The present invention includes compositions, methods and systems to     isolate and characterize novel antiviral agents by contacting the     antiviral agent with the F2F3 zinc fingers of a CPSF30 protein and an     Influenza A NS1A protein; and determining whether the binding between the     CPSF30 protein and the Influenza A NS1A protein is reduced.</t>
  </si>
  <si>
    <t>US7598854</t>
  </si>
  <si>
    <t>US7598345</t>
  </si>
  <si>
    <t>Immunostimulatory compositions and methods</t>
  </si>
  <si>
    <t>11/635066</t>
  </si>
  <si>
    <t>Haval Shirwan, Kutlu G. Elpek, Esma S. Yolcu</t>
  </si>
  <si>
    <t>A61P 35/00 (20180101); C12N 5/0012 (20130101); A61P 31/14 (20180101); A61K 45/06 (20130101); C07K 14/70532 (20130101); C07K 14/70575 (20130101); A61P 37/04 (20180101); B82Y 5/00 (20130101); A61P 31/04 (20180101); A61K 39/0011 (20130101); A61K 47/646 (20170801); A61K 47/665 (20170801); A61P 31/12 (20180101); A61K 39/12 (20130101); A61P 31/00 (20180101); A61P 33/00 (20180101); A61K 39/0011 (20130101); A61K 2300/00 (20130101); A61K 38/00 (20130101); A61K 2039/5154 (20130101); Y02A 50/41 (20180101); Y02A 50/492 (20180101); C12N 2760/16134 (20130101); C12N 2710/20034 (20130101); A61K 2039/5158 (20130101); A61K 2039/625 (20130101); A61K 2039/55516 (20130101); Y02A 50/412 (20180101); A61K 2039/585 (20130101); A61K 2039/5152 (20130101); A61K 2039/6031 (20130101)</t>
  </si>
  <si>
    <t>The invention provides conjugates comprising an immune co-stimulatory     polypeptide and an antigen or infectious agent. The conjugates are useful     for generating or enhancing an immune response against the antigen or     infectious agent. The invention also provides immune cells modified with     a conjugate that are useful for generating or enhancing an immune     response to an antigen or infectious agent. The invention also provides     immunostimulatory moieties comprising an immune co-stimulatory     polypeptide that are useful for stimulating an immune response. The     invention also provides immunotherapy methods and methods of treating or     preventing infections.</t>
  </si>
  <si>
    <t>US7595151</t>
  </si>
  <si>
    <t>Methods and compositions for diagnosis and treatment of influenza</t>
  </si>
  <si>
    <t>11/481411</t>
  </si>
  <si>
    <t>AVC ROYALTY FUND I, LLC</t>
  </si>
  <si>
    <t>AVC ROYALTY FUND</t>
  </si>
  <si>
    <t>Peter S. Lu, Michael P. Belmares, Dave Garman</t>
  </si>
  <si>
    <t>C07K 7/06 (20130101); G01N 33/56983 (20130101); C07K 5/1008 (20130101); C07K 5/1019 (20130101); C07K 5/1021 (20130101); A61K 38/07 (20130101); A61K 38/08 (20130101); C07K 5/1013 (20130101); A61P 31/16 (20180101); C12N 2760/16111 (20130101); G01N 2500/02 (20130101); G01N 2333/11 (20130101)</t>
  </si>
  <si>
    <t>The invention provides method and compositions for determining the     presence and amount of an influenza virus in a sample including high risk     strains of Influenza A. Also provided are methods for determining whether     a subject is infected with a influenza virus, as well as, the type and     strain of the influenza virus. The methods involve contacting a sample     from the subject with a PDZ polypeptides (PDZ) and/or PDZ ligands (PL)     and determining whether binding interactions occur between PDZ and PL.     Assays for identifying anti-viral agents are also provided, as well as,     methods for using the compositions to alter PDZ binding to PL in     influenza infected cells.</t>
  </si>
  <si>
    <t>US7579332</t>
  </si>
  <si>
    <t>Steven H. Krawczyk</t>
  </si>
  <si>
    <t>C07F 9/65616 (20130101); A61P 43/00 (20180101); A61K 31/675 (20130101); A61P 31/12 (20180101); A61P 31/14 (20180101); A61P 31/18 (20180101)</t>
  </si>
  <si>
    <t>The invention provides compounds with activity against infectious     diseases. The compounds of the invention may inhibit retroviral reverse     transcriptases and thus inhibit the replication, of the virus. The     compounds of the invention may be useful for treating human patients     infected with a human retrovirus, such as human immunodeficiency virus     (strains of HIV-l or HIV-2) or human T-cell leukemia virus (HTLV-1 or     HTLV-II) which results in acquired immunodeficiency syndrome (AIDS)     and/or related diseases. Representative of the invention is a compound of     the following formula, with the substituents defined herein:     ##STR00001##</t>
  </si>
  <si>
    <t>US7572800</t>
  </si>
  <si>
    <t>Combination therapy to treat hepatitis B virus</t>
  </si>
  <si>
    <t>10/374363</t>
  </si>
  <si>
    <t>Phillip A. Furman, George R. Painter, III, David W. Barry, Franck Rousseau</t>
  </si>
  <si>
    <t>A61K 31/66 (20130101); A61K 31/52 (20130101); A61P 35/00 (20180101); A61P 31/12 (20180101); A61K 31/70 (20130101); A61P 1/16 (20180101); A61P 31/20 (20180101); A61K 31/675 (20130101); A61K 45/06 (20130101); A61P 31/14 (20180101); A61K 31/70 (20130101); A61K 31/52 (20130101); A61K 31/70 (20130101); A61K 31/66 (20130101); A61K 31/52 (20130101); A61K 2300/00 (20130101); A61K 31/675 (20130101); A61K 2300/00 (20130101); A61K 31/70 (20130101); A61K 2300/00 (20130101)</t>
  </si>
  <si>
    <t>US7572449</t>
  </si>
  <si>
    <t>Vaccine against Yersinia comprising one or two antibodies, one specific     for Yersinia pestis F1-antigen and the other one for Yersinia pestis     V-antigen</t>
  </si>
  <si>
    <t>10/525057</t>
  </si>
  <si>
    <t>UK Secretary Of State For Defence</t>
  </si>
  <si>
    <t>UK SECRETARY STATE FOR DEFENCE</t>
  </si>
  <si>
    <t>James Hill, Ethel Diane Williamson, Richard William Titball</t>
  </si>
  <si>
    <t>C07K 16/1228 (20130101); A61P 31/04 (20180101); Y02A 50/407 (20180101); A61K 2039/505 (20130101); A61K 2039/545 (20130101)</t>
  </si>
  <si>
    <t>The use of (i) an antibody specific for Yersinia pestis F1-antigen, or a     binding fragment thereof, or (ii) an antibody specific for Yersinia     pestis V-antigen, or a binding fragment thereof, or a combination of (i)     and (ii), in the production of a medicament for the treatment of     infection by Yersinia pestis. It has been found that such treatments are     effective therapies for Yersinia pestis infection. In addition, the     combination produces a synergistic effect when used prophylactically.</t>
  </si>
  <si>
    <t>US7550150</t>
  </si>
  <si>
    <t>Methods of treating or preventing a disease, disorder or condition     associated with a viral infection</t>
  </si>
  <si>
    <t>11/376656</t>
  </si>
  <si>
    <t>BARROS RESEARCH INSTITUTE</t>
  </si>
  <si>
    <t>Barnett Rosenberg, John W. Judge</t>
  </si>
  <si>
    <t>A61K 39/395 (20130101); A61K 38/217 (20130101); A61K 38/19 (20130101); A61K 38/193 (20130101); A61K 38/2013 (20130101); A61K 38/16 (20130101); A61K 38/18 (20130101); A61K 38/19 (20130101); A61K 2300/00 (20130101); A61K 38/193 (20130101); A61K 2300/00 (20130101); A61K 38/193 (20130101); A61K 2300/00 (20130101); A61K 38/2013 (20130101); A61K 2300/00 (20130101); A61K 38/217 (20130101); A61K 2300/00 (20130101); A61K 38/18 (20130101); A61K 2300/00 (20130101); Y02A 50/397 (20180101)</t>
  </si>
  <si>
    <t>The present invention relates to methods of treating or preventing a     disease, disorder or condition associated with a viral infection using a     dosing and resting regimen for administering a pharmaceutical composition     that provides ARP.</t>
  </si>
  <si>
    <t>US7542959</t>
  </si>
  <si>
    <t>Feature selection method using support vector machine classifier</t>
  </si>
  <si>
    <t>11/842934</t>
  </si>
  <si>
    <t>MEMORIAL HEALTH TRUST, INC.STERN, JULIAN N.ROBERTS, JAMESPADEREWSKI, JULES B.FARLEY, PETER J.ANDERSON, CURTISMATTHEWS, JOHN E.SIMPSON, K. RUSSELLO'HAYER, TIMOTHY P.BERGERON, GLYNNCARLS, GARRY L.MCKENZIE, JOE</t>
  </si>
  <si>
    <t>MEMORIAL HEALTH TRUST</t>
  </si>
  <si>
    <t>Stephen Barnhill, Isabelle Guyon, Jason Weston</t>
  </si>
  <si>
    <t>G06K 9/6228 (20130101); G06K 9/623 (20130101); G06K 9/6231 (20130101); G06K 9/6256 (20130101); G06K 9/6269 (20130101); G06N 99/005 (20130101); G06Q 10/0637 (20130101); G06Q 20/10 (20130101); G06Q 40/06 (20130101); G06Q 50/22 (20130101); G06T 7/0012 (20130101); G06F 19/24 (20130101); G06F 19/20 (20130101); Y02A 90/22 (20180101); Y02A 90/26 (20180101)</t>
  </si>
  <si>
    <t>Identification of a determinative subset of features from within a large set of features is performed by training a support vector machine to rank the features according to classifier weights, where features are removed to determine how their removal affects the value of the classifier weights. The features having the smallest weight values are removed and a new support vector machine is trained with the remaining weights. The process is repeated until a relatively small subset of features remain that is capable of accurately separating the data into different patterns or classes. The method is applied for selecting the smallest number of genes that are capable of accurately distinguishing between medical conditions such as cancer and non-cancer.</t>
  </si>
  <si>
    <t>US7531164</t>
  </si>
  <si>
    <t>Preventing bacterial or viral infectivity and composition containing     infection preventing additive</t>
  </si>
  <si>
    <t>11/544559</t>
  </si>
  <si>
    <t>Yehia Daaka, Jonathan S. Stamler</t>
  </si>
  <si>
    <t>A61K 31/65 (20130101); C07K 16/2863 (20130101); A61K 2039/505 (20130101); C07K 2317/77 (20130101)</t>
  </si>
  <si>
    <t>A nitric oxide synthesis inhibitor or nitric oxide scavenger is     administered to prevent development of infection, to prevent development     of a cancer where overstimulation of a receptor contributes to the cancer     development, and to prevent loss of beta agonist responsivity and as a     treatment in combination with a receptor blocker. Compositions include     nitric oxide synthesis inhibitor or nitric oxide scavenger containing     spermicidal compositions, nasal steroid compositions, urinary tract     infection prophylaxis compositions, compositions for prophylaxis of EGFR     associated cancer and human blood component(s) composition for     transfusion.</t>
  </si>
  <si>
    <t>US7527932</t>
  </si>
  <si>
    <t>Method of using physiological markers to estimate cardiovascular risk</t>
  </si>
  <si>
    <t>10/495081</t>
  </si>
  <si>
    <t>MEDSTAR HEALTH RESEARCH INSTITUTE, INC.</t>
  </si>
  <si>
    <t>MEDSTAR HEALTH RESEARCH INSTITUTE</t>
  </si>
  <si>
    <t>Stephen E. Epstein, Juanhui Zhu</t>
  </si>
  <si>
    <t>G01N 33/56922 (20130101); G01N 33/56994 (20130101); G01N 33/5768 (20130101); G01N 33/6866 (20130101); G01N 33/6869 (20130101); G01N 33/6893 (20130101); G01N 33/56927 (20130101); Y02A 90/24 (20180101); G01N 2333/035 (20130101); G01N 2333/045 (20130101); G01N 2333/10 (20130101); G01N 2333/205 (20130101); G01N 2333/295 (20130101); G01N 2333/54 (20130101); G01N 2333/555 (20130101); G01N 2800/32 (20130101); Y10S 436/811 (20130101); Y02A 50/54 (20180101)</t>
  </si>
  <si>
    <t>An individual's risk profile for developing a cardiovascular disorder or     for experiencing a cardiovascular event is determined by 1) measuring     levels of certain stress-evoked proteins including heat shock proteins     (HSPs), cytokines, adhesion molecules, chemokines, and the like, or     titers of the antibodies targeted to them, or 2) determining the number     of seropositive responses to a group of pathogens that have been     associated with the presence of atherosclerosis and/or clinical events     related to atherosclerosis. The measured levels are compared with     clinically derived standards that define the association of these markers     with cardiovascular disease. These markers are independent of     traditionally recognized risk factors.</t>
  </si>
  <si>
    <t>US7527801</t>
  </si>
  <si>
    <t>Norovirus and Sapovirus antigens</t>
  </si>
  <si>
    <t>11/603913</t>
  </si>
  <si>
    <t>Doris Coit, Michael Houghton, Colin McCoin, Angelica Medina-Selby, Michael Vajdy</t>
  </si>
  <si>
    <t>A61P 31/00 (20180101); C12N 9/14 (20130101); A61K 39/12 (20130101); A61P 31/14 (20180101); A61P 37/04 (20180101); C07K 14/005 (20130101); C07K 2319/40 (20130101); A61K 2039/53 (20130101); A61K 2039/545 (20130101); C07K 2319/00 (20130101); A61K 39/00 (20130101); A61K 2039/55544 (20130101); C12N 2770/16034 (20130101); A61K 2039/5258 (20130101); C12N 2770/16022 (20130101); A61K 2039/55555 (20130101)</t>
  </si>
  <si>
    <t>Immunogenic compositions that elicit immune responses against Norovirus     and Sapovirus antigens are described. In particular, the invention     relates to polynucleotides encoding one or more capsid proteins or other     immunogenic viral polypeptides from one or more strains of Norovirus     and/or Sapovirus, coexpression of such immunogenic viral polypeptides     with adjuvants, and methods of using the polynucleotides in applications     including immunization and production of immunogenic viral polypeptides     and viral-like particles (VLPs). Methods for producing Norovirus- or     Sapovirus-derived multiple epitope fusion antigens or polyproteins and     immunogenic compositions comprising one or more immunogenic polypeptides,     polynucleotides, VLPs, and/or adjuvants are also described. The     immunogenic compositions of the invention may also contain antigens other     than Norovirus or Sapovirus antigens, including antigens that can be used     in immunization against pathogens that cause diarrheal diseases, such as     antigens derived from rotavirus.</t>
  </si>
  <si>
    <t>US7527800</t>
  </si>
  <si>
    <t>C07K 14/005 (20130101); C12N 7/00 (20130101); C12Q 1/701 (20130101); A61K 39/12 (20130101); A61K 2039/5254 (20130101); C12N 2501/70 (20130101); C12N 2760/16121 (20130101); C12N 2760/16122 (20130101); C12N 2760/16134 (20130101); C12N 2760/16161 (20130101); C12N 2760/16162 (20130101); C12N 2760/16171 (20130101); A61K 2039/543 (20130101); A61K 2039/58 (20130101)</t>
  </si>
  <si>
    <t>US7523042</t>
  </si>
  <si>
    <t>Jacquelyn Suzanne Hunt, Joseph Siemienczuk</t>
  </si>
  <si>
    <t>G06F 17/30 (20130101); G06Q 10/10 (20130101); G06Q 30/0201 (20130101); G06Q 40/08 (20130101); G06Q 50/24 (20130101); G16H 10/60 (20180101); G16H 50/70 (20180101); G06Q 50/22 (20130101); G16H 50/80 (20180101); G16H 40/20 (20180101)</t>
  </si>
  <si>
    <t>US7504109</t>
  </si>
  <si>
    <t>US7481997</t>
  </si>
  <si>
    <t>Snow mountain virus genome sequence, virus-like particles and methods of     use</t>
  </si>
  <si>
    <t>11/058030</t>
  </si>
  <si>
    <t>Michele E. Hardy</t>
  </si>
  <si>
    <t>C07K 16/10 (20130101); A61K 38/00 (20130101)</t>
  </si>
  <si>
    <t>Snow Mountain Virus (SMV) belongs to the Norovirus genus of the     Caliciviridae family. SMV is a genogroup II (GII) reference strain of     human enteric caliciviruses associated with epidemic gastroenteritis. The     positive sense RNA genome sequence of SMV was determined to be 7,537     nucleotides in length excluding the 3' polyadenylated tract. The genome     is organized into three open reading frames. Pairwise sequence alignments     showed SMV ORF1 is highly conserved with other GII noroviruses, and most     closely related to GII strains Melksham and Hawaii viruses. Comparative     sequence analyses showed the SMV is a recombinant norovirus. VP1/NP2     proteins assembled into virus-like particles (VLPs) when expressed in     insect cells by a recombinant baculovirus. Characterization of one clone     that expressed VP1 but failed to assemble into VLPs, identified histidine     residue 91 as important for particle assembly.</t>
  </si>
  <si>
    <t>US7479498</t>
  </si>
  <si>
    <t>Treatments for viral infections</t>
  </si>
  <si>
    <t>11/353467</t>
  </si>
  <si>
    <t>PHOENIX BIOSCIENCES, INC.</t>
  </si>
  <si>
    <t>PHOENIX BIOSCIENCES</t>
  </si>
  <si>
    <t>Robert H. Keller</t>
  </si>
  <si>
    <t>A61K 31/4706 (20130101); A61K 31/525 (20130101); A61K 31/51 (20130101); A61K 31/352 (20130101); A61P 31/16 (20180101); A61K 31/4415 (20130101); A61K 31/277 (20130101); A61K 31/47 (20130101); A61K 45/06 (20130101); A61P 31/14 (20180101); A61K 31/4166 (20130101); A61K 31/455 (20130101); A61P 31/18 (20180101); A61K 31/7048 (20130101); A61K 31/4015 (20130101); A61P 31/12 (20180101); A61K 31/4704 (20130101); A61K 31/714 (20130101); A61K 31/277 (20130101); A61K 2300/00 (20130101); A61K 31/352 (20130101); A61K 2300/00 (20130101); A61K 31/4166 (20130101); A61K 2300/00 (20130101); A61K 31/4706 (20130101); A61K 2300/00 (20130101); A61K 31/4015 (20130101); A61K 2300/00 (20130101); A61K 31/4415 (20130101); A61K 2300/00 (20130101); A61K 31/455 (20130101); A61K 2300/00 (20130101); A61K 31/4704 (20130101); A61K 2300/00 (20130101); A61K 31/51 (20130101); A61K 2300/00 (20130101); A61K 31/525 (20130101); A61K 2300/00 (20130101); A61K 31/7048 (20130101); A61K 2300/00 (20130101); A61K 31/714 (20130101); A61K 2300/00 (20130101); A61K 31/47 (20130101); A61K 2300/00 (20130101)</t>
  </si>
  <si>
    <t>The present invention relates to improved methods and compositions for     treating viral infections and other diseases and conditions that induce a     cytokine storm. More particularly, the present invention relates to novel     compositions comprising quercitin, and an anti-convulsant, such as     phenytoin, in combination with mulivitamins as an anti-viral composition     and methods of use thereof.</t>
  </si>
  <si>
    <t>US7457731</t>
  </si>
  <si>
    <t>US7447333</t>
  </si>
  <si>
    <t>Video and audio monitoring for syndromic surveillance for infectious     diseases</t>
  </si>
  <si>
    <t>Stephen P. Masticola, David Volk Beard, Dorin Comaniciu, Justinian Rosca</t>
  </si>
  <si>
    <t>A61B 5/1123 (20130101); G16H 50/80 (20180101); A61B 5/7275 (20130101); A61B 7/003 (20130101); G08B 31/00 (20130101); A61B 5/01 (20130101); A61B 5/0823 (20130101); A61B 5/1113 (20130101); A61B 5/1128 (20130101)</t>
  </si>
  <si>
    <t>US7432273</t>
  </si>
  <si>
    <t>Phosphonate analogs of antimetabolites</t>
  </si>
  <si>
    <t>10/833897</t>
  </si>
  <si>
    <t>Maria Fardis, Thorsten Kirschberg, William J. Watkins</t>
  </si>
  <si>
    <t>C07F 9/65586 (20130101); C07F 9/6561 (20130101); A61K 31/675 (20130101); C07D 487/04 (20130101); C07D 409/12 (20130101); A61P 3/00 (20180101); A61K 47/548 (20170801)</t>
  </si>
  <si>
    <t>The invention is related to phosphorus substituted antimetabolites,     compositions containing such compounds, and therapeutic methods that     include the administration of such compounds, as well as to processes and     intermediates useful for preparing such compounds.</t>
  </si>
  <si>
    <t>US7432272</t>
  </si>
  <si>
    <t>Antiviral analogs</t>
  </si>
  <si>
    <t>11/020641</t>
  </si>
  <si>
    <t>Maria Fardis, Choung U. Kim</t>
  </si>
  <si>
    <t>A61P 31/18 (20180101); C07D 473/18 (20130101); A61P 43/00 (20180101); C07H 19/06 (20130101); C07D 473/16 (20130101); A61P 31/14 (20180101); C07H 19/16 (20130101)</t>
  </si>
  <si>
    <t>The application relates to 4'-substituted nucleoside derivatives of     Formula I:  ##STR00001##  wherein B and R.sup.1 have any of the values     described in the application, as well as to compositions comprising such     compounds, to methods and intermediates useful for preparing such     compounds, and to therapeutic methods comprising administering such     compounds to animals in need thereof.</t>
  </si>
  <si>
    <t>US7429565</t>
  </si>
  <si>
    <t>10/832815</t>
  </si>
  <si>
    <t>C07F 9/655354 (20130101); C07F 9/6561 (20130101); C07F 9/60 (20130101); C07F 9/58 (20130101); C07F 9/65515 (20130101); C07D 409/06 (20130101); C07D 211/58 (20130101); C07F 9/653 (20130101); C07F 9/65616 (20130101); C07F 9/5728 (20130101); A61K 31/7076 (20130101); A61K 31/7072 (20130101); A61P 43/00 (20180101); C07H 17/00 (20130101); C07D 475/00 (20130101); C07H 19/056 (20130101); A61K 31/662 (20130101); A61P 31/12 (20180101); C07F 9/4075 (20130101); C07F 9/65031 (20130101); A61K 47/548 (20170801); A61P 31/14 (20180101); C07H 19/20 (20130101); C07H 21/00 (20130101); C07F 9/650905 (20130101); C07H 19/10 (20130101); A61P 31/18 (20180101); C07D 205/04 (20130101); C07F 9/6539 (20130101); C07D 409/14 (20130101); C07H 15/00 (20130101); C07D 413/14 (20130101); Y02A 50/393 (20180101); Y02A 50/465 (20180101)</t>
  </si>
  <si>
    <t>US7427920</t>
  </si>
  <si>
    <t>Population monitoring system</t>
  </si>
  <si>
    <t>10/332762</t>
  </si>
  <si>
    <t>Keith Llewellyn Martin, Christopher S. Cox, Peter Douglas Biggins</t>
  </si>
  <si>
    <t>A61B 5/1112 (20130101); A61B 5/002 (20130101); A61B 5/0022 (20130101); G16H 50/80 (20180101); A61B 2560/0242 (20130101); A61B 2560/0462 (20130101); A61B 5/6814 (20130101)</t>
  </si>
  <si>
    <t>A system for monitoring a live population uses a unit as a local data     collection device to derive data on the physical condition of a     population member. The unit has a local processor for correlating and     storing the physical condition data relative to time and a mechanism for     transferring the stored data from the local processor to a remote data     collection device. The remote data collection device also receives data     relating to the location of the population member relative to time, and     analyzes the physical condition and location data for unusual events,     providing a signal on the occurrence of an unusual event. The physical     condition may be derived from a sensor, which is a non-invasive sensor     for measuring pulse rate, temperature and oxygen levels. The location     data is provided from a locator incorporated in the unit.</t>
  </si>
  <si>
    <t>US7427468</t>
  </si>
  <si>
    <t>10/675979</t>
  </si>
  <si>
    <t>C07K 16/28 (20130101); C07K 16/1045 (20130101); C07K 16/18 (20130101); C07K 16/32 (20130101); C07K 16/1081 (20130101); A61P 31/12 (20180101); A61P 31/18 (20180101); A61P 31/14 (20180101); C07K 2317/76 (20130101); C07K 2317/34 (20130101); Y02A 50/386 (20180101); A61K 2039/505 (20130101)</t>
  </si>
  <si>
    <t>US7418399</t>
  </si>
  <si>
    <t>Methods and kits for managing diagnosis and therapeutics of bacterial     infections</t>
  </si>
  <si>
    <t>09/972762</t>
  </si>
  <si>
    <t>US7412356</t>
  </si>
  <si>
    <t>Detection and quantification system for monitoring instruments</t>
  </si>
  <si>
    <t>John M. Dzenitis, Claudia K. Hertzog, Anthony J. Makarewicz, Bruce D. Henderer, Vincent J. Riot</t>
  </si>
  <si>
    <t>US7408470</t>
  </si>
  <si>
    <t>US7405046</t>
  </si>
  <si>
    <t>Compositions and methods for treatment of rhinovirus</t>
  </si>
  <si>
    <t>11/553656</t>
  </si>
  <si>
    <t>THE QUIGLEY CORPORATION</t>
  </si>
  <si>
    <t>THE QUIGLEY</t>
  </si>
  <si>
    <t>Richard Allen Rosenbloom</t>
  </si>
  <si>
    <t>A61K 9/0043 (20130101); A61K 36/82 (20130101); A61P 31/00 (20180101); A61P 31/04 (20180101); A61K 9/006 (20130101); A61K 36/31 (20130101); A61P 31/12 (20180101); A61P 31/22 (20180101); A61P 31/16 (20180101); A61K 36/9066 (20130101); A61K 36/9068 (20130101); A61P 31/18 (20180101); A61K 36/82 (20130101); A61K 2300/00 (20130101); A61K 36/9066 (20130101); A61K 2300/00 (20130101); A61K 36/9068 (20130101); A61K 2300/00 (20130101); A61K 36/31 (20130101); A61K 2300/00 (20130101); Y02A 50/393 (20180101); Y02A 50/387 (20180101)</t>
  </si>
  <si>
    <t>Methods for prophylactic and anti-transmissivity uses of an     anti-microbial composition are disclosed. The methods comprise the step     of administering to a mammal or a bird, an amount of a composition having     a first ingredient obtainable from ginger; a second ingredient obtainable     from green tea; an optional third ingredient obtainable from turmeric;     and an acceptable carrier. When administered the composition is effective     to reduce the incidence of contracting an illness or to prophylactically     prevent transmission of an illness. Also disclosed are nasal and throat     spray compositions for use in the methods of the invention.</t>
  </si>
  <si>
    <t>US7399276</t>
  </si>
  <si>
    <t>10/840945</t>
  </si>
  <si>
    <t>US7392199</t>
  </si>
  <si>
    <t>US7349808</t>
  </si>
  <si>
    <t>09/656084</t>
  </si>
  <si>
    <t>G16H 10/40 (20180101); G16H 50/30 (20180101); G06F 19/321 (20130101); G06F 19/3418 (20130101); C12Q 1/689 (20130101); G16B 10/00 (20190201); G16H 70/60 (20180101); G16H 10/60 (20180101); G16B 30/00 (20190201); G16B 50/00 (20190201); C12Q 1/6869 (20130101)</t>
  </si>
  <si>
    <t>US7344722</t>
  </si>
  <si>
    <t>Cold-adapted influenza virus</t>
  </si>
  <si>
    <t>08/573569</t>
  </si>
  <si>
    <t>Hunein F. Maassab, Martha Louise Herlocher</t>
  </si>
  <si>
    <t>A61K 39/145 (20130101); C07K 14/005 (20130101); C12N 7/00 (20130101); A61K 39/12 (20130101); A61K 2039/5254 (20130101); C12N 2760/16122 (20130101); C12N 2760/16134 (20130101); C12N 2760/16164 (20130101); C12N 2760/16222 (20130101); C12N 2760/16234 (20130101); C12N 2760/16264 (20130101); A61K 2039/70 (20130101); A61K 2039/543 (20130101)</t>
  </si>
  <si>
    <t>The cold-adapted master strain A/Ann Arbor/6/60 7PI (H2N2) and progenitor     wild type E2(3) viral strains have been deposited and their genomic     sequences identified. Seven nucleotide differences were found between the     sequences identified herein and the previously published sequences for     cold-adapted A/Ann Arbor/6/60 genes. The cold-adapted live influenza     virus of the present invention can be reassorted with a variety of     epidemic wild type influenza viruses and used to produce vaccines to     prophylactically and therapeutically treat influenza.</t>
  </si>
  <si>
    <t>US7323182</t>
  </si>
  <si>
    <t>Oil in water emulsions containing saponins</t>
  </si>
  <si>
    <t>10/139815</t>
  </si>
  <si>
    <t>SMITHKLINE BEECHAM BIOLOGICALS S.A.</t>
  </si>
  <si>
    <t>SMITHKLINE BEECHAM BIOLOGICALS</t>
  </si>
  <si>
    <t>Nathalie Garcon, Patricia Marie Christine Aline Francoise Momin</t>
  </si>
  <si>
    <t>A61K 9/1075 (20130101); A61P 31/12 (20180101); A61K 39/0011 (20130101); A61K 39/39 (20130101); A61P 35/00 (20180101); A61K 39/015 (20130101); A61K 39/12 (20130101); A61K 39/292 (20130101); A61P 31/04 (20180101); C12N 2730/10134 (20130101); A61K 2039/55566 (20130101); Y02A 50/412 (20180101); A61K 2039/55577 (20130101); A61K 2039/55572 (20130101); Y02A 50/30 (20180101); Y02A 50/464 (20180101); A61K 2039/545 (20130101)</t>
  </si>
  <si>
    <t>The present invention relates to an oil in water emulsion vaccine     composition. In particular, the present invention relates to a vaccine     adjuvant formulation based on oil in water emulsion comprising a     metabolisable oil and a saponin, wherein the oil and a saponin are     present in a ratio of between 1:1 and 200:1. The invention further     relates to methods for preparing the emulsion and its use in medicine.</t>
  </si>
  <si>
    <t>US7314624</t>
  </si>
  <si>
    <t>Nanoemulsion vaccines</t>
  </si>
  <si>
    <t>10/162970</t>
  </si>
  <si>
    <t>UNIV MICHIGAN TECH</t>
  </si>
  <si>
    <t>James R. Baker, Tarek Hamouda</t>
  </si>
  <si>
    <t>A61P 31/04 (20180101); A61K 39/07 (20130101); A61P 31/16 (20180101); A61P 31/10 (20180101); A61P 31/18 (20180101); A61P 31/00 (20180101); A61K 39/39 (20130101); A61K 9/0043 (20130101); A01N 25/04 (20130101); A61K 9/1075 (20130101); A61P 31/12 (20180101); A61P 37/04 (20180101); A61P 37/00 (20180101); Y02A 50/394 (20180101); A61K 2039/55566 (20130101); C12N 2760/16134 (20130101); A61K 2039/521 (20130101); Y02A 50/469 (20180101); Y02A 50/403 (20180101); Y02A 50/489 (20180101)</t>
  </si>
  <si>
    <t>The present invention provides methods and compositions for the     stimulation of immune responses. Specifically, the present invention     provides methods and compositions for the use of nanoemulsion compounds     as mucosal adjuvants to induce immunity against environmental pathogens.     Accordingly, in some embodiments, the present invention provides     nanoemulsion vaccines comprising a nanoemulsion and an inactivated     pathogen or protein derived from the pathogen. The present invention thus     provides improved vaccines against a variety of environmental and     human-released pathogens.</t>
  </si>
  <si>
    <t>US7312064</t>
  </si>
  <si>
    <t>DNA transfection system for the generation of infectious influenza virus</t>
  </si>
  <si>
    <t>11/093430</t>
  </si>
  <si>
    <t>St. Judes Childrens Research Hospital, Inc.</t>
  </si>
  <si>
    <t>JUDES CHILDRENS RESEARCH HOSPITAL</t>
  </si>
  <si>
    <t>Erich Hoffmann</t>
  </si>
  <si>
    <t>A61P 31/16 (20180101); C12N 7/00 (20130101); A61P 31/00 (20180101); A61P 37/04 (20180101); C07K 14/005 (20130101); A61P 31/14 (20180101); C12N 2830/36 (20130101); C12N 2830/34 (20130101); C12N 2760/16163 (20130101); C12N 2720/00063 (20130101); C12N 2760/18663 (20130101); C12N 2830/205 (20130101); C12N 2760/16222 (20130101); C12N 2830/85 (20130101); A61K 2039/5252 (20130101); A61K 2039/5254 (20130101); C12N 2800/107 (20130101); C12N 2760/16263 (20130101); C12N 2760/16151 (20130101); C12N 2760/16122 (20130101); C12N 2770/24263 (20130101); C12N 2800/40 (20130101)</t>
  </si>
  <si>
    <t>The present invention is based on the development of a dual promoter     system (preferably a RNA pol I-pol II system) for the efficient     intracellular synthesis of viral RNA. The resultant minimal plasmid-based     system may be used to synthesize any RNA virus, preferably viruses with a     negative single stranded RNA genome. The viral product of the system is     produced when the plasmids of the system are introduced into a suitable     host cell. One application of the system is production of attenuated,     reassortant influenza viruses for use as antigens in vaccines. The     reassortant viruses generated by cotransfection of plasmids may comprise     genes encoding the surface glycoproteins hemagglutinin and neuraminidase     from an influenza virus currently infecting the population and the     internal genes from an attenuated influenza virus. An advantageous     property of the present invention is its versatility; the system may be     quickly and easily adapted to synthesize an attenuated version of any RNA     virus. Attenuated or inactivated RNA viruses produced by the present     invention may be administered to a patient in need of vaccination by any     of several routes including intranasally or intramuscularly.</t>
  </si>
  <si>
    <t>US7300924</t>
  </si>
  <si>
    <t>Constantine G. Boojamra, Aesop Cho, William J. Watkins</t>
  </si>
  <si>
    <t>C07F 9/4006 (20130101); C07F 9/65583 (20130101); C07F 9/65586 (20130101); C07F 9/650952 (20130101); A61K 47/548 (20170801); C07F 9/58 (20130101); C07F 9/6561 (20130101)</t>
  </si>
  <si>
    <t>US7282599</t>
  </si>
  <si>
    <t>Dithiocarbamate antiviral agents and methods of using same</t>
  </si>
  <si>
    <t>10/483975</t>
  </si>
  <si>
    <t>AVIR GREEN HILLS BIOTECHNOLOGY RESEARCH DEVELOPMENT TRADE AG</t>
  </si>
  <si>
    <t>AVIR GREEN HILLS BIOTECHNOLOGY RESEARCH DEVELOPMENT TRADE</t>
  </si>
  <si>
    <t>Elisabeth Gaudernak, Andreas Grassauer, Ernst Kuchler, Thomas Muster, Joachim Seipelt</t>
  </si>
  <si>
    <t>A61K 31/40 (20130101); A61P 31/00 (20180101); A61P 31/16 (20180101); A61K 31/325 (20130101)</t>
  </si>
  <si>
    <t>The invention discloses a use of dithiocarbamate compounds having the     structural formula R.sub.1R.sub.2NCS.sub.2H, in which R.sub.1 and     R.sub.2, independently of each other, represent a straight or branched     C.sub.1-C.sub.4 alkyl, or, with the nitrogen atom, form an aliphatic ring     with 4 to 6 C atoms, in which R.sub.1, R.sub.2, or the aliphatic ring is     optionally substituted with one or more substituents selected from OH,     NO.sub.2, NH.sub.2, COOH, SH, F, Cl, Br, I, methyl or ethyl, and oxidized     forms of these compounds, in particular dimers thereof, as well as     pharmaceutically acceptable salts thereof, to prepare an agent for     treating or preventing an infection by RNA viruses which attack the     respiratory tract and cause disease there.</t>
  </si>
  <si>
    <t>US7266484</t>
  </si>
  <si>
    <t>Techniques for early detection of localized exposure to an agent active on     a biological population</t>
  </si>
  <si>
    <t>10/466459</t>
  </si>
  <si>
    <t>Joseph S. Lombardo, Howard S. Burkom, Farzad Mostashari, Eugene Elbert</t>
  </si>
  <si>
    <t>G16H 50/80 (20180101); G16H 10/20 (20180101); Y02A 90/24 (20180101); Y02A 90/22 (20180101); Y02A 90/26 (20180101)</t>
  </si>
  <si>
    <t>Technique for early detection of localized exposure to an agent active on     a biological population include collecting time series for each data type     of multiple different data types. The data types are relevant for     detecting exposure to the agent. For each data type multiple time series     are collected for corresponding multiple locations associated with the     data type. Measures of anomalous conditions are generated at the     locations for each of the different data types. The measures of anomalous     conditions are based on the time series and a temporal model for each     data type. Cluster analysis is performed on the measures of anomalous     conditions to determine an estimated location, and an estimated extent,     of effects from the agent. The techniques allow a surveillance system to     avoid diluting the signal of a localized outbreak over too large and area     or consuming excessive resources in computing replicas for a matched     filter detector.</t>
  </si>
  <si>
    <t>US7255862</t>
  </si>
  <si>
    <t>ALVAC/FIV constructs</t>
  </si>
  <si>
    <t>08/746668</t>
  </si>
  <si>
    <t>VIROGENETICS CORPORATION</t>
  </si>
  <si>
    <t>VIROGENETICS</t>
  </si>
  <si>
    <t>James Tartaglia, Enzo Paoletti</t>
  </si>
  <si>
    <t>C07K 14/005 (20130101); A61P 31/12 (20180101); C12N 2710/24043 (20130101); A61K 2039/525 (20130101); C12N 2740/15022 (20130101); A61K 39/00 (20130101)</t>
  </si>
  <si>
    <t>Recombinants containing and expressing lentivirus, retrovirus or     immunodeficiency virus DNA and methods for making and using the same are     disclosed and claimed. In an exemplified embodiment, attenuated     recombinant viruses containing DNA encoding a feline immunodeficiency     virus epitope such as an antigen, as well as methods and compositions     employing the viruses, expression products therefrom, and antibodies     generated from the viruses or expression products, are disclosed and     claimed. The recombinants can be NYVAC or ALVAC recombinants. The DNA can     encode at least one of: Env, Gag, Pol, or combinations thereof such as     Gag and Pol or protease or Env, Gag and Pol or protease. The recombinants     and gene products therefrom and antibodies generated by them have several     preventive, therapeutic and diagnostic uses. DNA from the recombinants     are useful as probes or, for generating PCR primers or for immunization.     The immunogenicity and protective efficacy of immunization protocols     involving ALVAC-FIV and priming with a recombinant canarypox virus     ALVAC-FIV vaccine followed by a booster immunization with inactivated     FIV-infected celled vaccine (ICV) was evaluated against FIV challenge in     cats and the protocol was shown to effectively induce FIV-specific     protective immune responses. Further, it was found that immunized cats     were fully protected from an initial challenge with a slightly     heterologous FIV strain (50CID.sub.50) and were partially protected from     a second challenge with a distinctly heterologous FIV strain     (75CID.sub.50) given eight months after the initial challenge without any     intervening booster.</t>
  </si>
  <si>
    <t>US7250171</t>
  </si>
  <si>
    <t>Construction and use of recombinant parainfluenza viruses expressing a     chimeric glycoprotein</t>
  </si>
  <si>
    <t>09/459062</t>
  </si>
  <si>
    <t>Tao Tao, Mario H. Skiadopoulos, Peter L. Collins, Brian R. Murphy</t>
  </si>
  <si>
    <t>C12N 15/86 (20130101); A61K 2039/5256 (20130101); C07K 2319/00 (20130101); C12N 2760/18643 (20130101)</t>
  </si>
  <si>
    <t>Chimeric parainfluenza viruses (PIVs) are provided that incorporate a PIV     vector genome or antigenome modified to encode a chimeric glycoprotein     incorporating one or more heterologous antigenic domains, fragments, or     epitopes of a second, antigenically distinct HPIV. These chimeric viruses     are infectious and attenuated in humans and other mammals and are useful     in vaccine formulations for eliciting an immune responses against one or     more PIVs, and, optionally against respiratory syncytial virus (RSV).     Also provided are isolated polynucleotide molecules and vectors     incorporating a chimeric PIV genome or antigenome which includes a HPIV     vector genome or antigenome combined or integrated with one or more     heterologous genome segment(s) encoding one or more antigenic     determinant(s) of a heterologous PIV to encode a chimeric glycoprotein.     In preferred aspects of the invention, the chimeric virus is attenuated     for use as a vaccine agent by additional mutations or nucleotide     modifications introduced into the chimeric genome or antigenome.</t>
  </si>
  <si>
    <t>US7249006</t>
  </si>
  <si>
    <t>Joseph S. Lombardo, Fernando J. Pineda, Howard S. Burkom, Bruce K. Newhall, Rashid A. Chotani, Richard A. Wojcik, Wayne A. Loschen</t>
  </si>
  <si>
    <t>G16H 10/60 (20180101); G16H 50/80 (20180101); Y02A 90/24 (20180101); Y02A 90/22 (20180101); Y02A 90/26 (20180101)</t>
  </si>
  <si>
    <t>Background noise from relevant data sets, including for example     over-the-counter sales data, absenteeism data, etc., is subtracted using     a background estimation algorithm that outputs residual data. The effects     of hypothetical anomalous events, such as a bio-terrorist attack, on the     relevant data sets are modeled to create replica data. The replica data     may be based on input from epidemiologists and various scenario templates     including information on disease manifestation and other intelligence.     The residual data and the replica data are then matched using a detector.     Types of detectors include for example adaptive matched-filter detectors,     change detectors and Bayesian Inference Networks. An alarm is triggered     if a real anomalous event similar to a hypothetical anomalous event is     detected. A Geographical Information System (GIS) may be used to display     data from individual zip codes.</t>
  </si>
  <si>
    <t>US7247439</t>
  </si>
  <si>
    <t>Method of evaluating a patient antibody response to envelope proteins of a     virus</t>
  </si>
  <si>
    <t>10/077027</t>
  </si>
  <si>
    <t>Douglas Richman, Mary T. Wrin, Susan Little, Christos J. Petropoulos, Neil T. Parkin, Jeannette M. Whitcomb, Wei Huang</t>
  </si>
  <si>
    <t>The invention provides a method for identifying whether a compound     inhibits entry of a virus into a cell which comprises: (a) obtaining     nucleic acid encoding a viral envelope protein from a patient infected by     the virus; (b) co-transfecting into a first cell (i) the nucleic acid of     step (a), and (ii) a viral expression vector which lacks a nucleic acid     encoding an envelope protein, and which comprises an indicator nucleic     acid which produces a detectable signal, such that the first cell     produces viral particles comprising the envelope protein encoded by the     nucleic acid obtained from the patient; (c) contacting the viral     particles produced in step (b) with a second cell in the presence of the     compound, wherein the second cell expresses a cell surface receptor to     which the virus binds; (d) measuring the amount of signal produced by the     second cell in order to determine the infectivity of the viral particles;     and (e) comparing the amount of signal measured in step (d) with the     amount of signal produced in the absence of the compound, wherein a     reduced amount of signal measured in the presence of the compound     indicates that the compound inhibits entry of the virus into the second     cell.</t>
  </si>
  <si>
    <t>US7238349</t>
  </si>
  <si>
    <t>10/088632</t>
  </si>
  <si>
    <t>Erik D'Hondt, Norbert Hehme</t>
  </si>
  <si>
    <t>A61K 39/145 (20130101); C07K 14/005 (20130101); C12N 7/00 (20130101); A61K 39/12 (20130101); A61K 2039/5252 (20130101); A61K 2039/54 (20130101); A61K 2039/543 (20130101); A61K 2039/55505 (20130101); C12N 2760/16122 (20130101); C12N 2760/16151 (20130101); C12N 2760/16222 (20130101); C12N 2760/16234 (20130101); C12N 2760/16251 (20130101)</t>
  </si>
  <si>
    <t>The invention provides a monovalent influenza vaccine comprising a low     dose of egg-derived influenza virus antigen from an influenza virus     strain that is associated with a pandemic outbreak or has the potential     to be associated with a pandemic outbreak, in combination with an     aluminium adjuvant. The invention also provides vaccine kits comprising a     combination of a parenteral and a mucosal influenza vaccine, wherein the     combined dose of antigen is no more than the conventional antigen dose.     Also provided are methods for preparing the vaccines.</t>
  </si>
  <si>
    <t>US7217510</t>
  </si>
  <si>
    <t>Methods for providing bacterial bioagent characterizing information</t>
  </si>
  <si>
    <t>US7192593</t>
  </si>
  <si>
    <t>Use of recombinant parainfluenza viruses (PIVs) as vectors to protect     against infection and disease caused by PIV and other human pathogens</t>
  </si>
  <si>
    <t>09/733692</t>
  </si>
  <si>
    <t>MURPHY BRIAN R; COLLINS PETER L; SCHMIDT ALEXANDER C; DURBIN ANNA P; SKIADOPOULOS MARIO H; TAO TAO</t>
  </si>
  <si>
    <t>MURPHY BRIAN COLLINS PETER SCHMIDT ALEXANDER DURBIN ANNA SKIADOPOULOS MARIO TAO TAO</t>
  </si>
  <si>
    <t>Brian R. Murphy, Peter L. Collins, Alexander C. Schmidt, Anna P. Durbin, Mario H. Skiadopoulos, Tao Tao</t>
  </si>
  <si>
    <t>C07K 14/005 (20130101); C12N 15/86 (20130101); A61K 39/00 (20130101); A61K 2039/5256 (20130101); C12N 2760/18422 (20130101); C12N 2760/18622 (20130101); C12N 2760/18643 (20130101)</t>
  </si>
  <si>
    <t>Chimeric parainfluenza viruses (PIVs) incorporate a PIV vector genome or     antigenome and one or more antigenic determinant(s) of a heterologous PIV     or non-PIV pathogen. These chimeric viruses are infectious and attenuated     in humans and other mammals and are useful in vaccine formulations for     eliciting an immune responses against one or more PIVs, or against a PIV     and non-PIV pathogen. Also provided are isolated polynucleotide molecules     and vectors incorporating a chimeric Ply genome or antigenome which     includes a partial or complete PIV vector genome or antigenome combined     or integrated with one or more heterologous gene(s) or genome segment(s)     encoding antigenic determinant(s) of a heterologous PIV or non-PIV     pathogen.</t>
  </si>
  <si>
    <t>US7171312</t>
  </si>
  <si>
    <t>Gregory Steinthal, Steven Sunshine, Tim Burch, Neil Plotkin, Chang-Meng Hsiung</t>
  </si>
  <si>
    <t>B82Y 30/00 (20130101); G01N 33/0063 (20130101); G08B 21/12 (20130101); G16H 50/80 (20180101); G01N 33/0031 (20130101); G01N 33/0075 (20130101); G01N 33/48707 (20130101); Y02A 90/24 (20180101)</t>
  </si>
  <si>
    <t>US7088230</t>
  </si>
  <si>
    <t>Chemical, biological, radiological, and nuclear weapon detection system     with alarm thresholds based on environmental factors</t>
  </si>
  <si>
    <t>10/881995</t>
  </si>
  <si>
    <t>Lockheed Martin</t>
  </si>
  <si>
    <t>LOCKHEED</t>
  </si>
  <si>
    <t>Scott M. Maurer, Mark J. Derksen, Kevin J. Kofler, Robert H. Fleming</t>
  </si>
  <si>
    <t>G08B 21/12 (20130101); G16H 50/80 (20180101); G08B 31/00 (20130101)</t>
  </si>
  <si>
    <t>A chemical, biological, radiological, and nuclear weapon detection system     is disclosed that incorporates a mechanism to reduce the probability that     a false alarm will be issued. In particular, the mechanism causes an     alarm to be triggered when the amount of a hazardous material reaches a     threshold, but changes the threshold based, at least in part, on     environmental (e.g., meteorological, etc.) characteristics (e.g., whether     is it precipitating or not, whether it is sunny or not, etc) that effect     the efficacy of a chemical, biological, radiological, or nuclear weapon.     Given that there are environmental factors that make an attack less     effective, and given that terrorists are aware of this, the illustrative     embodiment is less likely to issue an alarm when the environmental     factors suggest that an attack is less effective, and, therefore, less     likely. The illustrative embodiment accomplishes this by changing the     threshold needed to issue an alarm based on one or more the environmental     factors.</t>
  </si>
  <si>
    <t>US7069233</t>
  </si>
  <si>
    <t>Todd C. Bracken, Kimberly Chowning</t>
  </si>
  <si>
    <t>G06F 19/328 (20130101); G06Q 30/02 (20130101); G16H 50/80 (20180101); G06Q 30/0204 (20130101); G06Q 30/0205 (20130101); G06Q 30/0201 (20130101)</t>
  </si>
  <si>
    <t>US7062553</t>
  </si>
  <si>
    <t>Virus epidemic damage control system and method for network environment</t>
  </si>
  <si>
    <t>10/199078</t>
  </si>
  <si>
    <t>TREND MICRO INCORPORATED</t>
  </si>
  <si>
    <t>TREND MICRO</t>
  </si>
  <si>
    <t>Yung Chang Liang</t>
  </si>
  <si>
    <t>H04L 63/1416 (20130101); H04L 63/145 (20130101)</t>
  </si>
  <si>
    <t>A system and method for providing damage control caused by a virus epidemic in a network environment are advantageously provided according to the intention. The system according to a preferred embedment of the invention effectively and rapidly distributes antivirus protection and cure measures within the network so as to reduce the level of damage during the virus epidemic. The method according to the invention contains the spread of a computer virus in a network system by detecting the traffic flow and analyzing the identical sections in files modified in a short time period. The network system accordingly includes a management server, a management information database (MIB) having a plurality of tasks for performing work in the network system, and a plurality of device node. Each network task corresponds to an event occurring in the system. Damage control caused by a virus epidemic in a network environment is controlled and level of damage is accordingly reduced.</t>
  </si>
  <si>
    <t>US7051009</t>
  </si>
  <si>
    <t>Henri Jacques Suermondt, Melchun Hsu</t>
  </si>
  <si>
    <t>US7048953</t>
  </si>
  <si>
    <t>William Banning Vail, III, Marilyn L. Vail</t>
  </si>
  <si>
    <t>A61K 36/534 (20130101); A61M 11/02 (20130101); A61M 11/04 (20130101); A61M 11/06 (20130101); A61M 15/00 (20130101); A61M 2205/073 (20130101); Y10S 514/888 (20130101); A61M 11/042 (20140204)</t>
  </si>
  <si>
    <t>US7024370</t>
  </si>
  <si>
    <t>John Epler, Michael J. VanRooyen, Mark D. Crockett</t>
  </si>
  <si>
    <t>G06N 99/005 (20130101); G06Q 50/24 (20130101); G16H 10/20 (20180101); G16H 15/00 (20180101); G16H 50/80 (20180101); G16H 50/70 (20180101); Y10S 128/923 (20130101); G16H 10/60 (20180101); Y02A 90/24 (20180101); Y02A 90/26 (20180101); Y02A 90/22 (20180101)</t>
  </si>
  <si>
    <t>US7015816</t>
  </si>
  <si>
    <t>US6985829</t>
  </si>
  <si>
    <t>Geoffrey M. Jacquez</t>
  </si>
  <si>
    <t>G06F 17/10 (20130101); G16H 50/80 (20180101); G06F 17/18 (20130101); Y02A 90/24 (20180101)</t>
  </si>
  <si>
    <t>US6861410</t>
  </si>
  <si>
    <t>10/103673</t>
  </si>
  <si>
    <t>Gary S. Ott, Derek O'Hagan, Manmohan Singh</t>
  </si>
  <si>
    <t>A61K 9/0019 (20130101); C07H 15/24 (20130101); A61K 47/26 (20130101); A61K 9/107 (20130101)</t>
  </si>
  <si>
    <t>US6838993</t>
  </si>
  <si>
    <t>John L. Beiswenger, Michael H. Ranck, Jody L. Taualofai</t>
  </si>
  <si>
    <t>G16H 50/80 (20180101); A61B 5/0008 (20130101); Y02A 90/24 (20180101)</t>
  </si>
  <si>
    <t>US6803202</t>
  </si>
  <si>
    <t>NORTHROP GRUMMAN CORP</t>
  </si>
  <si>
    <t>NORTHROP GRUMMAN</t>
  </si>
  <si>
    <t>Brian M. Sullivan, Denes L. Zsolnay</t>
  </si>
  <si>
    <t>G01N 33/53 (20130101); G16H 50/80 (20180101); G01N 33/54313 (20130101)</t>
  </si>
  <si>
    <t>The existence of any one of a plurality of 2.sup.N -1 bioagents in a sample     (1) may be determined by dividing the sample into N parts and performing     separate ELISA processes (TEST 1 &amp; TEST 2) on each of the N parts     concurrently, where N is an integer greater than 1, each of the separate     ELISA processes possessing the capability to identify a bioagent from a     combination of possible bioagents (3), and in which the combination of     possible bioagents of any one of the separate ELISA processes is different     (7) from the combination of possible bioagents of any other of the     separate ELISA processes.</t>
  </si>
  <si>
    <t>US6787145</t>
  </si>
  <si>
    <t>Recombinant proteins of a pakistani strain of hepatitis E and their use in     diagnostic methods and vaccines</t>
  </si>
  <si>
    <t>09/724475</t>
  </si>
  <si>
    <t>Sergei A. Tsarev, Suzanne U. Emerson, Robert H. Purcell</t>
  </si>
  <si>
    <t>C07H 21/00 (20130101); C07K 14/005 (20130101); C12N 7/00 (20130101); C12N 15/1131 (20130101); A61K 38/00 (20130101); A61K 39/00 (20130101); C12N 2310/3125 (20130101); C12N 2310/314 (20130101); C12N 2310/315 (20130101); C12N 2310/321 (20130101); C12N 2310/341 (20130101); C12N 2310/345 (20130101); C12N 2310/346 (20130101); C12N 2710/14143 (20130101); C12N 2770/28122 (20130101); C12N 2770/28123 (20130101); C12N 2310/321 (20130101); C12N 2310/3521 (20130101); Y10S 436/82 (20130101)</t>
  </si>
  <si>
    <t>A strain of hepatitis E virus from Pakistan (SAR-55) implicated in an     epidemic of enterically transmitted non-A, non-B hepatitis, now called     hepatitis E, is disclosed. The invention relates to the expression of the     whole structural region of SAR-55, designated open reading frame 2     (ORF-2), in a eukaryotic expression system. The expressed protein is     capable of forming HEV virus-like particles which can serve as an antigen     in diagnostic immunoassays and as an immunogen or vaccine to protect     against infection by hepatitis E.</t>
  </si>
  <si>
    <t>US6770029</t>
  </si>
  <si>
    <t>US6766277</t>
  </si>
  <si>
    <t>Early warning network for biological terrorism</t>
  </si>
  <si>
    <t>Neil G. Siegel</t>
  </si>
  <si>
    <t>G06Q 50/22 (20130101); G16H 50/80 (20180101); G16H 50/70 (20180101); G06Q 50/24 (20130101); G06F 19/3418 (20130101)</t>
  </si>
  <si>
    <t>A computerized early warning network for biological events or terrorism     produces the alert that calls the health authorities to action. Data     generated in the point of sale (POS1 . . . POSn, POSa &amp; POSb) units of a     retail store or pharmacy that sells prescription and non-prescription     medicines contain information regarding purchases of various medicines     which are available at the central server (S2) associated with the point     of sale equipment. The database of purchases is periodically culled to     extract information regarding the quantities of different types of     medicines purchased (PROG) in the period, such as over a day, and that     information is transmitted, directly or indirectly, to the servers (S3) of     the public health authorities. With medicine type correlated to specific     diseases, the computers of the health authorities evaluate the purchase     information on a type-by-type basis and region-by-region basis to     determine occurrence of a biological event in any of the regions.</t>
  </si>
  <si>
    <t>US6761312</t>
  </si>
  <si>
    <t>System and method for tracking victims of a mass casualty incident</t>
  </si>
  <si>
    <t>10/170781</t>
  </si>
  <si>
    <t>SALAMANDER ENTERPRISES LIMITED</t>
  </si>
  <si>
    <t>SALAMANDER</t>
  </si>
  <si>
    <t>John T. Piatek, Russell L. Miller, Michael A. Whelan</t>
  </si>
  <si>
    <t>G06Q 50/22 (20130101); G06Q 50/24 (20130101); G08B 13/2462 (20130101); G16H 50/80 (20180101); G08B 23/00 (20130101); G16H 10/65 (20180101); G16H 40/20 (20180101)</t>
  </si>
  <si>
    <t>A system and method for tracking victims of a mass casualty incident     includes the steps of: (a) providing a tag to be associated with each     victim, each tag containing machine-readable data representing information     including at least the victims triage priority; (b) reading the     machine-readable data; and (c) displaying the information read in step     (b). Each tag may further contain machine-readable data representing     information including at least one of (1) an identification code uniquely     associated with the victim; (2) name of the victim; (3) the nature of the     victim's injuries; (4) the victim's medical condition; (5) the victim's     initial treatment; (6) physical characteristics of the victim; (7) the     victim's photo; and (8) the location to which the victim was transported     or assigned.</t>
  </si>
  <si>
    <t>US6738728</t>
  </si>
  <si>
    <t>A method for measuring a degree of association (58) between, and for     selectively creating a grouping (40) of, n plurality of spatially     referenced physical events (22) of a predetermined physical     characteristic. The method includes the steps of assembling n plurality of     physical events (26), assembling a universe of possible sample locations     (36), determining a reference distribution (54), determining a restricted     distribution (56), and determining the degree of association (58) between     the n plurality of physical events. Specifically, the physical events each     have an indicia of location and a physical characteristic above a     threshold. The step (54) of determining a reference distribution is     conducted by calculating a test statistic (78) for each of n' plurality of     random allocations (74) of the n plurality of physical events over the     selected n plurality of sample locations. Further, the step (58) of     determining a restricted distribution includes calculating the test     statistic (82) for each of n" plurality of restricted random allocations     (80) of the n plurality of physical events over the n plurality of sample     locations (62).</t>
  </si>
  <si>
    <t>US6727818</t>
  </si>
  <si>
    <t>09/699796</t>
  </si>
  <si>
    <t>A method of monitoring hygiene compliance is provided. The method comprises     the steps of receiving first location information which tracks movement     and handwashing information, determining whether a person who has entered     a patient contact zone has washed her hands since her most recent exposure     to a contamination zone, and updating compliance information for the     person based upon the determining step.</t>
  </si>
  <si>
    <t>US6706873</t>
  </si>
  <si>
    <t>08/316765</t>
  </si>
  <si>
    <t>C07H 21/00 (20130101); C07K 14/005 (20130101); C12N 7/00 (20130101); C12N 15/1131 (20130101); A61K 38/00 (20130101); A61K 39/00 (20130101); C12N 2310/3125 (20130101); C12N 2310/314 (20130101); C12N 2310/315 (20130101); C12N 2310/321 (20130101); C12N 2310/341 (20130101); C12N 2310/345 (20130101); C12N 2310/346 (20130101); C12N 2710/14143 (20130101); C12N 2770/28021 (20130101); C12N 2770/28022 (20130101); C12N 2770/28122 (20130101); C12N 2770/28123 (20130101); C12N 2310/321 (20130101); C12N 2310/3521 (20130101); Y10S 977/802 (20130101)</t>
  </si>
  <si>
    <t>US6705556</t>
  </si>
  <si>
    <t>Composition and method for inducing tolerance to viral infection in aquatic     animals</t>
  </si>
  <si>
    <t>Charles Rolland Laramore</t>
  </si>
  <si>
    <t>A61K 39/12 (20130101); C12N 7/00 (20130101); A61K 2039/5252 (20130101); C12N 2710/18034 (20130101); Y10S 530/826 (20130101); A61K 2039/54 (20130101); A61K 2039/542 (20130101); A61K 2039/552 (20130101)</t>
  </si>
  <si>
    <t>The White Spot Syndrome Virus (WSSV) is a virus affecting shrimps as well     as other crustaceans, and the WSSV epidemic poses a serious threat to the     shrimp farming industry. The present invention relates to compositions and     methods for inducing tolerance and/or immunity to White Spot Syndrome     Virus infections. In one embodiment, the invention provides for a tolerine     composition based on inactivated viral particles. In another embodiment,     the invention provides for a method for inducing tolerance/immunity in     shrimps by exposing larval shrimps to the tolerine composition. In yet     another embodiment, the invention provides for tolerine composition with     improved purity.</t>
  </si>
  <si>
    <t>US6696242</t>
  </si>
  <si>
    <t>Recombinant proteins of a Pakistani strain of hepatitis E and their use in     diagnostic methods and vaccines</t>
  </si>
  <si>
    <t>08/470246</t>
  </si>
  <si>
    <t>US6610044</t>
  </si>
  <si>
    <t>Iacob Mathiesen</t>
  </si>
  <si>
    <t>A61K 41/00 (20130101); A61P 43/00 (20180101); A61K 39/00 (20130101); A61N 1/36003 (20130101); A61P 37/04 (20180101); A61K 39/04 (20130101); A61N 1/325 (20130101); A61K 2039/54 (20130101); A61N 1/36017 (20130101); A61K 2039/545 (20130101); A61K 2039/53 (20130101); A61K 2039/57 (20130101); A61N 1/36 (20130101)</t>
  </si>
  <si>
    <t>US6605284</t>
  </si>
  <si>
    <t>Shigeharu Ueda, Michiko Watanabe, Hitomi Kawanish</t>
  </si>
  <si>
    <t>C07K 14/005 (20130101); A61K 39/00 (20130101); A61K 2039/51 (20130101); A61K 2039/525 (20130101); A61K 2039/53 (20130101); C12N 2760/18422 (20130101)</t>
  </si>
  <si>
    <t>Disclosed is a measles virus mutant gene coding for a measles virus mutant     H protein antigen, wherein said gene coding for a measles virus mutant H     protein antigen is at least one member selected from the group consisting     of the following genes (a) to (c): (a) a gene coding for an amino acid     sequence of SEQ ID NO: 10; (b) a gene coding for an amino acid sequence of     SEQ ID NO: 3 or SEQ ID NO: 11; and (c) a gene coding for an amino acid     sequence of SEQ ID NO: 4 or SEQ ID NO: 12. By the use of the measles virus     mutant gene of the present invention, it has become possible to provide     efficiently and economically a gene vaccine which is adapted for an     epidemic strain of measles virus, and a diagnostic reagent capable of     accurately detecting infections with an epidemic strain of measles virus.</t>
  </si>
  <si>
    <t>US6527712</t>
  </si>
  <si>
    <t>Auditing public health</t>
  </si>
  <si>
    <t>09/583941</t>
  </si>
  <si>
    <t>IPG HEALTHCARE 501 LIMITED</t>
  </si>
  <si>
    <t>IPG HEALTHCARELIMITED</t>
  </si>
  <si>
    <t>Michael Wayne Brown, Kelvin Roderick Lawrence, Michael A. Paolini</t>
  </si>
  <si>
    <t>G16H 50/80 (20180101); G16H 10/20 (20180101); Y10S 128/923 (20130101)</t>
  </si>
  <si>
    <t>Multiple health profiles from multiple personal health monitoring systems     are compiled. The multiple personal health monitoring systems each monitor     a current health profile including physical parameters and environmental     parameters indicative of the current health of one of multiple users. The     physical parameters and environmental parameters of each of the multiple     health profiles are compared to determine health affecting factors for the     multiple users, such that health affecting factors of public health are     audited.</t>
  </si>
  <si>
    <t>US6475531</t>
  </si>
  <si>
    <t>Safe botanical drug for treatment and prevention of influenza and     increasing immune function</t>
  </si>
  <si>
    <t>09/795012</t>
  </si>
  <si>
    <t>BIOTEC GMBH &amp; CO., PRODUKTIONS - U. MARKETING KG</t>
  </si>
  <si>
    <t>BIOTEC</t>
  </si>
  <si>
    <t>Yaguang Liu</t>
  </si>
  <si>
    <t>A61K 31/404 (20130101); A61K 31/715 (20130101); A61K 31/715 (20130101); A61K 2300/00 (20130101)</t>
  </si>
  <si>
    <t>This invention relates to new safe botanical drug, which is used for     treatment and prevention of influenza and increasing immune function.     Specifically, this invention provides a method for producing pure     Banlangensu (PBLG), BLG's Polysaccharide and Isatin B.</t>
  </si>
  <si>
    <t>US6428970</t>
  </si>
  <si>
    <t>Anthony De Vico, Alfredo Garzino-Demo, Robert C. Gallo</t>
  </si>
  <si>
    <t>C12Q 1/703 (20130101); A61P 31/18 (20180101); A61P 37/04 (20180101); C07K 14/521 (20130101); A61K 48/00 (20130101); A61K 38/00 (20130101); C07K 2319/00 (20130101)</t>
  </si>
  <si>
    <t>US6410031</t>
  </si>
  <si>
    <t>Attentuated porcine reproductive and respiratory syndrome virus strain and     method of use</t>
  </si>
  <si>
    <t>09/448427</t>
  </si>
  <si>
    <t>TEMASEK LIFE SCIENCES LABORATORY LIMITED</t>
  </si>
  <si>
    <t>TEMASEK LIFE SCIENCES LABORATORY</t>
  </si>
  <si>
    <t>Jimmy Kwang, Te Hung Chang</t>
  </si>
  <si>
    <t>A61K 39/12 (20130101); C12N 7/00 (20130101); C12N 2770/10034 (20130101); C12N 2770/10064 (20130101); A61K 2039/5254 (20130101); A61K 2039/552 (20130101)</t>
  </si>
  <si>
    <t>Porcine reproductive and respiratory syndrome (PRRS), which has also been     termed mystery swine disease, swine infertility and respiratory syndrome     (SIRS), and porcine epidemic abortion and respiratory syndrome (PEARS),     induces severe disease in pigs and causes considerable economic loss to     farmers. The pathology of PRRS is characterized by severe reproductive     failure in sows, mild to severe respiratory distress, increased mortality     in weaning pigs, conjunctivitis, and lymphnode enlargement. The pathogen     responsible for PRRS is an enveloped RNA virus belonging to the     Arterivirus group within the Togaviridae family. The PRRS viruses are     single stranded RNA viruses having a viral genome of positive polarity and     a size of approximately 15 kb. The positive-strand RNA genome possesses at     least three major structural proteins designated N, M, and E. The PRRS     viruses exist as a quasispecies and display considerable genotypic and     phenotypic heterogeneity. The present invention is directed toward the     isolation, characterization, and utilization of a novel PRRS viral isolate     designated JK-100.</t>
  </si>
  <si>
    <t>US6395541</t>
  </si>
  <si>
    <t>Methods for the identification of compounds capable of inhibiting HIV-1     viral replication employing murine cell lines expressing human     topoisomerase I</t>
  </si>
  <si>
    <t>William W. Hall, Hidehiro Takahashi</t>
  </si>
  <si>
    <t>A61K 31/7064 (20130101); A61K 31/7076 (20130101); A61K 31/708 (20130101); C12Q 1/703 (20130101); A61K 31/7072 (20130101); A61P 31/18 (20180101)</t>
  </si>
  <si>
    <t>The present invention relates to therapeutic protocols and pharmaceutical     compositions designed to target topo I for the treatment of HIV infection.     The invention relates to therapeutic modalities and pharmaceutical     compositions for the treatment of HIV-infection using human topo I and its     interaction with HIV gag and RT as a target for intervention. The     invention further relates to the use of human topo I to enhance the     activity of RT. The present invention also relates to the expression of     human topo I in transgenic animals, in particular mice, as a system to     study the HIV life cycle and to screen agents for their ability to     interfere with the HIV life cycle.</t>
  </si>
  <si>
    <t>US6387373</t>
  </si>
  <si>
    <t>Vaccines containing paucilsmellar lipid vesicles as immunological adjuvants</t>
  </si>
  <si>
    <t>08/840034</t>
  </si>
  <si>
    <t>D. Craig Wright, Donald F. H. Wallach</t>
  </si>
  <si>
    <t>A61K 9/1272 (20130101); A61K 39/145 (20130101); A61K 39/39 (20130101); A61K 39/12 (20130101); A61K 2039/55555 (20130101); A61K 2039/5252 (20130101); A61K 2039/543 (20130101); C12N 2760/16134 (20130101); C12N 2760/16234 (20130101)</t>
  </si>
  <si>
    <t>The present invention features an adjuvanted vaccine, and methods for     preparing an adjuvanted vaccine, preferably for immunizing against     influenza, where the adjuvant is a lipid vesicle, and preferably is a     nonphospholipid, paucilamellar lipid vesicle. The antigen may be     encapsulated in the central cavity of the adjuvant, or mixed in solution     with the adjuvant. Moreover, the adjuvant may carry a secondary adjuvant     to further improve the immune response.</t>
  </si>
  <si>
    <t>US6287759</t>
  </si>
  <si>
    <t>08/471971</t>
  </si>
  <si>
    <t>US6277380</t>
  </si>
  <si>
    <t>Measles virus mutant antigen</t>
  </si>
  <si>
    <t>09/230944</t>
  </si>
  <si>
    <t>RESEARCH FOUNDATION FOR MICROBIAL DISEASES OF OSAKA UNIVERSITY, THE</t>
  </si>
  <si>
    <t>RESEARCH FOUNDATION FOR MICROBIAL DISEASES OSAKA UNIVERSITY</t>
  </si>
  <si>
    <t>Disclosed is a measles virus mutant antigen consisting essentially of a     measles virus mutant H protein antigen, wherein said measles virus mutant     H protein antigen is at least one member selected from the group     consisting of the following amino acid sequences (a) to (c): (a) an amino     acid sequence of SEQ ID NO: 10; (b) an amino acid sequence of SEQ ID NO: 3     or SEQ ID NO: 11; and (c) an amino acid sequence of SEQ ID NO. 4 or SEQ ID     NO: 12 By the use of the measles virus mutant antigen of the present     invention, it has become possible to provide efficiently and economically     a live attenuated measles vaccine which is adapted for an epidemic strain     of measles virus, and a diagnostic reagent capable of accurately detecting     infections with an epidemic strain of measles virus.</t>
  </si>
  <si>
    <t>US6245532</t>
  </si>
  <si>
    <t>Method for producing influenza hemagglutinin multivalent vaccines</t>
  </si>
  <si>
    <t>09/169027</t>
  </si>
  <si>
    <t>310, LLC</t>
  </si>
  <si>
    <t>310</t>
  </si>
  <si>
    <t>Gale E. Smith, Franklin Volvovitz, Bethanie E. Wilkinson, Andrei I. Voznesensky, Craig S. Hackett</t>
  </si>
  <si>
    <t>C07K 14/005 (20130101); A61K 39/00 (20130101); C07K 2319/00 (20130101); C07K 2319/02 (20130101); C07K 2319/035 (20130101); C07K 2319/036 (20130101); C07K 2319/40 (20130101); C07K 2319/91 (20130101); C12N 2710/14143 (20130101); C12N 2760/16122 (20130101); C12N 2760/16222 (20130101); Y10S 977/917 (20130101)</t>
  </si>
  <si>
    <t>A method of preparing a recombinant influenza vaccine using DNA technology     is provided. The resulting vaccine is a multivalent, preferably trivalent,     influenza vaccine based on a mixture of recombinant hemagglutinin antigens     cloned from influenza viruses having epidemic potential. The recombinant     hemagglutinin antigens are full length, uncleaved (HA0), glycoproteins     produced from baculovirus expression vectors in cultured insect cells and     purified under non-denaturing conditions. The recombinant vaccine can be     developed from primary sources of influenza, for example, nasal secretions     from infected individuals, rather than from virus adapted to and cultured     in chicken eggs. The process for cloning influenza hemagglutinin genes     from influenza A and B viruses uses specially designed oligonucleotide     probes and PCR. In the preferred embodiment, the cloned HA genes are then     modified by deletion of the natural hydrophobic signal peptide sequences     and replacing them with a new baculovirus signal peptide. A general     approach for the efficient extraction and purification of recombinant HA     protein produced in insect cells is also disclosed for the purification of     rHA proteins from A sub-types and B type influenza viruses. The procedure     produces substantially pure rHA which is a biologically active     hemagglutinin, non-denatured, and suitable as a component in human or     other animal influenza vaccines.</t>
  </si>
  <si>
    <t>US6238337</t>
  </si>
  <si>
    <t>Medical non-intrusive prevention based on network of embedded systems</t>
  </si>
  <si>
    <t>09/350626</t>
  </si>
  <si>
    <t>Nanda Kambhatla, Dimitri Kanevsky, Wlodek W. Zadrozny, Alexander Zlatsin</t>
  </si>
  <si>
    <t>A61B 5/0002 (20130101); G16H 50/80 (20180101); G06Q 50/24 (20130101)</t>
  </si>
  <si>
    <t>The invention detects signs of emerging illness, such as flu, skin cancer,     backache, etc., among the general population and individuals. The     detection of symptoms of illness is performed through the utilization of     embedded devices equipped with various sensors, such as cameras, glasses,     wrist watches, TVs, fire warning systems, and having the ability to     analyze the detected information and to transmit that information via     wireless and regular communication channels to a central server for a more     detailed analysis and possible action. The information about locally     detected symptoms is gathered at central location and processed to     ascertain whether there is a new epidemic of a flu, therefore enabling     early shipment of a flu vaccine which prevents the spread of the disease.</t>
  </si>
  <si>
    <t>US6225341</t>
  </si>
  <si>
    <t>Compounds and methods for synthesis and therapy</t>
  </si>
  <si>
    <t>09/288091</t>
  </si>
  <si>
    <t>Norbert W. Bischofberger, Choung U. Kim, Willard Lew, Hongtao Liu, Matthew A. Williams</t>
  </si>
  <si>
    <t>A61P 31/16 (20180101); A61P 31/12 (20180101); A61P 31/04 (20180101); A61P 43/00 (20180101); C07D 309/28 (20130101); Y02P 20/55 (20151101)</t>
  </si>
  <si>
    <t>Novel compounds are described. The compounds generally comprise an acidic     group, a basic group, a substituted amino or N-acyl and a group having an     optionally hydroxylated alkane moiety. Pharmaceutical compositions     comprising the inhibitors of the invention are also described. Methods of     inhibiting neuraminidase in samples suspected of containing neuraminidase     are also described. Antigenic materials, polymers, antibodies, conjugates     of the compounds of the invention with labels, and assay methods for     detecting neuraminidase activity are also described.</t>
  </si>
  <si>
    <t>US6221388</t>
  </si>
  <si>
    <t>Antibiotic formulation and use for bacterial infections</t>
  </si>
  <si>
    <t>09/407798</t>
  </si>
  <si>
    <t>Evan M. Hersch, Eskild A. Petersen, Richard T. Proffitt, Kevin R. Bracken, Su-Ming Chiang</t>
  </si>
  <si>
    <t>A61K 9/127 (20130101); A61K 9/1272 (20130101); A61K 31/7036 (20130101)</t>
  </si>
  <si>
    <t>A liposomal aminoglycoside formulation comprising a neutral lipid, a     negatively charged lipids and a sterol. The formulation contains     unilamellar vesicles having an average size below 100 nm. A process of     making liposomes containing an aminoglycoside is also provided. A method     is also provided for the treatment of drug susceptible and drug resistant     bacteria.</t>
  </si>
  <si>
    <t>US6207416</t>
  </si>
  <si>
    <t>08/809523</t>
  </si>
  <si>
    <t>C07H 21/00 (20130101); C07K 14/005 (20130101); C12N 7/00 (20130101); C12N 15/1131 (20130101); A61K 38/00 (20130101); A61K 39/00 (20130101); C12N 2310/3125 (20130101); C12N 2310/314 (20130101); C12N 2310/315 (20130101); C12N 2310/321 (20130101); C12N 2310/341 (20130101); C12N 2310/345 (20130101); C12N 2310/346 (20130101); C12N 2710/14143 (20130101); C12N 2770/28021 (20130101); C12N 2770/28022 (20130101); C12N 2770/28122 (20130101); C12N 2770/28123 (20130101); C12N 2310/321 (20130101); C12N 2310/3521 (20130101)</t>
  </si>
  <si>
    <t>US6133198</t>
  </si>
  <si>
    <t>Method of treating viroid infections with bioassimilable boron compounds</t>
  </si>
  <si>
    <t>09/215764</t>
  </si>
  <si>
    <t>GSF Forschungszentrum fur Umwelt und Gesundheit GmbH</t>
  </si>
  <si>
    <t>GSF FORSCHUNGSZENTRUM FUR UMWELT UND GESUNDHEIT</t>
  </si>
  <si>
    <t>Eberhard Bengsch, Antonius Kettrup, Jurgen Polster</t>
  </si>
  <si>
    <t>A01N 59/14 (20130101); A61K 31/69 (20130101); A61K 33/22 (20130101)</t>
  </si>
  <si>
    <t>A method of treating plants to raise their resistance to viroids and to     protect them from the effects of viroid infections by administering     bioassimilable boron compounds to the plants.</t>
  </si>
  <si>
    <t>US6111132</t>
  </si>
  <si>
    <t>09/208646</t>
  </si>
  <si>
    <t>BOSSE, MARK L.</t>
  </si>
  <si>
    <t>BOSSE MARK</t>
  </si>
  <si>
    <t>Choung U. Kim, Willard Lew</t>
  </si>
  <si>
    <t>C07C 233/52 (20130101); C07C 247/14 (20130101); C07D 317/46 (20130101); C07D 303/40 (20130101); A61P 43/00 (20180101); C07C 271/24 (20130101); C07D 203/26 (20130101); A61P 31/16 (20180101); A61P 31/00 (20180101); C07D 295/155 (20130101); C07C 2601/02 (20170501); C07C 2601/16 (20170501); C07C 2601/14 (20170501); C07B 2200/07 (20130101)</t>
  </si>
  <si>
    <t>Novel compounds of Formula (I) are described. R.sup.1, R.sup.2, R.sup.3,     R.sup.4, R.sup.5 and R.sup.6 are described in this specification.Synthetic intermediates and pharmaceutical compositions comprising the     inhibitors of the invention are also described. Methods of inhibiting     neuraminidase in samples suspected of containing neuraminidase are also     described. Assay methods for detecting neuraminidase activity are also     described.</t>
  </si>
  <si>
    <t>US6093794</t>
  </si>
  <si>
    <t>Isolated peptides derived from the Epstein-Barr virus containing fusion     inhibitory domains</t>
  </si>
  <si>
    <t>08/471913</t>
  </si>
  <si>
    <t>TRIMERIS, INC.</t>
  </si>
  <si>
    <t>TRIMERIS</t>
  </si>
  <si>
    <t>Shawn O'Lin Barney, Dennis Michael Lambert, Stephen Robert Petteway</t>
  </si>
  <si>
    <t>C07K 14/31 (20130101); C07K 14/285 (20130101); A61P 11/00 (20180101); C07K 5/1008 (20130101); G01N 33/5008 (20130101); A61P 37/04 (20180101); C07K 5/0817 (20130101); A61P 31/14 (20180101); A61P 31/12 (20180101); C07K 5/0808 (20130101); C07K 14/21 (20130101); A61P 31/16 (20180101); G01N 33/502 (20130101); C07K 14/22 (20130101); A61P 31/22 (20180101); C07K 14/005 (20130101); C07K 5/1013 (20130101); C07K 5/1016 (20130101); C07K 5/1024 (20130101); C07K 14/245 (20130101); C07K 5/1021 (20130101); C12N 7/00 (20130101); A61P 31/18 (20180101); C07K 5/0812 (20130101); C07K 5/101 (20130101); G01N 33/505 (20130101); C07K 5/0806 (20130101); C07K 5/0819 (20130101); G01N 33/5091 (20130101); C12N 2760/18422 (20130101); A61K 38/00 (20130101); A61K 39/00 (20130101); C12N 2760/18522 (20130101); C12N 2760/18022 (20130101); C12N 2730/10122 (20130101); A61K 2039/525 (20130101); C12N 2740/17022 (20130101); A61K 2039/6031 (20130101); C12N 2740/14022 (20130101); C12N 2760/18722 (20130101); A61K 2039/555 (20130101); C12N 2760/18122 (20130101); C07K 2319/00 (20130101); C12N 2710/16222 (20130101); A61K 2039/60 (20130101); C12N 2740/16222 (20130101); C12N 2760/16122 (20130101); C12N 2740/16122 (20130101); Y10S 530/826 (20130101); C12N 2740/13022 (20130101); C12N 2760/18622 (20130101); C12N 2740/15022 (20130101)</t>
  </si>
  <si>
    <t>The present invention relates to peptides which exhibit potent anti-retroviral activity. The peptides of the invention comprise DP178     (SEQ ID:1) peptide corresponding to amino acids 638 to 673 of the     HIV-1.sub.LAI gp41 protein, and fragments, analogs and homologs of DP178.     The invention further relates to the uses of such peptides as inhibitory     of human and non-human retroviral, especially HIV, transmission to     uninfected cells.</t>
  </si>
  <si>
    <t>US6077515</t>
  </si>
  <si>
    <t>Flagella-less borrelia</t>
  </si>
  <si>
    <t>08/696372</t>
  </si>
  <si>
    <t>Alan G. Barbour, Virgilio G. Bundoc, Adriadna Sadziene</t>
  </si>
  <si>
    <t>A61K 39/0225 (20130101); C07K 16/1207 (20130101); C12R 1/01 (20130101); C07K 14/20 (20130101); A61K 39/00 (20130101); A61K 2039/522 (20130101); Y02A 50/401 (20180101); Y02A 50/40 (20180101)</t>
  </si>
  <si>
    <t>This invention relates to flagella-less strains of Borrelia and to novel     methods for use of the microorganisms as vaccines and in diagnostic     assays. Although a preferred embodiment of the invention is directed to     Borrelia burgdorferi, the present invention encompasses flagella-less     strains of other microorganisms belonging to the genus Borrelia.     Accordingly, with the aid of the disclosure, flagella-less mutants of     other Borrelia species, e.g., B. coriacei, which causes epidemic bovine     abortion, B. anserina, which causes avian spirochetosis, and B.     recurrentis and other Borrelia species causative of relapsing fever, such     as Borrelia hermsii, Borrelia turicatae, Borrelia duttoni, Borrelia     persica, and Borrelia hispanica, can be prepared and used in accordance     with the present invention and are within the scope of the invention.     Therefore, a preferred embodiment comprises a composition of matter     comprising a substantially pure preparation of a strain of a flagella-less     microorganism belonging to the genus Borrelia.</t>
  </si>
  <si>
    <t>US6071743</t>
  </si>
  <si>
    <t>Compositions and methods for inhibiting human immunodeficiency virus     infection by down-regulating human cellular genes</t>
  </si>
  <si>
    <t>08/867314</t>
  </si>
  <si>
    <t>PPD DEVELOPMENT, LP</t>
  </si>
  <si>
    <t>PPD DEVELOPMENT</t>
  </si>
  <si>
    <t>Tanya A. Holzmayer, Stephen J. Dunn, Andrew Dayn</t>
  </si>
  <si>
    <t>C12Y 106/99003 (20130101); C12Q 1/703 (20130101); C12Q 1/68 (20130101); C12N 15/1138 (20130101); C12Y 207/0104 (20130101); C12Y 102/04002 (20130101); C07K 14/4703 (20130101); C12Y 207/01137 (20130101); C12N 15/1137 (20130101); A61P 31/18 (20180101); C12Y 301/03048 (20130101); A61K 38/00 (20130101); A61K 48/00 (20130101)</t>
  </si>
  <si>
    <t>The present invention relates to the identification of several human genes     as cellular targets for the design of therapeutic agents for suppressing     human immunodeficiency virus (HIV) infection. These genes encode     intracellular products which appear to be necessary for HIV replication,     as evidenced by an inhibition of HIV infection in cells in which the     expression of these genes is down-regulated. Therefore, inhibitors of     these genes and their encoded products may be used as therapeutic agents     for the treatment and/or prevention of HIV infection. In addition, the     invention also relates to methods for identifying additional cellular     genes as therapeutic targets for suppressing HIV infection, and methods of     using such cellular genes and their encoded products in screening assays     for selecting additional inhibitors of HIV.</t>
  </si>
  <si>
    <t>US6069249</t>
  </si>
  <si>
    <t>09/314607</t>
  </si>
  <si>
    <t>US6068973</t>
  </si>
  <si>
    <t>Methods for inhibition of membrane fusion-associated events, including     influenza virus</t>
  </si>
  <si>
    <t>08/485551</t>
  </si>
  <si>
    <t>A61P 37/04 (20180101); A61P 31/14 (20180101); C07K 5/1008 (20130101); A61P 31/18 (20180101); A61P 31/22 (20180101); C07K 5/0808 (20130101); C07K 14/005 (20130101); G01N 33/5091 (20130101); C07K 5/0812 (20130101); C07K 5/0817 (20130101); C07K 5/101 (20130101); C07K 5/1021 (20130101); G01N 33/505 (20130101); C07K 14/22 (20130101); C07K 14/245 (20130101); C07K 5/1016 (20130101); A61P 31/12 (20180101); C07K 5/1013 (20130101); A61P 31/16 (20180101); C12N 7/00 (20130101); C07K 5/1024 (20130101); C07K 14/285 (20130101); A61P 11/00 (20180101); C07K 5/0819 (20130101); G01N 33/502 (20130101); C07K 14/31 (20130101); C07K 5/0806 (20130101); C07K 14/21 (20130101); G01N 33/5008 (20130101); C12N 2760/18522 (20130101); A61K 2039/555 (20130101); C12N 2740/16222 (20130101); C12N 2710/16222 (20130101); A61K 2039/525 (20130101); C12N 2760/18422 (20130101); C12N 2740/16122 (20130101); C12N 2760/18722 (20130101); C07K 2319/00 (20130101); Y10S 530/826 (20130101); A61K 38/00 (20130101); A61K 39/00 (20130101); C12N 2760/18022 (20130101); C12N 2730/10122 (20130101); A61K 2039/60 (20130101); C12N 2740/14022 (20130101); C12N 2760/18622 (20130101); C12N 2740/17022 (20130101); C12N 2760/16122 (20130101); A61K 2039/6031 (20130101); C12N 2740/13022 (20130101); C12N 2760/18122 (20130101); C12N 2740/15022 (20130101)</t>
  </si>
  <si>
    <t>The present invention relates to peptides which exhibit potent     anti-retroviral activity. The peptides of the invention comprise DP178     (SEQ ID:1) peptide corresponding to amino acids 638 to 673 of the     HIV-1.sub.LAI gp41 protein, and fragments, analogs and homologs of DP178.     The invention further relates to the uses of such peptides as inhibitory     of human and non-human retroviral, especially HIV, transmission to     uninfected cells.</t>
  </si>
  <si>
    <t>US6060065</t>
  </si>
  <si>
    <t>Compositions for inhibition of membrane fusion-associated events,     including influenza virus transmission</t>
  </si>
  <si>
    <t>08/475668</t>
  </si>
  <si>
    <t>A61P 31/22 (20180101); C07K 14/22 (20130101); G01N 33/502 (20130101); C07K 5/0808 (20130101); G01N 33/505 (20130101); C07K 5/0817 (20130101); C07K 5/1008 (20130101); C07K 5/1016 (20130101); C07K 5/1021 (20130101); C07K 14/31 (20130101); C07K 5/0806 (20130101); A61P 37/04 (20180101); A61P 31/18 (20180101); C07K 5/101 (20130101); C07K 5/1024 (20130101); C07K 5/1013 (20130101); C07K 14/005 (20130101); C12N 7/00 (20130101); C07K 14/285 (20130101); A61P 11/00 (20180101); C07K 5/0812 (20130101); C07K 5/0819 (20130101); G01N 33/5008 (20130101); C07K 14/21 (20130101); G01N 33/5091 (20130101); C07K 14/245 (20130101); A61P 31/14 (20180101); A61P 31/16 (20180101); A61P 31/12 (20180101); C12N 2760/18722 (20130101); C12N 2760/18422 (20130101); C12N 2740/17022 (20130101); C12N 2760/16122 (20130101); C12N 2730/10122 (20130101); A61K 2039/6031 (20130101); A61K 39/00 (20130101); A61K 2039/555 (20130101); C12N 2740/16122 (20130101); C12N 2760/18622 (20130101); C12N 2760/18122 (20130101); C12N 2740/14022 (20130101); C12N 2740/15022 (20130101); Y10S 530/826 (20130101); A61K 2039/60 (20130101); C12N 2740/13022 (20130101); C07K 2319/00 (20130101); A61K 2039/525 (20130101); C12N 2740/16222 (20130101); C12N 2760/18022 (20130101); C12N 2710/16222 (20130101); C12N 2760/18522 (20130101); A61K 38/00 (20130101)</t>
  </si>
  <si>
    <t>The present invention relates to viral peptides referred to as "DP107- and     DP178-like" peptides. Specifically, the invention relates to isolated     influenza A DP107- and DP178-like peptides which are identified by     sequence search motif algorithms. The peptides of the invention exhibit     antiviral activity believed to result from inhibition of viral induced     fusogenic events.</t>
  </si>
  <si>
    <t>US6043347</t>
  </si>
  <si>
    <t>Compositions and methods for treating viral infections</t>
  </si>
  <si>
    <t>08/948782</t>
  </si>
  <si>
    <t>INNATE THERAPEUTICS LTD</t>
  </si>
  <si>
    <t>INNATE THERAPEUTICS</t>
  </si>
  <si>
    <t>Frank B. Gelder</t>
  </si>
  <si>
    <t>C07K 16/1045 (20130101); A61K 39/39 (20130101); C07K 16/1063 (20130101); A61P 31/18 (20180101); C07K 14/005 (20130101); A61P 31/12 (20180101); A61K 9/0019 (20130101); C07K 16/1054 (20130101); A61K 47/06 (20130101); A61K 38/00 (20130101); C07K 2317/34 (20130101); A61K 2039/5555 (20130101); C07K 2317/734 (20130101); C07K 2317/76 (20130101); C12N 2740/16122 (20130101)</t>
  </si>
  <si>
    <t>Methods and compositions for treatment, diagnosis, and prevention of a     virus comprise administering to a patient antibodies which react with     regions of viral proteins and result in neutralization of infectivity and     inactivation of functionally essential events in the life cycle of the     virus. The antibodies recognize viral epitopes which fail to elicit an     immune response in man when encountered through infection or naturally     through the environment. In a preferred embodiment, the invention provides     compositions and methods useful in the treatment and diagnosis of human     immunodeficiency virus (HIV) infections.</t>
  </si>
  <si>
    <t>US6043230</t>
  </si>
  <si>
    <t>09/314606</t>
  </si>
  <si>
    <t>Novel compounds are provided that comprise esters of antiviral     phosphonomethoxy nucleotide analogs with carbonates and/or carbamates     having the structure -OC(R.sup.2).sub.2 OC(O) X(R).sub.a, wherein R.sup.2     independently is H, C.sub.1 -C.sub.12 alkyl, aryl, alkenyl, alkynyl,     alkyenylaryl, alkynylaryl, alkaryl, arylalkynyl, arylalkenyl or arylalkyl     which is unsubstituted or is substituted with halo, azido, nitro or     OR.sup.3 in which R.sup.3 is C.sub.1 -C12 alkyl; X is N or O; R is     independently H, C.sub.1 -C.sub.12 alkyl, aryl, alkenyl, alkynyl,     alkyenylaryl, alkynylaryl, alkaryl, arylalkynyl, arylalkenyl or arylalkyl     which is unsubstituted or is substituted with halo, axido, nitro, --O--,     --N.dbd., --NR.sup.4 --, --N(R.sup.4).sub.2 -- or OR.sup.3, R.sup.4     independently is --H or C.sub.1 -C.sub.8 alkyl, provided that at least one     R is not H; and a is 1 or 2, with the proviso that when a is 2 and X is N,     (a) two R groups can be taken together to form a carbocycle or     oxygen-containing heterocycle, or (b) one R additionally can be OR.sup.3.     The compounds are useful as intermediates for the preparation of antiviral     compounds or oligonucleotides, or are useful for administration directly     to patients for antiviral therapy or prophylaxis. Embodiments are     particularly useful when administered orally.</t>
  </si>
  <si>
    <t>US6013263</t>
  </si>
  <si>
    <t>Measles virus peptides with antifusogenic and antiviral activities</t>
  </si>
  <si>
    <t>08/486099</t>
  </si>
  <si>
    <t>G01N 33/502 (20130101); C07K 14/21 (20130101); A61P 11/00 (20180101); A61P 31/12 (20180101); C07K 5/0812 (20130101); C07K 14/285 (20130101); C07K 14/31 (20130101); C07K 5/101 (20130101); C07K 5/1013 (20130101); C07K 5/1016 (20130101); C07K 14/22 (20130101); G01N 33/5008 (20130101); C07K 5/0819 (20130101); A61P 37/04 (20180101); C07K 5/1024 (20130101); A61P 31/18 (20180101); A61P 31/14 (20180101); G01N 33/5091 (20130101); C12N 7/00 (20130101); A61P 31/16 (20180101); C07K 14/245 (20130101); C07K 5/0817 (20130101); G01N 33/505 (20130101); C07K 5/0808 (20130101); C07K 5/1008 (20130101); A61P 31/22 (20180101); C07K 5/0806 (20130101); C07K 5/1021 (20130101); C07K 14/005 (20130101); C12N 2760/18422 (20130101); C12N 2740/16222 (20130101); A61K 38/00 (20130101); Y10S 530/826 (20130101); C07K 2319/00 (20130101); C12N 2730/10122 (20130101); C12N 2760/16122 (20130101); C12N 2760/18722 (20130101); C12N 2740/14022 (20130101); C12N 2740/13022 (20130101); C12N 2740/15022 (20130101); C12N 2760/18122 (20130101); C12N 2760/18622 (20130101); C12N 2710/16222 (20130101); C12N 2760/18022 (20130101); C12N 2760/18522 (20130101); A61K 2039/555 (20130101); A61K 2039/525 (20130101); C12N 2740/16122 (20130101); A61K 2039/60 (20130101); A61K 39/00 (20130101); C12N 2740/17022 (20130101); A61K 2039/6031 (20130101)</t>
  </si>
  <si>
    <t>US5977089</t>
  </si>
  <si>
    <t>09/187763</t>
  </si>
  <si>
    <t>Compounds are provided that comprise esters of antiviral phosphonomethoxy     nucleotide analogs with carbonates and/or carbamates having the structure     --OC(R.sup.2).sub.2 OC(O)X(R).sub.a, wherein R.sup.2 independently is H,     C.sub.1 -C.sub.12 alkyl, aryl, alkenyl, alkynyl, alkyenylaryl,     alkynylaryl, alkaryl, arylalkynyl, arylalkenyl or arylalkyl which is     unsubstituted or is substituted with halo, azido, nitro or OR.sup.3 in     which R.sup.3 is C.sub.1 -C.sub.12 alkyl; X is N or O; R is independently     H, C.sub.1 -C.sub.12 alkyl, aryl, alkenyl, alkynyl, alkyenylaryl,     alkynylaryl, alkaryl, arylalkynyl, arylalkenyl or arylalkyl which is     unsubstituted or is substituted with halo, azido, nitro, --O--, --N.dbd.,     --NR.sup.4 --, --N(R.sup.4).sub.2 -- or OR.sup.3, R.sup.4 independently is     --H or C.sub.1 -C.sub.8 alkyl, provided that at least one R is not H; and     a is 1 or 2, with the proviso that when a is 2 and X is N, (a) two R     groups can be taken together to form a carbocycle or oxygen-containing     heterocycle, or (b) one R additionally can be OR.sup.3. The compounds are     useful as intermediates for the preparation of antiviral compounds or     oligonucleotides, or are useful for administration directly to patients     for antiviral therapy or prophylaxis. Embodiments are particularly useful     when administered orally.</t>
  </si>
  <si>
    <t>US5952375</t>
  </si>
  <si>
    <t>08/606624</t>
  </si>
  <si>
    <t>A61P 31/16 (20180101); A61P 31/04 (20180101); A61P 43/00 (20180101); C07D 309/28 (20130101); A61P 31/12 (20180101); Y02P 20/55 (20151101)</t>
  </si>
  <si>
    <t>US5948918</t>
  </si>
  <si>
    <t>Biflavanoids and derivatives thereof as antiviral agents</t>
  </si>
  <si>
    <t>09/059913</t>
  </si>
  <si>
    <t>ADVANCED LIFE SCIENCE, INC.</t>
  </si>
  <si>
    <t>ADVANCED LIFE SCIENCE</t>
  </si>
  <si>
    <t>Yuh-Meei Lin, Michael T. Flavin, Ralph Schure, David E. Zembower, Gen-Xian Zhao</t>
  </si>
  <si>
    <t>C07D 311/32 (20130101); A61K 31/352 (20130101); A61P 31/22 (20180101); A61P 31/12 (20180101); A61K 31/7048 (20130101); C07D 311/30 (20130101)</t>
  </si>
  <si>
    <t>Substantially purified antiviral biflavanoids robustaflavone,     hinokiflavone, amentoflavone, agathisflavone, volkensiflavone,     morelloflavone, rhusflavanone, succedaneaflavanone, GB-1a, and GB-2a are     provided. Antiviral biflavanoid derivatives and salt forms thereof, e.g.,     robustaflavone tetrasulfate potassium salt, and methods for preparing the     same are also disclosed. Pharmaceutical compositions which include the     antiviral biflavanoids, derivatives or salts thereof are also provided.     Also disclosed is an improved method for obtaining substantially pure     robustaflavone from plant material. The biflavanoid compounds, derivatives     or salts thereof of the invention may be used in a method for treating     and/or preventing viral infections caused by viral agents such as     influenza, e.g., influenza A and B; hepatitis, e.g., hepatitis B; human     immunodeficiency virus, e.g., HIV-1; Herpes viruses (HSV-1 and HSV-2);     Varicella Zoster virus (VZV); and measles.</t>
  </si>
  <si>
    <t>US5935946</t>
  </si>
  <si>
    <t>Nucleotide analog composition and synthesis method</t>
  </si>
  <si>
    <t>08/900752</t>
  </si>
  <si>
    <t>John D. Munger, Jr., John C. Rohloff, Lisa M. Schultze</t>
  </si>
  <si>
    <t>A61P 31/12 (20180101); C07D 473/34 (20130101); C07F 9/65616 (20130101)</t>
  </si>
  <si>
    <t>The invention provides a composition comprising bis(POC)PMPA and fumaric     acid (1:1). The composition is useful as an intermediate for the     preparation of antiviral compounds, or is useful for administration to     patients for antiviral therapy or prophylaxis. The composition is     particularly useful when administered orally. The invention also provides     methods to make PMPA and intermediates in PMPA synthesis. Embodiments     include lithium t-butoxide, 9-(2-hydroxypropyl) adenine and diethyl     p-toluenesulfonylmethoxyphosphonate in an organic solvent such as DMF. The     reaction results in diethyl PMPA preparations containing an improved     by-product profile compared to diethyl PMPA made by prior methods.</t>
  </si>
  <si>
    <t>US5935597</t>
  </si>
  <si>
    <t>Drug delivery devices and methods for treatment of viral and microbial     infections and wasting syndromes</t>
  </si>
  <si>
    <t>08/874425</t>
  </si>
  <si>
    <t>VIRODENE PHARMACEUTICAL HOLDINGS (PTY)LTD</t>
  </si>
  <si>
    <t>VIRODENE PHARMACEUTICAL LTD</t>
  </si>
  <si>
    <t>Michelle Olga Patricia Giesteira Visser</t>
  </si>
  <si>
    <t>A01N 1/0215 (20130101); A61P 31/18 (20180101); A61P 31/04 (20180101); A61K 31/16 (20130101); A61K 9/7023 (20130101); A01N 1/02 (20130101); A01N 1/0221 (20130101)</t>
  </si>
  <si>
    <t>Novel drug delivery devices, methods and therapeutic compositions are     described for treating viral and microbial infections and wasting     syndromes in an animal, including a human patient. According to the     invention, a polar compound such as dimethylformamide or dimethylsulfoxide     is administered to a patient in need of treatment, preferably by a     transdermal route. The invention further provides a vaccine prepared from     antibodies harvested from the body of a patient treated by the method of     the invention for a viral infection.</t>
  </si>
  <si>
    <t>US5922695</t>
  </si>
  <si>
    <t>Antiviral phosphonomethyoxy nucleotide analogs having increased oral     bioavarilability</t>
  </si>
  <si>
    <t>08/900746</t>
  </si>
  <si>
    <t>Novel compounds are provided that comprise esters of antiviral     phosphonomethoxy nucleotide analogs with carbonates and/or carbamates     having the structure --OC(R.sup.2).sub.2 OC(O)X(R).sub.a, wherein R.sup.2     independently is H, C.sub.1 -C.sub.12 alkyl, aryl, alkenyl, alkynyl,     alkyenylaryl, alkynylaryl, alkaryl, arylalkynyl, arylalkenyl or arylalkyl     which is unsubstituted or is substituted with halo, azido, nitro or     OR.sup.3 in which R.sup.3 is C.sub.1 -C12 alkyl; X is N or O; R is     independently H, C.sub.1 -C.sub.12 alkyl, aryl, alkenyl, alkynyl,     alkyenylaryl, alkynylaryl, alkaryl, arylalkynyl, arylalkenyl or arylalkyl     which is unsubstituted or is substituted with halo, azido, nitro, --O--,     --N.dbd., --NR.sup.4 --, --N(R.sup.4).sub.2 -- or OR.sup.3, R.sup.4     independently is --H or C.sub.1 -C.sub.8 alkyl, provided that at least one     R is not H; and a is 1 or 2, with the proviso that when a is 2 and X is N,     (a) two R groups can be taken together to form a carbocycle or     oxygen-containing heterocycle, or (b) one R additionally can be OR.sup.3.     The compounds are useful as intermediates for the preparation of antiviral     compounds or oligonucleotides, or are useful for administration directly     to patients for antiviral therapy or prophylaxis. Embodiments are     particularly useful when administered orally.</t>
  </si>
  <si>
    <t>US5922282</t>
  </si>
  <si>
    <t>Super fast tuberculosis diagnosis and sensitivity testing method</t>
  </si>
  <si>
    <t>08/486500</t>
  </si>
  <si>
    <t>Inventor</t>
  </si>
  <si>
    <t>Robert S. Ledley</t>
  </si>
  <si>
    <t>C12Q 1/04 (20130101); C12Q 1/18 (20130101); G01N 2333/35 (20130101)</t>
  </si>
  <si>
    <t>Very rapid diagnosis and sensitivity testing can significantly stem the     growing Tuberculosis epidemic in the United States, caused by susceptible     AIDs patients and the occurrence of antibiotic resistant mycobacilli. Thus     I have invented an automated computerized microscope, the ATBD unit, and     slide module to diagnose and test patient's sputum by examining individual     living mycobacteria from the patient sample with no culturing required.     The diagnosis and sensitivity testing is accomplished in minutes or hours,     instead of the current weeks to months. The system inserts a plasmid,     specific for M. tuberculosis, carrying the luciferase gene into the     mycobacteria by improved electroporesis on the slide. Luminescence     indicates tuberculosis. Then the mycobacteria are bathed in antibiotics,     and if the luminescence is not turned off, the patient's bacteria are     resistant. A phage carrying the luciferase gene can also be used to infect     the M.TB. Finally, the invention can be applied to any mycobacteriological     infection to do diagnosis sensitivity testing even when the species is not     known.</t>
  </si>
  <si>
    <t>US5858368</t>
  </si>
  <si>
    <t>Vaccine comprising a baculovirus produced influenza hemagglutinin     protein fused to a second protein</t>
  </si>
  <si>
    <t>08/453848</t>
  </si>
  <si>
    <t>PROTEIN SCIENCES CORPORATION</t>
  </si>
  <si>
    <t>PROTEIN SCIENCES</t>
  </si>
  <si>
    <t>C12N 15/625 (20130101); C07K 14/005 (20130101); A61K 39/145 (20130101); C12N 15/86 (20130101); A61K 39/12 (20130101); A61K 39/00 (20130101); C12N 2710/14143 (20130101); A61K 2039/70 (20130101); Y10S 424/816 (20130101); C12N 2760/16122 (20130101); C07K 2319/40 (20130101); C07K 2319/036 (20130101); C07K 2319/91 (20130101); C12N 2760/16234 (20130101); C07K 2319/035 (20130101); C07K 2319/00 (20130101); C07K 2319/02 (20130101); C12N 2760/16134 (20130101); A61K 2039/55505 (20130101)</t>
  </si>
  <si>
    <t>A method of preparing a recombinant influenza vaccine using DNA technology     is provided. The resulting vaccine is a multivalent, preferably trivalent,     influenza vaccine based on a mixture of recombinant hemagglutinin antigens     cloned from influenza viruses having epidemic potential. The recombinant     hemagglutinin antigens are full length, uncleaved (HAO), glycoproteins     produced from baculovirus expression vectors in cultured insect cells and     purified under non-denaturing conditions. The recombinant vaccine can be     developed from primary sources of influenza, for example, nasal secretions     from infected individuals, rather than from virus adapted to and cultured     in chicken eggs. The process for cloning influenza hemagglutinin genes     from influenza A and B viruses uses specially designed oligonucleotide     probes and PCR. In the preferred embodiment, the cloned HA genes are then     modified by deletion of the natural hydrophobic signal peptide sequences     and replacing them with a new baculovirus signal peptide.</t>
  </si>
  <si>
    <t>US5853716</t>
  </si>
  <si>
    <t>Genetically engineered chimeric viruses for the treatment of diseases     associated with viral transactivators</t>
  </si>
  <si>
    <t>08/690174</t>
  </si>
  <si>
    <t>University Of Tokyo</t>
  </si>
  <si>
    <t>UNIVERSITY OF TOKYO</t>
  </si>
  <si>
    <t>Peter J. Tattersall, Susan F. Cotmore</t>
  </si>
  <si>
    <t>C07K 14/005 (20130101); C12N 15/86 (20130101); A61K 38/00 (20130101); A61K 39/00 (20130101); C07K 2319/00 (20130101); C12N 2740/16322 (20130101); C12N 2740/16334 (20130101); C12N 2750/14343 (20130101); C12N 2830/00 (20130101); C12N 2830/15 (20130101); C12N 2830/60 (20130101)</t>
  </si>
  <si>
    <t>The present invention relates to chimeric viruses, the replication of which     is regulated by a transactivation signal produced by diseased host cells.     The chimeric viruses of the invention can infect both normal and diseased     host cells. However, the chimeric virus replicates efficiently in and     kills diseased host cells that produce the transactivation signal. The use     of such chimeric viruses to treat infectious diseases and cancers are     described. A particularly useful embodiment involves the modification of a     murine parvovirus that infects human T cells to generate a chimeric     parvovirus that is cytocidal to human T cells that express HIV-tat. The     chimeric parvovirus can be used to treat HIV-infection.</t>
  </si>
  <si>
    <t>US5840565</t>
  </si>
  <si>
    <t>Methods for enhancing the production of viral vaccines in PKR-deficient     cell culture</t>
  </si>
  <si>
    <t>08/700198</t>
  </si>
  <si>
    <t>Allan S. Lau</t>
  </si>
  <si>
    <t>C07K 14/555 (20130101); C12N 7/00 (20130101); C12N 9/1205 (20130101); C12N 15/1137 (20130101); C12N 15/67 (20130101); C12P 21/02 (20130101); C12Q 1/18 (20130101); A61K 38/00 (20130101); C12N 2310/111 (20130101); C12N 2710/16643 (20130101); C12N 2770/32051 (20130101)</t>
  </si>
  <si>
    <t>Methods for enhancing the production of viral vaccines in animal cell     culture are described. These methods rely on the manipulation of the     cellular levels of certain interferon induced antiviral activities, in     particular, cellular levels of double-stranded RNA (dsRNA) dependent     kinase (PKR), PKR-deficient cells are obtained by a) transfecting a parent     cell line with a PKR antisense polynucleotide; b) unaided uptake into a     cell line by culturing said cell line in the presence of a PKR antisense     polynucleotide; c) transfection of a parent cell line with a PKR dominant     negative mutant; or d) culturing a cell line in the presence of     2-aminopurine. In cell cultures deficient for PKR, viral yield is enhanced     by several orders of magnitude over cell cultures with normal levels of     these proteins making these cell cultures useful for the production of     viral vaccines.</t>
  </si>
  <si>
    <t>US5804440</t>
  </si>
  <si>
    <t>Human neutralizing monoclonal antibodies to human immunodeficiency virus</t>
  </si>
  <si>
    <t>08/899575</t>
  </si>
  <si>
    <t>Dennis R. Burton, Carlos F. Barbas, Richard A. Lerner</t>
  </si>
  <si>
    <t>C07K 16/1063 (20130101); A61K 51/10 (20130101); A61K 49/16 (20130101); C07K 16/40 (20130101); A61P 31/12 (20180101); A61K 38/00 (20130101); C07K 2317/55 (20130101); C07K 2319/00 (20130101)</t>
  </si>
  <si>
    <t>The present invention describes human monoclonal antibodies which     immunoreact with and neutralize human immunodeficiency virus (HIV). Also     disclosed are immunotherapeutic and diagnostic methods of using the     monoclonal antibodies, as well as cell line for producing the monoclonal     antibodies.</t>
  </si>
  <si>
    <t>US5762939</t>
  </si>
  <si>
    <t>Method for producing influenza hemagglutinin multivalent vaccines using     baculovirus</t>
  </si>
  <si>
    <t>08/120607</t>
  </si>
  <si>
    <t>Gale Eugene Smith, Franklin Volvovitz, Bethanie Eident Wilkinson, Craig Stanway Hackett</t>
  </si>
  <si>
    <t>A61K 39/12 (20130101); C12N 15/86 (20130101); A61K 39/145 (20130101); C12N 15/625 (20130101); C07K 14/005 (20130101); C07K 2319/40 (20130101); C07K 2319/02 (20130101); C07K 2319/00 (20130101); A61K 39/00 (20130101); C07K 2319/91 (20130101); A61K 2039/55505 (20130101); C12N 2760/16122 (20130101); C07K 2319/035 (20130101); C07K 2319/036 (20130101); A61K 2039/70 (20130101); C12N 2760/16234 (20130101); C12N 2710/14143 (20130101); C12N 2760/16134 (20130101); Y10S 424/816 (20130101)</t>
  </si>
  <si>
    <t>A method of preparing a recombinant influenza vaccine using DNA technology     is provided. The resulting vaccine is a trivalent influenza vaccine based     on a mixture of recombinant hemagglutinin antigens cloned from influenza     viruses having epidemic potential. The recombinant hemagglutinin antigens     are full length, uncleaved (HA0), glycoproteins produced from baculovirus     expression vectors in cultured insect cells and purified under     non-denaturing conditions. The process for cloning influenza hemagglutinin     genes from influenza A and B viruses uses specially designed     oligonucleotide probes and PCR. The cloned HA genes are then modified by     deletion of the natural hydrophobic signal peptide sequences and replacing     them with a new baculovirus signal peptide. A general approach for the     efficient extraction and purification of recombinant HA protein produced     in insect cells is also disclosed which can be adapted for the     purification of rHA proteins from A sub-types and B type influenza     viruses. The procedure produces substantially pure rHA which is a     biologically active hemagglutinin, non-denatured, and suitable as a     component in human or other animal influenza vaccines.</t>
  </si>
  <si>
    <t>US5652138</t>
  </si>
  <si>
    <t>08/276852</t>
  </si>
  <si>
    <t>C07K 16/1063 (20130101); A61K 49/16 (20130101); A61P 31/12 (20180101); C07K 16/40 (20130101); A61K 51/10 (20130101); A61K 38/00 (20130101); C07K 2317/55 (20130101); C07K 2319/00 (20130101)</t>
  </si>
  <si>
    <t>US5585102</t>
  </si>
  <si>
    <t>08/124290</t>
  </si>
  <si>
    <t>This invention relates to flagella-less strains of Borrelia to novel     methods for use of the microorganisms as vaccines and in diagnostic     assays. Although a preferred embodiment of the invention is directed to     Borrelia burgdorferi, the present invention encompasses flagella-less     strains of other microorganisms belonging to the genus Borrelia.     Accordingly, with the aid of the disclosure, flagella-less mutants of     other Borrelia species, e.g., B. coriacei, which causes epidemic bovine     abortion, B. anserina, which causes avian spirochetosis, and B.     recurrentis and other Borrelia species causative of relapsing fever, such     as Borrelia hermsii, Borrelia turicatae, Borrelia duttoni, Borrelia     persica, and Borrelia hispanica, can be prepared and used in accordance     with the present invention and are within the scope of the invention.     Therefore, a preferred embodiment comprises a composition of matter     comprising a substantially pure preparation of a strain of a flagella-less     microorganism belonging to the genus Borrelia.</t>
  </si>
  <si>
    <t>US5436000</t>
  </si>
  <si>
    <t>07/641143</t>
  </si>
  <si>
    <t>Alan G. Barbour, Virgilio Bundoc</t>
  </si>
  <si>
    <t>US4871659</t>
  </si>
  <si>
    <t>Reagent for detecting non-A, non-B viral hepatitis (NANBH) and an     immunoenzymatic method for detecting NANBH antigens in fecal extracts</t>
  </si>
  <si>
    <t>07/035172</t>
  </si>
  <si>
    <t>Jacques Pillot</t>
  </si>
  <si>
    <t>G01N 33/5767 (20130101); Y10S 435/81 (20130101); Y10S 436/808 (20130101); Y10S 436/82 (20130101)</t>
  </si>
  <si>
    <t>Anti-NANBH (anti-non-A, non-B hepatitis) antibody comprises IgM isolated     from sera of monkeys artificially infected with extracts of feces from     patients known to be suffering from epidemic NANB hepatitis. A process for     isolating an antibody of this type is provided. A reagent for detecting     epidemic NANB hepatitis comprises the anti-NANBH IgM fixed to a solid     support. The reagent is useful for diagnosing epidemic NANB viral     hepatitis by forming an immunological complex between the anti-NANBH IgM     and antigen in a fecal extract from a patient being diagnosed, and then     incubating the immunological complex with enzyme-labeled IgG from serum of     a human convalescing from epidemic NANBH. The complex is detected by     developing the enzyme.</t>
  </si>
  <si>
    <t>US4206287</t>
  </si>
  <si>
    <t>Vaccines and their preparation</t>
  </si>
  <si>
    <t>05/739505</t>
  </si>
  <si>
    <t>AGENCE NATIONALE DE VALORISATION DE LA RECHERCHE (ANVAR), AN AGENCY OF FRANCE</t>
  </si>
  <si>
    <t>AGENCE NATIONALE VALORISATION LA RECHERCHE</t>
  </si>
  <si>
    <t>Claude Hannoun, Stephen F. de St. Groth</t>
  </si>
  <si>
    <t>A61K 39/145 (20130101); A61K 39/12 (20130101); A61K 2039/5252 (20130101); A61K 2039/55566 (20130101); C12N 2760/16134 (20130101)</t>
  </si>
  <si>
    <t>A vaccine for epidemic influenza. An antigen and compositions comprising     same which create antibodies in animals and humans effective against Hong     Kong subtype influenza. Methods for creating virus types having the     desired antigenic properties. The vaccine causes immunity against the     forthcoming Hong Kong subtype influenza.</t>
  </si>
  <si>
    <t>US11376320</t>
  </si>
  <si>
    <t>Immunogenic and vaccine compositions against SARS-CoV-2</t>
  </si>
  <si>
    <t>Michael Wan  Cho</t>
  </si>
  <si>
    <t xml:space="preserve">A61K39/12; A61K39/215; A61P31/14; C07K14/001; C07K14/165; C07K14/165; A61K2039/545; A61K2039/55505; A61K2039/55583; C07K2319/02; C07K2319/21; C12N2770/20034; </t>
  </si>
  <si>
    <t>Disclosed herein are immunogenic and/or vaccine compositions and methods for treating or preventing Severe acute respiratory syndrome (SARS). The compositions and methods include an immunogenic portion of the receptor-binding domain (RBD) of the SARS-CoV-2-2 (COVID-19) spike protein. In at least particular cases, a mutated version of a portion of the RBD is utilized, such as a deglycosylated, or amino acid substituted mutant of the spike protein.</t>
  </si>
  <si>
    <t>US11328823</t>
  </si>
  <si>
    <t>Wearable device for reducing exposure to pathogens of possible contagion</t>
  </si>
  <si>
    <t>Steven W  Goldstein</t>
  </si>
  <si>
    <t xml:space="preserve">A61B5/002; A61B5/117; A61B5/6801; A61B5/6898; A61B5/742; A61B5/742; A61B5/7455; A61B5/7455; A61B5/746; A61B5/7475; G06N20/00; G16H10/60; G16H30/40; G16H40/63; G16H40/67; G16H50/20; G16H50/20; G16H50/30; G16H50/30; G16H50/70; G16H50/80; G16H50/80; A61B5/4845; A61B2562/0228; A61B2562/0257; </t>
  </si>
  <si>
    <t>A wearable device for reducing exposure to pathogens of possible contagion includes a detection component configured to detect a proximate subject in relation to a user wherein the user is in possession of the wearable device, a data input component configured to capture data relating to the proximate subject, wherein the data relating to the currently proximate subject further comprises an inoculation status of the currently proximate subject, a processor configured to calculate a degree of transmission threat between the user and the proximate subject, wherein calculating the degree of transmission threat further comprises identifying a pathogen of possible contagion, locating a reproduction rate for the pathogen of possible contagion, calculating the degree of transmission threat as a function of the data input component and the reproduction rate, and a user-signaling component configured to generate an output as a function of the degree of transmission threat.</t>
  </si>
  <si>
    <t>US11327087</t>
  </si>
  <si>
    <t>Automated driving of an assay with spaced magnets</t>
  </si>
  <si>
    <t>Iii Leo  Linbeck, Jr Javier Trinidad  Garza, Robert Patrick  Garr, Dev  Chatterjee</t>
  </si>
  <si>
    <t xml:space="preserve">G01N35/00871; G01N35/0098; G01N35/0098; G01N2035/00534; G01N2035/00564; </t>
  </si>
  <si>
    <t>The invention herein relates to conducting assays with an apparatus including a substantially transparent assay cartridge loaded with magnetic beads, and a magnets positioned in a platform above and below the assay cartridge. The assay cartridge includes magnetic beads, sample and control solutions in some wells, and assay reagents in others. A microcomputer controls a linear actuator which moves the magnet platform causing the magnetic beads to travel from one well to another and to oscillate within a well. At assay completion, the cartridge will generate a signal representing a test result, which is then sent to a server through a wireless transmission system.</t>
  </si>
  <si>
    <t>US11326182</t>
  </si>
  <si>
    <t>Compositions for the treatment of disease</t>
  </si>
  <si>
    <t>16/097418</t>
  </si>
  <si>
    <t>Steven  Paul, Donna T  Ward</t>
  </si>
  <si>
    <t xml:space="preserve">C07K16/00; C07K16/00; C07K16/18; C12N15/86; C12N15/86; A61K48/00; C07K2317/14; C07K2319/095; C07K2319/095; C07K2319/50; C07K2319/50; C12N2750/14143; C12N2750/14143; C12N2840/203; C12N2840/203; </t>
  </si>
  <si>
    <t>The invention provides compositions and methods for the preparation, manufacture and therapeutic use of viral vectors, such as adeno-associated virus (AAV) particles having viral genomes encoding one or more antibodies or antibody fragments or antibody like polypeptides, for the prevention and/or treatment of diseases and/or disorders.</t>
  </si>
  <si>
    <t>US11325979</t>
  </si>
  <si>
    <t>Treatment of cytokine release syndrome with GM-CSF antagonists</t>
  </si>
  <si>
    <t>Joe  Pirrello, John  Paolini, Eben  Tessari</t>
  </si>
  <si>
    <t xml:space="preserve">A61K31/573; A61K31/685; A61K39/3955; A61P11/00; A61P11/06; A61P31/14; C07K16/243; C07K16/2866; C07K16/2866; A61K2039/545; C07K2317/565; </t>
  </si>
  <si>
    <t>The present invention provides, among other things, a method of treating a subject with infection-induced hyperinflammation comprising administering to the subject a granulocyte-macrophage colony-stimulating factor (GM-CSF) antagonist at a therapeutically effective dose and an administration interval for a treatment period sufficient to improve, stabilize or reduce one or more symptoms of hyperinflammation. The present invention also provides, among other things, a method of inhibiting or reducing cytokine release syndrome (CRS) or acute respiratory distress syndrome (ARDS) in a subject comprising administering to the subject a granulocyte-macrophage colony-stimulating factor (GM-CSF) antagonist at a therapeutically effective dose and an administration interval for a treatment period sufficient to improve, stabilize or reduce one or more symptoms of CRS or ARDS.</t>
  </si>
  <si>
    <t>US11324974</t>
  </si>
  <si>
    <t>Face mask</t>
  </si>
  <si>
    <t>Devin Kerry  Hubbard, Nicole Lewis  Wiley, Ethan John  Smith</t>
  </si>
  <si>
    <t xml:space="preserve">A41D13/1161; A41D13/1161; A62B7/10; A62B18/02; A62B18/082; A62B18/084; A62B18/084; A62B23/025; A62B23/025; B01D39/083; B01D39/16; B01D39/1623; B01D46/0005; B01D2239/0435; B01D2239/0478; B01D2239/0622; B01D2239/0622; B01D2239/0627; B01D2239/0627; B01D2239/0681; B01D2279/65; </t>
  </si>
  <si>
    <t>Face mask devices, systems, and methods of use include a frame that holds a suitable filter material, including a face mask, over the user's face to form a seal and prevent unfiltered air from being inhaled through the nose or mouth of the user without first passing through the filter material. The frame is removably attached over the users face by, for example, adjustable straps. The frame may be adjustable in size to be suitable for use on user's having different facial sizes, shapes, and/or geometries.</t>
  </si>
  <si>
    <t>US11324766</t>
  </si>
  <si>
    <t>2'-fucosyllactose for the prevention and treatment of coronavirus-induced inflammation</t>
  </si>
  <si>
    <t>Ardythe L  Morrow, David S  Newburg, John M  Mccoy</t>
  </si>
  <si>
    <t xml:space="preserve">A23L2/52; A23L2/52; A23L33/125; A23L33/21; A23L33/40; A61K9/0019; A61K9/0053; A61K9/0056; A61K9/0073; A61K9/0095; A61K31/702; A61K31/702; A61K35/74; A61K35/74; A61K35/742; A61K35/742; A61K35/744; A61K35/745; A61K35/745; A61K35/747; A61K35/747; A61K45/06; A61K45/06; A23V2002/00; A23V2002/00; A61K2035/115; </t>
  </si>
  <si>
    <t>The invention provides compositions and methods for utilizing oligosaccharides, such as isolated human milk oligosaccharides, to attenuate a respiratory pathogen infection-induced host inflammation and/or to promote recovery from a respiratory pathogen infection-induced host inflammation in a subject.</t>
  </si>
  <si>
    <t>US11324750</t>
  </si>
  <si>
    <t>Compositions and methods for the treatment of severe acute respiratory syndrome coronavirus 2 (SARS-CoV-2) infection</t>
  </si>
  <si>
    <t>Gang  Huang</t>
  </si>
  <si>
    <t xml:space="preserve">A61K9/0053; A61K31/519; A61K31/519; A61K45/06; A61P31/14; A61P31/14; A61K9/2004; A61K31/573; </t>
  </si>
  <si>
    <t>Disclosed herein are methods for treating an individual having a Severe Acute Respiratory Syndrome Coronavirus 2 (SARS-CoV-2) infection. The method may comprise administering a JAK inhibitor, for example ruxolitinib (JAKAFI®), to an individual in need thereof, such individual generally being an individual having, or suspecting of having, SARS-CoV-2 infection. The individual in need thereof may be an individual having, or suspected of having or at risk for developing SARS-CoV-2 infection-related cytokine storm. The individual in need thereof may further be an individual having, or suspected of having SARS-CoV-2 infection-related pneumonia.</t>
  </si>
  <si>
    <t>US11324559</t>
  </si>
  <si>
    <t>Robotic-assisted navigation and control for airway management procedures, assemblies and systems</t>
  </si>
  <si>
    <t>17/448843</t>
  </si>
  <si>
    <t>Vladimir  Nekhendzy, Dimitri  Sokolov</t>
  </si>
  <si>
    <t xml:space="preserve">A61B1/00006; A61B1/00009; A61B1/00096; A61B1/00105; A61B1/00133; A61B1/00135; A61B1/05; A61B1/267; A61B1/267; A61B34/20; A61B34/30; A61B90/361; A61M16/0402; A61M16/0472; A61M16/0488; A61B2017/00809; A61B2034/2059; A61B2034/2065; A61B34/30; A61B2034/301; A61B2090/309; A61B2090/371; A61B2090/3937; A61B2090/3966; </t>
  </si>
  <si>
    <t>Airway management methods, devices, assemblies and systems. Methods, devices, assemblies and systems may include robotic movement and control of an intubation tube introducer or guide, and may include utilizing image data from one or more image sensors. The methods, devices, assemblies and systems may optionally be used in endotracheal intubation procedures.</t>
  </si>
  <si>
    <t>US11324400</t>
  </si>
  <si>
    <t>Apparatus and method for automated non-contact eye examination</t>
  </si>
  <si>
    <t>17/321409</t>
  </si>
  <si>
    <t>SCINTELLITE, LLC</t>
  </si>
  <si>
    <t>SCINTELLITE</t>
  </si>
  <si>
    <t>Thomas Daniel  Raymond, Stephen W  Farrer</t>
  </si>
  <si>
    <t xml:space="preserve">A61B3/0008; A61B3/0025; A61B3/0041; A61B3/032; A61B3/102; A61B3/103; A61B3/113; A61B3/12; A61B3/135; A61B3/16; A61B3/18; G16H30/20; G16H30/40; G16H40/63; G16H40/67; G16H40/67; </t>
  </si>
  <si>
    <t>An eye measurement system includes an optical system. The eye measurement system is disposed in a housing which includes an aperture for providing light to and from the optical system and a subject's eye while the subject is separated and spaced apart from the housing, and the eye is not maintained in a fixed positional relationship with respect to the housing. An optical system movement arrangement moves the optical system. An automatic eye tracking arrangement ascertains a current positional relationship of the eye with respect to the optical system without human assistance, and in response thereto controls the optical system movement arrangement to move the optical system into a predetermined positional relationship with respect to the eye, for measurement of the eye, without human assistance. The eye measurement system can make objective, and/or subjective, refraction measurements of the eye.</t>
  </si>
  <si>
    <t>US11323570</t>
  </si>
  <si>
    <t>Multi-channel hybrid models for efficient routing</t>
  </si>
  <si>
    <t>17/389214</t>
  </si>
  <si>
    <t>INTUIT INC.</t>
  </si>
  <si>
    <t>INTUIT</t>
  </si>
  <si>
    <t>Prarit  Lamba, Clifford  Green</t>
  </si>
  <si>
    <t xml:space="preserve">G06F40/20; G06K9/6256; G06K9/6263; G06V30/40; H04M3/5191; H04M3/5233; H04M3/5235; H04M3/5238; </t>
  </si>
  <si>
    <t>Systems and methods are used to generate contact type predictions that route user customer service requests within a support platform. The contact type predictions are generated using a hybrid model that includes a deep learning component and a business logic component. The deep learning component may generate a multi-channel output based on text features and context features. The multi-channel output is modified based on one or more business rules to generate the contact type predictions.</t>
  </si>
  <si>
    <t>US11323196</t>
  </si>
  <si>
    <t>Health Risks; Outbreaks</t>
  </si>
  <si>
    <t>Systems and methods for real-time transmission of digital data using a plurality of channels</t>
  </si>
  <si>
    <t>16/167160</t>
  </si>
  <si>
    <t>TELETRACKING TECHNOLOGIES, INC.</t>
  </si>
  <si>
    <t>TELETRACKING</t>
  </si>
  <si>
    <t>Scott  Newton, Jason  Spector</t>
  </si>
  <si>
    <t xml:space="preserve">G16H40/20; H04B7/0417; H04J3/1682; H04L67/01; H04L69/329; H04M11/068; H04Q11/04; </t>
  </si>
  <si>
    <t>Disclosed embodiments include systems, methods, and media for receiving and transmitting digital data over a plurality of channels. Disclosed embodiments may include receiving data from a plurality of sources through one or more networks. Disclosed embodiments may also include assigning a geographic area to the data from the plurality of sources, the geographic area corresponding to one or more locations associated with the data. Additionally, disclosed embodiments may include determining health effects for a predetermined location based on the data and its associated geographic locations. Further, disclosed embodiments may include generating, by querying a predetermined response database, instructions that address the determined health affects for the predetermined location, the instructions including an action and an associated device. And, disclosed embodiments may include transmitting, to the associated device, the action associated with the instructions.</t>
  </si>
  <si>
    <t>US11322260</t>
  </si>
  <si>
    <t>Using predictive models to predict disease onset and select pharmaceuticals</t>
  </si>
  <si>
    <t>17/372020</t>
  </si>
  <si>
    <t>VIGNET INCORPORATED</t>
  </si>
  <si>
    <t>VIGNET</t>
  </si>
  <si>
    <t>Praduman  Jain, Josh  Schilling, Dave  Klein</t>
  </si>
  <si>
    <t xml:space="preserve">G16H10/20; G16H50/20; G16H50/20; G16H50/30; G16H50/30; G16H50/80; G16H50/80; H04W4/021; H04W4/021; H04W4/029; H04W4/029; H04W4/185; H04W4/185; Y02A90/10; </t>
  </si>
  <si>
    <t>Methods, systems, and apparatus, including computer programs encoded on computer-storage media, for collecting monitoring data and predicting outcomes for communities. In some implementations, monitoring data is received, including location tracking data that indicates locations visited by individuals in a community. Community data for the community that describes characteristics of the community and a geographic region associated with the community is received. One or more predictive models are used to evaluate regions for potential for transmission of a disease based on behavior patterns of individuals in the community. The one or more predictive models can be models trained based on training data describing a plurality of different communities and behavior patterns and disease outcomes of individuals in the different communities over time.</t>
  </si>
  <si>
    <t>US11322236</t>
  </si>
  <si>
    <t>Data abstraction system architecture not requiring interoperability between data providers</t>
  </si>
  <si>
    <t>16/926149</t>
  </si>
  <si>
    <t>PRECIS, LLC</t>
  </si>
  <si>
    <t>PRECIS</t>
  </si>
  <si>
    <t>Jonathan M  Mcallister, Neil R  Zamora, Marjun Padrilanan  Makinano, Stephanie A  Kellogg, Paul K  Davis, Craiger J  Scheuer</t>
  </si>
  <si>
    <t xml:space="preserve">G06F9/547; G06F16/212; G06F16/2379; G06F16/2468; G06F16/258; G06F21/602; G16H10/60; H04L63/08; </t>
  </si>
  <si>
    <t>Described are data abstraction systems, methods, and media for aggregating and abstracting data records from data providers, which are not substantially interoperable with each other. Features include data provider connector modules dynamically loaded, based on definitions stored on disk, that facilitate data mapping and individual matching.</t>
  </si>
  <si>
    <t>US11321988</t>
  </si>
  <si>
    <t>Processing device for currency bills and a method of use thereof</t>
  </si>
  <si>
    <t>Mahbub Alam  Siddiqui</t>
  </si>
  <si>
    <t xml:space="preserve">A61L2/10; G07D11/18; G07D11/50; A61L2202/11; A61L2202/122; A61L2202/14; A61L2202/26; G07D2211/00; </t>
  </si>
  <si>
    <t>A currency bill processing device for counting, denominating, discriminating, and/or sorting the currency bills and subsequently disinfecting the currency bills without any manual intervention. The currency bill processing device can process the currency bills at a speed of up to 1000 bills per minute. The currency bill processing device includes one or more elongated UV-C LED strips mounted on a rigid aluminum or copper base which can be mounted on an outer or exposed side of a support plate or reject receptacle plate or stacker guide bar plate located at the end of the currency bill conveying path. A disinfection unit of the currency bill processing device including the elongated UV-C LED strip that can activate and deactivate with turning-on and -off of the currency bill conveying mechanism respectively.</t>
  </si>
  <si>
    <t>US11321843</t>
  </si>
  <si>
    <t>Adaptive machine learning system for image based biological sample constituent analysis</t>
  </si>
  <si>
    <t>17/136455</t>
  </si>
  <si>
    <t>REWIRE NEURO, INC.</t>
  </si>
  <si>
    <t>REWIRE NEURO</t>
  </si>
  <si>
    <t>John Hoehn  Harkness, Grant W  Wade, William M  O'keeffe, Robert Pascal  Harkness, Colton V  King, Kristy Jo  Lawton</t>
  </si>
  <si>
    <t xml:space="preserve">G06K9/6256; G06N20/00; G06T7/0014; G06T7/20; G06T7/70; G06T7/90; G06T11/00; G10L15/22; G10L15/26; G06T2200/24; G06T2207/10016; G06T2207/20081; G06T2207/30024; </t>
  </si>
  <si>
    <t>Systems and methods for image-based biological sample constituent analysis are disclosed. For example, image data corresponding to an image having a target constituent and other constituents may be generated and utilized for analysis. The systems and processes described herein may be utilized to differentiate between portions of image data corresponding to the target constituent and other portions that do not correspond to the target constituent. Analysis of the target constituent instances may be performed to provide analytical results.</t>
  </si>
  <si>
    <t>US11321567</t>
  </si>
  <si>
    <t>Routing based on touch points</t>
  </si>
  <si>
    <t>Donta  White</t>
  </si>
  <si>
    <t xml:space="preserve">G06F16/29; G06V20/20; </t>
  </si>
  <si>
    <t>System and methods are provided for gathering touch point data related to human touches or contacts for objects or materials that are likely to carry an infection, analyzing the data, generating touch score data for objects and areas, and presenting the generated data to users for use in navigating from location to location.</t>
  </si>
  <si>
    <t>US11320434</t>
  </si>
  <si>
    <t>Method and apparatus for rapid detection of SARS-CoV-2</t>
  </si>
  <si>
    <t>Karce Daniel  Rose, Seth David  Rose, Neil Kempton  Stone</t>
  </si>
  <si>
    <t xml:space="preserve">G01N21/6428; G01N21/6428; G01N21/645; G01N33/56983; G01N33/56983; G01N2021/6439; G01N33/582; G01N2333/165; G01N2333/165; </t>
  </si>
  <si>
    <t>A method and apparatus for comfortably, rapidly, and inexpensively collecting a sample from one or more test subjects and analyzing it, singly or pooled with other samples, for presence of SARS-CoV-2. Saliva, nasal drainage, or other body fluids may be collected from one or more test subjects and examined by means of fluorimetry. Mass rapid screening for SARS-CoV-2 is a valuable public health tool to reduce the transmission of COVID-19 while permitting business activity to resume.</t>
  </si>
  <si>
    <t>US11320429</t>
  </si>
  <si>
    <t>Diagnostic devices with fluid reservoirs and associated methods and kits</t>
  </si>
  <si>
    <t>17/204756</t>
  </si>
  <si>
    <t>GLOBAL DIAGNOSTIC SYSTEMS, BENEFIT LLC</t>
  </si>
  <si>
    <t>GLOBAL DIAGNOSTIC SYSTEMS</t>
  </si>
  <si>
    <t>Wendy  Strongin, Elliott  Millenson, Carolyn S  Millenson, Weiwei  Wu, Yingmin  Fu, Shengcheng  Fu, Kuang-hsu  Cheng, William David  Postle, David Andrew  Jones, Giovanni  Ciampa, Siao Hau  Teh</t>
  </si>
  <si>
    <t xml:space="preserve">A61B10/0051; B01L3/5023; B01L3/5029; B01L3/523; G01N33/54386; G01N33/54388; G01N33/56983; G01N33/56983; A61B2010/0006; B01L2200/026; B01L2200/0621; B01L2300/047; B01L2300/0609; B01L2300/0825; B01L2300/087; B01L2400/0406; B01L2400/0683; G01N2333/165; G01N2333/165; G01N2469/10; </t>
  </si>
  <si>
    <t>Devices and associated methods for analyzing patient samples are disclosed herein. In some embodiments, a device includes a housing base configured to retain a test strip, and a housing cover configured to couple to the housing base to at least partially enclose the test strip. The housing cover can include a fluid reservoir configured to hold a solution for hydrating a sample swab. The housing can further include an aperture configured to permit transfer of a sample from the sample swab onto the test strip.</t>
  </si>
  <si>
    <t>US11319382</t>
  </si>
  <si>
    <t>Management; Vaccine; Tx</t>
  </si>
  <si>
    <t>Methods for producing and using IgY antibodies targeting the middle east respiratory syndrome coronavirus spike protein to treat or prevent MERS-CoV infection</t>
  </si>
  <si>
    <t>17/360489</t>
  </si>
  <si>
    <t>Esam Ibraheem  Azhar, Sherif Ali  El-kafrawy, Aymn Talat  Abbas, Ashraf Abdu  Tabil</t>
  </si>
  <si>
    <t xml:space="preserve">C07K14/165; C07K16/4216; A61K2039/505; A61K2039/545; C07K2317/10; C07K2317/23; C07K2317/76; </t>
  </si>
  <si>
    <t>Chicken egg yolk antibodies (IgY Abs) specific to the Middle Eastern Respiratory Syndrome coronavirus spike (MERS-CoV S) protein demonstrate efficacy against MERS-CoV infection. The S-specific IgY Abs (anti-S IgY) are produced by injecting chickens with purified a recombinant MERS-CoV S protein, S1 subunit, or an S1 fragment. The purified anti-S IgY specifically bind to the MERS-CoV S protein and inhibit infection. In vitro neutralization of the IgY Abs against MERS-CoV was achieved in cell lines and in a human-transgenic mouse model treated with a pharmaceutical composition comprising the anti-S IgY. Viral antigen-positive cells in treated mice were reduced, compared to the adjuvant-only controls. Moreover, lung cells of anti-S IgY-treated mice showed significantly reduced inflammation, compared to the controls. Efficient neutralization of MERS-CoV infection is demonstrated both in vitro and in vivo using the anti-S IgY Abs.</t>
  </si>
  <si>
    <t>US11318333</t>
  </si>
  <si>
    <t>Respiratory protection system</t>
  </si>
  <si>
    <t>17/233444</t>
  </si>
  <si>
    <t>CRS ENVIROMASK LLC</t>
  </si>
  <si>
    <t>CRS ENVIROMASK</t>
  </si>
  <si>
    <t>Christopher T  Ellerbrake</t>
  </si>
  <si>
    <t xml:space="preserve">A41D13/1184; A62B7/10; A62B9/04; A62B18/003; A62B18/006; A62B18/02; A62B18/025; A62B18/04; A62B18/084; A62B23/00; A62B23/02; A41D13/1161; </t>
  </si>
  <si>
    <t>The invention relates to a powered air-purifying respirator (PAPR) system with a transparent multi-use face shield, a foam frame attached to the interior face of the face shield, a flexible hose secured within a hole bore through the foam frame, a portable air filtering enclosure and a pump contained therein that introduces filtered air into the system through the flexible hose, and a non-woven HEPA cloth carry bag that also functions as an air filter. The face shield features a fastener system that includes flexible straps made from a transparent, flexible, non-stick, and self-adhesive releasable tape. The invention provides the user eye protection and respiratory protection from direct fluid spray, flying debris, unclean air, unhealthy airborne contaminants, including SARS-CoV-2 and other harmful viruses or pathogens.</t>
  </si>
  <si>
    <t>US11318325</t>
  </si>
  <si>
    <t>Internal ultraviolet therapy</t>
  </si>
  <si>
    <t>Ali  Rezaie, Mark  Pimentel, Gil Y  Melmed, Ruchi  Mathur, Gabriela Guimaraes Sousa  Leite</t>
  </si>
  <si>
    <t xml:space="preserve">A61N5/0603; A61N5/0603; A61N5/0624; A61N5/0624; A61N2005/0604; A61N2005/0604; A61N2005/0608; A61N2005/0609; A61N2005/061; A61N2005/0611; A61N2005/0651; A61N2005/0651; A61N2005/0661; A61N2005/0661; </t>
  </si>
  <si>
    <t>A UV light delivery device for performing intra-corporeal ultraviolet therapy is provided. The device includes an elongated body separated by a proximal end and a distal end. The device also includes a UV light source configured to be received at the receiving space. In some examples, the UV light source is configured to emit light with wavelengths with significant intensity between 320 nm and 410 nm and is utilized in conjunction with an endotracheal tube or a nasopharyngeal airway.</t>
  </si>
  <si>
    <t>US11318221</t>
  </si>
  <si>
    <t>Wearable air cleaner with ultraviolet light disinfection</t>
  </si>
  <si>
    <t>17/159099</t>
  </si>
  <si>
    <t>WADE, James Joseph</t>
  </si>
  <si>
    <t>WADE JAMES</t>
  </si>
  <si>
    <t>James Joseph  Wade</t>
  </si>
  <si>
    <t xml:space="preserve">A41D13/1184; A42B1/012; A61L9/20; A61L2209/12; A61L2209/14; </t>
  </si>
  <si>
    <t>This invention is directed to a wearable air cleaner where an air cleaning device is incorporated into a hat. The air cleaning device includes a fan unit to pull air through the device and an air filter to capture particles in the air. The air cleaning device also includes ultraviolet light to disinfect the air and pushes the filtered and disinfected air in front of the wearer for breathing.</t>
  </si>
  <si>
    <t>US11318213</t>
  </si>
  <si>
    <t>Compositions and methods for delivery of RNA</t>
  </si>
  <si>
    <t>Amit  Khandhar, Steven  Reed, Malcolm  Duthie, Jesse  Erasmus, Darrick  Carter, Bryan J  Berube</t>
  </si>
  <si>
    <t xml:space="preserve">A61K9/1075; A61K9/127; A61K9/5115; A61K9/5123; A61K31/7105; A61K31/711; A61K31/713; A61K39/12; A61K39/215; A61K39/39; A61K39/39; A61K47/02; A61K47/44; A61K47/6907; A61K47/6911; A61K47/6923; A61K49/183; A61K49/1833; A61P31/14; A61P31/14; C07K16/1081; C12N15/86; A61K2039/53; A61K2039/55505; A61K2039/55516; A61K2039/55555; A61K2039/55555; A61K2039/55561; A61K47/10; A61K47/26; A61K47/547; B82Y5/00; B82Y25/00; B82Y30/00; B82Y40/00; C12N2770/20034; C12N2770/36143; </t>
  </si>
  <si>
    <t>The disclosure provides nanoemulsion compositions and methods of making and using thereof to deliver a bioactive agent such as a nucleic acid to a subject. The nanoemulsion composition comprises a hydrophobic core based on inorganic nanoparticles in a lipid nanoparticle that allows imaging as well as delivering nucleic acids. Methods of using these particles for treatment and vaccination are also provided.</t>
  </si>
  <si>
    <t>US11318198</t>
  </si>
  <si>
    <t>MERS-CoV vaccine composition</t>
  </si>
  <si>
    <t>Anwar M  Hashem</t>
  </si>
  <si>
    <t xml:space="preserve">A61K39/12; A61K39/215; A61P31/14; A61P31/14; C07K14/005; C07K14/165; C07K14/70575; C12N15/62; C12N15/62; A61K2039/6031; C07K14/70575; C07K2319/03; C12N2770/20022; C12N2770/20034; C12N2770/20071; </t>
  </si>
  <si>
    <t>An immunogenic CD40-targeted trimeric MERS-CoV S1 fusion polypeptide as well as a corresponding polynucleotide encoding it and its use for safely inducing immune responses directed against MERS-CoV without inducing vaccine associated respiratory pathologies associated with non-targeted vaccines.</t>
  </si>
  <si>
    <t>US11318174</t>
  </si>
  <si>
    <t>Probiotics for use in the prevention or treatment of illness and/or symptoms associated with coronaviruses</t>
  </si>
  <si>
    <t>Sebastien  Guery, Markus  Lehtinen, Sinikka Anneli  Latvala, Liisa  Lehtoranta, Bryan-james  Zabel, Wesley William  Morovic, Charles  Budinoff, Scott D  Power</t>
  </si>
  <si>
    <t xml:space="preserve">A61K35/744; A61K35/744; A61K35/745; A61K35/745; A61P31/14; A61P31/14; </t>
  </si>
  <si>
    <t>This invention relates to bacterial strains, compositions comprising bacterial strains as well as methods and uses of said strains and compositions for preventing or treating illness and/or symptoms associated with a coronavirus in a subject in need thereof.</t>
  </si>
  <si>
    <t>US11318135</t>
  </si>
  <si>
    <t>Use of Favipiravir in treatment of coronavirus infection</t>
  </si>
  <si>
    <t>Wu  Zhong, Ruiyuan  Cao, Cheng  Cao, Ting  Gao, Gengfu  Xiao, Zhihong  Hu, Manli  Wang, Leike  Zhang, Song  Li</t>
  </si>
  <si>
    <t xml:space="preserve">A61K31/4965; A61K31/4965; A61K31/4965; A61K31/4965; A61P11/00; A61P11/00; A61P31/14; A61P31/14; A61P31/14; A61P31/14; </t>
  </si>
  <si>
    <t>The present application relates to a Favipiravir compound represented by Formula I, a geometric isomer, a pharmaceutically acceptable salt, a solvate and/or a hydrate thereof, and a pharmaceutical composition comprising the compound for treating a coronavirus infection.</t>
  </si>
  <si>
    <t>US11318119</t>
  </si>
  <si>
    <t>HIV protease inhibitors</t>
  </si>
  <si>
    <t>Aesop  Cho, John O  Link, Jie  Xu</t>
  </si>
  <si>
    <t xml:space="preserve">A61K31/4166; A61K31/4196; A61K31/52; A61K31/537; A61K31/5377; A61K31/553; A61K31/675; A61K31/675; A61K31/7076; A61K45/06; A61K45/06; A61P31/18; A61P31/18; C07D403/10; C07D403/10; C07D403/14; C07D403/14; </t>
  </si>
  <si>
    <t>The present disclosure provides compounds, or a pharmaceutically acceptable salt thereof as described herein, useful for treating the proliferation of the HIV virus, treating AIDS or delaying the onset of AIDS symptoms in a subject. The disclosure also provides pharmaceutical compositions comprising these compounds, processes for preparing them, therapeutic methods for treating the proliferation of the HIV virus, treating AIDS or delaying the onset of AIDS symptoms in a subject using these compounds. The present disclosure also provides compounds, or a pharmaceutically acceptable salt thereof as described herein, useful for treating the proliferation of a coronavirus, treating coronavirus symptoms or delaying the onset of coronavirus symptoms in a subject. The disclosure also provides pharmaceutical compositions comprising these compounds, processes for preparing them, therapeutic methods for treating the proliferation of a coronavirus, treating coronavirus symptoms or delaying the onset of coronavirus symptoms in a subject using these compounds.</t>
  </si>
  <si>
    <t>US11318118</t>
  </si>
  <si>
    <t>Methods and compositions for treating SARS-CoV-2 infection using carboxyamidotriazole orotate</t>
  </si>
  <si>
    <t>17/301493</t>
  </si>
  <si>
    <t>KARMALI RASHIDA A; TACTICAL THERAPEOTICS INC</t>
  </si>
  <si>
    <t>KARMALI RASHIDA TACTICAL THERAPEOTICS</t>
  </si>
  <si>
    <t>Rashida A  Karmali</t>
  </si>
  <si>
    <t xml:space="preserve">A61K31/4192; A61K45/06; A61P31/14; </t>
  </si>
  <si>
    <t>This invention provides compositions and methods for treatment of mild, moderate and severe stages of SARS-CoV-2 infection, particularly COVID-19 disease caused by wild type and mutant strains of SARS-CoV-2 using 5-amino-1-(4-(4-chlorobenzyl)-1, 2, 3-triazole-4-carboxamide orotate. Carboxyamidotriazole orotate (CTO) alone or in combination with other therapeutics in standard of clinical care are useful for directing antiviral effects and host-directed antiviral effects against wild type and mutant strains of SARS-CoV-2 throughout the viral life cycle.</t>
  </si>
  <si>
    <t>US11317906</t>
  </si>
  <si>
    <t>Suture guide and tensioning device</t>
  </si>
  <si>
    <t>16/927432</t>
  </si>
  <si>
    <t>Abeer Ayed  Alshammari</t>
  </si>
  <si>
    <t xml:space="preserve">A61B17/0483; A61B17/0493; A61B17/0493; A61B42/20; A61L31/022; A61B2017/00438; A61B2017/00438; </t>
  </si>
  <si>
    <t>A finger protector to prevent lacerations to the fingers of a surgeon during suturing. A kit comprising the finger protector and a method of using it during surgery.</t>
  </si>
  <si>
    <t>US11317060</t>
  </si>
  <si>
    <t>Individual video conferencing spaces with shared virtual channels and immersive users</t>
  </si>
  <si>
    <t>17/323137</t>
  </si>
  <si>
    <t>MMHMM INC.</t>
  </si>
  <si>
    <t>MMHMM</t>
  </si>
  <si>
    <t>Phil  Libin</t>
  </si>
  <si>
    <t xml:space="preserve">H04N5/272; H04N7/155; H04N7/157; </t>
  </si>
  <si>
    <t>Managing a video conference includes presenting, to a plurality of participants of the video conference, a channel pane containing information for the video conference that is controlled by a presenter, the channel pane being provided on a background that is visible to the plurality of participants and superimposing a dynamic image of the presenter on the background. The dynamic image of the presenter is continuously captured by a camera. Managing a video conference also includes adjusting the dynamic image of the presenter to prevent obscuring the information of the channel pane and/or to focus attention of the participants to specific information of the channel pane. The dynamic image of the presenter may be adjusted in response to the channel pane being enlarged and/or moved and/or by shrinking and/or by making the dynamic image semi-transparent. The channel pane may include a physical medium that the presenter actuates.</t>
  </si>
  <si>
    <t>US11316941</t>
  </si>
  <si>
    <t>Remotely managing and adapting monitoring programs using machine learning predictions</t>
  </si>
  <si>
    <t>17/324098</t>
  </si>
  <si>
    <t xml:space="preserve">H04L41/0816; H04L41/16; H04L67/535; </t>
  </si>
  <si>
    <t>Methods, systems, and apparatus, including computer programs encoded on a computer storage medium, for remotely managing and adapting monitoring programs using machine learning predictions. In some implementations, data describing a monitoring program that involves collecting data over a period of time from geographically distributed devices is accessed. Composition characteristics of the monitoring pro group for the monitoring program are determined. Predicted composition characteristics are generated for a portion of the monitoring group predicted to comply with the monitoring program requirements for the period of time. It is determined whether the predicted composition characteristics indicate at least a minimum level of diversity among the portion of the monitoring group. One or more devices associated with the monitoring program are communicated with.</t>
  </si>
  <si>
    <t>US11315679</t>
  </si>
  <si>
    <t>Systems and methods for prediction based care recommendations</t>
  </si>
  <si>
    <t>17/318648</t>
  </si>
  <si>
    <t>CIGNA INTELLECTUAL PROPERTY, INC.</t>
  </si>
  <si>
    <t>CIGNA INTELLECTUAL PROPERTY</t>
  </si>
  <si>
    <t>Tayaru  Bayyana, Ankur  Kaneria</t>
  </si>
  <si>
    <t xml:space="preserve">G06F16/254; G06N20/00; G06N20/00; G06Q40/08; G06Q40/08; G16H10/60; G16H10/60; G16H40/20; G16H40/20; G16H50/20; G16H50/70; G16H50/80; G16H70/20; </t>
  </si>
  <si>
    <t>A method for providing prediction based healthcare recommendations is performed by a healthcare prediction server. The method includes receiving an emergency room services request from a patient. The method also includes receiving a first portion of the plurality of historical claims data. The first portion includes associated historical outcome data. The method further includes applying a geospatial prevalence engine to the first portion of the plurality of historical claims data and the requestor location to identify at least one locally prevalent disease. The method additionally includes applying a claims processing engine to the first portion of the plurality of historical claims data and the requestor identifier to determine whether the patient is associated with at least one prior avoidable emergency room claim. The method includes predicting that the emergency room services request is associated with an avoidable visit. The method further includes transmitting an alternative services request.</t>
  </si>
  <si>
    <t>US11315041</t>
  </si>
  <si>
    <t>Machine learning with data sharing for clinical research data across multiple studies and trials</t>
  </si>
  <si>
    <t>17/028799</t>
  </si>
  <si>
    <t>Praduman  Jain, Dave  Klein, Josh  Schilling, Addisu  Alemu</t>
  </si>
  <si>
    <t xml:space="preserve">G06N3/08; G06N20/00; </t>
  </si>
  <si>
    <t>Methods, systems, and apparatus, including computer-readable media, for machine learning in a multi-tenant data sharing platform. In some implementations, a server system provides a multi-tenant data sharing platform configured to selectively use stored data collected for different tenant organizations according to policy data for the respective tenant organizations. A request from one organization is received to perform a machine learning task involving a data set of a different tenant organization. The server system uses stored policy data to determine an applicable data policy, and based on the determination, the server system performs the machine learning task and provides the results of the machine learning task.</t>
  </si>
  <si>
    <t>US11313540</t>
  </si>
  <si>
    <t>Sterilization device for improving disinfection effect</t>
  </si>
  <si>
    <t>17/232155</t>
  </si>
  <si>
    <t>Chih-feng  Ho</t>
  </si>
  <si>
    <t xml:space="preserve">A61L9/20; F21V17/10; F21V33/006; A61L2209/15; </t>
  </si>
  <si>
    <t>A sterilization device for improving a disinfection effect includes: a main body, including a first surface, a second surface opposite to the first surface, and an accommodating hole, two sides of the main body respectively configured with a through hole, and the through holes in communication with the accommodating hole; a sanitizing lamp, configured on the second surface of the main body, the sanitizing lamp including a lighting element, sensor element, control element and power element; and a fixing member, passed through the through holes and accommodating hole of the main body. Taking a door handle as an example, the main body is passed through with the door handle through the accommodation hole, and the fixing member is then inserted through the through holes and accommodating hole, thereby fixing the main body on the door handle. Thus, the sanitizing lamp emits light to disinfect the door handle.</t>
  </si>
  <si>
    <t>US11312939</t>
  </si>
  <si>
    <t>Constructs for chimeric antigen receptors</t>
  </si>
  <si>
    <t>Michael  Klichinsky, Nicholas G  Minutolo, Nicholas R  Anderson</t>
  </si>
  <si>
    <t xml:space="preserve">A61K35/15; A61K39/0011; A61P35/00; A61P35/00; C07K14/4703; C07K14/7051; C07K14/7051; C07K14/70517; C07K14/70517; C07K14/70521; C07K14/70521; C07K14/70535; C07K14/70535; C07K14/70596; C07K14/70596; C07K16/00; C07K16/2896; C07K16/32; C07K16/32; C12N5/0645; C12N5/0645; C12N15/86; C12N15/86; A61K38/00; A61K38/00; A61K2039/5156; A61K2039/5156; A61K2039/5158; C07K2317/53; C07K2317/622; C07K2317/622; C07K2317/73; C07K2317/73; C07K2317/76; C07K2319/00; C07K2319/02; C07K2319/02; C07K2319/03; C07K2319/03; C07K2319/30; C07K2319/33; C07K2319/33; C12N15/1138; C12N2310/20; C12N2501/24; C12N2501/515; C12N2501/52; C12N2501/599; C12N2510/00; C12N2510/00; C12N2740/15043; C12N2740/16043; </t>
  </si>
  <si>
    <t>The present disclosure pertains to immune cells comprising chimeric antigen receptors (CARs) and methods of using immune cells comprising CARs.</t>
  </si>
  <si>
    <t>US11312760</t>
  </si>
  <si>
    <t>Expression vector for anti-SARS-CoV-2 neutralizing antibodies</t>
  </si>
  <si>
    <t>17/391262</t>
  </si>
  <si>
    <t>Yuannian  Li, Wenyi  Wang</t>
  </si>
  <si>
    <t xml:space="preserve">A61K39/42; A61P31/14; C07K16/10; C12N15/86; C07K2317/56; </t>
  </si>
  <si>
    <t>The present disclosure provides recombinant expression vectors expressing a novel neutralizing antibodies against SARS-COV-2, or the antigen binding fragments thereof. Pharmaceutical composition and kits comprising the same, and the uses thereof are also provided.</t>
  </si>
  <si>
    <t>US11312743</t>
  </si>
  <si>
    <t>Process for molnupiravir</t>
  </si>
  <si>
    <t>17/383405</t>
  </si>
  <si>
    <t>OPTIMUS DRUGS PRIVATE LTD</t>
  </si>
  <si>
    <t>OPTIMUS DRUGS PRIVATE</t>
  </si>
  <si>
    <t>Reddy Srinivas Reddy  Desi, Subba Reddy  Peketi, Venkata Gnaneswara Rao  Guttikonda, Reddy Siva Reddy  Desi</t>
  </si>
  <si>
    <t xml:space="preserve">C07H1/00; C07H19/067; </t>
  </si>
  <si>
    <t>The present invention relates to a process for the preparation of Molnupiravir. The present invention also relates to an improved and commercially viable process for preparation of Molnupiravir with high yield and purity.</t>
  </si>
  <si>
    <t>US11312704</t>
  </si>
  <si>
    <t>Inhibitors of cysteine proteases and methods of use thereof</t>
  </si>
  <si>
    <t>Lee D  Arnold, Andy  Jennings, Walter  Keung</t>
  </si>
  <si>
    <t xml:space="preserve">C07D207/26; C07D401/12; C07D401/14; C07D403/12; C07D403/14; C07D403/14; C07D417/14; C07D471/04; </t>
  </si>
  <si>
    <t>The disclosure provides compounds, such as compounds of Formula II, with warheads and their use in treating medical diseases or disorders, such as viral infections. Pharmaceutical compositions and methods of making various compounds with warheads are provided. The compounds are contemplated to inhibit proteases, such as the 3C, CL- or 3CL-like protease.</t>
  </si>
  <si>
    <t>US11311739</t>
  </si>
  <si>
    <t>Electromagnetic method for in-vivo disruption of viral insults</t>
  </si>
  <si>
    <t>Harvey Wayne  Ko</t>
  </si>
  <si>
    <t xml:space="preserve">A61N2/002; A61N2/002; A61N2/004; A61N2/004; A61N2/06; A61N2/06; C12N13/00; C12N13/00; </t>
  </si>
  <si>
    <t>A therapeutic method of reducing or eliminating viral infections in vivo includes subjecting a virally infected patient to one of a variety of strong magnetic fields. A static magnetic field has a magnetic field intensity of at least about 5 nanoTesla sufficient to be effective to disrupt viral metabolism. An alternating magnetic field has a magnetic field intensity of at least 0.1 nanoTesla sufficient to be effective to disrupt viral metabolism. A method of disrupting viral metabolism includes subjecting an infected patient or a mixture of live host cells and virus to the alternating magnetic field. A virus disruption apparatus includes a magnetic field generator of static or alternating magnetic fields. The magnetic field generator is selected from a Magnetic Resonance Imaging device, at least one permanent magnet, at least one superconducting magnet, at least one solenoid, and any combination thereof.</t>
  </si>
  <si>
    <t>US11311640</t>
  </si>
  <si>
    <t>Air sterilizer apparatus and method</t>
  </si>
  <si>
    <t>17/308024</t>
  </si>
  <si>
    <t>BLISK CORP</t>
  </si>
  <si>
    <t>BLISK</t>
  </si>
  <si>
    <t>Shalom J  Goldberg</t>
  </si>
  <si>
    <t xml:space="preserve">A61L9/20; A61L2209/111; A61L2209/12; A61L2209/14; </t>
  </si>
  <si>
    <t>A method and device for sterilizing air to kill pathogens is disclosed. An elongated ultraviolet-C (UV-C) light source is placed within an elongated chamber in a housing. At least one fan directs air from an interior space into the chamber and then back out to the interior space. A controller automatically adjusts the speed of the fan to ensure that the air passes through the chamber at a predetermined flow rate such that pathogens in the air are irradiated in the chamber for a sufficient time period to be deactivated by the ultraviolet-C light source.</t>
  </si>
  <si>
    <t>US11311597</t>
  </si>
  <si>
    <t>Whitened turmeric product for the prevention of viral infections</t>
  </si>
  <si>
    <t>16/873162</t>
  </si>
  <si>
    <t>NGUYEN CHI CO., LTD.</t>
  </si>
  <si>
    <t>NGUYEN CHI</t>
  </si>
  <si>
    <t>Bich Van T  Nguyen</t>
  </si>
  <si>
    <t xml:space="preserve">A61K9/006; A61K9/007; A61K9/06; A61K36/9066; A61K36/9066; A61P31/14; A61P31/14; </t>
  </si>
  <si>
    <t>A method of preventing and treating viral infections, in particular infections caused by the Corona virus are disclosed. The method involves applying a syrup containing a whitened turmeric product to the throat of a person. The syrup traps viruses in the throat and prevents further dissemination through the air, as well as reaching the person's airways. Thus, the trap works both ways.</t>
  </si>
  <si>
    <t>US11311559</t>
  </si>
  <si>
    <t>Compositions and methods for enhanced delivery of antiviral agents</t>
  </si>
  <si>
    <t>John  Docherty, Christopher Andrew  Bunka</t>
  </si>
  <si>
    <t xml:space="preserve">A61K9/08; A61K9/107; A61K9/1075; A61K31/165; A61K31/165; A61K31/343; A61K31/40; A61K31/40; A61K31/403; A61K31/403; A61K31/422; A61K31/422; A61K31/427; A61K31/427; A61K31/435; A61K31/435; A61K31/4418; A61K31/4418; A61K31/4433; A61K31/4433; A61K31/4439; A61K31/4439; A61K31/445; A61K31/445; A61K31/4709; A61K31/4709; A61K31/496; A61K31/496; A61K31/497; A61K31/497; A61K31/505; A61K31/505; A61K31/506; A61K31/513; A61K31/513; A61K31/536; A61K31/536; A61K31/551; A61K31/551; A61K31/575; A61K31/575; A61K31/635; A61K31/635; A61K31/675; A61K31/675; A61K31/7064; A61K31/7072; A61K31/7072; A61K35/413; A61K35/413; A61K47/10; A61K47/36; A61K47/36; A61K47/44; A61K47/46; </t>
  </si>
  <si>
    <t>Disclosed herein are methods, compositions and kits for treating a viral infection, for example, COVID-19, MERS and SARS. The disclosed compositions provide for enhanced delivery of the disclosed antiviral agents.</t>
  </si>
  <si>
    <t>US11309091</t>
  </si>
  <si>
    <t>Systems and methods for contagious illness surveillance and outbreak detection</t>
  </si>
  <si>
    <t>Inder Raj  Singh</t>
  </si>
  <si>
    <t xml:space="preserve">G01K1/026; G01K13/20; G01K13/20; G06F16/29; G16H50/80; G16H50/80; G16H80/00; Y02A90/10; </t>
  </si>
  <si>
    <t>Systems and methods for population health surveillance utilizing a network of smart thermometers is provided. Based on the geolocated user data provided by the smart thermometers, contagious illness can be forecasted for various population nodes. Population nodes can be provided at various levels of granularity. Geographic or population specific early warning signals can be generated based on detected outbreaks of contagious illness.</t>
  </si>
  <si>
    <t>US11308612</t>
  </si>
  <si>
    <t>Systems and methods for detection of infectious respiratory diseases</t>
  </si>
  <si>
    <t>Preetham  Putha, Manoj  Tadepalli, Bhargava  Reddy, Tarun  Raj, Ammar  Jagirdar, Pooja  Rao, Prashant  Warier</t>
  </si>
  <si>
    <t xml:space="preserve">A61B6/503; A61B6/505; A61B6/5217; A61B6/5217; C12Q1/689; G06F40/20; G06F40/216; G06F40/247; G06F40/284; G06F40/295; G06F40/30; G06K9/6256; G06K9/6256; G06K9/628; G06T7/0012; G06T7/0012; G06T7/11; G06T7/70; G06V10/255; G06V10/255; G16H10/40; G16H30/40; G16H30/40; G16H50/20; G16H50/20; G16H50/50; G16H50/70; G16H50/80; G16H50/80; C12Q1/701; G06T2207/10116; G06T2207/10116; G06T2207/20076; G06T2207/20081; G06T2207/20081; G06T2207/20084; G06T2207/20084; G06T2207/30061; G06T2207/30061; G06V2201/03; G06V2201/03; Y02A90/10; </t>
  </si>
  <si>
    <t>This disclosure generally pertains to systems and methods for detection of infectious respiratory diseases by implementation of an automated X-rays-based triage approach alongside algorithmic clinical sample pooling for molecular diagnosis. Certain embodiments relate to methods for the development of deep learning algorithms that perform machine recognition of specific features and conditions in chest X-ray imaging data. The chest X-ray imaging data is used to guide the pooling strategy of clinical samples for a molecular test.</t>
  </si>
  <si>
    <t>US11308101</t>
  </si>
  <si>
    <t>Multi-resolution modeling of discrete stochastic processes for computationally-efficient information search and retrieval</t>
  </si>
  <si>
    <t>17/459346</t>
  </si>
  <si>
    <t>Leighton, Bonnie Berger; Sherman, Maxwell Aaron; Yaari, Adam Uri</t>
  </si>
  <si>
    <t>LEIGHTON BONNIE</t>
  </si>
  <si>
    <t>Bonnie Berger  Leighton, Maxwell Aaron  Sherman, Adam Uri  Yaari</t>
  </si>
  <si>
    <t xml:space="preserve">G06F16/2462; G06N3/08; G16B5/20; G16B20/20; G16B40/00; </t>
  </si>
  <si>
    <t>An activity of interest is modeled by a non-stationary discrete stochastic process, such as a pattern of mutations across a cancer genome. Initially, input genomic data is used to train a model to predict rate parameters and their associated uncertainty estimation for each of a set of process regions. For any arbitrary set of indexed positions of the stochastic process that are identified in an information query, the rate parameters and their associated estimation uncertainties are scaled using the model to obtain a distribution of the events of interest and their associated estimation uncertainties for the set of indexed positions. In one practical application, and in response to a search query associated with one or more base-pairs, a result is then returned. The result, which represents deviations between the estimated and observed mutation rates, is used to identify genomic elements that have more mutations than expected and therefore constitute previously unknown driver mutations.</t>
  </si>
  <si>
    <t>US11307202</t>
  </si>
  <si>
    <t>Antibody binding detection method for detecting MERS-CoV</t>
  </si>
  <si>
    <t>17/406182</t>
  </si>
  <si>
    <t>Ayman Talaat Abbas  Abdelhadi, Esam Ibraheem Ahmed  Azhar, Sherif Aly Abdelkhalek  Elkafrawy, Sayed Sartaj  Sohrab</t>
  </si>
  <si>
    <t xml:space="preserve">A61K39/12; A61K39/215; A61P31/14; C07K16/10; C07K16/10; G01N33/54386; G01N33/56983; G01N33/56983; A61K2039/55566; C07K2317/23; C07K2317/30; C07K2317/34; C12N2770/20011; C12N2770/20034; G01N2333/165; G01N2333/165; G01N2469/10; </t>
  </si>
  <si>
    <t>A method for detecting MERS-CoV at high sensitivity and specificity using IgY antibodies that bind to MERS-CoV N protein, its fragments and domains. Isolated or purified IgY monospecific antibodies to MERS-CoV N protein.</t>
  </si>
  <si>
    <t>US11307158</t>
  </si>
  <si>
    <t>Nanoparticles for chemiresistor sensors</t>
  </si>
  <si>
    <t>17/495499</t>
  </si>
  <si>
    <t>NANOSCENT LTD.</t>
  </si>
  <si>
    <t>NANOSCENT</t>
  </si>
  <si>
    <t>Yair  Pasca, Katya  Kapilov, Maayan  Hirsch, Sima  Israel, Yahel  Zanti</t>
  </si>
  <si>
    <t xml:space="preserve">G01N27/127; </t>
  </si>
  <si>
    <t>A nanoparticle characterized by sensitivity to an analyte of interest, and comprising a conductive core in contact with a plurality of ligands bound to the conductive core is disclosed. Additionally, a chemiresistor sensor comprising the nanoparticles of the invention and a method of using thereof such as for detection of an analyte of interest in a gaseous sample are disclosed.</t>
  </si>
  <si>
    <t>US11305037</t>
  </si>
  <si>
    <t>Facemask having integrated modules</t>
  </si>
  <si>
    <t>OBRIEN PATRICK DAMIEN; ALI JEZ NOAH; ALIE ARTHUR</t>
  </si>
  <si>
    <t>Patrick Damien  O'brien, Jez Noah  Ali, Arthur  Ali</t>
  </si>
  <si>
    <t xml:space="preserve">A61B17/3468; A61B17/3472; A61B17/7061; A61F2/0059; A61F2/02; A61F2/44; A61F2/4601; A61L27/16; A61L27/16; A61L27/16; A61L27/20; A61L27/20; A61L27/20; A61L27/48; A61L27/48; A61L27/48; A61L27/48; A61M5/329; A61P19/00; A62B9/006; A62B18/02; A62B18/10; A62B23/025; C08L5/08; C08L5/08; C08L33/12; C08L33/12; A61F2002/4435; A61F2002/4435; A61F2002/4435; A61F2002/4435; A61L2400/06; A61L2430/38; A61L2430/38; A61L2430/38; A61M2210/02; </t>
  </si>
  <si>
    <t>A facemask includes integrated actuating modules having sensors and other mechanisms. The facemask has one or more sockets into which various modules may be inserted. The facemask itself or the modules may include air filters and check valves to regulate airflow along or through the various modules. The modules may detect various substances either in the ambient air or the air exhaled by the wearer. The facemask also includes modules for measuring pulmonary and/or cardiovascular exertion, lung capacity and other physiological metrics. Other modules may provide supplements, vitamins or other substances such as tobacco smoke or vapor from vaporizers to the wearer. The modules may include microcontrollers in wireless communication with software applications on electronic devices so that the facemask may also serve as a cellular phone.</t>
  </si>
  <si>
    <t>US11305031</t>
  </si>
  <si>
    <t>Ultraviolet pathogen disinfection system</t>
  </si>
  <si>
    <t>Anurag  Sood, Neeraj R  Chaudhary, Sandeep  Seth, Danish S  Khatri</t>
  </si>
  <si>
    <t xml:space="preserve">A61L9/032; A61L9/16; A61L9/20; A61L9/20; A61L9/22; A61L2209/11; A61L2209/111; A61L2209/134; A61L2209/14; A61L2209/14; A61L2209/15; A61L2209/15; A61L2209/212; </t>
  </si>
  <si>
    <t>An air treatment system includes a lower cowling configured to be suspended from a ceiling, the lower cowling defining an interior lower cowling surface and configured to be disposable radially outward from and around a fan configured to induce airflow. Further, the air treatment system includes an upper cowling configured to be disposed vertically above the lower cowling and define an interior upper cowling surface. A gap between the interior upper cowling surface and the interior lower cowling surface forms a fluid passageway comprising an intake opening, an exhaust opening, and a chamber. The fluid passageway is contoured to receive airflow from the fan via the intake opening and direct the airflow through the chamber to exit the exhaust opening. Moreover, the air treatment system includes at least one air treatment device secured within the chamber, the air treatment device configured to treat air passing through the chamber.</t>
  </si>
  <si>
    <t>US11305008</t>
  </si>
  <si>
    <t>Nucleic acid based vaccine against middle east respiratory syndrome-coronavirus</t>
  </si>
  <si>
    <t>US11304999</t>
  </si>
  <si>
    <t>Dried composition of saponin in a liposomal formulation with a neutral lipid, a sterol, and a cryoprotectant</t>
  </si>
  <si>
    <t>16/881236</t>
  </si>
  <si>
    <t>Dominique Ingrid  Lemoine, Nicolas  Moniotte</t>
  </si>
  <si>
    <t xml:space="preserve">A61K9/1275; A61K9/19; A61K39/00; A61K39/00; A61K39/0015; A61K39/015; A61K39/015; A61K39/12; A61K39/12; A61K39/29; A61K2039/545; A61K2039/55555; A61K2039/55555; A61K2039/55572; A61K2039/55572; A61K2039/55577; A61K2039/55577; A61K2039/6075; A61K2039/6075; C07K2319/00; C07K2319/00; C12N2710/16734; C12N2710/16734; Y02A50/30; Y02A50/30; </t>
  </si>
  <si>
    <t>Composition are described, which are dried under reduced pressure from a liquid mixture comprising an adjuvant comprising a saponin (e.g., such as QS21) in a liposomal formulation wherein the liposomes contain a neutral lipid (e.g., such as a phosphatidylcholine) and a sterol (e.g., such as cholesterol), and, a cryoprotectant that is an amorphous sugar. The adjuvant may further comprises a TLR-4 agonist. The compositions may further comprising an antigen, such as an antigen derived from Plasmodium falciparum, Mycobacterium tuberculosis, HIV, Moraxella, ntHi or Varicella Zoster Virus. The cryoprotectant is an amorphous sugar or mixture of amorphous sugars, and preferably is a combination of at least two cryoprotectants selected from sucrose, trehalose and dextran. The compositions may further comprise a buffer and/or a surfactant.</t>
  </si>
  <si>
    <t>US11304947</t>
  </si>
  <si>
    <t>Compositions and methods for treating lung injuries associated with SARS-COV-2 infections</t>
  </si>
  <si>
    <t>Dianqing  Wu, Ho Yin  Lo</t>
  </si>
  <si>
    <t xml:space="preserve">A61K31/496; A61K31/496; A61K31/506; A61K31/506; A61K31/675; A61K31/675; A61P11/00; A61P11/00; A61P31/14; A61P31/14; </t>
  </si>
  <si>
    <t>The present invention provides methods and compositions for treating and preventing lung injuries due to or associated with coronavirus infections that cause Severe Acute Respiratory Syndrome, including COVID-19. More specifically the present invention provides methods for treating or preventing the lung injuries associated with SARS-CoV-2 infections, such as acute lung injury (ALI), lung fibrosis, and acute respiratory distress syndrome (ARDS). The methods comprise administering a therapeutically effective amount of a pharmaceutical composition comprising a protein kinase inhibitor compound having MAP3K2/MAP3K3 inhibition activity, such as pazopanib or nintedanib, or a pharmaceutically acceptable salt, solvate, or prodrug thereof, to a patient in need thereof. The present invention also provides devices for administering the compositions.</t>
  </si>
  <si>
    <t>US11304605</t>
  </si>
  <si>
    <t>Allen B  Chefitz, Rohit  Singh</t>
  </si>
  <si>
    <t xml:space="preserve">A61B5/0075; A61B5/0075; A61B5/6826; A61B5/6826; A61B5/6888; A61B5/6888; A61B5/7264; A61B5/7264; A61B5/7282; A61B5/7282; A61B5/7405; A61B5/7405; A61B5/742; A61B5/742; A61B5/7455; A61B5/7455; A61B2562/0238; A61B2562/0238; A61B2562/0285; A61B2562/0285; </t>
  </si>
  <si>
    <t>A non-invasive, transcutaneous, real-time viral detection device that is configured for self-administration, e.g., at a user's home. In one embodiment, and after positioning the device relative to the human body part (e.g., the user's finger), light sources in the device are activated (excited), and resulting data captured. In particular, a set of Raman spectra are collected from a configured set of emitters and detectors in the device and delivered to a nearby receiver, preferably wirelessly. The receiver filters and de-convolves the Raman spectra producing a data set representative of the constituent elements in the user's tissue of interest. The data set is applied against a statistical classifier, e.g., a neural network that has been trained to recognize and distinguish the absence or presence of viral components, e.g., C-19, or its associated blood-borne acute phase reactants. The classifier outputs an appropriate indicator, preferably in real-time, providing the user with an immediate indication of whether C-19 (or other virus of interest) is present.</t>
  </si>
  <si>
    <t>US11302448</t>
  </si>
  <si>
    <t>Machine learning to select digital therapeutics</t>
  </si>
  <si>
    <t>17/355717</t>
  </si>
  <si>
    <t xml:space="preserve">G16H10/20; G16H10/60; G16H20/13; G16H20/17; G16H20/30; G16H20/70; G16H40/63; G16H40/67; G16H50/20; G16H50/70; G16H50/70; G16H50/80; G16H50/80; H04W4/029; H04W4/029; Y02A90/10; </t>
  </si>
  <si>
    <t>Methods, systems, and apparatus, including computer programs encoded on computer-storage media, for machine learning to select digital therapeutics. In some implementations, a machine learning model is trained to generate scores that indicate the level of applicability of different digital therapeutics based on input data for a person. A computer system monitors health of an individual using surveys and sensor measurements. The computer system identifies one or more signs or symptoms of a disease based on the monitoring data for the individual. The computer system uses output of the machine learning model to select a digital therapeutic intervention for the user. The computer system cause one or more devices to deliver the selected digital therapeutic intervention to the individual, monitor a response of the individual to the selected digital therapeutic intervention, and adjust characteristics of the digital therapeutic intervention based on the monitored response.</t>
  </si>
  <si>
    <t>US11302133</t>
  </si>
  <si>
    <t>Systems and methods for health screening and access</t>
  </si>
  <si>
    <t>17/328238</t>
  </si>
  <si>
    <t>STERLING READINESS ROUNDS, L.L.C.</t>
  </si>
  <si>
    <t>STERLING READINESS ROUNDS</t>
  </si>
  <si>
    <t>Kimberlee  Aubrey, Donald  Death, Dawn  Foster, Lashea  Johnson, Darrel  Lard, Melisa  Lynn, Jacque  Mcclaskey, Jay  Muckenthaler, Lindsey  Norwood, Micheal  Thornton, Eric  Tweedy, Luciana  Prata, Matthew  Pinto, Nitin  Kaushik, Randy  Merriman, Chad  Mcelwain</t>
  </si>
  <si>
    <t xml:space="preserve">G06K19/06009; G06Q50/265; G06Q50/265; G07C9/00563; G07C9/00896; G07C9/00896; G07C9/21; G07C9/21; G07C9/22; G07C9/22; G07C9/27; G07C9/27; G07C9/28; G07C9/00563; G07C2209/41; </t>
  </si>
  <si>
    <t>A system for health screening and access to a facility comprises a computer server and a plurality of stations. The computer server and/or each station are configured to: receive input from a touch screen indicating one of a plurality of entrant types, the input being initiated by an individual; receive identification information from a badge scanner; receive a temperature value from a temperature scanner; if the temperature value is above a normal threshold, send a notification to facility staff; if the temperature value is within a normal range, display wellness attestation questions and receive wellness attestation answers; if any wellness attestation answer is adverse, send the notification; if no wellness attestation answer is adverse, for employees, display a question inquiring if the employee needs an item of personal protective equipment (PPE) and receive a PPE answer, and for non-employees, print a label that includes identification information about the individual.</t>
  </si>
  <si>
    <t>US11301090</t>
  </si>
  <si>
    <t>Methods, system, and apparatus for touchless terminal interface interaction</t>
  </si>
  <si>
    <t>Zachary Taylor  Lasater, Gina Torcivia  Bennett, Kip Oliver  Morgan, Meenakshi  Sreeraman</t>
  </si>
  <si>
    <t xml:space="preserve">G06F3/016; G06F3/016; G06F3/017; G06F3/017; G06F3/0425; G06F3/0428; G06F3/0488; G06F3/04886; G06F9/543; G06Q20/18; G06T7/50; G06F3/0482; G06F3/0485; G06F3/0488; G06F3/167; G06F2203/04108; G06T2207/10016; G06T2207/30196; </t>
  </si>
  <si>
    <t>A touch field is created around a touchscreen display, the field is in front of a touch surface of the display and the field maps to locations on the display. An operator of a terminal during a transaction is presented with transaction interface screens that are visually rendered on the display. The operator makes interface options selections, performs screen navigation, and provides date entry field inputs by placing the operator's hand within the field without touching the touch surface of the display and making hand poses, hand movements, and/or hand gestures. The poses, movements, and/or gestures are translated into touch actions and touch inputs recognized by the transaction interface and processed as operator-provided input during the transaction.</t>
  </si>
  <si>
    <t>US11300484</t>
  </si>
  <si>
    <t>Method for analysis of aerosolized biological species in epidemic and pandemic prediction</t>
  </si>
  <si>
    <t>15/732259</t>
  </si>
  <si>
    <t>CONNECTICUT ANALYTICAL CORPORATION</t>
  </si>
  <si>
    <t>CONNECTICUT ANALYTICAL</t>
  </si>
  <si>
    <t>Joseph J  Bango</t>
  </si>
  <si>
    <t xml:space="preserve">G01N1/2208; G01N1/2273; G01N1/24; G01N1/26; G01N2001/021; G01N2001/2223; </t>
  </si>
  <si>
    <t>The disclosed invention is a new concept for a network of specialized continuous ambient air sampling systems, which employ a novel non-destructive ionization and separation method, coupled to a near real-time genomic sequencer. The network of preferably pathogen samplers, would constitute a plurality of distributed nodes throughout the world, with bacterial &amp; viral concentration, identification, and mutation data uploaded to the cloud for epidemic/pandemic predictive modeling. The proposed system offers the ability to migrate from outbreak surveillance, to outbreak forecast. In addition, the capability for continuous data of genomic sequencing offers an enhanced capability to help track antigenic drift and antigenic shift. While optimized for viral capture and analysis, any airborne pathogen or spore can be accepted using the technology. Applications include world health monitoring, pandemic prediction, and detection of real-time bioterror pathogen deployment.</t>
  </si>
  <si>
    <t>US11299751</t>
  </si>
  <si>
    <t xml:space="preserve">C07K16/00; C07K16/1282; C07K16/1282; C12N15/113; C12N15/86; C12N15/86; A61K9/0019; A61K38/00; C07K2317/14; C07K2317/14; C07K2317/24; C07K2317/31; C07K2317/76; C07K2317/76; C12N2310/141; C12N2750/14143; C12N2750/14143; </t>
  </si>
  <si>
    <t>The invention provides compositions and methods for the preparation, manufacture and therapeutic use of viral vectors, such as adeno-associated virus (AAV) particles having viral genomes encoding one or more antibodies or antibody fragments or antibody-like polypeptides, for the prevention and/or treatment of diseases and/or disorders.</t>
  </si>
  <si>
    <t>US11299728</t>
  </si>
  <si>
    <t>Marc Dominic  Dejohn, Jesse Wilson  Vanwestrienen</t>
  </si>
  <si>
    <t xml:space="preserve">B01L3/0217; B01L3/0217; B01L3/0217; B01L3/502; B01L3/502; C12N15/1017; C12N15/1017; B01L2200/0631; B01L2200/0631; B01L2300/0681; B01L2300/0681; B01L2400/0478; B01L2400/049; B01L2400/049; </t>
  </si>
  <si>
    <t>US11298495</t>
  </si>
  <si>
    <t>Personal protective equipment and pathogen containment system for oral and dental procedures</t>
  </si>
  <si>
    <t>Keith Alan  Robinson</t>
  </si>
  <si>
    <t xml:space="preserve">A61M16/0666; A61M16/0688; A61M16/0694; A61M2202/0466; A61M2202/203; A61M2202/206; A61M2210/0618; A61M2210/0625; </t>
  </si>
  <si>
    <t>A pathogen containment system for use during healthcare procedures is disclosed, comprising a flexible tubing dimensioned to extend around a user's mouth, the flexible tubing including a first end and a second end. A connector includes a central portion including a first side fittingly engaged with the first end of the flexible tubing and a second side fittingly engaged with the second end of the flexible tubing. An attachment port is positioned perpendicular to the central portion, the attachment port is in fluid communication via a vacuum tubing to a vacuum suction unit. A plurality of intake ports are provided on the flexible tubing to permit air to be drawn therethrough via the vacuum suction unit. The air intake ports capture a contaminant emitted from the user's mouth or the user's nose.</t>
  </si>
  <si>
    <t>US11298417</t>
  </si>
  <si>
    <t>Measles virus vaccine expressing SARS-CoV-2 protein(s)</t>
  </si>
  <si>
    <t>William Paul  Duprex, Natasha Louise  Tilston-lunel, Shamkumar  Nambulli</t>
  </si>
  <si>
    <t xml:space="preserve">A61K39/12; A61K39/215; A61P31/14; C07K14/005; C07K14/005; C12N7/00; C12N15/86; A61K2039/5256; A61K2039/5256; A61K2039/53; A61K2039/572; A61K2039/575; A61K2039/575; C12N2760/18434; C12N2760/18434; C12N2760/18443; C12N2760/18443; C12N2770/20022; C12N2770/20034; C12N2770/20034; </t>
  </si>
  <si>
    <t>A recombinant measles viral vector comprising a nucleic acid sequence encoding a Severe Acute Respiratory Syndrome Coronavirus 2 (SARS-CoV-2) spike glycoprotein is provided. Polypeptides comprising the SARS-CoV-2 spike glycoprotein also are provided, as well as related nucleic acids, vectors, and compositions. The polypeptides, nucleic acids, vectors, and compositions can be used in methods of preventing, inhibiting, reducing, eliminating, protecting, or delaying the onset of an infection or an infectious clinical condition caused by coronavirus and methods for inducing an immune response against a coronavirus.</t>
  </si>
  <si>
    <t>US11298412</t>
  </si>
  <si>
    <t>Sphingoid compounds for prophylaxis and/or therapy of coronaviridae infection</t>
  </si>
  <si>
    <t>Erich  Gulbins</t>
  </si>
  <si>
    <t xml:space="preserve">A61K9/0043; A61K31/133; A61K31/133; A61K31/135; A61K31/137; A61K31/166; A61K31/167; A61K31/185; A61K31/40; A61K31/415; A61K31/42; A61K31/4245; A61K31/426; A61K31/4409; A61K38/50; A61P11/00; A61P31/14; A61P31/14; </t>
  </si>
  <si>
    <t>Provided are processes for the prevention or treatment of infection by SARS-CoV-2. Some aspects provide administration of a sphingoid compound, optionally sphingosine, an active ingredient that activates generation of a sphingoid base, optionally of sphingosine; or an active agent that inhibits the degradation of a sphingoid base, optionally of sphingosine, to a subject such as a human. By increasing the local concentration of sphingosine in a subject or an area of a subject to which the composition is administered such as the airways, nose or interior of the nose or portion thereof, the ability or SARS-CoV-2 to infect the subject or cells thereof is reduced thereby treating of preventing infection by the virus.</t>
  </si>
  <si>
    <t>US11298379</t>
  </si>
  <si>
    <t>Compositions comprising milk fat globules and methods of making same</t>
  </si>
  <si>
    <t>James F  Kane</t>
  </si>
  <si>
    <t xml:space="preserve">A61K9/0014; A61K9/0053; A61K9/006; A61K9/06; A61K9/06; A61K9/14; A61K9/14; A61K35/20; A61K35/20; A61K47/06; A61K47/06; </t>
  </si>
  <si>
    <t>Compositions including anti-viral compositions, therapeutic compositions, sunscreen compositions, skin treatment compositions, anti-aging compositions, and methods of making the same, are provided. Each composition includes milk fat globules (MFG) and may contain one or more agents encapsulated by the MFG. The unique nature of MFG provides an intact mammalian membrane containing proteins, glycoproteins, and carbohydrates found in mammary cells. By treating an infected patient with MFG, the MFG serve as a surrogate cell and interact with enveloped viruses, such as the COVID-19 coronavirus, the Herpes virus, and the Epstein Barr Virus, rendering them non-infectious. MFG derived from mammals can also be used to deliver pharmaceutical materials into an animal body such that the pharmaceutical materials bypass the venous blood and enter directly into the animal's lymphatic system. MFG allow the delivery of materials orally that could not heretofore have been delivered efficiently.</t>
  </si>
  <si>
    <t>US11297887</t>
  </si>
  <si>
    <t>17/363909</t>
  </si>
  <si>
    <t>MCFALL FRANCES C</t>
  </si>
  <si>
    <t>MCFALL FRANCES</t>
  </si>
  <si>
    <t>Frances C  Mcfall</t>
  </si>
  <si>
    <t xml:space="preserve">A41D13/1161; A41D13/1184; </t>
  </si>
  <si>
    <t>A face mask is a face shield and head strap comprising two layers of plastic having a plurality of blue LED lights which are disposed about each of four face shield sides. The face mask also has a power source, power switch and plurality of air vents. When activated the plurality of blue LED lights act a sanitizer.</t>
  </si>
  <si>
    <t>US11296971</t>
  </si>
  <si>
    <t>Managing and adapting monitoring programs</t>
  </si>
  <si>
    <t>17/378643</t>
  </si>
  <si>
    <t xml:space="preserve">H04L41/0893; H04L41/12; H04L43/04; H04L43/065; H04L43/08; H04L43/50; </t>
  </si>
  <si>
    <t>Systems, methods, and apparatus, including computer-readable media for managing and adapting monitoring programs. In some implementations, a system accesses data describing a monitoring program that involves collecting data over a period of time from a monitoring group comprising geographically distributed devices. The system classifies the devices in the monitoring group into different groups for the categories based on the attributes associated with the devices. The system monitoring performance of the devices in the different groups and determines a performance score for each group. The system adjusts administration of the monitoring program based on the performance scores, including performing one or more actions to improve diversity in the monitoring group.</t>
  </si>
  <si>
    <t>US11295862</t>
  </si>
  <si>
    <t>Predictive modeling of respiratory disease risk and events</t>
  </si>
  <si>
    <t>Guangquan  Su, Meredith Ann  Barrett, Olivier  Humblet, Chris  Hogg, Sickle John David  Van, Kelly Anne  Henderson, Gregory F  Tracy</t>
  </si>
  <si>
    <t xml:space="preserve">G06N20/00; G06N20/00; G16H20/13; G16H20/13; G16H50/20; G16H50/20; G16H50/50; G16H50/80; Y02A90/10; Y02A90/10; </t>
  </si>
  <si>
    <t>An application server predicts respiratory disease risk, rescue medication usage, exacerbation, and healthcare utilization using trained predictive models. The application server includes model modules and submodel modules, which communicate with a database server, data sources, and client devices. The submodel modules train submodels by determining submodel coefficients based on training data from the database server. The submodel modules further determine statistical analysis data and estimates for medication usage events, healthcare utilization, and other related events. The model modules combine submodels to predict respiratory disease risk, exacerbation, rescue medication usage, healthcare utilization, and other related information. Model outputs are provided to users, including patients, providers, healthcare companies, electronic health record systems, real estate companies and other interested parties.</t>
  </si>
  <si>
    <t>US11295398</t>
  </si>
  <si>
    <t>Methods and systems to generate information about news source items describing news events or topics of interest</t>
  </si>
  <si>
    <t>17/225043</t>
  </si>
  <si>
    <t>SNAPWISE INC.</t>
  </si>
  <si>
    <t>SNAPWISE</t>
  </si>
  <si>
    <t>Sukhsagar Singh  Jolly, Payman  Pouladdej, Jan  Kulinski, Guy  Streetley, Harleen Kaur  Jolly</t>
  </si>
  <si>
    <t xml:space="preserve">G06Q30/0282; G06Q30/0282; G06Q50/01; G06F16/30; G06F16/35; G06Q50/01; </t>
  </si>
  <si>
    <t>Examples of methods and systems to generate information about news source items appearing in user social media feed content, where the news source items describe news events or topics. The news events or topics can be identified by the recognition of news information associated with a news source in information configured for use as user social media feed content. The generated information can be displayed on a user device along with assigned bias, skew, or viewpoint ratings for news sources that describe the news source events. The news source items, news sources, and information can be selected on the user display for further user review. Notifications associated with news source bias, skew, or viewpoint ratings and information associated with user engagement with social media feed content can also be generated. Bias, skew, or viewpoint ratings for user social media accounts can be provided.</t>
  </si>
  <si>
    <t>US11295120</t>
  </si>
  <si>
    <t>Hand gesture habit forming</t>
  </si>
  <si>
    <t>Tsvi  Lev</t>
  </si>
  <si>
    <t xml:space="preserve">G06T7/74; G06V40/107; G06V40/16; G06V40/165; G06V40/28; G06V40/28; G06T2207/30201; </t>
  </si>
  <si>
    <t>A method of adapting a display comprises receiving a sequence of a plurality of facial images of a face of at least one user located in front of a display; analyzing the plurality of facial images to detect a hand to face gesture of the user; and updating, according to the hand to face gesture, a dataset documenting a plurality of facial touch event frequencies of a plurality of facial touch events in a plurality of facial locations. Each of the plurality of facial touch events is prompted by one of a plurality of previously captured hand to face gestures of the user. The method further comprises, based on the plurality of facial touch event frequencies, generating a presentation on the display. In response to detection of an impending facial touch, a destruction event may be depicted. A presentation may be also generated showing scoring of multiple persons.</t>
  </si>
  <si>
    <t>US11292789</t>
  </si>
  <si>
    <t>Composition for inhibiting growth of SARS-CoV-2 and method of preparing the same</t>
  </si>
  <si>
    <t>Do Hyun  Na, Kyung Pyo  Kang, Jin Hwan  Jun, Geon  Go, Hyeon Jun  Na, Sang Jin  Kang, Young Hyun  Na, Se Jin  Yoon, Su Ji  Na</t>
  </si>
  <si>
    <t xml:space="preserve">A61K31/517; A61K31/517; A61K35/66; A61K36/06; A61P31/14; A61P31/14; C07D239/91; C07D455/02; </t>
  </si>
  <si>
    <t>Disclosed is a composition for inhibiting the growth of virus. More particularly, the composition for inhibiting the growth of virus includes MDPX-V2021 represented by Formula 1, wherein MDPX-V2021 serves to inhibit a post-translational modification (PTM) stage in cells after SARS-CoV-2 penetrates into the body.</t>
  </si>
  <si>
    <t>US11291939</t>
  </si>
  <si>
    <t>Ultra-fine particle aggregation, neutralization and filtration</t>
  </si>
  <si>
    <t>17/471610</t>
  </si>
  <si>
    <t>SMART MATERIAL PRINTING B.V.</t>
  </si>
  <si>
    <t>SMART MATERIAL PRINTING</t>
  </si>
  <si>
    <t>Gregor  Luthe</t>
  </si>
  <si>
    <t xml:space="preserve">A61L9/20; B01D46/0028; B01D46/0039; B01D49/006; B01D51/02; B01D51/08; H04R17/00; B01D2279/65; B01J19/10; C02F1/32; C02F2201/32; C02F2201/3222; C02F2201/3227; H01L25/0753; H01L27/00; </t>
  </si>
  <si>
    <t>This disclosure relates to aggregating, neutralizing, and filtering ultra-fine particles in fluids such as air and water. Fluid may be drawn from an ambient environment into a neutralization chamber. Within the neutralization chamber, particles in the fluid may be agglomerated. An acoustic field may be applied to the fluid to agglomerate the particles. The agglomerated particles may be exposed to light. The light may denature or deactivate the agglomerated particles. The agglomerated and inert particles may be passed through a filter. After agglomeration and neutralization, the fluid may be released back into the ambient environment.</t>
  </si>
  <si>
    <t>US11291836</t>
  </si>
  <si>
    <t>Minimally invasive dermal electroporation device</t>
  </si>
  <si>
    <t>Kate  Broderick, Jay  Mccoy, Stephen V  Kemmerrer</t>
  </si>
  <si>
    <t xml:space="preserve">A61M37/00; A61N1/0412; A61N1/0412; A61N1/0412; A61N1/0476; A61N1/0476; A61N1/0476; A61N1/327; A61N1/327; A61N1/327; C12M35/02; C12M35/02; C12M35/02; C12N15/87; C12N15/87; C12N15/87; A61K2039/53; A61K2039/53; A61M2037/0007; A61M2037/0007; A61M2037/0007; A61N1/0424; A61N1/0424; </t>
  </si>
  <si>
    <t>The disclosure is directed to a device for electroporating and delivering one or more antigens and a method of electroporating and delivering one or more antigens to cells of epidermal tissues using the device. The device comprises a housing, a plurality of electrode arrays projecting from the housing, each electrode array including at least one electrode, a pulse generator electrically coupled to the electrodes, a programmable microcontroller electrically coupled to the pulse generator, and an electrical power source coupled to the pulse generator and the microcontroller. The electrode arrays define spatially separate sites.</t>
  </si>
  <si>
    <t>US11291717</t>
  </si>
  <si>
    <t>Covalently modified antigens for improved immune response and/or stability</t>
  </si>
  <si>
    <t>17/516161</t>
  </si>
  <si>
    <t>DEFENCE THERAPEUTICS INC.</t>
  </si>
  <si>
    <t>DEFENCE THERAPEUTICS</t>
  </si>
  <si>
    <t>Simon  Beaudoin</t>
  </si>
  <si>
    <t xml:space="preserve">A61K39/215; A61K39/385; A61P31/14; A61K2039/6006; A61K2039/6018; A61K2039/6031; A61K2039/627; </t>
  </si>
  <si>
    <t>Covalently modified polypeptide antigens having improved immunogenicity and/or stability, as well as compositions, cells, and methods relating thereto, are described herein. Polypeptide antigens are covalently conjugated to a one or more of steroid acid moieties to improve their stability and/or to trigger improved cellular immunity, or improved cellular and humoral immunity, against the antigen upon administration to a subject. The steroid acids include bile acids and bile acid analogs that enhance endocytosis and/or endosomal escape of endosomally trapped cargoes by potentiating enzymatic cleavage of sphingomyelin to ceramide within endosomal membranes. The steroid acid moieties may be pre-conjugated to a peptide, and the steroid acid-peptide moiety subsequently conjugated to the polypeptide antigen. The peptide may comprise one or more domains that impart an additional functionality to the modified polypeptide antigen.</t>
  </si>
  <si>
    <t>US11291408</t>
  </si>
  <si>
    <t>Allen B  Chefitz</t>
  </si>
  <si>
    <t xml:space="preserve">A61B5/14507; A61B5/14507; A61B5/14546; A61B5/14546; A61B5/1477; A61B5/1477; A61B5/6803; A61B5/6803; G01N33/528; G01N33/54388; G01N33/56983; G02C5/12; G02C5/12; G02C7/104; G02C7/16; G02C11/00; G02C11/00; A61B2010/0067; A61B2010/0067; G01N2469/10; G01N2800/26; </t>
  </si>
  <si>
    <t>An article of manufacture comprises an optical shade configured for removable attachment to eyewear, e.g., eyeglasses that are retrofitted to include a micro-fluidic tear collector in a nose pad. The optical shade comprises a lens having a lateral flow assay comprising an antibody having an associated fluorescent tag. The fluorescent tag is configured to fluoresce and change a color of the lens upon detection by the flow assay of an antigen that matches the antibody. The antigen comprises viral constituents, such as SARS-CoV-2. The color change of the lens is visible and indicates presence of Covid-19 infection.</t>
  </si>
  <si>
    <t>US11291299</t>
  </si>
  <si>
    <t>Retractable self-sanitizing divider assembly</t>
  </si>
  <si>
    <t>Charles  Isgar</t>
  </si>
  <si>
    <t xml:space="preserve">A47B13/08; A47B21/02; A47B97/00; A47C31/007; A47B2200/12; </t>
  </si>
  <si>
    <t>A retractable self-sanitizing divider assembly is provided. The assembly includes a planar structure having a first surface and a second surface. The assembly also includes a housing having an interior volume with an opening on one side. The housing may be coupled to the planar structure. The assembly may include a divider moveable between a retracted position located within the housing and an extended position with a portion of the divider is extended through the opening of the housing. The assembly may also include a sanitization system coupled to the housing wherein the sanitization system automatically sanitizes the divider during movement of the divider between the retracted position and the extended position.</t>
  </si>
  <si>
    <t>US11290725</t>
  </si>
  <si>
    <t>System and method for determining an objective video quality measure of a real-time video communication without extensive mathematical operations</t>
  </si>
  <si>
    <t>17/154560</t>
  </si>
  <si>
    <t>AGORA LAB, INC.</t>
  </si>
  <si>
    <t>AGORA LAB</t>
  </si>
  <si>
    <t>Xiaoran  Wu, Tianbo  Chen, Kai  Wang, Lin  Feng</t>
  </si>
  <si>
    <t xml:space="preserve">H04L65/607; H04L65/80; H04N19/146; H04N19/154; H04N19/172; H04N19/184; </t>
  </si>
  <si>
    <t>A new real-time video communication system includes a set of electronic devices. Each device runs a specialized real-time video communication software application including a video quality module. The video quality module retrieves network connection statistic data from a network connection module, and video encoder statistic data from a video quality module. The video quality module uses the network connection statistic data and the video encoder statistic data to determine a first objective video quality measure without extensive mathematical operations. The video quality module also uses the first objective video quality measure, the network connection statistic data and the video encoder statistic data to determine a second objective quality measure without extensive mathematical operations.</t>
  </si>
  <si>
    <t>US11290688</t>
  </si>
  <si>
    <t>Web-based videoconference virtual environment with navigable avatars, and applications thereof</t>
  </si>
  <si>
    <t>Gerard Cornelis  Krol, Erik Stuart  Braund</t>
  </si>
  <si>
    <t xml:space="preserve">G06F3/011; G06T13/40; G06T15/20; G06T19/003; H04L12/1813; H04L12/1822; H04N7/157; H04N7/157; G06T2219/024; </t>
  </si>
  <si>
    <t>Disclosed herein is a web-based videoconference system that allows for video avatars to navigate within the virtual environment. The system has a presented mode that allows for a presentation stream to be texture mapped to a presenter screen situated within the virtual environment. The relative left-right sound is adjusted to provide sense of an avatar's position in a virtual space. The sound is further adjusted based on the area where the avatar is located and where the virtual camera is located. Video stream quality is adjusted based on relative position in a virtual space. Three-dimensional modeling is available inside the virtual video conferencing environment.</t>
  </si>
  <si>
    <t>US11289196</t>
  </si>
  <si>
    <t>Health testing and diagnostics platform</t>
  </si>
  <si>
    <t>17/452746</t>
  </si>
  <si>
    <t>EMED LABS, LLC</t>
  </si>
  <si>
    <t>EMED LABS</t>
  </si>
  <si>
    <t>Jr Michael W  Ferro, Sam  Miller, Marco  Magistri, Colman Thomas  Bryant, Adam Charles  Carlson, Zachary Carl  Nienstedt, Chris  Ensey</t>
  </si>
  <si>
    <t xml:space="preserve">A61B5/7465; G06F3/0482; G06Q50/205; G06T7/70; G06V20/41; G09B19/003; G16H10/40; G16H40/20; G16H40/67; G16H50/20; G16H80/00; H04L65/1069; H04L65/403; H04N7/15; G06T2207/10016; </t>
  </si>
  <si>
    <t>Systems and methods for providing a universal platform for at-home health testing and diagnostics are provided herein. In particular, a health testing and diagnostic platform is provided to connect medical providers with patients and to generate a unique, private testing environment. In some embodiments, the testing environment may facilitate administration of a medical test to a patient with the guidance of a proctor. In some embodiments, the patient may be provided with step-by-step instructions for test administration by the proctor within a testing environment. The platform may display unique, dynamic testing interfaces to the patient and proctor to ensure proper testing protocols and accurate test result verification.</t>
  </si>
  <si>
    <t>US11287971</t>
  </si>
  <si>
    <t>Visual-tactile virtual telepresence</t>
  </si>
  <si>
    <t>17/387219</t>
  </si>
  <si>
    <t>Gregory  Welch, Ryan  Mcmahan, Gerd  Bruder</t>
  </si>
  <si>
    <t xml:space="preserve">G06F3/014; G06F3/016; G06F3/016; G06F3/04162; G06F3/0484; G06F3/04842; G06F3/04883; G06F3/04883; </t>
  </si>
  <si>
    <t>A system for remote tactile telepresence wherein tactile telepresence sessions are time-coded along with audiovisual content wherein playback is heard, seen, and felt. Embodiments associate motion capture with the tactile profile so that remote, haptic recipients may see renderings of objects (e.g., hands) imparting vibrotactile sensations.</t>
  </si>
  <si>
    <t>US11287396</t>
  </si>
  <si>
    <t>Method and system for simultaneous determination of multiple measurable biomarkers during the development of a communicable disease</t>
  </si>
  <si>
    <t>Norberto A  Guzman</t>
  </si>
  <si>
    <t xml:space="preserve">G01N1/405; G01N1/405; G01N27/44708; G01N27/44743; G01N27/44756; G01N33/543; G01N33/54366; G01N33/561; B01L3/5082; B01L2200/185; B01L2300/042; B01L2300/0681; B01L2400/0421; </t>
  </si>
  <si>
    <t>A diagnostic and prognostic method and system for sequentially analyzing in a biological fluid or tissue extract the presence of an antigenic infectious agent, infectious organism or its toxic product; an antibody response to the antigenic infectious agent, infectious organism or its toxic product; one or more biomarkers formed during infection in response to a communicable disease; and one or more biomarkers to assess the severity of the disease and to monitor the effectiveness of drug therapy or vaccination.</t>
  </si>
  <si>
    <t>US11286260</t>
  </si>
  <si>
    <t>P38α mitogen-activated protein kinase inhibitors</t>
  </si>
  <si>
    <t>17/320874</t>
  </si>
  <si>
    <t>Adam  Galan, Wendy  Luo, Ritu  Lal</t>
  </si>
  <si>
    <t xml:space="preserve">A61P11/00; A61P29/00; A61P31/12; A61P31/14; A61P35/00; A61P37/00; C07D207/12; C07D207/12; C07D211/42; C07D211/42; C07D211/46; C07D211/46; C07D239/28; C07D239/30; C07D241/08; C07D241/08; C07D265/30; C07D265/30; C07D267/08; C07D267/10; C07D295/135; C07D295/185; C07D491/048; C07D491/048; C07D491/08; C07D491/107; C07D491/107; C07D498/18; </t>
  </si>
  <si>
    <t>Disclosed herein are p38α mitogen-activated protein kinase inhibitors, pharmaceutical compositions thereof, and therapeutic methods of using the p38α mitogen-activated protein kinase inhibitors.</t>
  </si>
  <si>
    <t>US11285485</t>
  </si>
  <si>
    <t>Test tube with an internal member and test tube with a narrowed region at its closed end</t>
  </si>
  <si>
    <t>17/229887</t>
  </si>
  <si>
    <t>AID GENOMICS LTD</t>
  </si>
  <si>
    <t>AID GENOMICS</t>
  </si>
  <si>
    <t>Snir  Zano, Daniel  Gurevich</t>
  </si>
  <si>
    <t xml:space="preserve">B01L3/5082; B01L2300/0832; </t>
  </si>
  <si>
    <t>A test tube may include: an annular body having an open first end, a closed second end, a longitudinal surface extending between the open first end and the closed second end and enveloping a hollow interior of the annular body and a central longitudinal axis; wherein the longitudinal surface of the annular body may include: a first longitudinal portion that may include the open first end of the annular body and having a substantially circular cross-section; and a second longitudinal portion that may include: a first longitudinal side having a substantially circular-arc cross-section; and a second longitudinal side tapering in a longitudinal direction of the annular body towards the closed second end of the annular body.</t>
  </si>
  <si>
    <t>US11285286</t>
  </si>
  <si>
    <t>Ventilator system with multiple airflow control lumens</t>
  </si>
  <si>
    <t>Lukasz R  Kiljanek</t>
  </si>
  <si>
    <t xml:space="preserve">A61M16/0051; A61M16/024; A61M16/0404; A61M16/0404; A61M16/042; A61M16/042; A61M16/0463; A61M16/0486; A61M16/0486; A61M16/0883; A61M16/1005; A61M16/1055; A61M16/106; A61M16/1065; A61M16/107; A61M16/1075; A61M16/12; A61M16/12; A61M16/208; A61M11/00; A61M16/0009; A61M2016/0027; A61M2016/0039; A61M2016/0042; A61M16/0057; A61M16/0093; A61M16/0434; A61M16/0463; A61M16/0808; A61M16/0816; A61M2016/1025; A61M2016/103; A61M2016/1035; A61M16/14; A61M16/16; A61M16/161; A61M16/208; A61M16/209; A61M2202/0208; A61M2202/0225; A61M2202/0225; A61M2202/0266; A61M2205/3331; A61M2205/3344; A61M2205/3368; A61M2205/3375; A61M2205/3553; A61M2205/3592; A61M2205/505; A61M2205/581; A61M2205/583; A61M2205/7563; A61M2230/04; A61M2230/205; A61M2230/30; A61M2230/432; A61M2230/435; A61M2230/437; A61M2230/50; </t>
  </si>
  <si>
    <t>Ventilator system with multiple inspiratory lumens is provided. The inspiratory lumens are configured so that separate inspiratory lumens provide inspiratory gas mixtures to separate portions of a patient's airways, for instance to separate lungs and/or bronchi. The ventilator system can include one or more expiratory lumens to evacuate expiratory gases from airways. The use of separate inspiratory lumen(s), with expiratory lumen(s), allows for functional separation of structural portions of the lungs, and maintenance of continuous or almost continuous flow through at least part of respiratory cycle via inspiratory and expiratory lumens. This can further reduce dead space and clear suspended therein diseases causative agents with improvement in outcomes, reduce risk of cross-contamination or cross-infection between different parts of airways, for example such as cross-infection from one lung lobe to another lobe or. The ventilator system allows for independent titration of PEEP, pCO2 and pO2 with no need for permissive hypercapnia.</t>
  </si>
  <si>
    <t>US11285209</t>
  </si>
  <si>
    <t>Recombinant MVA or MVAΔE3L expressing human FLT3L and use thereof as immuno-therapeutic agents against solid tumors</t>
  </si>
  <si>
    <t>16/845809</t>
  </si>
  <si>
    <t>MEMORIAL SLOAN KETTERING CANCER CENTER</t>
  </si>
  <si>
    <t>Liang  Deng, Stewart  Shuman, Jedd  Wolchok, Taha  Merghoub, Weiyi  Wang, Peihong  Dai, Ning  Yang</t>
  </si>
  <si>
    <t xml:space="preserve">A61K9/0019; A61K9/0019; A61K35/768; A61K35/768; A61K35/768; A61K39/0011; A61K39/0011; A61K39/3955; A61K39/3955; A61K39/3955; A61P35/00; A61P35/00; A61P35/00; C07K14/521; C07K14/521; C07K16/2818; C07K16/2818; C07K16/2827; C07K16/2827; C12N15/86; C12N15/86; A61K2039/505; A61K2039/505; A61K2039/505; A61K2039/55522; A61K2039/55522; A61K2039/55522; A61K2300/00; C07K2317/76; C07K2317/76; C12N2710/24032; C12N2710/24032; C12N2710/24121; C12N2710/24121; C12N2710/24132; C12N2710/24132; C12N2710/24143; C12N2710/24143; </t>
  </si>
  <si>
    <t>The present invention relates generally to the fields of oncology, virology and immunotherapy. More particularly, it concerns the use of a recombinant modified vaccinia Ankara (MVA) virus comprising an MVA harboring a human Fms-like tyrosine kinase 3 ligand (hFlt3L) (MVA-hFtl3L). The foregoing vaccinia Ankara (MVA) virus can be delivered to tumor cells of a subject afflicted with a malignant solid tumor, to treat the tumor. In a related aspect, the present disclosure concerns a recombinant modified vaccinia Ankara virus with deletion of vaccinia virulence factor E3 (MV At.E3L) modified to express human Fms-like 5 tyrosine kinase 3 ligand (hFlt3L) isolated, suitable for use as an immunotherapeutic agent against a malignant solid tumor.</t>
  </si>
  <si>
    <t>US11285192</t>
  </si>
  <si>
    <t>Formulation including a combination of beta-endorphin and adrenocorticotropic hormone</t>
  </si>
  <si>
    <t>Charles Peter  Lollo, Dennis J  Carlo</t>
  </si>
  <si>
    <t xml:space="preserve">A61K38/33; A61K38/35; A61K38/35; A61K38/33; A61K2300/00; </t>
  </si>
  <si>
    <t>The present specification provides compositions of β-endorphin and adrenocorticotropic hormone (ACTH). These compositions are useful in methods of treating disease.</t>
  </si>
  <si>
    <t>US11284654</t>
  </si>
  <si>
    <t>Breathable face mask</t>
  </si>
  <si>
    <t>Kevin  Plank, Kyle  Blakely, Ella Mae  Holmes, Jami  Dunbar, Kasey  Jarvis</t>
  </si>
  <si>
    <t xml:space="preserve">A41D13/113; A41D13/113; A41D13/1161; A41D13/1161; A41D13/1192; A41D31/185; A62B23/025; A41D13/1192; A41D2500/10; A41D2500/10; </t>
  </si>
  <si>
    <t>A face mask face mask is configured to be worn on a human head and includes a face shield and at least one mounting strap. The face shield includes a multi-layer body portion comprising an outer layer, a middle layer and an inner layer. The outer layer is provided by a stitched fabric spacer, the middle layer provided by an open cell foam, and the inner layer provided a stretch fabric. The at least one mounting strap is an ear loop provided by a free-cut piece of fabric defined by an elongated narrow center portion positioned between an enlarged first end and an enlarged second end opposite the first end.</t>
  </si>
  <si>
    <t>US11282532</t>
  </si>
  <si>
    <t>Participant-individualized audio volume control and host-customized audio volume control of streaming audio for a plurality of participants who are each receiving the streaming audio from a host within a videoconferencing platform, and who are also simultaneously engaged in remote audio communications with each other within the same videoconferencing platform</t>
  </si>
  <si>
    <t>17/459250</t>
  </si>
  <si>
    <t>SLOTZNICK, BENJAMIN</t>
  </si>
  <si>
    <t>SLOTZNICK BENJAMIN</t>
  </si>
  <si>
    <t>Benjamin  Slotznick</t>
  </si>
  <si>
    <t xml:space="preserve">G10L21/0208; G10L21/0232; G10L25/57; H04M3/002; H04M3/568; H04N7/147; H04N7/15; H04N7/15; G10L2021/02082; G10L2021/02082; G10L2021/02166; </t>
  </si>
  <si>
    <t>Methods and systems are provided for participant-individualized audio volume control and host-customized audio volume control of streaming audio for a plurality of participants who are each receiving the streaming audio from a host within a videoconferencing platform, and who are also simultaneously engaged in remote audio communications with each other within the same videoconferencing platform.</t>
  </si>
  <si>
    <t>US11281194</t>
  </si>
  <si>
    <t>Immune pathway management system</t>
  </si>
  <si>
    <t>17/329771</t>
  </si>
  <si>
    <t>ART RESEARCH AND TECH L L C</t>
  </si>
  <si>
    <t>ART RESEARCH AND TECH L</t>
  </si>
  <si>
    <t>Barry  Fernando</t>
  </si>
  <si>
    <t xml:space="preserve">G05B19/41865; G16H10/40; G16H10/60; </t>
  </si>
  <si>
    <t>The system utilizes a laboratory data management system (LDMS), a medical data management system (MDMS) and external data sources. The system processes data across multiple laboratories, different input variables (lab assays), specific laboratory tests, specific laboratory testing capabilities and variable outputs. The system measures, documents and manages the immune response by providing the user with actionable laboratory results, triggers and events.</t>
  </si>
  <si>
    <t>US11280504</t>
  </si>
  <si>
    <t>Low air leakage, secure clean room with reduced contamination and secure chemical resistance</t>
  </si>
  <si>
    <t>17/324428</t>
  </si>
  <si>
    <t>Crawford, III, James T.; Waters, Jr., Edward W.; Jacobs, Christopher</t>
  </si>
  <si>
    <t>CRAWFORD III</t>
  </si>
  <si>
    <t>Iii James T  Crawford, Jr Edward W  Waters, Christopher  Jacobs</t>
  </si>
  <si>
    <t xml:space="preserve">B01D46/0005; B01D46/12; F24F3/167; F24F8/108; F24F8/108; F24F13/28; F24F13/28; B01D2271/00; B01D2271/00; B01D2271/02; B01D2271/02; B01D2271/022; B01D2279/51; F24F2003/008; F24F3/167; </t>
  </si>
  <si>
    <t>A clean room supporting multiple air filter elements within a frame having multiple tracks to support extensions on individual edges of the air filter elements. Within the multiple tracks are a tape of elastic ultralow density polytetrafluoroethylene polymer having a specific density of always less than 1.0, preferably less than 0.8 and most preferred as greater than 0.25 and less than 0.6 positioned along the length of the tracks.</t>
  </si>
  <si>
    <t>US11279727</t>
  </si>
  <si>
    <t>Anti-viral compounds and methods of use</t>
  </si>
  <si>
    <t>Matthew  Baevsky, Bruce  Szczepankiewicz, Karen  Lavery, David J  Livingston</t>
  </si>
  <si>
    <t xml:space="preserve">A61K9/0053; A61K9/0053; A61K31/706; A61P31/14; A61P31/14; C07H19/048; C07H19/048; </t>
  </si>
  <si>
    <t>The present disclosure relates to compounds and compositions for use in treating disease, such as viral infection. As disclosed herein, the compounds include an “NMN-like” moiety linked to another moiety with biological activity upon administration. In some cases, the disease to be treated is infection with viruses. Such viruses include coronaviruses, such as SARS, MERS, or COVID-19, HIV, and viruses associated with hepatitis. Further, the invention relates to methods of using such compounds or compositions to promote the increase of intracellular levels of nicotinamide adenine dinucleotide (NAD) in cells and tissues for treating diseases and/or improving cell and tissue survival.</t>
  </si>
  <si>
    <t>US11278750</t>
  </si>
  <si>
    <t>PAPR frame</t>
  </si>
  <si>
    <t>17/379054</t>
  </si>
  <si>
    <t>ACOMB DONALD</t>
  </si>
  <si>
    <t>Donald  Acomb</t>
  </si>
  <si>
    <t xml:space="preserve">A41D13/1184; A62B7/10; A62B7/12; A62B9/04; G10K11/161; </t>
  </si>
  <si>
    <t>The PAPR frame is a low cost solution that allows the assembly of a PAPR device from readily available off-the-shelf elements. To assemble the PAPR device, a face shield is inserted into the PAPR frame. To utilize the PAPR device, a user inserts the visor of a hat into the PAPR frame and wears the hat. The PAPR device may further include tubing segments; the tubing segments are inserted into tubing apertures arranged through a top curved piece of the PAPR frame. The PAPR device may also further include one or two sound attenuation structures, which are used to dampen the potential noise generated by the air flow within the PAPR device.</t>
  </si>
  <si>
    <t>US11278636</t>
  </si>
  <si>
    <t>Ozone disinfecting system and devices configured to convert water into ozone for disinfecting, cleaning, or sanitizing</t>
  </si>
  <si>
    <t>Mark  Claussner, John  Kazmer</t>
  </si>
  <si>
    <t xml:space="preserve">A47K10/38; A47K10/38; A47L13/50; A47L13/51; A61L2/183; A61L2/26; B08B1/006; C01B13/10; C11D3/48; C11D3/48; C11D11/0094; C11D17/049; C11D17/049; A61L2101/02; A61L2202/11; A61L2202/14; A61L2202/17; B08B2203/005; B08B2203/005; </t>
  </si>
  <si>
    <t>An ozone disinfecting system includes a water holding tank configured to hold water for use by the ozone disinfecting system. An ozone generator machine is configured to convert the water into an ozone cleaner agent. An ozone holding tank is configured to hold the ozone cleaner agent created by the ozone generator machine. A drain is configured to drain fluid from the ozone holding tank to the water holding tank. A pump is configured to cycle the fluid from the water holding tank to the ozone generator machine and into the ozone holding tank. A controller is configured to control the pump, the ozone generator machine, and the drain. Wherein, the controller controls the pump, the ozone generator machine and the drain to create the ozone cleaner agent from the water and cycle it between the water holding tank and the ozone holding tank at a specified cycle time.</t>
  </si>
  <si>
    <t>US11278619</t>
  </si>
  <si>
    <t>DNA antibody constructs and method of using same</t>
  </si>
  <si>
    <t>David B  Weiner, Karuppiah  Muthumani, Seleeke  Flingai, Niranjan  Sardesai</t>
  </si>
  <si>
    <t xml:space="preserve">A61K39/39558; A61K48/0016; A61K48/0016; A61K48/0016; A61K48/0066; A61K48/0066; A61K48/0066; A61P35/00; A61P37/02; C07K14/82; C07K16/1063; C07K16/1063; C07K16/1063; C07K16/1081; C07K16/1081; C07K16/1081; C07K16/28; C07K16/3069; C07K16/3069; C07K16/3069; C07K16/32; C07K16/32; C07K16/32; C12N15/09; G01N33/531; A61K2039/505; A61K2039/505; A61K2039/505; A61K2039/53; A61K2039/53; A61K2039/53; C07K16/00; C07K2317/21; C07K2317/21; C07K2317/21; C07K2317/55; C07K2317/55; C07K2317/55; C07K2317/76; C07K2317/76; C07K2317/76; C07K2319/00; C07K2319/02; C12N2800/107; C12N2800/107; C12N2800/22; C12N2800/22; C12N2830/50; C12N2830/50; C12N2840/60; C12N2840/60; </t>
  </si>
  <si>
    <t>Disclosed herein is a composition including a recombinant nucleic acid sequence that encodes an antibody. Also disclosed herein is a method of generating a synthetic antibody in a subject by administering the composition to the subject. The disclosure also provides a method of preventing and/or treating disease in a subject using said composition and method of generation.</t>
  </si>
  <si>
    <t>US11278612</t>
  </si>
  <si>
    <t>Multivalent influenza nanoparticle vaccines</t>
  </si>
  <si>
    <t>Sarathi  Boddapati, Anushree  Herwadkar, Jason  Wong, Yen-huei  Lin, Gale  Smith, Jing-hui  Tian</t>
  </si>
  <si>
    <t xml:space="preserve">A61K9/0051; A61K9/0051; A61K9/51; A61K9/51; A61K39/12; A61K39/12; A61K39/145; A61K39/145; A61K39/145; A61K39/295; A61P31/16; A61P31/16; A61P31/16; A61P31/16; A61K2039/55555; A61K2039/55555; A61K2039/55555; A61K2039/55577; A61K2039/55577; A61K2039/55577; A61K2039/70; A61K2039/70; A61K2039/70; A61K2039/70; C12N2760/16134; C12N2760/16134; C12N2760/16134; C12N2760/16171; C12N2760/16171; C12N2760/16171; C12N2760/16234; C12N2760/16234; C12N2760/16234; C12N2760/16271; C12N2760/16271; C12N2760/16271; </t>
  </si>
  <si>
    <t>Disclosed herein are multivalent nanoparticle vaccine compositions suitable for use in influenza vaccines. The nanoparticles include effective amounts of influenza glycoproteins that provide increased immune responses compared to a commercially available influenza vaccine composition. The present disclosure also provides vaccine formulation strategies that are cost effective and are convenient for clinical use. Methods of administering the nanoparticle vaccine compositions to a subject are also disclosed.</t>
  </si>
  <si>
    <t>US11278602</t>
  </si>
  <si>
    <t>Medicine for Covid-19 and treatment</t>
  </si>
  <si>
    <t>Kalervo  Väänänen, Lauri  Kangas, Matti  Rihko</t>
  </si>
  <si>
    <t xml:space="preserve">A61K9/0043; A61K9/007; A61K31/136; A61K31/136; A61K31/14; A61K31/216; A61K31/216; A61K31/24; A61K31/245; A61K31/26; A61K31/26; A61K31/352; A61K31/352; A61K31/365; A61K31/465; A61K31/465; A61K31/4706; A61K31/4706; A61K31/7048; A61K31/7048; A61K33/40; A61K33/40; A61K38/4826; A61K38/4826; A61K38/57; A61K45/06; A61K45/06; A61K47/02; A61P31/14; A61P31/14; </t>
  </si>
  <si>
    <t>The invention concerns a medicine and a prophylactic medicine for COVID-19 disease. The inventive medicine targets the endosomic, non-endosomic and/or intracellular viral pathways and inhibits them. The best mode of the invention is considered to be the medicine that blocks all three viral pathways. In the best mode the individual dose of a constituent component of the medicine is arranged to a dosage size sufficient to inhibit its designated SARS-CoV-2 viral pathway. This allows the dose of a particular pharmacological agent to be smaller than in a drug with just one kind of pharmacological agent. The best mode of the invention shuts the two cell membrane viral pathways and the one intracellular viral pathway with the minimum efficient dose, thereby preventing drug overdose, and enabling prophylactic or preventive use.</t>
  </si>
  <si>
    <t>US11278598</t>
  </si>
  <si>
    <t>Methods for treating diseases associated with respiratory viruses</t>
  </si>
  <si>
    <t>David  Bar-or, Holli  Cherevka</t>
  </si>
  <si>
    <t xml:space="preserve">A61K9/0078; A61K31/20; A61K31/20; A61K31/405; A61K31/405; A61K31/495; A61K31/495; A61K38/385; A61K38/385; A61P11/00; A61P11/00; A61P31/14; A61P31/14; </t>
  </si>
  <si>
    <t>The present disclosure provides a method of treating a disease associated with a respiratory virus. The method comprises administering an effective amount of a pharmaceutical composition prepared by removing albumin from a solution of a human serum albumin composition and/or comprising a diketopiperazine with amino acid side chains of aspartic acid and alanine (DA-DKP), such as a low molecular weight fraction of human serum albumin. The present disclosure also provides a pharmaceutical product as well as a kit comprising DA-DKP.</t>
  </si>
  <si>
    <t>US11278520</t>
  </si>
  <si>
    <t>Method of preventing COVID-19 infection</t>
  </si>
  <si>
    <t>Sabine  Hazan</t>
  </si>
  <si>
    <t xml:space="preserve">A61K31/375; A61K31/375; A61K31/593; A61K31/593; A61K33/30; A61K33/30; </t>
  </si>
  <si>
    <t>A method of preventing COVID-19 infection in a healthy individual, the method comprising the steps of a) providing the healthy individual; b) administering, on day 1, 10,000 mg of vitamin C, 40,000 mg of vitamin D, and 50 mg of zinc; c) administering daily, on days 2 and 3, 10,000 mg of vitamin c and 50 mg of zinc; d) administering daily, on days 4 through 7, 3,000 mg of vitamin c and 50 mg of zinc; and e) repeating steps b) and c) for 1 to 23 weeks.</t>
  </si>
  <si>
    <t>US11278264</t>
  </si>
  <si>
    <t>Oral fluid, saliva and sputum collection device and method</t>
  </si>
  <si>
    <t>17/226980</t>
  </si>
  <si>
    <t>ORASECURE LLC</t>
  </si>
  <si>
    <t>ORASECURE</t>
  </si>
  <si>
    <t>Iii Thomas M  Eden, Mary E  Hines, Patricia G  Mccoy, William  Corl</t>
  </si>
  <si>
    <t xml:space="preserve">A61B10/0051; A61B10/0051; A61B10/0096; A61B2560/04; </t>
  </si>
  <si>
    <t>Disclosed herein are devices and methods for collecting oral fluids, saliva, or sputum. One exemplary device includes a collection cup with a hollow needle extending from a bottom end of the cup, where the hollow needle is covered with a compressible sleeve. A clear vacuum tube is positioned beneath the hollow needle. Oral fluids, saliva, or sputum from a donor are collected into the collection cup, and the vacuum tube is pushed onto the hollow needle and the hollow needle passes through the compressible sleeve, through a seal of the vacuum tube, and into the vacuum tube. Oral fluids, saliva, or sputum from the collection cup are drawn into the vacuum tube until the vacuum in the vacuum tube dissipates. An oral fluid specimen is, thus, provided ready for laboratory transport, point of collection screening, or diagnostic analysis while the oral fluid specimen is still in the transparent vacuum tube.</t>
  </si>
  <si>
    <t>US11278067</t>
  </si>
  <si>
    <t>Brim mounted face shields and methods of using same</t>
  </si>
  <si>
    <t>Ii Daniel Patrick  Brown, Iii Daniel Patrick  Brown</t>
  </si>
  <si>
    <t xml:space="preserve">A41D13/1161; A41D13/1161; A41D13/1184; A42B1/0181; </t>
  </si>
  <si>
    <t>A face protector for reducing the transmission of pathogens (including but not limited to viruses such as COVID-19) between individuals, along with methods of making and using the same, are generally provided herein. More specifically embodiments of face protectors that are configured to be supported by the bill of a hat, visor, or other headgear are disclosed, wherein the face protector provides a physical barrier separating the wearer's face from the environment. Embodiments include side panels to provide additional protection and/or wings to provide additional support. Fasteners may be used with embodiments to secure the face protector to the brim or headgear. Radiation (such as ultraviolet light) may be used to sanitize air as it moves past the edge of the face protector. An embodiment includes a projection configured to cover the bill of the headgear.</t>
  </si>
  <si>
    <t>US11277405</t>
  </si>
  <si>
    <t>Dual biometric authentication and biometric health monitoring using chemosensory and internal imaging data</t>
  </si>
  <si>
    <t>Jr Robert M  Adams, Mark  Schnitzer, Amanda  Adams</t>
  </si>
  <si>
    <t xml:space="preserve">G06F16/2365; G06F16/955; G06F21/30; G06F21/32; G06F21/32; G06V40/10; G06V40/10; G06V40/70; H04L63/0861; H04L63/0861; H04L63/102; G06V10/426; G06V20/64; G06V40/1365; G06V40/14; G06V40/14; G06V40/15; G06V2201/033; H04W12/06; </t>
  </si>
  <si>
    <t>Biometric health monitoring of a specific user or population is performed during biometric authentication for granting access to physical or digital assets. If biometric authentication, biometric verification and biometric health monitoring is acceptable, access to the physical or digital assets is allowed. Likewise, if a health anomaly is detected in a specific user or if an outbreak is detected in a specific community, an electronic notification can be sent to the individual, a health administrator, or to a government official, and access may be denied to the specific user.</t>
  </si>
  <si>
    <t>US11275595</t>
  </si>
  <si>
    <t>System and method for programming a monitoring device</t>
  </si>
  <si>
    <t>Kenneth  Neumann</t>
  </si>
  <si>
    <t xml:space="preserve">G06F9/4451; G06N20/00; A61B5/00; </t>
  </si>
  <si>
    <t>A system for programming a monitoring device includes a computing device configured to obtain a user datum of a plurality of user datums from a monitoring device, calculate a signal profile as a function of the user datum, identify a scan frequency correlated to the signal profile, wherein identifying further comprises receiving a frequency training set relating at least a first element of a vigor element to at least a first frequency requirement and using a frequency machine learning process, wherein the frequency machine learning process is configured using the signal training set, generate a device scheme as a function of the scan frequency, and program the monitoring device as a function of the device scheme.</t>
  </si>
  <si>
    <t>US11275407</t>
  </si>
  <si>
    <t>Detect&amp;Monitor; Devices</t>
  </si>
  <si>
    <t>Pandemic wristband</t>
  </si>
  <si>
    <t>17/477441</t>
  </si>
  <si>
    <t>Shari L  Edwards</t>
  </si>
  <si>
    <t xml:space="preserve">A44C5/0015; G06F1/163; G06K19/06037; G06Q50/26; G16H10/65; G16H50/80; G16H40/67; </t>
  </si>
  <si>
    <t>A wearable computing contact tracing, medical tracking and passport device has a main body with a QR code, at least one indicator light, a location tracker, and a processor. The indicator light provides a first visual indication, such as a red light, of when the user has been exposed to a pandemic disease and a second visual indication, such as a green light, of when the user is immune to the pandemic disease.</t>
  </si>
  <si>
    <t>US11275091</t>
  </si>
  <si>
    <t>SARS-COV-2 infection biomarkers and uses thereof</t>
  </si>
  <si>
    <t xml:space="preserve">A61K31/519; A61K31/519; A61K45/06; G01N33/6863; G01N33/6893; G01N2333/165; G01N2333/5421; G01N2333/56; G01N2333/57; G01N2800/52; </t>
  </si>
  <si>
    <t>Disclosed herein are methods that employ the use of one or more biomarkers for the treatment of SARS-CoV-2 infected individuals (COVID-19 patients). The methods may employ detection and measurement of one or more cytokines, the measurement of which may be used to treat COVID-19 patients with one or more immunomodulatory therapies.</t>
  </si>
  <si>
    <t>US11274352</t>
  </si>
  <si>
    <t>Infectious disease screening device</t>
  </si>
  <si>
    <t>Imad  Lahoud, Saleh Ghannam Almazrouei Mohammed  Alshaiba, Sajid  Bhatti, Jeff  Machovec, Clement  Lamoureux</t>
  </si>
  <si>
    <t xml:space="preserve">B01L3/502; B01L3/5027; B01L7/52; B01L7/52; B01L7/525; C12M35/04; C12M47/06; C12M47/06; C12Q1/70; C12Q1/701; B01L2200/0631; B01L2200/10; B01L2200/143; B01L2300/0681; B01L2300/0816; B01L2300/1805; B01L2300/1827; B01L2300/1883; B01L2400/0439; B01L2400/0478; B01L2400/0644; </t>
  </si>
  <si>
    <t>A disease screening device (100) comprising a substrate (101) and a sonication chamber (102) formed on the substrate (101). The sonication chamber (102) is provided with an ultrasonic transducer (105) which generates ultrasonic waves to lyse cells in a sample fluid within the sonication chamber (102). The device (100) comprises a reagent chamber (111) formed on the substrate (101) for receiving a liquid PCR reagent. The device (100) comprises a controller (23) which controls the ultrasonic transducer (105) and a heating arrangement (128) which is provided on the substrate (101). The device (100) further comprises a detection apparatus which detects the presence of an infectious disease, such as COVID-19 disease.</t>
  </si>
  <si>
    <t>US11273330</t>
  </si>
  <si>
    <t>Method and apparatus for performance of thermal bronchioplasty to reduce COVID-19-induced respiratory distress and treat COVID-19-damaged distal lung regions</t>
  </si>
  <si>
    <t>Reinhard J  Warnking</t>
  </si>
  <si>
    <t xml:space="preserve">A61B1/07; A61B1/2676; A61B18/0206; A61B18/1492; A61N7/00; A61N7/02; A61B2018/00023; A61B2018/0022; A61B2018/0022; A61B2018/00285; A61B2018/00541; A61B2018/00541; A61B2018/00982; A61B2018/00982; A61B2018/00994; A61B2018/0212; A61B2090/061; A61B2090/065; A61B2090/306; A61B2090/3614; A61N2007/0004; A61N2007/0043; </t>
  </si>
  <si>
    <t>Apparatus and methods for deactivating pulmonary nerves extending along the main bronchi of a mammalian subject to reduce ARDS effects by advancing an ultrasound transducer into the right and subsequently left main bronchus. The ultrasound transducer emits circumferential ultrasound so as to heat a circumferential tissue volume encompassing the right and left main bronchus. The energy of &lt;10 W acoustic for &lt;5 sec will not be sufficient to cause tissue necrosis but sufficient to inactivate nerve conduction. This treatment can be performed without locating or focusing on individual pulmonary nerves.</t>
  </si>
  <si>
    <t>US11273163</t>
  </si>
  <si>
    <t>Antiviral treatment</t>
  </si>
  <si>
    <t>Eszter  Nagy, Gabor  Nagy, Valeria  Szijarto, Robert  Konrat</t>
  </si>
  <si>
    <t xml:space="preserve">A61K31/55; A61K31/55; A61P31/14; A61P31/14; </t>
  </si>
  <si>
    <t>A method of treating a subject in need of anti-Coronavirus treatment comprising prophylactic or therapeutic treatment, with an antiviral effective amount of an Azelastine compound, wherein the antiviral effective amount is 0.1-500 μg per dose; use of an Azelastine compound as an antiviral substance in a medicinal product for treating a biological surface to prevent from Coronavirus infection and/or Coronavirus spread, and use of an Azelastine compound as viral disinfectant.</t>
  </si>
  <si>
    <t>US11272859</t>
  </si>
  <si>
    <t>System and method of determining respiratory status from oscillometric data</t>
  </si>
  <si>
    <t>17/321812</t>
  </si>
  <si>
    <t>J2 CLOUD SERVICES, LLC</t>
  </si>
  <si>
    <t>CLOUD</t>
  </si>
  <si>
    <t>Vesal  Badee, Sara  Ross-howe, Josh  Haid, Lamiaa  Amzil, Cezar  Morun, Bonghun  Shin</t>
  </si>
  <si>
    <t xml:space="preserve">A61B5/0816; A61B5/0826; A61B5/091; A61B5/165; A61B5/4824; A61B5/6824; A61B5/721; A61B7/003; A61B5/1113; A61B2562/0219; </t>
  </si>
  <si>
    <t>A system and method for determining the respiratory and other physiological status of a patient. Here, an oscillometric device is mounted on a patient's limb, and oscillometric pulse waveforms are obtained as the device's cuff deflates, thus obtaining pulse wave signals and artifact signals over multiple patient breaths. A computer processor analyzes these signals, and removes artifacts according to various algorithms. The resulting signal can be viewed as containing both an amplitude modulated envelope of pulse waves (AM signals) and a frequency modulated sequence of pulses at various time intervals (FM signals). The main harmonics of the AM and FM signals contain respiratory status data, and the system analyzes both signals. Breathing depth and even pain data may also be obtained by this method. Artifacts caused by aberrant breathing can be distinguished using non-contact microphones and suitable algorithms. The final respiratory status data is output or stored in memory.</t>
  </si>
  <si>
    <t>US11272749</t>
  </si>
  <si>
    <t>Waterseal virus-killing mask</t>
  </si>
  <si>
    <t>Min  Wu, Guowei  Jiang, Xinlin  Li, Gongfa  Chen, Guangwei  Chen, Fangsen  Cui</t>
  </si>
  <si>
    <t xml:space="preserve">A41D13/1192; A41D13/1192; A62B7/00; A62B7/10; A62B9/00; A62B9/06; A62B19/00; A62B23/02; A62B23/02; A62B23/025; </t>
  </si>
  <si>
    <t>Disclosed is a waterseal virus-killing mask, including a mask body, a liquid virus-killing assembly, and two elastic ear loops. A breather valve is disposed on an outer surface of the mask body. The two elastic ear loops are disposed on two sides of the mask body, respectively. The liquid virus-killing assembly includes a U-shaped tube within which disinfectant is provided. A disinfectant replenishing tube is vertically disposed at an upper end in the middle of the U-shaped tube. A first horizontal straight tube and a second horizontal straight tube are separately disposed at two ends of the U-shaped tube. A left end of the first horizontal straight tube is in communication with an opening of the breather valve. A first filter mesh used to separate water and air is disposed at a right end of the first horizontal straight tube.</t>
  </si>
  <si>
    <t>US11270566</t>
  </si>
  <si>
    <t>Public safety official accessories having an infrared thermometer</t>
  </si>
  <si>
    <t>17/307799</t>
  </si>
  <si>
    <t>BK TECHNOLOGIES, INC.</t>
  </si>
  <si>
    <t>Daniel Kyle  Cerminara, Timothy Anthony  Vitou, Juan Jose  Giol, Edmund Amartei  Laryea, Jr Lorenzo  Cruger</t>
  </si>
  <si>
    <t xml:space="preserve">G01J5/0025; G01J5/04; G01J5/0875; G08B7/06; G08B21/0453; H04N7/18; G08B3/10; G08B5/36; </t>
  </si>
  <si>
    <t>Public safety official accessories, such as remote speaker microphones and body cameras, can include an infrared thermometer for enabling public safety officials to detect whether individuals have fevers. Temperature readings obtained using the public safety official accessories can be output to a display of a radio or of the public safety official accessory. By integrating an infrared thermometer into a public safety official accessory, the public safety official can discreetly determine whether an individual has a fever.</t>
  </si>
  <si>
    <t>US11269306</t>
  </si>
  <si>
    <t>HVAC system with building infection control</t>
  </si>
  <si>
    <t>Michael J  Risbeck, Kirk H  Drees, Jonathan D  Douglas</t>
  </si>
  <si>
    <t xml:space="preserve">F24F8/10; F24F8/10; F24F8/20; F24F8/22; F24F11/47; F24F11/47; F24F11/52; F24F11/64; F24F11/64; F24F11/70; G05B19/042; F24F8/22; F24F11/52; F24F2110/10; F24F2110/10; F24F2110/20; F24F2110/20; F24F2110/50; F24F2110/65; F24F2120/20; F24F2120/20; F24F2140/60; F24F2140/60; G05B15/02; G05B19/04; G05B2219/2614; G06F30/20; Y02B30/70; </t>
  </si>
  <si>
    <t>A heating, ventilation, or air conditioning (HVAC) system for one or more building zones includes airside HVAC equipment operable to provide clean air to the one or more building zones and a controller. The controller is configured to obtain a dynamic temperature model and a dynamic infectious quanta model for the one or more building zones, determine an infection probability, and generate control decisions for the airside HVAC equipment using the dynamic temperature model, the dynamic infectious quanta model, and the infection probability.</t>
  </si>
  <si>
    <t>US11268224</t>
  </si>
  <si>
    <t>Apparatus and method for manufacturing masks</t>
  </si>
  <si>
    <t>17/363044</t>
  </si>
  <si>
    <t>AVIRAM F INDUSTRIES LTD.</t>
  </si>
  <si>
    <t>AVIRAM INDUSTRIES</t>
  </si>
  <si>
    <t>Aviram  Frost</t>
  </si>
  <si>
    <t xml:space="preserve">B65H37/04; B65H39/16; D05B33/02; D05B35/00; D06H5/00; A41D13/1123; A41D2500/30; A41H43/04; D05D2305/02; D05D2305/04; D10B2501/042; </t>
  </si>
  <si>
    <t>An apparatus for manufacturing trapezoid-shaped masks is disclosed. The apparatus may include, a first feeding unit, for providing three or more rolled fabrics; a second feeding unit, for providing one or more rolled materials, simultaneously to the provision of the three or more rolled fabrics; a first folding and joining unit, for folding and joining together edges of three or more fabrics provided by the first feeding unit to form a joint multilayered fabric; a second folding and joining unit, for folding and joining the edges of one or more materials provided by the second feeding unit to form folded material; and a joining unit configured to join together the joint multilayered fabric and the folded material, by forming the continuous joint thereby forming at least two masks in relatively alternating positions, such that the open side of one mask is pointing in an opposite direction from the open side of the other mask.</t>
  </si>
  <si>
    <t>US11266855</t>
  </si>
  <si>
    <t>Photoeradication of microorganisms with pulsed purple or blue light</t>
  </si>
  <si>
    <t>Chukuka S  Enwemeka, John C  Castel</t>
  </si>
  <si>
    <t xml:space="preserve">A61K41/0057; A61K41/0061; A61K41/0071; A61K41/0071; A61L2/0047; A61L2/0052; A61L2/0052; A61L2/0058; A61L2/0076; A61L2/0076; A61L2/084; A61L2/10; A61L2/24; A61L2/28; A61M16/0666; A61N5/0603; A61N5/062; A61N5/062; A61N5/0624; A61N5/0624; A61B2017/00154; A61L2202/11; A61M16/06; A61M16/0683; A61M2202/203; A61M2202/206; A61M2205/051; A61M2205/051; A61M2205/053; A61M2210/0618; A61N2005/0606; A61N2005/0606; A61N2005/0607; A61N2005/0607; A61N2005/0645; A61N2005/0645; A61N2005/0652; A61N2005/0652; A61N2005/0663; </t>
  </si>
  <si>
    <t>The present invention is directed to a system and method for photoeradication of microorganisms from a target. The method includes the step of obtaining test data for a plurality of experiments each of which comprises irradiating test microorganisms with a plurality of light pulses having a wavelength that ranges from 380 nm to 500 nm. The light pulses have a plurality of pulse parameters (peak irradiance, pulse duration, and off time between adjacent light pulses) and are provided at a radiant exposure that ranges from 0.5 J/cm2 to 60 J/cm2 during each of a plurality of irradiation sessions. The test data comprises a survival rate for the test microorganisms after irradiation with the light pulses. The method also includes the step of analyzing the test data to identify the pulse parameters for the light pulses and the radiant exposure for each of the irradiation sessions that result in a desired survival rate for the test microorganisms. The method further includes the step of irradiating the microorganisms of the target with light pulses having the identified pulse parameters at the identified radiant exposure for each of the irradiation sessions so as to photoeradicate all or a portion of the microorganisms.</t>
  </si>
  <si>
    <t>US11266723</t>
  </si>
  <si>
    <t>Methods and compositions for treating coronavirus infections</t>
  </si>
  <si>
    <t>Michael  Powell, Erick Vidjin' Agnih  Gbodossou</t>
  </si>
  <si>
    <t xml:space="preserve">A61K9/0053; A61K9/0095; A61K35/76; A61K36/42; A61K38/47; A61K38/47; A61K45/06; A61P31/14; A61P31/14; C07K14/415; C12Y302/01014; C12Y302/01014; A61K48/00; C12N2750/14143; C12N2750/14143; </t>
  </si>
  <si>
    <t>The present application relates to a compositions and methods comprising or expressing a HEVAR or MOMO30 protein derived from Momordica balsamina. The HEVAR or MOMO30 protein and/or a nucleic acid encoding the same may be used in methods for treating or preventing viral infections, particularly those caused by coronaviruses, such as SARS-CoV-2.</t>
  </si>
  <si>
    <t>US11266707</t>
  </si>
  <si>
    <t>Nutraceuticals for the prevention, inhibition, and treatment of SARS-CoV-2 and associated COVID-19</t>
  </si>
  <si>
    <t>Thomas E  Ichim, Timothy G  Dixon</t>
  </si>
  <si>
    <t xml:space="preserve">A61K31/09; A61K31/09; A61K31/122; A61K31/122; A61K31/26; A61K31/26; A61K31/353; A61K31/353; A61K36/31; A61K36/31; A61K36/45; A61K36/45; A61K36/71; A61K36/71; A61K36/82; A61K36/82; </t>
  </si>
  <si>
    <t>Disclosed herein are methods of treating or preventing complications associated with a SARS-CoV-2 infection, comprising: administration of a combination comprising: a) Green Tea and/or extract thereof; b) Blueberry and/or extract thereof; c) Nigella sativa and/or extract thereof; and d) broccoli and/or extract thereof in an amount and frequency sufficient to treat or prevent complications associated with said SARS-CoV-2 infection.</t>
  </si>
  <si>
    <t>US11266681</t>
  </si>
  <si>
    <t>Compositions comprising an RNA polymerase inhibitor and cyclodextrin for treating viral infections</t>
  </si>
  <si>
    <t>16/865209</t>
  </si>
  <si>
    <t>Nate  Larson, Robert G  Strickley</t>
  </si>
  <si>
    <t xml:space="preserve">A61K9/0019; A61K9/0019; A61K9/19; A61K9/19; A61K31/683; A61K31/683; A61K31/724; A61K31/724; A61K47/40; A61K47/40; A61K47/6951; A61P31/12; A61P31/12; Y02A50/30; </t>
  </si>
  <si>
    <t>The present disclosure provides a composition comprising Compound 1, or a pharmaceutically acceptable salt thereof, cyclodextrin, and, optionally, pH adjusting agents.</t>
  </si>
  <si>
    <t>US11266666</t>
  </si>
  <si>
    <t>16/881419</t>
  </si>
  <si>
    <t>Byoung Kwon  Chun, Michael O' Neil Hanrahan  Clarke, Edward  Doerffler, Hon Chung  Hui, Robert  Jordan, Richard L  Mackman, Jay P  Parrish, Adrian S  Ray, Dustin  Siegel</t>
  </si>
  <si>
    <t xml:space="preserve">A61K31/00; A61K31/00; A61K31/00; A61K31/4375; A61K31/53; A61K31/53; A61K31/53; A61K31/53; A61K31/53; A61K31/53; A61K31/6615; A61K31/6615; A61K31/6615; A61K31/665; A61K31/665; A61K31/665; A61K31/665; A61K31/675; A61K31/675; A61K31/675; A61K31/675; A61K31/675; A61K31/675; A61K31/683; A61K31/683; A61K31/683; A61K31/685; A61K31/685; A61K31/685; A61K31/685; A61K31/685; A61K31/685; A61K31/7052; A61K31/7056; A61K31/7056; A61K31/7056; A61K31/706; A61K31/706; A61K31/706; A61K31/706; A61K45/06; A61K45/06; A61K45/06; A61P31/00; A61P31/12; A61P31/14; A61P43/00; C07D487/04; C07D487/04; C07D487/04; C07D487/04; C07D487/04; C07D487/04; C07D519/00; C07D519/00; C07D519/00; C07D519/00; C07D519/00; C07F9/2429; C07F9/2429; C07F9/2429; C07F9/2429; C07F9/2429; C07F9/6561; C07F9/65616; C07F9/65616; C07F9/65616; C07F9/65616; C07F9/65616; C07H1/00; C07H1/00; C07H1/00; C07H1/00; C07H1/00; C07H1/02; C07H1/02; C07H1/02; C07H1/02; C07H1/02; C07H1/02; C07H7/06; C07H9/02; C07H11/00; C07H11/00; C07H11/00; C07H11/00; C07H11/00; C07H13/00; C07H15/18; C07H15/18; C07H15/18; C07H15/18; C07H15/18; C07H15/18; C07H17/02; C07H19/14; A61K2300/00; A61K2300/00; </t>
  </si>
  <si>
    <t>Provided are compounds, methods, and pharmaceutical compositions for treating Filoviridae virus infections by administering ribosides, riboside phosphates and prodrugs thereof, of Formula IV:The compounds, compositions, and methods provided are particularly useful for the treatment of Marburg virus, Ebola virus and Cueva virus infections.</t>
  </si>
  <si>
    <t>US11266632</t>
  </si>
  <si>
    <t>Maslinic and oleanolic acids derivatives for treating SARS-CoV-2 infection</t>
  </si>
  <si>
    <t>17/380325</t>
  </si>
  <si>
    <t>Raya  Soltane, Hani Abdullah  Alhadrami, Ahlam  Alasiri, Hichem Ben  Jannet, Karim  Chouaib, Amani  Chrouda, Ahmed  Mostafa, Rami Adel  Pashameah</t>
  </si>
  <si>
    <t xml:space="preserve">A61K31/215; A61K31/4192; A61K31/42; A61P31/14; </t>
  </si>
  <si>
    <t>Provided are methods of using oleanolic acid and derivatives for treating coronavirus infection. The method includes using propargyl-moiety containing oleanolic acid derivatives for inhibiting coronavirus growth by impairing the viral replication of SARS-CoV-2 through inhibition of the viral function of SARS-CoV-2 main protease.</t>
  </si>
  <si>
    <t>US11266371</t>
  </si>
  <si>
    <t>Self-auscultation device and method</t>
  </si>
  <si>
    <t>17/313966</t>
  </si>
  <si>
    <t>CUNNINGHAM RANDY MARK</t>
  </si>
  <si>
    <t>Randy Mark  Cunningham</t>
  </si>
  <si>
    <t xml:space="preserve">A61B7/003; A61B7/02; A61B7/04; A61B90/98; G10L25/66; G10L25/66; G16H40/63; G16H50/20; G16H50/30; H04R1/1041; H04R1/46; H04R3/04; A61B5/0205; G06F3/162; H04R1/1025; H04R1/1041; H04R1/46; H04R29/004; H04R2420/07; H04R2420/07; </t>
  </si>
  <si>
    <t>A self-auscultation device and method of using the self-auscultation device to listen to a target anatomy is described. The self-auscultation device includes a chest piece to receive a listening device, such as an earphone. The listening device is mounted in the chest piece to detect a sound from the target anatomy, through the chest piece. The listening device can operate in a self-auscultation mode to adapt the listening device to generate audio data corresponding to the detected sound. An equalization filter can be applied to the audio data to compensate for a frequency response of the listening device. A data processing system can compare the audio data to predetermined auscultation data to determine a health condition of the target anatomy. Other embodiments are also described and claimed.</t>
  </si>
  <si>
    <t>US11266316</t>
  </si>
  <si>
    <t>Systems and methods for diurnal curve tracking and analysis</t>
  </si>
  <si>
    <t>17/245157</t>
  </si>
  <si>
    <t xml:space="preserve">A61B5/0008; A61B5/0008; A61B5/01; A61B5/01; A61B5/6801; A61B5/6801; A61B5/6898; A61B5/6898; A61B5/7275; A61B5/7275; G16H40/67; G16H50/20; G16H50/20; G16H50/30; G16H50/50; G16H50/70; A61B2562/0271; A61B2562/0271; </t>
  </si>
  <si>
    <t>Systems and methods for diurnal curve generations, tracking, and analysis are provided. Based on a user's demographic, or a user's baseline diurnal curve, insights into a user's temperature reading can be produced. Such insights can be used to, for example, assess the probability that the user is experiencing a fever, which can be used in screening for medical diagnostic testing.</t>
  </si>
  <si>
    <t>US11266189</t>
  </si>
  <si>
    <t>Anti-microbial, disinfection chamber respiratory face mask/shield</t>
  </si>
  <si>
    <t>Sharon A  Keene, Benjamin J  Davenport</t>
  </si>
  <si>
    <t xml:space="preserve">A41D13/1107; A41D13/1192; A41D13/1192; A61L2/10; A61L2/10; A61L9/20; A62B18/02; A62B18/08; A62B18/086; A62B23/00; A41D13/1184; A61L2202/11; A61L2202/16; A61L2202/20; </t>
  </si>
  <si>
    <t>A self-sterilizing, face mask, respirator, open or enclosed face shield employs germicidal, far UV-C light safe for direct human exposure, mitigating risk of acquisition or transmission of respiratory pathogens, such as COVID 19. Device attachments or special lenses direct far UV-C light into the respiratory chamber and/or reservoir areas of infection including nasal, oropharyngeal or ocular areas to reduce or eliminate pathogens, serving also as a treatment modality. In a preferred embodiment the face shield has a removable front section, which can be exchanged or replaced with sections that include various functional attributes while maintaining germicidal protections and avoiding need to remove PPE during these activities including consumption of liquids, oral medications or food, as well as providing antimicrobial absorbent sneeze or cough guard or rhinorrhea secretion absorption, or a communication device to address communication deficiencies caused by respiratory protection barriers.</t>
  </si>
  <si>
    <t>US11266145</t>
  </si>
  <si>
    <t>Pharma&amp;Biopharma; Sanitation</t>
  </si>
  <si>
    <t>Compositions comprising protocatechuic acid and methods of use</t>
  </si>
  <si>
    <t>Lanny L  Johnson</t>
  </si>
  <si>
    <t xml:space="preserve">A01N25/02; A01N37/40; A01N37/40; A01P1/00; A61K9/0014; A61K31/192; A61K31/192; A61L2/0088; A61L2/0088; A61L2/22; A61L2/22; A61L2/232; A61P31/14; A01N25/02; A61L2101/36; A61L2101/36; A61L2202/23; A61L2202/23; A61L2202/24; A61L2202/24; A61L2202/25; A61L2202/25; A61L2202/26; A61L2202/26; A61P31/14; </t>
  </si>
  <si>
    <t>This disclosure is directed to methods of using compositions comprising protocatechuic acid (PCA) to kill virus including a Covid-19 virus. The compositions generally comprise protocatechuic acid, a liquid vehicle, and a stabilizer. In embodiments, the liquid vehicle comprises an alcohol and/or water. In preferred embodiments, the oil is an essential oil. In embodiments, the compositions may comprise principally protocatechuic acid, liquid vehicle, and stabilizer as the main ingredients. The compositions may be sprayed onto various products and articles of manufacture, and mammalian and human skin, to kill virus including a Covid-19 virus and to further protect the product or human skin for a period of time up to 24 hours or more. In preferred embodiments, an alcohol component kills virus on contact, and after drying, the residual surface PCA coating provides a continuing anti-viral function.</t>
  </si>
  <si>
    <t>US11264140</t>
  </si>
  <si>
    <t>System and method for automated pharmaceutical research utilizing context workspaces</t>
  </si>
  <si>
    <t>17/387859</t>
  </si>
  <si>
    <t>RO5 INC.</t>
  </si>
  <si>
    <t>RO5</t>
  </si>
  <si>
    <t>Roy  Tal, Zygimantas  Jocys, Charles Dazler  Knuff</t>
  </si>
  <si>
    <t xml:space="preserve">G06F16/24575; G16H20/10; G16H70/40; </t>
  </si>
  <si>
    <t>A system and method for an automated pharmaceutical research utilizing contextual workspaces comprising a workspace drive engine, a data analysis engine, one or more machine and deep learning modules, a knowledge graph, and a workspace interface, which can create a virtual research workspace where data files containing biochemical data related to current research can be uploaded, which automatically processes and analyzes the uploaded data file to autonomously extract a plurality of information related to the uploaded data file, which performs various similarity searches on the uploaded data, and which formats and displays all the extracted information in the workspace, such that the workspace may provide a deeper contextualized view of the uploaded biochemical data.</t>
  </si>
  <si>
    <t>US11264134</t>
  </si>
  <si>
    <t>Wearable data storage and transmission device for processing sensor data</t>
  </si>
  <si>
    <t>17/316786</t>
  </si>
  <si>
    <t>PLEIOTEK</t>
  </si>
  <si>
    <t>Joshua Michael  Temkin, Melissa Greenfield  Temkin</t>
  </si>
  <si>
    <t xml:space="preserve">G06F1/163; G06F1/1656; G16H10/60; G16H40/20; G16H40/67; G16H40/67; G16H50/20; H04B5/0031; H04B5/0031; H04B5/0037; H04B5/0037; H04L67/12; H04W4/027; H04W4/38; H04W4/80; H04W4/80; A61F13/00051; H04W4/38; H04W4/90; </t>
  </si>
  <si>
    <t>A wearable data storage and transmission device and related systems that collect and store sensor data from sensors worn by a user. The device components can include a processor, battery, data storage media, NFC components, Bluetooth components, Wi-Fi components, and wired communications components. The device can remain powered down, powering up periodically to collect sensor data using low energy methods and/or in response to receiving a signal (e.g., NFC, power, Bluetooth, etc.) from an external device that causes the device to power up its components and make sensor data available to the external device. The collected sensor data may be encoded, compressed, stored, and/or exchanged in one or more structured records using various methods to improve the information storage capabilities of the device, including using the disclosed QR coding methods.</t>
  </si>
  <si>
    <t>US11263887</t>
  </si>
  <si>
    <t>Health advisory alert systems, mobile computing units having the same, and health advisory alert methods</t>
  </si>
  <si>
    <t>17/097467</t>
  </si>
  <si>
    <t>TOYOTA ENG &amp; MFG NORTH AMERICA</t>
  </si>
  <si>
    <t>TOYOTA ENG MFG NORTH AMERICA</t>
  </si>
  <si>
    <t>Bryan Else  Yamasaki, Timothy  Wang, Roger Akira  Kyle</t>
  </si>
  <si>
    <t xml:space="preserve">A61B5/7405; A61B5/742; A61B5/746; B60Q9/00; G08B21/12; H04W4/023; A61B2503/22; A61B2560/0242; </t>
  </si>
  <si>
    <t>A health advisory alert system for a vehicle is presented. A controller may determine whether a vehicle occupant is preparing to exit the vehicle. Upon determination that the vehicle occupant is preparing to exit the vehicle, the controller may determine a location of the vehicle, determine a health advisory metric based on the location of the vehicle, and determine whether personal protective equipment should be worn based on the health advisory metric. Upon determination that personal protective equipment should be worn, the controller may output a notification to the vehicle occupant indicating that personal protective equipment should be worn.</t>
  </si>
  <si>
    <t>US11263850</t>
  </si>
  <si>
    <t>Systems and methods for managing infectious disease dissemination</t>
  </si>
  <si>
    <t>OZ DIGITAL LLC</t>
  </si>
  <si>
    <t>OZ DIGITAL</t>
  </si>
  <si>
    <t>Amjad Shamim  Jafri</t>
  </si>
  <si>
    <t xml:space="preserve">G06K7/1417; G06K19/06037; G07C9/10; G07C9/20; G07C9/257; G07C9/27; G07C9/27; G16H10/40; G16H10/60; G16H10/60; G16H50/80; H04L9/0816; H04L63/067; H04L63/08; H04L63/0838; H04W4/021; H04W4/029; H04W4/029; H04W12/069; H04W12/64; H04W12/77; H04W12/63; </t>
  </si>
  <si>
    <t>System and methods for infectious disease prevention includes transmitting, via a server, a facility credential associated with a facility configured to identify a user operating on an application deployed by server on a mobile computing device. The server receives a user identification test code (UITC) associated with a status of an infectious disease of the user. The server then generates a two-dimensional code associated with the facility credential based on the UITC. The server determines if the two-dimensional code is valid for permitting access to the facility based on a vaccine indicator confirming that the user has been vaccinated for the infectious disease. Thereafter, the server activates the two-dimensional code on the mobile computing device for a predetermined period of time. A gatekeeper device scans the two-dimensional code from the mobile computing device and then permits the user access to the facility within the predetermined period of time based on the facility credential and the two-dimensional code.</t>
  </si>
  <si>
    <t>US11260190</t>
  </si>
  <si>
    <t>Dental appliance using airway dialation for treating COVID related breathing disorders</t>
  </si>
  <si>
    <t>17/373370</t>
  </si>
  <si>
    <t>FELD LEONARD</t>
  </si>
  <si>
    <t>Leonard  Feld</t>
  </si>
  <si>
    <t xml:space="preserve">A61F5/566; A61F5/566; A61M16/049; A61M16/0493; A61M16/0672; A61M16/0672; A61M16/0683; A61M16/0683; A61C9/0006; A61M16/049; A61M2202/0208; A61M2202/0208; A61M2209/088; A61M2209/088; A61M2210/0625; A61M2210/0625; </t>
  </si>
  <si>
    <t>A molded breathing appliance for supporting a nasal oxygen tube having an upper bite rim, a lower bite rim, a moldable material disposed within the upper bite rim and lower bite rim for conforming to a patient's maxillary bite impression and mandibular bite impression, respectively, an L-shaped member extending outwardly perpendicular to the upper bite rim, and a transverse support disposed on the L-shaped member and configured with a plurality of sets of oxygen tube finger clamps to retain a nasal oxygen tube in proximity with a patient's nostrils.</t>
  </si>
  <si>
    <t>US11260097</t>
  </si>
  <si>
    <t>Botanicals; Pharma&amp;Biopharma</t>
  </si>
  <si>
    <t>Immunomodulatory composition to treat and/or prevent COVID-19 illness</t>
  </si>
  <si>
    <t>Jasim Nedaa Abdul-ghani Nasif  Al, Noor Z  Ahmed</t>
  </si>
  <si>
    <t xml:space="preserve">A61K36/71; A61K36/71; A61P31/14; A61P31/14; A61K2236/333; A61K2236/333; </t>
  </si>
  <si>
    <t>A novel process for extraction of the bioactive phytochemicals from herbs to provide a composition that boost antiviral innate immune response and induce interferon secretion in a host affected by COVID-19 illness and in need for such immunomodulatory treatment.</t>
  </si>
  <si>
    <t>US11260070</t>
  </si>
  <si>
    <t>Methods of treating feline coronavirus infections</t>
  </si>
  <si>
    <t>Michel Joseph  Perron, Niels C  Pedersen</t>
  </si>
  <si>
    <t xml:space="preserve">A61K31/706; A61K31/706; A61K31/706; A61P31/12; A61P31/12; A61P31/14; A61P31/14; A61P31/14; </t>
  </si>
  <si>
    <t>Provided are methods of treating feline Coronavirus infections using carbanucleoside compounds having a 1′-(4-aminopyrrolo[2,1-f][1,2,4]triazin-7-yl) substituent, or a pharmaceutically acceptable salt thereof. An exemplary compound is (2R,3R,4S,5R)-2-(4-aminopyrrolo[2,1-f][1,2,4]triazin-7-yl)-3,4-dihydroxy-5-(hydroxymethyl)tetrahydrofuran-2-carbonitrile.</t>
  </si>
  <si>
    <t>US11259579</t>
  </si>
  <si>
    <t>Face shield assembly and method</t>
  </si>
  <si>
    <t>Steven  Powell</t>
  </si>
  <si>
    <t xml:space="preserve">A41D13/1161; A41D13/1161; A42B1/018; A42B1/22; A42B1/22; A42B1/24; A42B7/00; A42B7/00; A41D27/20; </t>
  </si>
  <si>
    <t>A face shield and head covering combination is provided. The head covering comprises a body and an attachment element. The body defines a head opening configured to receive a user's head therethrough. The attachment element is coupled to the body and configured to couple to a face shield positionable on the user's face. The attachment element is configured to transition between a first position on the body and a second position on the body, wherein the second position is spaced from the first position.</t>
  </si>
  <si>
    <t>US11259578</t>
  </si>
  <si>
    <t>PPE with rotating assembly providing multiple face covers</t>
  </si>
  <si>
    <t>Allen  Bryan, Arianna L  Cao, Rita  Li, Yaxuan  Yang, Aidan T  Cao, William Harrod  Boswell</t>
  </si>
  <si>
    <t xml:space="preserve">A41D13/002; A41D13/02; A41D13/1153; A41D13/1184; A41D27/28; A41D31/30; A62B7/02; A62B18/04; A62B18/04; A62B18/10; A62B23/02; A62B23/02; A41D2300/32; A41D2300/322; A41D2300/324; A41D2300/332; A41D2500/30; </t>
  </si>
  <si>
    <t>A personal protective device (PPE) including a face cover assembly and a bodysuit configured to be worn by a human user. The device protects users against airborne aerosol particles containing viruses or other infectious agents while enabling improved flexibility relative to prior art designs. The device includes a helmet-like” rotating face cover assembly that fits over the user's head and attaches to a collar on the biohazard bodysuit. This rotating face cover assembly has a plurality of different mask sides, each with differing geometries or other properties. The device enables a user to can rotate the cover and select a given mask side that best meets that user's needs. The different mask sides can accommodate different facial geometries, eyewear types, and use cases.</t>
  </si>
  <si>
    <t>US11258416</t>
  </si>
  <si>
    <t>Two-stage digital automatic gain control</t>
  </si>
  <si>
    <t>17/187773</t>
  </si>
  <si>
    <t>ZOOM VIDEO COMMUNICATIONS, LTD.</t>
  </si>
  <si>
    <t>ZOOM VIDEO COMMUNICATIONS</t>
  </si>
  <si>
    <t>Yu  Rao, Yangzhong  Wang, Jianglong  Li</t>
  </si>
  <si>
    <t xml:space="preserve">H03G3/3005; H04R3/00; H04R2420/05; H04R2430/01; </t>
  </si>
  <si>
    <t>Disclosed are systems and methods for automatic control of gain in audio and video conferencing applications to maintain a predetermined and stable audio level. In one embodiment, a first stage applies a first stage gain based on a long-term estimate of signal level, while a second stage gain, based on a short-term estimate of signal level assists the first stage gain to achieve a target level. Some embodiments of long-term level estimation utilize statistical analysis of a buffer to validate or arrive at a more accurate long-term signal level estimate.</t>
  </si>
  <si>
    <t>US11257659</t>
  </si>
  <si>
    <t>Electrode assembly, electronic apparatus/device using the same, and apparatus of charged-particle beam such as electron microscope using the same</t>
  </si>
  <si>
    <t>17/302820</t>
  </si>
  <si>
    <t>Zhongwei  Chen, Xiaoming  Chen, Daniel  Tang, Liang-fu  Fan</t>
  </si>
  <si>
    <t xml:space="preserve">H01J37/14; H01J37/1474; H01J37/153; H01J37/20; H01J37/20; H01J37/28; H01J37/26; H01J2237/0216; H01J2237/1532; H01J2237/1534; H01J2237/202; </t>
  </si>
  <si>
    <t>The present invention provides an electrode assembly comprising two or more electrodes arranged around a primary axis forming a non-cylindrical channel space. General electronic apparatus/device, particularly apparatus of charged-particle beam such as electron microscope, may use the electrode assembly to create an optimized pattern of electrical field within non-cylindrical channel space. When the electrode assembly is used as a beam deflector in a magnetic objective lens, the electrical field within the central channel space can be co-optimized with the magnetic field for reducing aberration(s) such as distortion, field curvature, astigmatism, and chromatic aberration, after the beam passes through the central channel space.</t>
  </si>
  <si>
    <t>US11257569</t>
  </si>
  <si>
    <t>Methods of assessing risk of developing a severe response to coronavirus infection</t>
  </si>
  <si>
    <t>17/368471</t>
  </si>
  <si>
    <t>GENETIC TECHNOLOGIES LIMITED</t>
  </si>
  <si>
    <t>GENETIC</t>
  </si>
  <si>
    <t>Gillian Sue  Dite, Nicholas Mark  Murphy, Richard  Allman</t>
  </si>
  <si>
    <t xml:space="preserve">C12Q1/6876; C12Q1/6883; C12Q1/6883; G16B20/20; G16B20/20; G16B20/40; G16B40/00; G16H10/40; G16H10/60; G16H50/30; G16H50/30; G16H50/30; G16H50/70; C12Q1/6827; C12Q2600/112; C12Q2600/118; C12Q2600/118; C12Q2600/156; C12Q2600/156; C12Q2600/156; C12Q2600/158; C12Q2600/16; G01N2800/12; G01N2800/26; G01N2800/50; G01N2800/56; </t>
  </si>
  <si>
    <t>The present disclosure relates to methods and systems for assessing the risk of a human subject developing a severe response to a Coronavirus infection, such as a severe acute respiratory syndrome coronavirus 2 (SARS-CoV-2) virus infection.</t>
  </si>
  <si>
    <t>US11255855</t>
  </si>
  <si>
    <t>COVID-19 spike-ACE2 binding assay for drug and antibody screening</t>
  </si>
  <si>
    <t>17/411390</t>
  </si>
  <si>
    <t>Ruo-pan  Huang, Hao  Tang, Shuhong  Luo, Jianmin  Fang</t>
  </si>
  <si>
    <t xml:space="preserve">G01N33/56983; G01N33/56983; G01N33/56983; G01N33/573; G01N33/581; G01N33/6845; G01N2333/165; G01N2333/165; G01N2333/165; G01N2333/948; G01N2333/948; G01N2440/38; G01N2500/02; G01N2500/02; G01N2500/20; </t>
  </si>
  <si>
    <t>The present disclosure an ELISA-based assay that uses a glycosylated polypeptide fragment derived from the SARS-CoV-2 spike protein (Covid-19) receptor binding domain (S1RBD) that has affinity for the extracellular domain of Angiotensin Converting Enzyme 2 (ACE2). The S1RBD polypeptide is generated by expression of an encoding nucleic acid by a human cell expression system resulting in glycosylation of the expressed spike receptor binding domain (S1RBD) protein at least at the N343 N-glycosylation site thereof, and which surprisingly and significantly increases the affinity of the S1RBD for ACE2, provides a significant increase in the sensitivity of the assay compared to other known assays.</t>
  </si>
  <si>
    <t>US11255815</t>
  </si>
  <si>
    <t>Using electrophoresis for disease detection based on controlled molecular charge</t>
  </si>
  <si>
    <t>Peter  Galen, Ariane Elizabeth  Erickson, David Richard  Bell, Matthew Christian  Lind, Tyler  Witte, Umut Atakan  Gurkan</t>
  </si>
  <si>
    <t xml:space="preserve">G01N27/44726; G01N27/44726; G01N33/533; G01N33/5438; G01N33/561; G01N33/569; </t>
  </si>
  <si>
    <t>Electrophoresis is used to identify presence of a target compound in a patient sample based on a charge state of the compound and a label. The charge state of the compound correlates to a total net charge of a binder conjugated to the compound. The bound complex or “bound complex” with the label is then applied to the electrophoresis substrate. An electric potential is applied to the substrate for a time period and causes the labeled bound complex to migrate toward the electrode with opposite charge of the labeled bound complex at a migration velocity to form a migration pattern over the time period. At some time during or at the end of the time period, the labeled bound complex produces a bound complex band as a result of its migration across the substrate. The presence of the compound is identified based on the labeled bound complex band and one or both of the migration pattern and the migration velocity.</t>
  </si>
  <si>
    <t>US11255762</t>
  </si>
  <si>
    <t>Method and system for classifying sample data for robotically extracted samples</t>
  </si>
  <si>
    <t>Ozman  Mohiuddin, Brian T  Sutch, Mohammad Ali  Mahmood</t>
  </si>
  <si>
    <t xml:space="preserve">B01L3/5029; B01L3/508; C12Q1/6806; G01N1/31; B01L2200/025; B01L2200/0678; B01L2300/021; B01L2300/04; B01L2300/0809; G01N2001/007; G01N2001/028; </t>
  </si>
  <si>
    <t>A method of classifying sample data for robotically extracted samples is disclosed. A specimen is received from a human subject with a potential infection of a first disease agents or a plurality of disease agents. The specimen includes genetic material collected from a human subject using a collection device and stored in a collection carrier. The specimen includes a unique identifier on the collection carrier. The unique identifier contains human subject descriptive data. The method classifies the human subject descriptive data to identify a second disease agent. The method extracts a sequence of genetic material from the specimen using an automated robot. The method determines a test result for the first disease agent as a function of the sequence of genetic material. A system comprising a computer device configured to classify sample data for robotically extracted samples is also disclosed.</t>
  </si>
  <si>
    <t>US11255555</t>
  </si>
  <si>
    <t>Ultraviolet disinfection device and uses thereof</t>
  </si>
  <si>
    <t>17/394586</t>
  </si>
  <si>
    <t>Ram  Shalvi</t>
  </si>
  <si>
    <t xml:space="preserve">F24F8/22; F24F11/88; F24F2110/30; </t>
  </si>
  <si>
    <t>A device for generating ultraviolet (UV) radiation whose wavelength is optimally tuned into the range of 250 to 285 nm, with peak wavelength in the range of 260 to 270 nm, which attains a Peak Germicidal Disinfection Effectiveness Index of nearly 100%, superior to conventional UV lights and lamps. The device comprises an ultraviolet light-emitting diode (LED) array, an operation control system, an airflow sensor with programmable sensitivity, and a surge protection module. The device is installed in conventional HVAC systems such as air conditioning systems and HVAC ducts to effectively disinfect airflow passing through to deactivate bacteria, viruses, and mold. Depending on the operating status of the HVAC systems, the device senses airflow passing through or going around and intelligently turns on and off the ultraviolet LED array to attain a longer lifetime.</t>
  </si>
  <si>
    <t>US11254979</t>
  </si>
  <si>
    <t>Systems and devices for infectious disease screening</t>
  </si>
  <si>
    <t>Saleh Ghannam Almazrouei Mohammed  Alshaiba, Imad  Lahoud, Sajid  Bhatti, Jeff  Machovec, Dinil  Divakaran</t>
  </si>
  <si>
    <t xml:space="preserve">B01L3/502715; B01L3/502715; B01L3/502761; B01L3/502761; B01L3/50851; B01L3/50851; B01L7/5255; B01L7/5255; C12Q1/6806; C12Q1/686; A61B10/0051; A61B10/0051; B01L2200/10; B01L2200/10; B01L2300/0627; B01L2300/0627; B01L2300/185; B01L2300/185; B01L2400/0439; B01L2400/0439; C12Q2563/107; </t>
  </si>
  <si>
    <t>A system (1) for infectious disease screening. The system is for use with an assay device (2) which incorporates an ultrasonic transducer for generating ultrasonic waves to lyse cells in a biological sample. The system (1) comprises a frequency control module which is configured to control the ultrasonic transducer (49) to oscillate at an optimum frequency for cell lysis, a PCR arrangement (16) which is configured to receive and amplify the DNA from the sample; and a detection arrangement (70) which is configured to detect the presence of an infectious disease in the amplified DNA and to provide an output which is indicative of whether or not the detection arrangement (70) detects the presence of an infectious disease in the amplified DNA.</t>
  </si>
  <si>
    <t>US11254712</t>
  </si>
  <si>
    <t>Chimeric molecules and uses thereof</t>
  </si>
  <si>
    <t>Keith Joseph  Chappell, Daniel  Watterson, Paul Robert  Young</t>
  </si>
  <si>
    <t xml:space="preserve">A61P31/14; A61P31/14; C07K14/005; C07K14/005; C07K14/16; C07K16/10; C07K16/1018; C07K16/1045; C07K19/00; C12N15/1034; C07K19/00; C07K2317/55; C07K2319/35; C07K2319/35; C07K2319/35; C12N2740/16122; C12N2740/16122; C12N2740/16122; C12N2740/16134; C12N2760/10022; C12N2760/10034; C12N2760/14022; C12N2760/14034; C12N2760/14122; C12N2760/14122; C12N2760/14134; C12N2760/14134; C12N2760/16122; C12N2760/16122; C12N2760/16122; C12N2760/16134; C12N2760/16134; C12N2760/16134; C12N2760/18022; C12N2760/18034; C12N2770/10022; C12N2770/10022; C12N2770/10034; C12N2770/10034; C12N2770/20022; C12N2770/20022; C12N2770/20022; C12N2770/20034; C12N2770/20034; C12N2770/20034; </t>
  </si>
  <si>
    <t>Disclosed are chimeric polypeptides based on viral membrane fusion proteins. More particularly, the present invention discloses chimeric polypeptides that comprise a virion surface exposed portion of a viral fusion protein and a heterologous structure-stabilizing moiety, and to complexes of those chimeric polypeptides. The present invention also discloses the use of these complexes in compositions and methods for eliciting an immune response to a fusion protein of an enveloped virus, or complex of the fusion protein, and/or for treating or preventing an enveloped virus infection. The present invention further discloses the use of the heterologous structure-stabilizing moiety for oligomerizing heterologous molecules of interest.</t>
  </si>
  <si>
    <t>US11253805</t>
  </si>
  <si>
    <t>Apparatus and system for indoor airborne pathogen control</t>
  </si>
  <si>
    <t>17/357971</t>
  </si>
  <si>
    <t>JONES, DALE G.</t>
  </si>
  <si>
    <t>JONES DALE</t>
  </si>
  <si>
    <t>Timothy J  Jones, Jeffery Lee  Deal</t>
  </si>
  <si>
    <t xml:space="preserve">A61L9/20; A61L9/22; B01D46/0028; B01D46/0049; B01D46/429; B01D46/446; B01D46/46; A61L2101/34; A61L2209/111; A61L2209/12; A61L2209/14; A61L2209/15; B01D2273/30; </t>
  </si>
  <si>
    <t>A multimodal airborne pathogen control apparatus and system configured to direct and decontaminate a volume of indoor air of occupied spaces and reduce the risk of spreading airborne contagions. Certain aspects of the multimodal airborne pathogen control apparatus and system may include one or more infection control modalities including, but not limited to, dielectric Cold Plasma generation, non-ozone producing UV-C light, True HEPA filtration comprising a monoterpene phenol-impregnated filter material, and configurable intake/output ducting to direct airflow to/from a desired area and regulate interior atmospheric pressure. Embodiments of the present disclosure include a door-mounted control unit comprising a door panel having one or more directional intake vents at a floor-level of the door panel, an interior chamber housing a blower fan and one or more germicidal irradiation/inactivation means, and one or more directional output vents at a head level of the door panel.</t>
  </si>
  <si>
    <t>US11253670</t>
  </si>
  <si>
    <t>Respiratory isolation and/or treatment devices and methods of using the same</t>
  </si>
  <si>
    <t>17/116468</t>
  </si>
  <si>
    <t>APOGEE INNOVATIONS</t>
  </si>
  <si>
    <t>Scott Edward  Parazynski, Jeffrey William  Bull, Roy  Melling, Daniel  Tagtow</t>
  </si>
  <si>
    <t xml:space="preserve">A61M11/00; A61M16/0616; A61M16/1005; A61M16/105; G10L25/51; G10L25/78; H04R1/08; A61M2202/0208; </t>
  </si>
  <si>
    <t>A device includes a body defining a respiration passage in fluidic communication with a filter fitting disposed on a first end of the body and a mask fitting disposed on a second end of the body, and a treatment passage in fluidic communication with the mask fitting. A treatment fitting is disposed on the body and is coupleable to a treatment source such that a seal in the treatment fitting transitions from a closed state to an open state to allow fluidic communication between the treatment source and the treatment passage. The device configured to permit (i) inhalation air and/or exhaled breath to be drawn and/or expelled through the filter fitting, the respiration passage, and the mask fitting and (ii) a respiratory therapeutic to be drawn from the treatment source coupled to the treatment fitting, through the treatment passage, and through the mask fitting.</t>
  </si>
  <si>
    <t>US11253623</t>
  </si>
  <si>
    <t>Method and apparatus for providing polyiodide resin powder-enhanced personal protective equipment (PPE)</t>
  </si>
  <si>
    <t>17/141961</t>
  </si>
  <si>
    <t>Albert  Rego, Lynn R  Detlor, Aileen  Law</t>
  </si>
  <si>
    <t xml:space="preserve">A61K9/0075; A61K9/145; A61K33/18; A61L2/232; B41M1/10; C08F8/18; C08L27/10; C09D125/18; A41D13/1192; A61L2101/46; A61L2300/404; </t>
  </si>
  <si>
    <t>Disclosed is a method and apparatus for providing polyiodide resin-enhanced personal protective equipment (PPE) including but not limited to face masks, gloves, gowns and respirators. The disclosed method comprises the application of a polyiodinated ink polymer in or on one or more targeted surfaces of PPE to create a molecular sub-microscopic protective barrier between the equipment and the user. The disclosed system provides a PPE device capable of direct contact kill of organisms. In addition, the system provides for a sustained kill of organisms for up to 96 hours. The resultant PPE device is broadly effective against viral, bacterial, fungicidal and other microbial agents.</t>
  </si>
  <si>
    <t>US11253587</t>
  </si>
  <si>
    <t>Vaccine compositions for the treatment of coronavirus</t>
  </si>
  <si>
    <t>David Evander  Anderson, Anne-catherine  Fluckiger</t>
  </si>
  <si>
    <t xml:space="preserve">A61K39/12; A61K39/215; A61P31/14; A61P37/04; C07K14/005; C12N7/00; C12N15/86; A61K2039/5256; A61K2039/5258; A61K2039/55505; C12N2740/13022; C12N2740/13023; C12N2740/13034; C12N2740/13034; C12N2740/13042; C12N2760/20234; C12N2770/20022; C12N2770/20034; C12N2770/20034; </t>
  </si>
  <si>
    <t>The present disclosure provides compositions and methods useful for preventing and/or treating coronavirus infection. As described herein, the compositions and methods are based on development of immunogenic compositions that include virus-like particles (VLPs) which comprise one or more Moloney Murine leukemia virus (MMLV) core proteins and include one or more coronavirus epitopes, such as, for example, from SARS-Cov-2 spike protein.</t>
  </si>
  <si>
    <t>US11253586</t>
  </si>
  <si>
    <t>Coronavirus vaccine formulations</t>
  </si>
  <si>
    <t>Gale  Smith, Michael J  Massare, Jing-hui  Tian</t>
  </si>
  <si>
    <t xml:space="preserve">A61K39/12; A61K39/215; A61P31/14; A61P31/14; A61K2039/545; A61K2039/55555; A61K2039/55577; A61K2039/55577; C12N2770/20034; C12N2770/20034; </t>
  </si>
  <si>
    <t>Disclosed herein are coronavirus Spike (S) proteins and nanoparticles comprising the same, which are suitable for use in vaccines. The nanoparticles present antigens from pathogens surrounded to and associated with a detergent core resulting in enhanced stability and good immunogenicity. Dosages, formulations, and methods for preparing the vaccines and nanoparticles are also disclosed.</t>
  </si>
  <si>
    <t>US11253585</t>
  </si>
  <si>
    <t>Vaccine compositions having improved stability and immunogenicity</t>
  </si>
  <si>
    <t>16/545424</t>
  </si>
  <si>
    <t>Gale  Smith, Ye  Liu, Jing-hui  Tian, Michael J  Massare, Sarathi  Boddapati, Erica  Shane, Cynthia  Oliver, Gregory  Glenn</t>
  </si>
  <si>
    <t xml:space="preserve">A61K9/0019; A61K9/0019; A61K9/0019; A61K9/1611; A61K9/1611; A61K9/1611; A61K9/1617; A61K9/1617; A61K9/1623; A61K9/1623; A61K39/12; A61K39/12; A61K39/12; A61K39/12; A61K39/155; A61K39/155; A61K39/155; A61P31/14; A61P31/14; A61P31/16; A61P31/16; A61P37/04; A61P37/04; C12N7/00; C12N7/00; C12N7/00; C12N7/00; A61K2039/54; A61K2039/54; A61K2039/55505; A61K2039/55505; A61K2039/55555; A61K2039/55555; A61K2039/55555; C12N2710/14143; C12N2710/14143; C12N2760/14134; C12N2760/14134; C12N2760/14134; C12N2760/14171; C12N2760/14171; C12N2760/16122; C12N2760/16122; C12N2760/16134; C12N2760/16134; C12N2760/16151; C12N2760/16151; C12N2760/16222; C12N2760/16222; C12N2760/16234; C12N2760/16234; C12N2760/16251; C12N2760/16251; C12N2760/18522; C12N2760/18534; C12N2760/18534; C12N2760/18534; </t>
  </si>
  <si>
    <t>Disclosed herein are nanoparticles suitable for use in vaccines. The nanoparticles present antigens from pathogens surrounded to and associated with a detergent core resulting in enhanced stability and good immunogenicity. Dosages, formulations, and methods for preparing the vaccines and nanoparticles are also disclosed.</t>
  </si>
  <si>
    <t>US11253560</t>
  </si>
  <si>
    <t>Use of MVA or MVAΔE3L as immunotherapeutic agents against solid tumors</t>
  </si>
  <si>
    <t>16/741634</t>
  </si>
  <si>
    <t>Liang  Deng, Jedd  Wolchok, Taha  Merghoub, Stewart  Shuman, Peihong  Dai, Weiyi  Wang</t>
  </si>
  <si>
    <t xml:space="preserve">A61K35/768; A61K35/768; A61K35/768; A61K39/12; A61K39/12; A61K39/12; A61K39/285; A61K39/3955; A61K39/3955; A61K39/3955; A61P1/04; A61P17/02; A61P35/00; A61P35/00; A61P35/04; A61P37/04; A61P43/00; C07K16/2818; C07K16/2818; C07K16/2818; C07K16/2827; C07K16/2827; C07K16/2827; A61K2039/505; A61K2039/525; A61K2039/525; A61K2039/525; A61K2039/5254; A61K2039/54; A61K2039/54; A61K2039/54; A61K2039/545; A61K2039/57; A61K2039/57; C12N2710/24122; C12N2710/24122; C12N2710/24122; C12N2710/24132; C12N2710/24132; C12N2710/24132; C12N2710/24134; C12N2710/24134; C12N2710/24171; </t>
  </si>
  <si>
    <t>The present disclosure relates to modified vaccinia Ankara (MVA) virus or MVAΔE3L delivered intratumorally or systemically as an anticancer immunotherapeutic agent, alone, or in combination with one or more immune checkpoint blocking agents for the treatment of malignant solid tumors. Particular embodiments relate to mobilizing the host's immune system to mount an immune response against the tumor.</t>
  </si>
  <si>
    <t>US11253542</t>
  </si>
  <si>
    <t>Methods of treating viral infections</t>
  </si>
  <si>
    <t>Ibrahim Saud  Almishari</t>
  </si>
  <si>
    <t xml:space="preserve">A61B5/01; A61F7/00; A61F7/0053; A61H33/02; A61K9/0078; A61K33/00; A61K33/00; A61P31/12; A61P31/12; A61B5/01; A61F2007/0018; A61F2007/0018; A61F2007/0029; A61F2007/0029; A61F2007/0039; A61F2007/0039; A61F2007/0059; A61F2007/0063; A61K9/0019; Y02A50/30; </t>
  </si>
  <si>
    <t>Methods of treating viral infections. At least one example embodiment is a method including: measuring a core temperature of a human patient; testing the human for the presence of a virus that causes disease; responsive to the human having both fever and presence of the virus, submerging at least a trunk and legs of the human in water comprising a surfactant, the human at least partially submerged in the water for a treatment period of at least three hours; and controlling a temperature of the water during the treatment period.</t>
  </si>
  <si>
    <t>US11253534</t>
  </si>
  <si>
    <t>Nutriceuticals; Prevention</t>
  </si>
  <si>
    <t xml:space="preserve">A61K31/375; A61K31/375; A61K31/4706; A61K31/4706; A61K31/593; A61K31/593; A61K31/7052; A61K31/7052; A61K33/30; A61K33/30; A61P31/14; A61P31/14; </t>
  </si>
  <si>
    <t>A method of preventing COVID-19 infection in an individual, the method comprising the steps of providing an individual that is not infected with COVID-19; administering four antimicrobials to the individual, wherein the antimicrobials comprise: hydroxychloroquine; vitamin C; vitamin D; and zinc; and monitoring the individuals condition over a pre-determined amount of time to determine the individual does not become infected with COVID-19. A method of treating an individual infected with COVID-19, the method comprising the steps of: providing an individual infected with COVID-19; administering five antimicrobials to the individual, wherein the antimicrobials comprise: hydroxychloroquine; azithromycin; vitamin C; vitamin D; and zinc; and monitoring the individuals condition over a pre-determined period of time to determine whether the individual is no longer infected with COVID-19.</t>
  </si>
  <si>
    <t>US11253533</t>
  </si>
  <si>
    <t>Water dissolvable macrocyclic lactone cyclodextrin complexes</t>
  </si>
  <si>
    <t>17/363375</t>
  </si>
  <si>
    <t>Michael  Farber</t>
  </si>
  <si>
    <t xml:space="preserve">A61K9/08; A61K31/7048; A61K47/6951; A61K47/26; </t>
  </si>
  <si>
    <t>Injectable Ivermectin solution is safely administrable to humans and animals used the disclosed technology. A macrocyclic lactone cyclodextrin complex which is completely dissolvable or dissolved in water in a ratio of at least 5 or 10 mg of macrocyclic lactone to 1 mL of water. The macrocyclic lactone cyclodextrin complex is non-toxic, without using organic solvents, and in embodiments, formed by adding a surfactant to the macrocyclic lactone complex to water. The macrocyclic lactone cyclodextrin complex is Ivermectin or an Ivermectin derivative in some embodiments. The cyclodextrin complex is 2-hydroxypropyl-beta-cyclodextrin in some embodiments of the disclosed technology. The surfactant can be polysorbate 80 and is in a ratio of 0.01% to 25%, by weight, to said water. The water soluble complexes can be added to the water. The water-soluble complexes can have at least one of an anti-parasitic, anti-viral and anti-cancer complex.</t>
  </si>
  <si>
    <t>US11253524</t>
  </si>
  <si>
    <t>Metabolites of bictegravir</t>
  </si>
  <si>
    <t>Haolun  Jin, Hyung-jung  Pyun, Bill J  Smith, Raju  Subramanian, Jianhong  Wang</t>
  </si>
  <si>
    <t xml:space="preserve">A61K31/537; A61K31/537; A61K31/537; A61K31/553; A61K31/553; A61K31/706; A61K31/706; A61K31/706; A61K45/06; A61K45/06; A61P31/18; A61P31/18; A61P31/18; C07D498/18; C07D498/18; C07D498/18; C07H17/00; C07H17/00; C07H17/00; G01N33/94; G01N33/94; G01N2800/52; </t>
  </si>
  <si>
    <t>The present invention provides metabolites of the antiviral drug bictegravir, including compositions and salts thereof, which are useful in the prevention and/or treatment of HIV as well as analytical methods related to the administration of bictegravir.</t>
  </si>
  <si>
    <t>US11253490</t>
  </si>
  <si>
    <t>Compositions and methods of treating cognitive impairment</t>
  </si>
  <si>
    <t>17/322316</t>
  </si>
  <si>
    <t>VALLON PHARMACEUTICALS, INC.</t>
  </si>
  <si>
    <t>VALLON PHARMACEUTICALS</t>
  </si>
  <si>
    <t>Ofir  Levi, David  Baker, Timothy  Whitaker</t>
  </si>
  <si>
    <t xml:space="preserve">A61K9/4808; A61K31/137; A61K47/14; A61K47/32; A61K47/36; </t>
  </si>
  <si>
    <t>The present invention relates generally method of treating or alleviating cognitive impairment by administering an abuse-deterrent formulation containing dextroamphetamine sulfate.</t>
  </si>
  <si>
    <t>US11253235</t>
  </si>
  <si>
    <t>Urine analysis collector</t>
  </si>
  <si>
    <t>17/067792</t>
  </si>
  <si>
    <t>UrynX LLC</t>
  </si>
  <si>
    <t>URYNX</t>
  </si>
  <si>
    <t>Brian  Schwab, Cheng-yang  Lai</t>
  </si>
  <si>
    <t xml:space="preserve">A61B10/007; A61B2560/04; </t>
  </si>
  <si>
    <t>A kit for urine collection is disclosed. The kit comprises a clip; a collector device comprising a connector portion configured for receiving the clip, a holder portion configured for receiving a sponge; and a stopper portion; a tube configured to receive the collector device; and a cap configured to be inserted onto an open end of the tube and seal the tube and simultaneously receive an end of the collector device into a recess disposed inside the cap.</t>
  </si>
  <si>
    <t>US11253092</t>
  </si>
  <si>
    <t>Sanitary utensil holding and serving system</t>
  </si>
  <si>
    <t>17/076483</t>
  </si>
  <si>
    <t>Wilson, Roslyn Denise; Childress, John Eldridge</t>
  </si>
  <si>
    <t>WILSON ROSLYN</t>
  </si>
  <si>
    <t>Roslyn Denise  Wilson, John Eldridge  Childress</t>
  </si>
  <si>
    <t xml:space="preserve">A47G21/145; F16M11/041; </t>
  </si>
  <si>
    <t>A utensil holding and serving system for use in buffet-style eating includes interchangeable serving utensils for serving and manipulating food, a handle for selectively engaging the serving utensils, and a stand for receiving and suspending the serving utensils over a food tray or surface. The serving utensils include a connecting shaft, a working portion including a functional member, such as a spoon, fork, or spatula, and a standing portion having support apertures. The handle includes a longitudinal bore for removably receiving the connecting shaft of one of the serving utensils, and a mounting member including arms having a tapered inner surface for receiving an edge of a plate. The stand includes a utensil suspending portion having pegs extending upwardly for selectively engaging the support apertures of one of the serving utensils to support said serving utensil upon the stand and a support portion for stabilizing the stand on a surface.</t>
  </si>
  <si>
    <t>US11253015</t>
  </si>
  <si>
    <t>Methods and devices for preventing viral transmission</t>
  </si>
  <si>
    <t>Michael  Nagel, Mary  Maijer</t>
  </si>
  <si>
    <t xml:space="preserve">A41D13/0012; A41D13/11; A41D13/1192; A41D13/1192; A61L9/16; A61L9/16; A61L9/22; A41D13/1161; A41D2300/328; A61F9/04; A61F9/04; A61L2209/13; A61L2209/133; A61L2209/14; A61L2209/15; A61L2209/21; A61L2209/21; </t>
  </si>
  <si>
    <t>An apparatus includes multiple first reservoirs and multiple second reservoirs joined with a substrate. Selected ones of the multiple first reservoirs include a reducing agent, and first reservoir surfaces of selected ones of the multiple first reservoirs are proximate to a first substrate surface. Selected ones of the multiple second reservoirs include an oxidizing agent, and second reservoir surfaces of selected ones of the multiple second reservoirs are proximate to the first substrate surface.</t>
  </si>
  <si>
    <t>US11252209</t>
  </si>
  <si>
    <t>Network architecture for parallel data stream analysis and modification</t>
  </si>
  <si>
    <t>17/374964</t>
  </si>
  <si>
    <t>AUDACIOUS INQUIRY</t>
  </si>
  <si>
    <t>Ayako  Watanabe, Ed  Vanbaak, Samit  Desai, Richard  Johnson, Michael  Melusky, Ajay  Gollapalli, Prakashkumar  Patel</t>
  </si>
  <si>
    <t xml:space="preserve">G16H30/20; H04L65/4069; </t>
  </si>
  <si>
    <t>Network architectures interface with several real-time streams that control network operation. The network can analyze stream data by storing incoming raw stream data, processing the data, and controlling network operations based thereon. Specific packets, bits, flags, fields, or messages may be targeted, including HL7 ADTs. Data is queued for processing in a FIFO manner to avoid timeline mistakes. The network sets a configuration value based on the data analyzed in this time ordering, and a relational database can be updated in real-time with these values as stream data is incoming. Separate clean-up functions separately manage the database by adjusting the values as they become old. Timeline information is generated and selectively broadcast based on the operations value, potentially with additional information from the targeted data. The network selectively provides this information to users interfaces and displays as dictated by the operating value and information calculated therefrom.</t>
  </si>
  <si>
    <t>US11250655</t>
  </si>
  <si>
    <t>Door access control method for reducing propagation probability of some infectious diseases</t>
  </si>
  <si>
    <t>I-ting  Shen</t>
  </si>
  <si>
    <t xml:space="preserve">G01J5/00; G01K13/20; G01K13/20; G07C9/00563; A61L2/0047; A61L2202/122; A61L2202/14; </t>
  </si>
  <si>
    <t>A door access control method includes detecting whether a person is intending to pass through a door access control device. Then, it is identified whether a body temperature of the person near the door access control device exceeds a threshold value. The door access control device carries out an unlocking judgment procedure when the body temperature is below the threshold value. The unlocking judgment procedure is not carried out when the body temperature is not below the threshold value. Next, it is identified whether the person is qualified to pass through the door access control device based on the unlocking judgment. The door access control device remains in a locking state when the person is identified as not qualified to pass through the door access control device. The unlocking state is lifted when the person is identified as qualified to pass through the door access control device.</t>
  </si>
  <si>
    <t>US11249560</t>
  </si>
  <si>
    <t>Capacity counter system</t>
  </si>
  <si>
    <t>17/304386</t>
  </si>
  <si>
    <t>KIMCHUK, INCORPORATED</t>
  </si>
  <si>
    <t>KIMCHUK</t>
  </si>
  <si>
    <t>James Alphonse  Marquis, Jeffrey William  Londona, John William  Dailey</t>
  </si>
  <si>
    <t xml:space="preserve">G06F3/03; G06M1/22; G07C9/00; G06M1/108; G06M1/108; G06M3/06; H04W4/80; H04W84/12; </t>
  </si>
  <si>
    <t>A capacity counter system has a central capacity controller, a clicker to indicate when people enter or leave an area, and a video system for displaying a running count of how many people are in the area. The controller, clicker and video system communicate wirelessly using protocols that allow the controller to communicate with a plurality of clickers while being in close proximity to other controllers serving adjacent areas.</t>
  </si>
  <si>
    <t>US11249088</t>
  </si>
  <si>
    <t>Influenza potency assays</t>
  </si>
  <si>
    <t>Yingxia  Wen, Ethan  Settembre, Zihao  Wang</t>
  </si>
  <si>
    <t xml:space="preserve">A61K39/12; A61K39/145; A61K39/145; A61P31/16; A61P31/16; C12N7/00; G01N27/447; G01N27/62; G01N30/02; G01N30/7266; G01N33/56983; G01N33/56983; G01N33/56983; G01N33/6848; G01N33/6848; G01N33/6848; G01N33/6848; C12N2760/16034; C12N2760/16051; C12N2760/16134; G01N2030/067; G01N2030/8831; G01N2333/11; G01N2333/11; G01N2333/11; G01N2333/11; G01N2458/15; </t>
  </si>
  <si>
    <t>The present application discloses stability-indicating potency assays for influenza vaccines.</t>
  </si>
  <si>
    <t>US11249083</t>
  </si>
  <si>
    <t>Covid-19 spike-ACE2 binding assay for drug and antibody screening</t>
  </si>
  <si>
    <t>17/411369</t>
  </si>
  <si>
    <t xml:space="preserve">G01N33/56983; G01N33/56983; G01N33/6845; G01N2333/165; G01N2333/165; G01N2333/948; G01N2440/38; G01N2500/02; G01N2500/02; G01N2500/20; </t>
  </si>
  <si>
    <t>US11249074</t>
  </si>
  <si>
    <t>Reusable diagnostic medical tester</t>
  </si>
  <si>
    <t>17/400389</t>
  </si>
  <si>
    <t>MESSINGER SAMUEL</t>
  </si>
  <si>
    <t>Samuel  Messinger</t>
  </si>
  <si>
    <t xml:space="preserve">G01N33/5302; H01M8/16; H01M2250/30; </t>
  </si>
  <si>
    <t>A multi-use testing device is disclosed that is able to test a user fluid or dissolved tissue samples for a medical condition comprising, e.g.: blood related, heart (FABS enzymes); liver and kidney function; gene mutations; COVID-19; and pregnancy status. The testing device is positioned in a bio-fluid chamber configured to store at least one electrolyte or charging fluid to create a conductive path for electrons emitted by an anode electrode and a cathode electrode to generate electricity to recharge the micro battery. The generated electricity is transferred to power the testing device. The reusable testing device further comprises a computing device configured to control the communication between a user electronic computing device and the testing device. The reusable testing device is dipped into a sample in a container and outputs the encrypted test result for wireless transmission to electronic computing devices.</t>
  </si>
  <si>
    <t>US11248265</t>
  </si>
  <si>
    <t>Systems and processes for distinguishing pathogenic and non-pathogenic sequences from specimens</t>
  </si>
  <si>
    <t>17/102407</t>
  </si>
  <si>
    <t>CLEAR LABS, INC.</t>
  </si>
  <si>
    <t>CLEAR LABS</t>
  </si>
  <si>
    <t>Sasan  Amini, Ramin  Khaksar, Michael  Taylor, Prasanna Thwar  Krishnan, David  Tran, Shaokang  Zhang, Shadi  Shokralla, Kyle  Rhoden, Susan Jisoon  Lee, Bryan Thomas  Barney, Sima  Mortazavi, Adam Forrest  Allred, Henrik  Gehrmann</t>
  </si>
  <si>
    <t xml:space="preserve">C12Q1/6869; C12Q1/70; C12Q2535/122; C12Q2563/185; </t>
  </si>
  <si>
    <t>Provided herein are fully-automated next-generation sequencing platforms and processes for detection of a target specimen (e.g., SARS-CoV-2) and for distinguishing infectious from non-infectious signals from the specimen. An analysis can provide simultaneous diagnosis and genomic surveillance of a multitude of distinct specimens in a sample information. The analysis can comprise distinguishing between infectious versus infectious specimens and provide a recommendation as to how infectious the sample can be. The information can be used to better inform the status of a subject or a location with regards to infectivity from the specimen.</t>
  </si>
  <si>
    <t>US11247163</t>
  </si>
  <si>
    <t>Localized air filtration system</t>
  </si>
  <si>
    <t>17/315800</t>
  </si>
  <si>
    <t>AGS ZEPHYR INC.</t>
  </si>
  <si>
    <t>AGS ZEPHYR</t>
  </si>
  <si>
    <t>Kazuhiro  Goto, Salvatore  Alesio, Robert  Sowka</t>
  </si>
  <si>
    <t xml:space="preserve">B01D46/0005; B01D46/0047; B01D46/0086; F24F8/10; B01D2279/40; B01D2279/50; </t>
  </si>
  <si>
    <t>An air purification unit is provided for individuals seated at a table that has a unit body adapted to be mounted at a mounting height at or above the approximate head height of individuals seated at the table, and in a position between the individuals. A motorized fan system is provided within the unit body that is configured to draw air from at least one inlet proximate the bottom of the unit body. A filter is positioned in communication with the inlet and the fan system for filtering air drawn through the inlet. The unit body has at least two ducted outlets disposed radially or axially for discharging filtered air toward the individuals, while the unit prevents cross-flow of breath air between the individuals.</t>
  </si>
  <si>
    <t>US11247051</t>
  </si>
  <si>
    <t>Systems and methods for controlled pacing of respiratory muscles</t>
  </si>
  <si>
    <t>17/177650</t>
  </si>
  <si>
    <t>Ranu  Jung, Ricardo  Siu</t>
  </si>
  <si>
    <t xml:space="preserve">A61B5/0836; A61N1/3601; </t>
  </si>
  <si>
    <t>Systems and methods for providing respiratory pacing using a closed-loop adaptive controller that can self-adjust in real-time to meet metabolic needs of a subject are provided. The controller can use an adaptive pattern generator/pattern shaper architecture that can autonomously generate a desired ventilatory pattern in response to dynamic changes in arterial carbon dioxide levels and, based on a learning algorithm or machine learning, can modulate stimulation intensity and cycle duration to evoke the desired ventilatory pattern.</t>
  </si>
  <si>
    <t>US11246922</t>
  </si>
  <si>
    <t>Vaccine RNA-peptide against SARS-CoV-2 with endogenous exosomes as carrier</t>
  </si>
  <si>
    <t>17/245535</t>
  </si>
  <si>
    <t>ELIDAN AMERICA, LLC.</t>
  </si>
  <si>
    <t>ELIDAN AMERICA</t>
  </si>
  <si>
    <t>Rodriguez Luis  Cruz</t>
  </si>
  <si>
    <t xml:space="preserve">A61K38/45; A61K39/215; A61P31/14; A61K2039/6018; A61K2039/6031; </t>
  </si>
  <si>
    <t>A vaccine RNA-peptide against SARS-CoV-2, which has a messenger ribonucleic acid (mRNA) having an open reading frame encoding a peptide of a Severe Acute Respiratory Syndrome Coronavirus 2 (SARS-CoV-2) surface protein. The peptide of the severe Acute Respiratory Syndrome Coronavirus 2 (SARS-CoV-2) surface protein is fused to a synthetic poly ADP-ribose polymerase peptide. The vaccine RNA-peptide against SARS-CoV-2 has endogenous exosomes as carrier.</t>
  </si>
  <si>
    <t>US11246921</t>
  </si>
  <si>
    <t>Adjuvant; Influenza</t>
  </si>
  <si>
    <t>Influenza vaccines with reduced amounts of squalene</t>
  </si>
  <si>
    <t>Mario  Contorni, Derek  O'hagan, Nicola  Groth</t>
  </si>
  <si>
    <t xml:space="preserve">A61K39/12; A61K39/12; A61K39/12; A61K39/12; A61K39/145; A61K39/145; A61K39/145; A61K39/295; A61P31/16; A61P37/04; C12N7/00; A61K2039/545; A61K2039/545; A61K2039/545; A61K2039/55566; A61K2039/55566; A61K2039/55566; A61K2039/70; A61K2039/70; A61K2039/70; A61K2039/70; C12N2760/16134; C12N2760/16134; C12N2760/16134; C12N2760/16134; C12N2760/16234; C12N2760/16234; C12N2760/16234; C12N2760/16234; </t>
  </si>
  <si>
    <t>Influenza vaccines include hemagglutinin from at least one influenza A virus strain and at least one influenza B virus strain. They also include an oil-in-water emulsion adjuvant with submicron oil droplets, comprising squalene. In some embodiments the hemagglutinin concentration is &gt;12 μg/ml per strain. In some embodiments the squalene concentration is &lt;19 mg/ml. In some embodiments the vaccine is mercury-free. In some embodiments the vaccine has a unit dose volume between 0.2-0.3 mL. In some embodiments the squalene concentration is 9.75 mg/mL or 4.88 mg/mL. In some embodiments the vaccine includes antigens from two influenza A virus strains and two influenza B virus strains.</t>
  </si>
  <si>
    <t>US11246898</t>
  </si>
  <si>
    <t>Botanicals; Ebola</t>
  </si>
  <si>
    <t>Antiviral arthrospira maxima extract</t>
  </si>
  <si>
    <t>Chuang-chun  Chiuh, Yi-hsiang  Chen, Gi-kung  Chang, Jing-yun  Chen, Ya-chun  Liao, Xin-wen  Huang, Shin-ru  Shih, Wei  Chen</t>
  </si>
  <si>
    <t xml:space="preserve">A23L33/135; A61K9/0014; A61K31/715; A61K35/00; A61K35/748; A61K35/748; A61K36/02; A61L15/36; A61L15/44; A61L15/58; A61P11/00; A61P31/12; A61P31/12; C12N1/12; A61K2236/00; A61K2236/331; A61L2300/30; A61L2300/408; </t>
  </si>
  <si>
    <t>The present disclosure provides various cyanobacterial extracts exhibiting antiviral activity to a wide spectrum of viruses, such as enterovirus (EV), respiratory syncytial virus (RSV), Human Herpesvirus (HHV), Ebola virus, porcine epidemic diarrhea virus (PEDV), and porcine reproductive and respiratory syndrome virus (PRRSV). The cyanobacterial extract is prepared from biomass of A. maxima (or Spirulina maxima). Also disclosed herein are process for preparing the cyanobacterial extract and uses of the cyanobacterial extract.</t>
  </si>
  <si>
    <t>US11246887</t>
  </si>
  <si>
    <t>Prevention of infection by highly pathogenic viruses using topical application of povidone-iodine on mucous membranes</t>
  </si>
  <si>
    <t>Peter  Molloy, Stephen  Goodall</t>
  </si>
  <si>
    <t xml:space="preserve">A61K9/0043; A61K9/0043; A61K9/0043; A61K9/08; A61K9/127; A61K31/79; A61K33/18; A61K33/18; A61K33/18; A61K47/10; A61K47/32; A61K47/32; A61K47/36; A61P1/00; A61P31/04; A61P31/12; A61P31/14; A61P31/16; Y02A50/30; </t>
  </si>
  <si>
    <t>This invention is directed to methods for prevention of infections by highly pathogenic viruses by applying to the nasal mucous membranes topical preparations comprising the broad-spectrum antimicrobial agent povidone-iodine.</t>
  </si>
  <si>
    <t>US11246874</t>
  </si>
  <si>
    <t>Treatment of COVID-19</t>
  </si>
  <si>
    <t>17/235437</t>
  </si>
  <si>
    <t>OXYGEN BIOTECH LLC</t>
  </si>
  <si>
    <t>OXYGEN BIOTECH</t>
  </si>
  <si>
    <t>Jan  Brábek, Daniel  Rösel, Karel  Smetana</t>
  </si>
  <si>
    <t xml:space="preserve">A61K9/0053; A61K31/55; A61P31/14; </t>
  </si>
  <si>
    <t>Provided herein are methods and compositions for the treatment of COVID-19.</t>
  </si>
  <si>
    <t>US11243621</t>
  </si>
  <si>
    <t>Microbial surface contact mitigation stylus tool</t>
  </si>
  <si>
    <t>17/449650</t>
  </si>
  <si>
    <t>VASS PETER L</t>
  </si>
  <si>
    <t>VASS PETER</t>
  </si>
  <si>
    <t>Peter L  Vass</t>
  </si>
  <si>
    <t xml:space="preserve">G06F3/03545; G06F3/044; </t>
  </si>
  <si>
    <t>Embodiments exemplify an ambidextrous multifunctional personal protection finger-mounted keyring ergonomic microbial surface contact mitigation stylus tool, grasped by a user to mitigate hand contact with surfaces, and electrically interact with a capacitive device touchscreen. The stylus tool can also effect force transmission and motion to a movable surface, and can include a rigid elongated stem having a proximal end with at least a transverse aperture that supports a removably and pivotably docked ring can be used as a rotationally locking keyring and the fulcrum of a third-class lever. The stylus tool can further include a compliantly coupled and ejectable cap on the stem distal end, and a mechanism that includes an ergonomic actuator to removably separate, without the user hand touching the cap, eject the disposable and replaceable cap from the stem by axially sliding thereon, and optionally activating a capacitive device touchscreen.</t>
  </si>
  <si>
    <t>US11241554</t>
  </si>
  <si>
    <t>Manufacturing method for a hood type ventilation device</t>
  </si>
  <si>
    <t>17/323030</t>
  </si>
  <si>
    <t>CREST MOLD TECHNOLOGY INC.</t>
  </si>
  <si>
    <t>CREST MOLD</t>
  </si>
  <si>
    <t>Edward Helmut  Bernard, Will James  Cipkar, William  Cipkar, Brian  Gignac</t>
  </si>
  <si>
    <t xml:space="preserve">A61M16/0093; A61M16/06; A61M16/0627; A61M16/0627; A61M16/0816; A61M16/209; B29C45/1676; A61J15/00; A61M16/0833; A61M16/1065; A61M16/12; A61M16/20; A61M16/205; A61M2202/0208; A61M2205/7509; A61M2207/00; A61M2207/00; B29L2031/4835; B29L2031/753; H04R1/10; </t>
  </si>
  <si>
    <t>A device for providing a known concentration of blended air and oxygen, or oxygen, to an individual which incorporates a face mask inside a hood, thereby preventing aerosolization of potentially harmful exhaled gases and controlling condensation issues within the hood while under pressurized conditions. The air tight seal required to allow placement and removal of the hood on the individual will be manufactured using injection molded elastomers to over-mold injection molded rigid plastic components.</t>
  </si>
  <si>
    <t>US11241493</t>
  </si>
  <si>
    <t>Coronavirus vaccine</t>
  </si>
  <si>
    <t>Susanne  Rauch, Hans Wolfgang  Grosse, Benjamin  Petsch</t>
  </si>
  <si>
    <t xml:space="preserve">A61K39/12; A61K39/215; A61K39/215; A61K47/26; A61K47/6933; A61P11/00; A61P31/14; C12N7/00; A61K2039/53; A61K2039/53; C12N2770/20011; C12N2770/20031; C12N2770/20034; C12N2770/20034; C12N2770/20071; </t>
  </si>
  <si>
    <t>The present invention is directed to a nucleic acid suitable for use in treatment or prophylaxis of an infection with a coronavirus, preferably with a Coronavirus SARS-CoV-2, or a disorder related to such an infection, preferably COVID-19.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</si>
  <si>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US11241485</t>
  </si>
  <si>
    <t>PDE5 compositions and methods for immunotherapy</t>
  </si>
  <si>
    <t>Vipin  Suri, Byron  Delabarre, Michael N  Gladstone, Celeste  Richardson, Brian  Dolinski, Abhishek  Kulkarni, Mara Christine  Inniss, Dexue  Sun, Dan Jun  Li, Grace Y  Olinger, Scott Francis  Heller</t>
  </si>
  <si>
    <t xml:space="preserve">A61K31/4985; A61K35/17; A61K38/177; A61K38/1774; A61K38/1793; A61K38/2086; A61K38/465; A61K38/465; A61K39/0011; A61K39/001112; A61K39/3955; A61P35/00; A61P35/00; A61P37/04; C07K14/5443; C07K14/7051; C07K14/70517; C07K14/70578; C07K14/7155; C07K16/2803; C07K16/2809; C07K19/00; C12N9/16; C12Y301/04035; A61K2039/505; A61K2039/5156; A61K2039/5158; C07K14/7051; C07K2317/53; C07K2317/622; C07K2317/622; C07K2319/02; C07K2319/03; C07K2319/03; C07K2319/30; C07K2319/33; C07K2319/33; C07K2319/95; </t>
  </si>
  <si>
    <t>The present invention relates to compositions and methods for the regulated and controlled expression of proteins. Methods for inducing anti-cancer immune responses in a subject are also provided.</t>
  </si>
  <si>
    <t>US11241410</t>
  </si>
  <si>
    <t>Method and compound for the treatment of covid-19</t>
  </si>
  <si>
    <t>Amanuel  Tesfazion, Lydia  Seifu, Meried  Bezuneh</t>
  </si>
  <si>
    <t xml:space="preserve">A61K31/235; A61K31/235; </t>
  </si>
  <si>
    <t>A method for the treatment of a coronavirus disease, including administering to a subject in need thereof of an anti-pathogenic compound, such that the anti-pathogenic compound is derived from an herbal extract.</t>
  </si>
  <si>
    <t>US11241393</t>
  </si>
  <si>
    <t>Organosilicon carriers for use in treating infections and/or diseases caused by SARS viruses</t>
  </si>
  <si>
    <t>Zoser B  Salama</t>
  </si>
  <si>
    <t xml:space="preserve">A61K9/0014; A61K9/0019; A61K9/0021; A61K9/0031; A61K9/0034; A61K9/0043; A61K9/0056; A61K9/006; A61K9/0095; A61K9/08; A61K9/10; A61K9/107; A61K9/1272; A61K9/19; A61K9/2004; A61K9/4841; A61K9/5123; A61K9/5146; A61K31/7004; A61K31/7004; </t>
  </si>
  <si>
    <t>A method for treating, attenuating or inhibiting an infection and/or disease associated with a SARS virus in a subject is provided that includes administering a pharmaceutical composition to the subject. The composition includes an organosilicone carrier with one or more active substances that block and/or inhibit an ACE2 receptor in a host cell of the subject, the spike protein of a SARS virus and/or internal components of a virion of the SARS virus.</t>
  </si>
  <si>
    <t>US11240579</t>
  </si>
  <si>
    <t>Sensor systems and methods for characterizing health conditions</t>
  </si>
  <si>
    <t>Nelson L  Jumbe, Andreas  Schuh, Peter  Rexelius, Michael  Morimoto, Dimosthenis  Katsis, Nikola  Knezevic, Steve  Krawczyk, Kevin  Hammond, Krzysztof  Krawiec, Gregory A  Kirkos</t>
  </si>
  <si>
    <t xml:space="preserve">A61B5/0002; A61B5/0531; A61B5/277; A61B5/318; A61B5/412; A61B5/7267; A61B7/04; A61B7/04; A61B8/488; G01P1/00; G01P15/08; G10L25/66; H04R1/028; H04R1/04; H04R1/083; H04R1/46; H04R1/46; H04R9/025; H04R9/045; H04R9/08; A61B2560/0214; A61B2560/0252; A61B2560/0257; A61B2560/0431; A61B2560/0443; A61B2562/0204; A61B2562/0219; H04R2201/003; </t>
  </si>
  <si>
    <t>A sensing system comprising a hand-held sensing device with a vibracoustic sensor module (VSM). The VSM comprises a voice coil component comprising a coil holder supporting wire windings; a magnet component comprising a magnet supported by a frame, a magnet gap configured to receive at least a portion of the voice coil component in a spaced and moveable manner; a connector connecting the voice coil component to the magnet component, the connector being compliant and permitting relative movement of the voice coil component and the magnet component; a diaphragm configured to induce a movement of the voice coil component in the magnet gap responsive to incident acoustic waves; a housing for retaining the vibroacoustic sensor module having a handle end and a sensor end, the sensor end having an opening, the VSM positioned such that at least a portion of the diaphragm extends across the opening.</t>
  </si>
  <si>
    <t>US11238466</t>
  </si>
  <si>
    <t>Method and system for using bluetooth and other nearby-communications technologies to help governments and health agencies reduce the spread of novel corona viruses and other highly-contagious diseases, with user privacy and security central to the design</t>
  </si>
  <si>
    <t>Timo  Platt, Stephan  Krueger, Barbara  Roselle</t>
  </si>
  <si>
    <t xml:space="preserve">G06Q30/02; G06Q30/02; G06Q30/0256; G06Q30/0256; G16H50/80; H04L41/12; H04L63/08; H04L65/403; H04L67/125; H04L67/125; H04L67/141; H04L67/16; H04L67/16; H04L67/18; H04L67/18; H04L67/42; H04L67/42; H04W4/02; H04W4/029; H04W4/06; H04W4/06; H04W8/005; H04W12/06; H04W12/06; H04W76/14; H04W76/14; </t>
  </si>
  <si>
    <t>A communications method is established enabling exposure notification, contact tracing and movement tracking by using Bluetooth or other nearby communications technology for communicating with nearby smartphones and mobile devices, and for data exchange both to alert participants of possible exposure to someone who they have recently been in contact with, and who has subsequently been positively diagnosed, or potentially diagnosed as having, a novel coronavirus or other highly contagious disease, and to trace and identify containers, packages, envelopes and other objects that may have been in contact with a person or object carrying or potentially carrying the virus or disease.</t>
  </si>
  <si>
    <t>US11235120</t>
  </si>
  <si>
    <t>Facial mask apparatus with removable filter</t>
  </si>
  <si>
    <t>Lucy Carol  Davis</t>
  </si>
  <si>
    <t xml:space="preserve">A61B5/4818; A61B5/4818; A61B5/6803; A61M16/06; A61M16/06; A61M16/0616; A61M16/0644; A61M2016/0661; A61M2016/0661; A61M16/0683; A61M16/0816; A61M16/1055; A61M16/161; A61M2202/0225; A61M2205/7509; A61M2205/7518; A61M2207/00; A61M2230/06; A61M2230/50; A62B18/02; A62B18/02; </t>
  </si>
  <si>
    <t>A face mask for extended wear by a user including a customized, contoured facial mask portion constructed and configured to cover and matingly contact a corresponding contoured surface area of a human face, preferably formed by 3D printing methods and materials. The face mask includes strap attachments and at least one strap for securing the customized, contoured facial mask portion to the face. The face mask includes at least one replaceable air filter for filtering out viral or bacterial pathogens.</t>
  </si>
  <si>
    <t>US11234861</t>
  </si>
  <si>
    <t>Respiratory therapeutic electric heat source face mask</t>
  </si>
  <si>
    <t>Robert  Sabin</t>
  </si>
  <si>
    <t xml:space="preserve">A61F7/0085; A61F7/0085; A61F7/12; A61F7/12; A61M16/06; A61M16/0875; A61M16/1075; A61M16/1095; A61F2007/006; A61F2007/006; A61M16/06; A61M16/20; A61M2205/05; A61M2205/051; A61M2205/276; A61M2205/3368; A61M2205/502; A61M2205/502; A61M2205/583; A61M2205/8206; A61M2205/84; </t>
  </si>
  <si>
    <t>An improved face mask with a temperature monitored resilient, flexible face barrier to limit the face, eyes, lips, and oral tissues of the mouth of the user from direct exposure to heated air from the mask above threshold temperatures. The improved face mask and heat source conditions air drawn into the face mask before it is actually breathed and thereby supply heated or elevated higher temperature at a therapeutic air pressure to persons in need thereof, particularly to maintain a wearer's upper respiratory system at a further elevated high temperature, capable of inactivating viruses, such as the Coronavirus 2 (SARS CoV-2 virus), killing bacteria, (TB) fungi, biofilms, tumor cells, pre-malignant cancer cells, dysplasia cells and other pathogens, and to promote an immune-stimulatory response and to prevent or inactivate a virus in the respiratory system of the wearer of the heated face mask, in both ambulatory and hospitalization settings.</t>
  </si>
  <si>
    <t>US11232869</t>
  </si>
  <si>
    <t>Detecting infection using personalized criteria</t>
  </si>
  <si>
    <t>Howard  Federoff, Ophir  Frieder</t>
  </si>
  <si>
    <t xml:space="preserve">A61B5/0022; A61B5/02405; A61B5/0816; A61B5/1118; A61B5/14542; A61B5/4803; A61B5/6898; G10L25/66; G10L25/66; G16H40/67; G16H40/67; G16H50/20; G16H50/30; G16H50/80; G16H50/80; H04W4/38; H04W12/33; </t>
  </si>
  <si>
    <t>A triage system that determines whether a user is likely to have contracted a disease based on sensor data received from a user device (e.g., a smartphone or activity tracker). Some symptoms are identified by comparing sensor data to a predetermined baseline and comparing the difference to a predetermined symptom threshold. Those comparisons are weighted to form a composite metric, which is compared to a composite threshold to determine if the user is likely to have contracted the disease. Because different individuals are at higher risk of contracting certain diseases, the determined based on specific characteristics of the user (e.g., potential comorbidities, age, gender, ethnic, racial, cultural, or economic status, geographic location, level of interaction with other individuals, etc.) that that have been identified in medical literature as increasing the individual's risk.</t>
  </si>
  <si>
    <t>US11232663</t>
  </si>
  <si>
    <t>System and method using optical tags to conduct secure transactions and authentications</t>
  </si>
  <si>
    <t>Lalit  Lodha, Joshua  Huntington</t>
  </si>
  <si>
    <t xml:space="preserve">A61J7/00; G06K17/00; G06Q20/047; G06Q20/4014; G06Q20/40145; G07C9/257; G07C9/27; G07F17/0092; G16H20/10; </t>
  </si>
  <si>
    <t>A method for limiting exposure to infectious disease by controlling access to a controlled access venue to admit individuals who have tested non-infectious for a particular highly infectious disease or have received a vaccination against the same comprises receiving, at a central website operator server, consumer user identification information from consumer users and storing that information in a consumer user database associated with the server. A biometric identifier from the consumer users is transmitted to the consumer user database and each associated with its respective associated consumer user to form an enrollment record. Identity of a presented individual is collected at a medical certification point and an authority record is created in an accessible authority database. At said medical certification point, an antibody test or vaccination is administered and the same is noted in the authority record. A biometric is collected from a venue presented consumer at a presentation venue, compared to authority records for a match, and the result provided to the venue.</t>
  </si>
  <si>
    <t>US11230592</t>
  </si>
  <si>
    <t>DNA antibody constructs for use against middle east respiratory syndrome coronavirus</t>
  </si>
  <si>
    <t>David  Weiner, Trevor R F  Smith, Kar  Muthumani</t>
  </si>
  <si>
    <t xml:space="preserve">A61K39/42; C07K16/10; C07K16/10; C12N15/63; C12N15/63; A61K2039/53; </t>
  </si>
  <si>
    <t>Disclosed herein is a composition including a recombinant nucleic acid sequence that encodes an antibody to a Middle East Respiratory Syncytial Coronavirus (MERS-CoV) viral antigen. Also disclosed herein is a method of generating a synthetic antibody in a subject by administering the composition to the subject. The disclosure also provides a method of preventing and/or treating an MERS-CoV virus infection in a subject using said composition and method of generation.</t>
  </si>
  <si>
    <t>US11229501</t>
  </si>
  <si>
    <t>Negative pressure chamber for patient intubation</t>
  </si>
  <si>
    <t>Karlis  Vizulis, Jr James Edward  Smith</t>
  </si>
  <si>
    <t xml:space="preserve">A61B90/40; A61B90/40; A61G10/005; A61G10/005; A61G13/108; A61B2090/401; A61B2090/401; A61M16/009; A61M16/0488; A61M16/0488; A61M2202/203; A61M2202/206; A61M2205/0205; A61M2205/7509; A61M2205/7518; </t>
  </si>
  <si>
    <t>A chamber for placement over a patient while allowing medical personnel to perform various medical procedures releasing virus, bacteria, or other contaminants, such as tracheal intubation, on the patient, including a frame forming and supporting two sidewalls and a curved center portion extending between the sidewalls of a transparent body, wherein the body includes at least one access hole, and wherein the chamber surrounds the patient's head and one of the sidewalls deforms around the patient's body in order to capture and exhaust any of the virus, bacteria, or other contaminants released by the patient during the medical procedure. A method of using the chamber of to perform a medical procedure on a patient releasing virus, bacteria, or other contaminants.</t>
  </si>
  <si>
    <t>US11229254</t>
  </si>
  <si>
    <t>Dispersing helmet safety system and method</t>
  </si>
  <si>
    <t>17/217927</t>
  </si>
  <si>
    <t>Matteucci, Rose Elizabeth; Matteucci, Carlo</t>
  </si>
  <si>
    <t>MATTEUCCI ROSE</t>
  </si>
  <si>
    <t>Rose Elizabeth  Matteucci, Carlo  Matteucci</t>
  </si>
  <si>
    <t xml:space="preserve">A42B3/063; </t>
  </si>
  <si>
    <t>A system and method for a protection helmet which has exterior moveable tiles to move upon impact and then retract to their original placements. The system prolongs the impact time by de-accelerating it and minimizing its damaging effects by spreading out the impact force over a larger surface area. A system and method for a helmet's face mask to absorb impact and return back to its original state whether impacted on its bars, interior/exterior assembly, or any part of the face mask. A system and method for a football helmet's padding to be multi-layered and have multiple ancillary cavities that compress and retract back to their original state.</t>
  </si>
  <si>
    <t>US11227684</t>
  </si>
  <si>
    <t>Systems and methods for processing electronic images for health monitoring and forecasting</t>
  </si>
  <si>
    <t>Christopher  Kanan, Lentini Rodrigo  Ceballos, Jillian  Sue, Thomas  Fuchs, Leo  Grady</t>
  </si>
  <si>
    <t xml:space="preserve">G06T7/0012; G16H30/40; G16H30/40; G16H50/20; G16H50/80; G06T2207/20081; G06T2207/20084; G16H50/20; G16H50/30; G16H50/70; </t>
  </si>
  <si>
    <t>Systems and methods are disclosed for determining at least one geographic region of a plurality of geographic regions, at least one data variable, and/or at least one health variable, estimating a current prevalence of a data variable in a geographic region of the plurality of geographic regions, determining a trend in a relationship between the data variable and the geographic region at a current time, determining a second trend in the relationship between the data variable and the geographic region at at least one prior point in time, determining if the trend in the relationship is irregular within a predetermined threshold with respect to the second trend from the at least one prior point in time, and, upon determining that the trend in the relationship is irregular within a predetermined threshold, generating an alert.</t>
  </si>
  <si>
    <t>US11226122</t>
  </si>
  <si>
    <t>Modular recycling air curtain device to replace personal protection equipment (PPE) for reduction in the spread of viruses such as Covid-19</t>
  </si>
  <si>
    <t>James T  Cash, Olivia  Cash</t>
  </si>
  <si>
    <t xml:space="preserve">F24F3/14; F24F3/163; F24F8/22; </t>
  </si>
  <si>
    <t>A module air curtain and recirculation system that can be incorporated into various tables and workstations that provides 1) an effective air curtain between individuals, 2) a reduction of harmful viruses and 3) the ability for two or more people to be in close proximity without having to wear personal protective equipment such as face masks.</t>
  </si>
  <si>
    <t>US11224675</t>
  </si>
  <si>
    <t>Ultraviolet-C (UV-C) mercury discharge tube irradiated forced airflow face shield</t>
  </si>
  <si>
    <t>17/353518</t>
  </si>
  <si>
    <t>AKCASU AIRBORNE VIRUS PROTECTION SYSTEMS, INC.</t>
  </si>
  <si>
    <t>AKCASU AIRBORNE VIRUS PROTECTION SYSTEMS</t>
  </si>
  <si>
    <t>Osman Ersed  Akcasu</t>
  </si>
  <si>
    <t xml:space="preserve">A61L9/20; A61L2209/12; </t>
  </si>
  <si>
    <t>Disclosed herein is a forced irradiated air shielding mechanism that is an effective protective measure against Covid-19. The UV-C irradiated forced air flow face shield described herein is compact enough to be camouflaged under a cap. In this work it is mathematically proven that the described UV-C irradiated forced air flow face shield by itself provides more effective protection against the Covid-19 or similar airborne pathogens. The shield can be enabled using a mercury discharge tube or light emitting diode (LED) irradiator. Computational fluid dynamics is presented to show that positive irradiated air pressure ensures that the only air breathed by the wearer is irradiated. Also presented is a face shield testing apparatus.</t>
  </si>
  <si>
    <t>US11220536</t>
  </si>
  <si>
    <t>Compounds specific to coronavirus S protein and uses thereof</t>
  </si>
  <si>
    <t>Laura  Walker, Laura  Deveau, Jonathan  Belk, Anna  Wec, C Garrett  Rappazzo</t>
  </si>
  <si>
    <t xml:space="preserve">C07K16/10; C07K16/10; A61K2039/505; C07K2317/21; C07K2317/33; C07K2317/52; C07K2317/54; C07K2317/55; C07K2317/565; C07K2317/565; C07K2317/622; C07K2317/732; C07K2317/734; C07K2317/76; C07K2317/76; C07K2317/92; C07K2317/92; C07K2317/94; </t>
  </si>
  <si>
    <t>The present disclosure is directed to antibodies, and antigen binding fragments thereof, having binding specificity for the S protein of coronaviruses (CoV-S), such as the S protein of the SARS coronavirus (SARS-CoV-S) and/or the S protein of the SARS coronavirus 2 (SARS-CoV-2-S), including neutralizing antibodies and antibodies that bind to and/or compete for binding to the same linear or conformational epitope(s) on CoV-S. Further disclosed are conjugates of anti-CoV-S antibodies, and binding fragments thereof, conjugated to one or more functional or detectable moieties. Methods of making said anti-CoV-S antibodies and antigen binding fragments thereof are also contemplated. Other embodiments of the disclosure include the use of anti-CoV-S antibodies, and binding fragments thereof, for the diagnosis, assessment, and treatment of diseases and disorders associated with coronaviruses, or the S protein thereof, and conditions where neutralization or inhibition of coronaviruses, or the S protein thereof, would be therapeutically and/or prophylactically beneficial.</t>
  </si>
  <si>
    <t>US11219685</t>
  </si>
  <si>
    <t>Intranasal MERS-CoV vaccine</t>
  </si>
  <si>
    <t>US11219684</t>
  </si>
  <si>
    <t>COVID-19 peptide specific T-cells and methods of treating and preventing COVID-19</t>
  </si>
  <si>
    <t>17/314152</t>
  </si>
  <si>
    <t>TEVOGEN BIO INC.</t>
  </si>
  <si>
    <t>TEVOGEN BIO</t>
  </si>
  <si>
    <t>Ryan  Saadi</t>
  </si>
  <si>
    <t xml:space="preserve">A61K9/0019; A61K39/12; A61K39/215; C12N5/0638; C12N5/0639; A61K2039/5158; A61K2039/54; C12N2502/1192; C12N2506/115; C12N2770/20011; </t>
  </si>
  <si>
    <t>The invention relates to pharmaceutical compositions that contain COVID-19 peptide specific cytotoxic T cells, and to methods for treating or preventing COVID-19 infection.</t>
  </si>
  <si>
    <t>US11219551</t>
  </si>
  <si>
    <t>Method and system for controlled hyperthermia</t>
  </si>
  <si>
    <t>17/239609</t>
  </si>
  <si>
    <t>Roger  Vertrees, Jan  Winetz</t>
  </si>
  <si>
    <t xml:space="preserve">A61F7/12; A61M1/3413; A61M1/3666; A61M1/3679; A61M1/369; A61M5/14; A61M60/113; A61M60/279; A61M60/38; A61F2007/126; A61M2205/05; A61M2205/583; </t>
  </si>
  <si>
    <t>Methods and for treatment of cancer and other diseases including complications from late stage viral infections by inducing hyperthermia in a patient relying on withdrawing blood from the patient and returning the withdrawn blood to the patient to establish an extracorporeal flow circuit. Blood is heated by passing through the extracorporeal circuit at a controlled rate until a target body core temperature in is achieved. Usually, the blood will be subjected to a continuously re-circulating dialysis to balance electrolytes. Additionally, the blood will be subjected to a continuously recirculating regeneration through a carbon sorbent column where toxins and contaminants are removed. The blood temperature is maintained at the target blood temperature for a treatment period, and the blood is cooled after the treatment period has been completed. The method can also be effective in treating rheumatoid arthritis, scleroderma, hepatitis, sepsis, the Epstein-Barr virus, and patients with life threatening complications from other viruses, including the COVID-19 virus. A method for removing viruses from the blood supply in an external circuit is also presented.</t>
  </si>
  <si>
    <t>US11219500</t>
  </si>
  <si>
    <t>Aerosol reduction systems and methods</t>
  </si>
  <si>
    <t>Lara L  Ryan</t>
  </si>
  <si>
    <t xml:space="preserve">A61B90/05; A61B90/50; A61C17/06; A61G13/108; A61M1/80; A61M2205/7536; </t>
  </si>
  <si>
    <t>A system for reducing aerosols emitted from a patient on which a medical procedure is being performed. The system comprises a transparent dome and an adapter assembly configured to releasably support the dome. The system additionally comprises a support assembly configured to support the adapter assembly and the dome. The support assembly is adjustable such that the dome can be selectively positioned over an intended body area of the patient and block aerosols emitted from the intended body area.</t>
  </si>
  <si>
    <t>US11219412</t>
  </si>
  <si>
    <t>In-ear health monitoring</t>
  </si>
  <si>
    <t>Jeffrey L  Rogers, Brian Derek  Debusschere</t>
  </si>
  <si>
    <t xml:space="preserve">A61B5/0008; A61B5/0008; A61B5/0022; A61B5/0022; A61B5/01; A61B5/01; A61B5/6817; A61B5/6817; A61B5/6898; A61B5/6898; A61B5/7221; A61B5/7221; A61B5/7246; A61B5/7246; A61B5/7405; A61B5/7405; A61F7/12; G01J5/0011; G01J5/049; G01K7/22; G16H40/67; A61B2562/0271; A61B2562/0271; G01J2005/063; G01J5/068; G06Q50/22; G16H50/80; Y02A90/10; </t>
  </si>
  <si>
    <t>This document describes techniques for, and systems that enable, in-ear health monitoring. The techniques described herein enable early detection of health conditions (e.g., contagious disease) through use of an in-ear health-monitoring and audio device. These techniques prompt a user, often through the user's smart phone, to listen to audio content through the device, which also takes the user's temperature. Through repetitive use, the techniques are capable of determining a temperature differential for the user, which aids in early detection of a contagious disease or other malady.</t>
  </si>
  <si>
    <t>US11214843</t>
  </si>
  <si>
    <t>Compositions, kits and methods for detection of viral sequences</t>
  </si>
  <si>
    <t>Kelly  Li, Ioanna  Pagani, Pius  Brzoska, Jisheng  Li, Chunling  Wang, Kathleen  Hayashibara, Michael  Tanner, Hong  Ji, Kamini  Varma, Fangqi  Hu, Robert  Tebbs</t>
  </si>
  <si>
    <t xml:space="preserve">C12Q1/701; C12Q1/701; C12Q2600/16; </t>
  </si>
  <si>
    <t>Compositions, assays, methods, diagnostic methods, kits, and diagnostic kits are disclosed for the specific and differential detection of SARS-CoV-2 and/or other viruses from samples, including veterinary samples, clinical samples, food samples, forensic sample, environmental samples (e.g., obtained from soil, garbage, sewage, air, water, food processing and manufacturing surfaces, or likewise), or biological sample obtained from a human or non-human animal.</t>
  </si>
  <si>
    <t>US11213603</t>
  </si>
  <si>
    <t>Ultraviolet-c (UV-c) light emitting diode (LED) irradiated forced airflow face shield</t>
  </si>
  <si>
    <t>17/353561</t>
  </si>
  <si>
    <t>US11213581</t>
  </si>
  <si>
    <t>Antibodies; Coronavirus</t>
  </si>
  <si>
    <t>Antigen specific immunotherapy for COVID-19 fusion proteins and methods of use</t>
  </si>
  <si>
    <t>Todd C  Zion, Thomas M  Lancaster, Thillainayagam  Sathiyaseelan, Kexin  Huang</t>
  </si>
  <si>
    <t xml:space="preserve">A61K39/12; A61K39/215; A61P31/14; A61P31/14; C07K14/005; C07K14/165; C12N7/00; A61K38/00; A61K38/00; A61K2039/54; A61K2039/55566; A61K2039/55588; A61K2039/6031; A61K2039/6056; A61K2039/6075; A61K2039/62; C07K2319/30; C12N2770/20022; C12N2770/20034; </t>
  </si>
  <si>
    <t>The present disclosure provides recombinantly manufactured fusion proteins comprising a SARS-CoV-2 Receptor Binding Domain (SARS-CoV-2-RBD) fragment or an analog thereof linked to a human Fc fragment for use in relation to the 2019 Novel Coronavirus (COVID-19). Embodiments include the administration of the fusion proteins to patients that have recovered from COVID-19 as a booster vaccination, to antibody naïve patients to produce antibodies to the SARS-CoV-2 virus to enable the patients to become convalescent plasma donors, to patients who have been infected by the SARS-CoV-2 virus and have contracted COVID-19 in order to limit the scope of the infection and ameliorate the disease, and as a prophylactic COVID-19 vaccine. Exemplary Fc fusion proteins and pharmaceutical formulations of exemplary Fc fusion proteins are provided, in addition to methods of use and preparation.</t>
  </si>
  <si>
    <t>US11213579</t>
  </si>
  <si>
    <t>Adjuvant; Platform</t>
  </si>
  <si>
    <t>Vaccines with enhanced immunogenicity, low allergenicity and reactogenicity</t>
  </si>
  <si>
    <t>Boris  Farber, Sof'ya  Farber, Artur Viktorovich  Martynov</t>
  </si>
  <si>
    <t xml:space="preserve">A61K39/00; A61K39/104; A61K39/104; A61K39/12; A61K39/17; A61K39/39; C07K14/005; C07K14/005; A61K2039/521; A61K2039/521; A61K2039/5252; A61K2039/5252; A61K2039/55505; C12N2760/18134; </t>
  </si>
  <si>
    <t>Field of application: the invention relates to veterinary medicine and, in particular, to vaccinology and pharmacy, and is intended for the prevention and treatment of infectious and other diseases of humans and animals, where low allergenic low reactogenic vaccination is used. The essence of the invention: developed vaccines with increased immunogenicity, low allergenicity and reactogenicity, containing antigen/toxin and adjuvant, wherein that they contain vaccine antigen/toxin inactivated by electromagnetic radiation in the ultraviolet and visible regions of the spectrum in the presence of a solution of photosensitizer and salts of divalent metals, and then covalently modified according to the residues of amino groups and hydroxyls groups of antigen/toxin available for modification, at least two modifying agents at the same time in terms of 0.01-10.0% of the mass concentration of the antigen/toxin protein, and as an adjuvant it contains hydrosol hydroxide ferric chloride.</t>
  </si>
  <si>
    <t>US11213530</t>
  </si>
  <si>
    <t>Lawrence Richard  Bernstein</t>
  </si>
  <si>
    <t xml:space="preserve">A61K9/0053; A61K9/0078; A61K9/08; A61K9/12; A61K31/555; A61K31/555; A61K33/24; A61K33/24; A61P11/00; </t>
  </si>
  <si>
    <t>Provided are compositions and methods to treat or prevent coronavirus disease, including Covid-19. The methods comprise the administration of pharmaceutically acceptable gallium compounds. A preferred method is the oral administration of gallium maltolate, and another preferred method is inhalation of an aerosolized solution of gallium maltolate into the bronchi and lungs. Also provided are methods to destroy or otherwise inactivate coronaviruses on or in the body of an individual, on any surface, in any liquid, or in any gas including air, by direct contact with a gallium compound or with gallium in solution as a liquid or vapor.</t>
  </si>
  <si>
    <t>US11213511</t>
  </si>
  <si>
    <t>Composition for preventing or treating SARS coronavirus 2 infection disease</t>
  </si>
  <si>
    <t>Jong Sun  Jung, Jong Hui  Hong, Dong Myung  Kim, Bong Hwan  Park, Young Bae  Ryu, Hyung Jun  Kwon, In Chul  Lee, Ji Young  Park</t>
  </si>
  <si>
    <t xml:space="preserve">A23L33/10; A61K9/0043; A61K9/0053; A61K9/0073; A61K31/404; A61K31/404; A61K31/405; A61K31/4152; A61K31/4152; A61P31/14; A61P31/14; A61P31/14; A23V2002/00; A23V2200/324; A23V2250/30; </t>
  </si>
  <si>
    <t>Disclosed is a pharmaceutical composition for preventing or treating severe acute respiratory syndrome coronavirus 2 infection disease, the composition comprising a compound represented by a Chemical Formula 1, or a pharmaceutically acceptable salt thereof, as an active ingredient.</t>
  </si>
  <si>
    <t>US11213482</t>
  </si>
  <si>
    <t>SARS-CoV-2 subunit vaccine and microneedle array delivery system</t>
  </si>
  <si>
    <t>17/009121</t>
  </si>
  <si>
    <t>Andrea  Gambotto, Jr Louis  Falo, Eun  Kim</t>
  </si>
  <si>
    <t xml:space="preserve">A61B5/150984; A61B17/205; A61K9/0021; A61K39/12; A61K39/39; A61K47/58; A61M37/0015; A61P31/14; A61K2039/505; A61K2039/54; A61K2039/55561; A61K2039/55572; A61M2037/0046; A61M2037/0053; A61M2202/30; C12N2710/10343; C12N2770/20034; </t>
  </si>
  <si>
    <t>A recombinant coronavirus vaccine is provided. Methods of making and delivering the coronavirus vaccine also are provided. A microneedle array is provided, along with methods of making and using the microneedle array.</t>
  </si>
  <si>
    <t>US11212645</t>
  </si>
  <si>
    <t>Apparatus and method for assigning resources to persons within a facility</t>
  </si>
  <si>
    <t>Peter  Millius, James A  White</t>
  </si>
  <si>
    <t xml:space="preserve">G06K7/1417; G08B21/02; H04W4/023; H04W4/029; H04W4/33; H04W4/33; H04W4/80; H04W4/80; </t>
  </si>
  <si>
    <t>A method of minimizing cross-contamination of pathogens between persons within a facility includes placing tags onto shared resources such as tables, desks, chairs, coffee makers, microwave ovens, sinks, bathroom stalls, etc. A mobile device senses the tags and approximates their locations, in embodiments relative to tagged anchor points. The mobile device can include any combination of tag-sensing and locating features, including a camera, LIDAR, GPS, sonic distance measurement, and accelerometers for inertial position sensing. In embodiments, the approximated tag locations can be verified and corrected as needed by using augmented reality to project the estimated tag locations onto the actual scene. The accurately determined tag locations are then used to assign resources to persons within the facility, whereby spatial distancing between persons and time intervals between usage of the same resource are maximized. A log of the resource assignments can be used to enhance contact tracing.</t>
  </si>
  <si>
    <t>US11209428</t>
  </si>
  <si>
    <t>Diagnostic test for vaccine validation and authentication and methods of use thereof</t>
  </si>
  <si>
    <t>17/321194</t>
  </si>
  <si>
    <t>Andrew  Robinson, Krishna  Kowlgi, Stephen  Squires, Brent Wade  Ferguson, Nathanael J  Barree</t>
  </si>
  <si>
    <t xml:space="preserve">C12Q1/6804; G01N33/54388; G01N33/56983; G01N2333/165; </t>
  </si>
  <si>
    <t>The present invention encompasses a diagnostic test and method to authenticate the veracity of a vaccine. The diagnostic test and method are especially useful in a specific and sensitive immunochromatographic assay, performable within about 15 minutes for the authentication, validation, and veracity of a vaccine, such as a COVID-19 vaccine, in a vial prior to administration to a human.</t>
  </si>
  <si>
    <t>US11208660</t>
  </si>
  <si>
    <t>Coronavirus iRNA compositions and methods of use thereof</t>
  </si>
  <si>
    <t>17/321561</t>
  </si>
  <si>
    <t>Akin  Akinc, James D  Mcininch, Yesseinia  Anglero-rodriguez, Mark K  Schlegel, Christy M  Hebner, Florian A  Lempp</t>
  </si>
  <si>
    <t xml:space="preserve">C12N15/1131; C12N15/1131; C12N2310/14; C12N2310/14; C12N2310/312; C12N2310/3125; C12N2310/315; C12N2310/315; C12N2310/321; C12N2310/321; C12N2310/322; C12N2310/322; C12N2310/343; C12N2310/3515; C12N2310/3515; </t>
  </si>
  <si>
    <t>The present invention relates to RNAi agents, e.g., dsRNA agents, targeting the coronavirus genome. The invention also relates to methods of using such RNAi agents to inhibit expression of a coronavirus genome and to methods of treating or preventing a coronavirus-associated disease in a subject.</t>
  </si>
  <si>
    <t>US11208470</t>
  </si>
  <si>
    <t>David  Weiner, Karuppiah  Muthumani, Seleeke  Flingai, Niranjan  Sardesai</t>
  </si>
  <si>
    <t xml:space="preserve">A61K31/7088; A61K31/7088; A61K39/12; A61K39/21; A61K39/395; A61K39/42; A61K48/00; A61P31/14; A61P31/18; C07K16/08; C07K16/10; C07K16/1063; C07K16/1063; C07K16/1063; C07K16/1081; C07K16/1081; C07K16/1081; C07K16/32; C07K16/32; C07K16/32; C12N7/00; A61K2039/505; A61K2039/53; A61K48/005; A61M2037/0007; C07K2317/10; C07K2317/14; C07K2317/14; C07K2317/14; C07K2317/21; C07K2317/21; C07K2317/21; C07K2317/55; C07K2317/55; C07K2317/55; C07K2317/60; C07K2317/76; C07K2317/76; C07K2317/76; C12N2740/16034; C12N2740/16111; C12N2740/16134; C12N2770/24111; C12N2770/24134; C12N2770/36034; C12N2770/36111; Y02A50/30; Y02A50/30; </t>
  </si>
  <si>
    <t>US11207630</t>
  </si>
  <si>
    <t>Aerosol protection system</t>
  </si>
  <si>
    <t>Seyed Vahid  Sahiholnasab, Joel Nicholas  Fransen, Kiomars  Anvari, Edmond  Zahedi</t>
  </si>
  <si>
    <t xml:space="preserve">A61C17/08; A61C17/14; A61C19/00; B01D46/0041; B01D46/444; A61B2090/401; B01D2273/30; B01D2279/40; B01D2279/65; </t>
  </si>
  <si>
    <t>Hygiene regulations and social distancing are very effective in blocking short distance infections. During the lockdown, the distance rules can usually be adhered to, but what happens when the actual lockdown is over and the people meet again in a confined space? Then additional effective and efficient protection is essential to stabilize infection rates. Since the viruses are spread by contact and droplet infection, technical devices are required that effectively intervene in the chain of infection and effectively block infection. An effective protection is the respiratory mask as known since 100 years.An alternative to mask is an aerosol protection system for various applications in environment. The protection system consists of adjustable air sucking device and air blowing device in different form factors based on application. The aerosol protection system uses either an air curtain or air shield to prevent the aerosol going from one side of the curtain or shield to the other side.</t>
  </si>
  <si>
    <t>US11207401</t>
  </si>
  <si>
    <t>17/314154</t>
  </si>
  <si>
    <t>US11207370</t>
  </si>
  <si>
    <t>Peptidomimetics for the treatment of coronavirus and picornavirus infections</t>
  </si>
  <si>
    <t>Raymond F  Schinazi, Keivan  Zandi, Franck  Amblard</t>
  </si>
  <si>
    <t xml:space="preserve">A61K31/519; A61K31/53; A61K31/675; A61K31/7072; A61K38/05; A61K38/06; A61K45/06; A61P31/14; C07D207/26; C07D211/76; C07D405/06; C07K5/06026; C07K5/06034; C07K5/06078; C07K5/06078; C07K5/06139; C07K5/06191; C07K5/0806; C07K5/0808; C07K5/0812; C07K5/0812; C07K5/0819; C07K5/0821; C07K5/0827; C07K5/0827; A61P31/14; C07K5/12; </t>
  </si>
  <si>
    <t>Compounds, compositions and methods for preventing, treating or curing a coronavirus, picornavirus, and/or hepeviridae virus infection in human subjects or other animal hosts. Specific viruses that can be treated include enteroviruses. In one embodiment, the compounds can be used to treat an infection with a severe acute respiratory syndrome virus, such as human coronavirus 229E, SARS, MERS, SARS-CoV-1 (OC43), and SARS-CoV-2. In another embodiment, the methods are used to treat a patient co-infected with two or more of these viruses, or a combination of one or more of these viruses and norovirus.</t>
  </si>
  <si>
    <t>US11207326</t>
  </si>
  <si>
    <t>Accelerated treatment of COVID-19 and SAR's type viruses</t>
  </si>
  <si>
    <t>Binyomin A  Cohen, Monicka C  Jones</t>
  </si>
  <si>
    <t xml:space="preserve">A61K9/0019; A61K9/0073; A61K9/0078; A61K31/522; A61K31/522; A61K47/02; A61K47/10; A61K47/26; A61P31/14; A61P31/14; </t>
  </si>
  <si>
    <t>The present invention provides a solution mixture of 1.8 to 3.7% hypertonic saline, 70 to 85% ethanol as solvent alternating with 10 milliliters 50 to 90% of 75 to 110 mg theobromine in a nebulized aerosol for inhalation by COVID-19 and SARS patients. Alternatively, theobromine may be infused alternating with inhaled nebulized exogenous pulmonary surfactant as replacement. For advanced COVID-19, SARS patients, the inhalation described above may be alternated with an intravenous solution of 1.8% to 2.2% hypertonic solution of theobromine as 450 mg to 650 mg in ethanol, twice daily.</t>
  </si>
  <si>
    <t>US11206881</t>
  </si>
  <si>
    <t>Face shield system</t>
  </si>
  <si>
    <t>Brandon  Sprouse</t>
  </si>
  <si>
    <t xml:space="preserve">A41D13/1161; A41D13/1161; A41D13/1184; A41D13/1184; A61B90/05; </t>
  </si>
  <si>
    <t>A face shield system formed by a lay-flat headband removably joined with a lay-flat face shield. The headband having a first connection feature located at one end of the headband and a second connection feature located at an opposing end of the headband. The second connection feature removably connects with the first connection feature in order to provide a closed headband configured for placement around a user's head. A third connection feature is located between the first and second connection features. The face shield includes a fourth connection feature that removably engages with the third connection feature when the face shield is in a curved configuration in order to removably connect the headband together with the face shield. When the face shield is connected to the head band, a center of the face shield is spaced apart from a face of the user and a center of the headband.</t>
  </si>
  <si>
    <t>US11202925</t>
  </si>
  <si>
    <t>Full face and head mask</t>
  </si>
  <si>
    <t>17/236789</t>
  </si>
  <si>
    <t>AWAD WADIE M</t>
  </si>
  <si>
    <t>AWAD WADIE</t>
  </si>
  <si>
    <t>Wadie M  Awad</t>
  </si>
  <si>
    <t xml:space="preserve">A41D13/11; A41D13/1153; A41D13/1169; A62B7/10; A62B17/04; A62B18/006; A62B18/08; A62B18/084; A62B23/02; </t>
  </si>
  <si>
    <t>A multi-purpose protection mask for protecting the human face and head against viruses, bacteria, dust or environmental harsh impacts is presented. It has four elements. A face shield transparent sheet covers comfortably the user's face providing adequate space for freely breathing and wearing glasses. A removable and replaceable filter mask element which is a multi-layer filter piece of a proper material affixed over an opening window in the face shield. A ventilator for draining and filtering the exhalation air and humidity before dumping into the atmosphere and it consists of exhaust fans, suction tubes, suction vents, and exit filters. The ventilator prevents condensation of fogging on the face shield and glasses. Another element is a head cover mask made of a fabric material affixed to the face shield element. Fastener strips means are provided for keeping the face shield comfortable and stable on the wearer's face.</t>
  </si>
  <si>
    <t>US11202825</t>
  </si>
  <si>
    <t>Attenuated infectious bronchitis virus</t>
  </si>
  <si>
    <t>Erica  Bickerton, Sarah  Keep, Paul  Britton</t>
  </si>
  <si>
    <t xml:space="preserve">A61K39/215; A61K39/215; A61P31/12; A61P31/12; A61P31/14; C07K14/005; C07K14/005; C12N7/00; C12N7/00; A61K2039/5254; A61K2039/5254; A61K2039/543; C12N2770/20021; C12N2770/20021; C12N2770/20022; C12N2770/20022; C12N2770/20034; C12N2770/20034; C12N2770/20051; C12N2770/20051; C12N2770/20062; C12N2770/20062; C12N2770/20071; C12N2770/20071; </t>
  </si>
  <si>
    <t>The present invention provides a live, attenuated coronavirus comprising a mutation in non-structural protein nsp-3 and/or deletion of accessory proteins 3a and 3b. The coronavirus may be used as a vaccine for treating and/or preventing a disease, such as infectious bronchitis, in a subject.</t>
  </si>
  <si>
    <t>US11202673</t>
  </si>
  <si>
    <t>Polarized electric field system for whole-body Covid-19 therapy</t>
  </si>
  <si>
    <t>17/242514</t>
  </si>
  <si>
    <t>Jacobowitz, Lawrence; Victor, Alan M.</t>
  </si>
  <si>
    <t>JACOBOWITZ LAWRENCE</t>
  </si>
  <si>
    <t>Lawrence  Jacobowitz, Alan M  Victor</t>
  </si>
  <si>
    <t xml:space="preserve">A61B18/1815; A61B2017/00159; A61B2017/00725; A61B2018/0016; A61B2018/00613; A61B2018/00642; A61B2018/00678; A61B2018/0072; A61B2018/00767; A61B2018/00779; A61B2018/1823; A61B2018/1838; </t>
  </si>
  <si>
    <t>A non-invasive electrodynamic radiative electroporation system and method for safe in vivo delivery of specific radiant energy to physiologically inaccessible sites for selective destruction of biomolecular function of virions, particularly Covid-19 and its variants. The system and method applies a computer or like controller to generate, modulate, direct and deliver applied external electric fields from plural antennas to target tissues in the full respiratory tract, including lung microstructures, cardiovascular tissues and neuron networks. Electric fields exceeding a critical threshold-value interact with the virus lipid bilayer membranes, intra-membrane organelles, mRNA, and biomolecular scaffold assemblies, to destroy virion function through irreversible electroporation and electropermeabilization. Polarized electric fields are generated to provide force vectors in optimal dynamic angular distribution to the virion membrane surface and modulated within time-scales short compared to thermal transport characteristic times to effect the electroporation as an adiabatic process that preempts Joule heating of normal tissues.</t>
  </si>
  <si>
    <t>US11200966</t>
  </si>
  <si>
    <t>Healthcare system based on devices and wearables</t>
  </si>
  <si>
    <t>Satya Krishna  Pillarisetty, Krishna  Kumar, Mahesh Vilas  Kotekar, Pradeep  Premakumar, Thampuraj  Dharmamoorthy</t>
  </si>
  <si>
    <t xml:space="preserve">G16H10/60; G16H10/60; G16H40/67; G16H50/30; G16H50/30; </t>
  </si>
  <si>
    <t>US11197969</t>
  </si>
  <si>
    <t>Miniature air filtration assembly for a medical field</t>
  </si>
  <si>
    <t>Kongyuan  He, Kanru  Xu</t>
  </si>
  <si>
    <t xml:space="preserve">A61B1/015; A61B1/267; A61M16/0009; A61M16/0009; A61M16/0093; A61M16/0488; A61M16/06; A61M16/06; A61M16/105; A61M16/105; A61M16/0808; A61M2202/0208; A61M2202/0208; A61M2202/206; A61M2205/07; A61M2205/583; A61M2205/7509; A61M2205/7509; A61M2205/7518; A61M2205/7527; A61M2205/8206; A61M2205/8206; A61M2205/8237; A61M2206/10; A62B18/006; B01D46/0028; B01D46/12; </t>
  </si>
  <si>
    <t>The present invention is directed to an assembly and method of use thereof for reducing microbial load in an airway of a patient. The assembly includes a miniature vacuum unit. The miniature vacuum unit includes a housing, at least one air inlet configured in the housing for air intake; a vacuum motor for sucking the air through the at least one air inlet; vents configured in the housing for blowing the sucked air out of the housing, a filter media covering inner side of the vents, such as the sucked air passes through the filter media, the filter media configured to retain microbes suspended in the sucked air; and at least one suction tube. The suction tube is having a proximal end and a distal end, the proximal end of the at least one suction tube configured to sealably and releasably coupled to the at least one air inlet, a plurality of apertures configured in the wall of the suction tube near its distal end. The suction tube configured to be positioned within the mouth of the patient.</t>
  </si>
  <si>
    <t>US11197912</t>
  </si>
  <si>
    <t>Prevention and treatment of viral infection and viral infection-induced organ failure</t>
  </si>
  <si>
    <t>Jianjie  Ma, Jacob S  Yount, Matthew A  Sermersheim, Adam D  Kenney, Xinyu  Zhou, Bryan A  Whitson, Nahush A  Mokadam, Tao  Tan, Chuanxi  Cai</t>
  </si>
  <si>
    <t xml:space="preserve">A61K38/1709; A61K38/1709; A61K45/06; A61K45/06; </t>
  </si>
  <si>
    <t>Compositions for and methods of preventing, reversing or treating viral infection-induced organ failure provided. The compositions are also suitable for treating and/or preventing COVID-19 and influenza. The compositions and methods employ MG53, which can be in the form of recombinant human MG53. The MG53 may also be administered as a composition that expresses and releases MG53 after in vivo administration of said composition to a subject.</t>
  </si>
  <si>
    <t>US11197824</t>
  </si>
  <si>
    <t>Solution and method for reducing the virulence of viruses, bacteria,yeasts, or fungus</t>
  </si>
  <si>
    <t>David G  Changaris, Anne L  Carenbauer</t>
  </si>
  <si>
    <t xml:space="preserve">A01N37/06; A01N37/06; A01P1/00; A61K9/0014; A61K9/0019; A61K9/0034; A61K9/0043; A61K9/0048; A61K9/0053; A61K9/08; A61K9/08; A61K31/01; A61K31/19; A61K31/19; A61K31/231; A61K9/0014; A61K9/0019; A61K9/0034; A61K9/0043; A61K9/0048; A61K9/0053; A61K9/0082; A61K47/10; A61K47/183; </t>
  </si>
  <si>
    <t>A method of reducing the virulence of microbes in or on the human body and a method of sanitizing or disinfecting a surface, area, object, or porous or non porous material is provided. The methods comprise applying or injecting a solution having an effective amount of a conjugated diene for substantially reducing the virulence of the microbes or sanitizing or disinfecting a surface, area, object, or porous or non porous material.</t>
  </si>
  <si>
    <t>US11195624</t>
  </si>
  <si>
    <t>Elizabeth A  Holmes, Ian  Gibbons, Daniel  Young, Seth G  Michelson</t>
  </si>
  <si>
    <t xml:space="preserve">G06Q50/22; G06Q50/265; G16H50/20; G16H50/20; G16H50/20; G16H50/50; G16H50/50; G16H50/50; G16H50/70; G16H50/70; G16H50/80; G16H50/80; G16H50/80; G16Z99/00; G16Z99/00; G16Z99/00; G16Z99/00; A61B5/00; G16H50/20; G16H50/50; G16H50/70; G16H50/80; Y02A90/10; Y02A90/10; Y02A90/10; </t>
  </si>
  <si>
    <t>US11192940</t>
  </si>
  <si>
    <t>US11192875</t>
  </si>
  <si>
    <t>16/744576</t>
  </si>
  <si>
    <t>Kevin M  Allan, Shinji  Fujimori, Lars V  Heumann, Grace  May, Katie Ann  Brown, Christopher M  Levins, Ganapati Reddy  Pamulapati, Benjamin James  Roberts, Keshab  Sarma, Martin Gerald  Teresk, Xiang  Wang, Scott Alan  Wolckenhauer</t>
  </si>
  <si>
    <t xml:space="preserve">A61K31/4188; A61P31/14; C07C49/755; C07C49/755; C07C49/80; C07C49/82; C07D207/16; C07D311/78; C07D311/78; C07D311/78; C07D405/12; C07D405/12; C07D405/12; C07D405/14; C07D405/14; C07D405/14; C07D491/052; C07D491/052; C07D491/052; C07D491/052; C07C2602/10; </t>
  </si>
  <si>
    <t>The present disclosure provides processes for the preparation of a compound of formula:which is useful as an antiviral agent. The disclosure also provides compounds that are synthetic intermediates.</t>
  </si>
  <si>
    <t>US11192757</t>
  </si>
  <si>
    <t>Method and system for ensuring social distancing on an escalator or travellator</t>
  </si>
  <si>
    <t>Regis  Frossard, Coent Benjamin  Le</t>
  </si>
  <si>
    <t xml:space="preserve">B66B25/00; B66B25/003; B66B27/00; B66B27/00; B66B29/00; B66B29/005; B66B29/08; </t>
  </si>
  <si>
    <t>A method and system is discussed for detecting distances between passengers walking onto escalators and moving sidewalks or travellators and for providing alerts to the passengers when minimum social distancing between the passengers is not being maintained.</t>
  </si>
  <si>
    <t>US11191864</t>
  </si>
  <si>
    <t>Device to provide personal, portable, and continuous supply of sterilized/purified breathable air and to disinfect exhaled air</t>
  </si>
  <si>
    <t>17/204838</t>
  </si>
  <si>
    <t>Singal, Krishan Kumar; Singal, Gaurav</t>
  </si>
  <si>
    <t>SINGAL KRISHAN</t>
  </si>
  <si>
    <t>Krishan Kumar  Singal, Gaurav  Singal</t>
  </si>
  <si>
    <t xml:space="preserve">A61L9/20; A61L9/20; A61M16/0683; A62B7/10; A62B18/02; A61L2209/15; A61M2205/053; </t>
  </si>
  <si>
    <t>A device to provide sterilized and purified breathable air and to disinfect exhaled air and includes a housing having a first and second opening. The housing includes at least one partition having a plurality of holes, and within the housing such that a plurality of compartments is formed between the first opening and the second opening, and at least one ultraviolet (UV) light source positioned in each of the plurality of compartments. The UV light source is UVC LED lights to emit UVC light of a predefined wavelength within the plurality of compartments to sterilize and purify the air while flowing through the housing. The device includes a mask fluidically coupled to the second opening of the housing using a flexible second pipe to provide the purified air. The device includes one-way valves at the second opening of the housing, and two one-way valves at the outlets of the mask.</t>
  </si>
  <si>
    <t>US11191827</t>
  </si>
  <si>
    <t>17/116227</t>
  </si>
  <si>
    <t xml:space="preserve">A61K9/0019; A61K39/215; C12N5/0638; C12N5/0639; C12N2502/1192; C12N2506/115; </t>
  </si>
  <si>
    <t>US11187701</t>
  </si>
  <si>
    <t>Real-time tracing of cytokine storm in blood serum of COVID-19 patients</t>
  </si>
  <si>
    <t>Mohammad Ali  Khayamian, Mohammad  Abdolahad, Parizi Mohammad  Salemizadeh, Mohammad Reza  Ghaderinia, Hamed  Abadijoo, Shohreh  Vanaei, Hossein  Simaee, Shahriar  Shalileh, Darzini Mahsa  Faramarzpour</t>
  </si>
  <si>
    <t xml:space="preserve">A61B10/0051; A61B10/0051; G01N15/042; G01N27/026; G01N27/3275; G01N33/48714; G01N33/48714; G01N33/48771; G01N33/48771; G01N33/56983; G01N2333/165; </t>
  </si>
  <si>
    <t>A method for diagnosing COVID-19 infection. The method includes drawing a blood sample from a person suspected to be infected with COVID-19 virus, separating a blood serum sample from the blood sample by centrifuging the blood sample, recording an electrochemical impedance spectroscopy (EIS) associated with the blood serum sample, calculating a charge transfer resistance (RCT) of the recorded EIS by measuring a diameter of a semicircular curved part of the recorded EIS, and detecting a COVID-19 infection of the person based on the calculated RCT if the calculated RCT is equal to or more than a threshold value.</t>
  </si>
  <si>
    <t>US11184739</t>
  </si>
  <si>
    <t>Using smart occupancy detection and control in buildings to reduce disease transmission</t>
  </si>
  <si>
    <t>16/907044</t>
  </si>
  <si>
    <t>Armin  Wellig, Chris  Inkpen, Kelvin  Towler</t>
  </si>
  <si>
    <t xml:space="preserve">G08B21/22; G16H50/80; H04W4/021; H04W4/029; H04W4/33; G08B21/02; G08B21/0476; G08B21/245; </t>
  </si>
  <si>
    <t>A signal is received from an occupancy sensor each time a person passes through an access point corresponding to a building space, and is identified as indicating a person either entering or exiting the building space. An occupancy count is maintained for each of the building spaces by incrementing the occupancy count when the signal indicates a person entering and decrementing the occupancy count when the signal indicates a person exiting. A determination is made as to whether the occupancy count for any of the building spaces of the plurality of building spaces has reached a threshold for the corresponding building space. Action is taken in response to determining that the occupancy count for any of the building spaces of the plurality of building spaces has reached the threshold for that particular building space.</t>
  </si>
  <si>
    <t>US11181451</t>
  </si>
  <si>
    <t>Infectious disease screening system</t>
  </si>
  <si>
    <t xml:space="preserve">A24F40/50; A61M11/005; B01L3/502; B01L7/525; C12Q1/6806; C12Q1/70; G01N1/4077; B01L2200/147; B01L2300/0832; B01L2300/0867; B01L2300/1827; B01L2400/0478; B01L2400/0622; B01L2400/0644; G01N2001/4094; </t>
  </si>
  <si>
    <t>An infectious disease screening system (1) for screening for infectious diseases, such as COVID-19 disease. The system comprises an ultrasonic transducer (49) for generating ultrasonic waves to lyse cells in a biological sample. The system (1) comprises a controller which controls the ultrasonic transducer (49) to oscillate at an optimum frequency for cell lysis, a PCR apparatus (16) which receives and amplifies the DNA from the sample; and a detection apparatus (70) which detects the presence of an infectious disease in the amplified DNA and provides an output which is indicative of whether or not the detection arrangement (70) detects the presence of an infectious disease in the amplified DNA.</t>
  </si>
  <si>
    <t>US11180568</t>
  </si>
  <si>
    <t>Antibody therapeutics that bind CD137</t>
  </si>
  <si>
    <t>John Dixon  Gray, Heyue  Zhou</t>
  </si>
  <si>
    <t xml:space="preserve">A61P1/04; A61P1/16; A61P11/00; A61P13/12; A61P15/00; A61P17/00; A61P31/12; A61P35/00; A61P37/04; A61P37/06; A61P43/00; C07K16/2878; C07K16/2878; C07K16/2878; C07K2317/21; C07K2317/21; C07K2317/21; C07K2317/33; C07K2317/33; C07K2317/33; C07K2317/56; C07K2317/56; C07K2317/70; C07K2317/70; C07K2317/75; C07K2317/75; C07K2317/75; C07K2317/92; C07K2317/92; C07K2317/92; </t>
  </si>
  <si>
    <t>There is disclosed compositions and methods relating to or derived from anti-CD137 antibodies. More specifically, there is disclosed fully human antibodies that bind CD137, CD137-antibody binding fragments and derivatives of such antibodies, and CD137-binding polypeptides comprising such fragments. Further still, there is disclosed nucleic acids encoding such antibodies, antibody fragments and derivatives and polypeptides, cells comprising such polynucleotides, methods of making such antibodies, antibody fragments and derivatives and polypeptides, and methods of using such antibodies, antibody fragments and derivatives and polypeptides, including methods of treating a disease requiring either stimulation of immune responses or suppression. Diseases amenable to treatment is selected from the group consisting of cancers, autoimmune diseases and viral infections.</t>
  </si>
  <si>
    <t>US11180534</t>
  </si>
  <si>
    <t>Compositions and methods for treating SARS-CoV-2 infections</t>
  </si>
  <si>
    <t>17/339197</t>
  </si>
  <si>
    <t>Vincent C  Bond, Ming Bo  Huang, Jr James W  Lillard</t>
  </si>
  <si>
    <t xml:space="preserve">A61K45/06; A61K47/542; A61K47/60; A61P31/14; C07K14/163; A61K38/00; </t>
  </si>
  <si>
    <t>The present application relates to methods and compositions and methods for treating viral infections, especially those caused by SARS-CoV-2. In one aspect, a method of treatment comprises administering to a subject in need of such treatment an effective amount of a pharmaceutical composition comprising a multipartite SARS-CoV-2-inhibiting peptide comprising a secretion modulating region (VI-SMR) peptide from HIV-1 Nef in combination with a cell-penetrating peptide (CPP) domain, a Clusterin (Clu)-binding peptide (Clu-BP) domain, a mitochondrial targeting (Mito-T) peptide domain, an anti-fusogenic (AF) peptide domain, a viral attachment inhibitor (VAI) domain or combination thereof, optionally where the SARS-CoV-2-inhibiting peptide is pegylated and/or modified with one or more hydrophobic domains.</t>
  </si>
  <si>
    <t>US11180491</t>
  </si>
  <si>
    <t>Method of treating COVID-19 by administering the CCR5/CCL5 (RANTES) interaction inhibitor maraviroc</t>
  </si>
  <si>
    <t>Edgar B  Francisco, Hallison  Rodrigues, Amruta  Pise, Bruce K  Patterson</t>
  </si>
  <si>
    <t xml:space="preserve">A61K31/46; A61P31/14; A61P31/14; C07D451/00; C07D451/00; C07K14/4722; C07K14/523; C07K14/523; C07K14/70596; A61K31/46; A61K2039/505; A61K2039/505; C07K16/2866; C07K16/2866; C07K2317/21; C07K2317/24; C07K2317/24; C12N2770/20011; Y02A50/30; </t>
  </si>
  <si>
    <t>Methods of treating a subject suffering from COVID-19 are provided. Aspects of the methods including administering to the subject an effective amount of an inhibitor of CCR5/CCL5 interaction, such as a CCR5 antagonist. Also provided are methods of assessing severity of a disease involving hypercytokinemia, such as COVID-19, by determining the level of CCL5/RANTES in a subject, as well as compositions for use in such methods.</t>
  </si>
  <si>
    <t>US11179459</t>
  </si>
  <si>
    <t>Vaccine composition for preventing human infection of SARS coronavirus and alleviating infection symptoms</t>
  </si>
  <si>
    <t>17/354470</t>
  </si>
  <si>
    <t>LIBENTECH CO., LTD.</t>
  </si>
  <si>
    <t>LIBENTECH</t>
  </si>
  <si>
    <t>Hyun  Jang, Bo-kyoung  Jung, Yong-hee  An</t>
  </si>
  <si>
    <t xml:space="preserve">A61K39/215; A61K39/39; A61P31/14; C12N7/00; C12N15/86; G01N33/6854; A61K2039/5252; A61K2039/5254; A61K2039/5256; C12N2760/18121; C12N2760/18134; C12N2760/18143; C12N2760/18152; C12N2770/20022; C12N2770/20034; </t>
  </si>
  <si>
    <t>The present disclosure relates to a vaccine composition for preventing human infection SARS-CoV-2 (COVID-19) and alleviating infection symptoms, and the vaccine composition including a recombinant Newcastle disease virus on the surface of which the SARS-CoV-2 RBD protein of the present disclosure is expressed or antigen purified therefrom induces an immune response that can fight COVID-19 infection so that it can be useful as a vaccine for preventing and treating SARS-CoV-2 infection.</t>
  </si>
  <si>
    <t>US11179415</t>
  </si>
  <si>
    <t>Process of using chlorine dioxide for the attenuation and/or treatment of Coronavirus diseases such as COVID-19 and disabling, treating or attenuating the SARS CoV-2 virus, and its future infective variants</t>
  </si>
  <si>
    <t>17/127655</t>
  </si>
  <si>
    <t>Madray, George William</t>
  </si>
  <si>
    <t>MADRAY GEORGE</t>
  </si>
  <si>
    <t>George William  Madray</t>
  </si>
  <si>
    <t xml:space="preserve">A61K9/0043; A61K9/0078; A61K9/08; A61K33/20; A61K45/06; A61K47/10; </t>
  </si>
  <si>
    <t>The use of chlorine dioxide (CLO2) to kill or disable pathogens such as viruses, particularly those of the Coronavirus family. A certain amount of CLO2 is used via different modalities, particularly through one's nose or mouth, as a therapeutic. CLO2 can treat, cure and/or prevent diseases, such as methicillin resistant Staphylococcus aureus (MRSA), fungal infections, the common cold, and more particularly a current disease in the year 2020, known as COVID-19. The invention will not only kill or disable SARS CoV-2, which causes COVID-19, but will also kill or disable the next Coronavirus, SARS CoV-3, once CoV-2 mutates and escapes any vaccine against it.</t>
  </si>
  <si>
    <t>US11179061</t>
  </si>
  <si>
    <t>Method and devices for detecting viruses and bacterial pathogens</t>
  </si>
  <si>
    <t>16/926701</t>
  </si>
  <si>
    <t>Gregory J  Hummer</t>
  </si>
  <si>
    <t xml:space="preserve">A61B5/082; A61B5/097; C12Q1/6825; C12Q2565/607; G01N33/497; </t>
  </si>
  <si>
    <t>The embodiments disclose a method including making electrodes using an electrically conductive material for impedimetric detection of analytical targets in an electrochemical sensing platform device, collecting patient samples in a solution compartment of the electrochemical sensing platform device, binding primers and aptamers to electrodes for functionalizing electrodes for detecting and binding targeted viruses and bacterial pathogens, incubating oral fluid samples in the solution compartment using a heater, measuring electrode impedance changes, recording measured electrode impedance changes in a memory device, and integrating wireless technologies into the electrochemical sensing platform device configured for transmitting recorded measured data.</t>
  </si>
  <si>
    <t>US11178923</t>
  </si>
  <si>
    <t>Environmentally natural protective and therapeutic (ENPT) face mask</t>
  </si>
  <si>
    <t>Shaker A  Mousa, Ali Hafez Ali Mohammed  Elfar</t>
  </si>
  <si>
    <t xml:space="preserve">A41D13/1192; A41D2400/32; A41D2400/36; </t>
  </si>
  <si>
    <t>An environmentally natural protective and therapeutic (ENPT) mask and an associated method of forming the ENPT mask. The ENPT mask includes: a face mask; and one or more essential oils embedded in the face mask. The one or more essential oils are configured to destroy microbes in direct physical contact with the one or more essential oils. The method of forming the ENPT mask includes embedding the one or more essential oils in the face mask.</t>
  </si>
  <si>
    <t>US11175293</t>
  </si>
  <si>
    <t>Rapid assay for detection of SARS-CoV-2 antibodies</t>
  </si>
  <si>
    <t>17/140321</t>
  </si>
  <si>
    <t>Hans  Haecker, Vanessa  Redecke</t>
  </si>
  <si>
    <t xml:space="preserve">C07K14/165; C07K14/47; C07K16/10; C07K16/3061; G01N33/49; G01N33/68; C07K2319/02; C07K2319/30; C07K2319/73; </t>
  </si>
  <si>
    <t>Described herein are diagnostic and control fusion protein reagents and methods for use thereof in simple rapid and inexpensive hemagglutinin assays for the detection of subject antibodies directed to the SARS-CoV-2 virus.</t>
  </si>
  <si>
    <t>US11175255</t>
  </si>
  <si>
    <t>Mohammad Ali  Khayamian, Mohammad  Abdolahad, Mohammad Reza  Ghaderinia, Mohammad Salemizadeh  Parizi, Hamed  Abadijoo, Shohreh  Vanaei, Hossein  Simaee, Shahriar  Shalileh, Mahsa Faramarzpour  Darzini</t>
  </si>
  <si>
    <t>A system for diagnosing COVID-19 infection. The system includes a biosensor, an electrochemical stimulator-analyzer, and a processing unit. The biosensor is configured to be put in contact with a blood serum sample of a person suspected to be infected of COVID-19 virus. The processing unit is configured to apply an AC potential amplitude to the biosensor while sweeping a frequency range utilizing the electrochemical stimulator-analyzer, recording an electrochemical impedance spectroscopy (EIS) associated with the blood serum sample utilizing the electrochemical stimulator-analyzer, calculating a charge transfer resistance (RCT) of the recorded EIS, and detecting a COVID-19 infection of the person based on the calculated RCT if the calculated RCT is equal to or more than a threshold value.</t>
  </si>
  <si>
    <t>US11174307</t>
  </si>
  <si>
    <t>Methods and compositions for treating virus-associated inflammation</t>
  </si>
  <si>
    <t>Robert W  Keane, W Dalton  Dietrich, Juan Pablo De Rivero  Vaccari, Helen M  Bramlett</t>
  </si>
  <si>
    <t xml:space="preserve">A61K31/737; A61P11/00; A61P25/00; A61P25/28; A61P29/00; A61P37/06; C07K16/18; C07K16/18; A61K38/00; A61K2039/505; C07K2317/21; C07K2317/24; C07K2317/24; C07K2317/34; C07K2317/565; C07K2317/76; </t>
  </si>
  <si>
    <t>The compositions and methods described herein include methods and agents that inhibit inflammasome signaling in a mammal such as antibodies directed against inflammasome components used alone or in combination with extracellular vesicle uptake inhibitor(s) or other agents. Also described herein are compositions and methods of use thereof for treating viral-associated lung inflammation, for example lung inflammation associated with viral infections such as SARS-CoV-2.</t>
  </si>
  <si>
    <t>US11174231</t>
  </si>
  <si>
    <t>17/322221</t>
  </si>
  <si>
    <t xml:space="preserve">A61K45/06; C07D213/90; </t>
  </si>
  <si>
    <t>The disclosure provides compounds with warheads and their use in treating medical diseases or disorders, such as viral infections. Pharmaceutical compositions and methods of making various compounds with warheads are provided. The compounds are contemplated to inhibit proteases, such as the 3C, CL- or 3CL-like protease.</t>
  </si>
  <si>
    <t>US11172339</t>
  </si>
  <si>
    <t>Method and devices for detecting chemical compositions and biological pathogens</t>
  </si>
  <si>
    <t>16/926702</t>
  </si>
  <si>
    <t xml:space="preserve">B64C39/024; C12Q1/04; C12Q1/70; G01N33/483; G01S19/13; G01S19/39; G08B21/12; H04Q9/00; H04W4/38; B64C2201/12; B64C2201/145; H04Q2209/40; H04Q2209/50; </t>
  </si>
  <si>
    <t>The embodiments disclose a method including using a monitor system for monitoring and detecting chemical compositions and biological pathogens, providing the monitor system configured to communicate with a cell phone, using at least one monitor/detector component, providing a plurality of biological sensors for detecting certain biological pathogens, and providing a plurality of chemical sensors for detecting certain chemical compositions.</t>
  </si>
  <si>
    <t>US11170894</t>
  </si>
  <si>
    <t>Access and temperature monitoring system (ATMs)</t>
  </si>
  <si>
    <t>16/838156</t>
  </si>
  <si>
    <t>IDEAL INNOVATIONS INCORPORATED</t>
  </si>
  <si>
    <t>IDEAL INNOVATIONS</t>
  </si>
  <si>
    <t>Robert William  Kocher, Douglas Earl  Dyer, Loran Dean  Ambs, Ii John Shelly  Bowling</t>
  </si>
  <si>
    <t xml:space="preserve">A61B5/01; A61B5/1171; A61B5/1176; A61B5/746; G16H40/67; G16H50/30; </t>
  </si>
  <si>
    <t>The Access and Temperature Monitoring system (ATMs) checks the identity and health of persons seeking access to a facility, building, event, airport border, or controlled area. It quickly checks the person's identity by recognizing the person, for example, by facial recognition, or by reading a unique token the person has, such as a smart card. If the person seeking access is recognized, the system quickly checks the health of the person. For example, a contactless measuring of core temperature is taken and is then compared to an on-file core temperature of the individual to see if it is elevated. If elevated, a secondary check is made by a precision medical instrument and compared to the precision data on file. Networking ATMs together to an Access Control Center will further assist in identifying virus outbreaks and reduce response time to assist in saving lives.</t>
  </si>
  <si>
    <t>US11168128</t>
  </si>
  <si>
    <t>Antibodies against SARS-CoV-2 and methods of using the same</t>
  </si>
  <si>
    <t>Davide  Corti, Katja  Fink, Martina  Beltramello, Elisabetta  Cameroni, Dora  Pinto, Gyorgy  Snell, Florian A  Lempp, Amalio  Telenti</t>
  </si>
  <si>
    <t xml:space="preserve">A61P31/14; C07K16/10; C07K16/10; A61K2039/505; C07K2317/21; C07K2317/522; C07K2317/526; C07K2317/56; C07K2317/565; C07K2317/565; C07K2317/732; C07K2317/76; C07K2317/76; C07K2317/92; </t>
  </si>
  <si>
    <t>The instant disclosure provides antibodies and antigen-binding fragments thereof that can bind to a SARS-CoV-2 antigen and, in certain embodiments, are capable of neutralizing a SARS-CoV-2 infection. Also provided are polynucleotides that encode an antibody or antigen-binding fragment, vectors and host cells that comprise a polynucleotide, pharmaceutical compositions, and methods of using the presently disclosed antibodies, antigen-binding fragments, polynucleotides, vectors, host cells, and compositions to treat or diagnose a SARS-CoV-2 infection.</t>
  </si>
  <si>
    <t>US11166999</t>
  </si>
  <si>
    <t>Method of treating coronavirus infections</t>
  </si>
  <si>
    <t>16/996153</t>
  </si>
  <si>
    <t>Michael  Powell, Erick Vidjin′ Agnih  Gbodossou</t>
  </si>
  <si>
    <t xml:space="preserve">A61K9/0056; A61K36/42; A61K38/10; A61P31/14; A61K2236/17; A61K2236/31; A61K2236/331; A61K2236/53; A61K2236/55; </t>
  </si>
  <si>
    <t>The present application relates to a compositions and methods comprising or expressing a MOMO30 protein derived from Momordica balsamina. The MOMO30 protein is about 30 kDa in size, binds coronavirus S protein, is stable after being autoclaved at 120° C. for 30 min, resists proteolytic cleavage by trypsin, exhibits mannose-sensitive binding to coronavirus spike (S) protein, exhibits hemagglutinin and chitinase activity, is capable of activating and stimulating T cell proliferation, is capable of preventing infection by a coronavirus or alleviating symptoms in coronavirus infected patients and comprises the amino acid sequence of SEQ ID NO: 1. The MOMO30 protein and/or a nucleic acid encoding the same may be used in methods for preventing or treating viral infections by coronaviruses and others.</t>
  </si>
  <si>
    <t>US11166971</t>
  </si>
  <si>
    <t>Methods of treating COVID-19 infection</t>
  </si>
  <si>
    <t>A method of treating an individual infected with COVID-19, the method comprising the steps of: providing an individual infected with COVID-19; administering five antimicrobials to the individual, wherein the antimicrobials comprise: hydroxychloroquine; azithromycin; vitamin C; vitamin D; and zinc; and monitoring the individuals condition over a pre-determined period of time to determine whether the individual is no longer infected with COVID-19.</t>
  </si>
  <si>
    <t>US11164669</t>
  </si>
  <si>
    <t>Systems and methods for generating a viral alleviation program</t>
  </si>
  <si>
    <t>17/136102</t>
  </si>
  <si>
    <t xml:space="preserve">G06N3/08; G16H10/40; G16H10/60; G16H20/60; G16H50/20; G16H50/70; G16H50/80; G16H70/60; A61B5/4833; G06N3/04; </t>
  </si>
  <si>
    <t>A system for generating a viral alleviation program including a computing device configured to receive at least a viral biomarker relating to a user, retrieve a viral epidemiological profile, identify, using the viral epidemiological profile, a plurality of nutrition elements for the user, wherein identifying includes assigning the viral epidemiological profile to a viral infection category, calculating, according to the viral infection category, a plurality of nutrient amounts, wherein calculating a plurality of nutrient amounts includes determining an effect of the plurality of nutrient amounts on the viral epidemiological profile, and calculating the plurality of nutrient amounts as a function of the effect, identifying, as a function of the plurality of nutrient amounts, the plurality of nutrition elements, wherein the plurality of nutrition elements are intended to prevent viral infection as a function of the viral infection category, and generate, using the plurality of nutrition elements, viral alleviation program.</t>
  </si>
  <si>
    <t>US11164441</t>
  </si>
  <si>
    <t>Rapid thermal dynamic image capture devices with increased recognition and monitoring capacity</t>
  </si>
  <si>
    <t>17/301528</t>
  </si>
  <si>
    <t>TEMPERATURE GATE IP HOLDINGS LLC</t>
  </si>
  <si>
    <t>TEMPERATURE GATE</t>
  </si>
  <si>
    <t>Ravindra Pratap  Singh, Daniel Maurice  Lerner</t>
  </si>
  <si>
    <t xml:space="preserve">G01J5/0025; G01J5/0806; G01J5/10; G01S5/16; G08B21/182; G01J2005/0048; G01J2005/0077; G01J2005/106; </t>
  </si>
  <si>
    <t>One or more apparatuses comprising at least two thermal image data capture and measuring devices that measure long wave infrared radiation intensity of energy flux on a per pixel basis wherein pixels provide dynamic image data that is transmitted and received between two or more digital devices so that the image data provides at least one captured dynamic image which is correlated with specific exact geographic locations and positions data and facial recognition data and correlated local air quality monitoring index atmospheric data is provided by sensors, and the devices include a lens, an optical system, a photodetector, one or more computerized micro-processors, and a gate that provides a constrained targeted pathway through which at least one person must travel so that dynamic thermal data, position and location data, facial recognition data, and local atmospheric data is measured, transmitted, and received for at least one person moving through the gate.</t>
  </si>
  <si>
    <t>US11160858</t>
  </si>
  <si>
    <t>Live recombinant measles-M2 virus—its use in eliciting immunity against influenza viruses</t>
  </si>
  <si>
    <t>Nicolas Robert Xavier  Escriou, Frederic  Tangy, Ho Hong Hai  Vo</t>
  </si>
  <si>
    <t xml:space="preserve">A61K39/12; A61K39/12; A61K39/145; A61K2039/5256; A61K2039/5258; A61K2039/55; A61K2039/70; C12N2760/16122; C12N2760/16122; C12N2760/16123; C12N2760/16134; C12N2760/16134; C12N2760/18434; C12N2760/18434; C12N2760/18441; C12N2760/18441; </t>
  </si>
  <si>
    <t>US11160814</t>
  </si>
  <si>
    <t>Methods of treatment for disease from coronavirus exposure</t>
  </si>
  <si>
    <t>Michael David  Kuo</t>
  </si>
  <si>
    <t xml:space="preserve">A61K31/137; A61K31/167; A61K31/381; A61K31/40; A61K31/404; A61K31/439; A61K31/4704; A61K31/522; A61K31/567; A61K31/58; A61K45/06; A61P11/16; </t>
  </si>
  <si>
    <t>Disclosed herein are methods of treating a disease in a subject which is the consequence of previous exposure of the subject to a virus, particularly SARS-CoV-2, the method comprising administration of an effective amount of one or more agents to the subject.</t>
  </si>
  <si>
    <t>US11158429</t>
  </si>
  <si>
    <t>Elizabeth A  Holmes, Daniel  Young, Seth G  Michelson</t>
  </si>
  <si>
    <t>US11158426</t>
  </si>
  <si>
    <t>Wearable device tracking a biomarker in a team for early indication of infectious disease</t>
  </si>
  <si>
    <t>16/884043</t>
  </si>
  <si>
    <t>Joanne Chung-yan  Lo</t>
  </si>
  <si>
    <t xml:space="preserve">G06F1/163; G06N3/08; G16H50/20; </t>
  </si>
  <si>
    <t>A method for addressing tactical situations via tactical devices may include (i) identifying at least one wearable device that monitors at least one biomarker of a user wearing the at least one wearable device during a span of time while carrying out daily activities, (ii) receiving, by a server, information about activity of the at least one biomarker monitored by the at least one wearable device during the span of time, (iii) determining that the activity of the at least one biomarker during the span of time includes an early indication of an illness, and (iv) transmitting an alert about the early indication of the illness detected by the at least one wearable device. Various other systems, and methods are also disclosed.</t>
  </si>
  <si>
    <t>US11155887</t>
  </si>
  <si>
    <t>Rapid diagnostic test using colorimetric LAMP</t>
  </si>
  <si>
    <t>Nathan  Tanner, Yinhua  Zhang, Gregory  Patton, Guoping  Ren, Zhiru  Li, Nicole  Nichols</t>
  </si>
  <si>
    <t xml:space="preserve">C12Q1/6844; C12Q1/701; G01N21/78; G01N2021/7786; G01N21/78; Y02A50/30; </t>
  </si>
  <si>
    <t>Kits and methods are provided for performing multiplex Loop-Mediated Isothermal Amplification (LAMP) reactions. These kits and methods are directed to specific and sensitive methods of target nucleic acid detection and more specifically pathogen diagnostics such as detection of Coronavirus. The kits and methods utilize a plurality of sets of oligonucleotide primers for targeting the viral nucleic acid target.</t>
  </si>
  <si>
    <t>US11154634</t>
  </si>
  <si>
    <t>Ultraviolet light fixture</t>
  </si>
  <si>
    <t>17/140060</t>
  </si>
  <si>
    <t>MCKINLEY SIMS HOLDINGS LLC</t>
  </si>
  <si>
    <t>MCKINLEY SIMS</t>
  </si>
  <si>
    <t>Jr Dewey Mckinley  Sims, Iii Dewey Mckinley  Sims</t>
  </si>
  <si>
    <t xml:space="preserve">A61L9/20; F21S8/04; F21V11/02; A61L2209/12; </t>
  </si>
  <si>
    <t>An ultraviolet-C light fixture is provided, the ultraviolet-C light fixture comprising at least one ultraviolet-C light bulb to sterilize an air flow, an ultraviolet-C radiation field created by the at least one ultraviolet-C light bulb to sterilize the air flow, a top end cap, a base and a plurality of louvers, the plurality of louvers positioned proximate one another, the top end cap and the base to create a gap, the gap sized to allow ultraviolet radiation to pass outside the ultraviolet light fixture to create a sterilization field outside the ultraviolet light fixture to eradicate bacterial, viral or pathogen particles from the air flow surrounding the fixture and the gap sized to allow passage of the air flow containing a cloud of infectious bacterial, viral or pathogen particles to pass through a sterilization chamber within the ultraviolet light fixture to eradicate bacterial, viral or pathogen particles from the air flow.</t>
  </si>
  <si>
    <t>US11154612</t>
  </si>
  <si>
    <t>MERS-CoV vaccine with trimeric S1-CD40L fusion protein</t>
  </si>
  <si>
    <t>US11154604</t>
  </si>
  <si>
    <t>Adjuvant compositions and related methods</t>
  </si>
  <si>
    <t>16/267273</t>
  </si>
  <si>
    <t>HUVEPHARMA INC.</t>
  </si>
  <si>
    <t>HUVEPHARMA</t>
  </si>
  <si>
    <t>Timothy J  Miller, Mary Ann  Pfannenstiel</t>
  </si>
  <si>
    <t xml:space="preserve">A61K39/02; A61K39/39; A61K39/39; A61K2039/55511; A61K2039/55511; A61K2039/55555; A61K2039/55555; A61K2039/55577; A61K2039/55577; </t>
  </si>
  <si>
    <t>The present disclosure provides for an adjuvant composition that is suited for injectable as well as transdermal administration. The adjuvant composition generally comprises a lipophile, a polymer of acrylic or methacrylic acid, saline, cholesterol, a saponin, and sodium hydroxide. A vaccine composition is also provided for that generally includes the vaccine composition of the present disclosure and an antigen. A method for vaccinating animals and humans utilizing the adjuvant composition of the present disclosure is also provided.</t>
  </si>
  <si>
    <t>US11154531</t>
  </si>
  <si>
    <t>Compounds and pharmaceutical uses thereof</t>
  </si>
  <si>
    <t>Guochuan Emil  Tsai, Yi-wen  Mao, Lu-ping  Lu, Wei-hua  Chang, Han-yi  Hsieh, Jhe Wei  Hu, Tsai-miao  Shih, Chanhui  Huang</t>
  </si>
  <si>
    <t xml:space="preserve">A23L33/10; A23L33/10; A23L33/40; A61K9/0056; A61K9/0056; A61K9/0078; A61K9/0078; A61K31/13; A61K31/13; A61K31/16; A61K31/16; A61K31/235; A61K31/235; A61K31/343; A61K31/343; A61K31/351; A61K31/351; A61K31/353; A61K31/353; A61K31/395; A61K31/395; A61K31/4045; A61K31/4045; A61K31/4245; A61K31/4245; A61K31/426; A61K31/426; A61K31/427; A61K31/427; A61K31/4433; A61K31/4433; A61K31/46; A61K31/46; A61K31/4709; A61K31/4709; A61K31/472; A61K31/472; A61K31/4985; A61K31/4985; A61K31/499; A61K31/499; A61K31/506; A61K31/506; A61K31/513; A61K31/513; A61K31/52; A61K31/52; A61K31/551; A61K31/551; A61K31/553; A61K31/553; A61K31/675; A61K31/675; A61K31/685; A61K31/685; A61K31/7072; A61K31/7072; A61K31/708; A61K31/708; A61K38/16; A61K38/16; A61K38/21; A61K38/21; A61K38/212; A61K38/212; A61K38/217; A61K38/217; A61K39/3955; A61P31/14; A61P31/14; A23V2002/00; </t>
  </si>
  <si>
    <t>A method of treating coronavirus infection, comprising administering to a subject in need thereof an effective amount of a composition, wherein the composition comprises one or more compounds of Formula (I):or a pharmaceutically acceptable salt thereof.</t>
  </si>
  <si>
    <t>US11154203</t>
  </si>
  <si>
    <t>Detecting fever from images and temperatures</t>
  </si>
  <si>
    <t>Ari M  Frank, Arie  Tzvieli, Ori  Tzvieli, Gil  Thieberger</t>
  </si>
  <si>
    <t xml:space="preserve">A61B5/0075; A61B5/0075; A61B5/015; A61B5/015; A61B5/02055; A61B5/0295; A61B5/14546; A61B5/165; A61B5/6803; A61B5/6803; A61B5/6814; A61B5/7282; A61B5/748; A61B5/748; G01J3/0264; G01J3/0272; G01J3/0289; G01J3/50; G01J5/0025; G01J5/025; G01J5/0265; G01J5/0265; G01J5/089; G01J5/10; G01J5/12; G01K13/20; A61B5/0077; A61B5/0077; A61B5/02416; A61B5/0816; A61B5/14551; A61B5/4845; A61B5/7267; A61B2560/0242; A61B2562/0271; A61B2562/0271; A61B2562/0276; A61B2576/00; G01J2005/0077; G01J2005/0077; G01J2005/0085; </t>
  </si>
  <si>
    <t>Described herein are embodiments of systems and methods that utilize temperature measurements taken with head-mounted sensors as well as images of a user's face to detect fever and/or intoxication. One embodiment of a system to detect fever includes a first head-mounted temperature sensor that measures skin temperature (Tskin) at a first region on a user's head, a second head-mounted temperature sensor that measures a temperature of the environment (Tenv), and a computer. The computer receives images of a second region on the user's face, captured by a camera sensitive to wavelengths below 1050 nanometer, and calculates, based on the images, values indicative of hemoglobin concentrations at three or more regions on the user's face. The computer can then detect whether the user has a fever based on Tskin, Tenv and the values.</t>
  </si>
  <si>
    <t>US11152124</t>
  </si>
  <si>
    <t>Contact tracing systems and methods for tracking of shipboard pathogen transmission</t>
  </si>
  <si>
    <t>Nicholas  Weir, Ernesto M  Rubi, Daniel John  Altin</t>
  </si>
  <si>
    <t xml:space="preserve">G06F16/2379; G16H10/65; G16H10/65; G16H40/67; G16H40/67; G16H50/80; G16H50/80; H04B17/318; H04W4/80; </t>
  </si>
  <si>
    <t>Contract tracing systems and methods for infectious disease tracking are disclosed. An infectious disease tracking system includes a plurality of user devices, each user device configured to detect, using a wireless communication module, a signal emitted by another one of the plurality of user devices. The user device can determine that a strength of the signal exceeds a predetermined event initiation signal strength threshold corresponding to a physical proximity between users of the devices and can store a contact tracing event record in response to determining that the strength of the signal exceeds the predetermined event initiation signal strength threshold. The user device can transmit the contact tracing event records to a data center where they can be stored and used to identify close contacts when an index case of an infectious disease is identified.</t>
  </si>
  <si>
    <t>US11151858</t>
  </si>
  <si>
    <t>Crowd management in an enclosed premises</t>
  </si>
  <si>
    <t>Paul Edward Moshe  Modiano</t>
  </si>
  <si>
    <t xml:space="preserve">A61B5/015; A61B5/015; A61B5/6887; A61B5/6887; A61B5/7405; G06K9/00281; G06K9/00771; G06K9/00778; G07C9/10; G07C9/10; G08B3/10; G08B21/0476; G08B21/22; G08B21/245; A61B5/7405; G07C9/00; </t>
  </si>
  <si>
    <t>Disclosed are a system and method for automating crowd management in an enclosed premise. The disclosed system includes an entrance sensor at the entry gate and an exit sensor at the exit gate. The entrance sensor detects entry of a person through the entry gate, while the exit sensor detects exit of a person through the exit. The system further includes a control unit connected to the entrance sensor and the exit sensor. The control unit keeps a tally of persons present inside the enclosed premises at a given time based on the difference between the persons entered and left the enclosed premises. The control unit can analyze the images captured by cameras, installed in the enclosed premises and at the entrance gate, using machine learning algorithms to extract one or more features. The one or more features relates to “the persons wearing the facemask”, and “distances between adjacent persons”.</t>
  </si>
  <si>
    <t>US11151820</t>
  </si>
  <si>
    <t>Method and apparatus for personal pathogen status verification at point of entry into an area of congregation</t>
  </si>
  <si>
    <t>Mark  Klein, Wendell  Brown</t>
  </si>
  <si>
    <t xml:space="preserve">G06Q50/265; G07C9/00563; G07C9/27; G16H10/40; G16H40/63; G16H50/80; </t>
  </si>
  <si>
    <t>A system and system for personal pathogen status verifying allows an entity to control access to an area of congregation (AOC) at one or more points of entry (POE) is a configurable manner. In one embodiment, the system may be used for the SARS-CoV-2 virus, but may be similarly used for other pathogens.</t>
  </si>
  <si>
    <t>US11149320</t>
  </si>
  <si>
    <t>Assays for the detection of SARS-CoV-2</t>
  </si>
  <si>
    <t>Chiara  Brambati, Simone  Bocchetta, Giulia  Minnucci</t>
  </si>
  <si>
    <t xml:space="preserve">C12Q1/70; C12Q1/701; C12Q1/701; </t>
  </si>
  <si>
    <t>The present invention is directed to methods for assaying for the presence of SARS-CoV-2 in a sample, including a clinical sample, and to oligonucleotides, reagents, and kits useful in such assays. In particular, the present invention is directed to such assays that are rapid, accurate and specific for the detection of SARS-CoV-2.</t>
  </si>
  <si>
    <t>US11149049</t>
  </si>
  <si>
    <t>Substituted nucleosides, nucleotides and analogs thereof</t>
  </si>
  <si>
    <t>Leonid  Beigelman, Jerome  Deval, Marija  Prhavc</t>
  </si>
  <si>
    <t xml:space="preserve">A61K31/7064; A61P31/14; A61P31/14; A61P31/16; C07F9/6561; C07H7/06; C07H9/04; C07H19/23; C07H19/23; C07H19/23; C07H19/23; </t>
  </si>
  <si>
    <t>Disclosed herein are compounds of the Formula (I) and pharmaceutically acceptable salts thereof: (I) where the variables in Formula (I) are described herein. Methods of synthesizing such compounds and methods of using them to treat diseases and/or conditions such as a Picornaviridae, Flaviviridae, Filoviridae, Pneumoviridae and/or Coronaviridae viral infections are also disclosed.</t>
  </si>
  <si>
    <t>US11147984</t>
  </si>
  <si>
    <t>Illumination devices for inducing biological effects</t>
  </si>
  <si>
    <t>17/117889</t>
  </si>
  <si>
    <t>David T  Emerson, Michael John  Bergmann, Thomas Matthew  Womble, De Ven Antony Paul  Van, Nathan  Stasko, F Neal  Hunter, Adam  Cockrell, Rebecca  Mcdonald</t>
  </si>
  <si>
    <t xml:space="preserve">A61N5/0624; A61N5/0624; A61N2005/0606; A61N2005/0606; A61N2005/0632; A61N2005/0632; A61N2005/0644; A61N2005/0644; A61N2005/0662; A61N2005/0662; </t>
  </si>
  <si>
    <t>Illumination devices for impinging light on tissue, for example within a body cavity of a patient, to induce various biological effects are disclosed. Biological effects may include at least one of inactivating and/or inhibiting growth of one or more pathogens, upregulating a local immune response, increasing endogenous stores of nitric oxide, releasing nitric oxide from endogenous stores, and inducing an anti-inflammatory effect. Wavelengths of light are selected based on intended biological effects for one or more of targeted tissue types and targeted pathogens. Light treatments may provide multiple pathogenic biological effects, either with light of a single wavelength or with light having multiple wavelengths. Devices for light treatments are disclosed that provide light doses for inducing biological effects on various targeted pathogens and tissues with increased efficacy and reduced cytotoxicity. Particular illumination devices are disclosed that provide safe and effective treatments for upper respiratory tract infections, including coronaviridae and orthomyxoviridae.</t>
  </si>
  <si>
    <t>US11147785</t>
  </si>
  <si>
    <t>Modified free amino acid formulation and uses</t>
  </si>
  <si>
    <t>17/209786</t>
  </si>
  <si>
    <t>Mentkow, Jack; Mentkow, Lisa</t>
  </si>
  <si>
    <t>MENTKOW JACK</t>
  </si>
  <si>
    <t>Jack  Mentkow, Lisa  Mentkow</t>
  </si>
  <si>
    <t xml:space="preserve">A61K9/0014; A61K9/0053; A61K31/198; A61K31/198; A61K47/02; A61K47/10; A61K47/32; </t>
  </si>
  <si>
    <t>A composition and methods of administration are provides utilizing Monosodium L-Glutamate Monohydrate in a stabilized form at an alkaline pH.</t>
  </si>
  <si>
    <t>US11147467</t>
  </si>
  <si>
    <t>Real time electronic/diagnostic device for COVID-19 and other diseases</t>
  </si>
  <si>
    <t>Stephen F  Botsford, Vitaly M  Seltser, Joseph F  Startari</t>
  </si>
  <si>
    <t xml:space="preserve">A61B5/055; A61N2/004; G01R1/025; G01R23/16; G16H50/00; </t>
  </si>
  <si>
    <t>An electromagnetic resonance-based disease detecting system may comprising a spectrum analyzer assembly comprised of one of a spectrum analyzer with an internal tracking generator or a spectrum analyzer with a separate signal generator, a radiating antenna electronically connected to the spectrum analyzer assembly output and configured to radiate a subject with an electromagnetic field based on a resonant frequency signal, wherein radiating a subject with the electromagnetic field generates a subject spectrum; a receiving antenna configured to receive the subject spectrum; a spectrum analyzer electronically connected to the receiving antenna and configured to receive the subject spectrum from the receiving antenna; and a processor, the processor being operatively connected to the spectrum analyzer assembly, the radiating antenna, the receiving antenna, and the spectrum analyzer, wherein the processor is configurable to store and control the resonant frequency signal generated by the spectrum analyzer assembly output control the electromagnetic field radiated from the radiating antenna; and, compare the received subject spectrum to the generated resonant frequency signal using the spectrum analyzer assembly input controlled by the processor to determine an absence or a presence of the disease condition without the use of chemical reagents or testing supplies.</t>
  </si>
  <si>
    <t>US11147323</t>
  </si>
  <si>
    <t>Protective face shield attachable to headwear</t>
  </si>
  <si>
    <t>Bart E  Wilson</t>
  </si>
  <si>
    <t xml:space="preserve">A41D13/1184; A42B3/225; </t>
  </si>
  <si>
    <t>A protective shield is provided for use with headwear having a brim and wearable by a user. The protective shield includes an elongate suspension strap portion and a pair of attachment tabs engageable with the headwear and positioned such that the elongate suspension strap portion extends between the pair of attachment tabs. A protective portion is connected to the suspension strap portion and is configured to extend over the user's eyes, nose, and mouth when the protective shield is attached to the headwear. The suspension strap portion and the protective portion collectively define a slot sized to receive the brim of the headwear to facilitate engagement between the protective shield and the headwear.</t>
  </si>
  <si>
    <t>US11147256</t>
  </si>
  <si>
    <t>Monitoring disease vectors</t>
  </si>
  <si>
    <t>Gciniwe Simphiwe  Dlamini, Darlington Shingirirai  Mapiye, James  Mashiyane</t>
  </si>
  <si>
    <t xml:space="preserve">A01M1/026; A01M1/026; A01M1/22; A01M1/22; G06K9/6289; G16H40/67; G16H50/80; G16H50/80; A01M2200/01; Y02A90/10; </t>
  </si>
  <si>
    <t>A computer-implemented method for monitoring disease vectors is disclosed. A vector sensor obtains vector data relating to disease vectors in a monitored area. An environmental data obtaining component obtains environmental data relating to the monitored area. Based on at least one of the vector data and the environmental data, a population characteristic component may estimate or determine a vector population characteristic associated with the monitored area. A structural data obtaining component may obtain structural data relating to the monitored area. A vector travel estimation component may estimate or determine a vector travel characteristic. The vector characteristic may be indicative of predicted disease vector movement from outdoors to indoors in the monitored area and may allow for or facilitate a vector control action based at least partially on the vector travel characteristic. A device and a system for monitoring disease vectors are also disclosed.</t>
  </si>
  <si>
    <t>US11142586</t>
  </si>
  <si>
    <t>Anti-human nicotinamide phosphoribosyltransferase (NAMPT) antibodies</t>
  </si>
  <si>
    <t>Joe G N  Garcia, Darragh  Maccann</t>
  </si>
  <si>
    <t xml:space="preserve">A61K51/1018; A61K51/1093; A61P11/00; A61P31/14; A61P35/00; C07K16/40; C07K16/40; A61K2039/505; A61K2039/505; C07K2317/24; C07K2317/24; C07K2317/33; C07K2317/34; C07K2317/34; C07K2317/565; C07K2317/565; C07K2317/76; C07K2317/76; C07K2317/92; </t>
  </si>
  <si>
    <t>Anti-nicotinamide phosphoribosyltransferase (NAMPT) antibodies, or antigen binding fragments thereof, are described, as well as methods for treating a subject having a (NAMPT)-associated local and/or systemic inflammatory disorder.</t>
  </si>
  <si>
    <t>US11141476</t>
  </si>
  <si>
    <t>MERS coronavirus vaccine</t>
  </si>
  <si>
    <t>Susanne  Rauch</t>
  </si>
  <si>
    <t xml:space="preserve">A61K39/215; A61K39/215; C07K14/165; C07K14/165; C12N15/86; A61K2039/53; A61K2039/53; C12N2770/20011; C12N2770/20011; G01N2333/08; </t>
  </si>
  <si>
    <t>The present invention relates to mRNAs suitable for use as mRNA-based vaccines against infections with MERS coronaviruses. Additionally, the present invention relates to a composition comprising the mRNAs and the use of the mRNAs or the composition for the preparation of a pharmaceutical composition, especially a vaccine, e.g. for use in the prophylaxis or treatment of MERS coronavirus infections. The present invention further describes a method of treatment or prophylaxis of infections with MERS coronavirus using the mRNA sequences.</t>
  </si>
  <si>
    <t>US11141419</t>
  </si>
  <si>
    <t>Use of iminosugars as prophylactic and therapy against COVID-19 / SARS-CoV-2</t>
  </si>
  <si>
    <t>Suresh  Kuchipudi</t>
  </si>
  <si>
    <t xml:space="preserve">A61K31/437; A61K31/445; A61K31/702; A61K31/706; A61P31/14; </t>
  </si>
  <si>
    <t>Provided are methods for prophylaxis or treatment of SARS-CoV-2 by administering a composition comprising one or more iminosugars to an individual in need thereof. The compositions may be administered to an individual who is at risk of becoming infected by SARS-CoV-2, or has been diagnosed with a SARS-CoV-2 infection. The iminosugars can inhibit SARS-CoV-2 cell entry and replication. The iminosugars potentiate co-administered antiviral agents, such as nucleoside analogs.</t>
  </si>
  <si>
    <t>US11139084</t>
  </si>
  <si>
    <t>US11138734</t>
  </si>
  <si>
    <t>Hyperspectral facial analysis system and method for personalized health scoring</t>
  </si>
  <si>
    <t>17/180681</t>
  </si>
  <si>
    <t>MEDIA TECHNOLOGY CORPORATION</t>
  </si>
  <si>
    <t>MEDIA</t>
  </si>
  <si>
    <t>Charles Gregory  Passmore</t>
  </si>
  <si>
    <t xml:space="preserve">A61B5/0077; A61B5/015; A61B5/1032; A61B5/4266; A61B5/7257; A61B5/7275; G06T7/0014; G16H50/30; G16H50/70; G16H50/80; G06T2207/10048; G06T2207/20048; G06T2207/30088; G06T2207/30201; </t>
  </si>
  <si>
    <t>A hyperspectral facial analysis system and method for personalized health scoring to assess the risk that a person has a disease. Embodiments capture images in multiple spectral bands, such as visible, infrared, and ultraviolet, and analyze these images to generate multiple health metrics, such as pallor, temperature, sweat, and chromophores. These metrics may be combined into an overall health score that may be used for screening. Image analysis may focus on the area under the eyes, where skin is thinnest. Images may be compared to a reference population to identify anomalous values, so that health scoring automatically adjusts for local conditions. Pallor may be calculated based on hue and saturation of visible light images. Temperature may be calculated based on infrared image intensity. Sweat may be calculated using cross-polarized images to identify specular highlights. Chromophores may be calculated by comparing frequency domain ultraviolet images to those of the reference population.</t>
  </si>
  <si>
    <t>US11137395</t>
  </si>
  <si>
    <t>SARS-CoV-2 (COVID-19) spike-AXL binding assay</t>
  </si>
  <si>
    <t>17/348153</t>
  </si>
  <si>
    <t>Ruo-pan  Huang, Tuhin  Das, Hao  Tang, Shuhong  Luo, Jianmin  Fang</t>
  </si>
  <si>
    <t xml:space="preserve">G01N33/54393; G01N2333/165; G01N2333/908; G01N2333/91205; </t>
  </si>
  <si>
    <t>The present disclosure an ELISA-based assay that uses a glycosylated s1F polypeptide fragment derived from the SARS-CoV-2 spike protein (Covid-19) spike protein, the N-terminal domain of which has affinity for the tyrosine-protein kinase receptor UFO (AXL). The S1F polypeptide can be generated by expression of an encoding nucleic acid by a human cell expression system resulting in glycosylation of the expressed S1F polypeptide at least at the N343 N-glycosylation site thereof, and which surprisingly and significantly increases the affinity of the S1F for AXL, provides a significant increase in the sensitivity of the assay compared to other known assays. Further the AXL polypeptide can be glycosylated, which further increases the affinity for S1F and AXL to each other.</t>
  </si>
  <si>
    <t>US11135459</t>
  </si>
  <si>
    <t>Dual filtration COVID-19 mask</t>
  </si>
  <si>
    <t>17/308982</t>
  </si>
  <si>
    <t>CALDWELL ROBERT</t>
  </si>
  <si>
    <t>Robert  Caldwell</t>
  </si>
  <si>
    <t xml:space="preserve">A62B18/10; A62B23/02; </t>
  </si>
  <si>
    <t>A mask includes: an intake valve panel comprising one or more intake valves, the intake valve panel further comprising an intake filter configured to filter the user's intake breath, the intake valve panel positioned in a center of the mask; one or more exhaust tubes, at least one of the one or more exhaust tubes comprising at least one of the exhaust valves, at least one of the exhaust tubes configured to conduct the user's exhale breath through the at least one of the exhaust valves and then out of the mask, at least one exhaust tube holding the at least one exhaust valve tightly while allowing the at least one exhaust valve to open and close freely; and a soft foam lining configured to tightly hold the mask against the user's face.</t>
  </si>
  <si>
    <t>US11135392</t>
  </si>
  <si>
    <t>Mechanical ventilator</t>
  </si>
  <si>
    <t>16/996057</t>
  </si>
  <si>
    <t>GOLDMAN SEPHORIC LLC</t>
  </si>
  <si>
    <t>GOLDMAN SEPHORIC</t>
  </si>
  <si>
    <t>Nicholas Leonard  Oddo, Shane  Woody, Chad  Josey, Dylan  Moore</t>
  </si>
  <si>
    <t xml:space="preserve">A61M16/0009; A61M16/0051; A61M16/0066; A61M16/0096; A61M16/024; A61M16/0666; A61M16/0677; A61M16/101; A61M16/12; A61M16/127; A61M16/127; A61M16/201; A61M16/202; A61M16/205; A61M2016/0021; A61M2016/0027; A61M2016/0027; A61M2016/0033; A61M2016/0039; A61M16/0066; A61M16/0875; A61M2016/1025; A61M2016/103; A61M16/1045; A61M16/1055; A61M16/1065; A61M16/16; A61M16/203; A61M16/208; A61M2202/0208; A61M2205/07; A61M2205/14; A61M2205/18; A61M2205/3331; A61M2205/3334; A61M2205/3368; A61M2205/3375; A61M2205/502; A61M2205/581; A61M2205/8206; A61M2205/825; A61M2230/06; A61M2230/205; A61M2230/30; B01D53/0476; B01D2253/108; B01D2256/12; B01D2257/102; B01D2259/4533; </t>
  </si>
  <si>
    <t>A ventilator includes a bidirectional breath detection airline and a flow outlet airline. The flow outlet airline includes an airline outlet. The flow outlet airline is configured to be connected to an invasive ventilator circuit or a noninvasive ventilator circuit. The breath detection airline includes airline inlet. The airline inlet is separated from the airline outlet of the flow outlet airline. The ventilator further includes a pressure sensor in direct fluid communication with the breath detection airline. The pressure sensor is configured to measure breathing pressure from the user and generate sensor data indicative of breathing by the user. The ventilator further includes a controller in electronic communication with the pressure sensor. The controller is programmed to detect the breathing by the user based on the sensor data received from the pressure sensor.</t>
  </si>
  <si>
    <t>US11135284</t>
  </si>
  <si>
    <t>MERS-CoV vaccine</t>
  </si>
  <si>
    <t>David  Weiner, Karuppiah  Muthumani, Niranjan Y  Sardesai</t>
  </si>
  <si>
    <t xml:space="preserve">A61K9/0019; A61K39/12; A61K39/12; A61K39/12; A61K39/12; A61K39/215; A61K39/215; A61K39/215; A61K39/39; A61P31/14; A61P31/14; A61P37/04; A61P37/04; C12N7/00; C12N7/00; A61K2039/53; A61K2039/53; A61K2039/53; A61K2039/53; C12N2770/20034; C12N2770/20034; C12N2770/20034; C12N2770/20034; </t>
  </si>
  <si>
    <t>Disclosed herein is a vaccine comprising a Middle East Respiratory Syndrome coronavirus (MERS-CoV) antigen. The antigen can be a consensus antigen. The consensus antigen can be a consensus spike antigen. Also disclosed herein is a method of treating a subject in need thereof, by administering the vaccine to the subject.</t>
  </si>
  <si>
    <t>US11135220</t>
  </si>
  <si>
    <t>Methods of treating viral infections with formulated compositions comprising 4-methyl-5-(pyrazin-2-yl)-3H-1,2-dithiole-3-thione</t>
  </si>
  <si>
    <t>Bomi  Framroze, Jeffrey A  Gelfand</t>
  </si>
  <si>
    <t xml:space="preserve">A61K31/497; A61K9/10; </t>
  </si>
  <si>
    <t>This disclosure provides, among other things, formulated oltipraz compositions comprising stabilized oltipraz crystals, for use in treating a patient who has a viral infection or is at risk of incurring a viral infection. Such viral infections can include a viral infection caused by a coronavirus such as one associated with MERS or SARS, e.g., SARS-CoV-2.</t>
  </si>
  <si>
    <t>US11135196</t>
  </si>
  <si>
    <t>Pharmaceutical composition and its use to inhibit membrane ACE2 expression</t>
  </si>
  <si>
    <t>Aleksandra  Niedzwiecki, Matthias W  Rath, Vadim O  Ivanov, Anna  Goc</t>
  </si>
  <si>
    <t xml:space="preserve">A61K31/201; A61K31/353; A61K31/375; A61K33/30; A61K36/484; A61P31/14; </t>
  </si>
  <si>
    <t>The study shows that ascorbic acid and its combination with some natural compounds could be included in developing preventive and therapeutic approaches toward the current pandemic. Some natural compounds were effective in lowering ACE2 cellular expression, with the highest inhibitory effects observed for baicalin (75%) and theaflavin (50%). Significantly, combinations of these and other test compounds with ascorbic acid further decreased ACE2 expression. The highest impact of ascorbate on ACE2 expression was noted when combined with theaflavin (decrease from 50% to 87%), zinc aspartate (decrease from 22% to 62%), and with 10-undecenoic acid (from 18% to 53%). Our study provides valuable experimental confirmation of the efficacy of micronutrients in controlling ACE2 expression—the coronavirus cellular “entry” point. It further validates the importance of nutrient interactions in various aspects of cellular metabolism and in considering potential therapeutic applications of nutrient-based approaches.</t>
  </si>
  <si>
    <t>US11134728</t>
  </si>
  <si>
    <t>Customizable respiratory protection device</t>
  </si>
  <si>
    <t>16/945623</t>
  </si>
  <si>
    <t>Poulin, Shawn Gregory; Joseph, Andre Gregory</t>
  </si>
  <si>
    <t>POULIN SHAWN</t>
  </si>
  <si>
    <t>Shawn Gregory  Poulin, Andre Gregory  Joseph</t>
  </si>
  <si>
    <t xml:space="preserve">A41D11/00; A41D13/1107; A41D13/1161; A61N2/004; A61N2/06; A62B18/025; A62B18/08; A62B23/02; </t>
  </si>
  <si>
    <t>A customizable respiratory protection device, including a mouth portion, including a mouth body to cover a mouth and a nose of a user, a filter receiving portion disposed on at least a portion of a rear surface of the mouth body to store an air filter therein, and an aperture disposed on an end of the filter receiving portion to receive the air filter therethrough, an attachment portion to cover eyes and a forehead of the user; and at least one fastener removably disposed on at least a portion of the mouth body to receive the attachment portion thereon, such that the attachment portion connects to the mouth body.</t>
  </si>
  <si>
    <t>US11132022</t>
  </si>
  <si>
    <t>US11131672</t>
  </si>
  <si>
    <t>Method for detecting MERS-CoV in Camilidae</t>
  </si>
  <si>
    <t>17/207063</t>
  </si>
  <si>
    <t xml:space="preserve">A61K39/215; C07K16/10; G01N33/54386; G01N33/56983; C07K2317/30; C07K2317/34; C12N2770/20011; G01N2333/165; </t>
  </si>
  <si>
    <t>US11131000</t>
  </si>
  <si>
    <t>17/334531</t>
  </si>
  <si>
    <t xml:space="preserve">B01L7/52; C12M47/06; C12Q1/70; B01L2300/1805; B01L2300/1883; </t>
  </si>
  <si>
    <t>US11130994</t>
  </si>
  <si>
    <t>Automated, cloud-based, point-of-care (POC) pathogen and antibody array detection system and method</t>
  </si>
  <si>
    <t>Josh  Shachar, Philip  Felgner, Marc  Madou</t>
  </si>
  <si>
    <t xml:space="preserve">C12Q1/6804; C12Q1/6804; C12Q1/6809; C12Q1/686; C12Q1/70; C12Q1/701; G01N1/38; G01N15/1475; G01N21/64; G01N21/6428; G01N21/6452; G01N33/48; G01N33/483; G01N33/5302; G01N33/569; G01N33/56983; G01N33/56983; G01N33/6854; G11C13/0019; G16B40/10; G16C20/70; G16H10/40; G16H10/60; G16H50/20; G16H50/70; G16H50/80; G16H50/80; G16H50/80; B01J2219/00317; C12Q2561/113; G01N2333/165; G01N2333/165; Y02A90/10; </t>
  </si>
  <si>
    <t>The illustrated embodiments of the invention include an automated method of assaying a viral and antibody analyte in a sample in a portable, handheld microfluidic reader having a SAW detector with a minimal mass sensitivity limitation. The automated method includes the steps of automatically performing the assay with the SAW detector with enhanced sensitivity as in Optikus I, but also includes the steps of automatically disposing a second portion of the sample on a microarray, selectively automatically probing the second portion of the sample for antibodies corresponding to the at least one selected virus using the microarray, and automatically reading the microarray using a fluorescent camera to identify antibodies in the second portion of the sample.</t>
  </si>
  <si>
    <t>US11129892</t>
  </si>
  <si>
    <t>Vaccine compositions comprising endogenous Gag polypeptides</t>
  </si>
  <si>
    <t>16/876731</t>
  </si>
  <si>
    <t>AERAMI THERAPEUTICS, INC.</t>
  </si>
  <si>
    <t>AERAMI THERAPEUTICS</t>
  </si>
  <si>
    <t>Zachary  Gilbert, Colin  Malone</t>
  </si>
  <si>
    <t xml:space="preserve">A61K39/145; A61K39/215; A61K39/385; A61P31/14; A61K2039/6031; A61K2039/64; C12N2770/20034; C12N2770/20071; </t>
  </si>
  <si>
    <t>Described herein is a composition comprising: 1) an ARC polypeptide or an endogenous gag (endo-gag) polypeptide; 2) a pathogen-associated antigen; and 3) an adjuvant. Also described herein are vaccines and methods of vaccination using compositions comprising: 1) an ARC polypeptide or an endogenous gag (endo-gag) polypeptide; 2) a pathogen-associated antigen; and 3) an adjuvant.</t>
  </si>
  <si>
    <t>US11129890</t>
  </si>
  <si>
    <t>Non-integrating HIV-1 comprising mutant RT/IN proteins and the SARS-CoV-2 spike protein</t>
  </si>
  <si>
    <t>16/877839</t>
  </si>
  <si>
    <t>CHARLES RIVER LABORATORIES, INC.</t>
  </si>
  <si>
    <t>CHARLES RIVER LABORATORIES</t>
  </si>
  <si>
    <t>Zairen  Sun</t>
  </si>
  <si>
    <t xml:space="preserve">A61K39/21; A61K39/215; C12N7/00; C12N15/86; A61K2039/543; C12N2740/15034; C12N2740/15041; C12N2740/15051; C12N2740/16041; C12N2740/16061; C12N2740/16062; C12N2740/16211; C12N2740/16222; </t>
  </si>
  <si>
    <t>The present invention is directed to recombinant lentiviral particles that array the SARS-CoV-2 spike (S) protein on their surface (“SARS-CoV-2 S Protein Lentiviral Particles”), and that optionally comprise an additional copy of a polynucleotide encoding the SARS-CoV-2 spike (S) protein in their viral genome, and to methods for the production of such lentiviral particles. The invention particularly pertains to such SARS-CoV-2 S Protein Lentiviral Particles that have been engineered to be incapable of mediating the integration of their lentiviral genome into the chromosomes of infected cells and/or to be incapable of mediating the reverse transcription of their lentiviral genome. The present invention is also directed to “SARS-CoV-2 S Protein Lentiviral Vaccine” pharmaceutical compositions that comprise such SARS-CoV-2 S Protein Lentiviral Particles. The present invention is additionally directed to the use of such SARS-CoV-2 S Protein Lentiviral Vaccine pharmaceutical compositions for providing immunity to COVID-19 infection to humans and other mammals, either directly or as an inactivated form.</t>
  </si>
  <si>
    <t>US11129878</t>
  </si>
  <si>
    <t xml:space="preserve">A61K9/0078; A61K31/20; A61K31/405; A61K31/495; A61K38/385; A61P11/00; A61P31/14; </t>
  </si>
  <si>
    <t>US11128636</t>
  </si>
  <si>
    <t>Systems, methods, and apparatus for enhanced headsets</t>
  </si>
  <si>
    <t>17/320164</t>
  </si>
  <si>
    <t>James  Jorasch, Christopher  Capobianco, Isaac W  Hock, Michael  Werner, Geoffrey  Gelman, Gennaro  Rendino</t>
  </si>
  <si>
    <t xml:space="preserve">A61B5/0077; A61B5/117; A61B5/271; A61B5/291; A61B5/291; A61B5/369; A61B5/369; A61B5/6803; A61B5/7203; A61B5/7405; A61B5/749; G06F1/163; G06F1/163; G06F3/012; G06F3/012; G06F3/015; G06F3/017; G06F3/021; G06F3/0346; G06F3/03543; G06F3/0395; G06F21/32; G06K9/6201; G06T7/70; G06V20/10; G06V20/20; G07C9/257; G07C9/37; G07C9/37; G10L15/22; G16H20/70; G16H40/67; G16H40/67; G16H50/30; G16H80/00; H04L63/0861; H04L63/0861; H04L63/102; H04L63/102; H04N5/232; H04N5/23222; H04N5/247; H04W12/08; H04W12/33; A61B2560/0242; A61B2562/0204; A61B2562/0219; G06F2203/0336; G06Q10/101; G06Q10/101; G06Q50/01; G06Q50/01; G06Q50/205; G06Q50/205; G07C9/38; G10L2015/225; G10L17/00; Y02A90/10; </t>
  </si>
  <si>
    <t>In accordance with some embodiments, systems, apparatus, interfaces, methods, and articles of manufacture are provided for ascertaining aspects of a user, such as the user's identity, competence, health, and state of mind. In various embodiments, data is captured about a user via a headset worn by the user. Based on the data, a determination may be made about an aspect of the user, and the user may accordingly be granted or denied access to a resource.</t>
  </si>
  <si>
    <t>US11127506</t>
  </si>
  <si>
    <t>Digital health tools to predict and prevent disease transmission</t>
  </si>
  <si>
    <t>16/986011</t>
  </si>
  <si>
    <t xml:space="preserve">G16H10/20; G16H50/20; G16H50/30; G16H50/80; H04W4/021; H04W4/029; H04W4/185; </t>
  </si>
  <si>
    <t>US11124545</t>
  </si>
  <si>
    <t>David B  Weiner, Bernadette  Ferraro, Jian  Yan, Patricia A  Brown, Rodney A  Bowling, Douglas R  Kern, Mathura P  Ramanathan, Niranjan Y  Sardesai, Karuppiah  Muthumani</t>
  </si>
  <si>
    <t xml:space="preserve">A61K39/12; A61K39/12; A61K39/12; A61K39/135; A61K39/135; A61K39/39; A61M37/00; A61N1/327; A61P31/14; A61P37/04; C07K14/005; C07K14/005; C07K14/005; C12N7/00; C12N7/00; C12N15/09; C12N15/10; C12N15/113; C12N15/1131; G01N33/56983; A61K2039/523; A61K2039/523; A61K2039/53; A61K2039/53; A61K2039/53; A61K2039/552; A61K2039/552; A61K2039/55527; A61K2039/55538; C12N2770/32122; C12N2770/32122; C12N2770/32122; C12N2770/32134; C12N2770/32134; C12N2770/32134; G01N2333/09; G01N2469/20; </t>
  </si>
  <si>
    <t>Provided herein is a nucleic acid comprising consensus amino acid sequence of foot-and-mouth disease FMDV VP1-4 coat proteins of FMDV subtypes A, Asia 1, C, O, SAT1, SAT2, and SAT3 as well as plasmids and vaccines expressing the sequences. Also provided herein is methods for generating an immune response against one or more FMDV subtypes using the vaccine as described above as well as methods for deciphering between vaccinated mammals with the vaccine and those that are infected with FMDV.</t>
  </si>
  <si>
    <t>US11124497</t>
  </si>
  <si>
    <t>17/230727</t>
  </si>
  <si>
    <t xml:space="preserve">C07D207/26; C07D401/12; C07D401/14; C07D403/12; C07D403/14; C07D417/14; C07D471/04; </t>
  </si>
  <si>
    <t>US11123584</t>
  </si>
  <si>
    <t>Personal protective anti-viral face mask</t>
  </si>
  <si>
    <t>17/103501</t>
  </si>
  <si>
    <t>Iii James E  Fay, Richard Dennis  Vigil, John A  Soderquist, Andrew S  Heller, Trung Lo  Deo, Cameron  Lynch, Danilo R  Manfre, Beate  Schmittmann</t>
  </si>
  <si>
    <t xml:space="preserve">A41D13/11; A62B7/10; A62B18/025; A62B23/02; B01D39/08; B01D46/0028; B01D46/0036; B01D46/0041; B01D46/2411; B01D2239/0407; B01D2239/0442; B01D2239/0478; B01D2239/0618; B01D2279/65; </t>
  </si>
  <si>
    <t>An entrainment-based filtering system for use in connection with a facemask or respirator that includes: a filter housing defining an interior volume comprising at least one airflow pathway having an airflow pathway length that is longer than the length of the interior volume and spaced within the interior volume; and a plurality of entrainment substrates. The plurality of entrainment substrates is positioned within the at least one airflow pathway and the plurality of substrates and the dimensions of the at least one airflow pathway together function to entrain particles on the surface of the chemically coated entrainment substrates and prevent at least 95% of particles traveling through the at least one airflow pathway from exiting the entrainment-based filter.</t>
  </si>
  <si>
    <t>US11123560</t>
  </si>
  <si>
    <t>Methods of treating covid-19 induced cytokine storm</t>
  </si>
  <si>
    <t>16/895376</t>
  </si>
  <si>
    <t>NEMECHEK PATRICK M</t>
  </si>
  <si>
    <t>NEMECHEK PATRICK</t>
  </si>
  <si>
    <t>Patrick M  Nemechek</t>
  </si>
  <si>
    <t xml:space="preserve">A61N1/0456; A61N1/0472; A61N1/36034; A61N1/36036; </t>
  </si>
  <si>
    <t>Provided herein are methods for preventing, reducing or reversing cytokine storm in a subject in need thereof.</t>
  </si>
  <si>
    <t>US11123554</t>
  </si>
  <si>
    <t>Targeted delivery of molecules using impedance-based monitoring at elevated temperatures</t>
  </si>
  <si>
    <t>Richard  Heller, Loree C  Heller, Mark Jeffery  Jaroszeski</t>
  </si>
  <si>
    <t xml:space="preserve">A61F7/007; A61F7/007; A61N1/327; A61N1/327; A61N5/0625; A61N5/0625; A61F2007/006; A61F2007/0071; A61F2007/0071; A61N2005/0652; A61N2005/0652; </t>
  </si>
  <si>
    <t>A method and system for delivering a molecule to a specific area of a tissue by controlling temperature and impedance is presented. The method is generally comprised of applying heat to a biological structure, such as cells or tissues, to heat the biological structure to a preset temperature after which at least one electroporation pulse is administered to the biological structure. Impedance is measured as a feedback control mechanism after each pulse and pulse parameters are adjusted accordingly until desired impedance is reached. The system generally comprises an electroporation system capable of generating at least one pulse, measuring impedance and measuring temperature. The method may be used to deliver a molecule such as a vaccine or therapeutic to a biological structure, such as for prevention or treatment of SARS-CoV-2 infection.</t>
  </si>
  <si>
    <t>US11123510</t>
  </si>
  <si>
    <t>Respirator devices with source control mechanisms and associated systems and methods</t>
  </si>
  <si>
    <t>Jeremy Mark  Mauger</t>
  </si>
  <si>
    <t xml:space="preserve">A61L9/015; A61L9/20; A61L9/22; A61M16/0003; A61M16/0009; A61M16/06; A61M16/0616; A61M16/1065; A61M16/107; A62B7/10; A62B18/006; A62B18/025; A61L9/20; A61L9/22; A61L2209/14; A61L2209/14; A61L2209/212; A61M2016/0018; A61M2016/0027; A61M2016/0027; A61M2016/0039; A61M16/0066; A61M16/0627; A61M16/1055; A61M16/1065; A61M16/107; A61M2202/206; A61M2202/206; A61M2205/3306; A61M2205/3334; A61M2205/3368; A61M2205/3375; A61M2205/8206; A61M2230/06; A61M2230/205; A61M2230/30; A61M2230/42; A61M2230/50; </t>
  </si>
  <si>
    <t>The present technology relates to respirator devices including source control features. In some embodiments, a source control mask device can include a shield that substantially covers the mouth and nose of a user and a mechanism that can actively extract air as it is exhaled by the user. The extracted exhaled air can then be sanitized before the mask device discharges it into the atmosphere. The mask device may selectively form a seal to the user's face dependent on air flow conditions.</t>
  </si>
  <si>
    <t>US11123421</t>
  </si>
  <si>
    <t>Cold adapted and virulence factor deleted live attenuated vaccine suitable for mucosal delivery</t>
  </si>
  <si>
    <t>16/094780</t>
  </si>
  <si>
    <t>Honglin  Chen, Min  Zheng, Pui  Wang, Johnson Yiu-nam  Lau, Kwok Yung  Yuen</t>
  </si>
  <si>
    <t xml:space="preserve">A61K39/12; A61K39/12; A61K39/145; A61P31/16; A61K2039/5254; A61K2039/5254; A61K2039/5256; A61K2039/5256; C12N2760/16134; C12N2760/16134; C12N2760/16162; C12N2770/20034; C12N2770/20034; Y02A50/30; Y02A50/30; </t>
  </si>
  <si>
    <t>Compositions and methods are provided for a live, attenuated influenza vaccine suitable for nasal administration. The vaccine utilizes a cold adapted influenza virus that lacks virulence factor, and includes mutations that provide replicative ability sufficient for vaccine manufacture. Vaccines so produced provide significant cross protection for non-vaccinating strains. The vaccine is safe for children under the age of 2 and adults over 49 years of age. In addition, the cold adapted, virulence factor deleted influenza virus can be adapted to provide immunity to non-influenza pathogens.</t>
  </si>
  <si>
    <t>US11123329</t>
  </si>
  <si>
    <t>Use of angiotensin II type 2 receptor agonist</t>
  </si>
  <si>
    <t>Carl-johan  Dalsgaard, Johan  Raud, Rohit  Batta</t>
  </si>
  <si>
    <t xml:space="preserve">A61K31/16; A61K31/4178; A61K31/513; A61K31/573; A61K31/7056; A61K31/706; A61K38/215; A61K45/06; A61P31/14; </t>
  </si>
  <si>
    <t>There is provided N-butyloxycarbonyl-3-(4-imidazol-1-ylmethylphenyl)-5-isobutylthiophene-2-sulfonamide, or a pharmaceutically-acceptable salt thereof, for use in a method of treatment of respiratory virus-induced tissue damage. Such damage may be caused by coronaviruses, including severe acute respiratory syndrome coronavirus and severe acute respiratory syndrome coronavirus. N-Butyloxycarbonyl-3-(4-imidazol-1-ylmethylphenyl)-5-iso-butylthiophene-2-sulfonamide alleviate symptoms of diseases caused by those viruses (including coronavirus disease 2019 or COVID-19), such as cough, dyspnea, pneumonia, respiratory distress, respiratory failure and/or fibrosis of organs such as the lungs, the heart or the kidneys, and may thus prevent respiratory virus-induced morbidity and/or mortality. In particular, it has been found in a clinical study that the proportion of patients with COVID-19 needing oxygen treatment was significantly lower for patients that were administered N-butyloxycarbonyl-3-(4-imidazol-1-ylmethylphenyl)-5-iso-butylthiophene-2-sulfonamide compared to placebo.</t>
  </si>
  <si>
    <t>US11122940</t>
  </si>
  <si>
    <t>Wrist-worn sanitizer dispenser</t>
  </si>
  <si>
    <t>17/128332</t>
  </si>
  <si>
    <t>George Joseph  Winn</t>
  </si>
  <si>
    <t xml:space="preserve">A45F5/00; A47K5/122; A45F2005/008; B65D35/10; B65D35/24; B65D35/46; B65D75/5883; B65D83/0055; </t>
  </si>
  <si>
    <t>A dispenser includes a holster having a first ply and a second ply, a reservoir having a first sheet and a second sheet connected at edges thereof, and a dispensing aperture arranged between the first sheet and the second sheet, wherein the second ply forms a pocket on the first ply, and the reservoir is arranged in the pocket between the first ply and the second ply.</t>
  </si>
  <si>
    <t>US11119340</t>
  </si>
  <si>
    <t>Anti-fog medical face mask and a device for preventing formation of fog on eyewear while wearing face cover</t>
  </si>
  <si>
    <t>Kiarash  Ahi</t>
  </si>
  <si>
    <t xml:space="preserve">A41D13/11; G02C11/08; G02C11/08; </t>
  </si>
  <si>
    <t>Toward prevention of the spread of COVID-19 virus and suppressing the pandemic caused by this outbreak, many local governments, states within the Unites States, and countries around the globe have mandated wearing of face covering masks. This mandate has introduced new challenges to the society. One of these challenges is formation of fog on the eyewear while wearing a mask. The direction of the leaked exhaled air from the upper edge of a face covering mask is upward. The location of the portion of the lens of the eyewear that is in front of the eye of the user is on top of the upper edge of the mask (because pulling up the mask further than the eye is not practically possible as the mask would block the eyesight). Hence, the leaked exhaled air (leaked from the top of the mask) moves over the surface of the lens of the eyewear and causes formation of fog on the surface of the lens of the eyewear. To solve the problem of formation of fog on the lens of an eyewear while wearing a face cover, this disclosure proposes a device that prevents the eyewear from getting exposed to the air of exhaling. For this aim, this device redirects the flow of the exhaled air that leaks from the top of the mask. Unlike the solutions in the prior art, the main embodiment of the device disclosed in this application is a standalone device. No modification to the eyewear is needed (although one embodiment of this invention is integrated in the eyewear during manufacturing the eyewear). No modification to the face covering mask is needed either (although one embodiment of this invention is integrated in the face covering mask during manufacturing the face covering mask). Hence, people in the society who need to wear mask, may use this device without needing to purchase new types of eyewear or new types of mask. This device prevents formation of fog on eyewear regardless of the type of eyewear or the type of the mask worn by a user. Hence, compared with the prior art, this device introduces the least amount of discomfort and financial burden on the users and on the society. A significant advantage of the disclosed invention is its contribution to the health of the society and reduction of the spread of viruses. Thanks to this invention a large portion of the society (who refuses wearing masks at all, or who wear masks improperly to avoid formation of fog on their eyewear) shall start using masks and shall wear masks properly. For example, people who may refuse wearing masks during pandemics, such as the COVID-19 pandemic, because of discomfort resulted by formation of fog on their eyewear, or people who may wear masks improperly (for example by not covering their noses) or those who may create vents in their masks, to prevent formation of fog on their eyewear, will start wearing their masks properly since the device disclosed in this disclosure prevents formation of fog on the eyewear.</t>
  </si>
  <si>
    <t>US11119103</t>
  </si>
  <si>
    <t>Serological assays for SARS-CoV-2</t>
  </si>
  <si>
    <t>16/900798</t>
  </si>
  <si>
    <t>Deepta  Bhattacharya, Ryan  Sprissler, Janko  Nikolich-zugich, Matthew  Kaplan, Tyler  Ripperger, Jennifer  Uhrlaub, Makiko  Watanabe, Rachel  Wong</t>
  </si>
  <si>
    <t xml:space="preserve">G01N33/56983; G01N2333/165; G01N2469/20; </t>
  </si>
  <si>
    <t>Provided herein is a test system comprising severe acute respiratory syndrome coronavirus 2 (SARS-CoV-2) receptor binding domain (RBD) antigen, SARS-CoV-2 S2 antigen, and binding moieties that specifically bind to human IgG, human IgA, and human IgM. Also provided are methods of detecting SARS-CoV-2 antibodies in a sample using the test system.</t>
  </si>
  <si>
    <t>US11116999</t>
  </si>
  <si>
    <t>Shape-retaining filtering mask</t>
  </si>
  <si>
    <t>16/904127</t>
  </si>
  <si>
    <t>NOVOSEL FRANK</t>
  </si>
  <si>
    <t>Frank  Novosel</t>
  </si>
  <si>
    <t xml:space="preserve">A41D13/11; A41D13/1115; A41D13/1138; A41D13/1161; A62B23/025; </t>
  </si>
  <si>
    <t>An air-filtering mask including a piece of air-filter material. A set of mask-retention tension members, are attached at the right and left sides of this material for fixing the mask about the head in a preferred position wherein the air-filter material top extends across the face at a level coincident with the bridge of the nose of the face. Further, a shape-preserving tension member is attached at a left attachment point at the left side of the material and extends to and is attached to a right attachment point, and is retained at the top-center of the material, the shape-preserving tension member being shorter than the extent of the material between the attachment points, so that the material is loose between the attachment points and is not pulled taut, thereby facilitating conformance of the top of the air filter material to the contours of the face.</t>
  </si>
  <si>
    <t>US11116737</t>
  </si>
  <si>
    <t>Methods of using probenecid for treatment of coronavirus infections</t>
  </si>
  <si>
    <t>16/875487</t>
  </si>
  <si>
    <t>Ralph A  Tripp, Jackelyn  Murray, Robert Jeff  Hogan</t>
  </si>
  <si>
    <t xml:space="preserve">A61K31/195; A61K31/195; A61P31/14; A61P31/14; A61K9/0019; A61K9/0053; </t>
  </si>
  <si>
    <t>Compositions and methods of treating a subject for a coronavirus infection are provided. The methods typically include administering the subject an effective amount of probenecid, a metabolite or analog thereof, or a pharmaceutically acceptable salt thereof. The methods can by therapeutic and/or prophylactic. The amount of probenecid or a pharmaceutically acceptable salt thereof can be effective to, for example, reduce viral replication, reduce one or more symptoms of disease, disorder, or illness associated with virus, or a combination thereof. In preferred embodiments, the virus is a Severe acute respiratory syndrome-related coronavirus such as SARS-CoV-2 or SARS-CoV, a Middle East respiratory syndrome-related coronavirus such as MERS-CoV, or a coronavirus that causes the common cold.</t>
  </si>
  <si>
    <t>US11116398</t>
  </si>
  <si>
    <t>Detection of contagious diseases using unmanned aerial vehicle</t>
  </si>
  <si>
    <t>Tara  Astigarraga, Christopher V  Derobertis, Louie A  Dickens, Mejia Jose R  Mosqueda, Daniel J  Winarski</t>
  </si>
  <si>
    <t xml:space="preserve">A61B5/0002; B64C39/024; G01S7/04; G16H50/80; H04N21/4223; B64C2201/088; B64C2201/12; B64C2201/127; G05D1/00; G06Q10/00; G06Q50/22; </t>
  </si>
  <si>
    <t>US11113913</t>
  </si>
  <si>
    <t>Temperature based access control</t>
  </si>
  <si>
    <t>16/925066</t>
  </si>
  <si>
    <t>SATURDAY CAPITAL, LLC</t>
  </si>
  <si>
    <t>SATURDAY CAPITAL</t>
  </si>
  <si>
    <t>Patrick Doherty, John Wall, Michael S. Biviano</t>
  </si>
  <si>
    <t>H04L 67/12 (20130101); G01K 7/02 (20130101); G07C 9/257 (20200101); G07C 9/253 (20200101)</t>
  </si>
  <si>
    <t>The present disclosure relates to systems and methods of control access     to a controlled-access area. The method includes receiving offsite sensor     data, receiving offsite user identification data corresponding to the     offsite sensor data, determining that the offsite sensor data satisfies     an organizational standard, determining that the offsite user     identification data corresponds to an approved user, and transmitting a     notification to a user device. The method may also include receiving     onsite user information and using the offsite sensor data and the onsite     user information to determine if a user is approved for access to an     access-controlled area. In some examples, the offsite sensor data may be     temperature data associated with a febrile condition of a user attempting     to gain access to the controlled-access area.</t>
  </si>
  <si>
    <t>US11112412</t>
  </si>
  <si>
    <t>SARS-CoV-2 surrogate virus neutralization assay test kit</t>
  </si>
  <si>
    <t>Linfa Wang</t>
  </si>
  <si>
    <t>C12Y 304/17023 (20130101); G01N 33/6854 (20130101); A61J 1/00 (20130101); C07K 14/165 (20130101); G01N 2800/12 (20130101); C07K 16/10 (20130101); G01N 2333/165 (20130101); C12N 2770/20022 (20130101); C12N 2770/20021 (20130101)</t>
  </si>
  <si>
    <t>US11109624</t>
  </si>
  <si>
    <t>Sanitary finger covers and dispenser</t>
  </si>
  <si>
    <t>16/850332</t>
  </si>
  <si>
    <t>Richard Irving Stillman</t>
  </si>
  <si>
    <t>A41D 13/087 (20130101); A61L 2/10 (20130101); A61B 42/40 (20160201); A61B 42/50 (20160201)</t>
  </si>
  <si>
    <t>A dispenser of sanitary finger covers which are sanitized individually at     the time of use. The system uses either a battery operated ultraviolet     LED or spray disinfectant to automatically or manually sanitize the     finger covers. The sanitary finger covers can be rapidly applied without     contamination using a single finger. Removal and disposal are similarly     rapid and easy. The finger covers are inexpensive and may be made from a     variety of readily available and biodegradable materials. The dispenser     is lightweight and portable. It can be carried by the user or attached to     their uniform. The dispenser can be easily replenished with finger covers     once empty, using a provided cartridge prefilled with finger covers.</t>
  </si>
  <si>
    <t>US11107588</t>
  </si>
  <si>
    <t>Methods and systems of prioritizing treatments, vaccination, testing     and/or activities while protecting the privacy of individuals</t>
  </si>
  <si>
    <t>Gal Ehrlich, Maier Fenster</t>
  </si>
  <si>
    <t>G16H 50/80 (20180101); G16H 50/30 (20180101); G06N 7/005 (20130101); H04W 4/029 (20180201); H04W 4/023 (20130101)</t>
  </si>
  <si>
    <t>System and methods for anonymously selecting subjects for treatment     against an infectious disease caused by a pathogen. The system comprises     a plurality of electronic devices comprising instructions to generate an     ID and, when in proximity of another such electronic device, one or both     electronic devices transmit/receive the ID to/from the other electronic     device. Then, a score is generated based on a plurality of such received     IDs. Additionally, based on information received from a server, relevant     treatment instructions are displayed to the subjects based on the     received information and the score. The server comprises instructions for     sending to the plurality of electronic devices the information to be     displayed with the relevant treatment instructions, additionally the     server and/or the electronic devices comprise instructions to generate a     prediction of likelihood of a subject transmitting the pathogen, based on     the score of the subject.</t>
  </si>
  <si>
    <t>US11107013</t>
  </si>
  <si>
    <t>Programmatically allocating venue capacity based on distancing     requirements</t>
  </si>
  <si>
    <t>Dogan Koslu</t>
  </si>
  <si>
    <t>G06Q 10/02 (20130101); G06F 16/9035 (20190101); G06F 16/906 (20190101); G06Q 10/04 (20130101); G06F 16/9017 (20190101)</t>
  </si>
  <si>
    <t>US11105804</t>
  </si>
  <si>
    <t>17/141837</t>
  </si>
  <si>
    <t>Ruo-Pan Huang, Hao Tang, Shuhong Luo, Jianmin Fang</t>
  </si>
  <si>
    <t>G01N 33/56983 (20130101); G01N 2500/20 (20130101); G01N 2333/948 (20130101); G01N 2333/165 (20130101); G01N 2500/02 (20130101)</t>
  </si>
  <si>
    <t>The present disclosure an ELISA-based assay that uses a glycosylated     polypeptide fragment derived from the SARS-CoV-2 spike protein (Covid-19)     receptor binding domain (S1RBD) that has affinity for the extracellular     domain of Angiotensin Converting Enzyme 2 (ACE2). The S1RBD polypeptide     is generated by expression of an encoding nucleic acid by a human cell     expression system resulting in glycosylation of the expressed spike     receptor binding domain (S1RBD) protein at least at the N343     N-glycosylation site thereof, and which surprisingly and significantly     increases the affinity of the S1RBD for ACE2, provides a significant     increase in the sensitivity of the assay compared to other known assays.</t>
  </si>
  <si>
    <t>US11104347</t>
  </si>
  <si>
    <t>System and method for managing shared vehicles</t>
  </si>
  <si>
    <t>16/920330</t>
  </si>
  <si>
    <t>ASAHI KASEI KABUSHIKI KAISHA</t>
  </si>
  <si>
    <t>Masahiro Morizumi</t>
  </si>
  <si>
    <t>G16H 50/80 (20180101); A61L 9/00 (20130101); B60W 40/08 (20130101); G07C 5/008 (20130101); G08G 1/202 (20130101); B60H 3/00 (20130101); B60W 2540/221 (20200201); B60W 2540/01 (20200201)</t>
  </si>
  <si>
    <t>A system for managing shared vehicles comprises an acoustic event     detector including an acoustic sensor for detecting an acoustic event in     a compartment of a vehicle, a vehicle terminal electrically connected to     the acoustic event detector, and an external server communicating with     the vehicle terminal via a network. At least one of the vehicle terminal     and the external server comprises a processor. The processor is     configured to implement the steps of extracting a respiratory disease     symptom of a passenger in the vehicle from the detected acoustic event,     assessing the respiratory disease symptom of the passenger to generate     infection risk information associated with an infection risk of a next     passenger expected to ride the vehicle, and transmitting the infection     risk information to an external user terminal via the network. A method     for managing shared vehicles is also provided.</t>
  </si>
  <si>
    <t>US11103576</t>
  </si>
  <si>
    <t>Coronavirus; Measles</t>
  </si>
  <si>
    <t>Measles virus vaccine expressing SARS-COV-2 protein(s)</t>
  </si>
  <si>
    <t>17/010591</t>
  </si>
  <si>
    <t>William Paul Duprex</t>
  </si>
  <si>
    <t>C07K 14/005 (20130101); C12N 7/00 (20130101); A61K 39/215 (20130101); C12N 2760/18434 (20130101); C12N 2760/18443 (20130101); C12N 2770/20034 (20130101); A61K 2039/575 (20130101); A61K 2039/5256 (20130101)</t>
  </si>
  <si>
    <t>US11103575</t>
  </si>
  <si>
    <t>Lanying Du, Fang Li, Shibo Jiang, Yusen Zhou</t>
  </si>
  <si>
    <t>C07K 14/005 (20130101); C12N 7/00 (20130101); A61P 31/14 (20180101); A61K 39/215 (20130101); C12N 2770/20071 (20130101); A61K 2039/55516 (20130101); A61K 2039/627 (20130101); C12N 2770/20034 (20130101); C12N 2770/20022 (20130101); A61K 2039/545 (20130101); A61K 2039/575 (20130101); C07K 2319/30 (20130101)</t>
  </si>
  <si>
    <t>US11103406</t>
  </si>
  <si>
    <t>Airborne infectious disease isolation units and method of making using     prefabricated containers</t>
  </si>
  <si>
    <t>16/993188</t>
  </si>
  <si>
    <t>Michael G Channell, David M Rogillio, Mickey D Blackmon, Brian C Roden, Bryan C Merry, David J Braidich</t>
  </si>
  <si>
    <t>E04H 1/1205 (20130101); A61G 10/02 (20130101); E04H 2001/1283 (20130101)</t>
  </si>
  <si>
    <t>In one embodiment, a prefabricated container is modified as a medical     isolation room by replacing an original door with a clear front door. An     intake louver and an adjustable damper are disposed at a lower part of     the front end. An exhaust vent is disposed at an upper part of the back     wall. An exhaust fan and a HEPA filter are coupled to the exhaust vent.     Washable coverings cover interior sides of the container to provide     washable, nonslip interior surfaces. The exhaust fan and the adjustable     damper at the intake louver are controlled to produce in the medical     isolation room a negative air pressure of at least about minus 0.01 inch     of water gage (approximately 2.5 pascals) and a displacement ventilation     exhaust flow rate through the exhaust vent of at least about 100 cubic     feet per minute (cfm) greater than an intake flow rate through the intake     louver.</t>
  </si>
  <si>
    <t>US11103178</t>
  </si>
  <si>
    <t>Method and apparatus for anosmia prognostic screening</t>
  </si>
  <si>
    <t>17/183948</t>
  </si>
  <si>
    <t>George Buckler, Jovan Hutton Pulitzer, James Strader, Brandon Hensinger</t>
  </si>
  <si>
    <t>G16H 20/13 (20180101); G01N 33/0001 (20130101); G07C 9/20 (20200101); A61B 5/4011 (20130101); A61B 5/117 (20130101); A61B 5/4005 (20130101); A61M 2205/588 (20130101); A61B 5/7495 (20130101)</t>
  </si>
  <si>
    <t>An access system has a scanner that scans a unique identifier to access a     location. A display receives an input. An automated dispenser dispenses     at least one scent on each hand of an individual responsive to a control     signal. A processor controls access to the location. A memory stores a     set of instructions that configures the processor to receive the unique     identifier from the scanner, actuate the automated dispenser to dispense     the at least one scent responsive to receipt of the unique identifier,     receive the response input based on the scents detected by the individual     of the at least one scent, determine a passing result or a failing result     responsive to the received response input and an expected response based     on the dispensed at least one scent, enable access to the location     responsive to a passing result and deny access to the controlled access     location responsive to a failing result.</t>
  </si>
  <si>
    <t>US11103139</t>
  </si>
  <si>
    <t>Detecting fever from video images and a baseline</t>
  </si>
  <si>
    <t>Ari M Frank, Arie Tzvieli, Ori Tzvieli, Gil Thieberger</t>
  </si>
  <si>
    <t>A61B 5/0075 (20130101); A61B 5/748 (20130101); A61B 5/6814 (20130101); G01J 5/0265 (20130101); A61B 5/015 (20130101); A61B 5/7282 (20130101); A61B 5/165 (20130101); A61B 5/6803 (20130101); G01J 5/12 (20130101); A61B 2576/00 (20130101); G01J 2005/0077 (20130101); A61B 5/14535 (20130101); A61B 2562/0271 (20130101); A61B 2562/0276 (20130101); A61B 5/0077 (20130101); G01J 2005/0085 (20130101)</t>
  </si>
  <si>
    <t>US11102877</t>
  </si>
  <si>
    <t>Apparatus and methods for deactivating microorganisms with non-thermal     plasma</t>
  </si>
  <si>
    <t>16/896136</t>
  </si>
  <si>
    <t>Bradley N. Eckert, Huan Truong, Bryon K. Eckert</t>
  </si>
  <si>
    <t>A61B 18/042 (20130101); H05H 1/2406 (20130101); H05H 2240/20 (20130101); H05H 1/47 (20210501)</t>
  </si>
  <si>
    <t>An array of non-thermal plasma emitters is controlled to emit plasma     based on application of an electric current at desired frequencies and a     controlled power level. A power supply for an array controller includes a     transformer that operates at the resonant frequency of the combined     capacitance of the array and the cable connecting the array to the power     supply. The power into the array is monitored by the controller and can     be adjusted by the user. The controller monitors reflected power     characteristics, such as harmonics of the alternating current, to     determine initiation voltage of the plasma and/or resonant frequency     plasma emitters. The array of non-thermal plasma emitters may be used in     therapeutic, diagnostic, and/or medical sanitization applications, such     as to prevent, limit, and/or treat the development of diseases caused in     humans by infectious agents.</t>
  </si>
  <si>
    <t>US11101783</t>
  </si>
  <si>
    <t>Structures, acoustic wave resonators, devices and systems to sense a     target variable, including as a non-limiting example corona viruses</t>
  </si>
  <si>
    <t>Dariusz Burak, Kevin J. Grannen, Jack Lenell</t>
  </si>
  <si>
    <t>H03H 9/205 (20130101); H03H 9/02259 (20130101); H03H 9/131 (20130101); H03H 9/0211 (20130101); H03H 9/02157 (20130101); H03H 9/02015 (20130101); H03H 9/0207 (20130101); H03H 9/02102 (20130101); H03H 2009/02165 (20130101)</t>
  </si>
  <si>
    <t>US11098522</t>
  </si>
  <si>
    <t>Solid transparent health gate</t>
  </si>
  <si>
    <t>17/015229</t>
  </si>
  <si>
    <t>Fugate, Brett; Arnold, Edward Christian</t>
  </si>
  <si>
    <t>FUGATE BRETT</t>
  </si>
  <si>
    <t>Brett Fugate, Edward Christian Arnold</t>
  </si>
  <si>
    <t>E06B 7/28 (20130101); E06B 5/10 (20130101)</t>
  </si>
  <si>
    <t>We disclose methods of blocking the transmission of COVID-19 and other     airborne pathogens between people standing on either side of a door     separating an interior space from an exterior space. In a preferred     embodiment, the method comprises hingedly mounting a rigid transparent     gate directly to the door so that the gate swings independently of the     door. Preferably, the gate is dimensioned to substantially fill the width     defined by the frame holding the door. The method further comprises     releasing the gate from a storage position against the door, coupling the     gate to the door frame and opening the door.</t>
  </si>
  <si>
    <t>US11096434</t>
  </si>
  <si>
    <t>Fast deployment fogless face mask</t>
  </si>
  <si>
    <t>17/247260</t>
  </si>
  <si>
    <t>ALTSHULER ALEXANDER</t>
  </si>
  <si>
    <t>Alexander Altshuler</t>
  </si>
  <si>
    <t>A41D 13/1138 (20130101); A41D 13/1161 (20130101); A41D 2300/32 (20130101)</t>
  </si>
  <si>
    <t>Disclosed is a face mask for filtering inhaled and exhaled air without     fogging glasses of the mask wearer by providing superior seal along its     upper edge. The mask of the invention also features quick switching     between two stable positions on the wearer's face, deployed and stand-by     and may be manipulated without touching the filter media. A large     breathing chamber of the disclosed mask provides for comfortable wearing     without undue touching of the wearer's facial features and for easy     breathing by maximizing active filtering area of the filter media. In one     preferred embodiment the mask may be constructed as a disposable filter     media removably attached to the external frame. In another preferred     embodiment a single use disposable mask with a built in wireframe is     disclosed.</t>
  </si>
  <si>
    <t>US11094420</t>
  </si>
  <si>
    <t>System and method of maintaining social distancing guidelines with nearby     persons</t>
  </si>
  <si>
    <t>17/033507</t>
  </si>
  <si>
    <t>Nadikattu, Rahul Reddy; Mohammad, Sikender Mohsienuddin</t>
  </si>
  <si>
    <t>NADIKATTU RAHUL</t>
  </si>
  <si>
    <t>Rahul Reddy Nadikattu, Sikender Mohsienuddin Mohammad</t>
  </si>
  <si>
    <t>G06N 7/005 (20130101); A61B 5/01 (20130101); G16H 50/20 (20180101); G06F 1/163 (20130101); G06N 20/00 (20190101); G08B 13/191 (20130101); G16H 50/30 (20180101)</t>
  </si>
  <si>
    <t>A system and method of maintaining social distancing guidelines with     nearby persons allows a user to receive a notification when other people     enter within a perimeter around them. A wearable device, especially a     belt, equipped with infrared (IR) sensors detects heat signatures of     nearby objects. The wearable device subsequently relays this information     to the user's mobile electronic device, immediately notifying the user of     persons within the predefined radius. The wearable device further     differentiates between different distinctly human heat signatures, using     artificial intelligence to determine whether a nearby person has the     elevated internal temperature that could be attributed to COVID-19, or if     the person within the preset radius is asymptomatic. In this way, users     may be alerted to dangers approaching from all sides. Users are     participants in the global effort to reduce human exposure and help in     reducing the distribution of cases to manageable levels.</t>
  </si>
  <si>
    <t>US11091518</t>
  </si>
  <si>
    <t>Filovirus consensus antigens, nucleic acid constructs and vaccines made     therefrom, and methods of using same</t>
  </si>
  <si>
    <t>David B. Weiner, Ami Patel, Jian Yan</t>
  </si>
  <si>
    <t>C07K 14/5434 (20130101); C07K 14/54 (20130101); C07K 14/5443 (20130101); A61K 9/0009 (20130101); C07K 14/005 (20130101); A61K 39/39 (20130101); A61P 31/12 (20180101); A61K 39/12 (20130101); A61K 2039/545 (20130101); C12N 2760/14134 (20130101); C12N 2760/14122 (20130101); A61K 2039/70 (20130101); A61K 2039/53 (20130101); A61K 2039/54 (20130101); A61K 2039/58 (20130101); C07K 2319/02 (20130101); A61K 38/00 (20130101); A61K 2039/55538 (20130101); A61K 2039/55527 (20130101)</t>
  </si>
  <si>
    <t>US11090315</t>
  </si>
  <si>
    <t>Prevention and treatment of flu-type viral infections and related     complications</t>
  </si>
  <si>
    <t>16/994632</t>
  </si>
  <si>
    <t>Mihan Jafari Javid, Amir Dadgari</t>
  </si>
  <si>
    <t>A61K 31/375 (20130101); A61K 31/138 (20130101); A61K 31/4402 (20130101); A61K 9/0019 (20130101); A61K 45/06 (20130101); A61K 39/395 (20130101); A61K 36/28 (20130101); A61K 9/0073 (20130101); A61K 31/197 (20130101); A61K 31/167 (20130101); A61K 31/192 (20130101); A61K 35/18 (20130101); A61K 31/585 (20130101); A61K 9/0095 (20130101)</t>
  </si>
  <si>
    <t>US11087888</t>
  </si>
  <si>
    <t>Monitoring direct and indirect transmission of infections in a healthcare     facility using a real-time locating system</t>
  </si>
  <si>
    <t>Supriyo Chatterjea, Evert Jan Van Loenen, Anindita Chatterjea</t>
  </si>
  <si>
    <t>G06K 7/12 (20130101); G16H 50/80 (20180101); G06K 7/10366 (20130101); G06K 19/0723 (20130101)</t>
  </si>
  <si>
    <t>US11087887</t>
  </si>
  <si>
    <t>Biosurveillance notifications</t>
  </si>
  <si>
    <t>US11087886</t>
  </si>
  <si>
    <t>Computing system for notifying persons of exposure to an infectious     disease in a healthcare facility</t>
  </si>
  <si>
    <t>16/192843</t>
  </si>
  <si>
    <t>ALLSCRIPTS SOFTWARE, LLC</t>
  </si>
  <si>
    <t>ALLSCRIPTS SOFTWARE</t>
  </si>
  <si>
    <t>Joshua Brown, Dave Windell</t>
  </si>
  <si>
    <t>G16H 50/80 (20180101); G16H 10/60 (20180101)</t>
  </si>
  <si>
    <t>An electronic health records application (EHR) receives an indication     that a patient in a healthcare facility has been diagnosed with an     infectious disease at a datetime. The EHR determines first locations in     the healthcare facility in which the patient has been present. The EHR     identifies portions of a heating, ventilation, and air conditioning     system (HVAC) system of the healthcare facility based upon the first     locations. The portions of the HVAC system connect the first locations to     second locations in the healthcare facility. The EHR identifies a person     that has been present in at least one of the first locations or the     second locations. The EHR then causes a notification to be transmitted to     a computing device operated by the person notifying the person of     potential exposure to the infectious disease.</t>
  </si>
  <si>
    <t>US11087883</t>
  </si>
  <si>
    <t>Systems and methods for transfer-to-transfer learning-based training of a     machine learning model for detecting medical conditions</t>
  </si>
  <si>
    <t>17/218997</t>
  </si>
  <si>
    <t>Barath Narayanan, Russell Hardie, Vignesh Krishnaraja, Srikanth Kodeboyina</t>
  </si>
  <si>
    <t>G06T 7/0012 (20130101); G06N 3/08 (20130101); G06K 9/627 (20130101); G16H 50/20 (20180101); G16H 50/70 (20180101); G06T 7/11 (20170101); G06K 9/6256 (20130101); G16H 30/20 (20180101); G06N 20/00 (20190101); G06T 2207/30061 (20130101)</t>
  </si>
  <si>
    <t>US11083807</t>
  </si>
  <si>
    <t>Miniaturized device to sterilize from covid-19 and other viruses</t>
  </si>
  <si>
    <t>Solyman Ashrafi</t>
  </si>
  <si>
    <t>A61L 2/025 (20130101); A61L 2/12 (20130101); A61L 2202/16 (20130101); A61L 2202/14 (20130101); A61L 2202/17 (20130101); A61L 2202/20 (20130101)</t>
  </si>
  <si>
    <t>US11083405</t>
  </si>
  <si>
    <t>Systems and methods for screening subjects based on pupillary response to     olfactory stimulation</t>
  </si>
  <si>
    <t>17/167728</t>
  </si>
  <si>
    <t>GREAT PLAY HOLDINGS LLC</t>
  </si>
  <si>
    <t>GREAT PLAY</t>
  </si>
  <si>
    <t>Clifton R. Lacy, Warren S. Gifford, David L. Turock</t>
  </si>
  <si>
    <t>A61B 5/4011 (20130101); A61B 5/746 (20130101); A61B 5/163 (20170801)</t>
  </si>
  <si>
    <t>A system and method for screening a subject for a pupillary response to     an olfactory stimulus as an indication for COVID-19. The method can     include providing the olfactory stimulus to the subject via a scent     dispenser, measuring a pupillary response of the subject to the olfactory     stimulus via a detector, and comparing the measured pupillary response to     a reference. The reference could include a default value or a     characterized pupillary response for the subject or a population of     individuals to the olfactory stimulus. The method can further include     determining whether the subject demonstrates a diminished or an absent     response to the olfactory stimulus according to whether the measured     pupillary response differs from the reference by a threshold and     providing an alert accordingly. The alert can include an intervention     associated with COVID-19, such a recommendation to seek medical     evaluation or take a COVID-19 diagnostic test.</t>
  </si>
  <si>
    <t>US11083231</t>
  </si>
  <si>
    <t>Sanitizing face mask</t>
  </si>
  <si>
    <t>17/115253</t>
  </si>
  <si>
    <t>Randall J Lewis</t>
  </si>
  <si>
    <t>A41D 13/1107 (20130101); A41D 13/1192 (20130101); A41D 13/1176 (20130101); A42B 3/225 (20130101); A41D 13/1123 (20130101); A41D 13/1161 (20130101); A42B 3/22 (20130101); A41D 2500/30 (20130101); A41D 13/11 (20130101); A41D 31/125 (20190201)</t>
  </si>
  <si>
    <t>US11080981</t>
  </si>
  <si>
    <t>System and method for social distancing compliance</t>
  </si>
  <si>
    <t>17/117845</t>
  </si>
  <si>
    <t>Munkhjargal Gochoo, Fady Alnajjar, Waleed Khalil Ahmed, Muthanna Ahmed Aziz</t>
  </si>
  <si>
    <t>G08B 21/0492 (20130101); G06T 7/13 (20170101); G06K 7/10366 (20130101); G06T 7/60 (20130101); G06K 19/0723 (20130101); G06T 2207/10048 (20130101)</t>
  </si>
  <si>
    <t>The system and method for social distancing compliance generates an alarm     when at least two people are separated by a distance that is less than a     predetermined threshold value. Thermal imaging is used to detect at least     two people using at least one thermal image sensor. At least one distance     is calculated between the at least two people, and it is determined if     the at least one distance is less than a predetermined threshold value.     If the calculated at least one distance is less than the predetermined     threshold value, at least one of the at least two people is alerted that     a minimum safe distance is not being met.</t>
  </si>
  <si>
    <t>US11079376</t>
  </si>
  <si>
    <t>Optical analyte detector</t>
  </si>
  <si>
    <t>17/096747</t>
  </si>
  <si>
    <t>Adel Najar</t>
  </si>
  <si>
    <t>G01N 21/25 (20130101); G02B 6/12004 (20130101); G02B 6/12007 (20130101); G01N 33/56983 (20130101); G01N 33/54373 (20130101); G02B 2006/12038 (20130101); G01N 2201/08 (20130101); G02B 2006/12138 (20130101); G02B 2006/12121 (20130101); G01N 2201/06113 (20130101); G02B 2006/12123 (20130101); G02B 6/29338 (20130101)</t>
  </si>
  <si>
    <t>The optical analyte detector is a photonic detector that uses a measured     wavelength shift to determine the presence of an analyte. An open cell is     formed in an optical layer for receiving a sample to be analyzed. A     transition metal dichalcogenide monolayer defines a bottom wall of the     open cell, and the transition metal dichalcogenide monolayer is formed     directly above a microring resonator. A waveguide is positioned adjacent     to the open cell, and is spaced apart therefrom by a gap. The waveguide     is coupled to the microring resonator, and the transition metal     dichalcogenide monolayer is functionalized with an adsorbed layer for     detection of a specific analyte. Molecular binding takes place if a     sample of the analyte contacts the adsorbed layer, which induces a     wavelength shift in light transmitted through the waveguide. The presence     of this measured wavelength shift indicates positive detection of the     analyte.</t>
  </si>
  <si>
    <t>US11078242</t>
  </si>
  <si>
    <t>Peptides for Covid-19 prevention and treatment</t>
  </si>
  <si>
    <t>17/065514</t>
  </si>
  <si>
    <t>Avik Roy, Carl Gunnar Gottschalk</t>
  </si>
  <si>
    <t>C07K 14/005 (20130101); C12N 2770/20033 (20130101); C12N 2770/20022 (20130101); A61K 38/00 (20130101)</t>
  </si>
  <si>
    <t>US11077436</t>
  </si>
  <si>
    <t>Mailable inspector collector</t>
  </si>
  <si>
    <t>17/037331</t>
  </si>
  <si>
    <t>DEPILLIS GRETCHEN JOLIE</t>
  </si>
  <si>
    <t>Gretchen Jolie dePillis</t>
  </si>
  <si>
    <t>B01L 3/50 (20130101); G06N 3/08 (20130101); A61B 10/00 (20130101); C12Q 1/701 (20130101); A61B 5/097 (20130101); B01L 2300/02 (20130101); B01L 2300/12 (20130101); B01L 2300/16 (20130101); A61B 2503/40 (20130101); B01L 2200/185 (20130101); B01L 2200/087 (20130101)</t>
  </si>
  <si>
    <t>The Mailable Inspector Collector is a (1) single-use device for (2)     user-friendly collection, inspection, and (3) rendering of test results     to confirm or deny the presence of a pathogen using (4) Nanotechnology     with an (5) portable isothermal assay methodology, which may (6) reveal     results, via color change and/or fluorescence (e.g. FAM channel     excitation 470 nm to 520 nm.), the presence of at least one specific     pathogen. The Mailable Inspector Collector invention can be (7)     administered, distributed and disposed of by leveraging a delivery     infrastructure, such as that offered by the United States Postal Service     (USPS), to address the following known issues: (8) Mass distribution to     the public; (9) Recycling of used elements; (10) Easy non-intrusive     manner whereby a Test Subject may contribute a sample; (11) Easy manner     to discern test results within minutes without complex laboratory     equipment; (12) Facilitate relevant data collection as well as contact     tracing.</t>
  </si>
  <si>
    <t>US11077314</t>
  </si>
  <si>
    <t>System and method for treating patients requiring mechanical ventilation</t>
  </si>
  <si>
    <t>17/141363</t>
  </si>
  <si>
    <t>MULTI RADIANCE MEDICAL</t>
  </si>
  <si>
    <t>Douglas Johnson, Max Kanarsky, Ernesto Leal-Junior</t>
  </si>
  <si>
    <t>A61N 5/0613 (20130101); A61N 2/002 (20130101); A61N 2005/0629 (20130101); A61N 2005/0663 (20130101); A61N 2005/0659 (20130101); A61N 5/067 (20210801); A61N 2005/0652 (20130101)</t>
  </si>
  <si>
    <t>Respiratory function can be preserved in patients requiring mechanical     ventilation (MV), such as patients with severe COVID-19, using a     photoceutical applied by a photoceutical medical device (including at     least one super pulsed laser to provide superpulsed light of a first     wavelength, at least two non-coherent light sources to provide light of a     second wavelength, and at least two other non-coherent light sources to     provide light of a third wavelength) to at least one inspiratory muscle.     The photoceutical includes a combination of superpulsed light of the     first wavelength, light of the second wavelength, and light of the third     wavelength. At least two sites on the body of the patient can be selected     and the photoceutical can be delivered: at one of the sites for a first     time period; and at another of the sites for a second time period.</t>
  </si>
  <si>
    <t>US11077052</t>
  </si>
  <si>
    <t>Selected multi-phase treatment for coronavirus respiratory infections</t>
  </si>
  <si>
    <t>17/016300</t>
  </si>
  <si>
    <t>REDDY, MALIREDDY S.</t>
  </si>
  <si>
    <t>REDDY MALIREDDY</t>
  </si>
  <si>
    <t>Malireddy S. Reddy</t>
  </si>
  <si>
    <t>A61K 9/127 (20130101); A61K 35/745 (20130101); A61P 31/14 (20180101); A61K 9/0043 (20130101); A61K 36/53 (20130101); A61K 36/064 (20130101); A61K 47/02 (20130101); A61K 35/742 (20130101); A61K 35/744 (20130101); A61K 36/9066 (20130101); A61K 35/747 (20130101); A61K 35/741 (20130101); A61K 36/61 (20130101); A61K 47/22 (20130101); A61K 47/42 (20130101); A61K 31/05 (20130101)</t>
  </si>
  <si>
    <t>A multi-phase treatment of a respiratory disease in which one treatment     is a lysing defense by applying inhibitory agents to respiratory     passages. Application may be by nasal irrigant, oral gargling mouthwash,     or smelling salt. Another treatment is an immune system suppressing     defense by providing a liposome-based countermeasure to excess activity     of the host immune system during COVID-19 infection. The liposome     increases bio-activity of probiotics, probiotics-produced therapeutic     peptides, bio-peptides, and antioxidant level in the blood with a     sustained massive dose of antioxidants to counteract excess oxidation     produced by excess activity of the host immune system, when administered     through oral route.</t>
  </si>
  <si>
    <t>US11077005</t>
  </si>
  <si>
    <t>Patient isolation system and method</t>
  </si>
  <si>
    <t>17/028417</t>
  </si>
  <si>
    <t>Konstantinos Economopoulos, Eric Richardson, W. Neal Simmons, Theresa Thompson, Benjamin Wesorick, Kanishka Patel, Maximilian Sondland, Dimitrios Bailas, Shikha Sharma, Paul Fearis</t>
  </si>
  <si>
    <t>A61B 50/20 (20160201); A61G 10/005 (20130101); A61B 42/10 (20160201); A61B 46/40 (20160201); A61G 10/023 (20130101); A61G 2203/34 (20130101)</t>
  </si>
  <si>
    <t>A portable, protective enclosure for coupling to a patient support     includes a collapsible frame, a canopy drape, a pair of gloves and     sleeves configured for receiving hands and arms of a user, and a zipper     disposed along one of the side surfaces of the drape, wherein the side     surface is not folded about itself when the zipper is in an open state. A     pair of filters are disposed on opposing sides of one of the side     surfaces of the canopy drape, the filters together providing high     efficiency particulate air filtration for at least 99.97% of airborne     particulate 0.3 microns in diameter. Gas-permeable media is provided for     air intake. A fan in communication with the first and second filters is     provided for creating negative pressure in the internal region of the     canopy drape, the fan configured to evacuate air from the internal     region. A negative pressure indicator also is included.</t>
  </si>
  <si>
    <t>US11076824</t>
  </si>
  <si>
    <t>Method and system for diagnosis of COVID-19 using artificial intelligence</t>
  </si>
  <si>
    <t>17/067181</t>
  </si>
  <si>
    <t>SHENZHEN KEYA MEDICAL TECHNOLOGY CORPORATION</t>
  </si>
  <si>
    <t>SHENZHEN KEYA MEDICAL</t>
  </si>
  <si>
    <t>Xin Wang, Youbing Yin, Bin Kong, Yi Lu, Junjie Bai, Zhenghan Fang, Qi Song</t>
  </si>
  <si>
    <t>A61B 5/7267 (20130101); G06N 3/04 (20130101); G06T 7/0012 (20130101); G16H 50/20 (20180101); A61B 5/7275 (20130101); G16H 10/60 (20180101); G16H 30/40 (20180101); G06N 3/08 (20130101); A61B 6/032 (20130101); A61B 6/50 (20130101); G06T 2207/20081 (20130101); G06T 2207/10076 (20130101); G06T 2207/20084 (20130101); G06T 2207/30061 (20130101); A61B 6/025 (20130101)</t>
  </si>
  <si>
    <t>Embodiments of the disclosure provide methods and systems for detecting     COVID-19 from a lung image of a patient. The exemplary system may include     a communication interface configured to receive the lung image acquired     of the patient's lung by an image acquisition device. The system may     further include at least one processor, configured to determine a region     of interest comprising the lung from the lung image and apply a COVID-19     detection network to the region of interest to determine a condition of     the lung. The COVID-19 detection network is a multi-class classification     learning network that labels the region of interest as one of COVID-19,     non-COVID-19 pneumonia, non-pneumonia abnormal, or normal. The at least     one processor is further configured to provide a diagnostic output based     on the determined condition of the lung.</t>
  </si>
  <si>
    <t>US11072649</t>
  </si>
  <si>
    <t>Ebola; Zika</t>
  </si>
  <si>
    <t>Systems and methods for the production of human polyclonal antibodies</t>
  </si>
  <si>
    <t>15/361279</t>
  </si>
  <si>
    <t>SAB, LLC</t>
  </si>
  <si>
    <t>SAB</t>
  </si>
  <si>
    <t>Jay Hooper, Eddie Sullivan, Hua Wu</t>
  </si>
  <si>
    <t>C07K 16/10 (20130101); C07K 16/1081 (20130101); A61K 39/12 (20130101); C12N 2770/24134 (20130101); C07K 2317/10 (20130101); C07K 2317/21 (20130101); C12N 2760/12134 (20130101); A61K 2039/545 (20130101); C12N 2760/14134 (20130101); A61K 2039/575 (20130101); A61K 2039/505 (20130101); C12N 2770/36134 (20130101); C07K 2317/76 (20130101); A61K 2039/54 (20130101); A61K 2039/53 (20130101)</t>
  </si>
  <si>
    <t>Disclosed herein is a method for producing human antibodies against a     pathogen comprising injecting a non-human animal with a pathogen-derived     DNA vaccine in at least two locations of the animal; injecting the animal     with an adjuvant in a location of the animal different from the location     of the DNA vaccine location; collecting plasma from the animal after the     injections; and purifying polyclonal antibody from the plasma.</t>
  </si>
  <si>
    <t>US11071975</t>
  </si>
  <si>
    <t>Polyiodide resin powder for use with medical devices</t>
  </si>
  <si>
    <t>Albert Rego, Lynn R. Detlor, Aileen Law</t>
  </si>
  <si>
    <t>B01J 41/07 (20170101); A61K 33/18 (20130101); A61K 9/16 (20130101); A61K 9/0073 (20130101); A61L 2/232 (20130101); A61L 2/0094 (20130101); A61L 9/014 (20130101); B01J 41/14 (20130101); A41D 13/1192 (20130101); A61M 16/14 (20130101); A61L 2209/14 (20130101); A61L 2101/48 (20200801); A61M 2205/0205 (20130101)</t>
  </si>
  <si>
    <t>US11071671</t>
  </si>
  <si>
    <t>Aerosol containment enclosure</t>
  </si>
  <si>
    <t>17/098586</t>
  </si>
  <si>
    <t>AEROSOL CONTAINMENT CONTAINER, LLC</t>
  </si>
  <si>
    <t>AEROSOL CONTAINMENT CONTAINER</t>
  </si>
  <si>
    <t>Richard Theriault, Sean William Barrett</t>
  </si>
  <si>
    <t>A61G 10/005 (20130101)</t>
  </si>
  <si>
    <t>An aerosol containment enclosure is used to isolate an air mass     immediately surrounding a patient known or suspected to have a disease     which may be transmitted through the air. The enclosure cooperates with a     patient support apparatus. In embodiments, a flexible rod supports a     substantially aerosol impermeable covering and is connected to the     patient support apparatus. The enclosure is collapsible to a     predetermined collapsed shape and expandable to a predetermined erect     shape. In embodiments, a portal in the covering provides access for care     personnel or equipment. The aerosol containment enclosure is lightweight,     compact, and partially or fully disposable. The enclosure may be rapidly     erected around a patient in an ambulance or other treatment setting.</t>
  </si>
  <si>
    <t>US11071337</t>
  </si>
  <si>
    <t>Personal protection device against viruses and article of apparel and     device and method for making a vaccine</t>
  </si>
  <si>
    <t>16/932065</t>
  </si>
  <si>
    <t>Mahmoud F. Y. Al Ahmad, Tahir A. Rizvi, Farah Mustafa</t>
  </si>
  <si>
    <t>A41D 1/005 (20130101); A41D 13/11 (20130101); A41D 13/1192 (20130101); H02J 7/0063 (20130101); A41D 31/30 (20190201)</t>
  </si>
  <si>
    <t>A virus protection device 16 for protecting a user from a virus 14     includes a first flexible electrode 22 and a second flexible electrode 24     both formed of graphene and connected to a battery. The electrodes 22,24     are configured in a fractal arrangement and define a fractal-like     structure 25 comprises a main branch 27 of electrodes 22, 24 and a     plurality of side branches 28, secondary branches 30, tertiary branches     32, and subsequent branches 34 extending outwardly from the branch 27.     The branches 27,28 30, 32 and 34 together form multiple nodes of flexible     opposed positive electrodes 36.1 and negative electrodes 36.2 which are     spaced an equal distance apart from one another, to define predetermined     spaces there between, through which electrical current is capable of     flowing between the electrodes 36.1, 36.2 for incapacitating viruses     contacting the device 16 or passing through the spaces between the     electrodes 36.1 and 36.2.</t>
  </si>
  <si>
    <t>US11069070</t>
  </si>
  <si>
    <t>Self-cleaning autonomous store</t>
  </si>
  <si>
    <t>16/994538</t>
  </si>
  <si>
    <t>ACCEL ROBOTICS CORPORATION</t>
  </si>
  <si>
    <t>ACCEL ROBOTICS</t>
  </si>
  <si>
    <t>Marius Buibas, Michael Brandon Maseda, Martin Alan Cseh, Samir Singh, Matthew Walker</t>
  </si>
  <si>
    <t>G06T 7/248 (20170101); G06T 7/292 (20170101); G06K 9/00201 (20130101); G06K 9/00771 (20130101); G06K 9/00369 (20130101); G06K 9/00691 (20130101)</t>
  </si>
  <si>
    <t>An autonomous store that tracks shopper movements and actions, and     performs store cleaning actions based on analysis of shopper activity.     Cleaning actions may include disinfecting the store or regions within the     store using radiation, fogging or spraying, or ventilation. Cleaning     actions may be targeted; for example, zones where shoppers linger or     congregate may be cleaned more frequently or intensively, or shelves or     items that shoppers touch may be cleaned after these interactions.     Shopper activity information may be used to limit the number of shoppers     in a store at once, for example by denying entry when the store is at     capacity. The density of shoppers in regions of the store may be     communicated to shoppers so that they can limit their interactions with     other shoppers. Shopper activity history may be used for contact tracing     by identifying other shoppers that may have been exposed to an individual     who was in the store.</t>
  </si>
  <si>
    <t>US11066712</t>
  </si>
  <si>
    <t>Rapid viral assay</t>
  </si>
  <si>
    <t>17/100842</t>
  </si>
  <si>
    <t>Bret T. Barnhizer, Jonathan P. Faro</t>
  </si>
  <si>
    <t>C12Q 1/6804 (20130101); C12Q 1/701 (20130101); C12Q 2600/112 (20130101)</t>
  </si>
  <si>
    <t>The present invention provides a method for rapid, highly specific and     sensitive detection and quantification of a virus by observing viral     substrate binding to its host receptor protein. The invention also     provides a method for rapid, highly specific and sensitive detection and     quantification of a virus in an individual suspected of being infected     with a virus. The invention further provides a test kit for rapid, highly     specific and sensitive point-of-care detection of a virus in an     individual. The viruses and their host receptor proteins that can rapidly     be detected include SARS-CoV-2 and its host receptor protein ACE2. The     surprisingly rapid, specific and sensitive method and kit of the     invention provide a point-of care test capable of diagnosing individuals     suffering from COVID-19 by observation of a color change in the assay,     which color change occurs in about five minutes, and which test can be     completed by a user in about 60 minutes.</t>
  </si>
  <si>
    <t>US11066697</t>
  </si>
  <si>
    <t>Colorimetric and multiplexed isothermal RNA-based assay for SARS-CoV-2 and     other viral diagnostics and cell analysis</t>
  </si>
  <si>
    <t>16/911280</t>
  </si>
  <si>
    <t>Tania Konry, Ji Won Lim</t>
  </si>
  <si>
    <t>C12Q 1/6837 (20130101); C12Q 1/701 (20130101); C12Q 1/6818 (20130101); C12Q 2600/16 (20130101)</t>
  </si>
  <si>
    <t>Methods, devices, and kits for performing rapid, highly sensitive, high     throughput, accurate, and flexible detection and quantification of     nucleic acids based on highly optimized rolling circle amplification are     provided. The methods, devices, and kits can be used to detect and track     an emergent virus or other pathogen, including SARS-CoV-2, to test and     diagnose individual patients with respect to a specific pathogen or     disease, including COVID-19, and to detect and analyze cellular nucleic     acids. The methods and devices also can be used to detect fragments and     variants of DNA or RNA, including those present in cancer cells. The     methods, devices, and kits are suitable for use in both high throughput     screening carried out in centralized testing laboratories and in     point-of-care testing devices used in the field, at home, in the     workplace, or at public facilities for rapid detection and diagnosis.</t>
  </si>
  <si>
    <t>US11065480</t>
  </si>
  <si>
    <t>Andy Chen, Cindy Jingru Wang, Allen Bryan, Alisa Zhou, Owen Xu Li, Angel Zhou</t>
  </si>
  <si>
    <t>A62B 18/04 (20130101); A41D 13/02 (20130101); A41D 13/1153 (20130101); A62B 17/001 (20130101); A62B 17/006 (20130101); A62B 23/02 (20130101); A41D 31/30 (20190201); A62B 18/08 (20130101); A41D 2300/32 (20130101); A41D 2300/324 (20130101); A62B 17/04 (20130101); A41D 2300/322 (20130101)</t>
  </si>
  <si>
    <t>A personal protective device (PPE), which can include a face cover     assembly and a bodysuit configured to be worn by a human user. The device     protects users against airborne aerosol particles containing viruses or     other infectious agents while enabling improved flexibility relative to     prior art designs. The device includes a helmet-like" rotating face cover     assembly that fits over the user's head and attaches to a collar on the     biohazard bodysuit. This rotating face cover assembly has a plurality of     different mask sides, each with differing geometries or other properties.     The device enables a user to can rotate the cover and select a given mask     side that best meets that user's needs. The different mask sides can     accommodate different facial geometries, eyewear types, and use cases.</t>
  </si>
  <si>
    <t>US11065479</t>
  </si>
  <si>
    <t>Portable air powered respirator</t>
  </si>
  <si>
    <t>16/995887</t>
  </si>
  <si>
    <t>Rafalovich, Alexander P; Bulygin, Vladimir G; Golubev, Daniil V; Spiridonov, Vladislav K</t>
  </si>
  <si>
    <t>RAFALOVICH ALEXANDER</t>
  </si>
  <si>
    <t>Alexander P Rafalovich, Vladimir G Bulygin, Daniil V Golubev, Vladislav K Spiridonov</t>
  </si>
  <si>
    <t>A62B 7/10 (20130101); A62B 17/04 (20130101); A61L 9/16 (20130101); A61L 9/20 (20130101); A61L 2209/14 (20130101); A61L 2209/12 (20130101)</t>
  </si>
  <si>
    <t>Unlike the existing powered air-purifying respirators (PAPR) that are     bulky, heavy, and expensive the invention offers a light-weighted     inexpensive portable PAPR consisted of a single piece secured on user's     head. The respirator is for use in contaminated environment including one     with highly contagious viruses such as SARS-CoV-2 that causes COVID-19. A     clear visor of the respirator protects eyes, nose, and mouth. The rest of     the user's head protected with a soft airtight cover. A small fan or fans     pump air through the filters. Because the fan capacity exceeds airflow     required for breathing, air pressure under the cover is slightly higher     than ambient pressure. It protects the visor and user glasses from     fogging and prevents leaks through any looseness. A special port allows     use of equipment and devices as a stethoscope for medics or oxygen supply     for patients. Despite the respirator primarily targeted for medical     personnel and patients, its convenience, l lightness and affordability     allow usage by general population especially at the time of an epidemic     or a pandemic.</t>
  </si>
  <si>
    <t>US11065410</t>
  </si>
  <si>
    <t>Dental appliance using airway dialation for treating covid related     breathing disorders</t>
  </si>
  <si>
    <t>17/164661</t>
  </si>
  <si>
    <t>Leonard Feld</t>
  </si>
  <si>
    <t>A61M 16/0672 (20140204); A61M 16/0493 (20140204); A61F 5/566 (20130101); A61C 9/0006 (20130101); A61M 2202/0208 (20130101)</t>
  </si>
  <si>
    <t>A molded breathing appliance for supporting a nasal oxygen tube having an     upper bite rim, a lower bite rim, a moldable material disposed within the     upper bite rim and lower bite rim for conforming to a patient's maxillary     bite impression and mandibular bite impression, respectively, an L-shaped     member extending outwardly perpendicular to the upper bite rim, and a     transverse support disposed on the L-shaped member and configured with a     plurality of sets of oxygen tube finger clamps to retain a nasal oxygen     tube in proximity with a patient's nostrils.</t>
  </si>
  <si>
    <t>US11065379</t>
  </si>
  <si>
    <t>Roger Vertrees, Jan Winetz</t>
  </si>
  <si>
    <t>A61M 1/369 (20130101); B01D 15/08 (20130101); A61M 1/1629 (20140204); A61M 1/3666 (20130101); B01J 20/10 (20130101); B01J 20/28052 (20130101); B01J 20/282 (20130101); B01J 20/20 (20130101); A61M 1/1696 (20130101); A61M 5/1413 (20130101); A61M 1/1656 (20130101); A61M 1/267 (20140204); A61M 1/3679 (20130101); A61M 2205/3334 (20130101); A61M 2230/50 (20130101); B01D 2215/00 (20130101); B01D 2311/2649 (20130101); B01D 2311/2626 (20130101); A61M 2230/20 (20130101); A61M 2205/3606 (20130101); A61M 2230/208 (20130101); A61M 2202/0423 (20130101)</t>
  </si>
  <si>
    <t>US11065325</t>
  </si>
  <si>
    <t>Vaccine composition for naive subjects</t>
  </si>
  <si>
    <t>Hans Arwidsson, Anna-Karin Maltais</t>
  </si>
  <si>
    <t>A61K 39/145 (20130101); C12N 7/00 (20130101); A61K 39/12 (20130101); A61K 39/39 (20130101); A61K 2039/543 (20130101); A61K 2039/55588 (20130101); C12N 2760/16134 (20130101); Y02A 50/30 (20180101); A61K 2039/55511 (20130101); A61K 2039/5252 (20130101); A61K 2039/58 (20130101)</t>
  </si>
  <si>
    <t>US11065298</t>
  </si>
  <si>
    <t>Compositions and methods for treating or preventing viral infections</t>
  </si>
  <si>
    <t>16/896092</t>
  </si>
  <si>
    <t>Zaveri, Chanda; Lim, Meng Teng</t>
  </si>
  <si>
    <t>ZAVERI CHANDA</t>
  </si>
  <si>
    <t>Chanda Zaveri, Meng Teng Lim</t>
  </si>
  <si>
    <t>A61K 35/10 (20130101); A61P 31/16 (20180101); A61K 38/10 (20130101); A61P 31/14 (20180101); A61K 9/0053 (20130101); A61P 31/22 (20180101)</t>
  </si>
  <si>
    <t>Compositions and methods disclosed herein may be used for treating or     preventing viral infections. The compositions may be administered orally     to subjects in need of preventative or therapeutic treatment and/or the     compositions may be used to disinfect surfaces in order to prevent or     limit the spread of disease through surface contact.</t>
  </si>
  <si>
    <t>US11065260</t>
  </si>
  <si>
    <t>Method of treatment for reducing pulmonary inflammation in a patient with     pathogen infection using oral prostacyclin analog drugs</t>
  </si>
  <si>
    <t>16/847449</t>
  </si>
  <si>
    <t>PHAIT, INC.</t>
  </si>
  <si>
    <t>PHAIT</t>
  </si>
  <si>
    <t>Alan C Nelson, Daniel J Sussman</t>
  </si>
  <si>
    <t>A61P 31/14 (20180101); A61K 31/191 (20130101); A61K 31/5578 (20130101)</t>
  </si>
  <si>
    <t>A method of reducing mortality in a human patient with pulmonary     inflammation due to coronavirus or other pathogen, the method including     administering an oral dose of a prostacyclin analog drug to the patient     within a therapeutic window. The prostacyclin analog drug includes oral     iloprost or iloprost betadex clathrate.</t>
  </si>
  <si>
    <t>US11064953</t>
  </si>
  <si>
    <t>Fever-causing disease outbreak detection system</t>
  </si>
  <si>
    <t>17/014288</t>
  </si>
  <si>
    <t>Faisal Al Anezi, Faramarz Djavanroodi, Nassim Khaled</t>
  </si>
  <si>
    <t>G16H 50/80 (20180101); A61B 5/0008 (20130101); A61B 5/7282 (20130101); G01K 13/223 (20210101); G16H 50/20 (20180101)</t>
  </si>
  <si>
    <t>US11064843</t>
  </si>
  <si>
    <t>Protective mobile hand wash station</t>
  </si>
  <si>
    <t>17/217372</t>
  </si>
  <si>
    <t>PERSONAL PROTECTED, LLC</t>
  </si>
  <si>
    <t>PERSONAL PROTECTED</t>
  </si>
  <si>
    <t>Jeffrey Mark Swartz</t>
  </si>
  <si>
    <t>A47K 1/02 (20130101); A47K 5/12 (20130101); A47K 10/00 (20130101)</t>
  </si>
  <si>
    <t>A hand wash station may include at least three wash areas including sinks     so users can wash their hands. Each wash area may be supported to a     non-coplanar side of the hand wash station. At least one divider wall may     separate the wash areas from each other to protect the users from the     spread of germs. The hand wash station may be mobile in that it is     designed to be easily movable from one location to another.</t>
  </si>
  <si>
    <t>US11064745</t>
  </si>
  <si>
    <t>Face mask with separate inhaling and exhaling portions</t>
  </si>
  <si>
    <t>17/096843</t>
  </si>
  <si>
    <t>Waleed Khalil Ahmed</t>
  </si>
  <si>
    <t>A41D 13/1123 (20130101); A41D 13/1161 (20130101); A41D 13/1176 (20130101); A41D 31/125 (20190201); A41D 13/11 (20130101); A42B 3/22 (20130101); A42B 3/225 (20130101)</t>
  </si>
  <si>
    <t>A face mask with separate inhaling and exhaling portions can include an     upper mask portion and a lower mask portion. A plurality of folds extend     across each of the upper and lower mask portions. The lower mask portion     can be larger than the upper mask portion. A lower edge of the upper mask     portion can be secured to an upper edge of the lower portion. In use, the     upper mask portion can cover the nose and the lower mask portion can     cover the mouth. A user can inhale through the upper portion and exhale     through the lower portion. In this manner, CO.sub.2 exhaled by the user     will not mix with air that is inhaled.</t>
  </si>
  <si>
    <t>US11064744</t>
  </si>
  <si>
    <t>17/009475</t>
  </si>
  <si>
    <t>Palacios, Caroline Kim; Kim, Sukhui</t>
  </si>
  <si>
    <t>PALACIOS CAROLINE</t>
  </si>
  <si>
    <t>Caroline Kim Palacios, Sukhui Kim</t>
  </si>
  <si>
    <t>A41D 13/1161 (20130101); A41D 13/1107 (20130101); A41D 31/125 (20190201); A41D 13/1176 (20130101); A41D 13/1123 (20130101); A41D 13/1192 (20130101); A42B 3/224 (20130101); A41D 2500/30 (20130101); A41D 13/11 (20130101); A42B 3/22 (20130101)</t>
  </si>
  <si>
    <t>This application is for an improved face mask that allows users to easily     transition between a full-protection mode and a partial-protection mode.     In full-protection mode, the improved face mask covers a user's mouth     area and nose area. In partial-protection mode, a mask hatch removably     attached to the mask frame is detached and exposes the user's face     covered by the mask frame. A method of manufacturing the improved face     mask is also described.</t>
  </si>
  <si>
    <t>US11060995</t>
  </si>
  <si>
    <t>Rapid viral diagnostic sensor</t>
  </si>
  <si>
    <t>16/933686</t>
  </si>
  <si>
    <t>Gerardine G. Botte, Ashwin Ramanujam</t>
  </si>
  <si>
    <t>A61B 5/14546 (20130101); C12N 7/00 (20130101); G01N 27/3275 (20130101); A61B 5/14532 (20130101); G01N 27/3271 (20130101); G01N 2333/01 (20130101)</t>
  </si>
  <si>
    <t>The present invention provides for a device and method for the rapid     detection (within seconds) of viruses and virions (proteins and nucleic     acids) found in novel coronavirus (SARS-CoV-2), Human Immunodeficiency     Virus (HIV), and other pandemic viruses. The device can be used at front     line, hospitals, clinical laboratories, airports, groceries, homes, and     the like. The device can be used as a single probe for single use or home     use, or the device integrated into a carrousel or multiple probe magazine     for fast detection of multiple samples simultaneously. This carrousel     would facilitate multiple testing at times of pandemics when a large     number of samples have to be tested in short periods of time.</t>
  </si>
  <si>
    <t>US11058779</t>
  </si>
  <si>
    <t>Sirna/nanoparticle formulations for treatment of middle-east respiratory     syndrome coronaviral infection</t>
  </si>
  <si>
    <t>Patrick Y. Lu, Vera Simonenko, Yibin Cai, John Xu, David Evans</t>
  </si>
  <si>
    <t>A61K 9/127 (20130101); A61K 9/5153 (20130101); A61K 48/0066 (20130101); A61P 31/14 (20180101); C12N 15/1131 (20130101); A61K 47/28 (20130101); A61K 48/0008 (20130101); A61K 47/543 (20170801); C12N 2320/32 (20130101); B82Y 5/00 (20130101); C12N 2320/31 (20130101); C12N 2310/14 (20130101); C12N 15/88 (20130101)</t>
  </si>
  <si>
    <t>US11058764</t>
  </si>
  <si>
    <t>HCoV vaccine for improving immunity against SARS-CoV-2 infection</t>
  </si>
  <si>
    <t>17/092164</t>
  </si>
  <si>
    <t>Timothy S. Moore, Cullen Thomas Moore</t>
  </si>
  <si>
    <t>A61K 33/34 (20130101); A61K 39/215 (20130101); C12N 15/86 (20130101); A61P 31/14 (20180101); A61K 2039/5158 (20130101)</t>
  </si>
  <si>
    <t>US11058647</t>
  </si>
  <si>
    <t>Systems, methods, and kits for diagnostics and treatment of viral     respiratory infection</t>
  </si>
  <si>
    <t>16/946875</t>
  </si>
  <si>
    <t>Ofer A. Goren, John McCoy</t>
  </si>
  <si>
    <t>A61K 31/4164 (20130101); A61K 31/437 (20130101); A61K 31/05 (20130101); A61K 31/4439 (20130101); A61K 38/09 (20130101); C07K 16/2827 (20130101); A61K 31/57 (20130101); A61K 31/4709 (20130101); C12N 15/1136 (20130101); C07K 14/71 (20130101); A61K 31/4155 (20130101); A61K 31/337 (20130101); A61K 31/4166 (20130101); A61P 31/14 (20180101); A61K 31/167 (20130101); A61K 31/473 (20130101); A61K 31/277 (20130101); A61K 31/58 (20130101); A61K 33/18 (20130101); C12N 2310/11 (20130101)</t>
  </si>
  <si>
    <t>US11056242</t>
  </si>
  <si>
    <t>Predictive analysis and interventions to limit disease exposure</t>
  </si>
  <si>
    <t>16/985440</t>
  </si>
  <si>
    <t>Praduman Jain, Josh Schilling, Dave Klein</t>
  </si>
  <si>
    <t>G16H 50/80 (20180101); H04W 4/029 (20180201); G16H 50/70 (20180101)</t>
  </si>
  <si>
    <t>Methods, systems, and apparatus, including computer programs encoded on     computer-storage media, for predictive analysis and interventions to     limit disease exposure. In some implementations, user data indicating a     prospective action of a user of a mobile device is received. Content is     provided to cause the mobile device associated with the user to present a     prompt for user input regarding the prospective action of the user.     Potential future exposure of the user to a disease is evaluated based on     response data indicating a response to the prompt. A disease exposure     prevention option for the user is selected or customized for the user     based on at least one of the user data or the response data. Content is     provided to cause the mobile device associated with the user to present     the disease exposure prevention option.</t>
  </si>
  <si>
    <t>US11054429</t>
  </si>
  <si>
    <t>SARS-CoV-2 surrogate virus neutralization test based on antibody-mediated     blockage of ACE2-spike protein binding</t>
  </si>
  <si>
    <t>17/220043</t>
  </si>
  <si>
    <t>G01N 33/6854 (20130101); C12Y 304/17023 (20130101); C07K 14/165 (20130101); C07K 16/10 (20130101); C12N 2770/20021 (20130101); G01N 2333/165 (20130101); C12N 2770/20022 (20130101); G01N 2800/12 (20130101)</t>
  </si>
  <si>
    <t>US11053556</t>
  </si>
  <si>
    <t>Pathogen detection using aptamer molecular photonic beacons using a mobile     device</t>
  </si>
  <si>
    <t>17/182130</t>
  </si>
  <si>
    <t>4233999 CANADA INC.</t>
  </si>
  <si>
    <t>4233999 CANADA</t>
  </si>
  <si>
    <t>Najeeb Ashraf Khalid, Naqeeb Khalid</t>
  </si>
  <si>
    <t>G16H 40/40 (20180101); G06K 7/1413 (20130101); G06T 7/0012 (20130101); G16H 40/67 (20180101); G16H 30/40 (20180101); G16H 50/30 (20180101); H04N 5/2256 (20130101); C12Q 1/701 (20130101); G06K 7/10861 (20130101); G06K 9/00624 (20130101); G16H 10/40 (20180101); G16H 10/60 (20180101); G16H 30/20 (20180101); G06K 2007/10504 (20130101)</t>
  </si>
  <si>
    <t>This disclosure pertains to a testing method for a target pathogen. The     method uses biosensors with particular fluorescence characteristics, such     that when the biosensor binds to a target pathogen, a fluorophore may     emit light if excited. The biosensor may be an aptamer-based biosensor     with a fluorophore reporter and a quencher. The excitation of the     fluorophore and the detection of fluorescence may be made through the use     of a flashlight source and a camera from a mobile device, such as a     smartphone.</t>
  </si>
  <si>
    <t>US11053304</t>
  </si>
  <si>
    <t>Anti-SARS-Cov-2 antibodies derived from 6nb6</t>
  </si>
  <si>
    <t>15/931648</t>
  </si>
  <si>
    <t>CENTIVAX, INC.</t>
  </si>
  <si>
    <t>CENTIVAX</t>
  </si>
  <si>
    <t>Jacob Glanville, Shahrad Daraeikia, I-Chieh Wang, Sindy Andrea Liao-Chan, Jean-Philippe Burckert, Sawsan Youssef</t>
  </si>
  <si>
    <t>A61P 31/14 (20180101); C07K 16/10 (20130101); G01N 33/56983 (20130101); C07K 2317/92 (20130101); C07K 2317/76 (20130101); C07K 2317/622 (20130101); A61K 2039/505 (20130101); G01N 2333/165 (20130101)</t>
  </si>
  <si>
    <t>This disclosure provides antibodies and antigen-binding fragments that     are derived from 6nb6 and that can be administered to an individual that     is infected or suspected of being infected with a virus. Antibodies and     antigen-binding fragments herein can be capable of treating or curing the     virus, and which may provide protection against the virus for up to     several weeks. Antibodies and antigen-binding fragments herein can be     used to diagnose a SARS CoV 2 infection.</t>
  </si>
  <si>
    <t>US11052169</t>
  </si>
  <si>
    <t>Systems, apparatus and methods for purifying air</t>
  </si>
  <si>
    <t>16/987011</t>
  </si>
  <si>
    <t>PERUMALA CORPORATION (BELIZE COMPANY)</t>
  </si>
  <si>
    <t>PERUMALA</t>
  </si>
  <si>
    <t>Madhavan Pisharodi</t>
  </si>
  <si>
    <t>A62B 7/02 (20130101); B01D 46/0049 (20130101); F24D 15/00 (20130101); B64F 5/30 (20170101); A62B 9/00 (20130101); F24F 3/16 (20130101); A61L 9/20 (20130101); A62B 23/00 (20130101); A62B 11/00 (20130101); B01D 46/0028 (20130101); B64D 13/08 (20130101); B01D 46/10 (20130101); F24F 8/22 (20210101); A61L 2209/14 (20130101); A61L 2209/12 (20130101); B64D 2013/0651 (20130101); B01D 2273/30 (20130101); A61L 2209/16 (20130101); B01D 2279/65 (20130101); B64D 2013/0688 (20130101); B01D 2279/50 (20130101); B01D 2273/26 (20130101)</t>
  </si>
  <si>
    <t>Systems, apparatus and methods for disinfection of airflow. An apparatus     for disinfecting air-conditioned airflow in a confined space includes: a     modular housing; and a disinfection chamber enclosed within the housing.     The disinfection chamber includes a plurality of disinfection sheets.     Each disinfection sheet comprises a plurality of ultraviolet (UV) light     sources. The airflow is configured to be routed along a serpentine     pathway within the housing to expose microorganisms in the airflow to far     UV-C light emitted by the UV light sources for an extended and optimal     duration.</t>
  </si>
  <si>
    <t>US11052166</t>
  </si>
  <si>
    <t>Frequency selective viral inactivation through bond breaking</t>
  </si>
  <si>
    <t>16/927917</t>
  </si>
  <si>
    <t>James Arthur Graham, Jr., Ghobad Heidari-Bateni, Stanton C Braden, Craig Martin Gregersen</t>
  </si>
  <si>
    <t>A61L 2/10 (20130101); A61L 2/26 (20130101); A61L 2/24 (20130101); A61L 2/085 (20130101); A61L 2202/16 (20130101); A61L 2202/14 (20130101)</t>
  </si>
  <si>
    <t>US11052146</t>
  </si>
  <si>
    <t>C07K 14/005 (20130101); C12N 7/00 (20130101); A61K 39/155 (20130101); A61K 39/39 (20130101); A61K 39/12 (20130101); A61K 9/0019 (20130101); A61K 9/1075 (20130101); C12N 2760/18522 (20130101); A61K 39/00 (20130101); A61K 2039/55 (20130101); C12N 2760/18571 (20130101); C12N 2760/18534 (20130101); A61K 2039/5258 (20130101); C07K 2319/00 (20130101); A61K 2039/57 (20130101); A61K 2039/55505 (20130101); A61K 2039/545 (20130101); A61K 2039/575 (20130101); C12N 2760/18562 (20130101); A61K 2039/54 (20130101); C12N 2760/18523 (20130101)</t>
  </si>
  <si>
    <t>US11052073</t>
  </si>
  <si>
    <t>Sphingosine kinase 2 inhibitor for treating coronavirus infection</t>
  </si>
  <si>
    <t>17/195279</t>
  </si>
  <si>
    <t>Dror Ben-Asher, Reza Fathi</t>
  </si>
  <si>
    <t>A61M 31/00 (20130101); A61P 31/14 (20180101); A61K 9/48 (20130101); A61K 31/4409 (20130101); A61K 9/0053 (20130101)</t>
  </si>
  <si>
    <t>US11047824</t>
  </si>
  <si>
    <t>Electrochemical approach for COVID-19 detection</t>
  </si>
  <si>
    <t>Mohammad Abdolahad, Zohreh Sadat Miripour, Hassan Sanati koloukhi, Fatemeh Zahra Shojaeian Zanjani, Hadi Ghafari, Naser Namdar Habashi</t>
  </si>
  <si>
    <t>G01N 27/3275 (20130101); G01N 33/48771 (20130101); G01N 2800/26 (20130101)</t>
  </si>
  <si>
    <t>US11047007</t>
  </si>
  <si>
    <t>Polynucleotides for amplification and detection of SARS-CoV-2</t>
  </si>
  <si>
    <t>16/912446</t>
  </si>
  <si>
    <t>Nadya Andini, Kathy Chiu, Xuewen Jiang, Hedia Maamar</t>
  </si>
  <si>
    <t>C12Q 1/6876 (20130101); C12Q 1/6844 (20130101); C12Q 1/6813 (20130101); C12Q 2521/101 (20130101); C12Q 2531/119 (20130101); C12Q 2521/107 (20130101)</t>
  </si>
  <si>
    <t>US11045546</t>
  </si>
  <si>
    <t>Methods of treating coronavirus infection</t>
  </si>
  <si>
    <t>16/902212</t>
  </si>
  <si>
    <t>Scott Kelly, Nader Pourhassan, Bruce K. Patterson, Jacob B. Lalezari</t>
  </si>
  <si>
    <t>A61K 31/685 (20130101); A61K 31/215 (20130101); A61K 45/06 (20130101); A61K 39/3955 (20130101); A61K 31/351 (20130101); A61P 31/14 (20180101); A61K 31/196 (20130101); A61K 2039/545 (20130101); A61K 2039/505 (20130101); C07K 2317/565 (20130101); A61K 2039/54 (20130101)</t>
  </si>
  <si>
    <t>Provided herein are methods of preventing and treating viral infections     (e.g., coronavirus infection) using a CCR5 binding agent.</t>
  </si>
  <si>
    <t>US11045453</t>
  </si>
  <si>
    <t>Serine protease inhibitor for treating coronavirus infection</t>
  </si>
  <si>
    <t>17/195333</t>
  </si>
  <si>
    <t>A61K 31/435 (20130101); A61K 9/0053 (20130101); A61K 9/48 (20130101); A61P 31/14 (20180101)</t>
  </si>
  <si>
    <t>US11045434</t>
  </si>
  <si>
    <t>Niclosamide formulations for treating disease</t>
  </si>
  <si>
    <t>17/097898</t>
  </si>
  <si>
    <t>UNION THERAPEUTICS</t>
  </si>
  <si>
    <t>Morten Otto Alexander Sommer, Rasmus Toft-Kehler, Anne Katrine Toft-Kehler, Gunter Ditzinger, Mads Jellingsoe, Philippe Andres, Matthias Manne Knopp</t>
  </si>
  <si>
    <t>A61K 47/32 (20130101); A61K 47/40 (20130101); A61K 9/0073 (20130101); A61K 9/0043 (20130101); A61K 31/167 (20130101); A61K 9/12 (20130101); A61K 9/08 (20130101)</t>
  </si>
  <si>
    <t>The invention relates to a method of treating a viral infection caused by     or associated with SARS-CoV-2 in a subject, the method comprising     administering to the subject by inhalation intraorally and/or     intranasally a therapeutically effective amount of a formulation     comprising niclosamide, or a pharmaceutically acceptable salt thereof,     and a cyclodextrin.</t>
  </si>
  <si>
    <t>US11044958</t>
  </si>
  <si>
    <t>Face covering with interchangeable magnetic filter</t>
  </si>
  <si>
    <t>17/197190</t>
  </si>
  <si>
    <t>Mason, Alexis Victoria; Mason, Dennis Gregory</t>
  </si>
  <si>
    <t>MASON ALEXIS</t>
  </si>
  <si>
    <t>Alexis Victoria Mason, Dennis Gregory Mason</t>
  </si>
  <si>
    <t>A41D 13/1161 (20130101)</t>
  </si>
  <si>
    <t>A face covering having a support structure with a first magnet and a     second magnet. The support structure has a fastener mechanism configured     to orient the support structure in an open orientation during     installation and a closed orientation during use. The support structure     has a first protrusion having a first magnetic portion. The support     structure has a second protrusion having a second magnetic portion. The     support structure has a third protrusion having a third magnetic portion.     The fastener mechanism of the support structure is formed from the     magnetic connection between the first magnetic portion of the first     protrusion, the second magnetic portion of the second protrusion, and the     third magnetic portion of the third protrusion. A barrier member has a     first filter layer connected to a layer of material. A magnetic snap     rivet has a rivet portion removably connected to a post stud. The post     stud retains a magnet.</t>
  </si>
  <si>
    <t>US11041170</t>
  </si>
  <si>
    <t>Multivalent vaccines for rabies virus and coronaviruses</t>
  </si>
  <si>
    <t>Reed F. Johnson, Matthias Schnell, Lisa E. Hensley, Christoph Wirblich, Christopher M. Coleman, Matthew B. Frieman</t>
  </si>
  <si>
    <t>A61K 39/12 (20130101); C12N 15/86 (20130101); A61K 39/205 (20130101); B25H 3/003 (20130101); A61K 39/215 (20130101); A61K 2039/5256 (20130101); C12N 2770/20034 (20130101); C12N 2760/20143 (20130101); C12N 2770/20022 (20130101); C12N 2760/20134 (20130101); A61K 2039/5254 (20130101); C12N 2760/20034 (20130101); C12N 2760/20043 (20130101)</t>
  </si>
  <si>
    <t>US11040353</t>
  </si>
  <si>
    <t>Electrostatic air filter used to destroy pathogens and viruses with     infrared heat</t>
  </si>
  <si>
    <t>16/991503</t>
  </si>
  <si>
    <t>James T. Cash</t>
  </si>
  <si>
    <t>B03C 3/361 (20130101); B03C 3/155 (20130101); B03C 3/47 (20130101); B03C 3/88 (20130101); F24F 8/192 (20210101); F24F 8/10 (20210101)</t>
  </si>
  <si>
    <t>A novel device which can ensure safe and effective elimination of     collected pathogens and avoid secondary toxins. The device is suitable     for installation into various HVAC and air handling equipment to rid the     air of dangerous viral agents. The destruction of pathogens is guaranteed     by heating collecting surfaces sufficiently. Complete direct line of     sight of the lamp to the filter is not required as is with UV light.</t>
  </si>
  <si>
    <t>US11040340</t>
  </si>
  <si>
    <t>Collection system and device for reducing clinical false positives and     negatives in the detection of SARS-CoV-2</t>
  </si>
  <si>
    <t>17/173149</t>
  </si>
  <si>
    <t>G01N 30/7233 (20130101); C12Q 1/6848 (20130101); G01N 33/56983 (20130101); G01N 1/10 (20130101); B01L 1/52 (20190801); C12Q 1/70 (20130101); G01N 33/5306 (20130101); B01L 3/508 (20130101); B01D 15/18 (20130101); B01L 2200/18 (20130101); B01L 2300/0609 (20130101); B01L 2200/141 (20130101)</t>
  </si>
  <si>
    <t>In embodiments there is described a method for reducing false positives     and negatives in the detection of SARS-CoV-2 in suspected patients using     mass spectroscopy employing the steps of mixing samples of collected     saliva and nasopharyngeal secretions in a single sample container; adding     universal transport medium to the mixed samples in said single sample     container; transporting the single sample container at a temperature     above 0.degree. C. to a remote location; deactivation of viral content of     the mixed sample; protein digestion of the mixed sample; concomitant     separation of peptides, ionization by mass spectroscopy of the separated     peptides, and comparison of peptide patterns to known SARS-CoV-2     peptides. Also set forth in an embodiment is a collection container for     collecting saliva and/or sputum, as well as a swab member, with universal     transport medium and/or virus inactivating agent housed in separate     compartment communicable with sample compartment through a one-way valve.</t>
  </si>
  <si>
    <t>US11040161</t>
  </si>
  <si>
    <t>Gastro-intestinal (G.I.) endoscopy mask and methods of making and using     same</t>
  </si>
  <si>
    <t>17/105937</t>
  </si>
  <si>
    <t>Bui, Phong Duy</t>
  </si>
  <si>
    <t>BUI PHONG</t>
  </si>
  <si>
    <t>Phong Duy Bui</t>
  </si>
  <si>
    <t>A61B 1/00137 (20130101); A61B 1/00135 (20130101); A61M 16/0622 (20140204); A61M 16/0688 (20140204); A61M 16/0493 (20140204); A61M 16/1005 (20140204); A61M 16/0463 (20130101); A61B 1/00142 (20130101); A61M 2016/103 (20130101); A61M 2016/1025 (20130101)</t>
  </si>
  <si>
    <t>The improved endoscopy mask is a single-use, lightweight, disposable,     easy-to-use endoscopy mask that is secured around the patient's head and     neck. It contains the spread of any respiratory pathogens during upper     G.I. endoscopy and extubation, thereby allowing the gastroenterologist to     insert and withdraw the gastroscope (upper G.I. endoscope) through an     opening in the mask. The mask can be utilized for airway intervention to     contain pathogens in the intensive care unit (ICU), emergency department     (ED), operating room (OR), and the G.I. endoscopy suite. It can also     potentially be utilized away from the hospital in ambulances, hospice     care, and nursing homes. The endoscopy mask confines potentially     dangerous airway secretions to a sealed area around the patient's nose     and mouth.</t>
  </si>
  <si>
    <t>US11035817</t>
  </si>
  <si>
    <t>Method and process to make and use cotton-tipped electrochemical     immunosensor for the detection of corona virus</t>
  </si>
  <si>
    <t>17/092460</t>
  </si>
  <si>
    <t>ALFAISAL UNIVERSITY</t>
  </si>
  <si>
    <t>Shimaa Eissa, Mohammed Zourob</t>
  </si>
  <si>
    <t>G01N 33/56983 (20130101); G01N 27/327 (20130101); G01N 33/5438 (20130101)</t>
  </si>
  <si>
    <t>A method and process to make and use cotton-tipped electrochemical     immunosensor for the detection of corona viruses is described. The     immunosensor were fabricated by immobilizing the virus antigens on carbon     nanofiber-modified screen printed electrodes which were functionalized by     diazonium electrografting and activated by EDC/NHS chemistry. The     detection of virus antigens were achieved via swabbing followed by     competitive assay using fixed amount of antibody in the solution.     Ferro/ferricyanide redox probe was used for the detection using square     wave voltammetric technique. The limits of detection for our     electrochemical biosensors were 0.8 and 0.09 pg/ml for SARS-CoV-2 and     MERS-CoV, respectively indicating very good sensitivity for the sensors.     Both biosensors did not show significant cross reactivity with other     virus antigens such as influenza A and HCoV, indicating the high     selectivity of the method.</t>
  </si>
  <si>
    <t>US11034762</t>
  </si>
  <si>
    <t>Anti-SARS-Cov-2 antibodies derived from CR3022</t>
  </si>
  <si>
    <t>15/931649</t>
  </si>
  <si>
    <t>Jacob Glanville, Shahrad Daraeikia, I-Chieh Wang, Sindy Andrea Liao Chan, Jean-Philippe Burckert, Sawsan Youssef</t>
  </si>
  <si>
    <t>C07K 16/10 (20130101); G01N 33/56983 (20130101); C07K 16/28 (20130101); C07K 2317/565 (20130101); A61K 2039/505 (20130101); C07K 2317/55 (20130101)</t>
  </si>
  <si>
    <t>This disclosure provides antibodies that are derived from CFR3022 and     that can be administered to an individual that is infected with a virus.     Antibodies herein can be capable of treating or curing the virus, and     which may provide protection against the virus for up to several weeks.     Antibodies herein can be used to diagnose a SARS CoV 2 infection.</t>
  </si>
  <si>
    <t>US11034655</t>
  </si>
  <si>
    <t>Compounds for inhibiting the activity of SARS-COV-2 spike glycoprotein</t>
  </si>
  <si>
    <t>16/988692</t>
  </si>
  <si>
    <t>Vidhani, Anupkumar Vinod; Vidhani, Dinesh Vinod</t>
  </si>
  <si>
    <t>VIDHANI ANUPKUMAR</t>
  </si>
  <si>
    <t>Anupkumar Vinod Vidhani, Dinesh Vinod Vidhani</t>
  </si>
  <si>
    <t>C07C 307/02 (20130101); C07D 309/28 (20130101); C07D 211/72 (20130101)</t>
  </si>
  <si>
    <t>The present invention relates to compounds of formula (I) and its     analogues (II) and (III): in which R.sub.1-R.sub.14, X, Y,     Z.sub.1-Z.sub.4 are in the Summary of the Invention; capable of     inhibiting the activity of RBD of SARS-COV-2 in its "closed" conformation     before it binds with the human ACE2 receptor. The invention further     provides a process for the preparation of compounds of the invention.     ##STR00001##</t>
  </si>
  <si>
    <t>US11033060</t>
  </si>
  <si>
    <t>Soft silicone edged cushion for face and oxygen masks with ultraviolet     light source</t>
  </si>
  <si>
    <t>17/154874</t>
  </si>
  <si>
    <t>ASLAN MEDICAL EQUIPMENT, LLC</t>
  </si>
  <si>
    <t>ASLAN MEDICAL EQUIPMENT</t>
  </si>
  <si>
    <t>Suat Yelken</t>
  </si>
  <si>
    <t>A61M 16/0605 (20140204); A41D 13/1146 (20130101); A62B 9/06 (20130101); C09D 127/18 (20130101); A62B 18/08 (20130101); A61L 9/20 (20130101); A61M 2202/0208 (20130101); A61L 2209/14 (20130101); A62B 18/084 (20130101); A61L 2209/12 (20130101); A61M 2205/8262 (20130101); A61M 2205/3584 (20130101)</t>
  </si>
  <si>
    <t>A soft medical silicone edged cushion may significantly reduce air     leakage and provide comfort to a wearer of a face mask, for example, when     the face mask is continually worn by a healthcare worker for a twelve     hour shift of medical duty. The cushion may preferably be U-shaped and     comprise a cross-section for holding an extra soft silicone gel or air,     yet be sufficiently hard and elastic and of predetermined circumference     to be adaptable to self-installation to the lateral edges of a face mask     and coatable to protect from the escape of air and fit comfortably on a     face despite the use of elastic straps with the face mask or the presence     of solid plastic lateral edges of an oxygen mask or a ventilator mask.     The cushion may be used to cushion a solid plastic laterally edged oxygen     or ventilator mask against the use of elastic ties to tie the face mask     around a patient's head. The face mask may comprise a UVC source of     ultraviolet light controlled by buttons/displays/battery/USB port on the     cushion or on a cartridge replacing a filter of an N95 mask.</t>
  </si>
  <si>
    <t>US11030708</t>
  </si>
  <si>
    <t>Method of and device for implementing contagious illness analysis and     tracking</t>
  </si>
  <si>
    <t>Christine E. Akutagawa, Lucas J. Myslinski</t>
  </si>
  <si>
    <t>G06Q 30/0207 (20130101); G06Q 50/12 (20130101); G06F 16/90324 (20190101); G06Q 30/0201 (20130101); G16H 40/63 (20180101); A61B 10/0064 (20130101); G06Q 10/1095 (20130101); H04L 51/14 (20130101); H04L 65/403 (20130101); H04L 51/32 (20130101); G06Q 50/01 (20130101); H04L 51/20 (20130101)</t>
  </si>
  <si>
    <t>US11028167</t>
  </si>
  <si>
    <t>Anti-SARS-Cov-2 antibodies derived from 3bgf</t>
  </si>
  <si>
    <t>15/931652</t>
  </si>
  <si>
    <t>C07K 16/10 (20130101); C07K 16/28 (20130101); G01N 33/56983 (20130101); A61K 2039/505 (20130101); C07K 2317/55 (20130101); C07K 2317/565 (20130101)</t>
  </si>
  <si>
    <t>This disclosure provides antibodies and antigen-binding fragments that     are derived from 3bgf and that can be administered to an individual that     is infected or suspected of being infected with a virus. Antibodies and     antigen-binding fragments herein can be capable of treating or curing the     virus, and which may provide protection against the virus for up to     several weeks. Antibodies and antigen-binding fragments herein can be     used to diagnose a SARS CoV-2 infection.</t>
  </si>
  <si>
    <t>US11028150</t>
  </si>
  <si>
    <t>Anti-SARS-CoV-2 antibodies derived from 2DD8</t>
  </si>
  <si>
    <t>15/931642</t>
  </si>
  <si>
    <t>C07K 16/10 (20130101); G01N 33/56983 (20130101); A61P 31/14 (20180101); A61K 2039/505 (20130101); C07K 2317/76 (20130101); C07K 2317/92 (20130101); G01N 2333/165 (20130101); C07K 2317/565 (20130101)</t>
  </si>
  <si>
    <t>This disclosure provides antibodies and antigen-binding fragments that     are derived from 2dd8 and that can be administered to an individual that     is infected or suspected of being infected with a virus. Antibodies and     antigen-binding fragments herein can be capable of treating or curing the     virus, and which may provide protection against the virus for up to     several weeks. Antibodies and antigen-binding fragments herein can be     used to diagnose a SARS CoV-2 infection.</t>
  </si>
  <si>
    <t>US11028132</t>
  </si>
  <si>
    <t>Half-life optimized linker composition</t>
  </si>
  <si>
    <t>16/938707</t>
  </si>
  <si>
    <t>ROSEN YITZHAK</t>
  </si>
  <si>
    <t>Yitzhak Rosen</t>
  </si>
  <si>
    <t>C07K 14/005 (20130101); C12N 7/00 (20130101); C07K 2319/30 (20130101); C12N 2770/20033 (20130101); A61K 38/00 (20130101); C07K 14/165 (20130101); C12N 2770/20022 (20130101); C07K 2319/33 (20130101)</t>
  </si>
  <si>
    <t>Coronavirus disease 2019 (COVID-19 or COVID-2) is an infectious disease     caused by severe acute respiratory syndrome coronavirus 2 (SARS-CoV-2).     Common symptoms include fever, cough, and shortness of breath. The virus     is mainly spread during close contact and via respiratory droplets     produced when people cough or sneeze. Respiratory droplets may be     produced during breathing but the virus is not generally airborne. A     half-life optimized fusion composition linked by a Half-Life Optimizing     (H-Lo) linker comprising of a receptor binding domain (RBD), a half-life     extending domain (LED), wherein the LED is any one of a monoclonal     antibody, single domain antibody, nanobody, antibody fragment, or     combination thereof and the H-Lo linker with an X+7 amino acid length     fusing the RBD C-terminus with the LED N-terminus (RBD-LED fusion) is     discussed in the invention.</t>
  </si>
  <si>
    <t>US11027008</t>
  </si>
  <si>
    <t>Biao He, Steven A. Rubin</t>
  </si>
  <si>
    <t>C07K 16/1027 (20130101); A61K 39/155 (20130101); C07K 16/241 (20130101); A61K 39/12 (20130101); A61K 39/165 (20130101); C12N 7/00 (20130101); C12N 2760/18762 (20130101); C12N 2760/18734 (20130101); C12N 2760/18721 (20130101); A61K 2039/543 (20130101); C12N 2760/18743 (20130101); A61K 2039/5256 (20130101); C07K 2317/34 (20130101); C12N 2760/18534 (20130101); A61K 2039/5254 (20130101)</t>
  </si>
  <si>
    <t>US11026909</t>
  </si>
  <si>
    <t>Therapy for viral infections including the novel corona virus (COVID-19)</t>
  </si>
  <si>
    <t>17/132602</t>
  </si>
  <si>
    <t>Nadimpally Satyavarahala Raju, Venkata Satya Suresh Attili, Nadimpally Neha Varma, Steven Jerome Moore, Cullen Thomas Moore</t>
  </si>
  <si>
    <t>A61K 9/02 (20130101); A61K 31/5415 (20130101); A61K 36/9066 (20130101); A61K 33/30 (20130101); A61K 31/375 (20130101); A61K 31/197 (20130101)</t>
  </si>
  <si>
    <t>US11026664</t>
  </si>
  <si>
    <t>Electrochemical device for virus detection and treatment</t>
  </si>
  <si>
    <t>16/855936</t>
  </si>
  <si>
    <t>Slobodan Petrovic</t>
  </si>
  <si>
    <t>G01N 33/5438 (20130101); G01N 33/5306 (20130101); G01N 33/56983 (20130101); A61B 10/0051 (20130101); A61B 2560/0468 (20130101); A61B 2560/0214 (20130101); G01N 2333/165 (20130101)</t>
  </si>
  <si>
    <t>Viruses, including corona viruses such as COVID-19, are often present in     the mouth or nose of a person before they infect the body. The disclosed     electrochemical device destroys or denatures viruses in the mouth or nose     rendering the viruses ineffective to cause infection by applying a low     voltage potential to the mucus. The device has a potentiostat powered by     a small battery embedded in a plastic frame that fits in a person's     mouth. The device has electrodes to contact the mucus of the mouth or     nose. The mucus serves as electrolyte, conducting ions as well as viruses     with their protein "skin" towards the electrode. The viruses are adsorbed     onto the metal probes where the electrical current denatures the protein     skin of the virus rendering the virus ineffective to cause infection.</t>
  </si>
  <si>
    <t>US11024427</t>
  </si>
  <si>
    <t>Privacy-compliant analysis of health by transaction data</t>
  </si>
  <si>
    <t>15/656750</t>
  </si>
  <si>
    <t>Tong Zhang, Qian Wang</t>
  </si>
  <si>
    <t>G06Q 10/10 (20130101); G16H 50/80 (20180101); G16H 50/30 (20180101); G06Q 40/12 (20131203)</t>
  </si>
  <si>
    <t>Health-related data is accessed; as is a database of payment card     transaction data. At least a portion of the health-related data is linked     to at least a portion of the payment card transaction data to obtain     linked data. Statistical analysis is carried out on the linked data, and     the results of the statistical analysis are made available to at least     one appropriate party. Privacy is protected, for example, via an opt-in     approach or through data aggregation.</t>
  </si>
  <si>
    <t>US11024339</t>
  </si>
  <si>
    <t>System and method for testing for COVID-19</t>
  </si>
  <si>
    <t>Richard A Rothschild</t>
  </si>
  <si>
    <t>G16H 40/63 (20180101); G11B 27/102 (20130101); H04N 5/76 (20130101); G11B 27/10 (20130101); H04N 9/8205 (20130101); G11B 27/031 (20130101); G06K 9/00892 (20130101); G06K 2009/00939 (20130101)</t>
  </si>
  <si>
    <t>US11023563</t>
  </si>
  <si>
    <t>Geographic population health information system</t>
  </si>
  <si>
    <t>16/882406</t>
  </si>
  <si>
    <t>Teresa Nguyen Clark, Michael Steven Weinberg, Carlos Ricardo Villarreal, Nathania Hau, Jelani Akil McLean, Abigail Berube, Trent Tyrone Haywood</t>
  </si>
  <si>
    <t>G16H 50/80 (20180101); G06F 3/0482 (20130101); G16H 40/63 (20180101); G06F 16/29 (20190101); G06F 16/5866 (20190101); G06F 21/6245 (20130101); G06F 16/951 (20190101); G06F 2203/04806 (20130101); H04L 67/42 (20130101); G06T 2207/20112 (20130101); G06T 3/40 (20130101); G06T 11/001 (20130101)</t>
  </si>
  <si>
    <t>US11023467</t>
  </si>
  <si>
    <t>Graph database for outbreak tracking and management</t>
  </si>
  <si>
    <t>Paul Randall, Ian Smith, Jonathan Haynes, Sam Wilkinson</t>
  </si>
  <si>
    <t>G16H 10/60 (20180101); G06F 16/9024 (20190101); G06F 16/2455 (20190101); G16H 50/80 (20180101); G06T 11/206 (20130101); G16H 70/60 (20180101); G06F 3/0484 (20130101); H04L 67/42 (20130101); G06T 2200/24 (20130101)</t>
  </si>
  <si>
    <t>US11021532</t>
  </si>
  <si>
    <t>Superhuman anti-SARS-CoV-2 antibodies and uses thereof</t>
  </si>
  <si>
    <t>15/931654</t>
  </si>
  <si>
    <t>Jacob Glanville, Shahrad Daraeikia, I-Chieh Wang, Sindy Andrea Liao-Chan</t>
  </si>
  <si>
    <t>G01N 33/6854 (20130101); A61P 31/14 (20180101); C07K 16/10 (20130101); A61K 2039/505 (20130101); A61K 45/06 (20130101); C07K 2317/565 (20130101); C07K 2317/92 (20130101)</t>
  </si>
  <si>
    <t>This disclosure provides superhuman antibodies and antigen-binding     fragments that can be administered to an individual that is infected or     suspected of being infected with a virus. Superhuman antibodies and     antigen-binding fragments provided herein can be capable of treating or     curing the virus, and which may provide protection against the virus for     up to at least several weeks. Superhuman antibodies and antigen-binding     fragments provided herein can be used to diagnose a SARS Cov-2 infection.</t>
  </si>
  <si>
    <t>US11021531</t>
  </si>
  <si>
    <t>Anti-SARS-Cov-2 antibodies derived from 2GHW</t>
  </si>
  <si>
    <t>15/931643</t>
  </si>
  <si>
    <t>A61P 31/14 (20180101); A61K 39/42 (20130101); C07K 16/10 (20130101); A61K 2039/505 (20130101); C07K 2317/92 (20130101); C07K 2317/565 (20130101); C07K 2317/622 (20130101)</t>
  </si>
  <si>
    <t>This disclosure provides antibodies and antigen-binding fragments that     are derived from 2ghw and that can be administered to an individual that     is infected or suspected of being infected with a virus. Antibodies and     antigen-binding fragments provided herein can be capable of treating or     curing the virus, and which may provide protection against the virus for     up to several weeks. Antibodies and antigen-binding fragments provided     herein can be used to diagnose a SARS-Cov-2 infection.</t>
  </si>
  <si>
    <t>US11020618</t>
  </si>
  <si>
    <t>Method and apparatus for performance of thermal bronchioplasty to reduce     covid-19-induced respiratory distress and treat covid-19-damaged distal     lung regions</t>
  </si>
  <si>
    <t>16/919780</t>
  </si>
  <si>
    <t>Reinhard J. Warnking</t>
  </si>
  <si>
    <t>A61B 18/1492 (20130101); A61B 1/07 (20130101); A61B 1/2676 (20130101); A61B 18/0206 (20130101); A61N 7/02 (20130101); A61B 2018/0022 (20130101); A61B 2018/0212 (20130101); A61N 2007/0004 (20130101); A61B 2018/00982 (20130101); A61B 2018/00994 (20130101); A61B 2018/00541 (20130101)</t>
  </si>
  <si>
    <t>US11020475</t>
  </si>
  <si>
    <t>Cold-adapted live attenuated severe acute respiratory syndrome coronavirus     and vaccine containing the same</t>
  </si>
  <si>
    <t>17/080224</t>
  </si>
  <si>
    <t>PIONEER VACCINE INC.</t>
  </si>
  <si>
    <t>PIONEER VACCINE</t>
  </si>
  <si>
    <t>Sang-Heui Seo, Yun-Yueng Jang</t>
  </si>
  <si>
    <t>A61P 31/14 (20180101); A61K 39/215 (20130101); A61K 2039/53 (20130101); A61K 2039/5254 (20130101); A61K 2039/543 (20130101)</t>
  </si>
  <si>
    <t>Disclosed is cold-adapted live attenuated severe acute respiratory     syndrome coronavirus (SARS-CoV-2) prepared by infecting cells with severe     acute respiratory syndrome coronavirus and then adapting the severe acute     respiratory syndrome coronavirus to a temperature from 37.degree. C. to     22.degree. C. in a step by step manner. Further, a vaccine containing the     cold-adapted live attenuated severe acute respiratory syndrome     coronavirus (SARS-CoV-2) is disclosed.</t>
  </si>
  <si>
    <t>US11020474</t>
  </si>
  <si>
    <t>Producing recombinant SARS-CoV-2 spike protein in a pre-fusion state</t>
  </si>
  <si>
    <t>17/001774</t>
  </si>
  <si>
    <t>Yang Xiang, Jun Li</t>
  </si>
  <si>
    <t>C12N 15/85 (20130101); A61K 39/215 (20130101); C07K 14/165 (20130101); C07K 2319/30 (20130101); C12N 2310/20 (20170501)</t>
  </si>
  <si>
    <t>Disclosed is producing recombinant SARS-CoV-2 spike protein in a     pre-fusion state, using furin knock out or knockdown mammalian cells     (such as HEK293, CHO or other mammalian cells). The pre-fusion state     SARS-CoV-2 spike protein can be used as an antigen to generate     antibodies/binding molecules for use in SARS-CoV-2 detection assays or in     diagnosis of active or prior infection with SARS-CoV-2; as a therapeutic     to interfere with SARS-CoV-2 cellular binding; to generate     antibodies/binding molecules to SARS-CoV-2 for use in therapy; or, as a     vaccine for generating immunity to SARS-CoV-2; or for prophylactic or     therapeutic use against related coronaviruses.</t>
  </si>
  <si>
    <t>US11020349</t>
  </si>
  <si>
    <t>Transmucosal dosage forms of remdesivir</t>
  </si>
  <si>
    <t>16/929005</t>
  </si>
  <si>
    <t>Indranil Nandi, Anil Jain, Ganesh Vinayak Gat</t>
  </si>
  <si>
    <t>A61K 9/2027 (20130101); A61K 9/2031 (20130101); A61K 9/2059 (20130101); A61K 9/2095 (20130101); A61K 9/2054 (20130101); A61K 31/675 (20130101); A61K 9/2009 (20130101); A61K 9/2018 (20130101); A61K 9/0053 (20130101)</t>
  </si>
  <si>
    <t>Disclosed herein are the sublingual pharmaceutical compositions     comprising remdesivir or its pharmaceutically acceptable salts or     solvates thereof. The present invention also relates to a process for     preparing sublingual pharmaceutical compositions comprising remdesivir or     its pharmaceutically acceptable salts or solvates thereof. Compositions     of remdesivir prepared as per present invention are able to increase     bioavailability by avoiding first-pass metabolism. The compositions of     remdesivir prepared as per present invention are useful in the treatment     of viral infections including coronavirus infection (COVID-19). The     compositions of remdesivir prepared as per present invention exhibit     desired pharmaceutical technical attributes such as pH, assay, related     substance, disintegration and dissolution.</t>
  </si>
  <si>
    <t>US11019859</t>
  </si>
  <si>
    <t>Acoustic face mask apparatus</t>
  </si>
  <si>
    <t>16/994649</t>
  </si>
  <si>
    <t>ACOUSTIC MASK LLC</t>
  </si>
  <si>
    <t>ACOUSTIC MASK</t>
  </si>
  <si>
    <t>Martin Rothenberg</t>
  </si>
  <si>
    <t>A41D 13/1107 (20130101); G10K 11/16 (20130101)</t>
  </si>
  <si>
    <t>An acoustic face mask reduces the distortion and muffling of speech     sounds by a face mask wall. The distortion and muffling of speech sounds     by a face mask wall may be reduced by reducing the acoustic coupling of     the vocal tract and/or nasal cavity to the face mask chamber, which     causes a reduction in the intelligibility of the speech. The acoustic     coupling of the vocal tract and/or nasal cavity to the face mask chamber     may be reduced, for example, by reducing the reflected sound energy     caused by the face mask wall. For example, one or more sound absorbing     members or acoustically transparent members reduce the reflected sound     energy caused by the face mask wall.</t>
  </si>
  <si>
    <t>US11014025</t>
  </si>
  <si>
    <t>Pressurized filtration system and device for rapid extraction and     recycling of medication from body fluid</t>
  </si>
  <si>
    <t>16/830056</t>
  </si>
  <si>
    <t>Buford, Kevin-Steven Creagh</t>
  </si>
  <si>
    <t>BUFORD KEVIN</t>
  </si>
  <si>
    <t>Kevin-Steven Creagh Buford</t>
  </si>
  <si>
    <t>B01D 29/56 (20130101); B01D 2201/202 (20130101); B01D 2221/10 (20130101)</t>
  </si>
  <si>
    <t>The present disclosure relates to a system for the selective extraction     and recycling of medication from body fluid, using a pressurized     filtration system and device. The disclosure further relates to methods     for extracting and/or recycling medication from body fluid in a     pressurized system and methods of using the medication     collected/extracted from that body fluid.</t>
  </si>
  <si>
    <t>US11013822</t>
  </si>
  <si>
    <t>Smallest particulate absorber</t>
  </si>
  <si>
    <t>15/930062</t>
  </si>
  <si>
    <t>Woodward, Malcolm Philemon</t>
  </si>
  <si>
    <t>WOODWARD MALCOLM</t>
  </si>
  <si>
    <t>Malcolm Philemon Woodward</t>
  </si>
  <si>
    <t>A61L 2/202 (20130101); F24F 8/10 (20210101); A61L 2/087 (20130101); A61L 9/20 (20130101); A61L 2209/12 (20130101); F24F 8/22 (20210101)</t>
  </si>
  <si>
    <t>This invention is designed to neutralize and destroy all airborne     particulates and infectious material prior to the return of this     ventilation air into the High Energy Particulate Absorber [HEPA] System     of a forced air ventilation building. This sterilizing and purifying     device will return only safe and clean air to the building ventilation     system. This smallest particulate absorber will be located just prior to     the standard return air vent in the forced air ventilation system and it     will neutralize and destroy all sizes, even nano and micro sized airborne     particulates.</t>
  </si>
  <si>
    <t>US11013795</t>
  </si>
  <si>
    <t>Antigenically matched influenza vaccines</t>
  </si>
  <si>
    <t>Ethan Settembre, Philip Dormitzer</t>
  </si>
  <si>
    <t>A61K 39/145 (20130101); A61K 39/39 (20130101); A61K 39/12 (20130101); C12N 7/00 (20130101); A61K 2039/55566 (20130101); A61K 2039/53 (20130101); C12N 2760/16122 (20130101); A61K 2039/545 (20130101); A61K 2039/70 (20130101); C12N 2760/16121 (20130101); C12N 2760/16134 (20130101); A61K 2039/525 (20130101); A61K 2039/5252 (20130101)</t>
  </si>
  <si>
    <t>Disclosed herein are influenza vaccine compositions, related preparations     and intermediates, formulations, production methods, immunization     methods, and use thereof, for achieving improved immune-protection in     human subjects. More specifically, non-egg-based influenza vaccines are     described, which provide improved antigenic match.</t>
  </si>
  <si>
    <t>US11013779</t>
  </si>
  <si>
    <t>Small molecule therapeutic inhibitors against picornaviruses,     caliciviruses, and coronaviruses</t>
  </si>
  <si>
    <t>Kyeong-Ok Chang, Yunjeong Kim, William C. Groutas</t>
  </si>
  <si>
    <t>A61K 38/05 (20130101); A61P 31/14 (20180101)</t>
  </si>
  <si>
    <t>US11013688</t>
  </si>
  <si>
    <t>Methods of treatment of viral diseases</t>
  </si>
  <si>
    <t>16/930340</t>
  </si>
  <si>
    <t>Jurgen Rawert, Jan Torsten Tews</t>
  </si>
  <si>
    <t>A61K 9/0078 (20130101); A61K 31/706 (20130101); A61K 9/08 (20130101)</t>
  </si>
  <si>
    <t>The present invention provides for a method for the treatment of a viral     disease, disorder or condition in a subject, the method comprising the     step of administering to said subject a medically active liquid in     nebulized form by inhalation, wherein the medically active liquid     comprises remdesivir or a pharmaceutically acceptable salt thereof and     wherein the medically active liquid is administered in nebulized form     using an inhalation device.</t>
  </si>
  <si>
    <t>US11013687</t>
  </si>
  <si>
    <t>Preventive and therapeutic treatment for COVID 19 and any other disease     caused by SARS CoV 2</t>
  </si>
  <si>
    <t>16/900488</t>
  </si>
  <si>
    <t>Julio Cesar Vega</t>
  </si>
  <si>
    <t>A61K 9/0078 (20130101); A61K 47/10 (20130101); A61K 9/08 (20130101); A61K 31/731 (20130101); A61K 31/047 (20130101); A61K 9/0043 (20130101); A61K 47/02 (20130101)</t>
  </si>
  <si>
    <t>US11013472</t>
  </si>
  <si>
    <t>Method and apparatus for epidemic and pandemic risk assessment</t>
  </si>
  <si>
    <t>17/130639</t>
  </si>
  <si>
    <t>Ophir Frieder, Abdur Chowdhury, Eric Jensen</t>
  </si>
  <si>
    <t>A61B 5/746 (20130101); H04L 51/38 (20130101); G16H 40/63 (20180101); A61B 5/72 (20130101); A61B 5/1118 (20130101); A61B 5/7246 (20130101); A61B 5/7282 (20130101); A61B 5/7465 (20130101); A61B 5/742 (20130101); H04W 4/029 (20180201); H04W 4/33 (20180201); A61B 5/7267 (20130101); H04W 4/12 (20130101); A61B 5/1123 (20130101); H04L 67/22 (20130101); G06F 21/552 (20130101); H04L 51/20 (20130101); H04W 52/0254 (20130101); A61B 5/4866 (20130101); G06F 16/9535 (20190101); A61B 5/1112 (20130101); H04W 52/0229 (20130101); H04L 51/32 (20130101); G16Z 99/00 (20190201); H04W 4/023 (20130101); A61B 5/7455 (20130101); H04W 4/21 (20180201); A61B 5/6898 (20130101); G06F 2221/2111 (20130101); H04L 51/08 (20130101); Y02D 30/70 (20200801); H04W 64/006 (20130101); H04M 1/72454 (20210101)</t>
  </si>
  <si>
    <t>US11013277</t>
  </si>
  <si>
    <t>Mask with filter port</t>
  </si>
  <si>
    <t>17/086707</t>
  </si>
  <si>
    <t>ALHUMOOD KHALDOON</t>
  </si>
  <si>
    <t>Khaldoon Alhumood</t>
  </si>
  <si>
    <t>A41D 13/1161 (20130101); A62B 23/02 (20130101); A41D 13/1107 (20130101)</t>
  </si>
  <si>
    <t>A mask with filter port is configured to cover a wearer's nose and mouth     to protect the wearer from airborne microbes in the environment and/or     minimize a risk of spreading airborne microbes from the user. The mask     with filter port includes a substantially arcuate body wall, a slanted     base at a lower end of the wall, an elastomeric seal extending from a     face edge of the wall, a filter holder secured to the slanted base, and a     pair of securing straps connected to the body wall. The elastomeric seal     provides an interface between the body wall and the user's face. The     securing straps secure the mask against the user's face, with the     elastomeric seal pressing against the user's face.</t>
  </si>
  <si>
    <t>US11011278</t>
  </si>
  <si>
    <t>Methods and rapid test kits facilitating epidemiological surveillance</t>
  </si>
  <si>
    <t>17/026643</t>
  </si>
  <si>
    <t>BIOLYTICAL LABORATORIES INC</t>
  </si>
  <si>
    <t>BIOLYTICAL LABORATORIES</t>
  </si>
  <si>
    <t>Michelle L Zaharik, Ron P Heyde</t>
  </si>
  <si>
    <t>B01L 3/5023 (20130101); G16H 50/80 (20180101); G16H 40/67 (20180101); G01N 33/54366 (20130101); B01L 2300/021 (20130101); G06K 19/06028 (20130101); B01L 2300/023 (20130101); G06K 19/06037 (20130101)</t>
  </si>
  <si>
    <t>A method for facilitating epidemiologic surveillance for a target disease     such as Covid-19 includes a step of using an optical identifier such as a     barcode or a numerical code to rapidly report de-identified test results     to a central database. A rapid test device may be based on a direct flow     point-of-care device comprising a porous membrane with at least one     recombinant antigen applied thereto and procedural control. The     recombinant antigen may comprise an epitope for detecting the target     disease marker. The first optical identifier may be applied to the device     and facilitate remote communication of the test results without the use     of any specialized equipment.</t>
  </si>
  <si>
    <t>US11011277</t>
  </si>
  <si>
    <t>Heat maps of infectious agents and methods of using same to screen     subjects and/or determine an infection risk</t>
  </si>
  <si>
    <t>16/890909</t>
  </si>
  <si>
    <t>Sean Kelly, Kevin M. Kelly</t>
  </si>
  <si>
    <t>G06Q 50/22 (20130101); G16H 50/80 (20180101); G06Q 10/0635 (20130101)</t>
  </si>
  <si>
    <t>US11011003</t>
  </si>
  <si>
    <t>17/112386</t>
  </si>
  <si>
    <t>Amjad Shamim Jafri, Ricardo Cavieres, Douglas A. Cohen, Salvano Cardozo, Patricio Jorge Scanchez, Mark Lewis Pullen</t>
  </si>
  <si>
    <t>G16H 10/40 (20180101); G06K 7/1417 (20130101); H04W 4/021 (20130101); G07C 9/215 (20200101); H04W 4/029 (20180201); G07C 9/27 (20200101); G07C 9/29 (20200101)</t>
  </si>
  <si>
    <t>System and method for infectious disease prevention includes     transmitting, via a server, a facility credential associated with a     facility configured to identify a user operating on an application     deployed by server from a mobile computing device. The server receives a     user identification test code (UITC) associated with a status of an     infectious disease of the user. The server then generates a     two-dimensional code associated with the facility credential based on the     UITC. The server determines if the two-dimensional code is valid for     permitting access to the facility based on the status of the infectious     disease. Thereafter, the server activates the two-dimensional code on the     mobile computing device for a predetermined period of time. A gatekeeper     device responds to the two-dimensional code from the mobile computing     device and then permits the user access to the facility within the     predetermined period of time based on the facility credential and the     two-dimensional code.</t>
  </si>
  <si>
    <t>US11009482</t>
  </si>
  <si>
    <t>Whole virus quantum mechanical tunneling current and electronic sensors</t>
  </si>
  <si>
    <t>Massood Tabib-Azar</t>
  </si>
  <si>
    <t>G01N 33/5438 (20130101); G01N 27/4145 (20130101); G01N 33/56983 (20130101); G01N 2333/165 (20130101); G01N 2333/185 (20130101)</t>
  </si>
  <si>
    <t>US11008629</t>
  </si>
  <si>
    <t>17/122979</t>
  </si>
  <si>
    <t>Nathan Tanner, Yinhua Zhang, Gregory Patton, Guoping Ren, Zhiru Li, Nicole Nichols</t>
  </si>
  <si>
    <t>G01N 21/78 (20130101); C12Q 1/701 (20130101)</t>
  </si>
  <si>
    <t>US11007342</t>
  </si>
  <si>
    <t>Fluid mixing apparatus such as a ventilator</t>
  </si>
  <si>
    <t>16/888564</t>
  </si>
  <si>
    <t>Jeffrey Travis Dalton, Jordan Francis Clifford, Travis Andrew Dean</t>
  </si>
  <si>
    <t>A61M 16/0072 (20130101); A61M 16/201 (20140204); A61M 16/14 (20130101); A61M 16/127 (20140204); A61M 2202/0208 (20130101)</t>
  </si>
  <si>
    <t>An apparatus such as a fluid mixer, suitable for use with a respirator,     including a venturi nozzle for flow of a pressure-controlled fluid; an     ambient fluid aperture in fluid communication with the venturi nozzle; a     fluid port; a pressure force multiplier in fluid communication with the     fluid port; and a valve moveable relative to the venturi nozzle between a     start flow position and a stop flow position; where the pressure force     multiplier is configured such that fluid forced into the fluid port     actuates the valve relative to the venturi nozzle; and where the pressure     force multiplier is configured such that fluid withdrawn from the fluid     port actuates the valve relative to the venturi nozzle.</t>
  </si>
  <si>
    <t>US11007265</t>
  </si>
  <si>
    <t>Vaccines having an antigen and interleukin-21 as an adjuvant</t>
  </si>
  <si>
    <t>David B. Weiner, Matthew P. Morrow</t>
  </si>
  <si>
    <t>A61K 39/08 (20130101); A61K 39/12 (20130101); A61N 1/327 (20130101); A61K 39/21 (20130101); A61K 41/0047 (20130101); A61K 39/39 (20130101); C07K 14/54 (20130101); A61K 48/00 (20130101); A61K 2039/53 (20130101); A61K 2039/55527 (20130101); Y02A 50/30 (20180101); C12N 2740/16134 (20130101)</t>
  </si>
  <si>
    <t>US11007208</t>
  </si>
  <si>
    <t>Methods for treating arenaviridae and coronaviridae virus infections</t>
  </si>
  <si>
    <t>Michael O' Neil Hanrahan Clarke, Joy Yang Feng, Robert Jordan, Richard L. Mackman, Adrian S. Ray, Dustin Siegel</t>
  </si>
  <si>
    <t>A61K 31/7056 (20130101); A61K 31/706 (20130101); A61K 31/706 (20130101); A61K 2300/00 (20130101)</t>
  </si>
  <si>
    <t>Provided are methods for treating Arenaviridae and Coronaviridae virus     infections by administering nucleosides and prodrugs thereof, of Formula     I:  ##STR00001##  wherein the 1' position of the nucleoside sugar is     substituted. The compounds, compositions, and methods provided are     particularly useful for the treatment of Lassa virus and Junin virus     infections.</t>
  </si>
  <si>
    <t>US11007187</t>
  </si>
  <si>
    <t>16/872108</t>
  </si>
  <si>
    <t>Kalervo Vaananen, Lauri Kangas, Matti Rihko</t>
  </si>
  <si>
    <t>A61K 9/007 (20130101); A61K 31/7048 (20130101); A61K 31/14 (20130101); A61K 38/57 (20130101); A61K 9/0043 (20130101); A61K 31/4706 (20130101); A61K 31/24 (20130101)</t>
  </si>
  <si>
    <t>US11007001</t>
  </si>
  <si>
    <t>Devices and methods for reducing parasympathetic nerve activity in     patients with a respiratory syndrome</t>
  </si>
  <si>
    <t>16/936443</t>
  </si>
  <si>
    <t>SONIVIE LTD.</t>
  </si>
  <si>
    <t>SONIVIE</t>
  </si>
  <si>
    <t>Charles S. Carignan, Or Shabtay, Maya Rosenstein, Dalit Shav, Talia Cohen Keizman, Daniel Naor, Ofek Admon</t>
  </si>
  <si>
    <t>A61B 18/14 (20130101); A61M 16/0463 (20130101); A61B 2018/00005 (20130101); A61B 2018/0022 (20130101); A61B 2018/00541 (20130101); A61B 2018/1467 (20130101); A61B 2018/00994 (20130101)</t>
  </si>
  <si>
    <t>Some embodiments relate to a method of reducing excess mucosa production     and/or secretion in the respiratory tract, comprising: introducing into     the lumen of the trachea or the lumen of the bronchi a device configured     for damaging nerve tissue or blocking neural conduction in the     surroundings of the lumen; and activating the device to damage the nerve     tissue enough to suppress parasympathetic nerve activity which causes the     excess mucosa production and/or secretion.</t>
  </si>
  <si>
    <t>US11003880</t>
  </si>
  <si>
    <t>Method and system for contact tracing</t>
  </si>
  <si>
    <t>16/985584</t>
  </si>
  <si>
    <t>UNIV GEORGETOWN</t>
  </si>
  <si>
    <t>J. C. Smart, Timothy E. Denison, Edwin Lau</t>
  </si>
  <si>
    <t>A61B 5/746 (20130101); H04W 4/029 (20180201); G06Q 50/26 (20130101); G16H 50/70 (20180101); G07B 5/00 (20130101); A61B 5/7282 (20130101); H04W 4/30 (20180201); G16H 50/80 (20180101); H04W 4/021 (20130101); G06Q 50/01 (20130101); H04L 12/1895 (20130101); H04W 4/33 (20180201); G16H 10/40 (20180101); G06K 7/1417 (20130101); G06Q 50/265 (20130101)</t>
  </si>
  <si>
    <t>A method and system for contact tracing and alerting anonymously tracks     persons within and across digitally modeled areas using registration     stations within the area having scannable digital codes which are unique     to the area. Upon being alerted to a contagion situation, either from a     laboratory or from an area administrator, the system compares electronic     visit tickets unique to each person's visit to determine overlap and     generates at least one of an exposure event notifications and a     contamination event notifications responsive to one or more     determinations made by the comparing.</t>
  </si>
  <si>
    <t>US11001901</t>
  </si>
  <si>
    <t>Methods and reagents for the specific and sensitive detection of     SARS-CoV-2</t>
  </si>
  <si>
    <t>16/809717</t>
  </si>
  <si>
    <t>Flora Donati, Melanie Albert, Sylvie Behillil, Vincent Enouf, Sylvie van der Werf</t>
  </si>
  <si>
    <t>C12N 15/1096 (20130101); C12Q 1/701 (20130101)</t>
  </si>
  <si>
    <t>US11000606</t>
  </si>
  <si>
    <t>Disinfection device</t>
  </si>
  <si>
    <t>17/148856</t>
  </si>
  <si>
    <t>AMATIS CONTROLS, LLC</t>
  </si>
  <si>
    <t>AMATIS CONTROLS</t>
  </si>
  <si>
    <t>Karl S. Jonsson, Arman Victor Bastani</t>
  </si>
  <si>
    <t>A61L 2/0047 (20130101); A61L 2/26 (20130101); A61L 2202/14 (20130101); A61L 2202/11 (20130101); A61L 2202/24 (20130101)</t>
  </si>
  <si>
    <t>A lighting module includes a connector having a first contact and a     second contact, a first device that emits ultraviolet (UV) light, and a     second device that emits visible light. The UV light emitted by the first     device is in a first wavelength range of 200-315 nm and the visible light     emitted by the second device is in a second wavelength range of 400-750     nm. The first device emits substantially no light at a wavelength greater     than 550 nm. Both the first device and the second device are coupled to     the first contact. The lighting module may be used in a disinfection     device.</t>
  </si>
  <si>
    <t>US11000585</t>
  </si>
  <si>
    <t>Composition comprising antigens and a mucosal adjuvant and a method for     using</t>
  </si>
  <si>
    <t>Grant Weaver, Jeffrey Alan Kula, Boh Chang Lin, Karen Brown, Wesley W. Johnson, Michael Dennis Murphy</t>
  </si>
  <si>
    <t>A61K 39/145 (20130101); C12N 7/00 (20130101); A61K 39/12 (20130101); A61K 39/102 (20130101); A61K 2039/55566 (20130101); A61K 2039/543 (20130101); A61K 2039/55555 (20130101); A61K 2039/55505 (20130101); C12N 2760/16134 (20130101); A61K 2039/55511 (20130101); A61K 2039/552 (20130101)</t>
  </si>
  <si>
    <t>US11000545</t>
  </si>
  <si>
    <t>Copper ion compositions and methods of treatment for conditions caused by     coronavirus and influenza</t>
  </si>
  <si>
    <t>ChunLim Abbott, Dominic C. Abbott</t>
  </si>
  <si>
    <t>A61K 9/0078 (20130101); A61K 33/34 (20130101); A61K 9/0014 (20130101); A61K 9/06 (20130101)</t>
  </si>
  <si>
    <t>US10997721</t>
  </si>
  <si>
    <t>Microbe scanning device and methods thereof</t>
  </si>
  <si>
    <t>Beth Allison Lopez</t>
  </si>
  <si>
    <t>C12Q 1/04 (20130101); G06T 7/0012 (20130101); G06T 2207/10008 (20130101); G06T 2207/30088 (20130101); G06T 2207/10056 (20130101); G06T 2207/10048 (20130101)</t>
  </si>
  <si>
    <t>US10994034</t>
  </si>
  <si>
    <t>Apparatus for inactivation of airborne pathogens and pathogens on the     surface of an object</t>
  </si>
  <si>
    <t>16/988270</t>
  </si>
  <si>
    <t>MICRON PURE, LLC</t>
  </si>
  <si>
    <t>MICRON PURE</t>
  </si>
  <si>
    <t>David D. Leavitt, John R. Bergida, Devlin Leavitt, Timothy B. Jackson</t>
  </si>
  <si>
    <t>A61L 9/205 (20130101); A61L 2/26 (20130101); B01D 53/8675 (20130101); B01D 53/005 (20130101); B01D 53/885 (20130101); A61L 2/088 (20130101); B01D 53/02 (20130101); A61L 2/202 (20130101); B01D 2255/2073 (20130101); A61L 2202/122 (20130101); A61L 2202/16 (20130101); B01D 2256/12 (20130101); B01D 2253/102 (20130101); B01D 2257/106 (20130101); B01D 2251/104 (20130101); A61L 2202/11 (20130101); B01D 2259/818 (20130101); A61L 2202/15 (20130101); B01D 2259/804 (20130101); A61L 2202/13 (20130101)</t>
  </si>
  <si>
    <t>An apparatus for the inactivation of airborne pathogens and pathogens on     the surface of an object. The apparatus including a housing with an     intake region and an exhaust region and an airflow path disposed between     the intake and exhaust regions. The apparatus also includes a space     within the housing for placement of the object as well as an intake fan     and an oxidant generator proximate the intake fan. The apparatus includes     an air filter disposed in the airflow path for removing particulates and     pathogens and passes the intake air through either or both of an     activated carbon filter and a catalyst to convert the oxidant into     oxygen.</t>
  </si>
  <si>
    <t>US10993958</t>
  </si>
  <si>
    <t>Aldehyde functional monoterpenoids for the treatment of coronavirus     infection</t>
  </si>
  <si>
    <t>16/882130</t>
  </si>
  <si>
    <t>William B. Coe</t>
  </si>
  <si>
    <t>A61K 9/0078 (20130101); A61K 31/11 (20130101); A61K 47/10 (20130101); A61K 31/7084 (20130101); A61K 31/12 (20130101); A61K 31/352 (20130101); A61K 31/045 (20130101); A61K 9/107 (20130101); A61K 36/79 (20130101); A61K 33/30 (20130101); A61K 36/48 (20130101); A61P 31/14 (20180101); A61K 36/53 (20130101)</t>
  </si>
  <si>
    <t>US10993909</t>
  </si>
  <si>
    <t>Method and composition for treating upper respiratory tract inflammatory     and infectious diseases</t>
  </si>
  <si>
    <t>16/906043</t>
  </si>
  <si>
    <t>Shaker A. Mousa</t>
  </si>
  <si>
    <t>A61K 9/0078 (20130101); A61K 47/06 (20130101); A61K 9/008 (20130101); A61K 31/727 (20130101); A61K 9/4866 (20130101); A61K 9/5015 (20130101); A61K 47/32 (20130101); A61K 47/02 (20130101); A61K 9/0073 (20130101); A61K 9/5123 (20130101); A61K 9/5138 (20130101); A61K 31/4706 (20130101); A61K 31/167 (20130101); A61K 9/10 (20130101); A61K 9/08 (20130101); A61K 31/4965 (20130101); A61K 33/30 (20130101); A61K 31/573 (20130101)</t>
  </si>
  <si>
    <t>A composition and method for treating a mammal infected with a virus     therein, and an inhalation delivery system for prevention and treatment     of upper respiratory tract viruses, by administering a therapeutic dose     of the composition to the mammal. The composition includes:     microparticles and/or nanoparticles, wherein a pharmaceutically active     agent, corticosteroid and/or hydroxychloroquine, niclosamide, and/or     favipiravir, and a zinc salt are incorporated in the microparticles     and/or nanoparticles. The pharmaceutically active agent is unfractionated     heparin (UFH), Low Molecular Weight Heparin (LMWH), sulfated     non-anticoagulant heparin (S-NACH), other glycosaminoglycans (GAGs), or     combinations thereof.</t>
  </si>
  <si>
    <t>US10991190</t>
  </si>
  <si>
    <t>Digital pass verification systems and methods</t>
  </si>
  <si>
    <t>17/068608</t>
  </si>
  <si>
    <t>Nitesh Luthra, Lev F. Frayman, Terry Finch, John Schullian, Douglas Wager</t>
  </si>
  <si>
    <t>G16H 50/80 (20180101); G07C 9/29 (20200101); G16H 10/40 (20180101); G07C 9/25 (20200101); G06Q 50/265 (20130101); G16H 15/00 (20180101); G16H 10/65 (20180101)</t>
  </si>
  <si>
    <t>US10991185</t>
  </si>
  <si>
    <t>17/068599</t>
  </si>
  <si>
    <t>G06K 7/1417 (20130101); G07C 9/22 (20200101); G06K 19/06037 (20130101); G16H 40/63 (20180101)</t>
  </si>
  <si>
    <t>Digital pass verification systems and methods are disclosed herein. One     or more servers are to distribute instructions on a network. The     instructions, when executed, cause a first device carried by a person to     at least: access a result of a diagnostic test performed on the person,     the result provided by a second device; generate a machine-readable code     in response to the result being negative; and display the     machine-readable code on a display of the first device to enable the     person to gain access to a location.</t>
  </si>
  <si>
    <t>US10987329</t>
  </si>
  <si>
    <t>Combination therapy for coronavirus infections including the novel corona     virus (COVID-19)</t>
  </si>
  <si>
    <t>16/920000</t>
  </si>
  <si>
    <t>A61K 31/197 (20130101); A61K 36/9066 (20130101); A61K 31/5415 (20130101); A61K 33/30 (20130101); A61K 9/02 (20130101); A61K 31/375 (20130101)</t>
  </si>
  <si>
    <t>The present invention provides therapeutic combinations of     5-aminolevulinic acid, with at least one of: Vitamin C, curcumin, zinc,     and methylene blue for the treatment of coronavirus infections, including     the SARS-CoV-2 virus, and/or rhinoviruses. Optionally such compositions     may comprise other dietary supplements and one or more pharmaceutically     acceptable excipients and also process for preparing it. The composition     can also include other antiviral agents.</t>
  </si>
  <si>
    <t>US10980954</t>
  </si>
  <si>
    <t>Patient ventilator control using constant flow and breathing triggers</t>
  </si>
  <si>
    <t>16/917055</t>
  </si>
  <si>
    <t>LEVERED IMPACT LLC DBA ION-BIOMIMICRY</t>
  </si>
  <si>
    <t>LEVERED IMPACT DBA ION-BIOMIMICRY</t>
  </si>
  <si>
    <t>Adam D. Bell</t>
  </si>
  <si>
    <t>A61M 16/0402 (20140204); A61M 16/0051 (20130101); A61M 16/204 (20140204); A61M 16/205 (20140204); A61M 16/024 (20170801); A61M 16/0468 (20130101); A61M 16/0486 (20140204); A61M 16/0003 (20140204); A61M 2205/502 (20130101); A61M 2016/0042 (20130101); A61M 2205/3344 (20130101); A61M 2205/3337 (20130101); A61M 2205/3334 (20130101); A61M 2016/0039 (20130101); A61M 2205/3386 (20130101); A61M 2205/3382 (20130101)</t>
  </si>
  <si>
    <t>The embodied invention is a new inspiration/expiration ventilator flow     design, with a constant inspiration flow and intermittent-concurrent     expiratory flow based on lung pressure setpoints. This mode is possible     by using a new dual lumen tube inserted into a patient Trachea.     Additionally, the control provides support for patient initiated     breathing which is initiated by a lung pressure drop. This control     provides continuous and gentle recruitment of lung alveoli.</t>
  </si>
  <si>
    <t>US10980756</t>
  </si>
  <si>
    <t>Methods of treatment</t>
  </si>
  <si>
    <t>16/835307</t>
  </si>
  <si>
    <t>Gary Glick</t>
  </si>
  <si>
    <t>A61K 31/685 (20130101); A61K 31/135 (20130101); A61K 31/7052 (20130101); A61K 31/4706 (20130101); A61K 31/167 (20130101)</t>
  </si>
  <si>
    <t>US10980297</t>
  </si>
  <si>
    <t>Protective face shield with respirator</t>
  </si>
  <si>
    <t>16/941947</t>
  </si>
  <si>
    <t>Scott D. Augustine, Randall C. Arnold, Garrett J. Augustine</t>
  </si>
  <si>
    <t>A62B 23/02 (20130101); A62B 18/02 (20130101); A62B 7/10 (20130101); A41D 13/1184 (20130101); A41D 13/1107 (20130101)</t>
  </si>
  <si>
    <t>A protective face shield with respirator including a face shield sized to     cover some or all of the face and a respirator attached to the back side     of the plastic shield. The respirator can include a substantially     tubular, compressible foam mask with one end of the tubular mask bonded     to the back side of the plastic shield and the other end of the tubular     mask oriented rearward creating a rear surface for engaging with the face     and surrounding the nose and mouth. The tubular mask can include at least     one ventilation opening that traverse through the wall of the tubular     mask and a ribbon (e.g., strip) of air filter media that wraps at least     partially around the outside of the tubular mask covering some or all of     the outside surface of the mask.</t>
  </si>
  <si>
    <t>US10980296</t>
  </si>
  <si>
    <t>Facemask sustenance access port assembly</t>
  </si>
  <si>
    <t>16/899625</t>
  </si>
  <si>
    <t>HOSAC TRACY</t>
  </si>
  <si>
    <t>Tracy Hosac</t>
  </si>
  <si>
    <t>A62B 18/10 (20130101); A62B 9/00 (20130101); A41D 13/11 (20130101); A61M 15/0026 (20140204); A41D 2400/46 (20130101); A62B 18/025 (20130101)</t>
  </si>
  <si>
    <t>A flat mounting plate frictionally engages a protective facemask body     inner surface, surrounds a first opening, at least partially, and defines     a second opening that is co-extensive with the first opening, at least     partially. A flat retaining plate frictionally engages the protective     facemask body outer surface, surrounds the first opening, at least     partially, and defines a third opening that is co-extensive with the     first opening, at least partially. A tubular spacer is positioned between     the flat mounting plate and the flat retaining plate inserted into the     first opening to define a passageway connecting the second opening to the     third opening for nourishment to flow therethrough. A gasket is     positioned between the flat mounting plate and the flat retaining plate     to seal the passageway. The flat mounting plate and the flat retaining     plate define jaws for gripping the protective facemask body to hold the     port assembly in place.</t>
  </si>
  <si>
    <t>US10978203</t>
  </si>
  <si>
    <t>Power-efficient health affliction classification</t>
  </si>
  <si>
    <t>Subhajit Bhuiya, Vijay Ekambaram, Ramasuri Narayanam, Ashwin M. Narvekar</t>
  </si>
  <si>
    <t>G06F 1/163 (20130101); G16H 40/20 (20180101); G16H 50/30 (20180101); G16H 40/63 (20180101); G16H 40/67 (20180101); G16H 20/10 (20180101)</t>
  </si>
  <si>
    <t>US10975139</t>
  </si>
  <si>
    <t>Anti-SARS-CoV-2-Spike glycoprotein antibodies and antigen-binding     fragments</t>
  </si>
  <si>
    <t>16/996297</t>
  </si>
  <si>
    <t>Robert Babb, Alina Baum, Gang Chen, Cindy Gerson, Johanna Hansen, Tammy Huang, Christos Kyratsous, Wen-Yi Lee, Marine Malbec, Andrew Murphy, William Olson, Neil Stahl, George D. Yancopoulos</t>
  </si>
  <si>
    <t>A61K 45/06 (20130101); C07K 16/10 (20130101); A61K 39/15 (20130101); A61K 39/395 (20130101); C07K 2317/31 (20130101); C07K 2317/565 (20130101); C07K 2317/52 (20130101)</t>
  </si>
  <si>
    <t>The present disclosure provides antibodies and antigen-binding fragments     thereof that bind specifically to a coronavirus spike protein and methods     of using such antibodies and fragments for treating or preventing viral     infections (e.g., coronavirus infections).</t>
  </si>
  <si>
    <t>US10975126</t>
  </si>
  <si>
    <t>MERS-CoV inhibitor peptides</t>
  </si>
  <si>
    <t>16/857136</t>
  </si>
  <si>
    <t>Mahmoud Kandeel Elsayed, Abdulla Yousef Al-Taher, Hyung-Joo Kwon, Mohammed Al-Nazawi</t>
  </si>
  <si>
    <t>C07K 14/005 (20130101); A61K 38/00 (20130101); C07K 2319/00 (20130101)</t>
  </si>
  <si>
    <t>US10973910</t>
  </si>
  <si>
    <t>Neoglycoconjugates as vaccines and therapeutic tools</t>
  </si>
  <si>
    <t>Tze Chieh Shiao, Serge Moffett, Serge Mignani, Rene Roy</t>
  </si>
  <si>
    <t>A61K 39/215 (20130101); A61K 2039/6037 (20130101); A61K 2039/6056 (20130101)</t>
  </si>
  <si>
    <t>US10973909</t>
  </si>
  <si>
    <t>16/842669</t>
  </si>
  <si>
    <t>TREOS BIO LIMITED</t>
  </si>
  <si>
    <t>TREOS BIO</t>
  </si>
  <si>
    <t>Zsolt Csiszovszki, Orsolya Lorincz, Levente Molnar, Peter Pales, Katalin Pantya, Eszter Somogyi, Jozsef Toth, Eniko R. Toke</t>
  </si>
  <si>
    <t>A61K 39/215 (20130101); C07K 14/70539 (20130101); A61K 39/39 (20130101); C07K 14/70517 (20130101); C07K 14/70514 (20130101)</t>
  </si>
  <si>
    <t>The disclosure relates to polypeptides, vaccines and pharmaceutical     compositions that find use in the prevention or treatment of     Coronaviridae or SARS-CoV-2 infection. The disclosure also relates to     methods of treating or preventing Coronaviridae or SARS-CoV-2 infection     in an individual. The polypeptides and vaccines comprise T cell and/or B     cell epitopes that are immunogenic in a high percentage of individuals in     the human population.</t>
  </si>
  <si>
    <t>US10973908</t>
  </si>
  <si>
    <t>Expression of SARS-CoV-2 spike protein receptor binding domain in     attenuated salmonella as a vaccine</t>
  </si>
  <si>
    <t>15/931669</t>
  </si>
  <si>
    <t>BERMUDES, DAVID G, DR</t>
  </si>
  <si>
    <t>BERMUDES DAVID</t>
  </si>
  <si>
    <t>A61K 39/0258 (20130101); C12N 1/20 (20130101); C12N 15/70 (20130101); A61K 39/215 (20130101); C12R 1/19 (20130101)</t>
  </si>
  <si>
    <t>A live genetically engineered bacterium, comprising a genetically     engineered construct comprising a nucleic acid sequence encoding at least     one portion of a SARS-CoV-2 antigen, the live genetically engineered     bacterium being adapted for administration to a human or animal and     colonization of at least one tissue under non-lethal conditions. The     antigen is preferably the SARS-CoV-2 spike protein. The nucleic acid     sequence preferably includes an associated promoter.</t>
  </si>
  <si>
    <t>US10973900</t>
  </si>
  <si>
    <t>Dried composition</t>
  </si>
  <si>
    <t>Vanessa Jully, Erwan Bourles</t>
  </si>
  <si>
    <t>A61K 39/04 (20130101); A61K 9/19 (20130101); A61K 2039/55555 (20130101); A61K 2039/55577 (20130101)</t>
  </si>
  <si>
    <t>US10973470</t>
  </si>
  <si>
    <t>System and method for screening and prediction of severity of infection</t>
  </si>
  <si>
    <t>Robert Steven Newberry, Matthew Rodencal</t>
  </si>
  <si>
    <t>A61B 5/0022 (20130101); A61B 5/14551 (20130101); A61B 5/02416 (20130101); A61B 5/01 (20130101); A61B 5/0002 (20130101); A61B 5/743 (20130101); G16H 40/63 (20180101); A61B 5/6893 (20130101); A61B 5/7275 (20130101); A61B 5/6817 (20130101); A61B 5/1455 (20130101); A61B 5/14532 (20130101); A61B 5/4845 (20130101); A61B 5/681 (20130101); A61B 5/7225 (20130101); A61B 2560/0223 (20130101); A61B 5/6826 (20130101)</t>
  </si>
  <si>
    <t>US10968493</t>
  </si>
  <si>
    <t>16/938575</t>
  </si>
  <si>
    <t>Kits and methods are provided for performing multiplex LAMP reactions.     These kits and methods are directed to specific and sensitive methods of     target nucleic acid detection and more specifically pathogen diagnostics     such as detection of Coronavirus. The kits and methods utilize a     plurality of sets of oligonucleotide primers for targeting different     template sequences in a single nucleic acid target. The kits and methods     also include guanidium salts that enhance the sensitivity of the assay.</t>
  </si>
  <si>
    <t>US10967368</t>
  </si>
  <si>
    <t>Method for reducing clinical false positives and negatives in the     detection of SARS-CoV-2</t>
  </si>
  <si>
    <t>16/997850</t>
  </si>
  <si>
    <t>G01N 33/5306 (20130101); B01L 1/52 (20190801); B01L 3/508 (20130101); G01N 1/10 (20130101); C12Q 1/6848 (20130101); G01N 33/56983 (20130101); B01D 15/18 (20130101); C12Q 1/70 (20130101); G01N 30/7233 (20130101); B01L 2300/0609 (20130101); B01L 2200/141 (20130101); B01L 2200/18 (20130101)</t>
  </si>
  <si>
    <t>US10967204</t>
  </si>
  <si>
    <t>Self-contained negative pressure environment device and system</t>
  </si>
  <si>
    <t>17/024305</t>
  </si>
  <si>
    <t>SCONE MEDICAL SOLUTIONS INC.</t>
  </si>
  <si>
    <t>SCONE MEDICAL SOLUTIONS</t>
  </si>
  <si>
    <t>Michael Adams, Kristen Adams, Joseph V. Ranalletta, Gonghao Wang</t>
  </si>
  <si>
    <t>B01D 46/10 (20130101); A62B 23/02 (20130101); A62B 7/10 (20130101); A61G 10/04 (20130101); A61G 10/005 (20130101)</t>
  </si>
  <si>
    <t>A system directed to providing a self-contained negative pressure     environment (SCONE) to remove airborne particulates emitted from a     patient. The system prevents exposure to pathogenic biological airborne     particulates during triage, transportation, and treatment, including     aerosol generating procedures (AGPs) and end of life care. This system is     directed to a collapsible device having a flexible cover covering two     support members, with openings in the flexible cover such that medical     professionals can reach in and operate within. The present invention is     further adaptable to patients and operating environments of various     sizes.</t>
  </si>
  <si>
    <t>US10967182</t>
  </si>
  <si>
    <t>Devices and methods for reducing inflammation using electrical stimulation</t>
  </si>
  <si>
    <t>16/846220</t>
  </si>
  <si>
    <t>SPARK BIOMEDICAL, INC.</t>
  </si>
  <si>
    <t>SPARK BIOMEDICAL</t>
  </si>
  <si>
    <t>Navid Khodaparast, Alejandro Covalin</t>
  </si>
  <si>
    <t>A61N 1/0492 (20130101); A61N 1/36036 (20170801); A61N 1/36031 (20170801); A61N 1/0456 (20130101); A61N 1/06 (20130101)</t>
  </si>
  <si>
    <t>Systems and methods for reducing pulmonary inflammation and/or increasing     bronchial compliance in a patient utilize transcutaneous stimulation of     neural structures in a region of an ear of a patient delivered by an     auricular stimulation device having an in-ear component with a first     electrode disposed in a patient's ear and an earpiece component with a     second electrode placed around the auricle. A pulse generator may control     delivery of therapy by delivering both a first series of stimulation     pulses to the first electrode for stimulating a first neural structure(s)     and a second series of stimulation pulses to the second electrode for     stimulating second neural structure(s). The first and second electrodes     are in non-piercing contact with tissue on and/or surrounding the ear.     The systems and methods may be used to treat viral or bacteria     infections, such as SARS, MERS, or COVID-19.</t>
  </si>
  <si>
    <t>US10966471</t>
  </si>
  <si>
    <t>Soft silicon edged cushion for face masks</t>
  </si>
  <si>
    <t>16/880496</t>
  </si>
  <si>
    <t>A41D 13/11 (20130101); A41D 13/015 (20130101)</t>
  </si>
  <si>
    <t>A soft medical silicone edged cushion may significantly reduce air     leakage and provide comfort to a wearer of a face mask, for example, when     the face mask is continually worn by a healthcare worker for a twelve     hour shift of medical duty. The cushion may preferably be U-shaped and     comprise a cross-section for holding an extra soft silicone gel, yet be     sufficiently hard and elastic and of predetermined circumference to be     adaptable to self-installation to the lateral edges of a face mask and     coatable to protect from the escape of air and to fit comfortably despite     the use of elastic straps with the face mask or the presence of solid     plastic lateral edges of an oxygen mask or a ventilator mask. The cushion     may be used to cushion a solid plastic laterally edged oxygen or     ventilator mask against the use of elastic ties to tie the face mask     around a patient's head.</t>
  </si>
  <si>
    <t>US10964415</t>
  </si>
  <si>
    <t>Automated systems and methods for obtaining, storing, processing and     utilizing immunologic information of an individual or population for     various uses</t>
  </si>
  <si>
    <t>Francis Michon, Samuel L. Moore, Samuel J. Wohlstadter, Charles Quentin Davis, Glen Otero, Aaron S. Haleva</t>
  </si>
  <si>
    <t>G16H 50/70 (20180101); G16H 50/80 (20180101); G06Q 50/22 (20130101); G06Q 10/10 (20130101); G16H 50/30 (20180101); G16H 10/60 (20180101); Y02A 90/10 (20180101)</t>
  </si>
  <si>
    <t>US10964412</t>
  </si>
  <si>
    <t>Population-based medical rules via anonymous sharing</t>
  </si>
  <si>
    <t>15/299337</t>
  </si>
  <si>
    <t>Q BIO, INC.</t>
  </si>
  <si>
    <t>BIO</t>
  </si>
  <si>
    <t>Jeffrey Howard Kaditz, Andrew Gettings Stevens</t>
  </si>
  <si>
    <t>G16H 10/60 (20180101); G16H 50/80 (20180101); G16H 40/67 (20180101)</t>
  </si>
  <si>
    <t>A computer system may iteratively modify a local medical rule that is     based on an initial sub-population. In particular, after information     specifying the local medical rule and sharing instructions are received     from a user of the computer system, the computer system may iteratively     apply the local medical rule to one or more additional sub-populations     that are associated with other users of the computer system based on the     sharing instructions without sharing PHI associated with the initial     sub-population. Then, the computer system may aggregate results for the     one or more additional sub-populations, and may generate the     population-based medical rule by modifying the local medical rule based     on the aggregated results and one or more quality metrics. Moreover, the     computer system may selectively provide the population-based medical rule     to the user without sharing PHI associated with the one or more     additional sub-populations.</t>
  </si>
  <si>
    <t>US10962529</t>
  </si>
  <si>
    <t>Fluorescent probe based biosensor and assay for the detection of     SARS-CoV-2</t>
  </si>
  <si>
    <t>17/108263</t>
  </si>
  <si>
    <t>Hani A. Alhadrami, Mohammed Zourob</t>
  </si>
  <si>
    <t>G01N 33/533 (20130101); C12Q 1/37 (20130101); G01N 21/6428 (20130101); C12Q 1/04 (20130101); G01N 2021/6432 (20130101); G01N 2333/165 (20130101); G01N 2021/6439 (20130101); G01N 2333/9513 (20130101)</t>
  </si>
  <si>
    <t>A method for detecting a SARS-Cov-2 protease in a biological sample is     provided. The method includes contacting the biological sample with a     fluorescent probe based sensor, wherein the sensor comprises an     L-Histidine-D-aspartic acid peptide substrate, a fluorophore, and a     quencher molecule; and detecting the SARS-Cov-2 protease when an increase     in fluorescence is observed.</t>
  </si>
  <si>
    <t>US10961283</t>
  </si>
  <si>
    <t>Self-assembling insect ferritin nanoparticles for display of co-assembled     trimeric antigens</t>
  </si>
  <si>
    <t>16/312166</t>
  </si>
  <si>
    <t>Peter Kwong, Ivelin Georgiev, Michael Gordon Joyce, Masaru Kanekiyo, Aliaksandr Druz, Ulrich Baxa, Joseph Van Galen, Cheng Cheng, John Mascola, Yaroslav Tsybovsky, Yongping Yang, Barney Graham, Syed Mohammad Moin, Jeffrey Boyington</t>
  </si>
  <si>
    <t>A61K 39/21 (20130101); C07K 14/165 (20130101); C07K 14/43563 (20130101); C07K 14/082 (20130101); C07K 14/162 (20130101); C07K 14/11 (20130101); C12N 7/00 (20130101); A61K 2039/55555 (20130101); C07K 2319/735 (20130101); C12N 2770/20034 (20130101); C12N 2760/16134 (20130101); C12N 2740/16134 (20130101)</t>
  </si>
  <si>
    <t>Disclosed are recombinant insect ferritin nanoparticles that can be used     to display two different trimeric antigens at an equal ratio. Also     disclosed are nucleic acids encoding the recombinant insect ferritin     nanoparticles and methods of producing the recombinant insect ferritin     nanoparticles. Methods for eliciting an immune response in a subject are     also provided.</t>
  </si>
  <si>
    <t>US10960238</t>
  </si>
  <si>
    <t>17/083413</t>
  </si>
  <si>
    <t>Reele, Samuel; Goeckel, Louis Christopher</t>
  </si>
  <si>
    <t>REELE SAMUEL</t>
  </si>
  <si>
    <t>Samuel Reele, Louis Christopher Goeckel</t>
  </si>
  <si>
    <t>A41D 13/1107 (20130101); A62B 18/025 (20130101); A62B 23/02 (20130101); A41D 13/1184 (20130101); A62B 18/084 (20130101); A62B 18/02 (20130101); A41D 13/1161 (20130101); A62B 18/082 (20130101); A41D 2500/30 (20130101)</t>
  </si>
  <si>
    <t>A face mask for a user having a face, a nose and a mouth, the face mask     including a covering including a periphery, a top end, a bottom end, the     covering configured to cover at least a portion of the nose of the user     and at least a portion of the mouth of the user, wherein the covering is     configured substantially according to the shape and size of the nose of     the user and the mouth of the user; a first opening disposed at a first     location of the covering; a second opening disposed at a second location     of the covering; a first filter configured for covering the first     opening; a second filter configured for covering the second opening; and     a seal disposed on the periphery.</t>
  </si>
  <si>
    <t>US10960070</t>
  </si>
  <si>
    <t>Prefusion coronavirus spike proteins and their use</t>
  </si>
  <si>
    <t>Barney Graham, Jason McLellan, Andrew Ward, Robert Kirchdoerfer, Christopher Cottrell, Michael Gordon Joyce, Masaru Kanekiyo, Nianshuang Wang, Jesper Pallesen, Hadi Yassine, Hannah Turner, Kizzmekia Corbett</t>
  </si>
  <si>
    <t>A61P 31/14 (20180101); C12N 7/00 (20130101); C07K 14/005 (20130101); A61K 39/215 (20130101); C12N 2770/20034 (20130101); C12N 2770/20022 (20130101); C12N 2770/20071 (20130101)</t>
  </si>
  <si>
    <t>US10959969</t>
  </si>
  <si>
    <t>Methods of treating SARS Cov-2 virus with protocatechuic acid</t>
  </si>
  <si>
    <t>16/947759</t>
  </si>
  <si>
    <t>Lanny L Johnson</t>
  </si>
  <si>
    <t>A61P 31/14 (20180101); A61K 9/0043 (20130101); A61K 9/0053 (20130101); A61K 9/0073 (20130101); A61K 9/0019 (20130101); A61K 9/0014 (20130101); A61K 31/192 (20130101); A61K 9/1617 (20130101)</t>
  </si>
  <si>
    <t>The present disclosure provides methods for killing the SARS CoV-2 virus     in mammals and treating the Coronavirus Disease-19 (Covid-19) in mammals     including humans using compositions including protocatechuic acid. The     present disclosure provides methods and pharmaceutical and nutraceutical     compositions that reduce or substantially eliminate the SARS CoV-2 virus     in mammals. In one embodiment, a method of treating a mammal with     Covid-19 is provided comprising administering protocatechuic acid to a     mammal in need of such treatment a therapeutically effective amount of a     protocatechuic acid composition.</t>
  </si>
  <si>
    <t>US10954289</t>
  </si>
  <si>
    <t>Anti-SARS-CoV-2-spike glycoprotein antibodies and antigen-binding     fragments</t>
  </si>
  <si>
    <t>17/021286</t>
  </si>
  <si>
    <t>REGENERON PHARMA; REGENEREN PHARMACEUTICALS INC</t>
  </si>
  <si>
    <t>REGENERON PHARMA; REGENEREN PHARMACEUTICALS</t>
  </si>
  <si>
    <t>A61K 45/06 (20130101); C07K 16/10 (20130101); A61K 39/395 (20130101); A61K 39/15 (20130101); C07K 2317/52 (20130101); C07K 2317/31 (20130101); C07K 2317/565 (20130101)</t>
  </si>
  <si>
    <t>US10953126</t>
  </si>
  <si>
    <t>EVADE system (Externally Vented Aerosol and Droplet Evacuation System)</t>
  </si>
  <si>
    <t>17/100907</t>
  </si>
  <si>
    <t>Masek, Richard Thomas</t>
  </si>
  <si>
    <t>MASEK RICHARD</t>
  </si>
  <si>
    <t>Richard Thomas Masek</t>
  </si>
  <si>
    <t>A61L 9/12 (20130101); A61L 9/20 (20130101); A61L 2209/14 (20130101); A61L 2209/12 (20130101); A61L 2209/212 (20130101)</t>
  </si>
  <si>
    <t>The EVADE (Externally Vented Aerosol and Droplet Evacuation) system is     designed to treat collected aerosols with ultraviolet radiation and     exposure to ozone gas to prevent the spread of COVID or other infectious     pathogens. The system uses an externally vented central vacuum system     which produces up to 280 CFM of vacuum flow to facilitate collection of     potentially contaminated oral aerosols and droplets generated by     instrumentation of any type within the medical, dental or any other field     which generates said aerosols. The aerosols are collected within a     mirrored chamber, reflecting UVC light in all directions and exposing the     aerosols to ozone before moving through HEPA particle filtration and out     of the environment through the exhaust of a central vacuum system.</t>
  </si>
  <si>
    <t>US10953089</t>
  </si>
  <si>
    <t>16/997001</t>
  </si>
  <si>
    <t>Gale Smith, Michael J. Massare, Jing-Hui Tian</t>
  </si>
  <si>
    <t>A61P 31/14 (20180101); A61K 39/215 (20130101); A61K 2039/55577 (20130101); A61K 2039/545 (20130101); C12N 2770/20034 (20130101)</t>
  </si>
  <si>
    <t>US10953088</t>
  </si>
  <si>
    <t>Vaccine compositions for porcine epidemic diarrhea virus and porcine     deltacoronavirus</t>
  </si>
  <si>
    <t>Jacqueline Gayle Marx, John Morgan Hardham, Paul J. Dominowski, Vicki Jon Rapp Gabrielson, Monica Balasch Sanuy, Marta Cabana Sumsi, Laia Plaja Dilme, Alicia Urniza Hostench, Oscar Romero Galindo</t>
  </si>
  <si>
    <t>C12N 7/00 (20130101); A61K 39/12 (20130101); A61K 39/215 (20130101); C12N 2770/20063 (20130101); C12N 2770/20071 (20130101); A61K 2039/70 (20130101); A61K 2039/55566 (20130101); C12N 2770/20022 (20130101); A61K 2039/5252 (20130101); C12N 2770/20034 (20130101); A61K 2039/55505 (20130101); A61K 2039/575 (20130101); A61K 2039/552 (20130101)</t>
  </si>
  <si>
    <t>US10952812</t>
  </si>
  <si>
    <t>Devices, systems, and methods for protecting healthcare workers from     airborne pathogens</t>
  </si>
  <si>
    <t>16/998580</t>
  </si>
  <si>
    <t>Mojgan Saadat, Vahid Saadat, William Jason Fox, William L. Gould, Matthew Allison Herron, Andrew Ivan Poutiatine</t>
  </si>
  <si>
    <t>A41D 13/11 (20130101); A62B 18/08 (20130101); A62B 18/025 (20130101); A61B 90/40 (20160201); A62B 18/10 (20130101); A61B 2090/401 (20160201); A62B 18/006 (20130101); A61B 46/20 (20160201)</t>
  </si>
  <si>
    <t>US10948490</t>
  </si>
  <si>
    <t>Severe acute respiratory syndrome (SARS)--associated coronavirus     diagnostics</t>
  </si>
  <si>
    <t>16/944649</t>
  </si>
  <si>
    <t>Sylvie Van Der Werf, Nicolas Escriou, Caroline Demeret, Stephane Petres, Pierre Lafaye, Jacques Bellalou</t>
  </si>
  <si>
    <t>G01N 33/54306 (20130101); G01N 33/569 (20130101); G01N 33/6875 (20130101); C12N 7/00 (20130101); G01N 2333/165 (20130101)</t>
  </si>
  <si>
    <t>US10948170</t>
  </si>
  <si>
    <t>Portable social distancing devices and applications thereof</t>
  </si>
  <si>
    <t>16/913674</t>
  </si>
  <si>
    <t>IDEAL INDUSTRIES LIGHTING LLC</t>
  </si>
  <si>
    <t>IDEAL INDUSTRIES LIGHTING</t>
  </si>
  <si>
    <t>Craig Atwater, Nathan R. Snell, Matthew Deese, Kurt Schreib, Moxuan Zhu, Randy Bernard, Bradley Scott Thomas, Corey Goldstein, Rachel Bowman</t>
  </si>
  <si>
    <t>F21V 23/06 (20130101); F21V 21/08 (20130101); F21V 19/02 (20130101); G08B 21/02 (20130101); F21S 9/02 (20130101); G08B 5/36 (20130101); A41D 13/01 (20130101); F21W 2111/00 (20130101); F21Y 2115/10 (20160801)</t>
  </si>
  <si>
    <t>portable social distancing devices are described herein which, in some     embodiments, are wearable by a user to maintain proper social distancing     in any environment. In one aspect, a portable social distancing device     comprises a housing, a mounting assembly coupled to the housing, and a     projection assembly comprising two or more adjustable light sources for     projecting a visible perimeter a predetermined distance from the portable     social distancing device. The two or more light sources, for example, can     be independently adjustable along two axes.</t>
  </si>
  <si>
    <t>US10946110</t>
  </si>
  <si>
    <t>Systems and methods for providing ultraviolet sterilization, disinfection     and decontamination of gaming equipment</t>
  </si>
  <si>
    <t>16/866517</t>
  </si>
  <si>
    <t>David Colvin, Eric D. Colvin, Keith Matthew Kruczynski, Sassoun Sarhadian</t>
  </si>
  <si>
    <t>A61L 2/10 (20130101); G07F 17/3209 (20130101); G07F 17/3216 (20130101); A61L 2/24 (20130101); A61L 2202/14 (20130101); A61L 2202/11 (20130101)</t>
  </si>
  <si>
    <t>Systems and methods for providing ultraviolet (UV) sterilization,     disinfection and decontamination of electronic gaming machines (EGMs),     gaming chips, dice, playing cards, currency, TITO tickets, etc. The     ultraviolet sterilization, disinfection and decontamination may include a     plurality of UV LEDs or RGB-UV LEDs of such wavelengths to be effective     in reducing or eliminating viruses or the like. Pass through or planar     arrays of UV or RGB-UV LEDs are mounted to or installed within a variety     of gaming devices or equipment such as EGMs, chip trays, dice holders,     automatic card shufflers, bill validators, magnetic card readers,     currency counting or currency dispensing devices, printers, etc.</t>
  </si>
  <si>
    <t>US10946088</t>
  </si>
  <si>
    <t>Preparation of influenza virus vaccine antigens</t>
  </si>
  <si>
    <t>14/961778</t>
  </si>
  <si>
    <t>Christoph Haussmann, Frank Hauschild, Bjorn Jobst</t>
  </si>
  <si>
    <t>A61K 39/145 (20130101); C12N 7/00 (20130101); A61K 39/12 (20130101); C12N 2760/16163 (20130101); A61K 2039/5252 (20130101); C12N 2760/16134 (20130101); C12N 2760/16051 (20130101); C12N 2760/16034 (20130101)</t>
  </si>
  <si>
    <t>US10945470</t>
  </si>
  <si>
    <t>Face shield</t>
  </si>
  <si>
    <t>16/914465</t>
  </si>
  <si>
    <t>Ira Maroofian, Chris Mair</t>
  </si>
  <si>
    <t>A41D 13/1161 (20130101); A41D 13/1107 (20130101); A41D 13/1184 (20130101)</t>
  </si>
  <si>
    <t>US10945469</t>
  </si>
  <si>
    <t>Respirator</t>
  </si>
  <si>
    <t>16/918702</t>
  </si>
  <si>
    <t>GROVE BIOMEDICAL LLC</t>
  </si>
  <si>
    <t>GROVE BIOMEDICAL</t>
  </si>
  <si>
    <t>Joseph Rosenberg, Qing Xiang Yee, Joshua Boggs, Adam Pozdro, Benjamin Frothingham, Douglas Clift</t>
  </si>
  <si>
    <t>A62B 18/02 (20130101); A41D 13/1161 (20130101); A62B 18/08 (20130101); A62B 7/10 (20130101); A41D 13/0002 (20130101); A62B 23/02 (20130101)</t>
  </si>
  <si>
    <t>A respirator mask. The respirator mask has a filter that extends around     at least a portion of the perimeter of the mask itself, leaving a central     area that coincides with the position of the wearer's mouth unobstructed.     A front panel of the mask may be transparent over at least the central     area in order to allow the mouth to be seen while the mask is worn. The     filter may be a pleated particulate filter, a chemical/gas filter, or a     filter of mixed type. The front panel may also include other features,     like a port for a drinking straw. The respirator mask may include     headgear.</t>
  </si>
  <si>
    <t>US10941213</t>
  </si>
  <si>
    <t>Anti-TMPRSS2 antibodies and antigen-binding fragments</t>
  </si>
  <si>
    <t>Lisa Purcell</t>
  </si>
  <si>
    <t>C07K 16/1018 (20130101); C07K 16/283 (20130101); C07K 16/28 (20130101); A61P 31/16 (20180101); C07K 16/40 (20130101); C12N 9/6424 (20130101); A61K 9/0019 (20130101); A61K 2039/505 (20130101); C07K 2317/92 (20130101); C07K 2317/76 (20130101); C07K 2317/31 (20130101); C07K 2317/52 (20130101); C07K 2317/94 (20130101); C07K 2317/565 (20130101); C07K 2317/24 (20130101); A61K 2039/54 (20130101); C07K 2319/30 (20130101); C07K 2317/21 (20130101); A61K 2039/507 (20130101)</t>
  </si>
  <si>
    <t>US10940220</t>
  </si>
  <si>
    <t>Standalone UV-C sanitizing apparatus and method</t>
  </si>
  <si>
    <t>Douglas A Crosby, Thomas Crampton, Andrew Sweet</t>
  </si>
  <si>
    <t>A61L 2/0047 (20130101); A61L 2202/11 (20130101); A61L 2202/14 (20130101)</t>
  </si>
  <si>
    <t>US10940201</t>
  </si>
  <si>
    <t>Nucleic acid derivative having immunostimulatory activity</t>
  </si>
  <si>
    <t>15/907920</t>
  </si>
  <si>
    <t>SHIONOGI &amp; CO., LTD.</t>
  </si>
  <si>
    <t>SHIONOGI</t>
  </si>
  <si>
    <t>Akira Kugimiya, Tetsuya Tanino, Mitsuaki Sekiguchi, Yasunori Mitsuoka, Norikazu Kuroda, Jun Nakamura</t>
  </si>
  <si>
    <t>A61P 35/00 (20180101); A61P 31/04 (20180101); A61K 39/39 (20130101); A61K 39/0011 (20130101); A61K 39/001156 (20180801); A61K 39/104 (20130101); A61K 2039/545 (20130101); A61K 2039/55561 (20130101); A61K 2039/55566 (20130101); A61K 2039/70 (20130101); A61K 2039/572 (20130101)</t>
  </si>
  <si>
    <t>The purpose of the present invention is to provide double-stranded     oligonucleotides comprising the CpG oligonucleotide mentioned below, as a     nucleic acid derivative having an immunostimulatory activity. An adjuvant     comprising a double-stranded oligonucleotide, wherein a first strand is a     CpG oligonucleotide consisting of 8 to 50 nucleotides, a second strand is     an oligonucleotide consisting of 8 to 60 nucleotides and comprising a     sequence capable of hybridizing with the first strand, and a lipid binds     to the second strand through a linker.</t>
  </si>
  <si>
    <t>US10937296</t>
  </si>
  <si>
    <t>System and method to manage safe physical distancing between entities</t>
  </si>
  <si>
    <t>16/914961</t>
  </si>
  <si>
    <t>UNITYBAND, LLC</t>
  </si>
  <si>
    <t>UNITYBAND</t>
  </si>
  <si>
    <t>Rishi Kukreja, Gary Barbour, Sunny Kapoor, Soumendra Mahapatra</t>
  </si>
  <si>
    <t>H04W 12/06 (20130101); G08B 25/10 (20130101); G16H 50/80 (20180101); G08B 21/02 (20130101); G08B 21/245 (20130101); G16H 50/20 (20180101); G16H 10/40 (20180101); G16H 10/20 (20180101); G16H 10/65 (20180101); G16H 40/67 (20180101); G16H 50/30 (20180101); G06K 7/10366 (20130101); G06Q 50/01 (20130101)</t>
  </si>
  <si>
    <t>A wearable electronic device, system and method to manage safe physical     distancing between a first entity and one or more proximate entities for     limiting pathogenic exposure therebetween, includes obtaining an identity     attribute associated with a wearable electronic device worn by the first     entity; authenticating a first entity electronic device or a computing     device; receiving, at a centralized server, a first set of data packets     related to a status query associated with the one or more health     attributes of the first entity; computing a status information, in     response to the status query; transmitting a second set of data packets     related to the computed status information; and transmitting the obtained     status information, to provide one or more unique alerts on the wearable     electronic device of the one or more health attributes of the first     entity to the one or more proximate entities.</t>
  </si>
  <si>
    <t>US10934067</t>
  </si>
  <si>
    <t>Sanitary covers for drink containers and method</t>
  </si>
  <si>
    <t>15/929838</t>
  </si>
  <si>
    <t>Cristea, Jr., William J.</t>
  </si>
  <si>
    <t>CRISTEA</t>
  </si>
  <si>
    <t>William J. Cristea, Jr.</t>
  </si>
  <si>
    <t>B65D 51/12 (20130101); B65D 2401/15 (20200501)</t>
  </si>
  <si>
    <t>A sanitary cover provides an improved way to prevent or lessen the spread     of infectious diseases, such as COVID-19, the flu, and/or the common     cold, through indirect contact with beverage containers. The sanitary     cover includes a sleeve of flexible absorptive fabric that is impregnated     with a liquid germicidal disinfectant. The sleeve is sized and shaped to     fit onto and over the pour-through opening of a beverage container. A set     of connected sanitary covers is formed by an elongate tubular sleeve of     the flexible absorptive fabric impregnated with a liquid germicidal     disinfectant and divided into individual ones of the sanitary covers by     frangible line and a seam formed in the elongate tubular sleeve between     each adjacent pair of the sanitary covers.</t>
  </si>
  <si>
    <t>US10933130</t>
  </si>
  <si>
    <t>Vaccines with interleukin-33 as an adjuvant</t>
  </si>
  <si>
    <t>David Weiner, Daniel Villarreal, Matthew Morrow, Jian Yan</t>
  </si>
  <si>
    <t>C07K 14/54 (20130101); A61K 39/12 (20130101); A61K 38/20 (20130101); C12N 15/63 (20130101); A61K 39/04 (20130101); A61K 38/162 (20130101); A61K 39/015 (20130101); A61K 38/164 (20130101); C12N 7/00 (20130101); C12N 15/8206 (20130101); A61K 39/21 (20130101); A61K 39/39 (20130101); A61K 2039/54 (20130101); C12N 2710/20034 (20130101); A61K 39/0011 (20130101); A61K 2039/55527 (20130101); C07K 14/445 (20130101); A61K 2039/57 (20130101); C12N 2760/10034 (20130101); A61K 2039/585 (20130101); C07K 14/005 (20130101); C12N 15/09 (20130101); A61K 2039/572 (20130101); C07K 14/35 (20130101); A61K 2039/53 (20130101); C07K 14/16 (20130101); Y02A 50/30 (20180101); C07K 14/025 (20130101); C12N 2740/16034 (20130101); A61K 2039/575 (20130101)</t>
  </si>
  <si>
    <t>US10933127</t>
  </si>
  <si>
    <t>Betacoronavirus mRNA vaccine</t>
  </si>
  <si>
    <t>Giuseppe Ciaramella, Sunny Himansu</t>
  </si>
  <si>
    <t>C07K 16/1027 (20130101); A61P 11/00 (20180101); A61K 39/155 (20130101); A61K 39/12 (20130101); A61K 39/215 (20130101); C07K 16/10 (20130101); A61K 2039/55511 (20130101); C12N 2770/20034 (20130101); C12N 2760/18034 (20130101); A61K 2039/70 (20130101); A61K 2039/53 (20130101); C12N 2760/18434 (20130101); C12N 2760/18634 (20130101); Y02A 50/30 (20180101); C07K 2317/76 (20130101); A61K 2039/6018 (20130101); C12N 2760/18334 (20130101); C12N 2760/18534 (20130101); A61K 2039/55555 (20130101)</t>
  </si>
  <si>
    <t>US10932505</t>
  </si>
  <si>
    <t>Enzyme-enhanced anti-viral fabrics</t>
  </si>
  <si>
    <t>17/022236</t>
  </si>
  <si>
    <t>Mandy Jane Ward, Adam Warwick Bell</t>
  </si>
  <si>
    <t>A61P 31/12 (20180101); D06M 16/003 (20130101); C12Y 304/00 (20130101); C12Y 301/01003 (20130101); A61K 38/465 (20130101); A41D 13/1192 (20130101); A61K 38/43 (20130101)</t>
  </si>
  <si>
    <t>US10927404</t>
  </si>
  <si>
    <t>Pathogen detection using aptamer molecular beacons using a mobile device</t>
  </si>
  <si>
    <t>17/026138</t>
  </si>
  <si>
    <t>G06K 9/00134 (20130101); G06K 9/2027 (20130101); G06T 7/0012 (20130101); G06K 7/1413 (20130101); C12Q 1/6823 (20130101); G06T 2207/30024 (20130101)</t>
  </si>
  <si>
    <t>US10926046</t>
  </si>
  <si>
    <t>Gravity dependent ventilator</t>
  </si>
  <si>
    <t>16/881921</t>
  </si>
  <si>
    <t>LARKINS GROVER L; THE FLORIDA INTERNATIONAL UNIV BOARD OF TRUSTEES</t>
  </si>
  <si>
    <t>LARKINS GROVER FLORIDA UNIV BOARD TRUSTEES</t>
  </si>
  <si>
    <t>Grover L. Larkins</t>
  </si>
  <si>
    <t>A61M 16/0063 (20140204); A61M 16/021 (20170801); A61M 16/206 (20140204)</t>
  </si>
  <si>
    <t>A ventilator that utilizes a cam lever to raise a piston within a     cylinder is provided. The weight of the piston can push breathable air     out of the cylinder to a patient. A motor assembly provides the only     electronic component necessary to operate the ventilator. Adjustments to     volume, speed, and pressure can be made by adjusting mechanical     components of the ventilator.</t>
  </si>
  <si>
    <t>US10925989</t>
  </si>
  <si>
    <t>Sanitization booth</t>
  </si>
  <si>
    <t>16/884739</t>
  </si>
  <si>
    <t>Wiseman Dumisani Mthethwa</t>
  </si>
  <si>
    <t>A61L 2/22 (20130101); B05B 14/40 (20180201); A61L 2202/26 (20130101); A61L 2202/121 (20130101); A61L 2202/16 (20130101); A61L 2202/15 (20130101); A61L 2202/122 (20130101); A61L 2202/14 (20130101)</t>
  </si>
  <si>
    <t>The invention provides a sanitization booth 10 has side walls 12     approximately twice as long as it's entrance and exit openings 14, 16 are     wide to permit a person to step into the booth and pass therethrough     while being sprayed or misted with a sanitization or disinfection liquid,     from above 18, below 20, and the sides 22 by liquid sanitizer pumped     through a reticulation pipe system 24 and through nozzles 26 along the     extent thereof, thereby to sanitize the person, their clothing, as well     as their footwear including the soles thereof. The booth 10 includes a     hand sanitization point 28 at the entrance 14 to the booth 10 so that the     person who has been sanitized by passing through the booth also sanitizes     their hands which have been used to cover their eyes while in the booth.     The invention also provides a sanitization system and a kit for assembly     of a sanitization apparatus.</t>
  </si>
  <si>
    <t>US10925961</t>
  </si>
  <si>
    <t>Vaccines with CD40 ligand as an adjuvant</t>
  </si>
  <si>
    <t>David Weiner, Matthew Morrow, Megan Wise</t>
  </si>
  <si>
    <t>C07K 14/70575 (20130101); A61K 39/21 (20130101); A61K 39/145 (20130101); A61P 35/00 (20180101); C07K 14/70578 (20130101); A61P 31/20 (20180101); A61P 31/16 (20180101); A61K 39/39 (20130101); A61K 39/0011 (20130101); A61K 39/12 (20130101); C12N 2710/20034 (20130101); A61K 2039/53 (20130101); A61K 2039/55516 (20130101); C12N 2760/16134 (20130101); Y02A 50/30 (20180101); C12N 2740/16134 (20130101); A61K 2039/585 (20130101)</t>
  </si>
  <si>
    <t>Disclosed herein is a vaccine comprising an antigen and CD40L. Also     disclosed herein are methods for increasing an immune response in a     subject. The methods may comprise administering the vaccine to the     subject in need thereof.</t>
  </si>
  <si>
    <t>US10925958</t>
  </si>
  <si>
    <t>16/348943</t>
  </si>
  <si>
    <t>Giuseppe Ciaramella</t>
  </si>
  <si>
    <t>A61K 9/5123 (20130101); A61K 39/12 (20130101); A61K 39/145 (20130101); A61P 31/16 (20180101); A61K 2039/545 (20130101); C12N 2760/16134 (20130101); A61K 2039/53 (20130101); A61K 2039/54 (20130101)</t>
  </si>
  <si>
    <t>The invention relates to compositions and methods for the preparation,     manufacture and therapeutic use ribonucleic acid vaccines comprising     polynucleotide molecules encoding one or more influenza antigens, such as     hemagglutinin antigens.</t>
  </si>
  <si>
    <t>US10925957</t>
  </si>
  <si>
    <t>Synergistic co-administration of computationally optimized broadly     reactive antigens for H1N1 influenza</t>
  </si>
  <si>
    <t>Ted Milburn Ross, Tim Alefantis, Donald Martin Carter, Jr., Christopher Austin Darby, Harold Kleanthous</t>
  </si>
  <si>
    <t>A61K 39/12 (20130101); A61K 39/145 (20130101); A61K 2039/55505 (20130101); A61K 2039/55566 (20130101); A61K 2039/70 (20130101); C12N 2760/16134 (20130101); C12N 2760/16123 (20130101)</t>
  </si>
  <si>
    <t>Co-administration (for example, immunogenic cocktail compositions and/or     prime boost regimens) of computationally optimized H1N1 influenza     hemagglutinin (HA) polypeptides is provided. Coadministration of the     optimized H1N1 influenza hemagglutinin (HA) polypeptides facilitates     synergistic neutralization of viral infection and provides for improved     protective immunity (for example, a broad reactive immune response) to     diverse and multiple H1N1 influenza virus strains, including both     seasonal and pandemic strains.</t>
  </si>
  <si>
    <t>US10925950</t>
  </si>
  <si>
    <t>Immunogenic compositions, antigen screening methods, and methods of     generating immune responses</t>
  </si>
  <si>
    <t>15/749928</t>
  </si>
  <si>
    <t>Sean C. Murphy, Brad Stone</t>
  </si>
  <si>
    <t>A61K 45/06 (20130101); A61K 39/015 (20130101); C07K 14/15 (20130101); A61P 33/06 (20180101); A61K 47/6921 (20170801); A61K 2039/545 (20130101); Y02A 50/30 (20180101); A61K 2039/5154 (20130101); A61K 2039/53 (20130101)</t>
  </si>
  <si>
    <t>An immunogenic composition is provided herein. The immunogenic     compositions are used to identify and select immunogenic antigens that     elicit immune responses in a subject and may be subsequently used in     multi-antigen vaccine compositions against one or more diseases or     conditions. According to some embodiments, the immunogenic composition     may include a plurality of nucleic acid fragments or minigenes derived     from a nucleic acid library, wherein each nucleic acid fragment encodes a     different antigen or functional portion thereof, and wherein the     different antigens or functional portions thereof are associated with one     or more disease or condition. The immunogenic composition may also     include a delivery medium loaded with the plurality of nucleic acid     fragments and in some embodiments, the delivery medium is loaded with     nucleic acid fragments in such a way that individual antigen presenting     cells receive only a subset of the nucleic acids within a vaccine in     order to minimize antigenic competition.</t>
  </si>
  <si>
    <t>US10925889</t>
  </si>
  <si>
    <t>Method of treating, reducing, or alleviating a medical condition in a     patient</t>
  </si>
  <si>
    <t>Gholam A. Peyman</t>
  </si>
  <si>
    <t>A61K 31/513 (20130101); A61P 31/14 (20180101); A61K 9/0053 (20130101); A61K 31/7072 (20130101); A61K 31/4045 (20130101); A61K 9/0073 (20130101); A61K 31/727 (20130101); A61K 31/352 (20130101); A61K 31/706 (20130101); A61K 31/13 (20130101); A61K 31/7056 (20130101); A61K 31/7064 (20130101); A61K 9/0019 (20130101); A61K 31/522 (20130101); A61K 47/06 (20130101); A61M 2205/05 (20130101); A61M 1/16 (20130101); A61M 2202/0208 (20130101); A61M 1/3496 (20130101)</t>
  </si>
  <si>
    <t>US10925806</t>
  </si>
  <si>
    <t>Device for acupuncture and moxibustion therapy and uses thereof</t>
  </si>
  <si>
    <t>Xunhua Zhang</t>
  </si>
  <si>
    <t>A61H 39/002 (20130101); A61H 39/04 (20130101); A61H 39/086 (20130101); A61H 2201/5048 (20130101); A61H 2201/501 (20130101); A61H 23/0236 (20130101)</t>
  </si>
  <si>
    <t>An acumoxa therapy device utilizes energy waves for preventing,     alleviating or treating COVID-19 (SARS-CoV-2) coronavirus infection. In     one embodiment, the device delivers energy in a non-invasive manner. In     one embodiment, the device is configured to include an energy pin and one     or more energy rings. In one embodiment, the device delivers sufficient     energy to certain body parts such as acupoints to achieve an intervening     and/or therapeutic effect. In one embodiment, the device maintains or     improves general health, or alleviates or treats a subject with COVID-19     infection and one or more other conditions.</t>
  </si>
  <si>
    <t>US10919020</t>
  </si>
  <si>
    <t>Air filters with functionalized nanotube compositions to control pathogens     such as SARS CoV-2 (coronavirus)</t>
  </si>
  <si>
    <t>16/942974</t>
  </si>
  <si>
    <t>MOLECULAR REBAR DESIGN LLC</t>
  </si>
  <si>
    <t>MOLECULAR REBAR DESIGN</t>
  </si>
  <si>
    <t>Kurt W. Swogger, Gregory L. Porter, Milos Marinkovic</t>
  </si>
  <si>
    <t>B01D 39/1623 (20130101); B01J 20/24 (20130101); B01J 20/205 (20130101); B01D 39/2065 (20130101); B01J 20/0233 (20130101); B01D 46/0036 (20130101); B01J 20/267 (20130101); B01J 20/103 (20130101); B01J 20/0237 (20130101); B01J 20/262 (20130101); B01D 46/0028 (20130101); B01J 20/261 (20130101); B01J 20/28038 (20130101); A61L 9/014 (20130101); A61L 2101/26 (20200801); B01D 2239/025 (20130101); B01D 2239/0414 (20130101); B01D 2239/0442 (20130101); B01D 2257/91 (20130101); B01D 2279/65 (20130101); A61L 2209/14 (20130101)</t>
  </si>
  <si>
    <t>Nanotube compositions may be employed in many different forms alone,     and/or with surfactants, with antiviral metals, with antigens, and/or     with various drugs to control pathogens like viruses e.g., SARS COVID-2,     bacteria, mold, fungi, chemical or biological agents etc in masks or     other personal protection equipment. The personal protection equipment     such as masks reduce, control, absorb, deactivate, detoxify, and/or kill     the pathogens such that a pathogen or pathogens deleterious effects are     reduced and/or eliminated to a user of the mask.</t>
  </si>
  <si>
    <t>US10918993</t>
  </si>
  <si>
    <t>Phipps indoor air filter (PIAF) for capturing and destroying pathogenic     viruses like COVID 19</t>
  </si>
  <si>
    <t>16/997478</t>
  </si>
  <si>
    <t>SAHA ANUJ K</t>
  </si>
  <si>
    <t>SAHA ANUJ</t>
  </si>
  <si>
    <t>Anuj K Saha</t>
  </si>
  <si>
    <t>B01D 53/02 (20130101); B01D 53/84 (20130101); B01D 2253/25 (20130101); B01D 2253/102 (20130101); B01D 2258/06 (20130101); B01D 2257/91 (20130101)</t>
  </si>
  <si>
    <t>The Phipps indoor air filter (PIAF) is configured for use with an indoor     atmosphere that contains one or more pathogenic viruses. The PIAF is a     pharmacologically and phytochemically (P&amp;P) active structure that removes     the one or more viruses from the confined indoor atmosphere. The PIAF     removes the one or more viruses by: a) sequestering the one or more     viruses within the PIAF; and, b) terminating the biological processes of     the one or more viruses using P&amp;P structures. The PIAF incorporates a     flow chamber and a filter structure. The flow chamber contains the filter     structure. The flow chamber forces or draws an air flow through the     filter structure contained within the flow chamber. The filter structure     physically and biochemically: a) sequesters the one or more viruses; and,     b) terminates the biological processes of the one or more viruses by     exposing the one or more viruses to the P&amp;P structures.</t>
  </si>
  <si>
    <t>US10918711</t>
  </si>
  <si>
    <t>A61K 39/145 (20130101); C12N 7/00 (20130101); A61K 39/12 (20130101); A61K 39/102 (20130101); A61K 2039/543 (20130101); A61K 2039/55566 (20130101); C12N 2760/16134 (20130101); A61K 2039/55505 (20130101); A61K 2039/55555 (20130101); A61K 2039/552 (20130101); A61K 2039/55511 (20130101)</t>
  </si>
  <si>
    <t>US10918709</t>
  </si>
  <si>
    <t>Immune modulator and vaccine composition containing the same</t>
  </si>
  <si>
    <t>16/345699</t>
  </si>
  <si>
    <t>EYEGENE INC.</t>
  </si>
  <si>
    <t>EYEGENE</t>
  </si>
  <si>
    <t>Yang Je Cho, Kwangsung Kim, Na Gyong Lee, Shin Ae Park</t>
  </si>
  <si>
    <t>A61K 39/295 (20130101); A61K 31/739 (20130101); A61K 39/39 (20130101); A61K 39/002 (20130101); A61K 39/12 (20130101); A61K 39/00 (20130101); C08B 37/006 (20130101); A61P 31/12 (20180101); A61K 2039/522 (20130101); Y02A 50/30 (20180101); A61K 2039/6087 (20130101); A61K 2039/5254 (20130101)</t>
  </si>
  <si>
    <t>The present invention relates to an immune modulator having a novel     structure, and an immunologic adjuvant composition containing the same     and, more specifically, to an modulator, which is a lipopolysaccharide     (LPS) analog having reduced toxicity, and a use thereof. The immune     modulator of the present invention exhibits immune enhancement effects by     having excellent innate immunity and ability to induce an adaptive immune     response to a specific pathogen, and is very safe by having low toxicity.     In addition, a vaccine containing the immune modulator of the present     invention contains both an immune modulator and an alum, thereby     improving immune enhancement effects compared with when using only the     immune modulator.</t>
  </si>
  <si>
    <t>US10918633</t>
  </si>
  <si>
    <t>Method of treating coronavirus</t>
  </si>
  <si>
    <t>Jonnie R. Williams</t>
  </si>
  <si>
    <t>A61K 31/465 (20130101); C07K 14/4747 (20130101); A61P 3/08 (20180101); A61K 31/4439 (20130101); A61K 8/4926 (20130101); Y02A 50/30 (20180101)</t>
  </si>
  <si>
    <t>US10912959</t>
  </si>
  <si>
    <t>Breathable respirator mask with air filters and opening covers</t>
  </si>
  <si>
    <t>16/930763</t>
  </si>
  <si>
    <t>SHOWALTER EDWARD</t>
  </si>
  <si>
    <t>Edward Showalter</t>
  </si>
  <si>
    <t>A62B 18/086 (20130101); A62B 23/025 (20130101); A62B 7/10 (20130101); A62B 18/025 (20130101); A41D 13/11 (20130101)</t>
  </si>
  <si>
    <t>A respirator oxygen mask having a filter, a mask body, an outer edge is     described herein. Disposed in the mask body of the respirator oxygen mask     is a mask opening and a straw opening, with the mask opening disposed     above the straw opening. Additionally, a sliding door is adapted to cover     the mask opening. The straw opening having a mask straw attachment     adapted to receive a straw and a straw opening cover removably attached     to the mask straw attachment. The respirator oxygen mask also having a     face mask reduction attachment adapted to fasten to the outer edge.     Furthermore, the mask body having a front surface with a hose attachment     ring disposed over the filter and adapted to receive a tube and a rear     surface with a filter holder and a filter cover to secure the filter in     place.</t>
  </si>
  <si>
    <t>US10912825</t>
  </si>
  <si>
    <t>Yawei Ni, Jianhua Guo</t>
  </si>
  <si>
    <t>A61K 39/145 (20130101); C12N 7/00 (20130101); A61K 39/12 (20130101); A61K 2039/70 (20130101); C12N 2760/16234 (20130101); C12N 2760/16134 (20130101); A61K 2039/5252 (20130101); C12N 2760/16161 (20130101); C12N 2760/16151 (20130101); A61K 2039/525 (20130101); A61K 2039/58 (20130101)</t>
  </si>
  <si>
    <t>US10911893</t>
  </si>
  <si>
    <t>Contact tracing via location service</t>
  </si>
  <si>
    <t>16/915417</t>
  </si>
  <si>
    <t>DECURTIS LLC</t>
  </si>
  <si>
    <t>DECURTIS</t>
  </si>
  <si>
    <t>David DeCurtis, Derek Fournier, Matthew Winans, Debashis Choudhury, James Learish</t>
  </si>
  <si>
    <t>H04L 63/101 (20130101); H04W 4/021 (20130101); H04W 4/023 (20130101); G06K 9/00771 (20130101); G11B 27/031 (20130101); G06Q 10/06311 (20130101); H04W 4/33 (20180201); A61B 5/02427 (20130101); H04W 4/029 (20180201)</t>
  </si>
  <si>
    <t>Systems, methods, and computer-executable instructions for contact     tracing including receiving a first beacon identifier associated with a     first person and a second beacon identifier associated with a second     person over a time period from a plurality of readers. A location of the     first person and the second person is determined. Health data associated     with the first person is received. The first person is determined to be     sick and a sick period of time is determined. Two or more people,     including the second person, are determined to have been within a     proximity of the first person during the sick period of time. A list of     the two or more people is generated.</t>
  </si>
  <si>
    <t>US10909835</t>
  </si>
  <si>
    <t>Rapid thermal dynamic image capture devices</t>
  </si>
  <si>
    <t>16/994174</t>
  </si>
  <si>
    <t>Ravindra Pratap Singh, Daniel Maurice Lerner</t>
  </si>
  <si>
    <t>G01J 5/0025 (20130101); G01S 5/16 (20130101); G01J 5/0806 (20130101); G08B 21/182 (20130101); G01J 5/10 (20130101); G01J 2005/106 (20130101); G01J 2005/0048 (20130101); G01J 2005/0077 (20130101)</t>
  </si>
  <si>
    <t>One or more temperature measuring devices are described that comprise;     thermal imaging cameras capable of detection and provision of an exact     location of at least one created dynamic image scanned by and     triangulated with at least two thermal imaging cameras, and a gate that     provides a constrained targeted pathway through which at least one person     must travel so that dynamic thermal data of the person is captured as the     person is moving through the gate and wherein thermal imaging cameras are     geometrically arranged in positions such that the thermal imaging cameras     field of view exist on or within the gate and wherein the person is     scanned and provides targeted dynamic thermal data that is converted into     one or more temperature readings that measure and transmit the     temperature readings from one or more photodetectors that sense thermal     radiation naturally emitted by people passing through.</t>
  </si>
  <si>
    <t>US10906944</t>
  </si>
  <si>
    <t>Coronavirus; E.coli</t>
  </si>
  <si>
    <t>Stabilized coronavirus spike (S) protein immunogens and related vaccines</t>
  </si>
  <si>
    <t>Linling He, Jiang Zhu, Ian A. Wilson</t>
  </si>
  <si>
    <t>C07K 14/005 (20130101); C12N 7/00 (20130101); A61P 31/14 (20180101); A61K 39/215 (20130101); A61K 2039/575 (20130101); C12N 2770/20022 (20130101); A61K 2039/57 (20130101); C12N 2770/20034 (20130101)</t>
  </si>
  <si>
    <t>US10906180</t>
  </si>
  <si>
    <t>Monitoring and maintaining an intravenous assembly without medical staff     involvement for safe distancing enforcement</t>
  </si>
  <si>
    <t>16/880789</t>
  </si>
  <si>
    <t>Allen B. Chefitz</t>
  </si>
  <si>
    <t>A61M 5/142 (20130101); B25J 11/009 (20130101); B25J 9/1664 (20130101); B25J 9/1674 (20130101); A61M 5/16831 (20130101); B25J 9/0006 (20130101); A61M 2202/206 (20130101); A61M 2205/18 (20130101); A61M 2205/3303 (20130101); A61M 2005/16863 (20130101)</t>
  </si>
  <si>
    <t>A method and system to monitor and autonomously configure an     intravascular assembly without medical staff involvement or presence. In     this solution, a robotic device is associated with an intravascular     assembly, which has tubing through which fluids are delivered     intravenously. Monitoring of the tubing is initiated. In response to the     monitoring, an errant flow through the tubing is detected; typically, the     errant flow results from one of: a kink or twist in the tubing, an air     bubble in the tubing, an occlusion or clot in the tubing, and pressure     variations. In response to detecting the errant flow, and in advance of     an audible alarm being generated in association with the intravascular     assembly, a command is then issued to the associated robotic device. The     command is configured to initiate, by the robotic device, physical     engagement with and mechanical manipulation of the tubing, thereby     remediating the errant flow automatically.</t>
  </si>
  <si>
    <t>US10905839</t>
  </si>
  <si>
    <t>Patient airway dome and methods of making and using same</t>
  </si>
  <si>
    <t>16/899731</t>
  </si>
  <si>
    <t>A61M 16/0672 (20140204); A61M 16/1055 (20130101); A61M 16/1005 (20140204); A61M 16/0087 (20130101); A61M 16/0891 (20140204); A61M 16/0463 (20130101); A61M 2016/103 (20130101); A61M 2202/203 (20130101); A61M 2202/0208 (20130101); A61M 2202/0225 (20130101); A61M 2202/0241 (20130101); A61M 2207/10 (20130101); A61M 2205/053 (20130101); A61G 10/005 (20130101); A61M 2202/206 (20130101)</t>
  </si>
  <si>
    <t>A patient airway dome including an adjustable frame having a hinge such     that the hinge allows the frame to adjust between an erected position to     create an airway dome and a collapsed position that allows the frame to     lay flat, a dome covering located over the retractable frame, a plurality     of ultraviolet lights operatively connected to the retractable frame, a     plurality of superior glove access portals located on the dome covering,     a plurality of inferior glove access portals located on the dome     covering, an anesthesia circuit tube operatively connected to the dome     covering, and an anesthesia machine connector operatively connected to     the anesthesia circuit tube.</t>
  </si>
  <si>
    <t>US10905790</t>
  </si>
  <si>
    <t>SARS-CoV-2 combination air purifier and decontamination and bioburden     reduction system for surgical masks/respirators</t>
  </si>
  <si>
    <t>16/935495</t>
  </si>
  <si>
    <t>Cullen Thomas Moore, Neha Varma Nadimpally</t>
  </si>
  <si>
    <t>A61M 16/06 (20130101); A61M 16/1065 (20140204); A61L 9/20 (20130101); A61L 2101/26 (20200801); A61L 2209/14 (20130101); A61L 2209/12 (20130101)</t>
  </si>
  <si>
    <t>The present invention in an embodiment relates generally to an air     purifier having an ultraviolet wave chamber which is accessible from the     exterior designed for the placement of masks/respirators in need of     decontamination. Such device preferably makes use of filters comprising     copper foam.</t>
  </si>
  <si>
    <t>US10905758</t>
  </si>
  <si>
    <t>Intranasal vector vaccine against porcine epidemic diarrhea</t>
  </si>
  <si>
    <t>Veljko Nikolin, Andreas Gallei</t>
  </si>
  <si>
    <t>C07K 14/005 (20130101); C12N 7/00 (20130101); A61P 31/14 (20180101); C12N 15/86 (20130101); A61K 39/215 (20130101); A61K 2039/543 (20130101); C12N 2760/18434 (20130101); C12N 2770/20022 (20130101); C12N 2770/20034 (20130101); C12N 2760/18451 (20130101); A61K 2039/5254 (20130101); C12N 2760/18441 (20130101); A61K 2039/552 (20130101)</t>
  </si>
  <si>
    <t>US10905755</t>
  </si>
  <si>
    <t>Vaccines for human papilloma virus and methods for using the same</t>
  </si>
  <si>
    <t>16/298006</t>
  </si>
  <si>
    <t>David Weiner, Jian Yan</t>
  </si>
  <si>
    <t>C07K 14/005 (20130101); C12N 7/00 (20130101); A61K 39/12 (20130101); A61N 1/327 (20130101); A61K 39/145 (20130101); C12N 2760/16222 (20130101); C12N 2760/16022 (20130101); A61K 2039/70 (20130101); C12N 2760/16134 (20130101); C07K 2319/02 (20130101); C12N 2710/20022 (20130101); C12N 2760/16122 (20130101); C12N 2760/16071 (20130101); C12N 2800/22 (20130101); C12N 2710/20034 (20130101); C07K 2319/00 (20130101); A61K 2039/53 (20130101); C12N 2760/16234 (20130101); C12N 2760/16034 (20130101); A61K 2039/54 (20130101); C12N 2760/16041 (20130101); C07K 2319/42 (20130101)</t>
  </si>
  <si>
    <t>US10905698</t>
  </si>
  <si>
    <t>Methods of treating SARS-COV-2 infections</t>
  </si>
  <si>
    <t>16/921071</t>
  </si>
  <si>
    <t>Steven Hoffman, John Rothman</t>
  </si>
  <si>
    <t>A61K 31/575 (20130101); A61P 31/14 (20180101); A61K 9/0053 (20130101); A61K 9/007 (20130101); A01N 45/00 (20130101)</t>
  </si>
  <si>
    <t>US10905585</t>
  </si>
  <si>
    <t>16/893212</t>
  </si>
  <si>
    <t>Robert Sabin</t>
  </si>
  <si>
    <t>A61M 16/0875 (20130101); A61F 7/12 (20130101); A61F 7/0085 (20130101); A61M 16/06 (20130101); A61M 16/1075 (20130101); A61F 2007/006 (20130101); A61M 2205/583 (20130101); A61M 2205/8206 (20130101); A61M 2205/502 (20130101)</t>
  </si>
  <si>
    <t>US10902955</t>
  </si>
  <si>
    <t>Detecting COVID-19 using surrogates</t>
  </si>
  <si>
    <t>16/878433</t>
  </si>
  <si>
    <t>Howard Federoff, Ophir Frieder</t>
  </si>
  <si>
    <t>G16H 40/67 (20180101); G16H 50/80 (20180101); G16H 50/30 (20180101); G10L 25/66 (20130101)</t>
  </si>
  <si>
    <t>US10902954</t>
  </si>
  <si>
    <t>Mosquito population minimizer</t>
  </si>
  <si>
    <t>16/017323</t>
  </si>
  <si>
    <t>Tiago Dias Generoso, Thales Henrique Taveira Garcia, Fabrizio Nascimento Caldas, Fabio Minoru Tanada</t>
  </si>
  <si>
    <t>G06Q 30/0269 (20130101); G16H 50/80 (20180101); G16H 50/30 (20180101); G06F 16/29 (20190101)</t>
  </si>
  <si>
    <t>Aspects automatically identify and minimize local populations of     mosquitoes wherein processors are configured to assign different exposure     risk values to different geographic locations as a function of     determining different respective values of likelihood that each of the     locations will experience a threshold exposure to mosquito activity,     assign population risk values to the locations as a function of     population data, filter a location from the plurality of locations to     generate a filtered remainder set of the locations as a function of one     or more one risk values of the exposure risk value and the population     risk value failing to meet a minimum threshold value, rank the filtered     remainder set of the geographic locations, and associate each of a     plurality of mosquito activity abatement actions to each of the ranked     filtered remainder set of the geographic locations.</t>
  </si>
  <si>
    <t>US10898724</t>
  </si>
  <si>
    <t>Wearable phototherapy apparatus with anti-viral and other effects</t>
  </si>
  <si>
    <t>David Schmidt</t>
  </si>
  <si>
    <t>A61K 33/00 (20130101); A61K 47/10 (20130101); A61K 47/12 (20130101); A61K 33/34 (20130101); A61K 31/315 (20130101); A61N 5/0613 (20130101); A61K 38/06 (20130101); A61N 5/062 (20130101); A61K 41/0057 (20130101); A61K 31/205 (20130101); A61K 31/197 (20130101); A61N 2005/073 (20130101); A61N 2005/0666 (20130101); A61N 2005/0659 (20130101)</t>
  </si>
  <si>
    <t>US10898566</t>
  </si>
  <si>
    <t>Zika virus vaccines</t>
  </si>
  <si>
    <t>16/334099</t>
  </si>
  <si>
    <t>Barney S. Graham, Theodore C. Pierson, Kimberly A. Dowd, John R. Mascola, Wing-pui Kong, Sung-youl Ko, Eun Sung Yang, Wei Shi, Lingshu Wang, Christina R. Demaso, Rebecca S. Pelc, Adrian Creanga, Julie Ledgerwood, Leda R. Castilho</t>
  </si>
  <si>
    <t>C07K 14/005 (20130101); G01N 33/56983 (20130101); G01N 33/536 (20130101); A61K 39/12 (20130101); C12N 2770/24134 (20130101); A61K 2039/53 (20130101); C12N 2770/24171 (20130101); C12N 2770/24151 (20130101); C07K 2319/02 (20130101); C07K 2319/33 (20130101); C12N 2770/24123 (20130101); C12N 2770/24122 (20130101); C12N 2770/24143 (20130101); A61K 2039/5258 (20130101)</t>
  </si>
  <si>
    <t>The present invention relates to a vaccine for Zika virus, the vaccine     comprising Zika virus membrane and envelope proteins. More specifically,     the vaccine comprises nucleic acid molecules encoding modified Zika virus     membrane and/or envelope proteins. When introduced into a cell, the     encoded proteins are produced, which results in the production of a     virus-like particle capable of eliciting an immune response against Zika     virus.</t>
  </si>
  <si>
    <t>US10898169</t>
  </si>
  <si>
    <t>Sputum collection and washing apparatus and a method of using it</t>
  </si>
  <si>
    <t>17/069509</t>
  </si>
  <si>
    <t>Norman Eric Johnson, Karl Boldt, Joseph Toro, Jason LeGoff</t>
  </si>
  <si>
    <t>A61B 10/0051 (20130101); B01L 3/508 (20130101); G01N 1/286 (20130101); G01N 1/34 (20130101); G01N 2001/2873 (20130101); B01L 2300/0609 (20130101)</t>
  </si>
  <si>
    <t>US10893990</t>
  </si>
  <si>
    <t>Method and apparatus for treating an inside volume of a mobile vehicle</t>
  </si>
  <si>
    <t>16/852277</t>
  </si>
  <si>
    <t>PETAIRAPY LLC</t>
  </si>
  <si>
    <t>PETAIRAPY</t>
  </si>
  <si>
    <t>Mike M. Uda</t>
  </si>
  <si>
    <t>B60H 3/0085 (20130101); A61G 3/008 (20130101); A61L 9/20 (20130101)</t>
  </si>
  <si>
    <t>A treatment apparatus and method of treating an inside volume of a mobile     vehicle using the apparatus. The method includes the steps of: a) placing     a treatment unit in an operative position with respect to the mobile     vehicle, the treatment unit having: i) a frame; ii) a source of UV light;     and iii) an air mover for controllably directing air within the inside     volume to be exposed to UV rays generated by the UV light source; and b)     operating the treatment unit and thereby causing air within the inside     volume to be disinfected by UV light rays from the UV light source and     circulated within the inside volume.</t>
  </si>
  <si>
    <t>US10888283</t>
  </si>
  <si>
    <t>COVID-19 symptoms alert machine (CSAM) scanners</t>
  </si>
  <si>
    <t>16/917896</t>
  </si>
  <si>
    <t>Benjauthrit, Boonsieng; Benjauthrit, Sorapod B.; Benjauthrit, Vatcharee L.; Benjauthrit, Kamolchanok J.</t>
  </si>
  <si>
    <t>BENJAUTHRIT BOONSIENG</t>
  </si>
  <si>
    <t>Boonsieng Benjauthrit, Sorapod B. Benjauthrit, Vatcharee L. Benjauthrit, Kamolchanok J. Benjauthrit</t>
  </si>
  <si>
    <t>G16H 40/67 (20180101); G16H 10/65 (20180101); A61B 5/0022 (20130101); G16H 50/30 (20180101); A61B 5/01 (20130101); G06Q 50/265 (20130101); G16H 15/00 (20180101); A61B 5/746 (20130101); A61B 5/0823 (20130101); A61B 5/4011 (20130101); G16H 40/20 (20180101); G16H 50/80 (20180101); G16H 10/20 (20180101); G06Q 10/107 (20130101); A61B 8/08 (20130101); A61B 6/032 (20130101); G16H 50/50 (20180101); A61B 5/0816 (20130101); A61B 5/055 (20130101); A61B 5/4017 (20130101); G16H 50/20 (20180101); G07C 9/15 (20200101); G06K 7/10297 (20130101); G06Q 2240/00 (20130101)</t>
  </si>
  <si>
    <t>A COVID-19 Symptoms Alert Machine (CSAM) scanner, or apparatus, is     described herein. This apparatus employs Artificial Intelligent (AI)     technology in combination with the latest mobile device technology (viz.     smart phone/smart watch) to quickly help track down people who have     COVID-19 symptoms anywhere and anytime, isolate them, and professionally     handle them, not allowing SARS-CoV-2 virus to spread. CSAM automatically     measures body temperature and assesses lung conditions such as pulmonary     fibrosis and B-lines (for asymptomatic people), and other current health     vital information (CHVI), furnished by the participant, such as fever,     sore throat, headache, and body ache to generate an alert signal when     COVID-19 symptoms are found significant and to send it out to a COVID-19     control center. The alerted participant is then immediately required to     go to the COVID-19 control center or be picked up by a special COVID-19     emergency vehicle for isolation and further evaluation and testing. If     the testing turns out to be COVID-19 positive, the participant will be     quarantined and treated appropriately according to COVID-19 protocol     until he/she is tested COVID-19 negative. In the meantime, people who     have been in close physical contact with this participant will be alerted     and requested to be immediately checked for COVID-19 symptoms. If anyone     is found to have COVID-19 symptoms, then he/she must go through the same     protocol. The process is repeated until all people in the cluster are     tested COVID-19 negative. This will ensure that SARS-CoV-2 virus for this     cluster has been completely eliminated. A rapid deployment of this type     of apparatus throughout communities where people tend to congregate such     as superstores, supermarkets, and any other establishments, small or     large, can help to contain the rapid spread of the disease, as well as to     give more confidence to the general public. People, who pass through this     apparatus without an alert signal, should feel more confident in carrying     out their activities, though social distancing and other COVID-19     precautionary requirements should still be maintained. The concept can be     further expanded to cover shopping malls, concert halls, sports arenas,     and any other large events including highways and freeways with the help     of mobile phone technologies, transponders, and other mobile devices. By     working on the 0.6% (around 2 million infected people in the US as of     June 2020) quickly and effectively, instead of on the 99.4% (330 million,     the remaining population) by locking people at home and closing down all     businesses and activities; we can save a significant amount of money and     hassles. (A long lockdown can also lead to a collapse of our economy and     can consequently lead to a worldwide calamity.) In this way the 99.4%     will not be burdened with the virus problem and can live normally without     having to take any test. It is probably the only effective approach in     solving the COVID-19 problem at the moment because vaccines and known     COVID-19 cures are not yet available. Even if SARS-CoV-2 vaccines are     available presently, they may not be practical to implement economically     and operationally in time to contain the virus worldwide due to the     massive amount of people (viz. over 7 billion).</t>
  </si>
  <si>
    <t>US10883085</t>
  </si>
  <si>
    <t>Jiaqiang Wu, Jiang Yu, Yuyu Zhang, Xiwang Zhu, Yijun Du, Jun Li, Xiaoyan Cong, Jinbao Wang</t>
  </si>
  <si>
    <t>C12N 7/00 (20130101); A61K 39/12 (20130101); A61P 31/14 (20180101); C12N 2770/10064 (20130101); A61K 2039/543 (20130101); C12N 2770/10034 (20130101); A61K 2039/5254 (20130101); A61K 2039/552 (20130101); C12N 2770/10021 (20130101); A61K 2039/545 (20130101)</t>
  </si>
  <si>
    <t>US10881222</t>
  </si>
  <si>
    <t>Apparatus to facilitate physical distancing</t>
  </si>
  <si>
    <t>16/880485</t>
  </si>
  <si>
    <t>Stephanie Van Keane London, John Michael London, Willet Christopher Howard, David Michael Kelley, Christopher John Pearen</t>
  </si>
  <si>
    <t>A47F 10/06 (20130101); A47F 2010/065 (20130101)</t>
  </si>
  <si>
    <t>US10880303</t>
  </si>
  <si>
    <t>Real-time COVID-19 outbreak identification with non-invasive, internal     imaging for dual biometric authentication and biometric health monitoring</t>
  </si>
  <si>
    <t>Robert M. Adams, Jr., Mark Schnitzer, Amanda Adams</t>
  </si>
  <si>
    <t>G06F 21/30 (20130101); G06F 21/32 (20130101); H04L 63/0861 (20130101); G06F 16/955 (20190101); G06K 9/00885 (20130101); G06F 16/2365 (20190101); G06K 2009/00932 (20130101); G06K 9/00087 (20130101)</t>
  </si>
  <si>
    <t>US10874687</t>
  </si>
  <si>
    <t>Highly active compounds against COVID-19</t>
  </si>
  <si>
    <t>17/017443</t>
  </si>
  <si>
    <t>Jean-Pierre Sommadossi, Adel Moussa</t>
  </si>
  <si>
    <t>A61P 31/14 (20180101); A61K 9/08 (20130101); A61K 9/0019 (20130101); A61K 31/7076 (20130101); A61K 9/0053 (20130101)</t>
  </si>
  <si>
    <t>US10874650</t>
  </si>
  <si>
    <t>Antiviral and virucidal nasal spray compositions and related treatment     methods</t>
  </si>
  <si>
    <t>16/924683</t>
  </si>
  <si>
    <t>FERRER MEDICAL INNOVATIONS, LLC</t>
  </si>
  <si>
    <t>FERRER MEDICAL INNOVATIONS</t>
  </si>
  <si>
    <t>Gustavo Ferrer</t>
  </si>
  <si>
    <t>A61K 9/0043 (20130101); A61P 31/14 (20180101); A61K 47/26 (20130101); A61K 31/56 (20130101); A61K 31/4402 (20130101); A61K 47/46 (20130101); A61K 47/186 (20130101)</t>
  </si>
  <si>
    <t>Compositions for treatment or prevention of viral infections, such as     influenza A and B, coronaviruses, including but not limited to COVID-19,     and rhinoviruses, along with related treatment methods. Certain     compositions according to preferred embodiments of the invention may     comprise chlorpheniramine, xylitol, and other inactive ingredients, such     as aloe vera and/or grapefruit seed extract.</t>
  </si>
  <si>
    <t>US10872388</t>
  </si>
  <si>
    <t>G06Q 50/22 (20130101); G06Q 50/26 (20130101); G16H 50/80 (20180101); G06Q 10/1095 (20130101); Y02A 90/10 (20180101)</t>
  </si>
  <si>
    <t>US10864264</t>
  </si>
  <si>
    <t>Influenza virus reassortment</t>
  </si>
  <si>
    <t>Philip Dormitzer, Peter Mason, Pirada Suphaphiphat, Raul Gomila</t>
  </si>
  <si>
    <t>A61K 39/145 (20130101); A61K 39/12 (20130101); C12N 7/00 (20130101); C12N 2760/16251 (20130101); C12N 2760/16234 (20130101); C12N 2760/16134 (20130101); C12N 2760/16252 (20130101)</t>
  </si>
  <si>
    <t>US10851155</t>
  </si>
  <si>
    <t>Middle east respiratory syndrome coronavirus neutralizing antibodies and     methods of use thereof</t>
  </si>
  <si>
    <t>Wayne A. Marasco, Xianchun Tang</t>
  </si>
  <si>
    <t>G01N 33/577 (20130101); C07K 16/10 (20130101); G01N 33/56983 (20130101); C07K 2319/40 (20130101); C07K 2317/52 (20130101); C07K 2317/21 (20130101); A61K 2039/507 (20130101); C07K 2317/56 (20130101); G01N 2469/10 (20130101); C12N 2740/16043 (20130101); C07K 2317/92 (20130101); G01N 2333/165 (20130101); C12N 2770/20022 (20130101); C12N 2810/609 (20130101); C07K 2317/622 (20130101); C07K 2317/76 (20130101); C07K 2317/13 (20130101); C07K 2319/43 (20130101); C07K 2317/34 (20130101)</t>
  </si>
  <si>
    <t>US10850184</t>
  </si>
  <si>
    <t>Systems and methods for providing ultraviolet sterilization, disinfection     and decontamination of gaming machines and associated equipment</t>
  </si>
  <si>
    <t>16/889575</t>
  </si>
  <si>
    <t>A63F 1/12 (20130101); A61L 2/10 (20130101); G07F 17/3206 (20130101); G07F 17/3216 (20130101)</t>
  </si>
  <si>
    <t>US10849972</t>
  </si>
  <si>
    <t>Trimeric S1-CD40L fusion protein vaccine against Middle East respiratory     syndrome-coronavirus</t>
  </si>
  <si>
    <t>Anwar M. Hashem</t>
  </si>
  <si>
    <t>A61P 31/14 (20180101); C07K 14/70575 (20130101); A61K 39/215 (20130101); C12N 15/62 (20130101)</t>
  </si>
  <si>
    <t>US10849943</t>
  </si>
  <si>
    <t>Vaccine compositions comprising an attenuated mutant Zika virus</t>
  </si>
  <si>
    <t>Philippe Despres, Gilles Gadea, Patrick Mavingui, Wildriss Viranaicken</t>
  </si>
  <si>
    <t>A61K 39/12 (20130101); A61K 35/76 (20130101); A61P 31/14 (20180101); C12N 2770/24134 (20130101); C12N 2770/24121 (20130101); Y02A 50/30 (20180101); A61K 2039/5254 (20130101)</t>
  </si>
  <si>
    <t>US10847017</t>
  </si>
  <si>
    <t>Electronic face mask</t>
  </si>
  <si>
    <t>16/877906</t>
  </si>
  <si>
    <t>DISCOVERY DEMOCRACY LLC</t>
  </si>
  <si>
    <t>DISCOVERY DEMOCRACY</t>
  </si>
  <si>
    <t>Eric Haseltine, Carl Hannigan, Steven Thornton</t>
  </si>
  <si>
    <t>H04B 7/2668 (20130101); G08B 21/245 (20130101); H04B 11/00 (20130101); H04B 1/7075 (20130101)</t>
  </si>
  <si>
    <t>In an embodiment, a processor is configured to randomly select one code     from a plurality of predefined codes to identify a first code. A     transceiver is operatively coupled to the processor. The transceiver is     configured to send a signal representing the first code. The transceiver     is also configured to receive a signal representing a second code. The     processor is configured to determine whether the second code corresponds     to the first code or a third code from the plurality of predefined codes.     An actuator is operatively coupled to the processor. The actuator is     configured to send a first alert in response to the second code     corresponding to the first code and representing an object reflecting the     signal representing the first code. The actuator is configured to send a     second alert in response to the second code corresponding to the third     code and representing a different device being within a predefined     distance.</t>
  </si>
  <si>
    <t>US10845336</t>
  </si>
  <si>
    <t>Mohammad Abdolahad, Zohreh Sadat Miripour, Hassan Sanati koloukhi, Fatemeh Zahra Shojaeian Zanjani</t>
  </si>
  <si>
    <t>G01N 33/48714 (20130101); G01N 27/327 (20130101); A61B 10/0051 (20130101); G01N 27/48 (20130101); G01N 2333/165 (20130101)</t>
  </si>
  <si>
    <t>US10844442</t>
  </si>
  <si>
    <t>16/876184</t>
  </si>
  <si>
    <t>The invention provides a method for rapid, highly specific and sensitive     detection and quantification of a virus by observing viral substrate     binding to its host receptor protein. The invention also provides a     method for rapid, highly specific and sensitive detection and     quantification of a virus in an individual suspected of being infected     with a virus. The invention further provides a test kit for rapid, highly     specific and sensitive point-of-care detection of a virus in an     individual. The viruses and their host receptor proteins that can rapidly     be detected include SARS-CoV-2 and its host receptor protein ACE2. The     surprisingly rapid, specific and sensitive method of the invention     provides a point-of care test capable of diagnosing individuals suffering     from COVID-19 by observation of a color change in the assay, which color     change occurs in about five minutes, and which test can be completed by a     user in about one hour.</t>
  </si>
  <si>
    <t>US10842899</t>
  </si>
  <si>
    <t>Non-contact sanitizer dispenser glove</t>
  </si>
  <si>
    <t>16/997295</t>
  </si>
  <si>
    <t>UMM AL-QURA UNIVERSITY</t>
  </si>
  <si>
    <t>Rami A. Alfattani</t>
  </si>
  <si>
    <t>A61L 2/22 (20130101); B05B 11/048 (20130101); A61L 2/26 (20130101); B05B 11/0097 (20130101); A61L 2202/15 (20130101); A61L 2202/16 (20130101)</t>
  </si>
  <si>
    <t>A sanitizer dispensing glove and a method of sanitizing an object using     the glove. The sanitizer dispensing glove has a spray mechanism which is     located on the palmar surface of a glove or mitt which is able to be     operated to spray a sanitizer solution onto an object by a flexing or     closing of a hand, finger, or other appendage wearing the glove without     making contact with the object.</t>
  </si>
  <si>
    <t>US10842896</t>
  </si>
  <si>
    <t>Device for disinfecting a portable object</t>
  </si>
  <si>
    <t>16/884926</t>
  </si>
  <si>
    <t>TECH GOODS USA INC.</t>
  </si>
  <si>
    <t>TECH GOODS USA</t>
  </si>
  <si>
    <t>Anuj Mehra, Sanandan Sudhir</t>
  </si>
  <si>
    <t>G06Q 20/14 (20130101); A61L 2/22 (20130101); A61L 2/10 (20130101); A61L 2/24 (20130101); G06Q 20/027 (20130101); G05B 15/02 (20130101); A61L 2202/14 (20130101); A61L 2202/121 (20130101); A61L 2202/15 (20130101); A61L 2202/122 (20130101); A61L 2202/11 (20130101)</t>
  </si>
  <si>
    <t>A device for disinfecting a portable object comprising: a housing     comprising an outlet, and wherein the housing encloses a central cavity;     a first panel located on an upper surface of the housing, the first panel     configured to move between an open and a closed position, wherein in a     closed position, the panel is configured to receive the portable object,     and wherein in an open position, the object is configured to be moved     into the cavity; a first platform configured inside the cavity, the first     platform configured to move the object between a first position and a     second position inside the cavity; and a plurality of ultraviolet (UV)     lights positioned over an upper surface of the first platform and along     inner sidewalls of the housing cavity, wherein the UV lights are     configured to emit UV light of a predetermined wavelength to disinfect     the object. The disinfected object is transferred to a conveyor which     moves the object towards the outlet. The device can include a heating     unit over the conveyor for controlled heating of the disinfected object.     The device can also include a sanitizer sprayer positioned between the     heating unit, to spray an aromatic sanitizer on the object before it     exits the device.</t>
  </si>
  <si>
    <t>US10842895</t>
  </si>
  <si>
    <t>Germicidal modular motion-detecting lighting system for switching between     visible light illumination and optical disinfection</t>
  </si>
  <si>
    <t>16/883877</t>
  </si>
  <si>
    <t>GREAT HOME TEK, INC.</t>
  </si>
  <si>
    <t>GREAT HOME TEK</t>
  </si>
  <si>
    <t>Jose M. Espina, Alan Ghahramani, David Cook</t>
  </si>
  <si>
    <t>F21V 21/005 (20130101); F21V 23/06 (20130101); F21S 2/005 (20130101); F21V 23/0471 (20130101); A61L 2/10 (20130101); A61L 2/24 (20130101); A61L 2202/11 (20130101); F21Y 2113/17 (20160801); F21Y 2115/10 (20160801); A61L 2202/14 (20130101)</t>
  </si>
  <si>
    <t>A germicidal motion-detecting lighting system includes a plurality of     lighting units configured to electrically connect to one another. Each     modular lighting unit has an enclosure, having an enclosure, a light     emission window positioned within a first cavity of the enclosure, and a     plurality of light emitting diodes positioned within the first enclosure,     at least one motion sensor that protrudes through a second cavity of the     enclosure, and a processor positioned within the enclosure that detects     motion of a user based on data received from the at least one motion     sensor and generates an activation command to emit visible light based on     the motion of the user. The plurality of light emitting diodes receives     the command and emits visible light based on the command. One of the     modular lighting units further includes an additional enclosure with a     third cavity in which an additional light emission window is positioned     to emit ultraviolet light via an additional plurality of light emitting     diodes.</t>
  </si>
  <si>
    <t>US10842867</t>
  </si>
  <si>
    <t>Adjuvanted vaccines with non-virion antigens prepared from influenza     viruses grown in cell culture</t>
  </si>
  <si>
    <t>12/092325</t>
  </si>
  <si>
    <t>Rino Rappuoli, Derek O'Hagan, Giuseppe Del Giudice</t>
  </si>
  <si>
    <t>A61P 31/16 (20180101); A61K 39/12 (20130101); A61P 37/02 (20180101); A61K 39/39 (20130101); A61K 39/145 (20130101); C12N 2760/16134 (20130101); A61K 2039/55572 (20130101); C12N 2760/16234 (20130101); A61K 2039/55561 (20130101); A61K 2039/55566 (20130101); A61K 2039/57 (20130101)</t>
  </si>
  <si>
    <t>An immunogenic composition comprising (i) a non-virion influenza virus     antigen prepared from a virus grown in cell culture; and (ii) an     adjuvant. Preferred adjuvants comprise oil-in-water emulsions.</t>
  </si>
  <si>
    <t>US10842697</t>
  </si>
  <si>
    <t>Disposable bio-secure environmental unit</t>
  </si>
  <si>
    <t>16/929788</t>
  </si>
  <si>
    <t>PATIENT SAFETY CO. OF AMERICA</t>
  </si>
  <si>
    <t>PATIENT SAFETY AMERICA</t>
  </si>
  <si>
    <t>Mark E. Comunale</t>
  </si>
  <si>
    <t>A61G 10/005 (20130101); A61G 2210/30 (20130101); A61G 2200/327 (20130101); A61G 2200/34 (20130101)</t>
  </si>
  <si>
    <t>A low cost, disposable bio-secure environment to temporarily hold, and     where required to transport, patients who are suspected of having an     infectious or contagious disease requiring contact, droplet and/or     respiratory isolation precautions. The described Environmental Unit's     unique design provides a unit that is disposable and relatively     inexpensive. The frame is designed to integrate and adapt to various     hospital stretchers and beds. The unit is large enough for a patient to     sit up and allows movement of arms and legs and the ability to eat and     drink while isolated on a bed.</t>
  </si>
  <si>
    <t>US10841737</t>
  </si>
  <si>
    <t>Apparatus and method for minimizing direct and indirect     cross-contamination of pathogens between personnel within a workplace</t>
  </si>
  <si>
    <t>Peter Millius, James A. White</t>
  </si>
  <si>
    <t>H04W 4/023 (20130101); H04W 4/029 (20180201); H04W 4/33 (20180201); G06K 7/1417 (20130101); H04W 4/80 (20180201); G08B 21/02 (20130101)</t>
  </si>
  <si>
    <t>US10836787</t>
  </si>
  <si>
    <t>Crystalline forms of (S)-2-ethylbutyl 2-(((S)-(((2R,3S,4R,5R)-5-     (4-aminopyrrolo[2,1-f]     [1,2,4]triazin-7-yl)-5-cyano-3,4-dihydroxytetrahydrofuran-2-yl)methoxy)(p-    henoxy) phosphoryl)amino)propanoate</t>
  </si>
  <si>
    <t>15/964597</t>
  </si>
  <si>
    <t>Katrien Brak, Ernest A. Carra, Lars V. Heumann, Nate Larson</t>
  </si>
  <si>
    <t>A61P 31/14 (20180101); C07F 9/6561 (20130101); C07H 19/00 (20130101); C07B 2200/13 (20130101)</t>
  </si>
  <si>
    <t>The present invention relates to novel salts and crystalline forms of     (S)-2-ethylbutyl     2-(((S)-(((2R,3S,4R,5R)-5-(4-aminopyrrolo[2,1-f][1,2,4]triazin-7-yl)-5-cy-    ano-3,4-dihydroxytetrahydrofuran-2-yl)methoxy)(phenoxy)phosphoryl)amino)pr-    opanoate having the structure:  ##STR00001##  for use in treating viral     infections. One crystalline form of the compound can be characterized by     an X-ray powder diffraction (XRPD) pattern having peaks at 22.3.degree.,     16.9.degree., and 16.2.degree. 2-.theta..+-.0.2.degree. 2-.theta.. In     some embodiments, the viral infection is caused by a virus selected from     the group consisting of Arenaviridae, Coronaviridae, Filoviridae,     Flaviviridae, and Paramyxoviridae.</t>
  </si>
  <si>
    <t>US10834978</t>
  </si>
  <si>
    <t>Soft silicone edged cushion for face masks</t>
  </si>
  <si>
    <t>16/993578</t>
  </si>
  <si>
    <t>A41D 13/015 (20130101); A41D 13/11 (20130101)</t>
  </si>
  <si>
    <t>US10827659</t>
  </si>
  <si>
    <t>Personal microwave autoclave and process using the same for sterilizing     N95 masks</t>
  </si>
  <si>
    <t>Trong D Nguyen</t>
  </si>
  <si>
    <t>H05K 9/0056 (20130101); A61L 2/0064 (20130101)</t>
  </si>
  <si>
    <t>US10823746</t>
  </si>
  <si>
    <t>Lateral flow immunoassay test reader and method of use</t>
  </si>
  <si>
    <t>16/885436</t>
  </si>
  <si>
    <t>William Busa, Phillip H. Coelho, Paul Getchel</t>
  </si>
  <si>
    <t>G01N 35/00029 (20130101); G01N 33/56983 (20130101); G01N 35/00871 (20130101); G01S 19/01 (20130101); G01N 21/78 (20130101); G01N 2035/00108 (20130101); G01N 2201/06113 (20130101); G01N 2333/165 (20130101); G01N 2035/00891 (20130101)</t>
  </si>
  <si>
    <t>US10822379</t>
  </si>
  <si>
    <t>Molecules that bind to SARS-CoV-2</t>
  </si>
  <si>
    <t>15/931939</t>
  </si>
  <si>
    <t>Dimiter Stanchev Dimitrov, Chuan Chen, Dontcho V. Jelev, John W. Mellors, Wei Li, Zehua Sun</t>
  </si>
  <si>
    <t>A61K 39/15 (20130101); A61K 39/395 (20130101); C07K 14/165 (20130101); C07K 2319/55 (20130101); C07K 2317/56 (20130101)</t>
  </si>
  <si>
    <t>This document provides methods and materials involved in binding a binder     (e.g., an antibody, antigen binding fragment, and/or antibody domain) to     a SARS-CoV-2 antigen. For example, binders (e.g., antibodies, antigen     binding fragments, and antibody domains) that bind to a SARS-CoV-2     polypeptide and methods and materials for using one or more such binding     molecules to treat a mammal (e.g., a human) having COVID-19 (or a viral     infection caused by SARS-CoV-2) are provided.</t>
  </si>
  <si>
    <t>US10815539</t>
  </si>
  <si>
    <t>16/837364</t>
  </si>
  <si>
    <t>Chiara Brambati, Simone Bocchetta, Giulia Minnucci</t>
  </si>
  <si>
    <t>C12Q 1/48 (20130101); C12N 15/11 (20130101); C12Q 1/701 (20130101)</t>
  </si>
  <si>
    <t>The present invention is directed to methods for assaying for the     presence of SARS-CoV-2 in a sample, including a clinical sample, and to     oligonucleotides, reagents and kits useful in such assays. In particular,     the present invention is directed to such assays that are rapid, accurate     and specific for the detection of SARS-CoV-2.</t>
  </si>
  <si>
    <t>US10815536</t>
  </si>
  <si>
    <t>Virome capture sequencing platform, methods of designing and constructing     and methods of using</t>
  </si>
  <si>
    <t>15/759937</t>
  </si>
  <si>
    <t>Walter Ian Lipkin, Omar Jabado, Thomas Briese, Amit Kapoor, Jan Gogarten, Komal Jain, Nischay Mishra</t>
  </si>
  <si>
    <t>G16B 25/00 (20190201); C40B 40/06 (20130101); C12Q 1/70 (20130101); G16B 99/00 (20190201); C40B 50/14 (20130101); C12N 15/1006 (20130101); C12N 15/1006 (20130101); C12Q 2535/122 (20130101)</t>
  </si>
  <si>
    <t>The present invention provides novel methods, systems, tools, and kits     for the simultaneous detection, identification and/or characterization of     all viruses known or suspected to infect vertebrates. The methods,     systems, tools, and kits described herein are based upon the virome     capture sequencing platform ("VirCapSeq-VERT"), a novel platform     developed by the inventors. The invention also provides methods and kits     for designing and constructing of the virome capture sequencing platform.</t>
  </si>
  <si>
    <t>US10813994</t>
  </si>
  <si>
    <t>Bror Morein, Karin Lovgren-Bengtsson</t>
  </si>
  <si>
    <t>C12N 7/00 (20130101); A61K 39/145 (20130101); A61K 39/39 (20130101); A61K 39/155 (20130101); A61K 2039/55577 (20130101); C12N 2760/16134 (20130101); A61K 2039/70 (20130101); C12N 2760/18634 (20130101); A61K 2039/55511 (20130101); A61K 2039/525 (20130101); A61K 2039/5252 (20130101)</t>
  </si>
  <si>
    <t>US10813559</t>
  </si>
  <si>
    <t>G01J 5/0265 (20130101); A61B 5/0075 (20130101); A61B 5/7282 (20130101); A61B 5/6814 (20130101); A61B 5/6803 (20130101); A61B 5/165 (20130101); A61B 5/015 (20130101); A61B 5/748 (20130101); G01J 5/12 (20130101); A61B 5/0077 (20130101); A61B 2562/0271 (20130101); G01J 2005/0077 (20130101); G01J 2005/0085 (20130101); A61B 2576/00 (20130101); A61B 2562/0276 (20130101)</t>
  </si>
  <si>
    <t>US10808338</t>
  </si>
  <si>
    <t>Woven personal respirator mask and methods of making same</t>
  </si>
  <si>
    <t>16/845227</t>
  </si>
  <si>
    <t>FINOTEX U.S.A. CORP.</t>
  </si>
  <si>
    <t>FINOTEX</t>
  </si>
  <si>
    <t>Carlos Yidi</t>
  </si>
  <si>
    <t>D06N 3/0006 (20130101); D03D 13/004 (20130101); A62B 18/025 (20130101); D03D 1/0035 (20130101); A41D 13/11 (20130101); D06H 7/221 (20130101); B01D 39/083 (20130101); B01D 2239/0613 (20130101); D10B 2401/13 (20130101); D06N 2209/1671 (20130101); D03D 35/00 (20130101); D03D 2700/0174 (20130101); B01D 2239/10 (20130101); D10B 2331/04 (20130101); D06N 2201/02 (20130101)</t>
  </si>
  <si>
    <t>A method for producing a woven personal respirator mask includes     providing a plurality of warp ends into an electronic woven label loom,     programming the loom to weave the warp ends into a sheet having a     repeating mask pattern in the weave direction, the mask pattern     comprising an edge border having a tight weave and defining therein a     filter section, the filter section having a tubular weave to define an     outer layer and an inner layer, at least one of the outer layer and an     inner layers comprising a filter weave, and at least one intermediate     interlock fastening at least a point of the outer layer to an opposing     point on the inner layer, and cutting the sheet to separate the repeating     mask pattern into individual mask parts with a hot-wire slitter.</t>
  </si>
  <si>
    <t>US10806784</t>
  </si>
  <si>
    <t>Composition and method for treating MERS</t>
  </si>
  <si>
    <t>16/986558</t>
  </si>
  <si>
    <t>US10803993</t>
  </si>
  <si>
    <t>Proximity tracing methods and systems</t>
  </si>
  <si>
    <t>Stuart Tin Fah Huang</t>
  </si>
  <si>
    <t>G16H 50/30 (20180101)</t>
  </si>
  <si>
    <t>US10803714</t>
  </si>
  <si>
    <t>System and method for visualizing, tracking and maintaining social     distancing</t>
  </si>
  <si>
    <t>16/898283</t>
  </si>
  <si>
    <t>KHERA RAJEEV</t>
  </si>
  <si>
    <t>Rajeev Khera</t>
  </si>
  <si>
    <t>F21V 21/0885 (20130101); F21V 14/006 (20130101); G08B 21/22 (20130101); G08B 5/36 (20130101)</t>
  </si>
  <si>
    <t>A system and method for visualizing, tracking and maintaining social     distancing includes a visible boundary generating device having a     lighting unit that is disposed within a main body, a user attachment     mechanism and a controller for selectively communicating with an external     processor enabled device. The lighting unit functioning to generate a     visible zone of colored light in 360 degrees around a user to whom the     device is secured. The visible light representing a safe zone having a     radius that conforms to a specified social distance. The system also     including a social distancing mobile application for execution on a     smartphone or other processor enabled device. The social distancing     mobile application including functionality for sending location     information to a system administrator device, receiving proximity alerts     from the system administrator device and providing notification to a     user.</t>
  </si>
  <si>
    <t>US10801076</t>
  </si>
  <si>
    <t>Influenza A virus variants</t>
  </si>
  <si>
    <t>15/475237</t>
  </si>
  <si>
    <t>VERTEX PHARMA</t>
  </si>
  <si>
    <t>Joshua Robert Leeman, Randal Byrn, Hamilton Barlow Bennett, Douglas John Bartels</t>
  </si>
  <si>
    <t>C12Q 1/025 (20130101); C12Y 207/07 (20130101); C12N 9/1241 (20130101); C07K 16/1018 (20130101); C07K 14/005 (20130101); C12N 7/00 (20130101); G01N 33/5008 (20130101); G16H 50/30 (20180101); C07K 16/40 (20130101); C12Q 1/701 (20130101); C12N 2760/16122 (20130101); C12Q 2600/158 (20130101); G01N 2500/04 (20130101); G01N 2800/52 (20130101); Y02A 90/10 (20180101); G01N 2333/11 (20130101); C12Q 2600/136 (20130101); C12Q 2600/106 (20130101); C12N 2760/16121 (20130101); G01N 2333/91245 (20130101); G01N 2500/10 (20130101); C07K 2317/34 (20130101)</t>
  </si>
  <si>
    <t>The present invention relates to influenza A virus variants, particularly     variants that are resistant to a polymerase inhibitors. Also provided are     methods and compositions related to the influenza A virus variants.     Further provided are methods of isolating, identifying, and     characterizing multiple viral variants from a patient.</t>
  </si>
  <si>
    <t>US10787501</t>
  </si>
  <si>
    <t>16/912678</t>
  </si>
  <si>
    <t>C07K 16/10 (20130101); A61K 39/15 (20130101); A61K 39/395 (20130101); A61K 45/06 (20130101); C07K 2317/31 (20130101); C07K 2317/52 (20130101); C07K 2317/565 (20130101)</t>
  </si>
  <si>
    <t>US10781426</t>
  </si>
  <si>
    <t>Human Betacoronavirus lineage C and identification of N-terminal     dipeptidyl peptidase as its virus receptor</t>
  </si>
  <si>
    <t>Bartholomeus Leonardus Haagmans, Theodorus Marinus Bestebroer, Sander van Boheemen, Ronaldus Adrianus Maria Fouchier, Albertus Dominicus Marcellinus Erasmus Osterhaus, Ali Moh Zaki, Victor Stalin Raj, Berend Jan Bosch</t>
  </si>
  <si>
    <t>G01N 33/573 (20130101); C12N 7/00 (20130101); C07K 16/10 (20130101); C12Q 1/701 (20130101); G01N 33/56983 (20130101); A61K 35/76 (20130101); C12N 9/485 (20130101); C07K 14/005 (20130101); G01N 2500/02 (20130101); C12Y 304/14005 (20130101); G01N 2333/948 (20130101); C12N 2770/20034 (20130101); C07K 2319/30 (20130101); C07K 14/70596 (20130101); C12Q 2600/158 (20130101); C12N 2770/20021 (20130101); C12N 2770/20022 (20130101); G01N 2333/165 (20130101); C12N 2770/20032 (20130101)</t>
  </si>
  <si>
    <t>US10777325</t>
  </si>
  <si>
    <t>Self-governed individual social safe determination and confirmation method     and system</t>
  </si>
  <si>
    <t>16/875179</t>
  </si>
  <si>
    <t>LI ZHAOYANG</t>
  </si>
  <si>
    <t>Zhaoyang Li</t>
  </si>
  <si>
    <t>G16H 50/80 (20180101); H04W 4/20 (20130101)</t>
  </si>
  <si>
    <t>The present invention provides a method, software program and a system     for social safe determination and mutual identification such that     individuals can meet and social with another with no or minimized risk     exposure to COVID-19 virus or other infectious diseases through social or     intimacy contact.</t>
  </si>
  <si>
    <t>US10775560</t>
  </si>
  <si>
    <t>Optical sensing and photocatalysis devices based on three-dimensional     waveguiding structures and method of using same</t>
  </si>
  <si>
    <t>16/919549</t>
  </si>
  <si>
    <t>SCIDATEK INC.</t>
  </si>
  <si>
    <t>SCIDATEK</t>
  </si>
  <si>
    <t>Junichiro Fujita, Louay Eldada</t>
  </si>
  <si>
    <t>G02B 6/12 (20130101)</t>
  </si>
  <si>
    <t>Small form-factor, sensitive and efficient waveguide devices capable of     nondispersive infrared gas or liquid sensing and photocatalysis are     designed based on photonic integrated circuits. The devices comprise     three-dimensional optical waveguiding structures and preferably     integrated light sources and photodetectors. Since the length of the     waveguide scales with the number of waveguiding layers, a plurality of     layers is used to design high-sensitivity sensors and high-efficiency     photocatalysis devices. In one embodiment, titanium dioxide absorbs     ultraviolet light to generate an electron-hole pair which, in the     presence of water and oxygen, generates radicals that react with and     mineralize undesirable organic compounds, such as the lipid membranes     that envelope and protect viruses such as Coronavirus Disease 2019     (COVID-19), allowing to pry apart the membranes and destroy the cells.     Such photocatalysis devices can be used in airflow systems designed to     circulate the air of essentially confined spaces through these devices to     create air-disinfecting systems.</t>
  </si>
  <si>
    <t>US10759846</t>
  </si>
  <si>
    <t>Middle east respiratory syndrome coronavirus immunogens, antibodies, and     their use</t>
  </si>
  <si>
    <t>Barney Graham, Wing-Pui Kong, Kayvon Modjarrad, Lingshu Wang, Wei Shi, Michael Gordon Joyce, Masaru Kanekiyo, John Mascola</t>
  </si>
  <si>
    <t>C07K 14/005 (20130101); A61K 39/12 (20130101); C07K 16/10 (20130101); C07K 14/165 (20130101); A61K 39/215 (20130101); G01N 33/56983 (20130101); C07K 2317/24 (20130101); C07K 2317/567 (20130101); A61K 2039/55566 (20130101); A61K 2039/53 (20130101); A61K 2039/55572 (20130101); C07K 2317/565 (20130101); C07K 2317/34 (20130101); C07K 2317/21 (20130101); C07K 2317/33 (20130101); C07K 2317/55 (20130101); C07K 2317/56 (20130101); C12N 2770/20034 (20130101); C07K 2317/92 (20130101); A61K 2039/57 (20130101); C07K 2317/54 (20130101); G01N 2333/165 (20130101); A61K 2039/55505 (20130101); A61K 2039/545 (20130101); C07K 2317/622 (20130101); C07K 2317/76 (20130101); C07K 2317/52 (20130101)</t>
  </si>
  <si>
    <t>US10758506</t>
  </si>
  <si>
    <t>Amino acid compositions for the treatment of porcine epidemic diarrhea</t>
  </si>
  <si>
    <t>ENTRINSIC BIOSCIENCE INC; UNIV FLORIDA</t>
  </si>
  <si>
    <t>Sadasivan Vidyasagar, Stephen J. Gatto, Daniel B. Dennison</t>
  </si>
  <si>
    <t>A61K 31/198 (20130101); A61K 31/197 (20130101); A61K 31/405 (20130101); A61K 31/197 (20130101); A61K 2300/00 (20130101); A61K 31/198 (20130101); A61K 2300/00 (20130101); A61K 31/405 (20130101); A61K 2300/00 (20130101); A61K 31/00 (20130101)</t>
  </si>
  <si>
    <t>US10758480</t>
  </si>
  <si>
    <t>16/844967</t>
  </si>
  <si>
    <t>Albert Rego, Lynn R. Detlor</t>
  </si>
  <si>
    <t>A61K 33/18 (20130101); A61K 9/0078 (20130101); A61K 9/0075 (20130101); A61M 2202/064 (20130101); A61M 16/14 (20130101); A61M 16/0057 (20130101); A61M 15/00 (20130101)</t>
  </si>
  <si>
    <t>Disclosed is a system and method of treatment which provides a direct     response to the treatment of pneumonia as related to infections using a     powder comprising a polyiodide resin with broad spectrum bactericidal,     fungicidal and virucidal properties. When the powder is applied directly     to the lungs of a mammal an immediate contact kill of protozoa, bacteria,     fungi and viruses that cause respiratory tract infections affecting the     lungs of a mammal takes place.</t>
  </si>
  <si>
    <t>US10757988</t>
  </si>
  <si>
    <t>Personal protective equipment with functionalized nanotube compositions to     control pathogens such as SARS CoV-2 (coronavirus)</t>
  </si>
  <si>
    <t>16/871994</t>
  </si>
  <si>
    <t>A41D 13/1192 (20130101); A61M 16/06 (20130101); A61M 16/1065 (20140204); D01F 9/12 (20130101); A61M 2202/206 (20130101); B82Y 30/00 (20130101); A61M 2205/0205 (20130101); A61M 2202/0488 (20130101); A61M 2202/203 (20130101)</t>
  </si>
  <si>
    <t>US10751410</t>
  </si>
  <si>
    <t>Immunogenic middle east respiratory syndrome coronavirus (MERS-CoV)     compositions and methods</t>
  </si>
  <si>
    <t>Gale Smith, Ye Liu, Michael Massare</t>
  </si>
  <si>
    <t>C07K 14/005 (20130101); C12N 7/00 (20130101); A61K 39/42 (20130101); A61K 39/12 (20130101); C07K 16/10 (20130101); A61K 39/215 (20130101); C12N 2770/20071 (20130101); A61K 2039/5258 (20130101); A61K 2039/505 (20130101); A61K 2039/552 (20130101); C12N 2770/20034 (20130101); C12N 2770/20022 (20130101); A61K 2039/575 (20130101); C07K 2317/92 (20130101)</t>
  </si>
  <si>
    <t>US10736958</t>
  </si>
  <si>
    <t>Albertus D. M. E. Osterhaus, Bror Morein, Karin Lovgren Bengtsson</t>
  </si>
  <si>
    <t>A61K 39/12 (20130101); A61K 39/145 (20130101); C12N 2760/16111 (20130101); C12N 2760/16134 (20130101); A61K 2039/55577 (20130101); A61K 2039/70 (20130101)</t>
  </si>
  <si>
    <t>The present invention relates to a composition comprising at least one     ISCOM complex and at least one ectodomain from at least one hemagglutinin     (HA) domain and at least one ectodomain from at least one neuraminidase     (NA) domain from one or more influenza virus, wherein the extodomains     represent ectodomains isolated from the influenza virus. The invention     also regards a kit. The composition may be used as an immune stimulating     medicine, immune modulating pharmaceutical or a vaccine e.g. against     influenza for vertebrates, e.g. birds and mammals.</t>
  </si>
  <si>
    <t>US10731161</t>
  </si>
  <si>
    <t>Influenza-activated constructs and methods of use thereof</t>
  </si>
  <si>
    <t>Christopher E. Bradburne, Lucy M. Carruth</t>
  </si>
  <si>
    <t>C12N 15/1131 (20130101); C12Q 1/701 (20130101); C12Q 2600/178 (20130101); C12N 2320/30 (20130101); C12N 2310/317 (20130101); C12N 2310/336 (20130101); C12N 2310/531 (20130101); C12N 2310/14 (20130101); C12Q 2600/158 (20130101)</t>
  </si>
  <si>
    <t>US10731154</t>
  </si>
  <si>
    <t>Acyl-amino-LNA and/or hydrocarbyl-amino-LNA oligonucleotides</t>
  </si>
  <si>
    <t>15/550884</t>
  </si>
  <si>
    <t>Jesper Wengel</t>
  </si>
  <si>
    <t>C12N 15/113 (20130101); C12N 15/115 (20130101); C12N 15/111 (20130101); C12Q 1/6876 (20130101); C12Q 2600/178 (20130101); C12N 2310/3515 (20130101); C12Q 2600/136 (20130101); C12Q 2600/158 (20130101); C12N 2310/11 (20130101); C12N 2310/3231 (20130101); C12N 2310/346 (20130101); C12N 2310/315 (20130101); C12N 2310/321 (20130101); C12N 2310/16 (20130101); C12N 2310/323 (20130101); C12N 2310/341 (20130101); C12N 2310/3231 (20130101); C12N 2310/3535 (20130101); C12N 2310/321 (20130101); C12N 2310/3521 (20130101); C12N 2310/322 (20130101); C12N 2310/3533 (20130101)</t>
  </si>
  <si>
    <t>A single stranded oligonucleotide containing two or more acyl-amino-LNA     or hydrocarbyl-amino-LNA nucleotide monomers, in which other nucleotide     monomers can be DNA, RNA or chemically modified nucleotide monomers;   in     which the monomers of the oligonucleotide are linked by phosphodiester     linkages and/or phosophorothioate linkages and/or phosphotriester     linkages, in which the acyl and hydrocarbyl groups of the acyl-amino-LNA     and hydrocarbyl-amino-LNA monomers are optionally substituted and thus     optionally contain one or more hydroxyl group(s), amino group(s), thio     group(s), oxo group(s), alkylthio group(s), ether group(s), and/or thiol     (mercapto) group(s), and in which the acyl and hydrocarbyl groups of the     acyl-amino-LNA and hydrocarbyl-amino-LNA monomers are linear or branched     chains, cyclic or a combination of both, provided that the total number     of carbon atoms in each acyl and hydrocarbyl group is less than 30.</t>
  </si>
  <si>
    <t>US10729764</t>
  </si>
  <si>
    <t>ISCOM preparation and use thereof</t>
  </si>
  <si>
    <t>A61K 39/39 (20130101); A61K 2039/55577 (20130101)</t>
  </si>
  <si>
    <t>US10729760</t>
  </si>
  <si>
    <t>A61K 39/145 (20130101); C12N 7/00 (20130101); A61K 39/12 (20130101); C07K 14/005 (20130101); A61K 2039/55561 (20130101); A61K 2039/543 (20130101); A61K 2039/70 (20130101); C12N 2760/16034 (20130101); C12N 2760/16134 (20130101); A61K 2039/55555 (20130101); A61K 2039/58 (20130101); C12N 2760/16123 (20130101); A61K 2039/5258 (20130101); C12N 2760/16023 (20130101); C12N 2710/14143 (20130101); C12N 2760/16122 (20130101); C12N 2760/16022 (20130101); A61K 2039/55505 (20130101)</t>
  </si>
  <si>
    <t>US10729735</t>
  </si>
  <si>
    <t>Method and compostitions for treating coronavirus infection</t>
  </si>
  <si>
    <t>16/895920</t>
  </si>
  <si>
    <t>Robert A. Newman, Otis C. Addington</t>
  </si>
  <si>
    <t>A61K 36/24 (20130101); A61K 31/56 (20130101); A61K 31/7048 (20130101); A61P 31/14 (20180101); A61K 2236/37 (20130101); A61K 2236/39 (20130101)</t>
  </si>
  <si>
    <t>US10726956</t>
  </si>
  <si>
    <t>Fever epidemic detection system and method thereof</t>
  </si>
  <si>
    <t>Joe-Air Jiang, Chien-Hao Wang, Ya-An Chan, Lin-Kuei Su, Cheng-Yue Liu, Po-Han Chen, Wei-Sheng Chen, Ching-Ya Tseng</t>
  </si>
  <si>
    <t>G16H 50/80 (20180101); G16H 40/40 (20180101); A61B 5/01 (20130101); A61B 5/746 (20130101); G06Q 50/22 (20130101); A61B 5/0077 (20130101); A61B 2560/0223 (20130101); A61B 2505/01 (20130101); A61B 2560/0252 (20130101)</t>
  </si>
  <si>
    <t>US10726954</t>
  </si>
  <si>
    <t>15/136667</t>
  </si>
  <si>
    <t>Guangquan Su, Meredith Ann Barrett, Olivier Humblet, Chris Hogg, John David Van Sickle, Kelly Anne Henderson, Gregory F. Tracy</t>
  </si>
  <si>
    <t>G16H 20/13 (20180101); G06N 20/00 (20190101); G16H 50/20 (20180101); Y02A 90/24 (20180101); Y02A 90/26 (20180101)</t>
  </si>
  <si>
    <t>US10724032</t>
  </si>
  <si>
    <t>Marc Dominic DeJohn, Jesse Wilson vanWestrienen</t>
  </si>
  <si>
    <t>B01L 3/502 (20130101); C12N 15/1017 (20130101); B01L 3/0217 (20130101); B01L 2200/0631 (20130101); B01L 2400/049 (20130101); B01L 2400/0478 (20130101); B01L 2300/0681 (20130101)</t>
  </si>
  <si>
    <t>US10722591</t>
  </si>
  <si>
    <t>Cleavable conjugates of TLR7/8 agonist compounds, methods for preparation,     and uses thereof</t>
  </si>
  <si>
    <t>Robert L. Coffman, Stewart D. Chipman, Radwan Kiwan, Samuel Zalipsky, Gary S. Ott</t>
  </si>
  <si>
    <t>A61K 47/54 (20170801); C07D 519/00 (20130101); A61K 47/545 (20170801); A61K 47/60 (20170801); A61K 47/6855 (20170801); A61K 47/6803 (20170801); A61K 47/65 (20170801); A61K 47/6889 (20170801); A61K 31/4745 (20130101); C07D 471/04 (20130101); A61P 35/00 (20180101); A61K 47/6939 (20170801)</t>
  </si>
  <si>
    <t>US10716847</t>
  </si>
  <si>
    <t>Haemophilus influenzae fusion protein and construction method and use     thereof</t>
  </si>
  <si>
    <t>15/940871</t>
  </si>
  <si>
    <t>Junqiang Li, Danqing Miao, Mingming Yang, Zhongqi Shao, Tao Zhu, Xuefeng Yu</t>
  </si>
  <si>
    <t>C12N 15/62 (20130101); C07K 19/00 (20130101); A61K 39/102 (20130101); A61K 39/385 (20130101); A61K 47/646 (20170801); A61K 2039/6087 (20130101); Y02A 50/476 (20180101); Y02A 50/484 (20180101); A61K 2039/70 (20130101)</t>
  </si>
  <si>
    <t>Provided are a fusion protein and a construction method thereof. The     fusion method consists of: a Haemophilus influenzae protein D and a Hin47     (Htra) protein. The fusion protein can serve as a protein vehicle for a     Haemophilus influenzae polysaccharide-protein conjugate vaccine, thereby     increasing immunogenicity of a polysaccharide antigen.</t>
  </si>
  <si>
    <t>US10709779</t>
  </si>
  <si>
    <t>A61K 9/5123 (20130101); A61K 39/39 (20130101); A61K 39/145 (20130101); A61K 48/00 (20130101); C12N 7/00 (20130101); A61K 39/155 (20130101); A61K 9/5146 (20130101); A61K 39/12 (20130101); A61K 9/0019 (20130101); A61K 31/7105 (20130101); A61K 9/1271 (20130101); C12N 2760/16134 (20130101); A61K 2039/55555 (20130101); A61K 2039/545 (20130101); A61K 2039/53 (20130101); C12N 2760/16234 (20130101); C12N 2760/16122 (20130101)</t>
  </si>
  <si>
    <t>US10702601</t>
  </si>
  <si>
    <t>C07K 14/005 (20130101); C12N 7/00 (20130101); C07K 16/10 (20130101); C07K 14/165 (20130101); A61K 39/215 (20130101); A61K 45/06 (20130101); C12N 2770/20021 (20130101); C12N 2770/20063 (20130101); C12N 2710/14043 (20130101); C12N 2770/20034 (20130101); A61K 2039/552 (20130101); A61K 2039/5252 (20130101); C07K 2317/76 (20130101); C12N 2710/14143 (20130101); C12N 2770/20022 (20130101)</t>
  </si>
  <si>
    <t>The present invention relates to immunogenic compositions, wherein the     immunogenic compositions include a recombinant spike antigen porcine     epidemic diarrhea virus (PEDV). The immunogenic compositions commonly     include an oil-in-water emulsion as an adjuvant. Methods for producing     the immunogenic compositions and the recombinant PEDV spike antigen are     also provided.</t>
  </si>
  <si>
    <t>US10702600</t>
  </si>
  <si>
    <t>A61K 39/215 (20130101); A61K 39/155 (20130101); C07K 16/1027 (20130101); A61K 39/12 (20130101); C07K 16/10 (20130101); A61P 11/00 (20180101); C12N 2760/18034 (20130101); A61K 2039/53 (20130101); C12N 2760/18434 (20130101); C12N 2760/18634 (20130101); Y02A 50/39 (20180101); C12N 2760/18534 (20130101); A61K 2039/55511 (20130101); Y02A 50/381 (20180101); A61K 2039/55555 (20130101); C12N 2760/18334 (20130101); C12N 2770/20034 (20130101); A61K 2039/6018 (20130101); C07K 2317/76 (20130101); A61K 2039/70 (20130101)</t>
  </si>
  <si>
    <t>US10702599</t>
  </si>
  <si>
    <t>HPIV3 RNA vaccines</t>
  </si>
  <si>
    <t>A61K 39/155 (20130101); C07K 16/1027 (20130101); A61P 11/00 (20180101); A61K 39/12 (20130101); C07K 16/10 (20130101); C12N 2760/18034 (20130101); A61K 2039/6018 (20130101); A61K 2039/53 (20130101); Y02A 50/39 (20180101); C12N 2760/18534 (20130101); A61K 2039/55511 (20130101); A61K 2039/55555 (20130101); C12N 2760/18334 (20130101); C07K 2317/76 (20130101); C12N 2760/18434 (20130101); C12N 2760/18634 (20130101); C12N 2770/20034 (20130101); A61K 2039/70 (20130101)</t>
  </si>
  <si>
    <t>US10695361</t>
  </si>
  <si>
    <t>Michael O'Neil Hanrahan Clarke, Joy Yang Feng, Robert Jordan, Richard L. Mackman, Adrian S. Ray, Dustin Siegel</t>
  </si>
  <si>
    <t>US10695357</t>
  </si>
  <si>
    <t>Methods for treating filoviridae virus infections</t>
  </si>
  <si>
    <t>A61K 31/665 (20130101); A61K 31/7056 (20130101); C07H 1/00 (20130101); A61K 31/685 (20130101); C07H 1/02 (20130101); C07D 519/00 (20130101); A61K 31/675 (20130101); C07H 11/00 (20130101); A61K 45/06 (20130101); C07D 487/04 (20130101); C07F 9/2429 (20130101); C07F 9/65616 (20130101); A61K 31/6615 (20130101); A61K 31/683 (20130101); A61K 31/00 (20130101); C07H 15/18 (20130101); A61K 31/53 (20130101); A61K 31/706 (20130101); A61K 31/53 (20130101); A61K 2300/00 (20130101); A61K 31/675 (20130101); A61K 2300/00 (20130101); A61K 31/685 (20130101); A61K 2300/00 (20130101)</t>
  </si>
  <si>
    <t>US10689716</t>
  </si>
  <si>
    <t>Materials and methods for detecting coronavirus</t>
  </si>
  <si>
    <t>16/823522</t>
  </si>
  <si>
    <t>Sylvia Daunert, Sapna K. Deo, Jean-Marc Zingg</t>
  </si>
  <si>
    <t>C12Q 1/701 (20130101)</t>
  </si>
  <si>
    <t>US10682368</t>
  </si>
  <si>
    <t>Michel Joseph Perron, Niels C. Pedersen</t>
  </si>
  <si>
    <t>A61P 31/14 (20180101); A61K 31/706 (20130101); A61P 31/12 (20180101)</t>
  </si>
  <si>
    <t>Provided are methods of treating feline Coronavirus infections using     carbanucleoside compounds having a     1'-(4-aminopyrrolo[2,1-f][1,2,4]triazin-7-yl) substituent, or a     pharmaceutically acceptable salt thereof. An exemplary compound is     (2R,3R,4S,5R)-2-(4-aminopyrrolo[2,1-f][1,2,4]triazin-7-yl)-3,4-dihydroxy--    5-(hydroxymethyl)tetrahydrofuran-2-carbonitrile.</t>
  </si>
  <si>
    <t>US10676520</t>
  </si>
  <si>
    <t>Antibodies useful in passive influenza immunization</t>
  </si>
  <si>
    <t>Lawrence M. Kauvar, Stote Ellsworth, William Usinger, Krista M. McCutcheon, Minha Park, Bo Chen, Ying-Ping Jiang</t>
  </si>
  <si>
    <t>C07K 16/1018 (20130101); C07K 2317/76 (20130101); A61K 2039/505 (20130101); C07K 2317/34 (20130101); C07K 2317/33 (20130101); C07K 2317/21 (20130101); C07K 2317/92 (20130101)</t>
  </si>
  <si>
    <t>US10676511</t>
  </si>
  <si>
    <t>Coronaviruses epitope-based vaccines</t>
  </si>
  <si>
    <t>Jonathan Gershoni, Natalia T. Freund</t>
  </si>
  <si>
    <t>C07K 14/005 (20130101); A61P 31/14 (20180101); A61K 39/12 (20130101); A61K 39/215 (20130101); C12N 2770/20051 (20130101); C12N 2770/20034 (20130101); C07K 2319/735 (20130101); C12N 2770/20022 (20130101)</t>
  </si>
  <si>
    <t>US10675296</t>
  </si>
  <si>
    <t>Compositions comprising an RNA polymerase inhibitor and cyclodextrin for     treating viral infections</t>
  </si>
  <si>
    <t>Nate Larson</t>
  </si>
  <si>
    <t>A61K 9/0019 (20130101); A61K 47/40 (20130101); A61K 31/724 (20130101); A61K 31/683 (20130101); A61P 31/12 (20180101); A61K 47/6951 (20170801); A61K 9/19 (20130101)</t>
  </si>
  <si>
    <t>US10672158</t>
  </si>
  <si>
    <t>Object interactions</t>
  </si>
  <si>
    <t>15/854450</t>
  </si>
  <si>
    <t>Joseph Christopher Schuck</t>
  </si>
  <si>
    <t>G16H 50/80 (20180101); G16H 10/60 (20180101); G16H 30/40 (20180101); G06T 11/206 (20130101); G16H 10/40 (20180101); G06Q 50/22 (20130101); G06Q 50/26 (20130101)</t>
  </si>
  <si>
    <t>One embodiment provides a method comprising: receiving, at an input     device of an information handling device, a selection to display     interaction data associated with a target, wherein the interaction data     corresponds to interactions between the target and at least one of an     individual and an object; determining, using a processor, whether each of     the interactions is associated with a direct interaction or an indirect     interaction; and generating, based on the determining, an interaction     visualization for the interactions. Other aspects are described and     claimed.</t>
  </si>
  <si>
    <t>US10671703</t>
  </si>
  <si>
    <t>Maintaining stability of health services entities treating influenza</t>
  </si>
  <si>
    <t>15/083090</t>
  </si>
  <si>
    <t>Douglas S. McNair</t>
  </si>
  <si>
    <t>G16H 50/80 (20180101); G16H 50/50 (20180101); G06F 19/328 (20130101)</t>
  </si>
  <si>
    <t>Systems, methods and computer-readable media are provided for determining     and mitigating the aggregate loss risk associated with hospitalization     for epidemic or pandemic influenza for health insurers, reinsurers,     provider organizations, or public policy-makers. An accurate prediction     of this risk may be provided, which may be used to determine parameters     for reinsurance underwriting or for issuance and trading of catastrophe     bonds ("cat bonds") or other insurance-linked securities (ILS) and     derivatives to lay off substantial amounts of such risk to capital     markets investors. In particular, one embodiment uses a novel log-expit     transformation of the raw data and non-parametric gradient-boosting     machine-learning modeling in order to determine a high-claim right-tail     risk. Some embodiments further comprise securitizing epidemic or pandemic     influenza acute care health services catastrophe risk.</t>
  </si>
  <si>
    <t>US10668279</t>
  </si>
  <si>
    <t>Miniminally invasive dermal electroporation device</t>
  </si>
  <si>
    <t>15/886234</t>
  </si>
  <si>
    <t>Kate Broderick, Jay McCoy, Stephen V. Kemmerrer</t>
  </si>
  <si>
    <t>C12M 35/02 (20130101); A61N 1/0476 (20130101); A61N 1/327 (20130101); A61N 1/0412 (20130101); C12N 15/87 (20130101); A61N 1/0424 (20130101); A61K 2039/53 (20130101); A61M 2037/0007 (20130101)</t>
  </si>
  <si>
    <t>US10654915</t>
  </si>
  <si>
    <t>Lawrence M. Kauvar, Stote Ellsworth, William Usinger, Krista Maureen McCutcheon, Minha Park</t>
  </si>
  <si>
    <t>C07K 16/1018 (20130101); C07K 2317/33 (20130101); C07K 2317/21 (20130101); C07K 2317/92 (20130101); A61K 2039/507 (20130101); C07K 2317/622 (20130101); C07K 2317/76 (20130101); A61K 2039/505 (20130101); C07K 2317/31 (20130101)</t>
  </si>
  <si>
    <t>US10646486</t>
  </si>
  <si>
    <t>Polycyclic-carbamoylpyridone compounds and their pharmaceutical use</t>
  </si>
  <si>
    <t>15/704842</t>
  </si>
  <si>
    <t>Elizabeth M. Bacon, Zhenhong R. Cai, Jeromy J. Cottell, Mingzhe Ji, Haolun Jin, Scott E. Lazerwith, Philip Anthony Morganelli, Hyung-Jung Pyun</t>
  </si>
  <si>
    <t>A61K 45/06 (20130101); C07D 491/20 (20130101); C07D 471/04 (20130101); A61K 31/4985 (20130101); C07D 491/147 (20130101)</t>
  </si>
  <si>
    <t>Compounds for use in the treatment of human immunodeficiency virus (HIV)     infection are disclosed. The compounds have the following Formula (Ia):     ##STR00001##  including stereoisomers and pharmaceutically acceptable     salts thereof, wherein A', R.sup.1, R.sup.2 and R.sup.3 are as defined     herein. Methods associated with preparation and use of such compounds, as     well as pharmaceutical compositions comprising such compounds, are also     disclosed.</t>
  </si>
  <si>
    <t>US10645472</t>
  </si>
  <si>
    <t>Communication system and method for using human telematic data to provide     a hazard alarm/notification message to a user in a static environment     such as in or around buildings or other structures</t>
  </si>
  <si>
    <t>16/562270</t>
  </si>
  <si>
    <t>G08B 26/008 (20130101); G08B 31/00 (20130101); G08B 21/10 (20130101); G08B 25/008 (20130101); G16H 50/80 (20180101); H04Q 9/00 (20130101); G08B 26/002 (20130101); G16H 10/60 (20180101); H04Q 9/14 (20130101); G08B 21/0453 (20130101); G08B 25/00 (20130101); G16H 40/67 (20180101); G08B 23/00 (20130101); G06Q 40/08 (20130101); G06F 19/00 (20130101); H04Q 2209/30 (20130101); H04Q 2209/40 (20130101)</t>
  </si>
  <si>
    <t>Systems and methods are disclosed herein for providing near real-time     communication to a user based on analysis of various user and     environmental telematic data. The system includes a user telematic sensor     providing telematics data about the wearer. Also, the system and method     include at least one building/environment telematic sensor configured to     provide telematic data about the building and/or surrounding environment.     The various telematics data is communicated and processed to provide     notification back to the user such as a potential safety hazard. The     safety hazard may be based upon sensed data specific to the user,     specific to the user's environment, or combinations thereof.</t>
  </si>
  <si>
    <t>US10640560</t>
  </si>
  <si>
    <t>Antagonists of IL-6 to prevent or treat cachexia, weakness, fatigue, and     /or fever</t>
  </si>
  <si>
    <t>C07K 16/248 (20130101); A61K 39/3955 (20130101); A61P 43/00 (20180101); A61K 45/06 (20130101); C07K 2317/34 (20130101); A61K 2039/545 (20130101); A61K 2039/505 (20130101); C07K 2317/92 (20130101); C07K 2317/76 (20130101); Y02A 50/412 (20180101)</t>
  </si>
  <si>
    <t>US10604530</t>
  </si>
  <si>
    <t>US10603318</t>
  </si>
  <si>
    <t>Eda Canales, Jeromy J. Cottell, Kapil K. Karki, Ashley A. Katana, Darryl Kato, Tetsuya Kobayashi, John O. Link, Ruben Martinez, Barton W. Phillips, Hyung-jung Pyun, Kyla Ramey, Michael Sangi, Adam J. Schrier, Dustin Siegel, James G. Taylor, Chinh V. Tran, Teresa A. Trejo Martin, Randall W. Vivian, Zheng-Yu Yang, Jeff Zablocki, Sheila Zipfel</t>
  </si>
  <si>
    <t>A61K 31/4745 (20130101); A61P 31/10 (20180101); A61P 1/16 (20180101); C07K 5/0812 (20130101); A61P 31/00 (20180101); C07D 498/16 (20130101); A61K 38/06 (20130101); A61P 31/14 (20180101); C07D 241/36 (20130101); A61K 31/506 (20130101); C07K 5/08 (20130101); C07D 498/22 (20130101); A61K 31/498 (20130101); A61K 45/06 (20130101); C07D 403/14 (20130101); A61P 43/00 (20180101); C07K 5/0827 (20130101); A61K 31/401 (20130101); A61K 31/4985 (20130101); A61K 31/10 (20130101); A61K 38/21 (20130101); A61P 31/12 (20180101); C07K 5/0808 (20130101); A61K 31/519 (20130101); A61K 38/21 (20130101); A61K 2300/00 (20130101); A61K 38/00 (20130101)</t>
  </si>
  <si>
    <t>US10590174</t>
  </si>
  <si>
    <t>Genomic sequences encoding for an attenuated mutant Zika virus</t>
  </si>
  <si>
    <t>Gilles Gadea, Michael Girardot, Philippe Despres</t>
  </si>
  <si>
    <t>C12N 15/111 (20130101); C07K 14/005 (20130101); C12N 7/00 (20130101); C12N 2770/24134 (20130101); A61K 39/00 (20130101); Y02A 50/392 (20180101); C12N 2999/005 (20130101); C12N 2310/141 (20130101); C12N 2770/24162 (20130101); A61K 2039/5254 (20130101); C12N 2320/30 (20130101); C12N 2770/24122 (20130101)</t>
  </si>
  <si>
    <t>US10584109</t>
  </si>
  <si>
    <t>Kevin M. Allan, Shinji Fujimori, Lars V. Heumann, Grace May, Katie Ann Brown, Christopher M. Levins, Ganapati Reddy Pamulapati, Benjamin James Roberts, Keshab Sarma, Martin Gerald Teresk, Xiang Wang, Scott Alan Wolckenhauer</t>
  </si>
  <si>
    <t>C07C 49/82 (20130101); C07D 405/12 (20130101); A61P 31/14 (20180101); C07C 49/755 (20130101); C07D 311/78 (20130101); C07D 491/052 (20130101); C07D 405/14 (20130101); C07C 49/80 (20130101); C07C 2602/10 (20170501)</t>
  </si>
  <si>
    <t>US10579747</t>
  </si>
  <si>
    <t>Injection of simulated sources in a system of networked sensors</t>
  </si>
  <si>
    <t>Daniel A. Cooper, James B. Costales, Krzysztof E. Kamieniecki, Robert J. Ledoux, Jeffrey K. Thompson, Stephen E. Korbly</t>
  </si>
  <si>
    <t>G06N 20/00 (20190101); H04L 67/12 (20130101); G06N 5/04 (20130101); G09B 9/00 (20130101); G06F 30/20 (20200101); G06F 19/00 (20130101); G08B 29/14 (20130101); G16H 50/80 (20180101); G08B 21/12 (20130101)</t>
  </si>
  <si>
    <t>Methods and systems are disclosed for detecting a source (such as, e.g.,     radioactive and chemical sources) using a plurality of networked sensors     communicating with a central processor over network. A method can involve     injecting a simulated source in the system of networked sensors for use     in operational training and/or testing.</t>
  </si>
  <si>
    <t>US10555999</t>
  </si>
  <si>
    <t>A61K 39/12 (20130101); C12N 7/00 (20130101); A61K 39/145 (20130101); A61K 39/39 (20130101); A61K 2039/572 (20130101); A61K 2039/55566 (20130101); C12N 2760/16234 (20130101); A61K 2039/575 (20130101); A61K 2039/545 (20130101); C12N 2760/16134 (20130101); A61K 2039/5252 (20130101); C12N 2760/16171 (20130101)</t>
  </si>
  <si>
    <t>US10548975</t>
  </si>
  <si>
    <t>Branched chimeric compounds, and methods of use thereof</t>
  </si>
  <si>
    <t>15/958295</t>
  </si>
  <si>
    <t>Gary S. Ott, Robert J. Milley, Robert L. Coffman, Radwan Kiwan, Holger Kanzler</t>
  </si>
  <si>
    <t>C07H 21/00 (20130101); A61K 31/7125 (20130101); A61P 37/04 (20180101); A61K 47/60 (20170801); A61P 43/00 (20180101); A61K 39/12 (20130101); A61K 47/61 (20170801); A61K 39/07 (20130101); A61K 39/39 (20130101); A61P 31/00 (20180101); A61P 35/00 (20180101); C07H 21/04 (20130101); A61K 2039/545 (20130101); C12N 2730/10134 (20130101); A61K 2039/55561 (20130101); A61K 2039/572 (20130101); A61K 2039/575 (20130101); A61K 2039/55511 (20130101)</t>
  </si>
  <si>
    <t>The present disclosure relates to branched and linear chimeric compounds     containing both nucleic acid and non-nucleic acid moieties, as well as to     polynucleotides. The present disclosure also relates to uses thereof for     stimulating an immune response, and to methods for preparation of the     branched chimeric compounds.</t>
  </si>
  <si>
    <t>US10548971</t>
  </si>
  <si>
    <t>David Weiner, Karuppiah Muthumani, Niranjan Y. Sardesai</t>
  </si>
  <si>
    <t>A61P 37/04 (20180101); C12N 7/00 (20130101); A61K 39/12 (20130101); A61P 31/14 (20180101); A61K 39/215 (20130101); C12N 2770/20034 (20130101); A61K 2039/53 (20130101)</t>
  </si>
  <si>
    <t>US10548968</t>
  </si>
  <si>
    <t>C12N 7/00 (20130101); C07K 14/005 (20130101); A61K 39/39 (20130101); C12N 15/86 (20130101); A61K 39/145 (20130101); A61K 39/12 (20130101); A61K 2039/543 (20130101); C12N 2710/14143 (20130101); A61K 2039/70 (20130101); A61K 2039/55555 (20130101); A61K 2039/55505 (20130101); C12N 2760/16122 (20130101); C12N 2760/16034 (20130101); C12N 2760/16134 (20130101); C12N 2760/16123 (20130101); C12N 2760/16071 (20130101); A61K 2039/5258 (20130101); C12N 2760/16023 (20130101)</t>
  </si>
  <si>
    <t>US10548846</t>
  </si>
  <si>
    <t>Therapeutic compositions for treatment of human immunodeficiency virus</t>
  </si>
  <si>
    <t>Benjamin Micah Collman, Lei Hong, Joanna M. Koziara</t>
  </si>
  <si>
    <t>A61K 9/2086 (20130101); A61K 9/0053 (20130101); A61K 31/513 (20130101); A61K 31/553 (20130101); A61P 31/18 (20180101); A61K 31/675 (20130101); A61K 31/5365 (20130101); A61K 9/2054 (20130101); A61K 9/28 (20130101); A61K 9/2095 (20130101); A61K 9/2013 (20130101); A61K 9/209 (20130101); A61K 31/513 (20130101); A61K 2300/00 (20130101); A61K 31/553 (20130101); A61K 2300/00 (20130101); A61K 31/675 (20130101); A61K 2300/00 (20130101)</t>
  </si>
  <si>
    <t>US10543269</t>
  </si>
  <si>
    <t>hMPV RNA vaccines</t>
  </si>
  <si>
    <t>A61K 39/155 (20130101); A61K 39/12 (20130101); C07K 16/10 (20130101); C07K 16/1027 (20130101); A61P 11/00 (20180101); Y02A 50/39 (20180101); C07K 2317/76 (20130101); A61K 2039/70 (20130101); C12N 2760/18634 (20130101); A61K 2039/53 (20130101); C12N 2770/20034 (20130101); A61K 2039/6018 (20130101); A61K 2039/55555 (20130101); C12N 2760/18334 (20130101); C12N 2760/18434 (20130101); C12N 2760/18534 (20130101); C12N 2760/18034 (20130101); A61K 2039/55511 (20130101)</t>
  </si>
  <si>
    <t>US10541056</t>
  </si>
  <si>
    <t>System for collecting and displaying diagnostics from diagnostic     instruments</t>
  </si>
  <si>
    <t>15/127379</t>
  </si>
  <si>
    <t>David Dickson Booker, Cheryl Marie Miller</t>
  </si>
  <si>
    <t>G16H 50/80 (20180101); G16H 10/40 (20180101); G06F 16/951 (20190101); G01N 33/48792 (20130101)</t>
  </si>
  <si>
    <t>US10526375</t>
  </si>
  <si>
    <t>Kannan Tharakaraman, Rahul Raman, Akila Jayaraman, Nathan Wilson Stebbins, Ram Sasisekharan</t>
  </si>
  <si>
    <t>G01N 33/56983 (20130101); C12N 7/00 (20130101); C07K 16/1018 (20130101); C07K 14/005 (20130101); C12Q 1/701 (20130101); G01N 33/68 (20130101); G01N 2469/10 (20130101); A61K 39/00 (20130101); C07K 2317/33 (20130101); C12N 2760/16134 (20130101); C07K 2317/76 (20130101); C12N 2760/16122 (20130101); G01N 2333/11 (20130101)</t>
  </si>
  <si>
    <t>US10522245</t>
  </si>
  <si>
    <t>Clarissa Lui, Elizabeth A. Holmes</t>
  </si>
  <si>
    <t>C12Q 1/6895 (20130101); C12Q 1/707 (20130101); C12Q 1/70 (20130101); C12Q 1/706 (20130101); C12Q 1/705 (20130101); C12Q 1/6893 (20130101); G01N 33/56944 (20130101); G16H 10/40 (20180101); G01N 33/56916 (20130101); C12Q 1/689 (20130101); G01N 33/56983 (20130101); C12Q 1/701 (20130101); G01N 35/10 (20130101); G01N 33/56938 (20130101); G01N 33/56988 (20130101); G01N 33/56911 (20130101); G01N 33/56994 (20130101); C12Q 1/703 (20130101); Y02A 90/26 (20180101); G16H 20/10 (20180101); C12Q 2521/501 (20130101); G01N 2333/11 (20130101); C12Q 1/68 (20130101); G01N 2469/10 (20130101); G16H 50/20 (20180101); Y02A 90/24 (20180101); Y02A 50/58 (20180101); Y10T 436/11 (20150115); C12Q 1/6806 (20130101); C12Q 2600/16 (20130101); G01N 2469/20 (20130101); C12Q 1/6844 (20130101); G01N 2035/00237 (20130101); C12Q 2600/158 (20130101)</t>
  </si>
  <si>
    <t>US10520366</t>
  </si>
  <si>
    <t>G01J 5/0025 (20130101); G01K 1/024 (20130101); G01J 5/025 (20130101); G01K 13/002 (20130101); G06F 17/18 (20130101); G01J 5/0022 (20130101); G01J 5/02 (20130101); G01K 1/02 (20130101); G01J 5/027 (20130101); A61B 5/0008 (20130101); G01K 1/026 (20130101)</t>
  </si>
  <si>
    <t>US10508299</t>
  </si>
  <si>
    <t>15/793681</t>
  </si>
  <si>
    <t>Carl Lars Genghis Hansen, Michael Vanlnsberghe, Adam White, Oleh Petriv, Tim Leaver, Anupam Singhal, William Bowden, Veronique Lecault, Dan Da Costa, Leo Wu, Georgia Russell, Darek Sikorski</t>
  </si>
  <si>
    <t>C12Q 1/6806 (20130101); G01N 33/569 (20130101); B01L 3/502753 (20130101); G01N 33/5005 (20130101); B01L 3/502761 (20130101); C12M 23/16 (20130101); G01N 33/54366 (20130101); G01N 1/34 (20130101); B01L 2300/0816 (20130101); C12Q 1/6844 (20130101); B01L 7/52 (20130101); B01L 2200/0668 (20130101); B01L 2400/086 (20130101)</t>
  </si>
  <si>
    <t>US10501476</t>
  </si>
  <si>
    <t>A61P 31/16 (20180101); C07H 11/04 (20130101); C07D 495/04 (20130101); A61P 31/12 (20180101); A61P 31/14 (20180101); A61P 11/00 (20180101); C07D 519/00 (20130101); C07H 7/06 (20130101)</t>
  </si>
  <si>
    <t>US10485863</t>
  </si>
  <si>
    <t>13/811493</t>
  </si>
  <si>
    <t>OSTERHAUS ALBERTUS D M E; MOREIN BROR; LOEVGREN BENGTSSON KARIN; NOVAVAX AB; ERASMUS UNIV ROTTERDAM MEDICAL CENTER</t>
  </si>
  <si>
    <t>OSTERHAUS ALBERTUS M MOREIN BROR; LOEVGREN BENGTSSON KARIN; NOVAVAX AB; ERASMUS UNIV ROTTERDAM MEDICAL CENTER</t>
  </si>
  <si>
    <t>A61K 39/12 (20130101); A61K 39/145 (20130101); A61P 31/16 (20180101); A61P 37/02 (20180101); A61P 37/04 (20180101); C12N 2760/16134 (20130101); A61K 2039/70 (20130101); A61K 2039/55577 (20130101); C12N 2760/16111 (20130101)</t>
  </si>
  <si>
    <t>US10475526</t>
  </si>
  <si>
    <t>Systems, apparatus, and methods for generating and analyzing resistome     profiles</t>
  </si>
  <si>
    <t>Evan Jones, Vadim Sapiro, George Terrance Walker, Alex Saeed</t>
  </si>
  <si>
    <t>G16B 20/00 (20190201); G16B 40/00 (20190201); G16H 50/80 (20180101); G16B 20/40 (20190201); G16B 45/00 (20190201)</t>
  </si>
  <si>
    <t>US10472392</t>
  </si>
  <si>
    <t>A61P 35/00 (20180101); A61P 31/00 (20180101); A61K 39/29 (20130101); C07D 498/08 (20130101); A61P 43/00 (20180101); A61K 39/05 (20130101); A61K 45/06 (20130101); C07D 498/18 (20130101); C07D 498/22 (20130101); A61P 1/16 (20180101); A61P 11/00 (20180101); A61P 29/00 (20180101); A61P 37/02 (20180101); A61P 1/14 (20180101); A61P 3/04 (20180101); C07D 487/08 (20130101); A61K 38/12 (20130101); A61P 31/18 (20180101); C07K 5/0202 (20130101); A61P 31/14 (20180101); A61P 31/20 (20180101); C07K 5/02 (20130101); A61P 31/12 (20180101); A61K 38/15 (20130101); Y02A 50/387 (20180101); Y02A 50/395 (20180101); A61K 38/00 (20130101); Y02A 50/391 (20180101); Y02A 50/393 (20180101); Y02A 50/385 (20180101); Y02A 50/389 (20180101)</t>
  </si>
  <si>
    <t>US10471143</t>
  </si>
  <si>
    <t>A61P 31/04 (20180101); A61K 39/3955 (20130101); A61P 7/02 (20180101); A61P 7/06 (20180101); A61P 37/02 (20180101); A61P 3/10 (20180101); A61P 7/04 (20180101); A61P 17/00 (20180101); A61K 51/1033 (20130101); A61P 9/02 (20180101); C07K 16/248 (20130101); A61P 9/04 (20180101); A61P 31/12 (20180101); A61P 3/04 (20180101); A61P 5/14 (20180101); A61P 29/00 (20180101); A61P 9/12 (20180101); A61P 19/00 (20180101); A61P 35/00 (20180101); A61P 37/06 (20180101); A61K 38/208 (20130101); A61P 25/00 (20180101); A61P 25/24 (20180101); A61P 15/06 (20180101); A61P 9/10 (20180101); A61P 31/16 (20180101); A61P 33/06 (20180101); A61P 11/00 (20180101); A61P 17/14 (20180101); G01N 33/6863 (20130101); A61P 1/04 (20180101); A61P 31/18 (20180101); A61P 1/02 (20180101); A61P 1/16 (20180101); A61P 7/00 (20180101); A61P 9/00 (20180101); A61P 43/00 (20180101); A61P 13/08 (20180101); A61P 17/06 (20180101); A61P 19/02 (20180101); A61P 25/28 (20180101); A61P 37/08 (20180101); A61P 1/18 (20180101); A61P 35/02 (20180101); A61K 31/454 (20130101); A61P 19/08 (20180101); A61P 19/10 (20180101); A61P 21/00 (20180101); A61K 38/2013 (20130101); A61K 49/0004 (20130101); C07K 16/462 (20130101); A61K 49/0058 (20130101); A61P 17/02 (20180101); A61P 13/12 (20180101); A61K 45/06 (20130101); C07K 2317/565 (20130101); C07K 2317/33 (20130101); Y02A 50/58 (20180101); A61K 2039/505 (20130101); C07K 2317/56 (20130101); C07K 2317/76 (20130101); C07K 2317/24 (20130101); C07K 2317/94 (20130101); C07K 2317/90 (20130101); A61K 2039/545 (20130101); C07K 2317/41 (20130101); Y02A 50/412 (20180101); C07K 2317/34 (20130101); C07K 2317/92 (20130101)</t>
  </si>
  <si>
    <t>US10457983</t>
  </si>
  <si>
    <t>C12Q 1/686 (20130101); B01L 7/52 (20130101); G01N 21/77 (20130101); G01N 35/00871 (20130101); B01L 2300/1827 (20130101); B01L 2300/1844 (20130101); B01L 2200/025 (20130101); B01L 2300/023 (20130101); B01L 2300/1805 (20130101); G01N 2035/00881 (20130101); B01L 2300/1822 (20130101); B01L 2300/1894 (20130101); G01N 2035/00366 (20130101); B01L 2300/0832 (20130101); B01L 2200/028 (20130101); G01N 2035/00445 (20130101); B01L 2300/0627 (20130101); B01L 2300/0609 (20130101); B01L 2200/147 (20130101); G01N 2021/7786 (20130101); B01L 2300/0654 (20130101)</t>
  </si>
  <si>
    <t>US10456395</t>
  </si>
  <si>
    <t>Substituted dipyrido[1,2-a:1',2'-d]pyrazines for treating viral infections</t>
  </si>
  <si>
    <t>15/982197</t>
  </si>
  <si>
    <t>Hyung-Jung Pyun, Manoj C. Desai, Haolun Jin, Mingzhe Ji, Teresa Alejandra Trejo Martin</t>
  </si>
  <si>
    <t>C07D 471/18 (20130101); A61K 31/4985 (20130101); C07D 471/14 (20130101); A61P 31/00 (20180101); A61P 31/18 (20180101)</t>
  </si>
  <si>
    <t>US10442804</t>
  </si>
  <si>
    <t>Compounds for the treatment of hepatitis B virus infection</t>
  </si>
  <si>
    <t>Evangelos Aktoudianakis, Eda Canales, Kevin S. Currie, Darryl Kato, Jiayao Li, John O. Link, Samuel E. Metobo, Roland D. Saito, Scott D. Schroeder, Nathan Shapiro, Winston C. Tse, Qiaoyin Wu, Yunfeng Eric Hu</t>
  </si>
  <si>
    <t>C07D 491/22 (20130101); C07D 519/00 (20130101); A61P 31/20 (20180101); C07D 471/14 (20130101); C07D 498/14 (20130101); C07B 59/002 (20130101); C07B 2200/05 (20130101)</t>
  </si>
  <si>
    <t>US10430904</t>
  </si>
  <si>
    <t>Use of web-based symptom checker data to predict incidence of a disease or     disorder</t>
  </si>
  <si>
    <t>Nancy McMillan, Jingyu Feng, Kathryn Stamps, Robert E. Burr</t>
  </si>
  <si>
    <t>G16H 15/00 (20180101); G06Q 50/22 (20130101); G06Q 10/04 (20130101); G16H 50/80 (20180101)</t>
  </si>
  <si>
    <t>US10428060</t>
  </si>
  <si>
    <t>PI-kinase inhibitors with anti-infective activity</t>
  </si>
  <si>
    <t>15/892965</t>
  </si>
  <si>
    <t>Jeffrey S. Glenn, Michael A. Gelman, Brandon Tavshanjian, Kevan Shokat, Ingrid Choong</t>
  </si>
  <si>
    <t>C07D 417/04 (20130101); C07D 277/46 (20130101); C07D 417/14 (20130101); C07D 277/42 (20130101); C07D 277/44 (20130101); C07D 417/12 (20130101)</t>
  </si>
  <si>
    <t>Compounds and methods are provided for the treatment of pathogen     infections. In some embodiments, the anti-infective compounds have broad     spectrum activity against a variety of infective diseases, where the     diseases are caused by pathogens containing a basic amino acid PIP-2     pincer (BAAPP) domain that interacts with phosphatidylinositol     4,5-bisphosphate (PIP-2) to mediate pathogen replication. Also provided     are methods of inhibiting a PI4-kinase and methods of inhibiting viral     infection. In some embodiments, the compound is a PI4-kinase inhibiting     compound that is a 5-aryl-thiazole or a 5-hetereoaryl-thiazole. The     subject compounds may be formulated or provided to a subject in     combination with a second anti-infective agent, e.g. interferon,     ribivarin, and the like.</t>
  </si>
  <si>
    <t>US10425705</t>
  </si>
  <si>
    <t>15/957074</t>
  </si>
  <si>
    <t>H04Q 9/14 (20130101); G06Q 40/08 (20130101); G08B 31/00 (20130101); G16H 40/67 (20180101); G08B 26/008 (20130101); G06F 19/00 (20130101); G08B 26/002 (20130101); G16H 10/60 (20180101); G08B 25/008 (20130101); G08B 23/00 (20130101); G08B 21/0453 (20130101); G08B 21/10 (20130101); G08B 25/00 (20130101); G16H 50/80 (20180101); H04Q 9/00 (20130101); H04Q 2209/40 (20130101); H04Q 2209/30 (20130101)</t>
  </si>
  <si>
    <t>Systems and methods are disclosed herein for providing near real time     communication to a user based on analysis of various user and     environmental telematic data. The system includes a user with a wearable     human telematic sensor providing telematic data about the wearer. Also,     the system and method includes at least one building/environment     telematic sensor configured to provide telematic data about the building     and/or surrounding environment. The various telematic data is     communicated and processed to provide a notification back to the user     such as a potential safety hazard. The safety hazard may be based upon     sensed data specific to the user, specific to the user's environment, or     combinations thereof.</t>
  </si>
  <si>
    <t>US10424402</t>
  </si>
  <si>
    <t>System and method for geographic mapping of base data</t>
  </si>
  <si>
    <t>13/303104</t>
  </si>
  <si>
    <t>Dallas -Fort Worth Hospital Council Education and Research Foundation</t>
  </si>
  <si>
    <t>DALLAS -FORT WORTH HOSPITAL COUNCIL EDUCATION AND RESEARCH FOUNDATION</t>
  </si>
  <si>
    <t>Pamela D. Doughty, Dwight E. Carter, Michelle Erickson, Nicole Johnson, Janet Burkhard</t>
  </si>
  <si>
    <t>G16H 50/80 (20180101); G16H 50/70 (20180101); G16H 10/60 (20180101); G16H 15/00 (20180101)</t>
  </si>
  <si>
    <t>A method includes receiving, by a server computer, a selection of patient     records. The method further includes aggregating the patient records by     geographic unit based on at least one healthcare metric. In addition, the     method includes accessing a map of a geographic region covered by the     selected patient records. Further, the method includes annotating the map     based on a geographic variance of the at least one healthcare metric. The     method also includes receiving, by the server computer, a selection of at     least one environmental factor. Additionally, the method includes     aggregating, by the server computer, environmental data for the     environmental factor by the geographic unit. The method further includes     annotating the map based on a geographic variance of the environmental     factor.</t>
  </si>
  <si>
    <t>US10421936</t>
  </si>
  <si>
    <t>System and method for microfluidic cell culture</t>
  </si>
  <si>
    <t>Carl L. G. Hansen, Veronique Lecault, James M. Piret, Anupam Singhal</t>
  </si>
  <si>
    <t>C12M 23/16 (20130101); C12M 29/10 (20130101)</t>
  </si>
  <si>
    <t>US10418133</t>
  </si>
  <si>
    <t>System and method for monitoring containment of an epidemic</t>
  </si>
  <si>
    <t>Ankur Arora</t>
  </si>
  <si>
    <t>G06Q 50/22 (20130101); G06Q 30/0205 (20130101); G16H 50/80 (20180101)</t>
  </si>
  <si>
    <t>US10406222</t>
  </si>
  <si>
    <t>Human antibodies to Middle East Respiratory Syndrome--coronavirus spike     protein</t>
  </si>
  <si>
    <t>C07K 14/165 (20130101); A61K 45/06 (20130101); A61P 31/04 (20180101); A61P 1/12 (20180101); A61P 31/14 (20180101); A61K 39/39583 (20130101); A61P 11/00 (20180101); A61P 29/00 (20180101); A61K 39/215 (20130101); C07K 16/10 (20130101); G01N 33/569 (20130101); A61P 31/12 (20180101); A61K 39/12 (20130101); C07K 2317/92 (20130101); C07K 2317/31 (20130101); C07K 2317/76 (20130101); C12N 2770/20034 (20130101); C12N 7/00 (20130101); C07K 2317/21 (20130101); A61K 2039/505 (20130101); C07K 2317/565 (20130101); A61K 38/00 (20130101); A61K 2039/507 (20130101); C07K 2317/56 (20130101); C12N 2770/20022 (20130101); C07K 2317/30 (20130101)</t>
  </si>
  <si>
    <t>US10400281</t>
  </si>
  <si>
    <t>Methods for determining lymphocyte receptor chain pairs</t>
  </si>
  <si>
    <t>Carl Lars Genghis Hansen, Georgia Elizabeth Mewis, Kevin Albert Heyries, Michael Andrew Vaninsberghe, Daniel Jay Da Costa, Marketa Ricicova</t>
  </si>
  <si>
    <t>C40B 20/00 (20130101); C12Q 1/6876 (20130101); C07K 14/7051 (20130101); G01N 33/68 (20130101); C12Q 2535/122 (20130101); C12Q 1/6876 (20130101); G16B 40/00 (20190201); G16B 30/00 (20190201); C12Q 2600/158 (20130101); C40B 30/04 (20130101)</t>
  </si>
  <si>
    <t>US10398795</t>
  </si>
  <si>
    <t>Decontamination device and method using ultrasonic cavitation</t>
  </si>
  <si>
    <t>Halden Stuart Shane, Johnny Sullivan Cato, Charles Liu</t>
  </si>
  <si>
    <t>A61L 2/206 (20130101); A61L 2/22 (20130101); A61L 2/24 (20130101); A61L 2/14 (20130101); A61L 2/0011 (20130101); A61L 2/204 (20130101); A61L 2/202 (20130101); A61L 2202/15 (20130101); A61L 2202/24 (20130101); A61L 2202/11 (20130101); A61L 2202/25 (20130101); H05H 2245/1225 (20130101); A61L 2202/122 (20130101); A61L 2202/14 (20130101); A61L 2/10 (20130101)</t>
  </si>
  <si>
    <t>US10398769</t>
  </si>
  <si>
    <t>Influenza nucleic acid molecules and vaccines made therefrom</t>
  </si>
  <si>
    <t>David B. Weiner, Jian Yan</t>
  </si>
  <si>
    <t>A61K 39/145 (20130101); C12N 7/00 (20130101); A61K 39/12 (20130101); C07K 14/005 (20130101); C12N 2760/16122 (20130101); C12N 2760/16134 (20130101); A61K 2039/53 (20130101)</t>
  </si>
  <si>
    <t>US10393394</t>
  </si>
  <si>
    <t>System, method and device to record personal environment, enable preferred     personal indoor environment envelope and raise alerts for deviation     thereof</t>
  </si>
  <si>
    <t>14/130680</t>
  </si>
  <si>
    <t>ANANDHAKRISHNAN VAIDYANATHAN</t>
  </si>
  <si>
    <t>Vaidyanathan Anandhakrishnan</t>
  </si>
  <si>
    <t>F24F 11/30 (20180101); G16H 50/80 (20180101); G16H 50/30 (20180101); G16H 50/20 (20180101); F24F 2110/00 (20180101)</t>
  </si>
  <si>
    <t>The system has number of environmental sensors to sense various     environmental parameters of the personal environment envelope surrounding     the individual and multiple biological sensors to sense biological and     physiological condition of the individual. The system includes a personal     environment envelop setting module to define preferred settings based on     input from the individual. The system has a processing module to process     the environmental parameters sensed by the sensors and the preferred     settings to generate alerts. The processing module, also receives     information from other sources and is capable of dynamically compute     recommendations, map these with the preferences of the individual for     enabling the preferred conditions. The system also has a server module     configured to receive, store, analyze and machine learn from data of the     plurality of environmental parameters sensed by the plurality of sensors     and the preferred settings along with ambient environmental data from     plurality of persons for epidemiology study.</t>
  </si>
  <si>
    <t>US10391188</t>
  </si>
  <si>
    <t>A61L 2/0011 (20130101); A61L 2/14 (20130101); A61L 2/204 (20130101); A61L 2/206 (20130101); A61L 2/24 (20130101); A61L 2/202 (20130101); A61L 2/22 (20130101); A61L 2202/15 (20130101); A61L 2202/14 (20130101); A61L 2202/25 (20130101); H05H 2245/1225 (20130101); A61L 2/10 (20130101); A61L 2202/24 (20130101); A61L 2202/122 (20130101); A61L 2202/11 (20130101)</t>
  </si>
  <si>
    <t>US10385484</t>
  </si>
  <si>
    <t>Face mask with ear loops and a process for making the same</t>
  </si>
  <si>
    <t>15/134707</t>
  </si>
  <si>
    <t>FLYNT AMTEX INC</t>
  </si>
  <si>
    <t>FLYNT AMTEX</t>
  </si>
  <si>
    <t>Beamon McKinley Wyrick, John Anthony Kranaskas</t>
  </si>
  <si>
    <t>D04B 1/22 (20130101); D04B 1/225 (20130101); D04B 9/44 (20130101); A41D 13/1161 (20130101); D10B 2509/00 (20130101)</t>
  </si>
  <si>
    <t>A circular knit fabric for use as ear loops on face masks. The fabric     includes a circular knit tubular textile having loops containing at least     one inelastic yarn and at least one separate elastic yarn. The finished     tubular textile has a maximum relaxed width of less than about 1/4     inches. In a relaxed state of the tubular textile, the at least one     inelastic yarn has at least twice the length of the at least one elastic     yarn. The textile has less than 16 loops per course such that the relaxed     tubular textile produces a more pillowed structure for increased comfort     and the capability for increased elongation.</t>
  </si>
  <si>
    <t>US10383519</t>
  </si>
  <si>
    <t>Method and system for microbiome-derived characterization, diagnostics and therapeutics for conditions associated with functional features</t>
  </si>
  <si>
    <t>Zachary Apte, Daniel Almonacid, Jessica Richman</t>
  </si>
  <si>
    <t>A61B 5/0022 (20130101); A61B 5/4836 (20130101); C12Q 1/689 (20130101); G16B 40/00 (20190201); G16B 50/00 (20190201); G16H 40/67 (20180101); G16H 50/20 (20180101); G16H 50/80 (20180101); C12Q 2600/112 (20130101); Y02A 90/24 (20180101); Y02A 90/26 (20180101)</t>
  </si>
  <si>
    <t>A method for at least one of characterizing, diagnosing, and treating a condition associated with microbiome-derived functional features in at least a subject, the method comprising: receiving an aggregate set of biological samples from a population of subjects; generating at least one of a microbiome composition dataset and a microbiome functional diversity dataset for the population of subjects; generating a characterization of the condition based upon features extracted from at least one of the microbiome composition dataset and the microbiome functional diversity dataset; based upon the characterization, generating a therapy model configured to correct the condition; and at an output device associated with the subject, promoting a therapy to the subject based upon the characterization and the therapy model.</t>
  </si>
  <si>
    <t>US10377761</t>
  </si>
  <si>
    <t>C07D 405/14 (20130101); C07D 405/04 (20130101); C07F 9/6561 (20130101); C07H 7/06 (20130101); A61P 31/16 (20180101); C07D 487/04 (20130101)</t>
  </si>
  <si>
    <t>US10370358</t>
  </si>
  <si>
    <t>A61K 31/4545 (20130101); C07D 487/04 (20130101); C07D 401/14 (20130101); C07D 403/14 (20130101); A61K 31/4439 (20130101); A61K 31/506 (20130101); A61K 31/444 (20130101); A61K 31/4709 (20130101); C07D 405/12 (20130101); C07D 495/04 (20130101); C07D 471/06 (20130101); A61P 31/14 (20180101); A61P 43/00 (20180101); A61K 31/4985 (20130101); A61K 31/5377 (20130101); C07D 491/04 (20130101); A61P 31/18 (20180101); C07D 403/12 (20130101); A61K 45/06 (20130101); C07D 409/14 (20130101); C07D 471/04 (20130101); C07D 213/40 (20130101); C07D 413/14 (20130101); A61K 31/50 (20130101); C07D 401/12 (20130101); C07D 491/052 (20130101)</t>
  </si>
  <si>
    <t>US10366791</t>
  </si>
  <si>
    <t>Method and system for global epidemic disease outbreak prediction</t>
  </si>
  <si>
    <t>14/231148</t>
  </si>
  <si>
    <t>Dell EMC</t>
  </si>
  <si>
    <t>DELL EMC</t>
  </si>
  <si>
    <t>Senthil Kumar Thiagarajan, Viyoma Sachdeva, Sankara Narayanan, Shikhar Pandey</t>
  </si>
  <si>
    <t>G16H 50/80 (20180101); G16H 50/20 (20180101)</t>
  </si>
  <si>
    <t>Example embodiments of the present invention relate to a method, a     system, and a computer program product for disease outbreak prediction     analytics. The method includes calculating a respective correlation value     for each outbreak attribute pair among a set of outbreak attributes for a     data set regarding a disease and assigning a weight value for each     outbreak attribute according to the correlation values. A risk value for     the disease then may be determined according to the weight values.</t>
  </si>
  <si>
    <t>US10362769</t>
  </si>
  <si>
    <t>System and method for detection of disease breakouts</t>
  </si>
  <si>
    <t>15/934120</t>
  </si>
  <si>
    <t>Uri Kartoun, Meenal Pore, Fang Lu</t>
  </si>
  <si>
    <t>A01K 5/02 (20130101); A01K 11/006 (20130101); G16H 50/80 (20180101); A01K 29/005 (20130101); G16H 50/70 (20180101); A61B 5/0022 (20130101); G06Q 50/02 (20130101)</t>
  </si>
  <si>
    <t>Methods are provided for detection of a disease breakout from a mammal     population. For example, the method involves continuously receiving, from     two or more sensors positioned in a mammal environment, information of a     population of mammals, wherein the information received from each of the     two or more sensors is in a different data format; comparing the received     information of the population of mammals or other animals with known     disease symptom information; and in response to determining that the     information of the population of mammals exceeds a pre-determined     threshold alert level, generating an alert to prevent or control the     disease; wherein the steps of the method are performed in accordance with     a processor and a memory.</t>
  </si>
  <si>
    <t>US10361002</t>
  </si>
  <si>
    <t>Method and apparatus for setting imaging environment by using signals     transmitted by plurality of clients</t>
  </si>
  <si>
    <t>Nasir Desai, Toshihiro Rifu, Yeon-ju Lee, Jin-mo Jung</t>
  </si>
  <si>
    <t>G16H 30/20 (20180101); A61B 6/566 (20130101); G06F 19/3418 (20130101); A61B 6/548 (20130101); G16H 80/00 (20180101); G16H 40/63 (20180101); G16H 50/80 (20180101); H04N 7/15 (20130101); G06F 19/321 (20130101); A61B 6/469 (20130101); A61B 6/03 (20130101); A61B 6/465 (20130101); A61B 6/464 (20130101)</t>
  </si>
  <si>
    <t>A method and apparatus for setting an imaging environment of a medical     apparatus based on one or more signals transmitted from a plurality of     clients are provided. The method of setting an imaging environment of a     medical apparatus based on one or more signals transmitted from a     plurality of clients includes transmitting information regarding an     imaging operation of the medical apparatus to the plurality of clients,     receiving one or more response signals with respect to the information     from the plurality of clients, and setting the imaging environment of the     medical apparatus based on the one or more response signals.</t>
  </si>
  <si>
    <t>US10357157</t>
  </si>
  <si>
    <t>Zachary Apte, Daniel Almonacid, Jessica Richman, Siavosh Rezvan Behbahani</t>
  </si>
  <si>
    <t>A61B 5/0022 (20130101); A61B 5/4836 (20130101); C12Q 1/689 (20130101); G16B 40/00 (20190201); G16B 50/00 (20190201); G16H 40/67 (20180101); G16H 50/80 (20180101); G16H 50/20 (20180101); C12Q 2600/112 (20130101); Y02A 90/24 (20180101); Y02A 90/26 (20180101)</t>
  </si>
  <si>
    <t>US10354760</t>
  </si>
  <si>
    <t>Tool for visual exploration of medical data</t>
  </si>
  <si>
    <t>11/796691</t>
  </si>
  <si>
    <t>Colin Goodall, Guy Jacobson, Simon Tse, John Mocenigo, Richard Drechsler</t>
  </si>
  <si>
    <t>A system and method for mediating anomaly notifications in health data to     health alerts using data structures and logic to organize, contain, and     disposition identified health anomalies. Multiple generators of anomaly     notifications operating asynchronously and independently can be     processed. The case manager organizes anomaly notifications and supports     collaborative decision making among users with diverse areas of     expertise. A network server stores health data that has been gathered     from various sources. A user can visualize the data on a client computer     networked to the server by downloading from the server user specified     sets of health-related data based on a case or set of anomalies     describing a subset of the data, and source code for visualizing the     data.</t>
  </si>
  <si>
    <t>US10354753</t>
  </si>
  <si>
    <t>Medical failure pattern search engine</t>
  </si>
  <si>
    <t>13/843481</t>
  </si>
  <si>
    <t>LYNN, LAWRENCE ALLAN</t>
  </si>
  <si>
    <t>LYNN LAWRENCE</t>
  </si>
  <si>
    <t>Lawrence A. Lynn, Eric N. Lynn</t>
  </si>
  <si>
    <t>G06Q 50/24 (20130101); G16H 15/00 (20180101); G16H 50/20 (20180101); G16H 50/70 (20180101); G16H 50/80 (20180101); G16H 10/60 (20180101)</t>
  </si>
  <si>
    <t>A patient safety search engine and alarm processor is programmed to     repetitively search the electronic medical records of all patients in a     hospital system to automatically provide early detection of patients with     evolving pathophysiologic cascades, and in particular the cascades of     evolving death, such as cascades of septic shock. The search engine also     searches for a wide range of evolving pathophysiologic failures which are     commonly fatal if detected too late. An alarm processor is provided which     is programmed to provide an alarm upon the detection of a cascade or     failure. The processor is further be programmed to provide an image of     the cascade, and to determine, the severity of the cascade, and the time     of onset of the cascade in relation to the timing and type of procedures     and treatment and the increased cost associated with the cascade.     Discretionary real-time system-wide searches for a wide range of clinical     failure patterns or images within the hospital system may be performed     using the disclosed patient safety search engine.</t>
  </si>
  <si>
    <t>US10347382</t>
  </si>
  <si>
    <t>Methods and apparatus for geography-based antimicrobial resistance     tracking</t>
  </si>
  <si>
    <t>Robert Nix, Shayne Guiliano, Anne Meneghetti, Peter Hung, Nathan Wilkinson, Abbe Don, Alexander C. Jergensen, Jeremy Magid</t>
  </si>
  <si>
    <t>G16H 70/60 (20180101); G16H 50/70 (20180101); G16H 50/80 (20180101); Y02A 90/24 (20180101); Y02A 90/26 (20180101)</t>
  </si>
  <si>
    <t>US10344086</t>
  </si>
  <si>
    <t>C12N 9/60 (20130101); C07K 16/248 (20130101); C12N 15/81 (20130101); A61P 35/00 (20180101); C12P 21/02 (20130101); C12N 9/64 (20130101); C07K 2317/41 (20130101); C07K 2317/565 (20130101); C07K 2317/76 (20130101); C07K 2317/56 (20130101); A61K 2039/505 (20130101); C07K 2317/92 (20130101); C07K 2317/24 (20130101); C07K 2317/34 (20130101)</t>
  </si>
  <si>
    <t>US10344019</t>
  </si>
  <si>
    <t>Elizabeth M. Bacon, Jeromy J. Cottell, Ashley Anne Katana, Darryl Kato, Evan S. Krygowski, John O. Link, James G. Taylor, Chinh Tran, Teresa Alejandra Trejo Martin, Zheng-Yu Yang, Sheila M. Zipfel</t>
  </si>
  <si>
    <t>A61K 31/5377 (20130101); C07D 493/04 (20130101); A61K 31/4178 (20130101); C07D 403/14 (20130101); C07D 491/10 (20130101); A61P 31/14 (20180101); C07D 491/107 (20130101); A61P 31/12 (20180101); C07D 495/04 (20130101); A61K 45/06 (20130101); C07D 491/113 (20130101); A61P 43/00 (20180101); C07D 405/14 (20130101); C07D 471/08 (20130101); A61P 1/16 (20180101); A61P 31/00 (20180101); A61K 31/4188 (20130101); C07D 417/14 (20130101); A61P 31/18 (20180101); C07D 513/04 (20130101); A61K 31/4184 (20130101); A61K 31/4178 (20130101); A61K 2300/00 (20130101); A61K 31/4184 (20130101); A61K 2300/00 (20130101); A61K 31/4188 (20130101); A61K 2300/00 (20130101)</t>
  </si>
  <si>
    <t>US10336829</t>
  </si>
  <si>
    <t>Intracellular delivery compounds</t>
  </si>
  <si>
    <t>Yanwen Fu, Gunnar Jorg Floris Kaufmann, Heehyoung Lee, Ingale Sampat Lalaso</t>
  </si>
  <si>
    <t>C07K 16/2863 (20130101); C07K 16/18 (20130101); A61K 47/6843 (20170801); A61K 47/6849 (20170801); A61K 47/6807 (20170801); A61P 35/00 (20180101); C07K 16/2818 (20130101); C07K 2317/77 (20130101); C07K 2317/21 (20130101); C07K 2317/24 (20130101); C07K 2317/73 (20130101)</t>
  </si>
  <si>
    <t>Provided are compounds having the Formula I:  ##STR00001##     pharmaceutically acceptable salts thereof, pharmaceutical compositions     thereof, and their use in the intracellular delivery of antibodies.</t>
  </si>
  <si>
    <t>US10335409</t>
  </si>
  <si>
    <t>A61P 31/12 (20180101); A61K 45/06 (20130101); A61P 31/00 (20180101); A61K 31/10 (20130101); C07D 241/36 (20130101); C07D 403/14 (20130101); A61P 31/10 (20180101); A61K 31/498 (20130101); A61K 31/4985 (20130101); A61K 31/519 (20130101); C07K 5/08 (20130101); A61P 43/00 (20180101); C07K 5/0827 (20130101); A61K 38/06 (20130101); C07D 498/16 (20130101); C07D 498/22 (20130101); A61K 31/401 (20130101); C07K 5/0812 (20130101); A61P 31/14 (20180101); A61K 31/506 (20130101); C07K 5/0808 (20130101); A61P 1/16 (20180101); A61K 31/4745 (20130101); A61K 38/21 (20130101); A61K 38/21 (20130101); A61K 2300/00 (20130101); A61K 38/00 (20130101)</t>
  </si>
  <si>
    <t>US10332639</t>
  </si>
  <si>
    <t>Cognitive collaboration with neurosynaptic imaging networks, augmented     medical intelligence and cybernetic workflow streams</t>
  </si>
  <si>
    <t>15/731201</t>
  </si>
  <si>
    <t>SMURRO JAMES PAUL</t>
  </si>
  <si>
    <t>James Paul Smurro</t>
  </si>
  <si>
    <t>A61B 5/00 (20130101); G16H 50/20 (20180101); A61B 5/08 (20130101); A61B 5/021 (20130101); A61B 5/0008 (20130101); A61B 5/0006 (20130101); G16H 50/80 (20180101)</t>
  </si>
  <si>
    <t>The invention integrates emerging applications, tools and techniques for     machine learning in medicine with videoconference networking technology     in novel business methods that support rapid adaptive learning for     medical minds and machines. These methods can leverage domain knowledge     and clinical expertise with cognitive collaboration, augmented medical     intelligence and cybernetic workflow streams for learning health care     systems. The invention enables multimodal cognitive communications,     collaboration, consultation and instruction between and among cognitive     collaborants, including heterogeneous networked teams of persons,     machines, devices, neural networks, robots and algorithms. It provides     for both synchronous and asynchronous cognitive collaboration with     multichannel, multiplexed imagery data streams during various stages of     medical disease and injury management--detection, diagnosis, prognosis,     treatment, measurement and monitoring, as well as resource utilization     and outcomes reporting. The invention acquires both live stream and     archived medical imagery data from network-connected medical devices,     cameras, signals, sensors and imagery data repositories, as well as     multiomic data sets from structured reports and clinical documents. It     enables cognitive curation, annotation and tagging, as well as     encapsulation, saving and sharing of collaborated imagery data streams as     packetized medical intelligence. The invention augments packetized     medical intelligence through recursive cognitive enrichment, including     multimodal annotation and [semantic] metadata tagging with resources     consumed and outcomes delivered. Augmented medical intelligence can be     saved and stored in multiple formats, as well as retrieved from     standards-based repositories. The invention provides neurosynaptic     network connectivity for medical images and video with multi-channel,     multiplexed gateway streamer servers that can be configured to support     workflow orchestration across the enterprise--on platform, federated or     cloud data architectures, including ecosystem partners. It also supports     novel methods for managing augmented medical intelligence with networked     metadata repositories [inclduing imagery data streams annotated with     semantic metadata]. The invention helps prepare streaming imagery data     for cognitive enterprise imaging. It can be incorporate and combine     various machine learning techniques [e.g., deep, reinforcement and     transfer learning, convolutional neural networks and NLP] to assist in     curating, annotating and tagging diagnostic, procedural and evidentiary     medical imaging. It also supports real-time, intraoperative imaging     analytics for robotic-assisted surgery, as well as other imagery guided     interventions. The invention facilitates collaborative precision     medicine, and other clinical initiatives designed to reduce the cost of     care, with precision diagnosis [e.g., integrated in vivo, in vitro, in     silico] and precision targeted treatment [e.g., precision dosing,     theranostics, computer-assited surgery]. Cybernetic workflow     streams--cognitive communications, collaboration, consultation and     instruction with augmented medical intelligence--enable care delivery     teams of medical minds and machines to `deliver the right care, for the     right patient, at the right time, in the right place` - and deliver that     care faster, smarter, safer, more precisely, cheaper and better.</t>
  </si>
  <si>
    <t>US10332638</t>
  </si>
  <si>
    <t>Methods and systems for pre-symptomatic detection of exposure to an agent</t>
  </si>
  <si>
    <t>Albert Joseph Swiston, Tejash Mukesh Patel, Lauren Milechin, Jack Gerald Fleischman, William Donald Pratt, Anna Nichole Honko</t>
  </si>
  <si>
    <t>G16H 50/20 (20180101); A61B 5/0008 (20130101); G16H 50/80 (20180101); A61B 5/021 (20130101); A61B 5/0006 (20130101); A61B 5/08 (20130101); A61B 5/00 (20130101)</t>
  </si>
  <si>
    <t>Systems and methods are disclosed herein for predicting whether a patient     has been exposed to an agent. Physiological data is recorded from the     patient during a first time interval, and one or more features are     extracted from the physiological data. A plurality of classifiers is     identified, wherein each classifier is trained using training data for a     respective specific post-exposure time interval. For each classifier and     based on a respective subset of the one or more features, a patient state     classification that indicates an initial prediction of whether the     patient has been exposed to the agent is determined. An indication of a     prediction that the patient has been exposed to the agent is provided     when a number of patient state classifications indicating a positive     initial prediction that the patient has been exposed to the agent exceeds     a first threshold.</t>
  </si>
  <si>
    <t>US10332637</t>
  </si>
  <si>
    <t>US10329630</t>
  </si>
  <si>
    <t>Compositions and methods for detection and discrimination of emerging     influenza virus subtypes</t>
  </si>
  <si>
    <t>Bo Shu, Stephen Lindstrom</t>
  </si>
  <si>
    <t>C12Q 1/70 (20130101); C12Q 1/701 (20130101); C12Q 1/682 (20130101); C12Q 1/6818 (20130101); C12N 2760/16111 (20130101)</t>
  </si>
  <si>
    <t>Compositions and methods for detecting presence of an emerging influenza     virus in a sample, such as a biological sample obtained from a subject or     an environmental sample, are disclosed. In some embodiments, the     compositions and methods can be used to quickly identify particular     subtypes of influenza virus (such as a pandemic and/or emerging influenza     virus subtype). Probes and primers are provided herein that permit the     rapid detection and/or discrimination of pandemic influenza virus subtype     nucleic acids in a sample. Devices (such as arrays) and kits for     detection and/or discrimination of influenza virus subtype nucleic acids     are also provided.</t>
  </si>
  <si>
    <t>US10327643</t>
  </si>
  <si>
    <t>Method and system for validating an alarm situation</t>
  </si>
  <si>
    <t>15/978771</t>
  </si>
  <si>
    <t>SENSO2ME NV</t>
  </si>
  <si>
    <t>SENSO2ME</t>
  </si>
  <si>
    <t>Richard Kleihorst, Alain Van Buyten, Ben Schueler, Stefan Debois, Wilfried Philips</t>
  </si>
  <si>
    <t>G16B 40/00 (20190201); G16H 40/67 (20180101); C12Q 1/689 (20130101); G06F 19/3418 (20130101); G16H 50/20 (20180101); G16H 50/80 (20180101); A61B 5/4836 (20130101); A61B 5/0022 (20130101); G16B 50/00 (20190201); Y02A 90/26 (20180101); C12Q 2600/112 (20130101); Y02A 90/24 (20180101)</t>
  </si>
  <si>
    <t>A method for validating an alarm situation in a home includes determining     by a processing unit of an alarm situation on the basis of data received     from the home provided with a sensor network comprising one or more     sensors and a central unit; transmission by the processing unit of a     message to a care provider that an alarm situation is occurring at the     occupant; sending out of a notification signal by the processing unit to     the central unit; upon receiving the notification signal in the central     unit, switching on an increased vigilance mode, wherein a call from the     one or more care providers is prepared in the central unit by making     available an audio function in one or more sensors of the sensor network;     validating the alarm situation by establishing a conversation between one     of the care providers and the occupant via the at least one sensor.</t>
  </si>
  <si>
    <t>US10327642</t>
  </si>
  <si>
    <t>US10327641</t>
  </si>
  <si>
    <t>uBiome</t>
  </si>
  <si>
    <t>UBIOME</t>
  </si>
  <si>
    <t>US10318875</t>
  </si>
  <si>
    <t>Disease prediction and prevention using crowdsourced reports of     environmental conditions</t>
  </si>
  <si>
    <t>14/961863</t>
  </si>
  <si>
    <t>Priscilla Barreira Avegliano, Carlos Henrique Cardonha, Julio Nogima</t>
  </si>
  <si>
    <t>G16H 50/50 (20180101); G06N 20/00 (20190101); Y02A 90/24 (20180101); Y02A 90/26 (20180101)</t>
  </si>
  <si>
    <t>Embodiments of the invention provide techniques which utilize     crowdsourced reports of environmental conditions to predict and/or     prevent disease outbreaks. In one aspect, a method comprises receiving     one or more crowdsourced reports about one or more environmental     conditions; inferring one or more input parameters for at least one     disease outbreak model based at least in part on the one or more     crowdsourced reports; applying the at least one disease outbreak model to     at least the one or more inferred parameters to predict one or more     characteristics of at least one potential disease outbreak associated     with the reported one or more environmental conditions; and, based at     least in part on the predicted one or more characteristics, implementing     one or more corrective actions to mitigate the at least one potential     disease outbreak.</t>
  </si>
  <si>
    <t>US10314799</t>
  </si>
  <si>
    <t>Use of taurine in prevention and/or treatment of diseases induced by     viruses of genus coronavirus and/or genus rotavirus</t>
  </si>
  <si>
    <t>GENIFARM LABORATORIES INC; GUANG ZHOU YUAN TU BIOLOGICAL ANG CHEMICAL TECH CO LTD</t>
  </si>
  <si>
    <t>GENIFARM LABORATORIES INC; GUANG ZHOU YUAN BIOLOGICAL ANG CHEMICAL TECH</t>
  </si>
  <si>
    <t>Yongdong Wang, Jiyuan Cao, Shifa Zhu, Wen Cheng, Zhipeng Huang</t>
  </si>
  <si>
    <t>A61P 31/14 (20180101); A61P 1/12 (20180101); A61K 31/185 (20130101)</t>
  </si>
  <si>
    <t>US10311979</t>
  </si>
  <si>
    <t>G16H 50/70 (20180101); G16H 50/80 (20180101); G06Q 50/22 (20130101); G06Q 10/103 (20130101); G16H 80/00 (20180101)</t>
  </si>
  <si>
    <t>US10307438</t>
  </si>
  <si>
    <t>Methods of treating hepatitis E viral infection</t>
  </si>
  <si>
    <t>Norbert W. Bischofberger, John G. McHutchison</t>
  </si>
  <si>
    <t>A61K 31/7056 (20130101); A61P 31/14 (20180101); A61K 31/7072 (20130101); A61K 31/7072 (20130101); A61K 2300/00 (20130101); A61K 31/7056 (20130101); A61K 2300/00 (20130101); A61K 31/7064 (20130101); A61K 31/706 (20130101); A61K 31/7068 (20130101)</t>
  </si>
  <si>
    <t>Disclosed herein are methods of treating a hepatitis E viral infection     comprising administering to a human subject in need thereof a     therapeutically effective amount of the compound sofosbuvir, also known     as (S)-isopropyl     2-(((S)-(((2R,3R,4R,5R)-5-(2,4-dioxo-3,4-dihydropyrimidin-1(2H)-yl)-4-flu-    oro-3-hydroxy-4-methyltetrahydrofuran-2-yl)methoxy)(phenoxy)phosphoryl)ami-    no)propanoate. Some methods further comprise concomitantly administering     ribavirin to the subject. In some methods, the treatment is     ribavirin-free. In some methods, the subject is immunocompromised. In     some methods, the subject is pregnant.</t>
  </si>
  <si>
    <t>US10304325</t>
  </si>
  <si>
    <t>Context health determination system</t>
  </si>
  <si>
    <t>13/798337</t>
  </si>
  <si>
    <t>GEN INSTRUMENT CORP; ARRIS ENTPR LLC</t>
  </si>
  <si>
    <t>GEN INSTRUMENT CORP; ARRIS ENTPR</t>
  </si>
  <si>
    <t>Di You, Mir F. Ali, Paul C. Davis, Jianguo Li, Dale W. Russell</t>
  </si>
  <si>
    <t>G16H 50/80 (20180101); G08C 19/16 (20130101)</t>
  </si>
  <si>
    <t>Systems, methods, and devices for determining contexts and determining     associated health profiles using information received from multiple     health sensor enabled electronic devices, are disclosed. Contexts can be     defined by a description of spatial and/or temporal components. Such     contexts can be arbitrarily defined using semantically meaningful and     absolute descriptions of time and location. Health sensor data is     associated with or includes context data that describes the circumstances     under which the data was determined. The health sensor data can include     health sensor readings that are implicit indications of health for the     context. The sensor data can also include user reported data with     explicit descriptions of health for the context. The health sensor data     can be filtered by context data according a selected context. The     filtered sensor data can then be analyzed to determine a health profile     for the context that can be output to one or more users or entities.</t>
  </si>
  <si>
    <t>US10303843</t>
  </si>
  <si>
    <t>Computing system for identifying health risk regions</t>
  </si>
  <si>
    <t>Hadas Bitran, Todd Holmdahl, Eric Horvitz, Desney S. Tan, Dennis Paul Schmuland, Adam T. Berns</t>
  </si>
  <si>
    <t>G16H 40/63 (20180101); G16H 40/67 (20180101); G16H 50/70 (20180101); G16H 50/30 (20180101); G16H 50/80 (20180101); G16H 10/60 (20180101)</t>
  </si>
  <si>
    <t>US10301377</t>
  </si>
  <si>
    <t>A61K 39/12 (20130101); A61K 39/215 (20130101); C07K 14/165 (20130101); C07K 14/005 (20130101); G01N 33/56983 (20130101); C07K 16/10 (20130101); A61K 2039/55505 (20130101); C07K 2317/565 (20130101); C07K 2317/622 (20130101); A61K 2039/57 (20130101); A61K 2039/545 (20130101); C07K 2317/24 (20130101); C07K 2317/76 (20130101); A61K 2039/55566 (20130101); A61K 2039/55572 (20130101); C07K 2317/55 (20130101); C12N 2770/20034 (20130101); C07K 2317/21 (20130101); C07K 2317/52 (20130101); C07K 2317/56 (20130101); C07K 2317/567 (20130101); C07K 2317/33 (20130101); A61K 2039/53 (20130101); C07K 2317/34 (20130101); C07K 2317/54 (20130101); C07K 2317/92 (20130101); G01N 2333/165 (20130101)</t>
  </si>
  <si>
    <t>US10301359</t>
  </si>
  <si>
    <t>Human adaptation of H3 influenza</t>
  </si>
  <si>
    <t>Ram Sasisekharan, Kannan Tharakaraman, Rahul Raman</t>
  </si>
  <si>
    <t>G01N 33/56983 (20130101); A61K 39/12 (20130101); C07K 14/005 (20130101); A61K 39/145 (20130101); C12N 7/00 (20130101); C07K 16/1018 (20130101); G01N 2333/11 (20130101); G01N 2469/20 (20130101); C12N 2760/16134 (20130101); C12N 2760/16122 (20130101); G01N 2469/10 (20130101)</t>
  </si>
  <si>
    <t>US10297354</t>
  </si>
  <si>
    <t>G06F 19/3418 (20130101); G16H 40/63 (20180101); G16H 40/67 (20180101); G16H 50/80 (20180101)</t>
  </si>
  <si>
    <t>US10294278</t>
  </si>
  <si>
    <t>David B. Weiner, Bernadette Ferraro, Jian Yan, Patricia A. Brown, Rodney A. Bowling, Douglas R. Kern, Mathura P. Ramanathan, Niranjan Y. Sardesai, Karuppiah Muthumani</t>
  </si>
  <si>
    <t>A61K 39/12 (20130101); A61P 37/04 (20180101); C07K 14/005 (20130101); A61K 39/135 (20130101); A61K 39/39 (20130101); A61P 31/14 (20180101); A61M 37/00 (20130101); G01N 33/56983 (20130101); C12N 7/00 (20130101); A61N 1/327 (20130101); G01N 2333/09 (20130101); C12N 2770/32134 (20130101); C12N 2770/32122 (20130101); A61K 2039/552 (20130101); G01N 2469/20 (20130101); A61K 2039/523 (20130101); A61K 2039/53 (20130101)</t>
  </si>
  <si>
    <t>US10294234</t>
  </si>
  <si>
    <t>HIV inhibitor compounds</t>
  </si>
  <si>
    <t>Elizabeth M. Bacon, Elbert Chin, Jeromy J. Cottell, Ashley Anne Katana, Darryl Kato, John O. Link, Nathan Shapiro, Teresa Alejandra Trejo Martin, Zheng-Yu Yang</t>
  </si>
  <si>
    <t>A61P 31/18 (20180101); A61K 31/688 (20130101); C07D 487/08 (20130101); C07C 275/16 (20130101); C07D 405/14 (20130101); A61K 45/06 (20130101); C07D 487/10 (20130101); C07D 403/12 (20130101); A61K 31/55 (20130101); C07C 243/28 (20130101); C07D 401/12 (20130101); A61K 31/685 (20130101); A61K 31/553 (20130101); C07D 471/08 (20130101); A61K 31/52 (20130101); C07D 491/04 (20130101)</t>
  </si>
  <si>
    <t>The invention provides a compound of Formula I:  ##STR00001##  or a     pharmaceutically acceptable salt thereof as described herein. The     invention also provides pharmaceutical compositions comprising a compound     of Formula I, processes for preparing compounds of Formula I, therapeutic     methods for treating the proliferation of the HIV virus, treating AIDS or     delaying the onset of AIDS symptoms in a mammal using compounds of     Formula I.</t>
  </si>
  <si>
    <t>US10287311</t>
  </si>
  <si>
    <t>11/854218</t>
  </si>
  <si>
    <t>A61K 31/7072 (20130101); A61P 31/00 (20180101); A61P 1/16 (20180101); C07H 19/04 (20130101); C07H 19/16 (20130101); A61P 43/00 (20180101); A61P 31/04 (20180101); C07H 19/14 (20130101); A61K 31/7068 (20130101); C07H 19/00 (20130101); A61P 31/14 (20180101); A61P 31/16 (20180101); A61P 35/00 (20180101); C07H 19/06 (20130101); A61P 31/12 (20180101); C07H 19/048 (20130101)</t>
  </si>
  <si>
    <t>US10280199</t>
  </si>
  <si>
    <t>Coronavirus proteins and antigens</t>
  </si>
  <si>
    <t>Byoung-Kwan Kim</t>
  </si>
  <si>
    <t>C07K 14/005 (20130101); A61K 39/12 (20130101); C12N 2770/20051 (20130101); C12N 2770/20034 (20130101); C12N 2770/20071 (20130101); C12N 2770/20011 (20130101); A61K 2039/552 (20130101)</t>
  </si>
  <si>
    <t>US10279031</t>
  </si>
  <si>
    <t>A61K 39/145 (20130101); A61K 39/102 (20130101); C12N 7/00 (20130101); A61K 39/12 (20130101); A61K 2039/55511 (20130101); A61K 2039/552 (20130101); A61K 2039/543 (20130101); A61K 2039/55505 (20130101); A61K 2039/55555 (20130101); A61K 2039/55566 (20130101); C12N 2760/16134 (20130101)</t>
  </si>
  <si>
    <t>US10274487</t>
  </si>
  <si>
    <t>Microprocessor-controlled microfluidic platform for pathogen, toxin,     biomarker, and chemical detection with removable updatable sensor array     for food and water safety, medical, and laboratory applications</t>
  </si>
  <si>
    <t>Lester F. Ludwig, Pooncharas Tipgunlakant</t>
  </si>
  <si>
    <t>G01N 33/54373 (20130101)</t>
  </si>
  <si>
    <t>US10273269</t>
  </si>
  <si>
    <t>High potency immunogenic zika virus compositions</t>
  </si>
  <si>
    <t>A61K 31/7115 (20130101); C07K 14/1825 (20130101); C07K 16/1081 (20130101); A61K 39/39 (20130101); A61K 39/12 (20130101); A61K 31/7105 (20130101); A61P 31/14 (20180101); C12N 2770/24123 (20130101); C12N 2770/24134 (20130101); C12N 2770/24034 (20130101); A61K 2039/55555 (20130101); A61K 2039/51 (20130101)</t>
  </si>
  <si>
    <t>Provided herein, in some embodiments, are Zika Virus immunogenic     compositions that include a cationic lipid nanoparticle (LNP)     encapsulating messenger ribonucleic acid (mRNA) having an open reading     frame encoding Zika Virus antigens, a pan HLA DR-binding epitope (PADRE),     and a 5' terminal cap modified to increase mRNA translation efficiency.</t>
  </si>
  <si>
    <t>US10272150</t>
  </si>
  <si>
    <t>Combination PIV3/hMPV RNA vaccines</t>
  </si>
  <si>
    <t>C07K 16/10 (20130101); A61P 11/00 (20180101); C07K 16/1027 (20130101); A61K 39/155 (20130101); A61K 39/12 (20130101); A61K 2039/6018 (20130101); A61K 2039/55511 (20130101); C12N 2760/18634 (20130101); A61K 2039/55555 (20130101); C12N 2760/18434 (20130101); C12N 2760/18534 (20130101); C12N 2770/20034 (20130101); Y02A 50/39 (20180101); A61K 2039/70 (20130101); C07K 2317/76 (20130101); C12N 2760/18034 (20130101); A61K 2039/53 (20130101); C12N 2760/18334 (20130101)</t>
  </si>
  <si>
    <t>US10266887</t>
  </si>
  <si>
    <t>CRISPR effector system based diagnostics</t>
  </si>
  <si>
    <t>15/917549</t>
  </si>
  <si>
    <t>Omar Abudayyeh, James Joseph Collins, Jonathan Gootenberg, Feng Zhang, Eric S. Lander</t>
  </si>
  <si>
    <t>C12Q 1/6869 (20130101); C12N 9/22 (20130101); C12N 15/113 (20130101); C12P 19/34 (20130101); C12Q 1/6806 (20130101); C12Q 1/6809 (20130101); C12Q 1/6811 (20130101); C12Q 1/6816 (20130101); C12Q 1/6876 (20130101); G01N 33/00 (20130101); C12N 2310/16 (20130101); C12N 2310/20 (20170501); Y02A 50/51 (20180101); Y02A 50/53 (20180101); Y02A 50/58 (20180101)</t>
  </si>
  <si>
    <t>The embodiments disclosed herein utilized RNA targeting effectors to provide a robust CRISPR-based diagnostic with attomolar sensitivity. Embodiments disclosed herein can detect broth DNA and RNA with comparable levels of sensitivity and can differentiate targets from non-targets based on single base pair differences. Moreover, the embodiments disclosed herein can be prepared in freeze-dried format for convenient distribution and point-of-care (POC) applications. Such embodiments are useful in multiple scenarios in human health including, for example, viral detection, bacterial strain typing, sensitive genotyping, and detection of disease-associated cell free DNA.</t>
  </si>
  <si>
    <t>US10266886</t>
  </si>
  <si>
    <t>15/917546</t>
  </si>
  <si>
    <t>C12Q 1/6869 (20130101); C12N 9/22 (20130101); C12N 15/113 (20130101); C12P 19/34 (20130101); C12Q 1/68 (20130101); C12Q 1/6806 (20130101); C12Q 1/6809 (20130101); C12Q 1/6811 (20130101); C12Q 1/6816 (20130101); C12Q 1/6876 (20130101); G01N 33/00 (20130101); C12N 2310/16 (20130101); C12N 2310/20 (20170501); Y02A 50/51 (20180101); Y02A 50/53 (20180101); Y02A 50/58 (20180101)</t>
  </si>
  <si>
    <t>US10262761</t>
  </si>
  <si>
    <t>Apparatus and methods for causing selection of an advertisement based on     prevalence of a healthcare condition in a plurality of geographic areas</t>
  </si>
  <si>
    <t>14/496467</t>
  </si>
  <si>
    <t>WEINTRAUB MICHAEL D</t>
  </si>
  <si>
    <t>WEINTRAUB MICHAEL</t>
  </si>
  <si>
    <t>Michael D Weintraub</t>
  </si>
  <si>
    <t>G16H 50/30 (20180101); G06Q 30/0242 (20130101); G06Q 30/0269 (20130101); G16H 50/80 (20180101); G16H 10/60 (20180101)</t>
  </si>
  <si>
    <t>A computer system and method causes selection of an advertisement based     on the prevalence of a healthcare condition in each of a plurality of     geographic areas. The prevalence is calculated by an entity that matches     healthcare data with consumer data to determine, in each of the     geographic areas, how many individuals have an unidentified healthcare     condition. The entity is unable to identify the healthcare condition     without decoding data received in response to a certification that the     entity no longer has access to any data associating the individuals with     the unidentified healthcare condition code, so that the privacy of the     personal healthcare information is maintained.</t>
  </si>
  <si>
    <t>US10259881</t>
  </si>
  <si>
    <t>John Dixon Gray, Heyue Zhou</t>
  </si>
  <si>
    <t>A61P 43/00 (20180101); A61P 31/12 (20180101); A61P 35/00 (20180101); A61P 15/00 (20180101); A61P 37/06 (20180101); A61P 1/04 (20180101); A61P 1/16 (20180101); A61P 37/04 (20180101); C07K 16/2878 (20130101); A61P 11/00 (20180101); A61P 13/12 (20180101); A61P 17/00 (20180101); C07K 2317/33 (20130101); C07K 2317/75 (20130101); C07K 2317/21 (20130101); C07K 2317/56 (20130101); C07K 2317/70 (20130101); C07K 2317/92 (20130101)</t>
  </si>
  <si>
    <t>US10252020</t>
  </si>
  <si>
    <t>Ventilator with biofeedback monitoring and control for improving patient     activity and health</t>
  </si>
  <si>
    <t>Anthony D. Wondka, Angela King, Joseph Cipollone</t>
  </si>
  <si>
    <t>A61M 16/125 (20140204); A61M 16/12 (20130101); G16H 50/30 (20180101); A61M 16/0677 (20140204); G16H 20/40 (20180101); A61M 2205/3592 (20130101); A61M 2016/0015 (20130101); A61M 2016/0413 (20130101); A61M 2230/63 (20130101); A61M 2230/65 (20130101); A61M 2230/432 (20130101); A61M 2230/06 (20130101); A61M 2016/0021 (20130101); A61M 2205/3569 (20130101); A61M 2230/42 (20130101); A61M 2205/502 (20130101); A61M 2230/205 (20130101); A61M 16/0461 (20130101); A61M 16/0463 (20130101)</t>
  </si>
  <si>
    <t>A respiratory support ventilator apparatus mechanically supports the work     of respiration of a patient. The ventilator apparatus is highly portable     and optionally wearable so as to promote mobility and physical activity     of the patient, and to improve the overall health of the patient. The     respiratory support ventilator may monitor a physical activity level and     overall health status of the patient, and process this information. The     information is used to track efficacy of the ventilation therapy relative     to activity level and quality of life, and or to titrate or optimize the     ventilation parameters to improve, maintain or optimize the physical     activity level and overall health status of the patient.</t>
  </si>
  <si>
    <t>US10251950</t>
  </si>
  <si>
    <t>A61K 39/12 (20130101); A61K 39/215 (20130101); C12N 7/00 (20130101); A61K 2039/55566 (20130101); A61K 2039/5252 (20130101); A61K 2039/55505 (20130101); C12N 2770/20022 (20130101); C12N 2770/20034 (20130101); C12N 2770/20071 (20130101); A61K 2039/70 (20130101); A61K 2039/575 (20130101); A61K 2039/552 (20130101); C12N 2770/20063 (20130101)</t>
  </si>
  <si>
    <t>US10251904</t>
  </si>
  <si>
    <t>A61K 31/7056 (20130101); A61K 31/706 (20130101); A61P 43/00 (20180101); A61P 31/12 (20180101); A61K 31/706 (20130101); A61K 2300/00 (20130101)</t>
  </si>
  <si>
    <t>US10251898</t>
  </si>
  <si>
    <t>A61P 31/12 (20180101); C07F 9/65616 (20130101); A61K 31/675 (20130101); C07H 11/00 (20130101); A61K 31/00 (20130101); A61K 31/6615 (20130101); A61K 31/7056 (20130101); A61P 43/00 (20180101); A61P 31/14 (20180101); A61K 31/706 (20130101); A61P 31/00 (20180101); A61K 31/685 (20130101); A61K 31/665 (20130101); C07F 9/2429 (20130101); C07H 1/00 (20130101); C07H 15/18 (20130101); C07D 487/04 (20130101); A61K 31/53 (20130101); A61K 31/683 (20130101); A61K 45/06 (20130101); C07D 519/00 (20130101); C07H 1/02 (20130101); A61K 31/53 (20130101); A61K 2300/00 (20130101); A61K 31/675 (20130101); A61K 2300/00 (20130101); A61K 31/685 (20130101); A61K 2300/00 (20130101)</t>
  </si>
  <si>
    <t>US10251610</t>
  </si>
  <si>
    <t>Contact tracing analytics</t>
  </si>
  <si>
    <t>Kanagavalli Parthasarathy, Saritha S. Pillai, Marianne B. Rojo, Kishore Sethumadhavan, Ronny Syarif, Helen Tandiono</t>
  </si>
  <si>
    <t>A61B 5/7275 (20130101); A61B 5/01 (20130101); A61B 5/0059 (20130101); G16H 10/60 (20180101); A61B 2560/0242 (20130101)</t>
  </si>
  <si>
    <t>Contact tracing during an event is provided. Community interaction     information for one or more clusters is determined. The community     interaction information for a cluster correlates times and physical     locations of one or more individuals within an area corresponding to the     cluster. It is determined that a first individual has traveled from a     first area corresponding to a first cluster to a second area     corresponding to a second cluster. The determination is based, at least     in part, on correlated times and physical locations of the first     individual. One or more at-risk individuals is identified based, at least     in part, on the community interaction information of the second cluster.</t>
  </si>
  <si>
    <t>US10246486</t>
  </si>
  <si>
    <t>Caroline Aciro, David Kenneth Dean, Neil Andrew Dunbar, Adrian John Highton, Petr Jansa, Kapil Kumar Karki, Andrew John Keats, Linos Lazarides, Richard Mackman, Simon Neil Pettit, Karine G. Poullennec, Adam James Schrier, Dustin Scott Siegel, Victoria Alexandra Steadman</t>
  </si>
  <si>
    <t>A61K 31/7072 (20130101); A61P 29/00 (20180101); C07K 5/06052 (20130101); C07K 5/06034 (20130101); A61K 38/12 (20130101); A61K 31/7056 (20130101); A61K 38/21 (20130101); A61P 31/14 (20180101); C07K 5/06078 (20130101); A61P 31/20 (20180101); A61P 31/18 (20180101); A61K 39/29 (20130101); C07D 498/18 (20130101); A61K 31/403 (20130101); A61P 31/12 (20180101); C07K 5/06086 (20130101); C07K 5/06191 (20130101); A61P 35/00 (20180101); A61K 31/504 (20130101); C07D 498/22 (20130101); C07D 498/08 (20130101); A61P 1/16 (20180101); C07D 487/08 (20130101); C07D 471/18 (20130101); C07K 5/0606 (20130101); A61K 45/06 (20130101); C07K 5/06139 (20130101); A61P 11/00 (20180101); A61P 3/04 (20180101); C07K 19/00 (20130101); C07K 5/02 (20130101); A61K 38/05 (20130101); A61P 31/00 (20180101); A61P 37/02 (20180101); A61K 38/55 (20130101); A61P 43/00 (20180101); A61K 31/497 (20130101); A61K 38/21 (20130101); A61K 2300/00 (20130101); A61K 38/55 (20130101); A61K 2300/00 (20130101); A61K 31/7056 (20130101); A61K 2300/00 (20130101); A61K 31/497 (20130101); A61K 2300/00 (20130101); A61K 31/403 (20130101); A61K 2300/00 (20130101); A61K 31/7072 (20130101); A61K 2300/00 (20130101); A61K 31/504 (20130101); A61K 2300/00 (20130101); Y02A 50/385 (20180101); Y02A 50/395 (20180101); Y02A 50/391 (20180101); A61K 38/15 (20130101); A61K 38/00 (20130101); Y02A 50/387 (20180101); Y02A 50/389 (20180101)</t>
  </si>
  <si>
    <t>US10239935</t>
  </si>
  <si>
    <t>Human immunodeficiency virus neutralizing antibodies</t>
  </si>
  <si>
    <t>Mini Balakrishnan, Brian A. Carr, John Corbin, Craig S. Pace, Nathan D. Thomsen, Xue Zhang</t>
  </si>
  <si>
    <t>A61P 31/18 (20180101); C07K 16/1063 (20130101); A61P 31/12 (20180101); A61K 2039/505 (20130101); C07K 2317/55 (20130101); C07K 2317/72 (20130101); C07K 2317/51 (20130101); C07K 2317/515 (20130101); C07K 2317/41 (20130101); C07K 2317/732 (20130101); C07K 2317/33 (20130101); C07K 2317/52 (20130101); C07K 2317/56 (20130101); C07K 2317/94 (20130101); C07K 2317/76 (20130101); C07K 2317/567 (20130101); C07K 2317/565 (20130101); C07K 2317/92 (20130101)</t>
  </si>
  <si>
    <t>US10238666</t>
  </si>
  <si>
    <t>A61K 31/485 (20130101); C07J 17/00 (20130101); A61P 31/12 (20180101); A61K 31/57 (20130101); A61K 31/7068 (20130101); A61K 31/58 (20130101); C07H 19/067 (20130101); A61K 45/06 (20130101); A61K 31/513 (20130101); C07J 41/0005 (20130101); C07H 19/06 (20130101)</t>
  </si>
  <si>
    <t>US10233251</t>
  </si>
  <si>
    <t>A61P 43/00 (20180101); A61P 15/00 (20180101); A61P 37/06 (20180101); A61P 13/12 (20180101); A61P 31/12 (20180101); A61P 17/00 (20180101); A61P 1/16 (20180101); A61P 1/04 (20180101); A61P 11/00 (20180101); A61P 37/04 (20180101); C07K 16/2878 (20130101); A61P 35/00 (20180101); C07K 2317/56 (20130101); C07K 2317/33 (20130101); C07K 2317/21 (20130101); C07K 2317/75 (20130101); C07K 2317/92 (20130101); C07K 2317/70 (20130101)</t>
  </si>
  <si>
    <t>US10233239</t>
  </si>
  <si>
    <t>Isolated host cells expressing anti-IL-6 antibodies</t>
  </si>
  <si>
    <t>C12N 9/64 (20130101); C12N 9/60 (20130101); C07K 16/248 (20130101); C12P 21/02 (20130101); A61P 35/00 (20180101); C12N 15/81 (20130101); C07K 2317/76 (20130101); A61K 2039/505 (20130101); C07K 2317/565 (20130101); C07K 2317/34 (20130101); C07K 2317/56 (20130101); C07K 2317/92 (20130101); C07K 2317/24 (20130101); C07K 2317/41 (20130101)</t>
  </si>
  <si>
    <t>The present invention is directed to antibodies and fragments thereof and     humanized versions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the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</si>
  <si>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US10233148</t>
  </si>
  <si>
    <t>15/799098</t>
  </si>
  <si>
    <t>What is described is a compound of formula I  ##STR00001##  wherein  X is     an alkylene or an alkenylene; Y is a monocyclic, bicyclic, or tricyclic     arene or heteroarene; Z is S or O; L is a linear or branched alkylene of     1 to 6 carbons; R.sub.1 is a branched alkyl or alkenyl of 1 to 25     carbons; R.sub.2 is a alkyl or alkenyl of 1 to 20 carbons; R.sub.3 and     R.sub.4 are independently a linear or branched alkyl of 1 to 6 carbons; n     is 0 to 6; and m, p, q, and r are independently 1-18;   or a     pharmaceutically acceptable salt thereof.</t>
  </si>
  <si>
    <t>US10227404</t>
  </si>
  <si>
    <t>A61P 21/06 (20180101); A61K 45/06 (20130101); A61K 39/395 (20130101); A61K 39/3955 (20130101); C07K 16/248 (20130101); A61P 35/00 (20180101); A61K 2039/505 (20130101); C07K 2317/34 (20130101); C07K 2317/56 (20130101); G01N 2333/765 (20130101); C07K 2317/565 (20130101); G01N 2800/52 (20130101); C07K 2317/24 (20130101); C07K 2317/41 (20130101); C07K 2317/94 (20130101); A61K 2039/545 (20130101); C07K 2317/76 (20130101); G01N 2333/4737 (20130101); C07K 2317/92 (20130101)</t>
  </si>
  <si>
    <t>US10226521</t>
  </si>
  <si>
    <t>Genetically modified Yersinia as vaccines against Yersinia species</t>
  </si>
  <si>
    <t>Roy Curtiss, Wei Sun</t>
  </si>
  <si>
    <t>A61K 39/0291 (20130101); A61K 2039/522 (20130101); A61K 2039/523 (20130101); A61K 2039/542 (20130101); A61K 2039/572 (20130101); A61K 2039/58 (20130101)</t>
  </si>
  <si>
    <t>US10222369</t>
  </si>
  <si>
    <t>Methods for making novel antigen binding domains</t>
  </si>
  <si>
    <t>15/596493</t>
  </si>
  <si>
    <t>CHIMERA BIOENGINEERING, INC.</t>
  </si>
  <si>
    <t>CHIMERA BIOENGINEERING</t>
  </si>
  <si>
    <t>Benjamin Wang, Gusti Zeiner</t>
  </si>
  <si>
    <t>C40B 40/08 (20130101); C07K 16/2887 (20130101); G01N 33/5011 (20130101); C07K 14/70521 (20130101); C07K 14/7051 (20130101); C12N 15/1093 (20130101); G01N 33/505 (20130101); C07K 16/005 (20130101); A61P 31/16 (20180101); C12N 15/85 (20130101); G01N 33/5052 (20130101); C07K 16/2896 (20130101); G01N 33/502 (20130101); C07K 2319/03 (20130101); C07K 2317/622 (20130101); C07K 2319/70 (20130101); G01N 2500/10 (20130101); C40B 30/04 (20130101); C07K 2319/33 (20130101); A61K 2039/5158 (20130101)</t>
  </si>
  <si>
    <t>The present invention relates generally to the field of making novel     antigen binding domains against infectious diseases. The present     invention also relates to novel CARs that utilize the novel antigen     binding domains as an extracellular element. The present invention also     relates to use of the novel antigen binding domains as therapeutic     agents.</t>
  </si>
  <si>
    <t>US10220086</t>
  </si>
  <si>
    <t>Ted Milburn Ross, Tim Alefantis, Donald Martin Carter, Christopher Austin Darby, Harold Kleanthous</t>
  </si>
  <si>
    <t>A61K 39/145 (20130101); A61K 39/12 (20130101); C12N 2760/16134 (20130101); A61K 2039/55566 (20130101); C12N 2760/16123 (20130101); A61K 2039/70 (20130101); A61K 2039/55505 (20130101)</t>
  </si>
  <si>
    <t>US10210735</t>
  </si>
  <si>
    <t>Monitoring method, information processing apparatus, information     processing system, and non-transitory computer readable medium</t>
  </si>
  <si>
    <t>Noriyuki Narisada, Ryo Yokoyama, Miyuki Arai, Toshiyuki Sato, Shota Hashimoto, Yuuki Watanabe, Keizo Takamatsu</t>
  </si>
  <si>
    <t>A61B 5/746 (20130101); G08B 21/02 (20130101); G08B 27/005 (20130101); G16H 50/80 (20180101); G16H 40/63 (20180101); G16H 15/00 (20180101); Y02A 90/26 (20180101); Y02A 90/24 (20180101)</t>
  </si>
  <si>
    <t>The present invention provides a monitoring method for infectious     diseases. The monitoring method includes: obtaining disease information     from a plurality of medical facilities 131, 132, 133, and 134;     determining the disease occurrence status for each medical facility based     on the disease information and a first criterion related to the disease     occurrence status at the medical facility; and generating first area     alarm information related to the infectious disease status in a first     zone based on the disease occurrence status in the medical facilities     associated with the first zone divided by a first area division, and a     second criterion related to the disease occurrence status in the first     zone.</t>
  </si>
  <si>
    <t>US10198779</t>
  </si>
  <si>
    <t>Tracking proximity relationships and uses thereof</t>
  </si>
  <si>
    <t>Mark Eric Pittman, Chris Robison, Justin Cosmano, Patrick Barry Brown, David Jacques Sacharny</t>
  </si>
  <si>
    <t>G06Q 50/22 (20130101); G06F 16/29 (20190101); H04W 4/029 (20180201); G16H 50/80 (20180101); G06F 16/9537 (20190101)</t>
  </si>
  <si>
    <t>US10196419</t>
  </si>
  <si>
    <t>C07D 473/34 (20130101); C07H 19/04 (20130101); C07H 19/16 (20130101); C07H 19/173 (20130101); C07F 9/65616 (20130101); C07F 9/4449 (20130101); C07H 19/02 (20130101); C07H 19/20 (20130101); C07H 23/00 (20130101); C07F 9/4075 (20130101); A61K 31/66 (20130101)</t>
  </si>
  <si>
    <t>US10188733</t>
  </si>
  <si>
    <t>Vaccines comprising bisphosphonate and methods of use thereof</t>
  </si>
  <si>
    <t>13/880795</t>
  </si>
  <si>
    <t>Ulrich H. von Andrian, Matteo Iannacone, Elena Tonti, Elliott Ashley Moseman</t>
  </si>
  <si>
    <t>A61K 39/00 (20130101); A61K 47/02 (20130101); A61K 47/24 (20130101); A61K 2039/55511 (20130101); Y02A 50/476 (20180101); Y02A 50/464 (20180101); Y02A 50/487 (20180101); Y02A 50/489 (20180101)</t>
  </si>
  <si>
    <t>The present invention demonstrates that bisphosphonates have an intrinsic     adjuvant activity and directly stimulate B cell antibody secretion.     Accordingly, the present invention provides vaccines comprising a     bisphosphonate, methods for stimulating an immune response, enhancing the     immunogenicicty of an immunogen, and methods of treating an infection, an     autoimmune disease, an allergy, and/or a cancer using the same.</t>
  </si>
  <si>
    <t>US10188723</t>
  </si>
  <si>
    <t>A61K 39/12 (20130101); C07K 14/005 (20130101); A61K 39/145 (20130101); C12N 7/00 (20130101); C12N 2760/16123 (20130101); C12N 2760/16134 (20130101); C12N 2710/14143 (20130101); A61K 2039/70 (20130101); A61K 2039/55505 (20130101); A61K 2039/55561 (20130101); A61K 2039/55555 (20130101); C12N 2760/16023 (20130101); C12N 2760/16122 (20130101); A61K 2039/58 (20130101); C12N 2760/16022 (20130101); A61K 2039/543 (20130101); A61K 2039/5258 (20130101); C12N 2760/16034 (20130101)</t>
  </si>
  <si>
    <t>US10188722</t>
  </si>
  <si>
    <t>15/243904</t>
  </si>
  <si>
    <t>AVIEX TECHNOLOGIES, LLC</t>
  </si>
  <si>
    <t>AVIEX</t>
  </si>
  <si>
    <t>A61K 39/12 (20130101); A61P 31/12 (20180101); A61K 39/145 (20130101); C12N 1/36 (20130101); A61P 31/16 (20180101); C12N 7/00 (20130101); C12N 1/20 (20130101); C12N 9/1025 (20130101); C12N 2760/16034 (20130101); A61K 2039/522 (20130101); C12N 2510/00 (20130101); A61K 2039/523 (20130101); C12N 2760/16134 (20130101)</t>
  </si>
  <si>
    <t>Gram-negative bacterial mutants resistant to one or more stress     conditions, including CO.sub.2, acid pH, and high osmolarity, and more     particularly to gram-negative bacterial mutants with reduced TNF-.alpha.     induction having a mutation in one or more lipid biosynthesis genes,     including, but not limited to msbB, that are rendered stress-resistant by     a mutation in the zwf gene. Compositions are provided comprising one or     more stress-resistant gram-negative bacterial mutants, preferably     attenuated stress-resistant gram-negative bacterial mutants. Methods are     provided for prophylaxis or treatment of a virally induced disease in a     subject comprising administering to a subject a stress-resistant     gram-negative bacterial mutants, preferably attenuated stress-resistant     gram-negative bacterial mutants. The stress-resistant gram-negative     bacterial mutants may serve as vectors for the delivery of one or more     therapeutic molecules to a host. The methods of the invention provide     more efficient delivery of therapeutic molecules by stress-resistant     gram-negative bacterial mutants engineered to express said therapeutic     molecules.</t>
  </si>
  <si>
    <t>US10188048</t>
  </si>
  <si>
    <t>Systems and methods for monitoring movement of disease field</t>
  </si>
  <si>
    <t>Timothy Nelson, Joel Sotomayor</t>
  </si>
  <si>
    <t>H04W 4/029 (20180201); H04W 4/30 (20180201); A01K 11/008 (20130101); G06F 16/248 (20190101); G06Q 50/02 (20130101); G06F 16/23 (20190101); A01G 22/00 (20180201); H04W 4/021 (20130101); G06F 16/29 (20190101); G16H 50/80 (20180101); H04L 67/12 (20130101)</t>
  </si>
  <si>
    <t>US10181010</t>
  </si>
  <si>
    <t>Chirag Patel, Hans Fuernkranz, Michael Greenstein</t>
  </si>
  <si>
    <t>G06F 19/00 (20130101); G16H 50/80 (20180101); G16B 30/00 (20190201); G16B 50/00 (20190201); Y02A 90/22 (20180101); G16H 10/40 (20180101); Y02A 90/26 (20180101); Y02A 90/24 (20180101); G16B 25/00 (20190201)</t>
  </si>
  <si>
    <t>US10179794</t>
  </si>
  <si>
    <t>C07H 7/06 (20130101); A61P 31/14 (20180101); A61P 31/16 (20180101); C07D 519/00 (20130101); A61P 31/12 (20180101); C07D 495/04 (20130101); A61P 11/00 (20180101); C07H 11/04 (20130101)</t>
  </si>
  <si>
    <t>US10174038</t>
  </si>
  <si>
    <t>Hon Chung Hui, Jay P. Parrish, Michael Sangi, Dustin Siegel, David Sperandio, Hai Yang</t>
  </si>
  <si>
    <t>A61P 31/14 (20180101); C07D 471/04 (20130101); A61P 31/00 (20180101); A61P 43/00 (20180101); A61P 11/00 (20180101); A61K 31/53 (20130101); C07D 519/00 (20130101); A61K 45/06 (20130101); A61K 31/5025 (20130101); A61K 31/4545 (20130101); A61K 31/5377 (20130101); A61K 31/519 (20130101); C07D 487/04 (20130101); A61P 31/12 (20180101)</t>
  </si>
  <si>
    <t>US10172934</t>
  </si>
  <si>
    <t>High titer recombinant influenza viruses with enhanced replication in MDCK     or vero cells or eggs</t>
  </si>
  <si>
    <t>15/593039</t>
  </si>
  <si>
    <t>A61P 31/16 (20180101); A61K 39/145 (20130101); C12N 7/00 (20130101); A61P 37/04 (20180101); C12N 2760/16134 (20130101); C12N 2760/16121 (20130101)</t>
  </si>
  <si>
    <t>US10166288</t>
  </si>
  <si>
    <t>15/514948</t>
  </si>
  <si>
    <t>A61K 39/21 (20130101); A61P 43/00 (20180101); A61N 1/327 (20130101); A61K 39/12 (20130101); A61P 37/04 (20180101); C07K 14/54 (20130101); A61K 39/08 (20130101); A61K 41/0047 (20130101); A61K 39/39 (20130101); A61K 2039/55527 (20130101); C12N 2740/16134 (20130101); A61K 2039/53 (20130101); A61K 48/00 (20130101); Y02A 50/412 (20180101)</t>
  </si>
  <si>
    <t>US10165964</t>
  </si>
  <si>
    <t>Systems and methods for quantifying regional fissure features</t>
  </si>
  <si>
    <t>15/148767</t>
  </si>
  <si>
    <t>VIDA DAIGNOSTICS, INC.</t>
  </si>
  <si>
    <t>VIDA DAIGNOSTICS</t>
  </si>
  <si>
    <t>Youbing Yin, Philippe Raffy</t>
  </si>
  <si>
    <t>A61B 5/08 (20130101); A61B 5/055 (20130101); A61B 6/032 (20130101); A61B 6/037 (20130101); A61B 6/50 (20130101); A61B 6/5217 (20130101); G16H 30/20 (20180101); G06T 7/0014 (20130101); G06K 9/6267 (20130101); A61B 5/004 (20130101); G06K 2209/05 (20130101); G06T 2207/10072 (20130101); G06T 2207/30061 (20130101)</t>
  </si>
  <si>
    <t>Analysis of pulmonary scans representative of a patient's pulmonary structure can be used to classify a patient into one or more of a plurality of populations. The patient's scan can be mapped to a reference domain and analyzed to determine one or more fissure features associated with a plurality of regions in the reference domain. Comparison of the determined fissure features with a plurality of fissure atlases, each associated with different population, can be performed to classify the patient into one or more of the populations. Data from different fissure atlases can be compared to determine regions in the fissure atlases that distinguish one population from another. Such distinguishing regions can improve the ability to classify the patient while reducing errors based on false classifications.</t>
  </si>
  <si>
    <t>US10160804</t>
  </si>
  <si>
    <t>Jeffrey T. L. Smith, Randall C. Schatzman, Mark Litton, John Latham</t>
  </si>
  <si>
    <t>A61P 3/00 (20180101); A61P 37/06 (20180101); A61P 21/00 (20180101); C07K 16/248 (20130101); A61K 2039/505 (20130101); C07K 2317/94 (20130101); C07K 2317/34 (20130101); C07K 2317/56 (20130101); C07K 2317/41 (20130101); C07K 2317/76 (20130101); C07K 2317/565 (20130101); C07K 2317/52 (20130101); C07K 2317/92 (20130101); C07K 2317/24 (20130101)</t>
  </si>
  <si>
    <t>US10159729</t>
  </si>
  <si>
    <t>Antigen and method for production thereof</t>
  </si>
  <si>
    <t>15/021346</t>
  </si>
  <si>
    <t>SALIPRO BIOTECH AB</t>
  </si>
  <si>
    <t>SALIPRO BIOTECH</t>
  </si>
  <si>
    <t>Robin Loving, Jens Frauenfeld, Gunilla Karlsson Hedestam, Henrik Garoff, Mathilda Sjoberg</t>
  </si>
  <si>
    <t>A61K 39/21 (20130101); C12N 7/00 (20130101); A61K 39/12 (20130101); A61K 2039/5258 (20130101); A61K 2039/6031 (20130101); A61K 2039/622 (20130101); C12N 2740/16234 (20130101); C12N 2740/16034 (20130101)</t>
  </si>
  <si>
    <t>The invention refers to a method for producing an antigen comprising at     least one hydrophobic or partially hydrophobic antigen molecule from a     virus, a bacterium, fungus, protozoan, parasite, a human neoplastic cell     or an animal neoplastic, tumor or 5 cancer cell, the method comprising     the steps of providing a virus, or cell comprising an antigen molecule,     purifying the cell comprising the antigen molecule, solubilizing the     antigen molecule in a solubilizing agent that preserves an intact antigen     molecule upon solubilization and reconstituting the antigen molecule in a     lipid-binding polypeptide that provides a lipid membrane mimicking     environment and a reconstituted antigen particle 10 obtained by this     method.</t>
  </si>
  <si>
    <t>US10159253</t>
  </si>
  <si>
    <t>Green biocidal application method for the perfect silver bullet     exterminators</t>
  </si>
  <si>
    <t>Paul Ash Minturn</t>
  </si>
  <si>
    <t>A01N 59/16 (20130101); A01N 59/16 (20130101); A01N 25/00 (20130101); A01N 25/04 (20130101); A01N 25/34 (20130101); B82Y 5/00 (20130101)</t>
  </si>
  <si>
    <t>The present invention teaches a green non-toxic biocidal application     technology that helps a person find, evaluate and produce the perfect     pathogenic solution for safely exterminating unwanted, pathogenic and     deadly organisms while contributing positively to regenerative and     sustainable future ecosystems. This method enables the identification,     selection and production of biocidal bioavailable pure silver particles     and ions that are indefinitely clear, non-toxic, safe, ultra-small     size=0.04-0.99 nanometers antimicrobial solutions for pure liquid or     atomized implementation that are customized for completely annihilating     specific targeted unwanted, pathogenic, deadly and/or disease-causing     organisms. These custom formulated solutions can: (a) completely and     safely annihilate many unwanted and/or pathogenic organisms that are     contributing to dangerous and deadly pandemic conditions throughout the     world, including: Gram Negative and Gram Positive Pathogenic Bacteria,     and Gram Indeterminant Bacteria; (b) continually prevent or inhibit     unwanted microbial and pathogenic growths; (c) save and/or keep things     from decaying, decomposition, deterioration, spoiling, purification or     fermentation; (d) safely resist or retard natural destructive processes;     and, (e) be used as medical devices to significantly retard the carious     destructive processes of nature with custom anti-microbial properties.     There are nine (9) Restrictive Aspects that are integral,     inter-dependent, inter-related and inseparable embodiments of this method     and invention. The First Aspect is the primary restrictive embodiment     requirement is a low-voltage colloidal silver generator. The Second     Aspect stipulates that the silver nanoparticles must be suspended in a     solution of super-distilled, less than 2 ppm, aqueous pure water medium.     The Third Aspect, considered the most important of all, is the size that     yields the best results usually ranges from 0.04 nm to 0.99 nm. The     Fourth Aspect, second in importance, is the total ideal number of     bioavailable single individual mini-silver particles and ion parts per     million of individual single unattached bioavailable pure nano-sized     silver particles. The Fifth Aspect constitutes of maintaining a     consistently high biocidal ideal kill ratio that results in a lethal cold     high-level annihilation agent that kills greater than ninety percent. The     Sixth Aspect is an ideal death curve of the specific targeted organisms.     The Seventh Aspect comprises the absolutely crystal clarity of the     solutions which also includes conducting field studies. The Eighth Aspect     is the capability of the biocidal solutions for selective genocide which     are harmless to friendly probiotics. The Ninth Aspect means that the     biocidal applicational does not produce any toxic waste, and contributes     positively to a regenerative and sustainable future.</t>
  </si>
  <si>
    <t>US10144736</t>
  </si>
  <si>
    <t>Substituted pteridines useful for the treatment and prevention of viral     infections</t>
  </si>
  <si>
    <t>Piet AndreMaurits Maria Herdewijn, Steven Cesar Alfons De Jonghe, William John Watkins, Lee Shun Chong</t>
  </si>
  <si>
    <t>C07D 475/00 (20130101); C07D 475/04 (20130101); C07D 475/08 (20130101); C07D 475/06 (20130101); C07D 475/02 (20130101); A61P 31/14 (20180101)</t>
  </si>
  <si>
    <t>US10143739</t>
  </si>
  <si>
    <t>Vaccines for porcine epidemic diarrhea virus infections</t>
  </si>
  <si>
    <t>Kyeong-Ok Chang, Yunjeong Kim, Richard A. Hesse</t>
  </si>
  <si>
    <t>A61K 39/12 (20130101); A61K 39/225 (20130101); A61K 2039/5254 (20130101); A61K 2039/552 (20130101); C12N 2770/18034 (20130101)</t>
  </si>
  <si>
    <t>US10143738</t>
  </si>
  <si>
    <t>Vaccine for use in protecting a pig against porcine epidemic diarrhea     virus</t>
  </si>
  <si>
    <t>15/509999</t>
  </si>
  <si>
    <t>UNIVERSITEIT UTRECHT HOLDING B.V.</t>
  </si>
  <si>
    <t>UNIVERSITEIT UTRECHT HOLDING</t>
  </si>
  <si>
    <t>Erwin Born, van den, Berend Jan Bosch, Peter Rottier</t>
  </si>
  <si>
    <t>A61K 39/215 (20130101); C07K 16/10 (20130101); C07K 14/165 (20130101); A61K 39/39 (20130101); A61K 39/225 (20130101); A61K 2039/5252 (20130101); A61K 2039/545 (20130101); A61K 2039/552 (20130101); A61K 2039/55505 (20130101); A61K 2039/55516 (20130101); A61K 2039/55544 (20130101); A61K 2039/55566 (20130101); C12N 2770/20034 (20130101); A61K 2039/575 (20130101); C07K 14/08 (20130101); C12N 7/00 (20130101)</t>
  </si>
  <si>
    <t>The invention pertains to a vaccine for use in protecting a pig against     an infection with porcine epidemic diarrhea virus (PEDV), the vaccine     comprising non-live PEDV antigen and a non-metabolizable oil containing     adjuvant, wherein the total amount of oil in the vaccine is less than 50%     v/v, by administration of a dose of the antigen corresponding to at least     3.0E6 TCID.sub.50 killed whole PEDV. The invention also pertains to a     method of protecting a pig against an infection with porcine epidemic     diarrhea virus.</t>
  </si>
  <si>
    <t>US10131704</t>
  </si>
  <si>
    <t>Wayne A. Marasco, Xiangchun Tang</t>
  </si>
  <si>
    <t>G01N 33/577 (20130101); G01N 33/56983 (20130101); C07K 16/10 (20130101); C07K 2317/622 (20130101); C07K 2317/56 (20130101); C07K 2317/13 (20130101); C07K 2317/52 (20130101); C12N 2740/16043 (20130101); C07K 2317/76 (20130101); C07K 2317/92 (20130101); A61K 2039/507 (20130101); C07K 2317/21 (20130101); G01N 2469/10 (20130101); C12N 2770/20022 (20130101); G01N 2333/165 (20130101); C07K 2317/34 (20130101); C07K 2319/43 (20130101); C07K 2319/40 (20130101); C12N 2810/609 (20130101)</t>
  </si>
  <si>
    <t>US10130705</t>
  </si>
  <si>
    <t>A61P 37/04 (20180101); C07K 14/54 (20130101); A61K 39/04 (20130101); A61P 35/02 (20180101); A61P 43/00 (20180101); A61K 39/015 (20130101); A61P 31/00 (20180101); A61K 39/12 (20130101); A61K 39/21 (20130101); A61K 39/39 (20130101); A61K 38/164 (20130101); A61K 38/20 (20130101); A61K 38/162 (20130101); A61P 35/00 (20180101); C12N 7/00 (20130101); C12N 2740/16034 (20130101); A61K 2039/585 (20130101); C12N 2710/20034 (20130101); A61K 2039/54 (20130101); A61K 2039/57 (20130101); C07K 14/16 (20130101); A61K 39/0011 (20130101); A61K 2039/575 (20130101); C07K 14/025 (20130101); C12N 2760/10034 (20130101); Y02A 50/412 (20180101); A61K 2039/53 (20130101); C07K 14/35 (20130101); A61K 2039/55527 (20130101); C07K 14/445 (20130101); A61K 2039/572 (20130101); C07K 14/005 (20130101)</t>
  </si>
  <si>
    <t>US10130701</t>
  </si>
  <si>
    <t>Erica Bickerton, Sarah Keep, Paul Britton</t>
  </si>
  <si>
    <t>C07K 14/005 (20130101); A61P 31/14 (20180101); C12N 9/127 (20130101); A61K 39/215 (20130101); C12Y 207/07048 (20130101); C12N 7/00 (20130101); A61K 2039/54 (20130101); A61K 2039/70 (20130101); C12N 2770/20021 (20130101); C12N 2770/20034 (20130101); C12N 2770/20051 (20130101); C12N 2770/20071 (20130101); A61K 2039/5254 (20130101); C12N 2770/20062 (20130101); C12N 2770/20022 (20130101)</t>
  </si>
  <si>
    <t>US10130700</t>
  </si>
  <si>
    <t>Polyvalent influenza virus-like particles (VLPS) and use as vaccines</t>
  </si>
  <si>
    <t>Jeffery K. Taubenberger</t>
  </si>
  <si>
    <t>A61K 39/12 (20130101); A61K 39/145 (20130101); A61K 2039/5258 (20130101); C12N 2760/16123 (20130101); C12N 2760/16134 (20130101); A61K 2039/55572 (20130101); A61K 2039/543 (20130101); C12N 2760/16223 (20130101); A61K 2039/70 (20130101); C12N 2760/16234 (20130101)</t>
  </si>
  <si>
    <t>US10101051</t>
  </si>
  <si>
    <t>System and process for notification of contagion risk conditions and     mitigation thereof</t>
  </si>
  <si>
    <t>Alan C. Heller</t>
  </si>
  <si>
    <t>G05B 15/02 (20130101); G06F 19/00 (20130101); G16H 50/80 (20180101); F24F 11/30 (20180101); F24F 2110/20 (20180101)</t>
  </si>
  <si>
    <t>The present invention is directed to system and process for notification     of contagion risk and mitigation of the risk thereof. The system     comprises a meteorological history repository having meteorological data     and a processor configured with an instruction set. The instruction set     includes retrieving meteorological data for a selected region for a     selected time window, calculating contagion risk based on the     meteorological data and from at least one of a transmission risk or a     susceptibility risk, calculating the transmission risk as a function of     dew point change and calculating susceptibility risk as a function of     relative humidity. The system generates a contagion risk indicator based     thereon. Embodiments of the system for mitigating the risk of spread of     contagions and include a controller configured to select a lower humidity     bound as a function of contagion infectivity and an upper humidity bound     as a function of contagion viability or mold/fungus growth rate. The     controller receives humidity data for the sealed area and issues control     signals to a humidification unit in response to the received humidity     data and according to the selected lower humidity bound and the upper     humidity bound.</t>
  </si>
  <si>
    <t>US10100076</t>
  </si>
  <si>
    <t>Modified nucleosides for the treatment of viral infections and abnormal     cellular proliferation</t>
  </si>
  <si>
    <t>Lieven Stuyver, Kyoichi Watanabe</t>
  </si>
  <si>
    <t>C07H 19/048 (20130101); C07H 19/06 (20130101); A61P 35/00 (20180101); A61K 31/7076 (20130101); A61P 9/10 (20180101); A61K 31/7064 (20130101); A61P 37/06 (20180101); A61P 19/02 (20180101); C07H 19/10 (20130101); A61P 43/00 (20180101); C07H 19/20 (20130101); A61P 1/16 (20180101); A61P 17/00 (20180101); A61P 13/12 (20180101); A61P 31/16 (20180101); C12Q 1/6809 (20130101); A61P 31/12 (20180101); A61P 27/02 (20180101); A61P 29/00 (20180101); A61P 31/14 (20180101); A61P 35/02 (20180101); A61P 17/06 (20180101); C07H 19/16 (20130101); A61P 17/12 (20180101); A61P 3/12 (20180101); A61P 37/02 (20180101); A61P 31/00 (20180101); C07H 21/04 (20130101); C12Q 1/6809 (20130101); C12Q 2563/161 (20130101); C12Q 1/689 (20130101); C12Q 1/6895 (20130101); Y02A 50/393 (20180101)</t>
  </si>
  <si>
    <t>The disclosed invention is a composition for and a method of seating a     Flaviviridae (including BVDV and HCV), Orthomyxoviridae (including     Influenza A and B) or Paramyxoviridae (including RSV) infection, or     conditions related to abnormal cellular proliferation, in a host,     including animals, and especially humans, using a nucleoside of general     formula (I)-(XXIII) or its pharmaceutically acceptable salt or prodrug.     This invention also provides an effective process to quantify the viral     load, and in particular BVDV, HCV or West Nile Virus load, in a host,     using real-time polymerase chain reaction ("RT-PCR"). Additionally, the     invention discloses probe molecules that can fluoresce proportionally to     the amount of virus present in a sample.</t>
  </si>
  <si>
    <t>US10093732</t>
  </si>
  <si>
    <t>C07K 16/248 (20130101); A61K 45/06 (20130101); A61K 39/3955 (20130101); A61K 2039/505 (20130101); C07K 2317/41 (20130101); C07K 2317/56 (20130101); C07K 2317/565 (20130101); C07K 2317/92 (20130101); C07K 2317/34 (20130101); C07K 2317/76 (20130101); C07K 2317/52 (20130101); C07K 2317/33 (20130101); C07K 2317/515 (20130101); C07K 2317/51 (20130101); C07K 2317/94 (20130101)</t>
  </si>
  <si>
    <t>US10087408</t>
  </si>
  <si>
    <t>C12M 23/16 (20130101)</t>
  </si>
  <si>
    <t>US10087240</t>
  </si>
  <si>
    <t>15/103970</t>
  </si>
  <si>
    <t>David Weiner, Karuppiah Muthumani, Seleeke Flingai, Niranjan Sardesai</t>
  </si>
  <si>
    <t>A61P 31/14 (20180101); C07K 16/32 (20130101); C07K 16/1063 (20130101); C07K 16/10 (20130101); C07K 16/1081 (20130101); C12N 7/00 (20130101); C07K 2317/76 (20130101); C07K 2317/60 (20130101); C12N 2770/24111 (20130101); C07K 2317/56 (20130101); C12N 2770/24171 (20130101); A61M 2037/0007 (20130101); C12N 2740/16122 (20130101); C12N 2770/36122 (20130101); C12N 2770/36171 (20130101); C07K 2317/10 (20130101); C12N 2740/16111 (20130101); C07K 2317/51 (20130101); C12N 2770/24122 (20130101); C07K 2317/526 (20130101); C07K 2317/524 (20130101); C07K 2319/00 (20130101); C07K 2317/55 (20130101); A61K 48/005 (20130101); C07K 2317/53 (20130101); Y02A 50/386 (20180101); C12N 2770/24133 (20130101); C07K 2317/522 (20130101); Y02A 50/383 (20180101); A61K 2039/54 (20130101); C12N 2740/16032 (20130101); C12N 2770/36133 (20130101); A61K 2039/505 (20130101); C12N 2770/36111 (20130101); A61K 2039/53 (20130101)</t>
  </si>
  <si>
    <t>The present invention relates to a composition including a recombinant     nucleic acid sequence that encodes an antibody and a method of generating     a synthetic antibody in a subject by administering the composition to the     subject. The invention also provides a method of preventing and/or     treating disease in a subject using the composition and method of     generation.</t>
  </si>
  <si>
    <t>US10086011</t>
  </si>
  <si>
    <t>A61K 31/4188 (20130101); A61K 9/1635 (20130101); A61P 31/14 (20180101); A61K 31/7072 (20130101); A61K 9/284 (20130101); A61P 43/00 (20180101); A61P 1/16 (20180101); A61K 9/2054 (20130101); A61K 9/1623 (20130101); A61K 31/7056 (20130101); A61P 31/12 (20180101); A61K 31/4188 (20130101); A61K 2300/00 (20130101); A61K 31/7072 (20130101); A61K 2300/00 (20130101)</t>
  </si>
  <si>
    <t>US10081843</t>
  </si>
  <si>
    <t>Use of birthing manure to screen for pathogenic infection in farmed     animals</t>
  </si>
  <si>
    <t>Mark Stahl, John Stahl, Richard Stahl</t>
  </si>
  <si>
    <t>US10077481</t>
  </si>
  <si>
    <t>Efficient multiple stage screening method to eliminate pathogenic     infection in farmed animal populations</t>
  </si>
  <si>
    <t>US10065958</t>
  </si>
  <si>
    <t>Methods and compounds for treating Paramyxoviridae virus infections</t>
  </si>
  <si>
    <t>Richard L. Mackman, Jay P. Parrish, Adrian S. Ray, Dorothy Agnes Theodore</t>
  </si>
  <si>
    <t>C07D 487/04 (20130101); C07H 7/06 (20130101); A61P 31/14 (20180101); A61K 31/706 (20130101); A61P 31/12 (20180101); A61K 9/0078 (20130101); A61P 31/16 (20180101); A61P 43/00 (20180101); A61K 45/06 (20130101); C07H 19/04 (20130101); C07F 9/6561 (20130101)</t>
  </si>
  <si>
    <t>Provided are methods for treating Paramyxoviridae virus infections by     administering ribosides, riboside phosphates and prodrugs thereof, of     Formula I:  ##STR00001##  wherein the 1' position of the nucleoside sugar     is substituted. The compounds, compositions, and methods provided are     particularly useful for the treatment of Human parainfluenza and Human     respiratory syncytial virus infections.</t>
  </si>
  <si>
    <t>US10064934</t>
  </si>
  <si>
    <t>A61K 39/155 (20130101); C07K 16/10 (20130101); A61K 39/12 (20130101); C07K 16/1027 (20130101); A61P 11/00 (20180101); C12N 2770/20034 (20130101); A61K 2039/55555 (20130101); C07K 2317/76 (20130101); C12N 2760/18534 (20130101); Y02A 50/39 (20180101); A61K 2039/70 (20130101); C12N 2760/18334 (20130101); C12N 2760/18034 (20130101); A61K 2039/55511 (20130101); C12N 2760/18634 (20130101); A61K 2039/6018 (20130101); C12N 2760/18434 (20130101); A61K 2039/53 (20130101)</t>
  </si>
  <si>
    <t>US10059716</t>
  </si>
  <si>
    <t>Pyrrolo[1,2-f][1,2,4]triazines useful for treating respiratory syncitial virus infections</t>
  </si>
  <si>
    <t>C07D 487/04 (20130101); C07D 405/04 (20130101); C07H 7/06 (20130101); C07F 9/6561 (20130101); C07D 405/14 (20130101)</t>
  </si>
  <si>
    <t>Provided herein are formulations, methods and substituted tetrahydrofuranyl-pyrrolo[1,2-f][1,2,4]triazine-4-amine compounds of Formula (I) for treating Pneumovirinae virus infections, including respiratory syncytial virus infections, as well as methods and intermediates for synthesis of tetrahydrofuranyl-pyrrolo[1,2-f][1,2,4]triazine-4-amine compounds. ##STR00001##</t>
  </si>
  <si>
    <t>US10059697</t>
  </si>
  <si>
    <t>Compounds and combinations for the treatment of HIV</t>
  </si>
  <si>
    <t>Tomas Cihlar, Michael Graupe, Yunfeng Eric Hu, Jeffrey Patrick Murry, Derek Dean Sloan, George Stepan, Helen Yu</t>
  </si>
  <si>
    <t>C07D 405/12 (20130101); A61K 31/4196 (20130101); A61K 45/06 (20130101); A61K 38/06 (20130101); A61K 38/07 (20130101); A61K 31/69 (20130101)</t>
  </si>
  <si>
    <t>Provided are compounds, compositions, combinations, kits, uses, and methods for treating HIV in a human being using such compounds or combinations with proteasome inhibitors.</t>
  </si>
  <si>
    <t>US10058076</t>
  </si>
  <si>
    <t>Method of monitoring infectious disease, system using the same, and recording medium for performing the same</t>
  </si>
  <si>
    <t>Youngjoon Han, Cheongshim Ko, Namki Lee, Hwanik Chung, Seungmo Hong, Youngtak Kim</t>
  </si>
  <si>
    <t>A01K 29/005 (20130101); A01K 29/00 (20130101); A61D 17/00 (20130101); G16H 50/80 (20180101); H04N 7/183 (20130101); G06F 19/00 (20130101); Y02A 90/24 (20180101); G01N 33/54366 (20130101)</t>
  </si>
  <si>
    <t>A method of monitoring an infectious disease, a system using the same, and a recording medium for performing the same are provided. The infectious disease monitoring system includes an imaging device for capturing and transmitting image data on animals managed in a barn, a first server for determining whether a subject suspected of having an infectious disease is detected from the image data and, when the subject suspected of having the infectious disease is detected, transmitting a signal along with the image data, a second server for confirming an occurrence of the infectious disease by analyzing the image data of the subject suspected of having the infectious disease, and transmitting a warning signal when confirmed the occurrence of the infectious disease, and a manager terminal for requesting the image data on the animals to the first server upon receipt of the warning signal and displaying the image data.</t>
  </si>
  <si>
    <t>US10053506</t>
  </si>
  <si>
    <t>A61K 45/06 (20130101); C07K 16/248 (20130101); A61P 43/00 (20180101); A61K 39/3955 (20130101); A61K 2039/505 (20130101); C07K 2317/92 (20130101); C07K 2317/34 (20130101); C07K 2317/76 (20130101); A61K 2039/545 (20130101); Y02A 50/412 (20180101)</t>
  </si>
  <si>
    <t>US10052398</t>
  </si>
  <si>
    <t>Additive compositions for pigmented disinfection and methods thereof</t>
  </si>
  <si>
    <t>Jason Kang, Kevin Tyan, Katherine Jin</t>
  </si>
  <si>
    <t>A61L 2/28 (20130101); A01N 33/12 (20130101); A61L 2/22 (20130101); A01N 59/00 (20130101); A01N 37/16 (20130101)</t>
  </si>
  <si>
    <t>The invention provides a powdered composition of additives and a method of use thereof for increasing the visibility, potency and coverage of disinfectant solutions, such as bleach.</t>
  </si>
  <si>
    <t>US10045321</t>
  </si>
  <si>
    <t>Information processing using a population of data acquisition devices</t>
  </si>
  <si>
    <t>13/976636</t>
  </si>
  <si>
    <t>DM STATON FAMILY LIMITED PARTNERSHIP (AS ASSIGNEE OF MARIA B. STATON)</t>
  </si>
  <si>
    <t>DM STATON FAMILY PARTNERSHIP</t>
  </si>
  <si>
    <t>Steven W. Goldstein</t>
  </si>
  <si>
    <t>H04W 64/00 (20130101); G16H 40/63 (20180101); G16H 50/80 (20180101); G06F 19/00 (20130101); G06F 11/3013 (20130101); G06F 11/3058 (20130101); H04M 1/72522 (20130101); H04M 2250/12 (20130101)</t>
  </si>
  <si>
    <t>Distributed systems, controllers and methods for processing information from a plurality of devices are provided. A distributed system includes a plurality of devices distributed in an environment. Each device has at least a communication capability for interchanging information with others of the devices and/or with a communication system. Each of at least some of the devices has one or more sensors for acquiring sensor data related to the environment proximate to the device. At least one of the communication system or one or more of the devices is configured as a controller configured to: select a subset of devices from among the plurality of devices, receive information based on the acquired sensor data of the selected subset, and combine the received information from the selected subset to determine a characteristic of the environment proximate to one or more of the devices.</t>
  </si>
  <si>
    <t>US10043371</t>
  </si>
  <si>
    <t>Aquatic epidemic alert methods and systems</t>
  </si>
  <si>
    <t>Francesco Fusco, Sean McKenna, Fearghal O'Donncha, Emanuele Ragnoli</t>
  </si>
  <si>
    <t>A41D 13/002 (20130101); G08B 21/10 (20130101)</t>
  </si>
  <si>
    <t>US10040851</t>
  </si>
  <si>
    <t>Antagonists to IL-6 to raise albumin and/or lower CRP</t>
  </si>
  <si>
    <t>C07K 16/248 (20130101); A61P 43/00 (20180101); A61K 45/06 (20130101); A61K 39/395 (20130101); A61K 39/3955 (20130101); A61K 2039/505 (20130101); G01N 2800/52 (20130101); C07K 2317/41 (20130101); C07K 2317/92 (20130101); C07K 2317/24 (20130101); G01N 2333/765 (20130101); G01N 2333/4737 (20130101); C07K 2317/76 (20130101); C07K 2317/56 (20130101); C07K 2317/34 (20130101); C07K 2317/565 (20130101)</t>
  </si>
  <si>
    <t>US10039779</t>
  </si>
  <si>
    <t>Ben Chal, Erik Mogalian, Reza Oliyai, Rowchanak Pakdaman, Dimitrios Stefanidis, Vahid Zia</t>
  </si>
  <si>
    <t>A61K 31/7072 (20130101); A61P 1/16 (20180101); A61K 9/209 (20130101); A61K 9/2013 (20130101); A61K 9/2018 (20130101); A61K 9/1623 (20130101); A61P 31/12 (20180101); A61K 31/5377 (20130101); A61K 31/5025 (20130101); A61K 31/4178 (20130101); A61K 31/381 (20130101); A61K 31/7076 (20130101); A61K 31/675 (20130101); A61K 31/7056 (20130101); A61K 31/439 (20130101); A61K 9/28 (20130101); A61K 9/2009 (20130101); A61K 31/4985 (20130101); A61K 9/1635 (20130101); A61K 31/513 (20130101); A61K 31/4025 (20130101); A61K 31/497 (20130101); A61K 31/4184 (20130101); A61K 9/2027 (20130101); A61K 9/2054 (20130101); A61K 31/4709 (20130101); A61P 31/14 (20180101); A61K 31/4184 (20130101); A61K 2300/00 (20130101); A61K 31/7072 (20130101); A61K 2300/00 (20130101); A61K 31/7056 (20130101); A61K 2300/00 (20130101); A61K 31/4709 (20130101); A61K 2300/00 (20130101); A61K 31/5025 (20130101); A61K 2300/00 (20130101); A61K 31/4025 (20130101); A61K 2300/00 (20130101); A61K 31/381 (20130101); A61K 2300/00 (20130101); A61K 31/7076 (20130101); A61K 2300/00 (20130101); A61K 31/513 (20130101); A61K 2300/00 (20130101); A61K 31/4985 (20130101); A61K 2300/00 (20130101); A61K 31/675 (20130101); A61K 2300/00 (20130101); A61K 31/497 (20130101); A61K 2300/00 (20130101); A61K 31/5377 (20130101); A61K 2300/00 (20130101); A61K 31/439 (20130101); A61K 2300/00 (20130101)</t>
  </si>
  <si>
    <t>US10035809</t>
  </si>
  <si>
    <t>Substituted     2,3,4,5,7,9,13,13a-octahydro-1,5-methanopyrido[1',2':4,5]pyrazino[1,2-a][-    1,3]diazepines and methods for treating viral infections</t>
  </si>
  <si>
    <t>15/599151</t>
  </si>
  <si>
    <t>Elizabeth M. Bacon, Zhenhong R. Cai, Xiaowu Chen, Jeromy J. Cottell, Manoj C. Desai, Mingzhe Ji, Haolun Jin, Scott E. Lazerwith, Michael R. Mish, Philip Anthony Morganelli, Hyung-Jung Pyun, James G. Taylor, Teresa Alejandra Trejo Martin</t>
  </si>
  <si>
    <t>A61K 31/529 (20130101); C07D 471/22 (20130101); A61K 31/4985 (20130101); C07D 498/14 (20130101); A61P 31/18 (20180101); C07D 487/14 (20130101); A61K 31/553 (20130101); A61K 31/537 (20130101); A61K 45/06 (20130101); A61K 31/551 (20130101); A61P 31/12 (20180101); C07D 498/18 (20130101); A61K 31/498 (20130101); A61P 43/00 (20180101); C07D 471/18 (20130101); A61K 31/553 (20130101); A61K 2300/00 (20130101); A61K 31/4985 (20130101); A61K 2300/00 (20130101); A61K 31/529 (20130101); A61K 2300/00 (20130101)</t>
  </si>
  <si>
    <t>US10034934</t>
  </si>
  <si>
    <t>Porcine epidemic diarrhea virus vaccines and methods of use thereof</t>
  </si>
  <si>
    <t>Douglas Marthaler, Kurt Rossow</t>
  </si>
  <si>
    <t>A61K 39/215 (20130101); C07K 14/165 (20130101); C12N 7/00 (20130101); A61K 2039/525 (20130101); A61K 2039/53 (20130101); C12N 2770/20034 (20130101); A61K 2039/552 (20130101); A61K 2039/55516 (20130101); A61K 2039/55583 (20130101); C12N 2770/00021 (20130101); C12N 2770/00022 (20130101); A61K 2039/54 (20130101)</t>
  </si>
  <si>
    <t>The present disclosure provides an isolated or purified Porcine Epidemic Diarrhea Virus (PEDV) or Porcine Epidemic Diarrhea Virus (PEDV) S1 protein, and methods of use thereof.</t>
  </si>
  <si>
    <t>US10030033</t>
  </si>
  <si>
    <t>Amy Cagulada, Johann Chan, Lina Chan, Denise A. Colby, Kapil Kumar Karki, Darryl Kato, Katie Ann Keaton, Sudha Kondappally, Chris Levins, Adam Littke, Ruben Martinez, Dominika Pcion, Troy Reynolds, Bruce Ross, Michael Sangi, Adam J. Schrier, Pamela Seng, Dustin Siegel, Nathan Shapiro, Donald Tang, James G. Taylor, Jonathan Tripp, Andrew W. Waltman, Lawrence Yu</t>
  </si>
  <si>
    <t>C07D 498/18 (20130101); C07C 205/57 (20130101); C07C 233/09 (20130101); C07C 251/12 (20130101); C07C 271/34 (20130101); C07D 241/44 (20130101); C07D 403/12 (20130101); C07C 255/61 (20130101); C07C 2601/02 (20170501)</t>
  </si>
  <si>
    <t>The present disclosure provides processes for the preparation of a compound of formula I: ##STR00001## which is useful as an antiviral agent. The disclosure also provides compounds and processes for the preparation of the compounds that are synthetic intermediates to the compound of formula I.</t>
  </si>
  <si>
    <t>US10026508</t>
  </si>
  <si>
    <t>Geographic utilization of artificial intelligence in real-time for disease identification and alert notification</t>
  </si>
  <si>
    <t>G16H 50/80 (20180101); G16H 10/60 (20180101); G16H 50/70 (20180101); G16H 50/20 (20180101)</t>
  </si>
  <si>
    <t>US10022437</t>
  </si>
  <si>
    <t>A61P 31/14 (20180101); A61P 31/12 (20180101); A61K 39/155 (20130101); A61K 39/39 (20130101); C07K 14/005 (20130101); A61K 9/1075 (20130101); A61K 39/12 (20130101); A61K 9/0019 (20130101); A61P 37/04 (20180101); C12N 7/00 (20130101); C12N 2760/18522 (20130101); C12N 2760/18523 (20130101); C12N 2760/18534 (20130101); C12N 2760/18562 (20130101); C12N 2760/18571 (20130101); A61K 2039/545 (20130101); A61K 2039/55505 (20130101); A61K 2039/57 (20130101); A61K 2039/54 (20130101); C07K 2319/00 (20130101); A61K 2039/5258 (20130101); A61K 2039/55 (20130101); A61K 39/00 (20130101); A61K 2039/575 (20130101)</t>
  </si>
  <si>
    <t>US10022435</t>
  </si>
  <si>
    <t>US10016497</t>
  </si>
  <si>
    <t>A61K 39/215 (20130101); C12N 7/00 (20130101); C12N 2770/20034 (20130101); A61K 2039/53 (20130101)</t>
  </si>
  <si>
    <t>US10016162</t>
  </si>
  <si>
    <t>14/666155</t>
  </si>
  <si>
    <t>Jeffrey L. Rogers, Brian Derek DeBusschere</t>
  </si>
  <si>
    <t>A61B 5/6817 (20130101); A61B 5/01 (20130101); A61B 5/0008 (20130101); A61B 5/0022 (20130101); A61B 5/7221 (20130101); A61B 5/6898 (20130101); A61B 5/7405 (20130101); A61B 5/4836 (20130101); A61F 7/12 (20130101); A61B 5/7246 (20130101); A61B 2562/0271 (20130101)</t>
  </si>
  <si>
    <t>US10011628</t>
  </si>
  <si>
    <t>Multivalent sialic acid derivatives</t>
  </si>
  <si>
    <t>Niklas Arnberg, Remi Caraballo, Mikael Elofsson</t>
  </si>
  <si>
    <t>C07H 15/26 (20130101); A61K 9/48 (20130101); A61K 9/08 (20130101)</t>
  </si>
  <si>
    <t>Disclosed is tri- or tetravalent sialic acid derivatives comprising a core moiety to which 3 or 4 sialic acid residues are connected via a linker. Such derivatives inhibit the binding of adenovirus to human cells, whereby infections, such as epidemic keratoconjunctivitis, may be treated or prevented by administration of the tri- or tetravalent sialic acid derivatives.</t>
  </si>
</sst>
</file>

<file path=xl/styles.xml><?xml version="1.0" encoding="utf-8"?>
<styleSheet xmlns="http://schemas.openxmlformats.org/spreadsheetml/2006/main">
  <numFmts count="1">
    <numFmt numFmtId="164" formatCode="yyyy-mm-dd"/>
  </numFmts>
  <fonts count="3">
    <font>
      <sz val="11.0"/>
      <color indexed="8"/>
      <name val="Calibri"/>
      <family val="2"/>
      <scheme val="minor"/>
    </font>
    <font>
      <name val="Calibri"/>
      <sz val="11.0"/>
      <b val="true"/>
    </font>
    <font>
      <name val="Calibri"/>
      <sz val="11.0"/>
      <color rgb="0000FF"/>
      <u val="single"/>
    </font>
  </fonts>
  <fills count="2">
    <fill>
      <patternFill patternType="none"/>
    </fill>
    <fill>
      <patternFill patternType="darkGray"/>
    </fill>
  </fills>
  <borders count="1">
    <border>
      <left/>
      <right/>
      <top/>
      <bottom/>
      <diagonal/>
    </border>
  </borders>
  <cellStyleXfs count="1">
    <xf numFmtId="0" fontId="0" fillId="0" borderId="0"/>
  </cellStyleXfs>
  <cellXfs count="4">
    <xf numFmtId="0" fontId="0" fillId="0" borderId="0" xfId="0"/>
    <xf numFmtId="0" fontId="1" fillId="0" borderId="0" xfId="0" applyFont="true"/>
    <xf numFmtId="0" fontId="2" fillId="0" borderId="0" xfId="0" applyFont="true"/>
    <xf numFmtId="164" fontId="0" fillId="0" borderId="0" xfId="0" applyNumberFormat="true"/>
  </cellXfs>
</styleSheet>
</file>

<file path=xl/_rels/workbook.xml.rels><?xml version="1.0" encoding="UTF-8" standalone="no"?><Relationships xmlns="http://schemas.openxmlformats.org/package/2006/relationships"><Relationship Id="rId1" Target="sharedStrings.xml" Type="http://schemas.openxmlformats.org/officeDocument/2006/relationships/sharedStrings"/><Relationship Id="rId2" Target="styles.xml" Type="http://schemas.openxmlformats.org/officeDocument/2006/relationships/styles"/><Relationship Id="rId3" Target="worksheets/sheet1.xml" Type="http://schemas.openxmlformats.org/officeDocument/2006/relationships/worksheet"/></Relationships>
</file>

<file path=xl/worksheets/sheet1.xml><?xml version="1.0" encoding="utf-8"?>
<worksheet xmlns="http://schemas.openxmlformats.org/spreadsheetml/2006/main">
  <dimension ref="A1:V5001"/>
  <sheetViews>
    <sheetView workbookViewId="0" tabSelected="true"/>
  </sheetViews>
  <sheetFormatPr defaultRowHeight="15.0"/>
  <cols>
    <col min="1" max="1" width="20.2890625" customWidth="true" bestFit="true"/>
    <col min="2" max="2" width="16.37890625" customWidth="true" bestFit="true"/>
    <col min="3" max="3" width="25.3671875" customWidth="true" bestFit="true"/>
    <col min="4" max="4" width="43.6640625" customWidth="true" bestFit="true"/>
    <col min="5" max="5" width="255.0" customWidth="true" bestFit="true"/>
    <col min="6" max="6" width="13.3515625" customWidth="true" bestFit="true"/>
    <col min="7" max="7" width="15.625" customWidth="true" bestFit="true"/>
    <col min="8" max="8" width="11.83203125" customWidth="true" bestFit="true"/>
    <col min="9" max="9" width="13.10546875" customWidth="true" bestFit="true"/>
    <col min="10" max="10" width="17.86328125" customWidth="true" bestFit="true"/>
    <col min="11" max="11" width="10.8359375" customWidth="true" bestFit="true"/>
    <col min="12" max="12" width="16.1328125" customWidth="true" bestFit="true"/>
    <col min="13" max="13" width="11.24609375" customWidth="true" bestFit="true"/>
    <col min="14" max="14" width="255.0" customWidth="true" bestFit="true"/>
    <col min="15" max="15" width="154.64453125" customWidth="true" bestFit="true"/>
    <col min="16" max="16" width="255.0" customWidth="true" bestFit="true"/>
    <col min="17" max="17" width="12.45703125" customWidth="true" bestFit="true"/>
    <col min="18" max="18" width="24.3984375" customWidth="true" bestFit="true"/>
    <col min="19" max="19" width="22.06640625" customWidth="true" bestFit="true"/>
    <col min="20" max="20" width="19.3828125" customWidth="true" bestFit="true"/>
    <col min="21" max="21" width="255.0" customWidth="true" bestFit="true"/>
    <col min="22" max="22" width="255.0" customWidth="true" bestFit="true"/>
  </cols>
  <sheetData>
    <row r="1" s="1" customFormat="true">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c r="A2" t="s">
        <v>22</v>
      </c>
      <c r="B2" t="s">
        <v>23</v>
      </c>
      <c r="C2" t="s">
        <v>24</v>
      </c>
      <c r="D2" t="s">
        <v>25</v>
      </c>
      <c r="E2" t="s">
        <v>26</v>
      </c>
      <c r="F2" s="2" t="n">
        <f>HYPERLINK("https://patents.google.com/patent/US20220223298","Google")</f>
        <v>0.0</v>
      </c>
      <c r="G2" s="2" t="n">
        <f>HYPERLINK("https://patentcenter.uspto.gov/applications/17708314","Patent Center")</f>
        <v>0.0</v>
      </c>
      <c r="H2" s="2" t="n">
        <f>HYPERLINK("https://worldwide.espacenet.com/patent/search?q=US20220223298","Espacenet")</f>
        <v>0.0</v>
      </c>
      <c r="I2" s="2" t="n">
        <f>HYPERLINK("https://ppubs.uspto.gov/pubwebapp/external.html?q=20220223298.pn.","USPTO")</f>
        <v>0.0</v>
      </c>
      <c r="J2" s="2" t="n">
        <f>HYPERLINK("https://image-ppubs.uspto.gov/dirsearch-public/print/downloadPdf/20220223298","USPTO PDF")</f>
        <v>0.0</v>
      </c>
      <c r="K2" s="2" t="n">
        <f>HYPERLINK("https://sectors.patentforecast.com/pmd/US20220223298","PMD")</f>
        <v>0.0</v>
      </c>
      <c r="L2" s="2" t="n">
        <f>HYPERLINK("https://globaldossier.uspto.gov/result/application/US/17708314/1","US20220223298")</f>
        <v>0.0</v>
      </c>
      <c r="M2" t="s">
        <v>27</v>
      </c>
      <c r="N2" t="s">
        <v>28</v>
      </c>
      <c r="O2" t="s">
        <v>29</v>
      </c>
      <c r="P2" t="s">
        <v>30</v>
      </c>
      <c r="Q2" s="3" t="n">
        <v>44650.0</v>
      </c>
      <c r="R2" s="3" t="n">
        <v>44756.0</v>
      </c>
      <c r="S2" s="3" t="n">
        <v>44757.230911122686</v>
      </c>
      <c r="T2" s="3" t="n">
        <v>44757.70739001157</v>
      </c>
      <c r="U2" t="s">
        <v>31</v>
      </c>
      <c r="V2" t="s">
        <v>32</v>
      </c>
    </row>
    <row r="3">
      <c r="A3" t="s">
        <v>22</v>
      </c>
      <c r="B3" t="s">
        <v>33</v>
      </c>
      <c r="C3" t="s">
        <v>24</v>
      </c>
      <c r="D3" t="s">
        <v>34</v>
      </c>
      <c r="E3" t="s">
        <v>35</v>
      </c>
      <c r="F3" s="2" t="n">
        <f>HYPERLINK("https://patents.google.com/patent/US20220223297","Google")</f>
        <v>0.0</v>
      </c>
      <c r="G3" s="2" t="n">
        <f>HYPERLINK("https://patentcenter.uspto.gov/applications/17147673","Patent Center")</f>
        <v>0.0</v>
      </c>
      <c r="H3" s="2" t="n">
        <f>HYPERLINK("https://worldwide.espacenet.com/patent/search?q=US20220223297","Espacenet")</f>
        <v>0.0</v>
      </c>
      <c r="I3" s="2" t="n">
        <f>HYPERLINK("https://ppubs.uspto.gov/pubwebapp/external.html?q=20220223297.pn.","USPTO")</f>
        <v>0.0</v>
      </c>
      <c r="J3" s="2" t="n">
        <f>HYPERLINK("https://image-ppubs.uspto.gov/dirsearch-public/print/downloadPdf/20220223297","USPTO PDF")</f>
        <v>0.0</v>
      </c>
      <c r="K3" s="2" t="n">
        <f>HYPERLINK("https://sectors.patentforecast.com/pmd/US20220223297","PMD")</f>
        <v>0.0</v>
      </c>
      <c r="L3" s="2" t="n">
        <f>HYPERLINK("https://globaldossier.uspto.gov/result/application/US/17147673/1","US20220223297")</f>
        <v>0.0</v>
      </c>
      <c r="M3" t="s">
        <v>36</v>
      </c>
      <c r="N3" t="s">
        <v>37</v>
      </c>
      <c r="O3" t="s">
        <v>38</v>
      </c>
      <c r="P3" t="s">
        <v>39</v>
      </c>
      <c r="Q3" s="3" t="n">
        <v>44209.0</v>
      </c>
      <c r="R3" s="3" t="n">
        <v>44756.0</v>
      </c>
      <c r="S3" s="3" t="n">
        <v>44757.230911122686</v>
      </c>
      <c r="T3" s="3" t="n">
        <v>44757.70757586806</v>
      </c>
      <c r="U3" t="s">
        <v>40</v>
      </c>
      <c r="V3" t="s">
        <v>41</v>
      </c>
    </row>
    <row r="4">
      <c r="A4" t="s">
        <v>22</v>
      </c>
      <c r="B4" t="s">
        <v>42</v>
      </c>
      <c r="C4" t="s">
        <v>24</v>
      </c>
      <c r="D4" t="s">
        <v>43</v>
      </c>
      <c r="E4" t="s">
        <v>44</v>
      </c>
      <c r="F4" s="2" t="n">
        <f>HYPERLINK("https://patents.google.com/patent/US20220215968","Google")</f>
        <v>0.0</v>
      </c>
      <c r="G4" s="2" t="n">
        <f>HYPERLINK("https://patentcenter.uspto.gov/applications/17451291","Patent Center")</f>
        <v>0.0</v>
      </c>
      <c r="H4" s="2" t="n">
        <f>HYPERLINK("https://worldwide.espacenet.com/patent/search?q=US20220215968","Espacenet")</f>
        <v>0.0</v>
      </c>
      <c r="I4" s="2" t="n">
        <f>HYPERLINK("https://ppubs.uspto.gov/pubwebapp/external.html?q=20220215968.pn.","USPTO")</f>
        <v>0.0</v>
      </c>
      <c r="J4" s="2" t="n">
        <f>HYPERLINK("https://image-ppubs.uspto.gov/dirsearch-public/print/downloadPdf/20220215968","USPTO PDF")</f>
        <v>0.0</v>
      </c>
      <c r="K4" s="2" t="n">
        <f>HYPERLINK("https://sectors.patentforecast.com/pmd/US20220215968","PMD")</f>
        <v>0.0</v>
      </c>
      <c r="L4" s="2" t="n">
        <f>HYPERLINK("https://globaldossier.uspto.gov/result/application/US/17451291/1","US20220215968")</f>
        <v>0.0</v>
      </c>
      <c r="M4" t="s">
        <v>45</v>
      </c>
      <c r="N4" t="s">
        <v>46</v>
      </c>
      <c r="O4" t="s">
        <v>47</v>
      </c>
      <c r="P4" t="s">
        <v>48</v>
      </c>
      <c r="Q4" s="3" t="n">
        <v>44487.0</v>
      </c>
      <c r="R4" s="3" t="n">
        <v>44749.0</v>
      </c>
      <c r="S4" s="3" t="n">
        <v>44750.23082885417</v>
      </c>
      <c r="T4" s="3" t="n">
        <v>44750.527343194444</v>
      </c>
      <c r="U4" t="s">
        <v>31</v>
      </c>
      <c r="V4" t="s">
        <v>49</v>
      </c>
    </row>
    <row r="5">
      <c r="A5" t="s">
        <v>22</v>
      </c>
      <c r="B5" t="s">
        <v>50</v>
      </c>
      <c r="C5" t="s">
        <v>24</v>
      </c>
      <c r="D5" t="s">
        <v>51</v>
      </c>
      <c r="E5" t="s">
        <v>52</v>
      </c>
      <c r="F5" s="2" t="n">
        <f>HYPERLINK("https://patents.google.com/patent/US20220214352","Google")</f>
        <v>0.0</v>
      </c>
      <c r="G5" s="2" t="n">
        <f>HYPERLINK("https://patentcenter.uspto.gov/applications/17478527","Patent Center")</f>
        <v>0.0</v>
      </c>
      <c r="H5" s="2" t="n">
        <f>HYPERLINK("https://worldwide.espacenet.com/patent/search?q=US20220214352","Espacenet")</f>
        <v>0.0</v>
      </c>
      <c r="I5" s="2" t="n">
        <f>HYPERLINK("https://ppubs.uspto.gov/pubwebapp/external.html?q=20220214352.pn.","USPTO")</f>
        <v>0.0</v>
      </c>
      <c r="J5" s="2" t="n">
        <f>HYPERLINK("https://image-ppubs.uspto.gov/dirsearch-public/print/downloadPdf/20220214352","USPTO PDF")</f>
        <v>0.0</v>
      </c>
      <c r="K5" s="2" t="n">
        <f>HYPERLINK("https://sectors.patentforecast.com/pmd/US20220214352","PMD")</f>
        <v>0.0</v>
      </c>
      <c r="L5" s="2" t="n">
        <f>HYPERLINK("https://globaldossier.uspto.gov/result/application/US/17478527/1","US20220214352")</f>
        <v>0.0</v>
      </c>
      <c r="M5" t="s">
        <v>53</v>
      </c>
      <c r="N5" t="s">
        <v>54</v>
      </c>
      <c r="O5" t="s">
        <v>55</v>
      </c>
      <c r="P5" t="s">
        <v>56</v>
      </c>
      <c r="Q5" s="3" t="n">
        <v>44456.0</v>
      </c>
      <c r="R5" s="3" t="n">
        <v>44749.0</v>
      </c>
      <c r="S5" s="3" t="n">
        <v>44750.229439849536</v>
      </c>
      <c r="T5" s="3" t="n">
        <v>44750.52757613426</v>
      </c>
      <c r="U5" t="s">
        <v>57</v>
      </c>
      <c r="V5" t="s">
        <v>58</v>
      </c>
    </row>
    <row r="6">
      <c r="A6" t="s">
        <v>22</v>
      </c>
      <c r="B6" t="s">
        <v>59</v>
      </c>
      <c r="C6" t="s">
        <v>60</v>
      </c>
      <c r="D6" t="s">
        <v>61</v>
      </c>
      <c r="E6" t="s">
        <v>62</v>
      </c>
      <c r="F6" s="2" t="n">
        <f>HYPERLINK("https://patents.google.com/patent/US20220213176","Google")</f>
        <v>0.0</v>
      </c>
      <c r="G6" s="2" t="n">
        <f>HYPERLINK("https://patentcenter.uspto.gov/applications/17702710","Patent Center")</f>
        <v>0.0</v>
      </c>
      <c r="H6" s="2" t="n">
        <f>HYPERLINK("https://worldwide.espacenet.com/patent/search?q=US20220213176","Espacenet")</f>
        <v>0.0</v>
      </c>
      <c r="I6" s="2" t="n">
        <f>HYPERLINK("https://ppubs.uspto.gov/pubwebapp/external.html?q=20220213176.pn.","USPTO")</f>
        <v>0.0</v>
      </c>
      <c r="J6" s="2" t="n">
        <f>HYPERLINK("https://image-ppubs.uspto.gov/dirsearch-public/print/downloadPdf/20220213176","USPTO PDF")</f>
        <v>0.0</v>
      </c>
      <c r="K6" s="2" t="n">
        <f>HYPERLINK("https://sectors.patentforecast.com/pmd/US20220213176","PMD")</f>
        <v>0.0</v>
      </c>
      <c r="L6" s="2" t="n">
        <f>HYPERLINK("https://globaldossier.uspto.gov/result/application/US/17702710/1","US20220213176")</f>
        <v>0.0</v>
      </c>
      <c r="M6" t="s">
        <v>63</v>
      </c>
      <c r="N6" t="s">
        <v>64</v>
      </c>
      <c r="O6" t="s">
        <v>65</v>
      </c>
      <c r="P6" t="s">
        <v>66</v>
      </c>
      <c r="Q6" s="3" t="n">
        <v>44643.0</v>
      </c>
      <c r="R6" s="3" t="n">
        <v>44749.0</v>
      </c>
      <c r="S6" s="3" t="n">
        <v>44750.23638702546</v>
      </c>
      <c r="T6" s="3" t="n">
        <v>44753.696981064815</v>
      </c>
      <c r="U6" t="s">
        <v>31</v>
      </c>
      <c r="V6" t="s">
        <v>67</v>
      </c>
    </row>
    <row r="7">
      <c r="A7" t="s">
        <v>22</v>
      </c>
      <c r="B7" t="s">
        <v>68</v>
      </c>
      <c r="C7" t="s">
        <v>24</v>
      </c>
      <c r="D7" t="s">
        <v>69</v>
      </c>
      <c r="E7" t="s">
        <v>70</v>
      </c>
      <c r="F7" s="2" t="n">
        <f>HYPERLINK("https://patents.google.com/patent/US20220207215","Google")</f>
        <v>0.0</v>
      </c>
      <c r="G7" s="2" t="n">
        <f>HYPERLINK("https://patentcenter.uspto.gov/applications/17139238","Patent Center")</f>
        <v>0.0</v>
      </c>
      <c r="H7" s="2" t="n">
        <f>HYPERLINK("https://worldwide.espacenet.com/patent/search?q=US20220207215","Espacenet")</f>
        <v>0.0</v>
      </c>
      <c r="I7" s="2" t="n">
        <f>HYPERLINK("https://ppubs.uspto.gov/pubwebapp/external.html?q=20220207215.pn.","USPTO")</f>
        <v>0.0</v>
      </c>
      <c r="J7" s="2" t="n">
        <f>HYPERLINK("https://image-ppubs.uspto.gov/dirsearch-public/print/downloadPdf/20220207215","USPTO PDF")</f>
        <v>0.0</v>
      </c>
      <c r="K7" s="2" t="n">
        <f>HYPERLINK("https://sectors.patentforecast.com/pmd/US20220207215","PMD")</f>
        <v>0.0</v>
      </c>
      <c r="L7" s="2" t="n">
        <f>HYPERLINK("https://globaldossier.uspto.gov/result/application/US/17139238/1","US20220207215")</f>
        <v>0.0</v>
      </c>
      <c r="M7" t="s">
        <v>71</v>
      </c>
      <c r="N7" t="s">
        <v>72</v>
      </c>
      <c r="O7" t="s">
        <v>73</v>
      </c>
      <c r="P7" t="s">
        <v>74</v>
      </c>
      <c r="Q7" s="3" t="n">
        <v>44196.0</v>
      </c>
      <c r="R7" s="3" t="n">
        <v>44742.0</v>
      </c>
      <c r="S7" s="3" t="n">
        <v>44743.23046366898</v>
      </c>
      <c r="T7" s="3" t="n">
        <v>44757.725632222224</v>
      </c>
      <c r="U7" t="s">
        <v>31</v>
      </c>
      <c r="V7" t="s">
        <v>75</v>
      </c>
    </row>
    <row r="8">
      <c r="A8" t="s">
        <v>22</v>
      </c>
      <c r="B8" t="s">
        <v>76</v>
      </c>
      <c r="C8" t="s">
        <v>60</v>
      </c>
      <c r="D8" t="s">
        <v>77</v>
      </c>
      <c r="E8" t="s">
        <v>78</v>
      </c>
      <c r="F8" s="2" t="n">
        <f>HYPERLINK("https://patents.google.com/patent/US20220204591","Google")</f>
        <v>0.0</v>
      </c>
      <c r="G8" s="2" t="n">
        <f>HYPERLINK("https://patentcenter.uspto.gov/applications/17569487","Patent Center")</f>
        <v>0.0</v>
      </c>
      <c r="H8" s="2" t="n">
        <f>HYPERLINK("https://worldwide.espacenet.com/patent/search?q=US20220204591","Espacenet")</f>
        <v>0.0</v>
      </c>
      <c r="I8" s="2" t="n">
        <f>HYPERLINK("https://ppubs.uspto.gov/pubwebapp/external.html?q=20220204591.pn.","USPTO")</f>
        <v>0.0</v>
      </c>
      <c r="J8" s="2" t="n">
        <f>HYPERLINK("https://image-ppubs.uspto.gov/dirsearch-public/print/downloadPdf/20220204591","USPTO PDF")</f>
        <v>0.0</v>
      </c>
      <c r="K8" s="2" t="n">
        <f>HYPERLINK("https://sectors.patentforecast.com/pmd/US20220204591","PMD")</f>
        <v>0.0</v>
      </c>
      <c r="L8" s="2" t="n">
        <f>HYPERLINK("https://globaldossier.uspto.gov/result/application/US/17569487/1","US20220204591")</f>
        <v>0.0</v>
      </c>
      <c r="M8" t="s">
        <v>79</v>
      </c>
      <c r="N8" t="s">
        <v>80</v>
      </c>
      <c r="O8" t="s">
        <v>81</v>
      </c>
      <c r="P8" t="s">
        <v>82</v>
      </c>
      <c r="Q8" s="3" t="n">
        <v>44566.0</v>
      </c>
      <c r="R8" s="3" t="n">
        <v>44742.0</v>
      </c>
      <c r="S8" s="3" t="n">
        <v>44743.23046366898</v>
      </c>
      <c r="T8" s="3" t="n">
        <v>44757.72622445602</v>
      </c>
      <c r="U8" t="s">
        <v>83</v>
      </c>
      <c r="V8" t="s">
        <v>84</v>
      </c>
    </row>
    <row r="9">
      <c r="A9" t="s">
        <v>22</v>
      </c>
      <c r="B9" t="s">
        <v>85</v>
      </c>
      <c r="C9" t="s">
        <v>24</v>
      </c>
      <c r="D9" t="s">
        <v>69</v>
      </c>
      <c r="E9" t="s">
        <v>86</v>
      </c>
      <c r="F9" s="2" t="n">
        <f>HYPERLINK("https://patents.google.com/patent/US20220203142","Google")</f>
        <v>0.0</v>
      </c>
      <c r="G9" s="2" t="n">
        <f>HYPERLINK("https://patentcenter.uspto.gov/applications/17561527","Patent Center")</f>
        <v>0.0</v>
      </c>
      <c r="H9" s="2" t="n">
        <f>HYPERLINK("https://worldwide.espacenet.com/patent/search?q=US20220203142","Espacenet")</f>
        <v>0.0</v>
      </c>
      <c r="I9" s="2" t="n">
        <f>HYPERLINK("https://ppubs.uspto.gov/pubwebapp/external.html?q=20220203142.pn.","USPTO")</f>
        <v>0.0</v>
      </c>
      <c r="J9" s="2" t="n">
        <f>HYPERLINK("https://image-ppubs.uspto.gov/dirsearch-public/print/downloadPdf/20220203142","USPTO PDF")</f>
        <v>0.0</v>
      </c>
      <c r="K9" s="2" t="n">
        <f>HYPERLINK("https://sectors.patentforecast.com/pmd/US20220203142","PMD")</f>
        <v>0.0</v>
      </c>
      <c r="L9" s="2" t="n">
        <f>HYPERLINK("https://globaldossier.uspto.gov/result/application/US/17561527/1","US20220203142")</f>
        <v>0.0</v>
      </c>
      <c r="M9" t="s">
        <v>87</v>
      </c>
      <c r="N9" t="s">
        <v>88</v>
      </c>
      <c r="O9" t="s">
        <v>88</v>
      </c>
      <c r="P9" t="s">
        <v>89</v>
      </c>
      <c r="Q9" s="3" t="n">
        <v>44553.0</v>
      </c>
      <c r="R9" s="3" t="n">
        <v>44742.0</v>
      </c>
      <c r="S9" s="3" t="n">
        <v>44743.23046366898</v>
      </c>
      <c r="T9" s="3" t="n">
        <v>44757.72641891204</v>
      </c>
      <c r="U9" t="s">
        <v>31</v>
      </c>
      <c r="V9" t="s">
        <v>90</v>
      </c>
    </row>
    <row r="10">
      <c r="A10" t="s">
        <v>22</v>
      </c>
      <c r="B10" t="s">
        <v>91</v>
      </c>
      <c r="C10" t="s">
        <v>60</v>
      </c>
      <c r="D10" t="s">
        <v>61</v>
      </c>
      <c r="E10" t="s">
        <v>92</v>
      </c>
      <c r="F10" s="2" t="n">
        <f>HYPERLINK("https://patents.google.com/patent/US20220202700","Google")</f>
        <v>0.0</v>
      </c>
      <c r="G10" s="2" t="n">
        <f>HYPERLINK("https://patentcenter.uspto.gov/applications/17695489","Patent Center")</f>
        <v>0.0</v>
      </c>
      <c r="H10" s="2" t="n">
        <f>HYPERLINK("https://worldwide.espacenet.com/patent/search?q=US20220202700","Espacenet")</f>
        <v>0.0</v>
      </c>
      <c r="I10" s="2" t="n">
        <f>HYPERLINK("https://ppubs.uspto.gov/pubwebapp/external.html?q=20220202700.pn.","USPTO")</f>
        <v>0.0</v>
      </c>
      <c r="J10" s="2" t="n">
        <f>HYPERLINK("https://image-ppubs.uspto.gov/dirsearch-public/print/downloadPdf/20220202700","USPTO PDF")</f>
        <v>0.0</v>
      </c>
      <c r="K10" s="2" t="n">
        <f>HYPERLINK("https://sectors.patentforecast.com/pmd/US20220202700","PMD")</f>
        <v>0.0</v>
      </c>
      <c r="L10" s="2" t="n">
        <f>HYPERLINK("https://globaldossier.uspto.gov/result/application/US/17695489/1","US20220202700")</f>
        <v>0.0</v>
      </c>
      <c r="M10" t="s">
        <v>93</v>
      </c>
      <c r="N10" t="s">
        <v>94</v>
      </c>
      <c r="O10" t="s">
        <v>94</v>
      </c>
      <c r="P10" t="s">
        <v>95</v>
      </c>
      <c r="Q10" s="3" t="n">
        <v>44635.0</v>
      </c>
      <c r="R10" s="3" t="n">
        <v>44742.0</v>
      </c>
      <c r="S10" s="3" t="n">
        <v>44743.230230995374</v>
      </c>
      <c r="T10" s="3" t="n">
        <v>44757.726814918984</v>
      </c>
      <c r="U10" t="s">
        <v>31</v>
      </c>
      <c r="V10" t="s">
        <v>96</v>
      </c>
    </row>
    <row r="11">
      <c r="A11" t="s">
        <v>22</v>
      </c>
      <c r="B11" t="s">
        <v>97</v>
      </c>
      <c r="C11" t="s">
        <v>60</v>
      </c>
      <c r="D11" t="s">
        <v>61</v>
      </c>
      <c r="E11" t="s">
        <v>92</v>
      </c>
      <c r="F11" s="2" t="n">
        <f>HYPERLINK("https://patents.google.com/patent/US20220202699","Google")</f>
        <v>0.0</v>
      </c>
      <c r="G11" s="2" t="n">
        <f>HYPERLINK("https://patentcenter.uspto.gov/applications/17695464","Patent Center")</f>
        <v>0.0</v>
      </c>
      <c r="H11" s="2" t="n">
        <f>HYPERLINK("https://worldwide.espacenet.com/patent/search?q=US20220202699","Espacenet")</f>
        <v>0.0</v>
      </c>
      <c r="I11" s="2" t="n">
        <f>HYPERLINK("https://ppubs.uspto.gov/pubwebapp/external.html?q=20220202699.pn.","USPTO")</f>
        <v>0.0</v>
      </c>
      <c r="J11" s="2" t="n">
        <f>HYPERLINK("https://image-ppubs.uspto.gov/dirsearch-public/print/downloadPdf/20220202699","USPTO PDF")</f>
        <v>0.0</v>
      </c>
      <c r="K11" s="2" t="n">
        <f>HYPERLINK("https://sectors.patentforecast.com/pmd/US20220202699","PMD")</f>
        <v>0.0</v>
      </c>
      <c r="L11" s="2" t="n">
        <f>HYPERLINK("https://globaldossier.uspto.gov/result/application/US/17695464/1","US20220202699")</f>
        <v>0.0</v>
      </c>
      <c r="M11" t="s">
        <v>98</v>
      </c>
      <c r="N11" t="s">
        <v>94</v>
      </c>
      <c r="O11" t="s">
        <v>94</v>
      </c>
      <c r="P11" t="s">
        <v>95</v>
      </c>
      <c r="Q11" s="3" t="n">
        <v>44635.0</v>
      </c>
      <c r="R11" s="3" t="n">
        <v>44742.0</v>
      </c>
      <c r="S11" s="3" t="n">
        <v>44743.230230995374</v>
      </c>
      <c r="T11" s="3" t="n">
        <v>44757.726978125</v>
      </c>
      <c r="U11" t="s">
        <v>31</v>
      </c>
      <c r="V11" t="s">
        <v>96</v>
      </c>
    </row>
    <row r="12">
      <c r="A12" t="s">
        <v>22</v>
      </c>
      <c r="B12" t="s">
        <v>99</v>
      </c>
      <c r="C12" t="s">
        <v>24</v>
      </c>
      <c r="D12" t="s">
        <v>100</v>
      </c>
      <c r="E12" t="s">
        <v>101</v>
      </c>
      <c r="F12" s="2" t="n">
        <f>HYPERLINK("https://patents.google.com/patent/US20220196268","Google")</f>
        <v>0.0</v>
      </c>
      <c r="G12" s="2" t="n">
        <f>HYPERLINK("https://patentcenter.uspto.gov/applications/17461907","Patent Center")</f>
        <v>0.0</v>
      </c>
      <c r="H12" s="2" t="n">
        <f>HYPERLINK("https://worldwide.espacenet.com/patent/search?q=US20220196268","Espacenet")</f>
        <v>0.0</v>
      </c>
      <c r="I12" s="2" t="n">
        <f>HYPERLINK("https://ppubs.uspto.gov/pubwebapp/external.html?q=20220196268.pn.","USPTO")</f>
        <v>0.0</v>
      </c>
      <c r="J12" s="2" t="n">
        <f>HYPERLINK("https://image-ppubs.uspto.gov/dirsearch-public/print/downloadPdf/20220196268","USPTO PDF")</f>
        <v>0.0</v>
      </c>
      <c r="K12" s="2" t="n">
        <f>HYPERLINK("https://sectors.patentforecast.com/pmd/US20220196268","PMD")</f>
        <v>0.0</v>
      </c>
      <c r="L12" s="2" t="n">
        <f>HYPERLINK("https://globaldossier.uspto.gov/result/application/US/17461907/1","US20220196268")</f>
        <v>0.0</v>
      </c>
      <c r="M12" t="s">
        <v>102</v>
      </c>
      <c r="N12" t="s">
        <v>103</v>
      </c>
      <c r="O12" t="s">
        <v>104</v>
      </c>
      <c r="P12" t="s">
        <v>105</v>
      </c>
      <c r="Q12" s="3" t="n">
        <v>44438.0</v>
      </c>
      <c r="R12" s="3" t="n">
        <v>44735.0</v>
      </c>
      <c r="S12" s="3" t="n">
        <v>44736.23070409722</v>
      </c>
      <c r="T12" s="3" t="n">
        <v>44753.70301413194</v>
      </c>
      <c r="U12" t="s">
        <v>106</v>
      </c>
      <c r="V12" t="s">
        <v>107</v>
      </c>
    </row>
    <row r="13">
      <c r="A13" t="s">
        <v>22</v>
      </c>
      <c r="B13" t="s">
        <v>108</v>
      </c>
      <c r="C13" t="s">
        <v>24</v>
      </c>
      <c r="D13" t="s">
        <v>100</v>
      </c>
      <c r="E13" t="s">
        <v>109</v>
      </c>
      <c r="F13" s="2" t="n">
        <f>HYPERLINK("https://patents.google.com/patent/US20220194329","Google")</f>
        <v>0.0</v>
      </c>
      <c r="G13" s="2" t="n">
        <f>HYPERLINK("https://patentcenter.uspto.gov/applications/17203937","Patent Center")</f>
        <v>0.0</v>
      </c>
      <c r="H13" s="2" t="n">
        <f>HYPERLINK("https://worldwide.espacenet.com/patent/search?q=US20220194329","Espacenet")</f>
        <v>0.0</v>
      </c>
      <c r="I13" s="2" t="n">
        <f>HYPERLINK("https://ppubs.uspto.gov/pubwebapp/external.html?q=20220194329.pn.","USPTO")</f>
        <v>0.0</v>
      </c>
      <c r="J13" s="2" t="n">
        <f>HYPERLINK("https://image-ppubs.uspto.gov/dirsearch-public/print/downloadPdf/20220194329","USPTO PDF")</f>
        <v>0.0</v>
      </c>
      <c r="K13" s="2" t="n">
        <f>HYPERLINK("https://sectors.patentforecast.com/pmd/US20220194329","PMD")</f>
        <v>0.0</v>
      </c>
      <c r="L13" s="2" t="n">
        <f>HYPERLINK("https://globaldossier.uspto.gov/result/application/US/17203937/1","US20220194329")</f>
        <v>0.0</v>
      </c>
      <c r="M13" t="s">
        <v>110</v>
      </c>
      <c r="N13" t="s">
        <v>111</v>
      </c>
      <c r="O13" t="s">
        <v>112</v>
      </c>
      <c r="P13" t="s">
        <v>113</v>
      </c>
      <c r="Q13" s="3" t="n">
        <v>44272.0</v>
      </c>
      <c r="R13" s="3" t="n">
        <v>44735.0</v>
      </c>
      <c r="S13" s="3" t="n">
        <v>44736.23070409722</v>
      </c>
      <c r="T13" s="3" t="n">
        <v>44753.70589337963</v>
      </c>
      <c r="U13" t="s">
        <v>114</v>
      </c>
      <c r="V13" t="s">
        <v>115</v>
      </c>
    </row>
    <row r="14">
      <c r="A14" t="s">
        <v>22</v>
      </c>
      <c r="B14" t="s">
        <v>116</v>
      </c>
      <c r="C14" t="s">
        <v>24</v>
      </c>
      <c r="D14" t="s">
        <v>69</v>
      </c>
      <c r="E14" t="s">
        <v>117</v>
      </c>
      <c r="F14" s="2" t="n">
        <f>HYPERLINK("https://patents.google.com/patent/US20220193465","Google")</f>
        <v>0.0</v>
      </c>
      <c r="G14" s="2" t="n">
        <f>HYPERLINK("https://patentcenter.uspto.gov/applications/17550765","Patent Center")</f>
        <v>0.0</v>
      </c>
      <c r="H14" s="2" t="n">
        <f>HYPERLINK("https://worldwide.espacenet.com/patent/search?q=US20220193465","Espacenet")</f>
        <v>0.0</v>
      </c>
      <c r="I14" s="2" t="n">
        <f>HYPERLINK("https://ppubs.uspto.gov/pubwebapp/external.html?q=20220193465.pn.","USPTO")</f>
        <v>0.0</v>
      </c>
      <c r="J14" s="2" t="n">
        <f>HYPERLINK("https://image-ppubs.uspto.gov/dirsearch-public/print/downloadPdf/20220193465","USPTO PDF")</f>
        <v>0.0</v>
      </c>
      <c r="K14" s="2" t="n">
        <f>HYPERLINK("https://sectors.patentforecast.com/pmd/US20220193465","PMD")</f>
        <v>0.0</v>
      </c>
      <c r="L14" s="2" t="n">
        <f>HYPERLINK("https://globaldossier.uspto.gov/result/application/US/17550765/1","US20220193465")</f>
        <v>0.0</v>
      </c>
      <c r="M14" t="s">
        <v>118</v>
      </c>
      <c r="N14" t="s">
        <v>119</v>
      </c>
      <c r="O14" t="s">
        <v>120</v>
      </c>
      <c r="P14" t="s">
        <v>121</v>
      </c>
      <c r="Q14" s="3" t="n">
        <v>44544.0</v>
      </c>
      <c r="R14" s="3" t="n">
        <v>44735.0</v>
      </c>
      <c r="S14" s="3" t="n">
        <v>44736.23070409722</v>
      </c>
      <c r="T14" s="3" t="n">
        <v>44757.727168275465</v>
      </c>
      <c r="U14" t="s">
        <v>31</v>
      </c>
      <c r="V14" t="s">
        <v>122</v>
      </c>
    </row>
    <row r="15">
      <c r="A15" t="s">
        <v>22</v>
      </c>
      <c r="B15" t="s">
        <v>123</v>
      </c>
      <c r="C15" t="s">
        <v>24</v>
      </c>
      <c r="D15" t="s">
        <v>69</v>
      </c>
      <c r="E15" t="s">
        <v>124</v>
      </c>
      <c r="F15" s="2" t="n">
        <f>HYPERLINK("https://patents.google.com/patent/US20220193357","Google")</f>
        <v>0.0</v>
      </c>
      <c r="G15" s="2" t="n">
        <f>HYPERLINK("https://patentcenter.uspto.gov/applications/17140040","Patent Center")</f>
        <v>0.0</v>
      </c>
      <c r="H15" s="2" t="n">
        <f>HYPERLINK("https://worldwide.espacenet.com/patent/search?q=US20220193357","Espacenet")</f>
        <v>0.0</v>
      </c>
      <c r="I15" s="2" t="n">
        <f>HYPERLINK("https://ppubs.uspto.gov/pubwebapp/external.html?q=20220193357.pn.","USPTO")</f>
        <v>0.0</v>
      </c>
      <c r="J15" s="2" t="n">
        <f>HYPERLINK("https://image-ppubs.uspto.gov/dirsearch-public/print/downloadPdf/20220193357","USPTO PDF")</f>
        <v>0.0</v>
      </c>
      <c r="K15" s="2" t="n">
        <f>HYPERLINK("https://sectors.patentforecast.com/pmd/US20220193357","PMD")</f>
        <v>0.0</v>
      </c>
      <c r="L15" s="2" t="n">
        <f>HYPERLINK("https://globaldossier.uspto.gov/result/application/US/17140040/1","US20220193357")</f>
        <v>0.0</v>
      </c>
      <c r="M15" t="s">
        <v>125</v>
      </c>
      <c r="N15" t="s">
        <v>126</v>
      </c>
      <c r="O15" t="s">
        <v>127</v>
      </c>
      <c r="P15" t="s">
        <v>128</v>
      </c>
      <c r="Q15" s="3" t="n">
        <v>44197.0</v>
      </c>
      <c r="R15" s="3" t="n">
        <v>44735.0</v>
      </c>
      <c r="S15" s="3" t="n">
        <v>44736.23070409722</v>
      </c>
      <c r="T15" s="3" t="n">
        <v>44757.72743741898</v>
      </c>
      <c r="U15" t="s">
        <v>129</v>
      </c>
      <c r="V15" t="s">
        <v>130</v>
      </c>
    </row>
    <row r="16">
      <c r="A16" t="s">
        <v>22</v>
      </c>
      <c r="B16" t="s">
        <v>131</v>
      </c>
      <c r="C16" t="s">
        <v>132</v>
      </c>
      <c r="D16" t="s">
        <v>133</v>
      </c>
      <c r="E16" t="s">
        <v>134</v>
      </c>
      <c r="F16" s="2" t="n">
        <f>HYPERLINK("https://patents.google.com/patent/US20220193226","Google")</f>
        <v>0.0</v>
      </c>
      <c r="G16" s="2" t="n">
        <f>HYPERLINK("https://patentcenter.uspto.gov/applications/17546414","Patent Center")</f>
        <v>0.0</v>
      </c>
      <c r="H16" s="2" t="n">
        <f>HYPERLINK("https://worldwide.espacenet.com/patent/search?q=US20220193226","Espacenet")</f>
        <v>0.0</v>
      </c>
      <c r="I16" s="2" t="n">
        <f>HYPERLINK("https://ppubs.uspto.gov/pubwebapp/external.html?q=20220193226.pn.","USPTO")</f>
        <v>0.0</v>
      </c>
      <c r="J16" s="2" t="n">
        <f>HYPERLINK("https://image-ppubs.uspto.gov/dirsearch-public/print/downloadPdf/20220193226","USPTO PDF")</f>
        <v>0.0</v>
      </c>
      <c r="K16" s="2" t="n">
        <f>HYPERLINK("https://sectors.patentforecast.com/pmd/US20220193226","PMD")</f>
        <v>0.0</v>
      </c>
      <c r="L16" s="2" t="n">
        <f>HYPERLINK("https://globaldossier.uspto.gov/result/application/US/17546414/1","US20220193226")</f>
        <v>0.0</v>
      </c>
      <c r="M16" t="s">
        <v>135</v>
      </c>
      <c r="N16" t="s">
        <v>136</v>
      </c>
      <c r="O16" t="s">
        <v>137</v>
      </c>
      <c r="P16" t="s">
        <v>138</v>
      </c>
      <c r="Q16" s="3" t="n">
        <v>44539.0</v>
      </c>
      <c r="R16" s="3" t="n">
        <v>44735.0</v>
      </c>
      <c r="S16" s="3" t="n">
        <v>44736.23058268519</v>
      </c>
      <c r="T16" s="3" t="n">
        <v>44757.72766370371</v>
      </c>
      <c r="U16" t="s">
        <v>139</v>
      </c>
      <c r="V16" t="s">
        <v>140</v>
      </c>
    </row>
    <row r="17">
      <c r="A17" t="s">
        <v>22</v>
      </c>
      <c r="B17" t="s">
        <v>141</v>
      </c>
      <c r="C17" t="s">
        <v>132</v>
      </c>
      <c r="D17" t="s">
        <v>142</v>
      </c>
      <c r="E17" t="s">
        <v>143</v>
      </c>
      <c r="F17" s="2" t="n">
        <f>HYPERLINK("https://patents.google.com/patent/US20220193223","Google")</f>
        <v>0.0</v>
      </c>
      <c r="G17" s="2" t="n">
        <f>HYPERLINK("https://patentcenter.uspto.gov/applications/17683171","Patent Center")</f>
        <v>0.0</v>
      </c>
      <c r="H17" s="2" t="n">
        <f>HYPERLINK("https://worldwide.espacenet.com/patent/search?q=US20220193223","Espacenet")</f>
        <v>0.0</v>
      </c>
      <c r="I17" s="2" t="n">
        <f>HYPERLINK("https://ppubs.uspto.gov/pubwebapp/external.html?q=20220193223.pn.","USPTO")</f>
        <v>0.0</v>
      </c>
      <c r="J17" s="2" t="n">
        <f>HYPERLINK("https://image-ppubs.uspto.gov/dirsearch-public/print/downloadPdf/20220193223","USPTO PDF")</f>
        <v>0.0</v>
      </c>
      <c r="K17" s="2" t="n">
        <f>HYPERLINK("https://sectors.patentforecast.com/pmd/US20220193223","PMD")</f>
        <v>0.0</v>
      </c>
      <c r="L17" s="2" t="n">
        <f>HYPERLINK("https://globaldossier.uspto.gov/result/application/US/17683171/1","US20220193223")</f>
        <v>0.0</v>
      </c>
      <c r="M17" t="s">
        <v>144</v>
      </c>
      <c r="N17" t="s">
        <v>145</v>
      </c>
      <c r="O17" t="s">
        <v>146</v>
      </c>
      <c r="P17" t="s">
        <v>147</v>
      </c>
      <c r="Q17" s="3" t="n">
        <v>44620.0</v>
      </c>
      <c r="R17" s="3" t="n">
        <v>44735.0</v>
      </c>
      <c r="S17" s="3" t="n">
        <v>44741.23448673611</v>
      </c>
      <c r="T17" s="3" t="n">
        <v>44755.66900037037</v>
      </c>
      <c r="U17" t="s">
        <v>148</v>
      </c>
      <c r="V17" t="s">
        <v>149</v>
      </c>
    </row>
    <row r="18">
      <c r="A18" t="s">
        <v>22</v>
      </c>
      <c r="B18" t="s">
        <v>150</v>
      </c>
      <c r="C18" t="s">
        <v>60</v>
      </c>
      <c r="D18" t="s">
        <v>61</v>
      </c>
      <c r="E18" t="s">
        <v>151</v>
      </c>
      <c r="F18" s="2" t="n">
        <f>HYPERLINK("https://patents.google.com/patent/US20220193039","Google")</f>
        <v>0.0</v>
      </c>
      <c r="G18" s="2" t="n">
        <f>HYPERLINK("https://patentcenter.uspto.gov/applications/17615287","Patent Center")</f>
        <v>0.0</v>
      </c>
      <c r="H18" s="2" t="n">
        <f>HYPERLINK("https://worldwide.espacenet.com/patent/search?q=US20220193039","Espacenet")</f>
        <v>0.0</v>
      </c>
      <c r="I18" s="2" t="n">
        <f>HYPERLINK("https://ppubs.uspto.gov/pubwebapp/external.html?q=20220193039.pn.","USPTO")</f>
        <v>0.0</v>
      </c>
      <c r="J18" s="2" t="n">
        <f>HYPERLINK("https://image-ppubs.uspto.gov/dirsearch-public/print/downloadPdf/20220193039","USPTO PDF")</f>
        <v>0.0</v>
      </c>
      <c r="K18" s="2" t="n">
        <f>HYPERLINK("https://sectors.patentforecast.com/pmd/US20220193039","PMD")</f>
        <v>0.0</v>
      </c>
      <c r="L18" s="2" t="n">
        <f>HYPERLINK("https://globaldossier.uspto.gov/result/application/US/17615287/1","US20220193039")</f>
        <v>0.0</v>
      </c>
      <c r="M18" t="s">
        <v>152</v>
      </c>
      <c r="N18" t="s">
        <v>153</v>
      </c>
      <c r="O18" t="s">
        <v>154</v>
      </c>
      <c r="P18" t="s">
        <v>155</v>
      </c>
      <c r="Q18" s="3" t="n">
        <v>44392.0</v>
      </c>
      <c r="R18" s="3" t="n">
        <v>44735.0</v>
      </c>
      <c r="S18" s="3" t="n">
        <v>44736.23058268519</v>
      </c>
      <c r="T18" s="3" t="n">
        <v>44757.72790394676</v>
      </c>
      <c r="U18" t="s">
        <v>31</v>
      </c>
      <c r="V18" t="s">
        <v>156</v>
      </c>
    </row>
    <row r="19">
      <c r="A19" t="s">
        <v>22</v>
      </c>
      <c r="B19" t="s">
        <v>157</v>
      </c>
      <c r="C19" t="s">
        <v>60</v>
      </c>
      <c r="D19" t="s">
        <v>61</v>
      </c>
      <c r="E19" t="s">
        <v>158</v>
      </c>
      <c r="F19" s="2" t="n">
        <f>HYPERLINK("https://patents.google.com/patent/US20220184053","Google")</f>
        <v>0.0</v>
      </c>
      <c r="G19" s="2" t="n">
        <f>HYPERLINK("https://patentcenter.uspto.gov/applications/17552038","Patent Center")</f>
        <v>0.0</v>
      </c>
      <c r="H19" s="2" t="n">
        <f>HYPERLINK("https://worldwide.espacenet.com/patent/search?q=US20220184053","Espacenet")</f>
        <v>0.0</v>
      </c>
      <c r="I19" s="2" t="n">
        <f>HYPERLINK("https://ppubs.uspto.gov/pubwebapp/external.html?q=20220184053.pn.","USPTO")</f>
        <v>0.0</v>
      </c>
      <c r="J19" s="2" t="n">
        <f>HYPERLINK("https://image-ppubs.uspto.gov/dirsearch-public/print/downloadPdf/20220184053","USPTO PDF")</f>
        <v>0.0</v>
      </c>
      <c r="K19" s="2" t="n">
        <f>HYPERLINK("https://sectors.patentforecast.com/pmd/US20220184053","PMD")</f>
        <v>0.0</v>
      </c>
      <c r="L19" s="2" t="n">
        <f>HYPERLINK("https://globaldossier.uspto.gov/result/application/US/17552038/1","US20220184053")</f>
        <v>0.0</v>
      </c>
      <c r="M19" t="s">
        <v>159</v>
      </c>
      <c r="N19" t="s">
        <v>160</v>
      </c>
      <c r="O19" t="s">
        <v>161</v>
      </c>
      <c r="P19" t="s">
        <v>162</v>
      </c>
      <c r="Q19" s="3" t="n">
        <v>44545.0</v>
      </c>
      <c r="R19" s="3" t="n">
        <v>44728.0</v>
      </c>
      <c r="S19" s="3" t="n">
        <v>44734.229511006946</v>
      </c>
      <c r="T19" s="3" t="n">
        <v>44757.728375520834</v>
      </c>
      <c r="U19" t="s">
        <v>31</v>
      </c>
      <c r="V19" t="s">
        <v>163</v>
      </c>
    </row>
    <row r="20">
      <c r="A20" t="s">
        <v>22</v>
      </c>
      <c r="B20" t="s">
        <v>164</v>
      </c>
      <c r="C20" t="s">
        <v>24</v>
      </c>
      <c r="D20" t="s">
        <v>100</v>
      </c>
      <c r="E20" t="s">
        <v>165</v>
      </c>
      <c r="F20" s="2" t="n">
        <f>HYPERLINK("https://patents.google.com/patent/US20220176230","Google")</f>
        <v>0.0</v>
      </c>
      <c r="G20" s="2" t="n">
        <f>HYPERLINK("https://patentcenter.uspto.gov/applications/17652278","Patent Center")</f>
        <v>0.0</v>
      </c>
      <c r="H20" s="2" t="n">
        <f>HYPERLINK("https://worldwide.espacenet.com/patent/search?q=US20220176230","Espacenet")</f>
        <v>0.0</v>
      </c>
      <c r="I20" s="2" t="n">
        <f>HYPERLINK("https://ppubs.uspto.gov/pubwebapp/external.html?q=20220176230.pn.","USPTO")</f>
        <v>0.0</v>
      </c>
      <c r="J20" s="2" t="n">
        <f>HYPERLINK("https://image-ppubs.uspto.gov/dirsearch-public/print/downloadPdf/20220176230","USPTO PDF")</f>
        <v>0.0</v>
      </c>
      <c r="K20" s="2" t="n">
        <f>HYPERLINK("https://sectors.patentforecast.com/pmd/US20220176230","PMD")</f>
        <v>0.0</v>
      </c>
      <c r="L20" s="2" t="n">
        <f>HYPERLINK("https://globaldossier.uspto.gov/result/application/US/17652278/1","US20220176230")</f>
        <v>0.0</v>
      </c>
      <c r="M20" t="s">
        <v>166</v>
      </c>
      <c r="N20" t="s">
        <v>167</v>
      </c>
      <c r="O20" t="s">
        <v>168</v>
      </c>
      <c r="P20" t="s">
        <v>169</v>
      </c>
      <c r="Q20" s="3" t="n">
        <v>44615.0</v>
      </c>
      <c r="R20" s="3" t="n">
        <v>44721.0</v>
      </c>
      <c r="S20" s="3" t="n">
        <v>44734.23079148148</v>
      </c>
      <c r="T20" s="3" t="n">
        <v>44757.72858708334</v>
      </c>
      <c r="U20" t="s">
        <v>31</v>
      </c>
      <c r="V20" t="s">
        <v>170</v>
      </c>
    </row>
    <row r="21">
      <c r="A21" t="s">
        <v>22</v>
      </c>
      <c r="B21" t="s">
        <v>171</v>
      </c>
      <c r="C21" t="s">
        <v>24</v>
      </c>
      <c r="D21" t="s">
        <v>69</v>
      </c>
      <c r="E21" t="s">
        <v>172</v>
      </c>
      <c r="F21" s="2" t="n">
        <f>HYPERLINK("https://patents.google.com/patent/US20220175066","Google")</f>
        <v>0.0</v>
      </c>
      <c r="G21" s="2" t="n">
        <f>HYPERLINK("https://patentcenter.uspto.gov/applications/17352778","Patent Center")</f>
        <v>0.0</v>
      </c>
      <c r="H21" s="2" t="n">
        <f>HYPERLINK("https://worldwide.espacenet.com/patent/search?q=US20220175066","Espacenet")</f>
        <v>0.0</v>
      </c>
      <c r="I21" s="2" t="n">
        <f>HYPERLINK("https://ppubs.uspto.gov/pubwebapp/external.html?q=20220175066.pn.","USPTO")</f>
        <v>0.0</v>
      </c>
      <c r="J21" s="2" t="n">
        <f>HYPERLINK("https://image-ppubs.uspto.gov/dirsearch-public/print/downloadPdf/20220175066","USPTO PDF")</f>
        <v>0.0</v>
      </c>
      <c r="K21" s="2" t="n">
        <f>HYPERLINK("https://sectors.patentforecast.com/pmd/US20220175066","PMD")</f>
        <v>0.0</v>
      </c>
      <c r="L21" s="2" t="n">
        <f>HYPERLINK("https://globaldossier.uspto.gov/result/application/US/17352778/1","US20220175066")</f>
        <v>0.0</v>
      </c>
      <c r="M21" t="s">
        <v>173</v>
      </c>
      <c r="N21" t="s">
        <v>174</v>
      </c>
      <c r="O21" t="s">
        <v>175</v>
      </c>
      <c r="P21" t="s">
        <v>176</v>
      </c>
      <c r="Q21" s="3" t="n">
        <v>44368.0</v>
      </c>
      <c r="R21" s="3" t="n">
        <v>44721.0</v>
      </c>
      <c r="S21" s="3" t="n">
        <v>44734.23079148148</v>
      </c>
      <c r="T21" s="3" t="n">
        <v>44757.729066875</v>
      </c>
      <c r="U21" t="s">
        <v>177</v>
      </c>
      <c r="V21" t="s">
        <v>178</v>
      </c>
    </row>
    <row r="22">
      <c r="A22" t="s">
        <v>22</v>
      </c>
      <c r="B22" t="s">
        <v>179</v>
      </c>
      <c r="C22" t="s">
        <v>24</v>
      </c>
      <c r="D22" t="s">
        <v>69</v>
      </c>
      <c r="E22" t="s">
        <v>180</v>
      </c>
      <c r="F22" s="2" t="n">
        <f>HYPERLINK("https://patents.google.com/patent/US20220175064","Google")</f>
        <v>0.0</v>
      </c>
      <c r="G22" s="2" t="n">
        <f>HYPERLINK("https://patentcenter.uspto.gov/applications/17113338","Patent Center")</f>
        <v>0.0</v>
      </c>
      <c r="H22" s="2" t="n">
        <f>HYPERLINK("https://worldwide.espacenet.com/patent/search?q=US20220175064","Espacenet")</f>
        <v>0.0</v>
      </c>
      <c r="I22" s="2" t="n">
        <f>HYPERLINK("https://ppubs.uspto.gov/pubwebapp/external.html?q=20220175064.pn.","USPTO")</f>
        <v>0.0</v>
      </c>
      <c r="J22" s="2" t="n">
        <f>HYPERLINK("https://image-ppubs.uspto.gov/dirsearch-public/print/downloadPdf/20220175064","USPTO PDF")</f>
        <v>0.0</v>
      </c>
      <c r="K22" s="2" t="n">
        <f>HYPERLINK("https://sectors.patentforecast.com/pmd/US20220175064","PMD")</f>
        <v>0.0</v>
      </c>
      <c r="L22" s="2" t="n">
        <f>HYPERLINK("https://globaldossier.uspto.gov/result/application/US/17113338/1","US20220175064")</f>
        <v>0.0</v>
      </c>
      <c r="M22" t="s">
        <v>181</v>
      </c>
      <c r="N22" t="s">
        <v>182</v>
      </c>
      <c r="O22" t="s">
        <v>183</v>
      </c>
      <c r="P22" t="s">
        <v>184</v>
      </c>
      <c r="Q22" s="3" t="n">
        <v>44172.0</v>
      </c>
      <c r="R22" s="3" t="n">
        <v>44721.0</v>
      </c>
      <c r="S22" s="3" t="n">
        <v>44734.23079148148</v>
      </c>
      <c r="T22" s="3" t="n">
        <v>44757.7292803125</v>
      </c>
      <c r="U22" t="s">
        <v>31</v>
      </c>
      <c r="V22" t="s">
        <v>185</v>
      </c>
    </row>
    <row r="23">
      <c r="A23" t="s">
        <v>22</v>
      </c>
      <c r="B23" t="s">
        <v>186</v>
      </c>
      <c r="C23" t="s">
        <v>24</v>
      </c>
      <c r="D23" t="s">
        <v>187</v>
      </c>
      <c r="E23" t="s">
        <v>188</v>
      </c>
      <c r="F23" s="2" t="n">
        <f>HYPERLINK("https://patents.google.com/patent/US20220170885","Google")</f>
        <v>0.0</v>
      </c>
      <c r="G23" s="2" t="n">
        <f>HYPERLINK("https://patentcenter.uspto.gov/applications/17673247","Patent Center")</f>
        <v>0.0</v>
      </c>
      <c r="H23" s="2" t="n">
        <f>HYPERLINK("https://worldwide.espacenet.com/patent/search?q=US20220170885","Espacenet")</f>
        <v>0.0</v>
      </c>
      <c r="I23" s="2" t="n">
        <f>HYPERLINK("https://ppubs.uspto.gov/pubwebapp/external.html?q=20220170885.pn.","USPTO")</f>
        <v>0.0</v>
      </c>
      <c r="J23" s="2" t="n">
        <f>HYPERLINK("https://image-ppubs.uspto.gov/dirsearch-public/print/downloadPdf/20220170885","USPTO PDF")</f>
        <v>0.0</v>
      </c>
      <c r="K23" s="2" t="n">
        <f>HYPERLINK("https://sectors.patentforecast.com/pmd/US20220170885","PMD")</f>
        <v>0.0</v>
      </c>
      <c r="L23" s="2" t="n">
        <f>HYPERLINK("https://globaldossier.uspto.gov/result/application/US/17673247/1","US20220170885")</f>
        <v>0.0</v>
      </c>
      <c r="M23" t="s">
        <v>189</v>
      </c>
      <c r="N23" t="s">
        <v>190</v>
      </c>
      <c r="O23" t="s">
        <v>191</v>
      </c>
      <c r="P23" t="s">
        <v>192</v>
      </c>
      <c r="Q23" s="3" t="n">
        <v>44608.0</v>
      </c>
      <c r="R23" s="3" t="n">
        <v>44714.0</v>
      </c>
      <c r="S23" s="3" t="n">
        <v>44734.23136630787</v>
      </c>
      <c r="T23" s="3" t="n">
        <v>44757.72958222222</v>
      </c>
      <c r="U23" t="s">
        <v>193</v>
      </c>
      <c r="V23" t="s">
        <v>194</v>
      </c>
    </row>
    <row r="24">
      <c r="A24" t="s">
        <v>22</v>
      </c>
      <c r="B24" t="s">
        <v>195</v>
      </c>
      <c r="C24" t="s">
        <v>24</v>
      </c>
      <c r="D24" t="s">
        <v>100</v>
      </c>
      <c r="E24" t="s">
        <v>196</v>
      </c>
      <c r="F24" s="2" t="n">
        <f>HYPERLINK("https://patents.google.com/patent/US20220169539","Google")</f>
        <v>0.0</v>
      </c>
      <c r="G24" s="2" t="n">
        <f>HYPERLINK("https://patentcenter.uspto.gov/applications/17107595","Patent Center")</f>
        <v>0.0</v>
      </c>
      <c r="H24" s="2" t="n">
        <f>HYPERLINK("https://worldwide.espacenet.com/patent/search?q=US20220169539","Espacenet")</f>
        <v>0.0</v>
      </c>
      <c r="I24" s="2" t="n">
        <f>HYPERLINK("https://ppubs.uspto.gov/pubwebapp/external.html?q=20220169539.pn.","USPTO")</f>
        <v>0.0</v>
      </c>
      <c r="J24" s="2" t="n">
        <f>HYPERLINK("https://image-ppubs.uspto.gov/dirsearch-public/print/downloadPdf/20220169539","USPTO PDF")</f>
        <v>0.0</v>
      </c>
      <c r="K24" s="2" t="n">
        <f>HYPERLINK("https://sectors.patentforecast.com/pmd/US20220169539","PMD")</f>
        <v>0.0</v>
      </c>
      <c r="L24" s="2" t="n">
        <f>HYPERLINK("https://globaldossier.uspto.gov/result/application/US/17107595/1","US20220169539")</f>
        <v>0.0</v>
      </c>
      <c r="M24" t="s">
        <v>197</v>
      </c>
      <c r="N24" t="s">
        <v>198</v>
      </c>
      <c r="O24" t="s">
        <v>199</v>
      </c>
      <c r="P24" t="s">
        <v>200</v>
      </c>
      <c r="Q24" s="3" t="n">
        <v>44165.0</v>
      </c>
      <c r="R24" s="3" t="n">
        <v>44714.0</v>
      </c>
      <c r="S24" s="3" t="n">
        <v>44734.23136630787</v>
      </c>
      <c r="T24" s="3" t="n">
        <v>44757.73052337963</v>
      </c>
      <c r="U24" t="s">
        <v>201</v>
      </c>
      <c r="V24" t="s">
        <v>202</v>
      </c>
    </row>
    <row r="25">
      <c r="A25" t="s">
        <v>22</v>
      </c>
      <c r="B25" t="s">
        <v>203</v>
      </c>
      <c r="C25" t="s">
        <v>24</v>
      </c>
      <c r="D25" t="s">
        <v>204</v>
      </c>
      <c r="E25" t="s">
        <v>205</v>
      </c>
      <c r="F25" s="2" t="n">
        <f>HYPERLINK("https://patents.google.com/patent/US20220164858","Google")</f>
        <v>0.0</v>
      </c>
      <c r="G25" s="2" t="n">
        <f>HYPERLINK("https://patentcenter.uspto.gov/applications/17102974","Patent Center")</f>
        <v>0.0</v>
      </c>
      <c r="H25" s="2" t="n">
        <f>HYPERLINK("https://worldwide.espacenet.com/patent/search?q=US20220164858","Espacenet")</f>
        <v>0.0</v>
      </c>
      <c r="I25" s="2" t="n">
        <f>HYPERLINK("https://ppubs.uspto.gov/pubwebapp/external.html?q=20220164858.pn.","USPTO")</f>
        <v>0.0</v>
      </c>
      <c r="J25" s="2" t="n">
        <f>HYPERLINK("https://image-ppubs.uspto.gov/dirsearch-public/print/downloadPdf/20220164858","USPTO PDF")</f>
        <v>0.0</v>
      </c>
      <c r="K25" s="2" t="n">
        <f>HYPERLINK("https://sectors.patentforecast.com/pmd/US20220164858","PMD")</f>
        <v>0.0</v>
      </c>
      <c r="L25" s="2" t="n">
        <f>HYPERLINK("https://globaldossier.uspto.gov/result/application/US/17102974/1","US20220164858")</f>
        <v>0.0</v>
      </c>
      <c r="M25" t="s">
        <v>206</v>
      </c>
      <c r="N25" t="s">
        <v>207</v>
      </c>
      <c r="O25" t="s">
        <v>208</v>
      </c>
      <c r="P25" t="s">
        <v>209</v>
      </c>
      <c r="Q25" s="3" t="n">
        <v>44159.0</v>
      </c>
      <c r="R25" s="3" t="n">
        <v>44707.0</v>
      </c>
      <c r="S25" s="3" t="n">
        <v>44708.22955358796</v>
      </c>
      <c r="T25" s="3" t="n">
        <v>44757.73231140046</v>
      </c>
      <c r="U25" t="s">
        <v>210</v>
      </c>
      <c r="V25" t="s">
        <v>211</v>
      </c>
    </row>
    <row r="26">
      <c r="A26" t="s">
        <v>22</v>
      </c>
      <c r="B26" t="s">
        <v>212</v>
      </c>
      <c r="C26" t="s">
        <v>24</v>
      </c>
      <c r="D26" t="s">
        <v>34</v>
      </c>
      <c r="E26" t="s">
        <v>213</v>
      </c>
      <c r="F26" s="2" t="n">
        <f>HYPERLINK("https://patents.google.com/patent/US20220163528","Google")</f>
        <v>0.0</v>
      </c>
      <c r="G26" s="2" t="n">
        <f>HYPERLINK("https://patentcenter.uspto.gov/applications/17428967","Patent Center")</f>
        <v>0.0</v>
      </c>
      <c r="H26" s="2" t="n">
        <f>HYPERLINK("https://worldwide.espacenet.com/patent/search?q=US20220163528","Espacenet")</f>
        <v>0.0</v>
      </c>
      <c r="I26" s="2" t="n">
        <f>HYPERLINK("https://ppubs.uspto.gov/pubwebapp/external.html?q=20220163528.pn.","USPTO")</f>
        <v>0.0</v>
      </c>
      <c r="J26" s="2" t="n">
        <f>HYPERLINK("https://image-ppubs.uspto.gov/dirsearch-public/print/downloadPdf/20220163528","USPTO PDF")</f>
        <v>0.0</v>
      </c>
      <c r="K26" s="2" t="n">
        <f>HYPERLINK("https://sectors.patentforecast.com/pmd/US20220163528","PMD")</f>
        <v>0.0</v>
      </c>
      <c r="L26" s="2" t="n">
        <f>HYPERLINK("https://globaldossier.uspto.gov/result/application/US/17428967/1","US20220163528")</f>
        <v>0.0</v>
      </c>
      <c r="M26" t="s">
        <v>214</v>
      </c>
      <c r="N26" t="s">
        <v>215</v>
      </c>
      <c r="O26" t="s">
        <v>216</v>
      </c>
      <c r="P26" t="s">
        <v>217</v>
      </c>
      <c r="Q26" s="3" t="n">
        <v>44406.0</v>
      </c>
      <c r="R26" s="3" t="n">
        <v>44707.0</v>
      </c>
      <c r="S26" s="3" t="n">
        <v>44708.230600497685</v>
      </c>
      <c r="T26" s="3" t="n">
        <v>44757.73422722222</v>
      </c>
      <c r="U26" t="s">
        <v>218</v>
      </c>
      <c r="V26" t="s">
        <v>219</v>
      </c>
    </row>
    <row r="27">
      <c r="A27" t="s">
        <v>22</v>
      </c>
      <c r="B27" t="s">
        <v>220</v>
      </c>
      <c r="C27" t="s">
        <v>60</v>
      </c>
      <c r="D27" t="s">
        <v>61</v>
      </c>
      <c r="E27" t="s">
        <v>221</v>
      </c>
      <c r="F27" s="2" t="n">
        <f>HYPERLINK("https://patents.google.com/patent/US20220162194","Google")</f>
        <v>0.0</v>
      </c>
      <c r="G27" s="2" t="n">
        <f>HYPERLINK("https://patentcenter.uspto.gov/applications/17665204","Patent Center")</f>
        <v>0.0</v>
      </c>
      <c r="H27" s="2" t="n">
        <f>HYPERLINK("https://worldwide.espacenet.com/patent/search?q=US20220162194","Espacenet")</f>
        <v>0.0</v>
      </c>
      <c r="I27" s="2" t="n">
        <f>HYPERLINK("https://ppubs.uspto.gov/pubwebapp/external.html?q=20220162194.pn.","USPTO")</f>
        <v>0.0</v>
      </c>
      <c r="J27" s="2" t="n">
        <f>HYPERLINK("https://image-ppubs.uspto.gov/dirsearch-public/print/downloadPdf/20220162194","USPTO PDF")</f>
        <v>0.0</v>
      </c>
      <c r="K27" s="2" t="n">
        <f>HYPERLINK("https://sectors.patentforecast.com/pmd/US20220162194","PMD")</f>
        <v>0.0</v>
      </c>
      <c r="L27" s="2" t="n">
        <f>HYPERLINK("https://globaldossier.uspto.gov/result/application/US/17665204/1","US20220162194")</f>
        <v>0.0</v>
      </c>
      <c r="M27" t="s">
        <v>222</v>
      </c>
      <c r="N27" t="s">
        <v>223</v>
      </c>
      <c r="O27" t="s">
        <v>224</v>
      </c>
      <c r="P27" t="s">
        <v>225</v>
      </c>
      <c r="Q27" s="3" t="n">
        <v>44596.0</v>
      </c>
      <c r="R27" s="3" t="n">
        <v>44707.0</v>
      </c>
      <c r="S27" s="3" t="n">
        <v>44708.22955358796</v>
      </c>
      <c r="T27" s="3" t="n">
        <v>44757.7343971875</v>
      </c>
      <c r="U27" t="s">
        <v>226</v>
      </c>
      <c r="V27" t="s">
        <v>227</v>
      </c>
    </row>
    <row r="28">
      <c r="A28" t="s">
        <v>22</v>
      </c>
      <c r="B28" t="s">
        <v>228</v>
      </c>
      <c r="C28" t="s">
        <v>24</v>
      </c>
      <c r="D28" t="s">
        <v>69</v>
      </c>
      <c r="E28" t="s">
        <v>229</v>
      </c>
      <c r="F28" s="2" t="n">
        <f>HYPERLINK("https://patents.google.com/patent/US20220161065","Google")</f>
        <v>0.0</v>
      </c>
      <c r="G28" s="2" t="n">
        <f>HYPERLINK("https://patentcenter.uspto.gov/applications/17516040","Patent Center")</f>
        <v>0.0</v>
      </c>
      <c r="H28" s="2" t="n">
        <f>HYPERLINK("https://worldwide.espacenet.com/patent/search?q=US20220161065","Espacenet")</f>
        <v>0.0</v>
      </c>
      <c r="I28" s="2" t="n">
        <f>HYPERLINK("https://ppubs.uspto.gov/pubwebapp/external.html?q=20220161065.pn.","USPTO")</f>
        <v>0.0</v>
      </c>
      <c r="J28" s="2" t="n">
        <f>HYPERLINK("https://image-ppubs.uspto.gov/dirsearch-public/print/downloadPdf/20220161065","USPTO PDF")</f>
        <v>0.0</v>
      </c>
      <c r="K28" s="2" t="n">
        <f>HYPERLINK("https://sectors.patentforecast.com/pmd/US20220161065","PMD")</f>
        <v>0.0</v>
      </c>
      <c r="L28" s="2" t="n">
        <f>HYPERLINK("https://globaldossier.uspto.gov/result/application/US/17516040/1","US20220161065")</f>
        <v>0.0</v>
      </c>
      <c r="M28" t="s">
        <v>230</v>
      </c>
      <c r="N28" t="s">
        <v>231</v>
      </c>
      <c r="O28" t="s">
        <v>231</v>
      </c>
      <c r="P28" t="s">
        <v>232</v>
      </c>
      <c r="Q28" s="3" t="n">
        <v>44501.0</v>
      </c>
      <c r="R28" s="3" t="n">
        <v>44707.0</v>
      </c>
      <c r="S28" s="3" t="n">
        <v>44708.230600497685</v>
      </c>
      <c r="T28" s="3" t="n">
        <v>44757.73499946759</v>
      </c>
      <c r="U28" t="s">
        <v>233</v>
      </c>
      <c r="V28" t="s">
        <v>234</v>
      </c>
    </row>
    <row r="29">
      <c r="A29" t="s">
        <v>22</v>
      </c>
      <c r="B29" t="s">
        <v>235</v>
      </c>
      <c r="C29" t="s">
        <v>60</v>
      </c>
      <c r="D29" t="s">
        <v>77</v>
      </c>
      <c r="E29" t="s">
        <v>236</v>
      </c>
      <c r="F29" s="2" t="n">
        <f>HYPERLINK("https://patents.google.com/patent/US20220153826","Google")</f>
        <v>0.0</v>
      </c>
      <c r="G29" s="2" t="n">
        <f>HYPERLINK("https://patentcenter.uspto.gov/applications/17525338","Patent Center")</f>
        <v>0.0</v>
      </c>
      <c r="H29" s="2" t="n">
        <f>HYPERLINK("https://worldwide.espacenet.com/patent/search?q=US20220153826","Espacenet")</f>
        <v>0.0</v>
      </c>
      <c r="I29" s="2" t="n">
        <f>HYPERLINK("https://ppubs.uspto.gov/pubwebapp/external.html?q=20220153826.pn.","USPTO")</f>
        <v>0.0</v>
      </c>
      <c r="J29" s="2" t="n">
        <f>HYPERLINK("https://image-ppubs.uspto.gov/dirsearch-public/print/downloadPdf/20220153826","USPTO PDF")</f>
        <v>0.0</v>
      </c>
      <c r="K29" s="2" t="n">
        <f>HYPERLINK("https://sectors.patentforecast.com/pmd/US20220153826","PMD")</f>
        <v>0.0</v>
      </c>
      <c r="L29" s="2" t="n">
        <f>HYPERLINK("https://globaldossier.uspto.gov/result/application/US/17525338/1","US20220153826")</f>
        <v>0.0</v>
      </c>
      <c r="M29" t="s">
        <v>237</v>
      </c>
      <c r="N29" t="s">
        <v>238</v>
      </c>
      <c r="O29" t="s">
        <v>239</v>
      </c>
      <c r="P29" t="s">
        <v>240</v>
      </c>
      <c r="Q29" s="3" t="n">
        <v>44512.0</v>
      </c>
      <c r="R29" s="3" t="n">
        <v>44700.0</v>
      </c>
      <c r="S29" s="3" t="n">
        <v>44701.23047863426</v>
      </c>
      <c r="T29" s="3" t="n">
        <v>44757.741175891206</v>
      </c>
      <c r="U29" t="s">
        <v>241</v>
      </c>
      <c r="V29" t="s">
        <v>242</v>
      </c>
    </row>
    <row r="30">
      <c r="A30" t="s">
        <v>22</v>
      </c>
      <c r="B30" t="s">
        <v>243</v>
      </c>
      <c r="C30" t="s">
        <v>60</v>
      </c>
      <c r="D30" t="s">
        <v>61</v>
      </c>
      <c r="E30" t="s">
        <v>244</v>
      </c>
      <c r="F30" s="2" t="n">
        <f>HYPERLINK("https://patents.google.com/patent/US20220153815","Google")</f>
        <v>0.0</v>
      </c>
      <c r="G30" s="2" t="n">
        <f>HYPERLINK("https://patentcenter.uspto.gov/applications/17539635","Patent Center")</f>
        <v>0.0</v>
      </c>
      <c r="H30" s="2" t="n">
        <f>HYPERLINK("https://worldwide.espacenet.com/patent/search?q=US20220153815","Espacenet")</f>
        <v>0.0</v>
      </c>
      <c r="I30" s="2" t="n">
        <f>HYPERLINK("https://ppubs.uspto.gov/pubwebapp/external.html?q=20220153815.pn.","USPTO")</f>
        <v>0.0</v>
      </c>
      <c r="J30" s="2" t="n">
        <f>HYPERLINK("https://image-ppubs.uspto.gov/dirsearch-public/print/downloadPdf/20220153815","USPTO PDF")</f>
        <v>0.0</v>
      </c>
      <c r="K30" s="2" t="n">
        <f>HYPERLINK("https://sectors.patentforecast.com/pmd/US20220153815","PMD")</f>
        <v>0.0</v>
      </c>
      <c r="L30" s="2" t="n">
        <f>HYPERLINK("https://globaldossier.uspto.gov/result/application/US/17539635/1","US20220153815")</f>
        <v>0.0</v>
      </c>
      <c r="M30" t="s">
        <v>245</v>
      </c>
      <c r="N30" t="s">
        <v>246</v>
      </c>
      <c r="O30" t="s">
        <v>247</v>
      </c>
      <c r="P30" t="s">
        <v>248</v>
      </c>
      <c r="Q30" s="3" t="n">
        <v>44531.0</v>
      </c>
      <c r="R30" s="3" t="n">
        <v>44700.0</v>
      </c>
      <c r="S30" s="3" t="n">
        <v>44701.23047863426</v>
      </c>
      <c r="T30" s="3" t="n">
        <v>44757.74131450232</v>
      </c>
      <c r="U30" t="s">
        <v>31</v>
      </c>
      <c r="V30" t="s">
        <v>249</v>
      </c>
    </row>
    <row r="31">
      <c r="A31" t="s">
        <v>22</v>
      </c>
      <c r="B31" t="s">
        <v>250</v>
      </c>
      <c r="C31" t="s">
        <v>24</v>
      </c>
      <c r="D31" t="s">
        <v>69</v>
      </c>
      <c r="E31" t="s">
        <v>251</v>
      </c>
      <c r="F31" s="2" t="n">
        <f>HYPERLINK("https://patents.google.com/patent/US20220151368","Google")</f>
        <v>0.0</v>
      </c>
      <c r="G31" s="2" t="n">
        <f>HYPERLINK("https://patentcenter.uspto.gov/applications/17528962","Patent Center")</f>
        <v>0.0</v>
      </c>
      <c r="H31" s="2" t="n">
        <f>HYPERLINK("https://worldwide.espacenet.com/patent/search?q=US20220151368","Espacenet")</f>
        <v>0.0</v>
      </c>
      <c r="I31" s="2" t="n">
        <f>HYPERLINK("https://ppubs.uspto.gov/pubwebapp/external.html?q=20220151368.pn.","USPTO")</f>
        <v>0.0</v>
      </c>
      <c r="J31" s="2" t="n">
        <f>HYPERLINK("https://image-ppubs.uspto.gov/dirsearch-public/print/downloadPdf/20220151368","USPTO PDF")</f>
        <v>0.0</v>
      </c>
      <c r="K31" s="2" t="n">
        <f>HYPERLINK("https://sectors.patentforecast.com/pmd/US20220151368","PMD")</f>
        <v>0.0</v>
      </c>
      <c r="L31" s="2" t="n">
        <f>HYPERLINK("https://globaldossier.uspto.gov/result/application/US/17528962/1","US20220151368")</f>
        <v>0.0</v>
      </c>
      <c r="M31" t="s">
        <v>252</v>
      </c>
      <c r="N31" t="s">
        <v>253</v>
      </c>
      <c r="O31" t="s">
        <v>254</v>
      </c>
      <c r="P31" t="s">
        <v>255</v>
      </c>
      <c r="Q31" s="3" t="n">
        <v>44517.0</v>
      </c>
      <c r="R31" s="3" t="n">
        <v>44700.0</v>
      </c>
      <c r="S31" s="3" t="n">
        <v>44701.23035745371</v>
      </c>
      <c r="T31" s="3" t="n">
        <v>44757.74262474537</v>
      </c>
      <c r="U31" t="s">
        <v>31</v>
      </c>
      <c r="V31" t="s">
        <v>256</v>
      </c>
    </row>
    <row r="32">
      <c r="A32" t="s">
        <v>22</v>
      </c>
      <c r="B32" t="s">
        <v>257</v>
      </c>
      <c r="C32" t="s">
        <v>24</v>
      </c>
      <c r="D32" t="s">
        <v>258</v>
      </c>
      <c r="E32" t="s">
        <v>259</v>
      </c>
      <c r="F32" s="2" t="n">
        <f>HYPERLINK("https://patents.google.com/patent/US20220150446","Google")</f>
        <v>0.0</v>
      </c>
      <c r="G32" s="2" t="n">
        <f>HYPERLINK("https://patentcenter.uspto.gov/applications/17095687","Patent Center")</f>
        <v>0.0</v>
      </c>
      <c r="H32" s="2" t="n">
        <f>HYPERLINK("https://worldwide.espacenet.com/patent/search?q=US20220150446","Espacenet")</f>
        <v>0.0</v>
      </c>
      <c r="I32" s="2" t="n">
        <f>HYPERLINK("https://ppubs.uspto.gov/pubwebapp/external.html?q=20220150446.pn.","USPTO")</f>
        <v>0.0</v>
      </c>
      <c r="J32" s="2" t="n">
        <f>HYPERLINK("https://image-ppubs.uspto.gov/dirsearch-public/print/downloadPdf/20220150446","USPTO PDF")</f>
        <v>0.0</v>
      </c>
      <c r="K32" s="2" t="n">
        <f>HYPERLINK("https://sectors.patentforecast.com/pmd/US20220150446","PMD")</f>
        <v>0.0</v>
      </c>
      <c r="L32" s="2" t="n">
        <f>HYPERLINK("https://globaldossier.uspto.gov/result/application/US/17095687/1","US20220150446")</f>
        <v>0.0</v>
      </c>
      <c r="M32" t="s">
        <v>260</v>
      </c>
      <c r="N32" t="s">
        <v>261</v>
      </c>
      <c r="O32" t="s">
        <v>262</v>
      </c>
      <c r="P32" t="s">
        <v>263</v>
      </c>
      <c r="Q32" s="3" t="n">
        <v>44146.0</v>
      </c>
      <c r="R32" s="3" t="n">
        <v>44693.0</v>
      </c>
      <c r="S32" s="3" t="n">
        <v>44694.23058106482</v>
      </c>
      <c r="T32" s="3" t="n">
        <v>44697.74558418981</v>
      </c>
      <c r="U32" t="s">
        <v>264</v>
      </c>
      <c r="V32" t="s">
        <v>265</v>
      </c>
    </row>
    <row r="33">
      <c r="A33" t="s">
        <v>22</v>
      </c>
      <c r="B33" t="s">
        <v>266</v>
      </c>
      <c r="C33" t="s">
        <v>24</v>
      </c>
      <c r="D33" t="s">
        <v>69</v>
      </c>
      <c r="E33" t="s">
        <v>267</v>
      </c>
      <c r="F33" s="2" t="n">
        <f>HYPERLINK("https://patents.google.com/patent/US20220149656","Google")</f>
        <v>0.0</v>
      </c>
      <c r="G33" s="2" t="n">
        <f>HYPERLINK("https://patentcenter.uspto.gov/applications/17525359","Patent Center")</f>
        <v>0.0</v>
      </c>
      <c r="H33" s="2" t="n">
        <f>HYPERLINK("https://worldwide.espacenet.com/patent/search?q=US20220149656","Espacenet")</f>
        <v>0.0</v>
      </c>
      <c r="I33" s="2" t="n">
        <f>HYPERLINK("https://ppubs.uspto.gov/pubwebapp/external.html?q=20220149656.pn.","USPTO")</f>
        <v>0.0</v>
      </c>
      <c r="J33" s="2" t="n">
        <f>HYPERLINK("https://image-ppubs.uspto.gov/dirsearch-public/print/downloadPdf/20220149656","USPTO PDF")</f>
        <v>0.0</v>
      </c>
      <c r="K33" s="2" t="n">
        <f>HYPERLINK("https://sectors.patentforecast.com/pmd/US20220149656","PMD")</f>
        <v>0.0</v>
      </c>
      <c r="L33" s="2" t="n">
        <f>HYPERLINK("https://globaldossier.uspto.gov/result/application/US/17525359/1","US20220149656")</f>
        <v>0.0</v>
      </c>
      <c r="M33" t="s">
        <v>268</v>
      </c>
      <c r="N33" t="s">
        <v>269</v>
      </c>
      <c r="O33" t="s">
        <v>270</v>
      </c>
      <c r="P33" t="s">
        <v>271</v>
      </c>
      <c r="Q33" s="3" t="n">
        <v>44512.0</v>
      </c>
      <c r="R33" s="3" t="n">
        <v>44693.0</v>
      </c>
      <c r="S33" s="3" t="n">
        <v>44694.23058106482</v>
      </c>
      <c r="T33" s="3" t="n">
        <v>44697.75016193287</v>
      </c>
      <c r="U33" t="s">
        <v>31</v>
      </c>
      <c r="V33" t="s">
        <v>272</v>
      </c>
    </row>
    <row r="34">
      <c r="A34" t="s">
        <v>22</v>
      </c>
      <c r="B34" t="s">
        <v>273</v>
      </c>
      <c r="C34" t="s">
        <v>24</v>
      </c>
      <c r="D34" t="s">
        <v>25</v>
      </c>
      <c r="E34" t="s">
        <v>274</v>
      </c>
      <c r="F34" s="2" t="n">
        <f>HYPERLINK("https://patents.google.com/patent/US20220148172","Google")</f>
        <v>0.0</v>
      </c>
      <c r="G34" s="2" t="n">
        <f>HYPERLINK("https://patentcenter.uspto.gov/applications/17519353","Patent Center")</f>
        <v>0.0</v>
      </c>
      <c r="H34" s="2" t="n">
        <f>HYPERLINK("https://worldwide.espacenet.com/patent/search?q=US20220148172","Espacenet")</f>
        <v>0.0</v>
      </c>
      <c r="I34" s="2" t="n">
        <f>HYPERLINK("https://ppubs.uspto.gov/pubwebapp/external.html?q=20220148172.pn.","USPTO")</f>
        <v>0.0</v>
      </c>
      <c r="J34" s="2" t="n">
        <f>HYPERLINK("https://image-ppubs.uspto.gov/dirsearch-public/print/downloadPdf/20220148172","USPTO PDF")</f>
        <v>0.0</v>
      </c>
      <c r="K34" s="2" t="n">
        <f>HYPERLINK("https://sectors.patentforecast.com/pmd/US20220148172","PMD")</f>
        <v>0.0</v>
      </c>
      <c r="L34" s="2" t="n">
        <f>HYPERLINK("https://globaldossier.uspto.gov/result/application/US/17519353/1","US20220148172")</f>
        <v>0.0</v>
      </c>
      <c r="M34" t="s">
        <v>275</v>
      </c>
      <c r="N34" t="s">
        <v>276</v>
      </c>
      <c r="O34" t="s">
        <v>276</v>
      </c>
      <c r="P34" t="s">
        <v>277</v>
      </c>
      <c r="Q34" s="3" t="n">
        <v>44504.0</v>
      </c>
      <c r="R34" s="3" t="n">
        <v>44693.0</v>
      </c>
      <c r="S34" s="3" t="n">
        <v>44694.23658773148</v>
      </c>
      <c r="T34" s="3" t="n">
        <v>44698.34349020833</v>
      </c>
      <c r="U34" t="s">
        <v>278</v>
      </c>
      <c r="V34" t="s">
        <v>279</v>
      </c>
    </row>
    <row r="35">
      <c r="A35" t="s">
        <v>22</v>
      </c>
      <c r="B35" t="s">
        <v>280</v>
      </c>
      <c r="C35" t="s">
        <v>24</v>
      </c>
      <c r="D35" t="s">
        <v>258</v>
      </c>
      <c r="E35" t="s">
        <v>281</v>
      </c>
      <c r="F35" s="2" t="n">
        <f>HYPERLINK("https://patents.google.com/patent/US20220147996","Google")</f>
        <v>0.0</v>
      </c>
      <c r="G35" s="2" t="n">
        <f>HYPERLINK("https://patentcenter.uspto.gov/applications/17511272","Patent Center")</f>
        <v>0.0</v>
      </c>
      <c r="H35" s="2" t="n">
        <f>HYPERLINK("https://worldwide.espacenet.com/patent/search?q=US20220147996","Espacenet")</f>
        <v>0.0</v>
      </c>
      <c r="I35" s="2" t="n">
        <f>HYPERLINK("https://ppubs.uspto.gov/pubwebapp/external.html?q=20220147996.pn.","USPTO")</f>
        <v>0.0</v>
      </c>
      <c r="J35" s="2" t="n">
        <f>HYPERLINK("https://image-ppubs.uspto.gov/dirsearch-public/print/downloadPdf/20220147996","USPTO PDF")</f>
        <v>0.0</v>
      </c>
      <c r="K35" s="2" t="n">
        <f>HYPERLINK("https://sectors.patentforecast.com/pmd/US20220147996","PMD")</f>
        <v>0.0</v>
      </c>
      <c r="L35" s="2" t="n">
        <f>HYPERLINK("https://globaldossier.uspto.gov/result/application/US/17511272/1","US20220147996")</f>
        <v>0.0</v>
      </c>
      <c r="M35" t="s">
        <v>282</v>
      </c>
      <c r="N35" t="s">
        <v>283</v>
      </c>
      <c r="O35" t="s">
        <v>284</v>
      </c>
      <c r="P35" t="s">
        <v>285</v>
      </c>
      <c r="Q35" s="3" t="n">
        <v>44495.0</v>
      </c>
      <c r="R35" s="3" t="n">
        <v>44693.0</v>
      </c>
      <c r="S35" s="3" t="n">
        <v>44694.23058106482</v>
      </c>
      <c r="T35" s="3" t="n">
        <v>44698.344060324074</v>
      </c>
      <c r="U35" t="s">
        <v>286</v>
      </c>
      <c r="V35" t="s">
        <v>287</v>
      </c>
    </row>
    <row r="36">
      <c r="A36" t="s">
        <v>22</v>
      </c>
      <c r="B36" t="s">
        <v>288</v>
      </c>
      <c r="C36" t="s">
        <v>24</v>
      </c>
      <c r="D36" t="s">
        <v>289</v>
      </c>
      <c r="E36" t="s">
        <v>290</v>
      </c>
      <c r="F36" s="2" t="n">
        <f>HYPERLINK("https://patents.google.com/patent/US20220147972","Google")</f>
        <v>0.0</v>
      </c>
      <c r="G36" s="2" t="n">
        <f>HYPERLINK("https://patentcenter.uspto.gov/applications/17480542","Patent Center")</f>
        <v>0.0</v>
      </c>
      <c r="H36" s="2" t="n">
        <f>HYPERLINK("https://worldwide.espacenet.com/patent/search?q=US20220147972","Espacenet")</f>
        <v>0.0</v>
      </c>
      <c r="I36" s="2" t="n">
        <f>HYPERLINK("https://ppubs.uspto.gov/pubwebapp/external.html?q=20220147972.pn.","USPTO")</f>
        <v>0.0</v>
      </c>
      <c r="J36" s="2" t="n">
        <f>HYPERLINK("https://image-ppubs.uspto.gov/dirsearch-public/print/downloadPdf/20220147972","USPTO PDF")</f>
        <v>0.0</v>
      </c>
      <c r="K36" s="2" t="n">
        <f>HYPERLINK("https://sectors.patentforecast.com/pmd/US20220147972","PMD")</f>
        <v>0.0</v>
      </c>
      <c r="L36" s="2" t="n">
        <f>HYPERLINK("https://globaldossier.uspto.gov/result/application/US/17480542/1","US20220147972")</f>
        <v>0.0</v>
      </c>
      <c r="M36" t="s">
        <v>291</v>
      </c>
      <c r="N36" t="s">
        <v>292</v>
      </c>
      <c r="O36" t="s">
        <v>292</v>
      </c>
      <c r="P36" t="s">
        <v>293</v>
      </c>
      <c r="Q36" s="3" t="n">
        <v>44460.0</v>
      </c>
      <c r="R36" s="3" t="n">
        <v>44693.0</v>
      </c>
      <c r="S36" s="3" t="n">
        <v>44694.23058106482</v>
      </c>
      <c r="T36" s="3" t="n">
        <v>44698.34475653935</v>
      </c>
      <c r="U36" t="s">
        <v>294</v>
      </c>
      <c r="V36" t="s">
        <v>295</v>
      </c>
    </row>
    <row r="37">
      <c r="A37" t="s">
        <v>22</v>
      </c>
      <c r="B37" t="s">
        <v>296</v>
      </c>
      <c r="C37" t="s">
        <v>24</v>
      </c>
      <c r="D37" t="s">
        <v>25</v>
      </c>
      <c r="E37" t="s">
        <v>297</v>
      </c>
      <c r="F37" s="2" t="n">
        <f>HYPERLINK("https://patents.google.com/patent/US20220147750","Google")</f>
        <v>0.0</v>
      </c>
      <c r="G37" s="2" t="n">
        <f>HYPERLINK("https://patentcenter.uspto.gov/applications/17518921","Patent Center")</f>
        <v>0.0</v>
      </c>
      <c r="H37" s="2" t="n">
        <f>HYPERLINK("https://worldwide.espacenet.com/patent/search?q=US20220147750","Espacenet")</f>
        <v>0.0</v>
      </c>
      <c r="I37" s="2" t="n">
        <f>HYPERLINK("https://ppubs.uspto.gov/pubwebapp/external.html?q=20220147750.pn.","USPTO")</f>
        <v>0.0</v>
      </c>
      <c r="J37" s="2" t="n">
        <f>HYPERLINK("https://image-ppubs.uspto.gov/dirsearch-public/print/downloadPdf/20220147750","USPTO PDF")</f>
        <v>0.0</v>
      </c>
      <c r="K37" s="2" t="n">
        <f>HYPERLINK("https://sectors.patentforecast.com/pmd/US20220147750","PMD")</f>
        <v>0.0</v>
      </c>
      <c r="L37" s="2" t="n">
        <f>HYPERLINK("https://globaldossier.uspto.gov/result/application/US/17518921/1","US20220147750")</f>
        <v>0.0</v>
      </c>
      <c r="M37" t="s">
        <v>298</v>
      </c>
      <c r="N37" t="s">
        <v>299</v>
      </c>
      <c r="O37" t="s">
        <v>300</v>
      </c>
      <c r="P37" t="s">
        <v>301</v>
      </c>
      <c r="Q37" s="3" t="n">
        <v>44504.0</v>
      </c>
      <c r="R37" s="3" t="n">
        <v>44693.0</v>
      </c>
      <c r="S37" s="3" t="n">
        <v>44694.23058106482</v>
      </c>
      <c r="T37" s="3" t="n">
        <v>44698.34604590278</v>
      </c>
      <c r="U37" t="s">
        <v>302</v>
      </c>
      <c r="V37" t="s">
        <v>303</v>
      </c>
    </row>
    <row r="38">
      <c r="A38" t="s">
        <v>22</v>
      </c>
      <c r="B38" t="s">
        <v>304</v>
      </c>
      <c r="C38" t="s">
        <v>24</v>
      </c>
      <c r="D38" t="s">
        <v>25</v>
      </c>
      <c r="E38" t="s">
        <v>305</v>
      </c>
      <c r="F38" s="2" t="n">
        <f>HYPERLINK("https://patents.google.com/patent/US20220147736","Google")</f>
        <v>0.0</v>
      </c>
      <c r="G38" s="2" t="n">
        <f>HYPERLINK("https://patentcenter.uspto.gov/applications/17522901","Patent Center")</f>
        <v>0.0</v>
      </c>
      <c r="H38" s="2" t="n">
        <f>HYPERLINK("https://worldwide.espacenet.com/patent/search?q=US20220147736","Espacenet")</f>
        <v>0.0</v>
      </c>
      <c r="I38" s="2" t="n">
        <f>HYPERLINK("https://ppubs.uspto.gov/pubwebapp/external.html?q=20220147736.pn.","USPTO")</f>
        <v>0.0</v>
      </c>
      <c r="J38" s="2" t="n">
        <f>HYPERLINK("https://image-ppubs.uspto.gov/dirsearch-public/print/downloadPdf/20220147736","USPTO PDF")</f>
        <v>0.0</v>
      </c>
      <c r="K38" s="2" t="n">
        <f>HYPERLINK("https://sectors.patentforecast.com/pmd/US20220147736","PMD")</f>
        <v>0.0</v>
      </c>
      <c r="L38" s="2" t="n">
        <f>HYPERLINK("https://globaldossier.uspto.gov/result/application/US/17522901/1","US20220147736")</f>
        <v>0.0</v>
      </c>
      <c r="M38" t="s">
        <v>306</v>
      </c>
      <c r="N38" t="s">
        <v>307</v>
      </c>
      <c r="O38" t="s">
        <v>308</v>
      </c>
      <c r="P38" t="s">
        <v>309</v>
      </c>
      <c r="Q38" s="3" t="n">
        <v>44509.0</v>
      </c>
      <c r="R38" s="3" t="n">
        <v>44693.0</v>
      </c>
      <c r="S38" s="3" t="n">
        <v>44694.23058106482</v>
      </c>
      <c r="T38" s="3" t="n">
        <v>44698.34676775463</v>
      </c>
      <c r="U38" t="s">
        <v>31</v>
      </c>
      <c r="V38" t="s">
        <v>310</v>
      </c>
    </row>
    <row r="39">
      <c r="A39" t="s">
        <v>22</v>
      </c>
      <c r="B39" t="s">
        <v>311</v>
      </c>
      <c r="C39" t="s">
        <v>312</v>
      </c>
      <c r="D39" t="s">
        <v>313</v>
      </c>
      <c r="E39" t="s">
        <v>314</v>
      </c>
      <c r="F39" s="2" t="n">
        <f>HYPERLINK("https://patents.google.com/patent/US20220147703","Google")</f>
        <v>0.0</v>
      </c>
      <c r="G39" s="2" t="n">
        <f>HYPERLINK("https://patentcenter.uspto.gov/applications/17521375","Patent Center")</f>
        <v>0.0</v>
      </c>
      <c r="H39" s="2" t="n">
        <f>HYPERLINK("https://worldwide.espacenet.com/patent/search?q=US20220147703","Espacenet")</f>
        <v>0.0</v>
      </c>
      <c r="I39" s="2" t="n">
        <f>HYPERLINK("https://ppubs.uspto.gov/pubwebapp/external.html?q=20220147703.pn.","USPTO")</f>
        <v>0.0</v>
      </c>
      <c r="J39" s="2" t="n">
        <f>HYPERLINK("https://image-ppubs.uspto.gov/dirsearch-public/print/downloadPdf/20220147703","USPTO PDF")</f>
        <v>0.0</v>
      </c>
      <c r="K39" s="2" t="n">
        <f>HYPERLINK("https://sectors.patentforecast.com/pmd/US20220147703","PMD")</f>
        <v>0.0</v>
      </c>
      <c r="L39" s="2" t="n">
        <f>HYPERLINK("https://globaldossier.uspto.gov/result/application/US/17521375/1","US20220147703")</f>
        <v>0.0</v>
      </c>
      <c r="M39" t="s">
        <v>315</v>
      </c>
      <c r="N39" t="s">
        <v>316</v>
      </c>
      <c r="O39" t="s">
        <v>317</v>
      </c>
      <c r="P39" t="s">
        <v>318</v>
      </c>
      <c r="Q39" s="3" t="n">
        <v>44508.0</v>
      </c>
      <c r="R39" s="3" t="n">
        <v>44693.0</v>
      </c>
      <c r="S39" s="3" t="n">
        <v>44694.22953638889</v>
      </c>
      <c r="T39" s="3" t="n">
        <v>44698.34766171296</v>
      </c>
      <c r="U39" t="s">
        <v>31</v>
      </c>
      <c r="V39" t="s">
        <v>319</v>
      </c>
    </row>
    <row r="40">
      <c r="A40" t="s">
        <v>22</v>
      </c>
      <c r="B40" t="s">
        <v>320</v>
      </c>
      <c r="C40" t="s">
        <v>312</v>
      </c>
      <c r="D40" t="s">
        <v>313</v>
      </c>
      <c r="E40" t="s">
        <v>321</v>
      </c>
      <c r="F40" s="2" t="n">
        <f>HYPERLINK("https://patents.google.com/patent/US20220147457","Google")</f>
        <v>0.0</v>
      </c>
      <c r="G40" s="2" t="n">
        <f>HYPERLINK("https://patentcenter.uspto.gov/applications/17095109","Patent Center")</f>
        <v>0.0</v>
      </c>
      <c r="H40" s="2" t="n">
        <f>HYPERLINK("https://worldwide.espacenet.com/patent/search?q=US20220147457","Espacenet")</f>
        <v>0.0</v>
      </c>
      <c r="I40" s="2" t="n">
        <f>HYPERLINK("https://ppubs.uspto.gov/pubwebapp/external.html?q=20220147457.pn.","USPTO")</f>
        <v>0.0</v>
      </c>
      <c r="J40" s="2" t="n">
        <f>HYPERLINK("https://image-ppubs.uspto.gov/dirsearch-public/print/downloadPdf/20220147457","USPTO PDF")</f>
        <v>0.0</v>
      </c>
      <c r="K40" s="2" t="n">
        <f>HYPERLINK("https://sectors.patentforecast.com/pmd/US20220147457","PMD")</f>
        <v>0.0</v>
      </c>
      <c r="L40" s="2" t="n">
        <f>HYPERLINK("https://globaldossier.uspto.gov/result/application/US/17095109/1","US20220147457")</f>
        <v>0.0</v>
      </c>
      <c r="M40" t="s">
        <v>322</v>
      </c>
      <c r="N40" t="s">
        <v>323</v>
      </c>
      <c r="O40" t="s">
        <v>324</v>
      </c>
      <c r="P40" t="s">
        <v>325</v>
      </c>
      <c r="Q40" s="3" t="n">
        <v>44146.0</v>
      </c>
      <c r="R40" s="3" t="n">
        <v>44693.0</v>
      </c>
      <c r="S40" s="3" t="n">
        <v>44694.23058106482</v>
      </c>
      <c r="T40" s="3" t="n">
        <v>44698.34879023148</v>
      </c>
      <c r="U40" t="s">
        <v>31</v>
      </c>
      <c r="V40" t="s">
        <v>326</v>
      </c>
    </row>
    <row r="41">
      <c r="A41" t="s">
        <v>22</v>
      </c>
      <c r="B41" t="s">
        <v>327</v>
      </c>
      <c r="C41" t="s">
        <v>24</v>
      </c>
      <c r="D41" t="s">
        <v>25</v>
      </c>
      <c r="E41" t="s">
        <v>328</v>
      </c>
      <c r="F41" s="2" t="n">
        <f>HYPERLINK("https://patents.google.com/patent/US20220146508","Google")</f>
        <v>0.0</v>
      </c>
      <c r="G41" s="2" t="n">
        <f>HYPERLINK("https://patentcenter.uspto.gov/applications/17518693","Patent Center")</f>
        <v>0.0</v>
      </c>
      <c r="H41" s="2" t="n">
        <f>HYPERLINK("https://worldwide.espacenet.com/patent/search?q=US20220146508","Espacenet")</f>
        <v>0.0</v>
      </c>
      <c r="I41" s="2" t="n">
        <f>HYPERLINK("https://ppubs.uspto.gov/pubwebapp/external.html?q=20220146508.pn.","USPTO")</f>
        <v>0.0</v>
      </c>
      <c r="J41" s="2" t="n">
        <f>HYPERLINK("https://image-ppubs.uspto.gov/dirsearch-public/print/downloadPdf/20220146508","USPTO PDF")</f>
        <v>0.0</v>
      </c>
      <c r="K41" s="2" t="n">
        <f>HYPERLINK("https://sectors.patentforecast.com/pmd/US20220146508","PMD")</f>
        <v>0.0</v>
      </c>
      <c r="L41" s="2" t="n">
        <f>HYPERLINK("https://globaldossier.uspto.gov/result/application/US/17518693/1","US20220146508")</f>
        <v>0.0</v>
      </c>
      <c r="M41" t="s">
        <v>329</v>
      </c>
      <c r="N41" t="s">
        <v>330</v>
      </c>
      <c r="O41" t="s">
        <v>331</v>
      </c>
      <c r="P41" t="s">
        <v>332</v>
      </c>
      <c r="Q41" s="3" t="n">
        <v>44504.0</v>
      </c>
      <c r="R41" s="3" t="n">
        <v>44693.0</v>
      </c>
      <c r="S41" s="3" t="n">
        <v>44694.23058106482</v>
      </c>
      <c r="T41" s="3" t="n">
        <v>44698.34972950231</v>
      </c>
      <c r="U41" t="s">
        <v>333</v>
      </c>
      <c r="V41" t="s">
        <v>334</v>
      </c>
    </row>
    <row r="42">
      <c r="A42" t="s">
        <v>22</v>
      </c>
      <c r="B42" t="s">
        <v>335</v>
      </c>
      <c r="C42" t="s">
        <v>24</v>
      </c>
      <c r="D42" t="s">
        <v>25</v>
      </c>
      <c r="E42" t="s">
        <v>336</v>
      </c>
      <c r="F42" s="2" t="n">
        <f>HYPERLINK("https://patents.google.com/patent/US20220146494","Google")</f>
        <v>0.0</v>
      </c>
      <c r="G42" s="2" t="n">
        <f>HYPERLINK("https://patentcenter.uspto.gov/applications/17094322","Patent Center")</f>
        <v>0.0</v>
      </c>
      <c r="H42" s="2" t="n">
        <f>HYPERLINK("https://worldwide.espacenet.com/patent/search?q=US20220146494","Espacenet")</f>
        <v>0.0</v>
      </c>
      <c r="I42" s="2" t="n">
        <f>HYPERLINK("https://ppubs.uspto.gov/pubwebapp/external.html?q=20220146494.pn.","USPTO")</f>
        <v>0.0</v>
      </c>
      <c r="J42" s="2" t="n">
        <f>HYPERLINK("https://image-ppubs.uspto.gov/dirsearch-public/print/downloadPdf/20220146494","USPTO PDF")</f>
        <v>0.0</v>
      </c>
      <c r="K42" s="2" t="n">
        <f>HYPERLINK("https://sectors.patentforecast.com/pmd/US20220146494","PMD")</f>
        <v>0.0</v>
      </c>
      <c r="L42" s="2" t="n">
        <f>HYPERLINK("https://globaldossier.uspto.gov/result/application/US/17094322/1","US20220146494")</f>
        <v>0.0</v>
      </c>
      <c r="M42" t="s">
        <v>337</v>
      </c>
      <c r="N42" t="s">
        <v>338</v>
      </c>
      <c r="O42" t="s">
        <v>339</v>
      </c>
      <c r="P42" t="s">
        <v>340</v>
      </c>
      <c r="Q42" s="3" t="n">
        <v>44145.0</v>
      </c>
      <c r="R42" s="3" t="n">
        <v>44693.0</v>
      </c>
      <c r="S42" s="3" t="n">
        <v>44694.23058106482</v>
      </c>
      <c r="T42" s="3" t="n">
        <v>44698.350385046295</v>
      </c>
      <c r="U42" t="s">
        <v>341</v>
      </c>
      <c r="V42" t="s">
        <v>342</v>
      </c>
    </row>
    <row r="43">
      <c r="A43" t="s">
        <v>22</v>
      </c>
      <c r="B43" t="s">
        <v>343</v>
      </c>
      <c r="C43" t="s">
        <v>24</v>
      </c>
      <c r="D43" t="s">
        <v>25</v>
      </c>
      <c r="E43" t="s">
        <v>344</v>
      </c>
      <c r="F43" s="2" t="n">
        <f>HYPERLINK("https://patents.google.com/patent/US20220146451","Google")</f>
        <v>0.0</v>
      </c>
      <c r="G43" s="2" t="n">
        <f>HYPERLINK("https://patentcenter.uspto.gov/applications/17522421","Patent Center")</f>
        <v>0.0</v>
      </c>
      <c r="H43" s="2" t="n">
        <f>HYPERLINK("https://worldwide.espacenet.com/patent/search?q=US20220146451","Espacenet")</f>
        <v>0.0</v>
      </c>
      <c r="I43" s="2" t="n">
        <f>HYPERLINK("https://ppubs.uspto.gov/pubwebapp/external.html?q=20220146451.pn.","USPTO")</f>
        <v>0.0</v>
      </c>
      <c r="J43" s="2" t="n">
        <f>HYPERLINK("https://image-ppubs.uspto.gov/dirsearch-public/print/downloadPdf/20220146451","USPTO PDF")</f>
        <v>0.0</v>
      </c>
      <c r="K43" s="2" t="n">
        <f>HYPERLINK("https://sectors.patentforecast.com/pmd/US20220146451","PMD")</f>
        <v>0.0</v>
      </c>
      <c r="L43" s="2" t="n">
        <f>HYPERLINK("https://globaldossier.uspto.gov/result/application/US/17522421/1","US20220146451")</f>
        <v>0.0</v>
      </c>
      <c r="M43" t="s">
        <v>345</v>
      </c>
      <c r="N43" t="s">
        <v>346</v>
      </c>
      <c r="O43" t="s">
        <v>346</v>
      </c>
      <c r="P43" t="s">
        <v>347</v>
      </c>
      <c r="Q43" s="3" t="n">
        <v>44509.0</v>
      </c>
      <c r="R43" s="3" t="n">
        <v>44693.0</v>
      </c>
      <c r="S43" s="3" t="n">
        <v>44694.23058106482</v>
      </c>
      <c r="T43" s="3" t="n">
        <v>44698.35089321759</v>
      </c>
      <c r="U43" t="s">
        <v>31</v>
      </c>
      <c r="V43" t="s">
        <v>348</v>
      </c>
    </row>
    <row r="44">
      <c r="A44" t="s">
        <v>22</v>
      </c>
      <c r="B44" t="s">
        <v>349</v>
      </c>
      <c r="C44" t="s">
        <v>24</v>
      </c>
      <c r="D44" t="s">
        <v>25</v>
      </c>
      <c r="E44" t="s">
        <v>350</v>
      </c>
      <c r="F44" s="2" t="n">
        <f>HYPERLINK("https://patents.google.com/patent/US20220146415","Google")</f>
        <v>0.0</v>
      </c>
      <c r="G44" s="2" t="n">
        <f>HYPERLINK("https://patentcenter.uspto.gov/applications/17523739","Patent Center")</f>
        <v>0.0</v>
      </c>
      <c r="H44" s="2" t="n">
        <f>HYPERLINK("https://worldwide.espacenet.com/patent/search?q=US20220146415","Espacenet")</f>
        <v>0.0</v>
      </c>
      <c r="I44" s="2" t="n">
        <f>HYPERLINK("https://ppubs.uspto.gov/pubwebapp/external.html?q=20220146415.pn.","USPTO")</f>
        <v>0.0</v>
      </c>
      <c r="J44" s="2" t="n">
        <f>HYPERLINK("https://image-ppubs.uspto.gov/dirsearch-public/print/downloadPdf/20220146415","USPTO PDF")</f>
        <v>0.0</v>
      </c>
      <c r="K44" s="2" t="n">
        <f>HYPERLINK("https://sectors.patentforecast.com/pmd/US20220146415","PMD")</f>
        <v>0.0</v>
      </c>
      <c r="L44" s="2" t="n">
        <f>HYPERLINK("https://globaldossier.uspto.gov/result/application/US/17523739/1","US20220146415")</f>
        <v>0.0</v>
      </c>
      <c r="M44" t="s">
        <v>351</v>
      </c>
      <c r="N44" t="s">
        <v>352</v>
      </c>
      <c r="O44" t="s">
        <v>353</v>
      </c>
      <c r="P44" t="s">
        <v>354</v>
      </c>
      <c r="Q44" s="3" t="n">
        <v>44510.0</v>
      </c>
      <c r="R44" s="3" t="n">
        <v>44693.0</v>
      </c>
      <c r="S44" s="3" t="n">
        <v>44694.23058106482</v>
      </c>
      <c r="T44" s="3" t="n">
        <v>44698.35163946759</v>
      </c>
      <c r="U44" t="s">
        <v>31</v>
      </c>
      <c r="V44" t="s">
        <v>355</v>
      </c>
    </row>
    <row r="45">
      <c r="A45" t="s">
        <v>22</v>
      </c>
      <c r="B45" t="s">
        <v>356</v>
      </c>
      <c r="C45" t="s">
        <v>24</v>
      </c>
      <c r="D45" t="s">
        <v>69</v>
      </c>
      <c r="E45" t="s">
        <v>357</v>
      </c>
      <c r="F45" s="2" t="n">
        <f>HYPERLINK("https://patents.google.com/patent/US20220145501","Google")</f>
        <v>0.0</v>
      </c>
      <c r="G45" s="2" t="n">
        <f>HYPERLINK("https://patentcenter.uspto.gov/applications/17523040","Patent Center")</f>
        <v>0.0</v>
      </c>
      <c r="H45" s="2" t="n">
        <f>HYPERLINK("https://worldwide.espacenet.com/patent/search?q=US20220145501","Espacenet")</f>
        <v>0.0</v>
      </c>
      <c r="I45" s="2" t="n">
        <f>HYPERLINK("https://ppubs.uspto.gov/pubwebapp/external.html?q=20220145501.pn.","USPTO")</f>
        <v>0.0</v>
      </c>
      <c r="J45" s="2" t="n">
        <f>HYPERLINK("https://image-ppubs.uspto.gov/dirsearch-public/print/downloadPdf/20220145501","USPTO PDF")</f>
        <v>0.0</v>
      </c>
      <c r="K45" s="2" t="n">
        <f>HYPERLINK("https://sectors.patentforecast.com/pmd/US20220145501","PMD")</f>
        <v>0.0</v>
      </c>
      <c r="L45" s="2" t="n">
        <f>HYPERLINK("https://globaldossier.uspto.gov/result/application/US/17523040/1","US20220145501")</f>
        <v>0.0</v>
      </c>
      <c r="M45" t="s">
        <v>358</v>
      </c>
      <c r="N45" t="s">
        <v>359</v>
      </c>
      <c r="O45" t="s">
        <v>360</v>
      </c>
      <c r="P45" t="s">
        <v>361</v>
      </c>
      <c r="Q45" s="3" t="n">
        <v>44510.0</v>
      </c>
      <c r="R45" s="3" t="n">
        <v>44693.0</v>
      </c>
      <c r="S45" s="3" t="n">
        <v>44694.23058106482</v>
      </c>
      <c r="T45" s="3" t="n">
        <v>44698.35240122685</v>
      </c>
      <c r="U45" t="s">
        <v>362</v>
      </c>
      <c r="V45" t="s">
        <v>363</v>
      </c>
    </row>
    <row r="46">
      <c r="A46" t="s">
        <v>22</v>
      </c>
      <c r="B46" t="s">
        <v>364</v>
      </c>
      <c r="C46" t="s">
        <v>24</v>
      </c>
      <c r="D46" t="s">
        <v>365</v>
      </c>
      <c r="E46" t="s">
        <v>366</v>
      </c>
      <c r="F46" s="2" t="n">
        <f>HYPERLINK("https://patents.google.com/patent/US20220145405","Google")</f>
        <v>0.0</v>
      </c>
      <c r="G46" s="2" t="n">
        <f>HYPERLINK("https://patentcenter.uspto.gov/applications/17094190","Patent Center")</f>
        <v>0.0</v>
      </c>
      <c r="H46" s="2" t="n">
        <f>HYPERLINK("https://worldwide.espacenet.com/patent/search?q=US20220145405","Espacenet")</f>
        <v>0.0</v>
      </c>
      <c r="I46" s="2" t="n">
        <f>HYPERLINK("https://ppubs.uspto.gov/pubwebapp/external.html?q=20220145405.pn.","USPTO")</f>
        <v>0.0</v>
      </c>
      <c r="J46" s="2" t="n">
        <f>HYPERLINK("https://image-ppubs.uspto.gov/dirsearch-public/print/downloadPdf/20220145405","USPTO PDF")</f>
        <v>0.0</v>
      </c>
      <c r="K46" s="2" t="n">
        <f>HYPERLINK("https://sectors.patentforecast.com/pmd/US20220145405","PMD")</f>
        <v>0.0</v>
      </c>
      <c r="L46" s="2" t="n">
        <f>HYPERLINK("https://globaldossier.uspto.gov/result/application/US/17094190/1","US20220145405")</f>
        <v>0.0</v>
      </c>
      <c r="M46" t="s">
        <v>367</v>
      </c>
      <c r="N46" t="s">
        <v>368</v>
      </c>
      <c r="O46" t="s">
        <v>369</v>
      </c>
      <c r="P46" t="s">
        <v>370</v>
      </c>
      <c r="Q46" s="3" t="n">
        <v>44145.0</v>
      </c>
      <c r="R46" s="3" t="n">
        <v>44693.0</v>
      </c>
      <c r="S46" s="3" t="n">
        <v>44694.23058106482</v>
      </c>
      <c r="T46" s="3" t="n">
        <v>44698.35382309028</v>
      </c>
      <c r="U46" t="s">
        <v>31</v>
      </c>
      <c r="V46" t="s">
        <v>371</v>
      </c>
    </row>
    <row r="47">
      <c r="A47" t="s">
        <v>22</v>
      </c>
      <c r="B47" t="s">
        <v>372</v>
      </c>
      <c r="C47" t="s">
        <v>24</v>
      </c>
      <c r="D47" t="s">
        <v>373</v>
      </c>
      <c r="E47" t="s">
        <v>374</v>
      </c>
      <c r="F47" s="2" t="n">
        <f>HYPERLINK("https://patents.google.com/patent/US20220145351","Google")</f>
        <v>0.0</v>
      </c>
      <c r="G47" s="2" t="n">
        <f>HYPERLINK("https://patentcenter.uspto.gov/applications/17520070","Patent Center")</f>
        <v>0.0</v>
      </c>
      <c r="H47" s="2" t="n">
        <f>HYPERLINK("https://worldwide.espacenet.com/patent/search?q=US20220145351","Espacenet")</f>
        <v>0.0</v>
      </c>
      <c r="I47" s="2" t="n">
        <f>HYPERLINK("https://ppubs.uspto.gov/pubwebapp/external.html?q=20220145351.pn.","USPTO")</f>
        <v>0.0</v>
      </c>
      <c r="J47" s="2" t="n">
        <f>HYPERLINK("https://image-ppubs.uspto.gov/dirsearch-public/print/downloadPdf/20220145351","USPTO PDF")</f>
        <v>0.0</v>
      </c>
      <c r="K47" s="2" t="n">
        <f>HYPERLINK("https://sectors.patentforecast.com/pmd/US20220145351","PMD")</f>
        <v>0.0</v>
      </c>
      <c r="L47" s="2" t="n">
        <f>HYPERLINK("https://globaldossier.uspto.gov/result/application/US/17520070/1","US20220145351")</f>
        <v>0.0</v>
      </c>
      <c r="M47" t="s">
        <v>375</v>
      </c>
      <c r="N47" t="s">
        <v>376</v>
      </c>
      <c r="O47" t="s">
        <v>377</v>
      </c>
      <c r="P47" t="s">
        <v>378</v>
      </c>
      <c r="Q47" s="3" t="n">
        <v>44505.0</v>
      </c>
      <c r="R47" s="3" t="n">
        <v>44693.0</v>
      </c>
      <c r="S47" s="3" t="n">
        <v>44694.23058106482</v>
      </c>
      <c r="T47" s="3" t="n">
        <v>44698.358660729165</v>
      </c>
      <c r="U47" t="s">
        <v>31</v>
      </c>
      <c r="V47" t="s">
        <v>379</v>
      </c>
    </row>
    <row r="48">
      <c r="A48" t="s">
        <v>22</v>
      </c>
      <c r="B48" t="s">
        <v>380</v>
      </c>
      <c r="C48" t="s">
        <v>381</v>
      </c>
      <c r="D48" t="s">
        <v>382</v>
      </c>
      <c r="E48" t="s">
        <v>383</v>
      </c>
      <c r="F48" s="2" t="n">
        <f>HYPERLINK("https://patents.google.com/patent/US20220145333","Google")</f>
        <v>0.0</v>
      </c>
      <c r="G48" s="2" t="n">
        <f>HYPERLINK("https://patentcenter.uspto.gov/applications/17438039","Patent Center")</f>
        <v>0.0</v>
      </c>
      <c r="H48" s="2" t="n">
        <f>HYPERLINK("https://worldwide.espacenet.com/patent/search?q=US20220145333","Espacenet")</f>
        <v>0.0</v>
      </c>
      <c r="I48" s="2" t="n">
        <f>HYPERLINK("https://ppubs.uspto.gov/pubwebapp/external.html?q=20220145333.pn.","USPTO")</f>
        <v>0.0</v>
      </c>
      <c r="J48" s="2" t="n">
        <f>HYPERLINK("https://image-ppubs.uspto.gov/dirsearch-public/print/downloadPdf/20220145333","USPTO PDF")</f>
        <v>0.0</v>
      </c>
      <c r="K48" s="2" t="n">
        <f>HYPERLINK("https://sectors.patentforecast.com/pmd/US20220145333","PMD")</f>
        <v>0.0</v>
      </c>
      <c r="L48" s="2" t="n">
        <f>HYPERLINK("https://globaldossier.uspto.gov/result/application/US/17438039/1","US20220145333")</f>
        <v>0.0</v>
      </c>
      <c r="M48" t="s">
        <v>384</v>
      </c>
      <c r="N48" t="s">
        <v>385</v>
      </c>
      <c r="O48" t="s">
        <v>386</v>
      </c>
      <c r="P48" t="s">
        <v>387</v>
      </c>
      <c r="Q48" s="3" t="n">
        <v>43901.0</v>
      </c>
      <c r="R48" s="3" t="n">
        <v>44693.0</v>
      </c>
      <c r="S48" s="3" t="n">
        <v>44694.235782523145</v>
      </c>
      <c r="T48" s="3" t="n">
        <v>44698.360763530094</v>
      </c>
      <c r="U48" t="s">
        <v>31</v>
      </c>
      <c r="V48" t="s">
        <v>388</v>
      </c>
    </row>
    <row r="49">
      <c r="A49" t="s">
        <v>22</v>
      </c>
      <c r="B49" t="s">
        <v>389</v>
      </c>
      <c r="C49" t="s">
        <v>132</v>
      </c>
      <c r="D49" t="s">
        <v>390</v>
      </c>
      <c r="E49" t="s">
        <v>391</v>
      </c>
      <c r="F49" s="2" t="n">
        <f>HYPERLINK("https://patents.google.com/patent/US20220145309","Google")</f>
        <v>0.0</v>
      </c>
      <c r="G49" s="2" t="n">
        <f>HYPERLINK("https://patentcenter.uspto.gov/applications/17612179","Patent Center")</f>
        <v>0.0</v>
      </c>
      <c r="H49" s="2" t="n">
        <f>HYPERLINK("https://worldwide.espacenet.com/patent/search?q=US20220145309","Espacenet")</f>
        <v>0.0</v>
      </c>
      <c r="I49" s="2" t="n">
        <f>HYPERLINK("https://ppubs.uspto.gov/pubwebapp/external.html?q=20220145309.pn.","USPTO")</f>
        <v>0.0</v>
      </c>
      <c r="J49" s="2" t="n">
        <f>HYPERLINK("https://image-ppubs.uspto.gov/dirsearch-public/print/downloadPdf/20220145309","USPTO PDF")</f>
        <v>0.0</v>
      </c>
      <c r="K49" s="2" t="n">
        <f>HYPERLINK("https://sectors.patentforecast.com/pmd/US20220145309","PMD")</f>
        <v>0.0</v>
      </c>
      <c r="L49" s="2" t="n">
        <f>HYPERLINK("https://globaldossier.uspto.gov/result/application/US/17612179/1","US20220145309")</f>
        <v>0.0</v>
      </c>
      <c r="M49" t="s">
        <v>392</v>
      </c>
      <c r="N49" t="s">
        <v>393</v>
      </c>
      <c r="O49" t="s">
        <v>394</v>
      </c>
      <c r="P49" t="s">
        <v>395</v>
      </c>
      <c r="Q49" s="3" t="n">
        <v>43972.0</v>
      </c>
      <c r="R49" s="3" t="n">
        <v>44693.0</v>
      </c>
      <c r="S49" s="3" t="n">
        <v>44694.23058106482</v>
      </c>
      <c r="T49" s="3" t="n">
        <v>44698.36468219908</v>
      </c>
      <c r="U49" t="s">
        <v>396</v>
      </c>
      <c r="V49" t="s">
        <v>397</v>
      </c>
    </row>
    <row r="50">
      <c r="A50" t="s">
        <v>22</v>
      </c>
      <c r="B50" t="s">
        <v>398</v>
      </c>
      <c r="C50" t="s">
        <v>399</v>
      </c>
      <c r="D50" t="s">
        <v>400</v>
      </c>
      <c r="E50" t="s">
        <v>401</v>
      </c>
      <c r="F50" s="2" t="n">
        <f>HYPERLINK("https://patents.google.com/patent/US20220145301","Google")</f>
        <v>0.0</v>
      </c>
      <c r="G50" s="2" t="n">
        <f>HYPERLINK("https://patentcenter.uspto.gov/applications/17373361","Patent Center")</f>
        <v>0.0</v>
      </c>
      <c r="H50" s="2" t="n">
        <f>HYPERLINK("https://worldwide.espacenet.com/patent/search?q=US20220145301","Espacenet")</f>
        <v>0.0</v>
      </c>
      <c r="I50" s="2" t="n">
        <f>HYPERLINK("https://ppubs.uspto.gov/pubwebapp/external.html?q=20220145301.pn.","USPTO")</f>
        <v>0.0</v>
      </c>
      <c r="J50" s="2" t="n">
        <f>HYPERLINK("https://image-ppubs.uspto.gov/dirsearch-public/print/downloadPdf/20220145301","USPTO PDF")</f>
        <v>0.0</v>
      </c>
      <c r="K50" s="2" t="n">
        <f>HYPERLINK("https://sectors.patentforecast.com/pmd/US20220145301","PMD")</f>
        <v>0.0</v>
      </c>
      <c r="L50" s="2" t="n">
        <f>HYPERLINK("https://globaldossier.uspto.gov/result/application/US/17373361/1","US20220145301")</f>
        <v>0.0</v>
      </c>
      <c r="M50" t="s">
        <v>402</v>
      </c>
      <c r="N50" t="s">
        <v>403</v>
      </c>
      <c r="O50" t="s">
        <v>404</v>
      </c>
      <c r="P50" t="s">
        <v>405</v>
      </c>
      <c r="Q50" s="3" t="n">
        <v>44389.0</v>
      </c>
      <c r="R50" s="3" t="n">
        <v>44693.0</v>
      </c>
      <c r="S50" s="3" t="n">
        <v>44694.233000659726</v>
      </c>
      <c r="T50" s="3" t="n">
        <v>44698.36815611111</v>
      </c>
      <c r="U50" t="s">
        <v>31</v>
      </c>
      <c r="V50" t="s">
        <v>406</v>
      </c>
    </row>
    <row r="51">
      <c r="A51" t="s">
        <v>22</v>
      </c>
      <c r="B51" t="s">
        <v>407</v>
      </c>
      <c r="C51" t="s">
        <v>24</v>
      </c>
      <c r="D51" t="s">
        <v>25</v>
      </c>
      <c r="E51" t="s">
        <v>408</v>
      </c>
      <c r="F51" s="2" t="n">
        <f>HYPERLINK("https://patents.google.com/patent/US20220145290","Google")</f>
        <v>0.0</v>
      </c>
      <c r="G51" s="2" t="n">
        <f>HYPERLINK("https://patentcenter.uspto.gov/applications/17401139","Patent Center")</f>
        <v>0.0</v>
      </c>
      <c r="H51" s="2" t="n">
        <f>HYPERLINK("https://worldwide.espacenet.com/patent/search?q=US20220145290","Espacenet")</f>
        <v>0.0</v>
      </c>
      <c r="I51" s="2" t="n">
        <f>HYPERLINK("https://ppubs.uspto.gov/pubwebapp/external.html?q=20220145290.pn.","USPTO")</f>
        <v>0.0</v>
      </c>
      <c r="J51" s="2" t="n">
        <f>HYPERLINK("https://image-ppubs.uspto.gov/dirsearch-public/print/downloadPdf/20220145290","USPTO PDF")</f>
        <v>0.0</v>
      </c>
      <c r="K51" s="2" t="n">
        <f>HYPERLINK("https://sectors.patentforecast.com/pmd/US20220145290","PMD")</f>
        <v>0.0</v>
      </c>
      <c r="L51" s="2" t="n">
        <f>HYPERLINK("https://globaldossier.uspto.gov/result/application/US/17401139/1","US20220145290")</f>
        <v>0.0</v>
      </c>
      <c r="M51" t="s">
        <v>409</v>
      </c>
      <c r="N51" t="s">
        <v>410</v>
      </c>
      <c r="O51" t="s">
        <v>411</v>
      </c>
      <c r="P51" t="s">
        <v>412</v>
      </c>
      <c r="Q51" s="3" t="n">
        <v>44420.0</v>
      </c>
      <c r="R51" s="3" t="n">
        <v>44693.0</v>
      </c>
      <c r="S51" s="3" t="n">
        <v>44694.23058106482</v>
      </c>
      <c r="T51" s="3" t="n">
        <v>44698.37023412037</v>
      </c>
      <c r="U51" t="s">
        <v>413</v>
      </c>
      <c r="V51" t="s">
        <v>414</v>
      </c>
    </row>
    <row r="52">
      <c r="A52" t="s">
        <v>22</v>
      </c>
      <c r="B52" t="s">
        <v>415</v>
      </c>
      <c r="C52" t="s">
        <v>60</v>
      </c>
      <c r="D52" t="s">
        <v>61</v>
      </c>
      <c r="E52" t="s">
        <v>416</v>
      </c>
      <c r="F52" s="2" t="n">
        <f>HYPERLINK("https://patents.google.com/patent/US20220145287","Google")</f>
        <v>0.0</v>
      </c>
      <c r="G52" s="2" t="n">
        <f>HYPERLINK("https://patentcenter.uspto.gov/applications/17605694","Patent Center")</f>
        <v>0.0</v>
      </c>
      <c r="H52" s="2" t="n">
        <f>HYPERLINK("https://worldwide.espacenet.com/patent/search?q=US20220145287","Espacenet")</f>
        <v>0.0</v>
      </c>
      <c r="I52" s="2" t="n">
        <f>HYPERLINK("https://ppubs.uspto.gov/pubwebapp/external.html?q=20220145287.pn.","USPTO")</f>
        <v>0.0</v>
      </c>
      <c r="J52" s="2" t="n">
        <f>HYPERLINK("https://image-ppubs.uspto.gov/dirsearch-public/print/downloadPdf/20220145287","USPTO PDF")</f>
        <v>0.0</v>
      </c>
      <c r="K52" s="2" t="n">
        <f>HYPERLINK("https://sectors.patentforecast.com/pmd/US20220145287","PMD")</f>
        <v>0.0</v>
      </c>
      <c r="L52" s="2" t="n">
        <f>HYPERLINK("https://globaldossier.uspto.gov/result/application/US/17605694/1","US20220145287")</f>
        <v>0.0</v>
      </c>
      <c r="M52" t="s">
        <v>417</v>
      </c>
      <c r="N52" t="s">
        <v>418</v>
      </c>
      <c r="O52" t="s">
        <v>419</v>
      </c>
      <c r="P52" t="s">
        <v>420</v>
      </c>
      <c r="Q52" s="3" t="n">
        <v>43945.0</v>
      </c>
      <c r="R52" s="3" t="n">
        <v>44693.0</v>
      </c>
      <c r="S52" s="3" t="n">
        <v>44694.23543519676</v>
      </c>
      <c r="T52" s="3" t="n">
        <v>44698.37206541667</v>
      </c>
      <c r="U52" t="s">
        <v>421</v>
      </c>
      <c r="V52" t="s">
        <v>422</v>
      </c>
    </row>
    <row r="53">
      <c r="A53" t="s">
        <v>22</v>
      </c>
      <c r="B53" t="s">
        <v>423</v>
      </c>
      <c r="C53" t="s">
        <v>60</v>
      </c>
      <c r="D53" t="s">
        <v>61</v>
      </c>
      <c r="E53" t="s">
        <v>424</v>
      </c>
      <c r="F53" s="2" t="n">
        <f>HYPERLINK("https://patents.google.com/patent/US20220145236","Google")</f>
        <v>0.0</v>
      </c>
      <c r="G53" s="2" t="n">
        <f>HYPERLINK("https://patentcenter.uspto.gov/applications/17524568","Patent Center")</f>
        <v>0.0</v>
      </c>
      <c r="H53" s="2" t="n">
        <f>HYPERLINK("https://worldwide.espacenet.com/patent/search?q=US20220145236","Espacenet")</f>
        <v>0.0</v>
      </c>
      <c r="I53" s="2" t="n">
        <f>HYPERLINK("https://ppubs.uspto.gov/pubwebapp/external.html?q=20220145236.pn.","USPTO")</f>
        <v>0.0</v>
      </c>
      <c r="J53" s="2" t="n">
        <f>HYPERLINK("https://image-ppubs.uspto.gov/dirsearch-public/print/downloadPdf/20220145236","USPTO PDF")</f>
        <v>0.0</v>
      </c>
      <c r="K53" s="2" t="n">
        <f>HYPERLINK("https://sectors.patentforecast.com/pmd/US20220145236","PMD")</f>
        <v>0.0</v>
      </c>
      <c r="L53" s="2" t="n">
        <f>HYPERLINK("https://globaldossier.uspto.gov/result/application/US/17524568/1","US20220145236")</f>
        <v>0.0</v>
      </c>
      <c r="M53" t="s">
        <v>425</v>
      </c>
      <c r="N53" t="s">
        <v>426</v>
      </c>
      <c r="O53" t="s">
        <v>427</v>
      </c>
      <c r="P53" t="s">
        <v>428</v>
      </c>
      <c r="Q53" s="3" t="n">
        <v>44511.0</v>
      </c>
      <c r="R53" s="3" t="n">
        <v>44693.0</v>
      </c>
      <c r="S53" s="3" t="n">
        <v>44694.23058106482</v>
      </c>
      <c r="T53" s="3" t="n">
        <v>44698.37868019676</v>
      </c>
      <c r="U53" t="s">
        <v>31</v>
      </c>
      <c r="V53" t="s">
        <v>429</v>
      </c>
    </row>
    <row r="54">
      <c r="A54" t="s">
        <v>22</v>
      </c>
      <c r="B54" t="s">
        <v>430</v>
      </c>
      <c r="C54" t="s">
        <v>60</v>
      </c>
      <c r="D54" t="s">
        <v>431</v>
      </c>
      <c r="E54" t="s">
        <v>432</v>
      </c>
      <c r="F54" s="2" t="n">
        <f>HYPERLINK("https://patents.google.com/patent/US20220145059","Google")</f>
        <v>0.0</v>
      </c>
      <c r="G54" s="2" t="n">
        <f>HYPERLINK("https://patentcenter.uspto.gov/applications/17520303","Patent Center")</f>
        <v>0.0</v>
      </c>
      <c r="H54" s="2" t="n">
        <f>HYPERLINK("https://worldwide.espacenet.com/patent/search?q=US20220145059","Espacenet")</f>
        <v>0.0</v>
      </c>
      <c r="I54" s="2" t="n">
        <f>HYPERLINK("https://ppubs.uspto.gov/pubwebapp/external.html?q=20220145059.pn.","USPTO")</f>
        <v>0.0</v>
      </c>
      <c r="J54" s="2" t="n">
        <f>HYPERLINK("https://image-ppubs.uspto.gov/dirsearch-public/print/downloadPdf/20220145059","USPTO PDF")</f>
        <v>0.0</v>
      </c>
      <c r="K54" s="2" t="n">
        <f>HYPERLINK("https://sectors.patentforecast.com/pmd/US20220145059","PMD")</f>
        <v>0.0</v>
      </c>
      <c r="L54" s="2" t="n">
        <f>HYPERLINK("https://globaldossier.uspto.gov/result/application/US/17520303/1","US20220145059")</f>
        <v>0.0</v>
      </c>
      <c r="M54" t="s">
        <v>433</v>
      </c>
      <c r="N54" t="s">
        <v>434</v>
      </c>
      <c r="O54" t="s">
        <v>435</v>
      </c>
      <c r="P54" t="s">
        <v>436</v>
      </c>
      <c r="Q54" s="3" t="n">
        <v>44505.0</v>
      </c>
      <c r="R54" s="3" t="n">
        <v>44693.0</v>
      </c>
      <c r="S54" s="3" t="n">
        <v>44694.23058106482</v>
      </c>
      <c r="T54" s="3" t="n">
        <v>44698.38025317129</v>
      </c>
      <c r="U54" t="s">
        <v>31</v>
      </c>
      <c r="V54" t="s">
        <v>437</v>
      </c>
    </row>
    <row r="55">
      <c r="A55" t="s">
        <v>22</v>
      </c>
      <c r="B55" t="s">
        <v>438</v>
      </c>
      <c r="C55" t="s">
        <v>24</v>
      </c>
      <c r="D55" t="s">
        <v>25</v>
      </c>
      <c r="E55" t="s">
        <v>439</v>
      </c>
      <c r="F55" s="2" t="n">
        <f>HYPERLINK("https://patents.google.com/patent/US20220144939","Google")</f>
        <v>0.0</v>
      </c>
      <c r="G55" s="2" t="n">
        <f>HYPERLINK("https://patentcenter.uspto.gov/applications/17501050","Patent Center")</f>
        <v>0.0</v>
      </c>
      <c r="H55" s="2" t="n">
        <f>HYPERLINK("https://worldwide.espacenet.com/patent/search?q=US20220144939","Espacenet")</f>
        <v>0.0</v>
      </c>
      <c r="I55" s="2" t="n">
        <f>HYPERLINK("https://ppubs.uspto.gov/pubwebapp/external.html?q=20220144939.pn.","USPTO")</f>
        <v>0.0</v>
      </c>
      <c r="J55" s="2" t="n">
        <f>HYPERLINK("https://image-ppubs.uspto.gov/dirsearch-public/print/downloadPdf/20220144939","USPTO PDF")</f>
        <v>0.0</v>
      </c>
      <c r="K55" s="2" t="n">
        <f>HYPERLINK("https://sectors.patentforecast.com/pmd/US20220144939","PMD")</f>
        <v>0.0</v>
      </c>
      <c r="L55" s="2" t="n">
        <f>HYPERLINK("https://globaldossier.uspto.gov/result/application/US/17501050/1","US20220144939")</f>
        <v>0.0</v>
      </c>
      <c r="M55" t="s">
        <v>440</v>
      </c>
      <c r="N55" t="s">
        <v>441</v>
      </c>
      <c r="O55" t="s">
        <v>442</v>
      </c>
      <c r="P55" t="s">
        <v>443</v>
      </c>
      <c r="Q55" s="3" t="n">
        <v>44483.0</v>
      </c>
      <c r="R55" s="3" t="n">
        <v>44693.0</v>
      </c>
      <c r="S55" s="3" t="n">
        <v>44694.22953638889</v>
      </c>
      <c r="T55" s="3" t="n">
        <v>44698.388467627316</v>
      </c>
      <c r="U55" t="s">
        <v>31</v>
      </c>
      <c r="V55" t="s">
        <v>444</v>
      </c>
    </row>
    <row r="56">
      <c r="A56" t="s">
        <v>22</v>
      </c>
      <c r="B56" t="s">
        <v>445</v>
      </c>
      <c r="C56" t="s">
        <v>60</v>
      </c>
      <c r="D56" t="s">
        <v>61</v>
      </c>
      <c r="E56" t="s">
        <v>446</v>
      </c>
      <c r="F56" s="2" t="n">
        <f>HYPERLINK("https://patents.google.com/patent/US20220144891","Google")</f>
        <v>0.0</v>
      </c>
      <c r="G56" s="2" t="n">
        <f>HYPERLINK("https://patentcenter.uspto.gov/applications/17310121","Patent Center")</f>
        <v>0.0</v>
      </c>
      <c r="H56" s="2" t="n">
        <f>HYPERLINK("https://worldwide.espacenet.com/patent/search?q=US20220144891","Espacenet")</f>
        <v>0.0</v>
      </c>
      <c r="I56" s="2" t="n">
        <f>HYPERLINK("https://ppubs.uspto.gov/pubwebapp/external.html?q=20220144891.pn.","USPTO")</f>
        <v>0.0</v>
      </c>
      <c r="J56" s="2" t="n">
        <f>HYPERLINK("https://image-ppubs.uspto.gov/dirsearch-public/print/downloadPdf/20220144891","USPTO PDF")</f>
        <v>0.0</v>
      </c>
      <c r="K56" s="2" t="n">
        <f>HYPERLINK("https://sectors.patentforecast.com/pmd/US20220144891","PMD")</f>
        <v>0.0</v>
      </c>
      <c r="L56" s="2" t="n">
        <f>HYPERLINK("https://globaldossier.uspto.gov/result/application/US/17310121/1","US20220144891")</f>
        <v>0.0</v>
      </c>
      <c r="M56" t="s">
        <v>447</v>
      </c>
      <c r="N56" t="s">
        <v>448</v>
      </c>
      <c r="O56" t="s">
        <v>449</v>
      </c>
      <c r="P56" t="s">
        <v>450</v>
      </c>
      <c r="Q56" s="3" t="n">
        <v>44258.0</v>
      </c>
      <c r="R56" s="3" t="n">
        <v>44693.0</v>
      </c>
      <c r="S56" s="3" t="n">
        <v>44694.23058106482</v>
      </c>
      <c r="T56" s="3" t="n">
        <v>44698.390441840274</v>
      </c>
      <c r="U56" t="s">
        <v>31</v>
      </c>
      <c r="V56" t="s">
        <v>451</v>
      </c>
    </row>
    <row r="57">
      <c r="A57" t="s">
        <v>22</v>
      </c>
      <c r="B57" t="s">
        <v>452</v>
      </c>
      <c r="C57" t="s">
        <v>60</v>
      </c>
      <c r="D57" t="s">
        <v>61</v>
      </c>
      <c r="E57" t="s">
        <v>453</v>
      </c>
      <c r="F57" s="2" t="n">
        <f>HYPERLINK("https://patents.google.com/patent/US20220144876","Google")</f>
        <v>0.0</v>
      </c>
      <c r="G57" s="2" t="n">
        <f>HYPERLINK("https://patentcenter.uspto.gov/applications/17522946","Patent Center")</f>
        <v>0.0</v>
      </c>
      <c r="H57" s="2" t="n">
        <f>HYPERLINK("https://worldwide.espacenet.com/patent/search?q=US20220144876","Espacenet")</f>
        <v>0.0</v>
      </c>
      <c r="I57" s="2" t="n">
        <f>HYPERLINK("https://ppubs.uspto.gov/pubwebapp/external.html?q=20220144876.pn.","USPTO")</f>
        <v>0.0</v>
      </c>
      <c r="J57" s="2" t="n">
        <f>HYPERLINK("https://image-ppubs.uspto.gov/dirsearch-public/print/downloadPdf/20220144876","USPTO PDF")</f>
        <v>0.0</v>
      </c>
      <c r="K57" s="2" t="n">
        <f>HYPERLINK("https://sectors.patentforecast.com/pmd/US20220144876","PMD")</f>
        <v>0.0</v>
      </c>
      <c r="L57" s="2" t="n">
        <f>HYPERLINK("https://globaldossier.uspto.gov/result/application/US/17522946/1","US20220144876")</f>
        <v>0.0</v>
      </c>
      <c r="M57" t="s">
        <v>454</v>
      </c>
      <c r="N57" t="s">
        <v>455</v>
      </c>
      <c r="O57" t="s">
        <v>456</v>
      </c>
      <c r="P57" t="s">
        <v>457</v>
      </c>
      <c r="Q57" s="3" t="n">
        <v>44510.0</v>
      </c>
      <c r="R57" s="3" t="n">
        <v>44693.0</v>
      </c>
      <c r="S57" s="3" t="n">
        <v>44694.23058106482</v>
      </c>
      <c r="T57" s="3" t="n">
        <v>44698.39104054398</v>
      </c>
      <c r="U57" t="s">
        <v>31</v>
      </c>
      <c r="V57" t="s">
        <v>458</v>
      </c>
    </row>
    <row r="58">
      <c r="A58" t="s">
        <v>22</v>
      </c>
      <c r="B58" t="s">
        <v>459</v>
      </c>
      <c r="C58" t="s">
        <v>60</v>
      </c>
      <c r="D58" t="s">
        <v>61</v>
      </c>
      <c r="E58" t="s">
        <v>460</v>
      </c>
      <c r="F58" s="2" t="n">
        <f>HYPERLINK("https://patents.google.com/patent/US20220144866","Google")</f>
        <v>0.0</v>
      </c>
      <c r="G58" s="2" t="n">
        <f>HYPERLINK("https://patentcenter.uspto.gov/applications/17601493","Patent Center")</f>
        <v>0.0</v>
      </c>
      <c r="H58" s="2" t="n">
        <f>HYPERLINK("https://worldwide.espacenet.com/patent/search?q=US20220144866","Espacenet")</f>
        <v>0.0</v>
      </c>
      <c r="I58" s="2" t="n">
        <f>HYPERLINK("https://ppubs.uspto.gov/pubwebapp/external.html?q=20220144866.pn.","USPTO")</f>
        <v>0.0</v>
      </c>
      <c r="J58" s="2" t="n">
        <f>HYPERLINK("https://image-ppubs.uspto.gov/dirsearch-public/print/downloadPdf/20220144866","USPTO PDF")</f>
        <v>0.0</v>
      </c>
      <c r="K58" s="2" t="n">
        <f>HYPERLINK("https://sectors.patentforecast.com/pmd/US20220144866","PMD")</f>
        <v>0.0</v>
      </c>
      <c r="L58" s="2" t="n">
        <f>HYPERLINK("https://globaldossier.uspto.gov/result/application/US/17601493/1","US20220144866")</f>
        <v>0.0</v>
      </c>
      <c r="M58" t="s">
        <v>461</v>
      </c>
      <c r="N58" t="s">
        <v>462</v>
      </c>
      <c r="O58" t="s">
        <v>463</v>
      </c>
      <c r="P58" t="s">
        <v>464</v>
      </c>
      <c r="Q58" s="3" t="n">
        <v>44341.0</v>
      </c>
      <c r="R58" s="3" t="n">
        <v>44693.0</v>
      </c>
      <c r="S58" s="3" t="n">
        <v>44694.23058106482</v>
      </c>
      <c r="T58" s="3" t="n">
        <v>44698.391324282406</v>
      </c>
      <c r="U58" t="s">
        <v>31</v>
      </c>
      <c r="V58" t="s">
        <v>465</v>
      </c>
    </row>
    <row r="59">
      <c r="A59" t="s">
        <v>22</v>
      </c>
      <c r="B59" t="s">
        <v>466</v>
      </c>
      <c r="C59" t="s">
        <v>24</v>
      </c>
      <c r="D59" t="s">
        <v>69</v>
      </c>
      <c r="E59" t="s">
        <v>467</v>
      </c>
      <c r="F59" s="2" t="n">
        <f>HYPERLINK("https://patents.google.com/patent/US20220144675","Google")</f>
        <v>0.0</v>
      </c>
      <c r="G59" s="2" t="n">
        <f>HYPERLINK("https://patentcenter.uspto.gov/applications/17579558","Patent Center")</f>
        <v>0.0</v>
      </c>
      <c r="H59" s="2" t="n">
        <f>HYPERLINK("https://worldwide.espacenet.com/patent/search?q=US20220144675","Espacenet")</f>
        <v>0.0</v>
      </c>
      <c r="I59" s="2" t="n">
        <f>HYPERLINK("https://ppubs.uspto.gov/pubwebapp/external.html?q=20220144675.pn.","USPTO")</f>
        <v>0.0</v>
      </c>
      <c r="J59" s="2" t="n">
        <f>HYPERLINK("https://image-ppubs.uspto.gov/dirsearch-public/print/downloadPdf/20220144675","USPTO PDF")</f>
        <v>0.0</v>
      </c>
      <c r="K59" s="2" t="n">
        <f>HYPERLINK("https://sectors.patentforecast.com/pmd/US20220144675","PMD")</f>
        <v>0.0</v>
      </c>
      <c r="L59" s="2" t="n">
        <f>HYPERLINK("https://globaldossier.uspto.gov/result/application/US/17579558/1","US20220144675")</f>
        <v>0.0</v>
      </c>
      <c r="M59" t="s">
        <v>468</v>
      </c>
      <c r="N59" t="s">
        <v>469</v>
      </c>
      <c r="O59" t="s">
        <v>470</v>
      </c>
      <c r="P59" t="s">
        <v>471</v>
      </c>
      <c r="Q59" s="3" t="n">
        <v>44580.0</v>
      </c>
      <c r="R59" s="3" t="n">
        <v>44693.0</v>
      </c>
      <c r="S59" s="3" t="n">
        <v>44694.24330100694</v>
      </c>
      <c r="T59" s="3" t="n">
        <v>44698.39185454861</v>
      </c>
      <c r="U59" t="s">
        <v>472</v>
      </c>
      <c r="V59" t="s">
        <v>473</v>
      </c>
    </row>
    <row r="60">
      <c r="A60" t="s">
        <v>22</v>
      </c>
      <c r="B60" t="s">
        <v>474</v>
      </c>
      <c r="C60" t="s">
        <v>24</v>
      </c>
      <c r="D60" t="s">
        <v>204</v>
      </c>
      <c r="E60" t="s">
        <v>475</v>
      </c>
      <c r="F60" s="2" t="n">
        <f>HYPERLINK("https://patents.google.com/patent/US20220144427","Google")</f>
        <v>0.0</v>
      </c>
      <c r="G60" s="2" t="n">
        <f>HYPERLINK("https://patentcenter.uspto.gov/applications/17473507","Patent Center")</f>
        <v>0.0</v>
      </c>
      <c r="H60" s="2" t="n">
        <f>HYPERLINK("https://worldwide.espacenet.com/patent/search?q=US20220144427","Espacenet")</f>
        <v>0.0</v>
      </c>
      <c r="I60" s="2" t="n">
        <f>HYPERLINK("https://ppubs.uspto.gov/pubwebapp/external.html?q=20220144427.pn.","USPTO")</f>
        <v>0.0</v>
      </c>
      <c r="J60" s="2" t="n">
        <f>HYPERLINK("https://image-ppubs.uspto.gov/dirsearch-public/print/downloadPdf/20220144427","USPTO PDF")</f>
        <v>0.0</v>
      </c>
      <c r="K60" s="2" t="n">
        <f>HYPERLINK("https://sectors.patentforecast.com/pmd/US20220144427","PMD")</f>
        <v>0.0</v>
      </c>
      <c r="L60" s="2" t="n">
        <f>HYPERLINK("https://globaldossier.uspto.gov/result/application/US/17473507/1","US20220144427")</f>
        <v>0.0</v>
      </c>
      <c r="M60" t="s">
        <v>476</v>
      </c>
      <c r="N60" t="s">
        <v>477</v>
      </c>
      <c r="O60" t="s">
        <v>478</v>
      </c>
      <c r="P60" t="s">
        <v>479</v>
      </c>
      <c r="Q60" s="3" t="n">
        <v>44452.0</v>
      </c>
      <c r="R60" s="3" t="n">
        <v>44693.0</v>
      </c>
      <c r="S60" s="3" t="n">
        <v>44694.23058106482</v>
      </c>
      <c r="T60" s="3" t="n">
        <v>44698.39251751157</v>
      </c>
      <c r="U60" t="s">
        <v>480</v>
      </c>
      <c r="V60" t="s">
        <v>481</v>
      </c>
    </row>
    <row r="61">
      <c r="A61" t="s">
        <v>22</v>
      </c>
      <c r="B61" t="s">
        <v>482</v>
      </c>
      <c r="C61" t="s">
        <v>24</v>
      </c>
      <c r="D61" t="s">
        <v>69</v>
      </c>
      <c r="E61" t="s">
        <v>483</v>
      </c>
      <c r="F61" s="2" t="n">
        <f>HYPERLINK("https://patents.google.com/patent/US20220144038","Google")</f>
        <v>0.0</v>
      </c>
      <c r="G61" s="2" t="n">
        <f>HYPERLINK("https://patentcenter.uspto.gov/applications/17492167","Patent Center")</f>
        <v>0.0</v>
      </c>
      <c r="H61" s="2" t="n">
        <f>HYPERLINK("https://worldwide.espacenet.com/patent/search?q=US20220144038","Espacenet")</f>
        <v>0.0</v>
      </c>
      <c r="I61" s="2" t="n">
        <f>HYPERLINK("https://ppubs.uspto.gov/pubwebapp/external.html?q=20220144038.pn.","USPTO")</f>
        <v>0.0</v>
      </c>
      <c r="J61" s="2" t="n">
        <f>HYPERLINK("https://image-ppubs.uspto.gov/dirsearch-public/print/downloadPdf/20220144038","USPTO PDF")</f>
        <v>0.0</v>
      </c>
      <c r="K61" s="2" t="n">
        <f>HYPERLINK("https://sectors.patentforecast.com/pmd/US20220144038","PMD")</f>
        <v>0.0</v>
      </c>
      <c r="L61" s="2" t="n">
        <f>HYPERLINK("https://globaldossier.uspto.gov/result/application/US/17492167/1","US20220144038")</f>
        <v>0.0</v>
      </c>
      <c r="M61" t="s">
        <v>484</v>
      </c>
      <c r="N61" t="s">
        <v>485</v>
      </c>
      <c r="O61" t="s">
        <v>486</v>
      </c>
      <c r="P61" t="s">
        <v>487</v>
      </c>
      <c r="Q61" s="3" t="n">
        <v>44470.0</v>
      </c>
      <c r="R61" s="3" t="n">
        <v>44693.0</v>
      </c>
      <c r="S61" s="3" t="n">
        <v>44694.24330100694</v>
      </c>
      <c r="T61" s="3" t="n">
        <v>44698.392878125</v>
      </c>
      <c r="U61" t="s">
        <v>31</v>
      </c>
      <c r="V61" t="s">
        <v>488</v>
      </c>
    </row>
    <row r="62">
      <c r="A62" t="s">
        <v>22</v>
      </c>
      <c r="B62" t="s">
        <v>489</v>
      </c>
      <c r="C62" t="s">
        <v>60</v>
      </c>
      <c r="D62" t="s">
        <v>431</v>
      </c>
      <c r="E62" t="s">
        <v>490</v>
      </c>
      <c r="F62" s="2" t="n">
        <f>HYPERLINK("https://patents.google.com/patent/US20220143598","Google")</f>
        <v>0.0</v>
      </c>
      <c r="G62" s="2" t="n">
        <f>HYPERLINK("https://patentcenter.uspto.gov/applications/17520705","Patent Center")</f>
        <v>0.0</v>
      </c>
      <c r="H62" s="2" t="n">
        <f>HYPERLINK("https://worldwide.espacenet.com/patent/search?q=US20220143598","Espacenet")</f>
        <v>0.0</v>
      </c>
      <c r="I62" s="2" t="n">
        <f>HYPERLINK("https://ppubs.uspto.gov/pubwebapp/external.html?q=20220143598.pn.","USPTO")</f>
        <v>0.0</v>
      </c>
      <c r="J62" s="2" t="n">
        <f>HYPERLINK("https://image-ppubs.uspto.gov/dirsearch-public/print/downloadPdf/20220143598","USPTO PDF")</f>
        <v>0.0</v>
      </c>
      <c r="K62" s="2" t="n">
        <f>HYPERLINK("https://sectors.patentforecast.com/pmd/US20220143598","PMD")</f>
        <v>0.0</v>
      </c>
      <c r="L62" s="2" t="n">
        <f>HYPERLINK("https://globaldossier.uspto.gov/result/application/US/17520705/1","US20220143598")</f>
        <v>0.0</v>
      </c>
      <c r="M62" t="s">
        <v>491</v>
      </c>
      <c r="N62" t="s">
        <v>492</v>
      </c>
      <c r="O62" t="s">
        <v>492</v>
      </c>
      <c r="P62" t="s">
        <v>493</v>
      </c>
      <c r="Q62" s="3" t="n">
        <v>44507.0</v>
      </c>
      <c r="R62" s="3" t="n">
        <v>44693.0</v>
      </c>
      <c r="S62" s="3" t="n">
        <v>44694.23058106482</v>
      </c>
      <c r="T62" s="3" t="n">
        <v>44698.39409818287</v>
      </c>
      <c r="U62" t="s">
        <v>31</v>
      </c>
      <c r="V62" t="s">
        <v>494</v>
      </c>
    </row>
    <row r="63">
      <c r="A63" t="s">
        <v>22</v>
      </c>
      <c r="B63" t="s">
        <v>495</v>
      </c>
      <c r="C63" t="s">
        <v>496</v>
      </c>
      <c r="D63" t="s">
        <v>497</v>
      </c>
      <c r="E63" t="s">
        <v>498</v>
      </c>
      <c r="F63" s="2" t="n">
        <f>HYPERLINK("https://patents.google.com/patent/US20220143538","Google")</f>
        <v>0.0</v>
      </c>
      <c r="G63" s="2" t="n">
        <f>HYPERLINK("https://patentcenter.uspto.gov/applications/17503146","Patent Center")</f>
        <v>0.0</v>
      </c>
      <c r="H63" s="2" t="n">
        <f>HYPERLINK("https://worldwide.espacenet.com/patent/search?q=US20220143538","Espacenet")</f>
        <v>0.0</v>
      </c>
      <c r="I63" s="2" t="n">
        <f>HYPERLINK("https://ppubs.uspto.gov/pubwebapp/external.html?q=20220143538.pn.","USPTO")</f>
        <v>0.0</v>
      </c>
      <c r="J63" s="2" t="n">
        <f>HYPERLINK("https://image-ppubs.uspto.gov/dirsearch-public/print/downloadPdf/20220143538","USPTO PDF")</f>
        <v>0.0</v>
      </c>
      <c r="K63" s="2" t="n">
        <f>HYPERLINK("https://sectors.patentforecast.com/pmd/US20220143538","PMD")</f>
        <v>0.0</v>
      </c>
      <c r="L63" s="2" t="n">
        <f>HYPERLINK("https://globaldossier.uspto.gov/result/application/US/17503146/1","US20220143538")</f>
        <v>0.0</v>
      </c>
      <c r="M63" t="s">
        <v>499</v>
      </c>
      <c r="N63" t="s">
        <v>500</v>
      </c>
      <c r="O63" t="s">
        <v>501</v>
      </c>
      <c r="P63" t="s">
        <v>502</v>
      </c>
      <c r="Q63" s="3" t="n">
        <v>44484.0</v>
      </c>
      <c r="R63" s="3" t="n">
        <v>44693.0</v>
      </c>
      <c r="S63" s="3" t="n">
        <v>44694.23058106482</v>
      </c>
      <c r="T63" s="3" t="n">
        <v>44698.39455420139</v>
      </c>
      <c r="U63" t="s">
        <v>503</v>
      </c>
      <c r="V63" t="s">
        <v>504</v>
      </c>
    </row>
    <row r="64">
      <c r="A64" t="s">
        <v>22</v>
      </c>
      <c r="B64" t="s">
        <v>505</v>
      </c>
      <c r="C64" t="s">
        <v>24</v>
      </c>
      <c r="D64" t="s">
        <v>204</v>
      </c>
      <c r="E64" t="s">
        <v>506</v>
      </c>
      <c r="F64" s="2" t="n">
        <f>HYPERLINK("https://patents.google.com/patent/US20220143460","Google")</f>
        <v>0.0</v>
      </c>
      <c r="G64" s="2" t="n">
        <f>HYPERLINK("https://patentcenter.uspto.gov/applications/17354415","Patent Center")</f>
        <v>0.0</v>
      </c>
      <c r="H64" s="2" t="n">
        <f>HYPERLINK("https://worldwide.espacenet.com/patent/search?q=US20220143460","Espacenet")</f>
        <v>0.0</v>
      </c>
      <c r="I64" s="2" t="n">
        <f>HYPERLINK("https://ppubs.uspto.gov/pubwebapp/external.html?q=20220143460.pn.","USPTO")</f>
        <v>0.0</v>
      </c>
      <c r="J64" s="2" t="n">
        <f>HYPERLINK("https://image-ppubs.uspto.gov/dirsearch-public/print/downloadPdf/20220143460","USPTO PDF")</f>
        <v>0.0</v>
      </c>
      <c r="K64" s="2" t="n">
        <f>HYPERLINK("https://sectors.patentforecast.com/pmd/US20220143460","PMD")</f>
        <v>0.0</v>
      </c>
      <c r="L64" s="2" t="n">
        <f>HYPERLINK("https://globaldossier.uspto.gov/result/application/US/17354415/1","US20220143460")</f>
        <v>0.0</v>
      </c>
      <c r="M64" t="s">
        <v>507</v>
      </c>
      <c r="N64" t="s">
        <v>508</v>
      </c>
      <c r="O64" t="s">
        <v>509</v>
      </c>
      <c r="P64" t="s">
        <v>510</v>
      </c>
      <c r="Q64" s="3" t="n">
        <v>44369.0</v>
      </c>
      <c r="R64" s="3" t="n">
        <v>44693.0</v>
      </c>
      <c r="S64" s="3" t="n">
        <v>44694.23058106482</v>
      </c>
      <c r="T64" s="3" t="n">
        <v>44698.39499584491</v>
      </c>
      <c r="U64" t="s">
        <v>511</v>
      </c>
      <c r="V64" t="s">
        <v>512</v>
      </c>
    </row>
    <row r="65">
      <c r="A65" t="s">
        <v>22</v>
      </c>
      <c r="B65" t="s">
        <v>513</v>
      </c>
      <c r="C65" t="s">
        <v>24</v>
      </c>
      <c r="D65" t="s">
        <v>69</v>
      </c>
      <c r="E65" t="s">
        <v>514</v>
      </c>
      <c r="F65" s="2" t="n">
        <f>HYPERLINK("https://patents.google.com/patent/US20220143434","Google")</f>
        <v>0.0</v>
      </c>
      <c r="G65" s="2" t="n">
        <f>HYPERLINK("https://patentcenter.uspto.gov/applications/17525430","Patent Center")</f>
        <v>0.0</v>
      </c>
      <c r="H65" s="2" t="n">
        <f>HYPERLINK("https://worldwide.espacenet.com/patent/search?q=US20220143434","Espacenet")</f>
        <v>0.0</v>
      </c>
      <c r="I65" s="2" t="n">
        <f>HYPERLINK("https://ppubs.uspto.gov/pubwebapp/external.html?q=20220143434.pn.","USPTO")</f>
        <v>0.0</v>
      </c>
      <c r="J65" s="2" t="n">
        <f>HYPERLINK("https://image-ppubs.uspto.gov/dirsearch-public/print/downloadPdf/20220143434","USPTO PDF")</f>
        <v>0.0</v>
      </c>
      <c r="K65" s="2" t="n">
        <f>HYPERLINK("https://sectors.patentforecast.com/pmd/US20220143434","PMD")</f>
        <v>0.0</v>
      </c>
      <c r="L65" s="2" t="n">
        <f>HYPERLINK("https://globaldossier.uspto.gov/result/application/US/17525430/1","US20220143434")</f>
        <v>0.0</v>
      </c>
      <c r="M65" t="s">
        <v>515</v>
      </c>
      <c r="N65" t="s">
        <v>516</v>
      </c>
      <c r="O65" t="s">
        <v>517</v>
      </c>
      <c r="P65" t="s">
        <v>518</v>
      </c>
      <c r="Q65" s="3" t="n">
        <v>44512.0</v>
      </c>
      <c r="R65" s="3" t="n">
        <v>44693.0</v>
      </c>
      <c r="S65" s="3" t="n">
        <v>44694.23058106482</v>
      </c>
      <c r="T65" s="3" t="n">
        <v>44698.39659994213</v>
      </c>
      <c r="U65" t="s">
        <v>31</v>
      </c>
      <c r="V65" t="s">
        <v>519</v>
      </c>
    </row>
    <row r="66">
      <c r="A66" t="s">
        <v>22</v>
      </c>
      <c r="B66" t="s">
        <v>520</v>
      </c>
      <c r="C66" t="s">
        <v>24</v>
      </c>
      <c r="D66" t="s">
        <v>69</v>
      </c>
      <c r="E66" t="s">
        <v>521</v>
      </c>
      <c r="F66" s="2" t="n">
        <f>HYPERLINK("https://patents.google.com/patent/US20220143429","Google")</f>
        <v>0.0</v>
      </c>
      <c r="G66" s="2" t="n">
        <f>HYPERLINK("https://patentcenter.uspto.gov/applications/17484797","Patent Center")</f>
        <v>0.0</v>
      </c>
      <c r="H66" s="2" t="n">
        <f>HYPERLINK("https://worldwide.espacenet.com/patent/search?q=US20220143429","Espacenet")</f>
        <v>0.0</v>
      </c>
      <c r="I66" s="2" t="n">
        <f>HYPERLINK("https://ppubs.uspto.gov/pubwebapp/external.html?q=20220143429.pn.","USPTO")</f>
        <v>0.0</v>
      </c>
      <c r="J66" s="2" t="n">
        <f>HYPERLINK("https://image-ppubs.uspto.gov/dirsearch-public/print/downloadPdf/20220143429","USPTO PDF")</f>
        <v>0.0</v>
      </c>
      <c r="K66" s="2" t="n">
        <f>HYPERLINK("https://sectors.patentforecast.com/pmd/US20220143429","PMD")</f>
        <v>0.0</v>
      </c>
      <c r="L66" s="2" t="n">
        <f>HYPERLINK("https://globaldossier.uspto.gov/result/application/US/17484797/1","US20220143429")</f>
        <v>0.0</v>
      </c>
      <c r="M66" t="s">
        <v>522</v>
      </c>
      <c r="N66" t="s">
        <v>523</v>
      </c>
      <c r="O66" t="s">
        <v>524</v>
      </c>
      <c r="P66" t="s">
        <v>525</v>
      </c>
      <c r="Q66" s="3" t="n">
        <v>44463.0</v>
      </c>
      <c r="R66" s="3" t="n">
        <v>44693.0</v>
      </c>
      <c r="S66" s="3" t="n">
        <v>44694.23058106482</v>
      </c>
      <c r="T66" s="3" t="n">
        <v>44698.396893275465</v>
      </c>
      <c r="U66" t="s">
        <v>31</v>
      </c>
      <c r="V66" t="s">
        <v>526</v>
      </c>
    </row>
    <row r="67">
      <c r="A67" t="s">
        <v>22</v>
      </c>
      <c r="B67" t="s">
        <v>527</v>
      </c>
      <c r="C67" t="s">
        <v>24</v>
      </c>
      <c r="D67" t="s">
        <v>528</v>
      </c>
      <c r="E67" t="s">
        <v>529</v>
      </c>
      <c r="F67" s="2" t="n">
        <f>HYPERLINK("https://patents.google.com/patent/US20220143353","Google")</f>
        <v>0.0</v>
      </c>
      <c r="G67" s="2" t="n">
        <f>HYPERLINK("https://patentcenter.uspto.gov/applications/17583847","Patent Center")</f>
        <v>0.0</v>
      </c>
      <c r="H67" s="2" t="n">
        <f>HYPERLINK("https://worldwide.espacenet.com/patent/search?q=US20220143353","Espacenet")</f>
        <v>0.0</v>
      </c>
      <c r="I67" s="2" t="n">
        <f>HYPERLINK("https://ppubs.uspto.gov/pubwebapp/external.html?q=20220143353.pn.","USPTO")</f>
        <v>0.0</v>
      </c>
      <c r="J67" s="2" t="n">
        <f>HYPERLINK("https://image-ppubs.uspto.gov/dirsearch-public/print/downloadPdf/20220143353","USPTO PDF")</f>
        <v>0.0</v>
      </c>
      <c r="K67" s="2" t="n">
        <f>HYPERLINK("https://sectors.patentforecast.com/pmd/US20220143353","PMD")</f>
        <v>0.0</v>
      </c>
      <c r="L67" s="2" t="n">
        <f>HYPERLINK("https://globaldossier.uspto.gov/result/application/US/17583847/1","US20220143353")</f>
        <v>0.0</v>
      </c>
      <c r="M67" t="s">
        <v>530</v>
      </c>
      <c r="N67" t="s">
        <v>531</v>
      </c>
      <c r="O67" t="s">
        <v>532</v>
      </c>
      <c r="P67" t="s">
        <v>533</v>
      </c>
      <c r="Q67" s="3" t="n">
        <v>44586.0</v>
      </c>
      <c r="R67" s="3" t="n">
        <v>44693.0</v>
      </c>
      <c r="S67" s="3" t="n">
        <v>44694.23058106482</v>
      </c>
      <c r="T67" s="3" t="n">
        <v>44698.397257233795</v>
      </c>
      <c r="U67" t="s">
        <v>534</v>
      </c>
      <c r="V67" t="s">
        <v>535</v>
      </c>
    </row>
    <row r="68">
      <c r="A68" t="s">
        <v>22</v>
      </c>
      <c r="B68" t="s">
        <v>536</v>
      </c>
      <c r="C68" t="s">
        <v>24</v>
      </c>
      <c r="D68" t="s">
        <v>69</v>
      </c>
      <c r="E68" t="s">
        <v>537</v>
      </c>
      <c r="F68" s="2" t="n">
        <f>HYPERLINK("https://patents.google.com/patent/US20220143345","Google")</f>
        <v>0.0</v>
      </c>
      <c r="G68" s="2" t="n">
        <f>HYPERLINK("https://patentcenter.uspto.gov/applications/17586291","Patent Center")</f>
        <v>0.0</v>
      </c>
      <c r="H68" s="2" t="n">
        <f>HYPERLINK("https://worldwide.espacenet.com/patent/search?q=US20220143345","Espacenet")</f>
        <v>0.0</v>
      </c>
      <c r="I68" s="2" t="n">
        <f>HYPERLINK("https://ppubs.uspto.gov/pubwebapp/external.html?q=20220143345.pn.","USPTO")</f>
        <v>0.0</v>
      </c>
      <c r="J68" s="2" t="n">
        <f>HYPERLINK("https://image-ppubs.uspto.gov/dirsearch-public/print/downloadPdf/20220143345","USPTO PDF")</f>
        <v>0.0</v>
      </c>
      <c r="K68" s="2" t="n">
        <f>HYPERLINK("https://sectors.patentforecast.com/pmd/US20220143345","PMD")</f>
        <v>0.0</v>
      </c>
      <c r="L68" s="2" t="n">
        <f>HYPERLINK("https://globaldossier.uspto.gov/result/application/US/17586291/1","US20220143345")</f>
        <v>0.0</v>
      </c>
      <c r="M68" t="s">
        <v>538</v>
      </c>
      <c r="N68" t="s">
        <v>539</v>
      </c>
      <c r="O68" t="s">
        <v>540</v>
      </c>
      <c r="P68" t="s">
        <v>541</v>
      </c>
      <c r="Q68" s="3" t="n">
        <v>44588.0</v>
      </c>
      <c r="R68" s="3" t="n">
        <v>44693.0</v>
      </c>
      <c r="S68" s="3" t="n">
        <v>44694.23058106482</v>
      </c>
      <c r="T68" s="3" t="n">
        <v>44698.39741010417</v>
      </c>
      <c r="U68" t="s">
        <v>542</v>
      </c>
      <c r="V68" t="s">
        <v>543</v>
      </c>
    </row>
    <row r="69">
      <c r="A69" t="s">
        <v>22</v>
      </c>
      <c r="B69" t="s">
        <v>544</v>
      </c>
      <c r="C69" t="s">
        <v>24</v>
      </c>
      <c r="D69" t="s">
        <v>69</v>
      </c>
      <c r="E69" t="s">
        <v>545</v>
      </c>
      <c r="F69" s="2" t="n">
        <f>HYPERLINK("https://patents.google.com/patent/US20220143344","Google")</f>
        <v>0.0</v>
      </c>
      <c r="G69" s="2" t="n">
        <f>HYPERLINK("https://patentcenter.uspto.gov/applications/17445423","Patent Center")</f>
        <v>0.0</v>
      </c>
      <c r="H69" s="2" t="n">
        <f>HYPERLINK("https://worldwide.espacenet.com/patent/search?q=US20220143344","Espacenet")</f>
        <v>0.0</v>
      </c>
      <c r="I69" s="2" t="n">
        <f>HYPERLINK("https://ppubs.uspto.gov/pubwebapp/external.html?q=20220143344.pn.","USPTO")</f>
        <v>0.0</v>
      </c>
      <c r="J69" s="2" t="n">
        <f>HYPERLINK("https://image-ppubs.uspto.gov/dirsearch-public/print/downloadPdf/20220143344","USPTO PDF")</f>
        <v>0.0</v>
      </c>
      <c r="K69" s="2" t="n">
        <f>HYPERLINK("https://sectors.patentforecast.com/pmd/US20220143344","PMD")</f>
        <v>0.0</v>
      </c>
      <c r="L69" s="2" t="n">
        <f>HYPERLINK("https://globaldossier.uspto.gov/result/application/US/17445423/1","US20220143344")</f>
        <v>0.0</v>
      </c>
      <c r="M69" t="s">
        <v>546</v>
      </c>
      <c r="N69" t="s">
        <v>547</v>
      </c>
      <c r="O69" t="s">
        <v>548</v>
      </c>
      <c r="P69" t="s">
        <v>549</v>
      </c>
      <c r="Q69" s="3" t="n">
        <v>44427.0</v>
      </c>
      <c r="R69" s="3" t="n">
        <v>44693.0</v>
      </c>
      <c r="S69" s="3" t="n">
        <v>44694.23058106482</v>
      </c>
      <c r="T69" s="3" t="n">
        <v>44698.39762170139</v>
      </c>
      <c r="U69" t="s">
        <v>31</v>
      </c>
      <c r="V69" t="s">
        <v>550</v>
      </c>
    </row>
    <row r="70">
      <c r="A70" t="s">
        <v>22</v>
      </c>
      <c r="B70" t="s">
        <v>551</v>
      </c>
      <c r="C70" t="s">
        <v>60</v>
      </c>
      <c r="D70" t="s">
        <v>552</v>
      </c>
      <c r="E70" t="s">
        <v>553</v>
      </c>
      <c r="F70" s="2" t="n">
        <f>HYPERLINK("https://patents.google.com/patent/US20220143292","Google")</f>
        <v>0.0</v>
      </c>
      <c r="G70" s="2" t="n">
        <f>HYPERLINK("https://patentcenter.uspto.gov/applications/17520171","Patent Center")</f>
        <v>0.0</v>
      </c>
      <c r="H70" s="2" t="n">
        <f>HYPERLINK("https://worldwide.espacenet.com/patent/search?q=US20220143292","Espacenet")</f>
        <v>0.0</v>
      </c>
      <c r="I70" s="2" t="n">
        <f>HYPERLINK("https://ppubs.uspto.gov/pubwebapp/external.html?q=20220143292.pn.","USPTO")</f>
        <v>0.0</v>
      </c>
      <c r="J70" s="2" t="n">
        <f>HYPERLINK("https://image-ppubs.uspto.gov/dirsearch-public/print/downloadPdf/20220143292","USPTO PDF")</f>
        <v>0.0</v>
      </c>
      <c r="K70" s="2" t="n">
        <f>HYPERLINK("https://sectors.patentforecast.com/pmd/US20220143292","PMD")</f>
        <v>0.0</v>
      </c>
      <c r="L70" s="2" t="n">
        <f>HYPERLINK("https://globaldossier.uspto.gov/result/application/US/17520171/1","US20220143292")</f>
        <v>0.0</v>
      </c>
      <c r="M70" t="s">
        <v>554</v>
      </c>
      <c r="N70" t="s">
        <v>555</v>
      </c>
      <c r="O70" t="s">
        <v>556</v>
      </c>
      <c r="P70" t="s">
        <v>557</v>
      </c>
      <c r="Q70" s="3" t="n">
        <v>44505.0</v>
      </c>
      <c r="R70" s="3" t="n">
        <v>44693.0</v>
      </c>
      <c r="S70" s="3" t="n">
        <v>44694.23058106482</v>
      </c>
      <c r="T70" s="3" t="n">
        <v>44698.398835127315</v>
      </c>
      <c r="U70" t="s">
        <v>558</v>
      </c>
      <c r="V70" t="s">
        <v>559</v>
      </c>
    </row>
    <row r="71">
      <c r="A71" t="s">
        <v>22</v>
      </c>
      <c r="B71" t="s">
        <v>560</v>
      </c>
      <c r="C71" t="s">
        <v>561</v>
      </c>
      <c r="D71" t="s">
        <v>562</v>
      </c>
      <c r="E71" t="s">
        <v>563</v>
      </c>
      <c r="F71" s="2" t="n">
        <f>HYPERLINK("https://patents.google.com/patent/US20220143287","Google")</f>
        <v>0.0</v>
      </c>
      <c r="G71" s="2" t="n">
        <f>HYPERLINK("https://patentcenter.uspto.gov/applications/17470371","Patent Center")</f>
        <v>0.0</v>
      </c>
      <c r="H71" s="2" t="n">
        <f>HYPERLINK("https://worldwide.espacenet.com/patent/search?q=US20220143287","Espacenet")</f>
        <v>0.0</v>
      </c>
      <c r="I71" s="2" t="n">
        <f>HYPERLINK("https://ppubs.uspto.gov/pubwebapp/external.html?q=20220143287.pn.","USPTO")</f>
        <v>0.0</v>
      </c>
      <c r="J71" s="2" t="n">
        <f>HYPERLINK("https://image-ppubs.uspto.gov/dirsearch-public/print/downloadPdf/20220143287","USPTO PDF")</f>
        <v>0.0</v>
      </c>
      <c r="K71" s="2" t="n">
        <f>HYPERLINK("https://sectors.patentforecast.com/pmd/US20220143287","PMD")</f>
        <v>0.0</v>
      </c>
      <c r="L71" s="2" t="n">
        <f>HYPERLINK("https://globaldossier.uspto.gov/result/application/US/17470371/1","US20220143287")</f>
        <v>0.0</v>
      </c>
      <c r="M71" t="s">
        <v>564</v>
      </c>
      <c r="N71" t="s">
        <v>565</v>
      </c>
      <c r="O71" t="s">
        <v>566</v>
      </c>
      <c r="P71" t="s">
        <v>567</v>
      </c>
      <c r="Q71" s="3" t="n">
        <v>44448.0</v>
      </c>
      <c r="R71" s="3" t="n">
        <v>44693.0</v>
      </c>
      <c r="S71" s="3" t="n">
        <v>44694.23058106482</v>
      </c>
      <c r="T71" s="3" t="n">
        <v>44698.399904375</v>
      </c>
      <c r="U71" t="s">
        <v>568</v>
      </c>
      <c r="V71" t="s">
        <v>569</v>
      </c>
    </row>
    <row r="72">
      <c r="A72" t="s">
        <v>22</v>
      </c>
      <c r="B72" t="s">
        <v>570</v>
      </c>
      <c r="C72" t="s">
        <v>24</v>
      </c>
      <c r="D72" t="s">
        <v>100</v>
      </c>
      <c r="E72" t="s">
        <v>571</v>
      </c>
      <c r="F72" s="2" t="n">
        <f>HYPERLINK("https://patents.google.com/patent/US20220143260","Google")</f>
        <v>0.0</v>
      </c>
      <c r="G72" s="2" t="n">
        <f>HYPERLINK("https://patentcenter.uspto.gov/applications/17523178","Patent Center")</f>
        <v>0.0</v>
      </c>
      <c r="H72" s="2" t="n">
        <f>HYPERLINK("https://worldwide.espacenet.com/patent/search?q=US20220143260","Espacenet")</f>
        <v>0.0</v>
      </c>
      <c r="I72" s="2" t="n">
        <f>HYPERLINK("https://ppubs.uspto.gov/pubwebapp/external.html?q=20220143260.pn.","USPTO")</f>
        <v>0.0</v>
      </c>
      <c r="J72" s="2" t="n">
        <f>HYPERLINK("https://image-ppubs.uspto.gov/dirsearch-public/print/downloadPdf/20220143260","USPTO PDF")</f>
        <v>0.0</v>
      </c>
      <c r="K72" s="2" t="n">
        <f>HYPERLINK("https://sectors.patentforecast.com/pmd/US20220143260","PMD")</f>
        <v>0.0</v>
      </c>
      <c r="L72" s="2" t="n">
        <f>HYPERLINK("https://globaldossier.uspto.gov/result/application/US/17523178/1","US20220143260")</f>
        <v>0.0</v>
      </c>
      <c r="M72" t="s">
        <v>572</v>
      </c>
      <c r="N72" t="s">
        <v>573</v>
      </c>
      <c r="O72" t="s">
        <v>574</v>
      </c>
      <c r="P72" t="s">
        <v>575</v>
      </c>
      <c r="Q72" s="3" t="n">
        <v>44510.0</v>
      </c>
      <c r="R72" s="3" t="n">
        <v>44693.0</v>
      </c>
      <c r="S72" s="3" t="n">
        <v>44694.23058106482</v>
      </c>
      <c r="T72" s="3" t="n">
        <v>44698.400242233794</v>
      </c>
      <c r="U72" t="s">
        <v>576</v>
      </c>
      <c r="V72" t="s">
        <v>577</v>
      </c>
    </row>
    <row r="73">
      <c r="A73" t="s">
        <v>22</v>
      </c>
      <c r="B73" t="s">
        <v>578</v>
      </c>
      <c r="C73" t="s">
        <v>24</v>
      </c>
      <c r="D73" t="s">
        <v>100</v>
      </c>
      <c r="E73" t="s">
        <v>579</v>
      </c>
      <c r="F73" s="2" t="n">
        <f>HYPERLINK("https://patents.google.com/patent/US20220143258","Google")</f>
        <v>0.0</v>
      </c>
      <c r="G73" s="2" t="n">
        <f>HYPERLINK("https://patentcenter.uspto.gov/applications/17096518","Patent Center")</f>
        <v>0.0</v>
      </c>
      <c r="H73" s="2" t="n">
        <f>HYPERLINK("https://worldwide.espacenet.com/patent/search?q=US20220143258","Espacenet")</f>
        <v>0.0</v>
      </c>
      <c r="I73" s="2" t="n">
        <f>HYPERLINK("https://ppubs.uspto.gov/pubwebapp/external.html?q=20220143258.pn.","USPTO")</f>
        <v>0.0</v>
      </c>
      <c r="J73" s="2" t="n">
        <f>HYPERLINK("https://image-ppubs.uspto.gov/dirsearch-public/print/downloadPdf/20220143258","USPTO PDF")</f>
        <v>0.0</v>
      </c>
      <c r="K73" s="2" t="n">
        <f>HYPERLINK("https://sectors.patentforecast.com/pmd/US20220143258","PMD")</f>
        <v>0.0</v>
      </c>
      <c r="L73" s="2" t="n">
        <f>HYPERLINK("https://globaldossier.uspto.gov/result/application/US/17096518/1","US20220143258")</f>
        <v>0.0</v>
      </c>
      <c r="M73" t="s">
        <v>580</v>
      </c>
      <c r="N73" t="s">
        <v>581</v>
      </c>
      <c r="O73" t="s">
        <v>582</v>
      </c>
      <c r="P73" t="s">
        <v>583</v>
      </c>
      <c r="Q73" s="3" t="n">
        <v>44147.0</v>
      </c>
      <c r="R73" s="3" t="n">
        <v>44693.0</v>
      </c>
      <c r="S73" s="3" t="n">
        <v>44694.23058106482</v>
      </c>
      <c r="T73" s="3" t="n">
        <v>44698.400606863426</v>
      </c>
      <c r="U73" t="s">
        <v>31</v>
      </c>
      <c r="V73" t="s">
        <v>584</v>
      </c>
    </row>
    <row r="74">
      <c r="A74" t="s">
        <v>22</v>
      </c>
      <c r="B74" t="s">
        <v>585</v>
      </c>
      <c r="C74" t="s">
        <v>24</v>
      </c>
      <c r="D74" t="s">
        <v>51</v>
      </c>
      <c r="E74" t="s">
        <v>586</v>
      </c>
      <c r="F74" s="2" t="n">
        <f>HYPERLINK("https://patents.google.com/patent/US20220143255","Google")</f>
        <v>0.0</v>
      </c>
      <c r="G74" s="2" t="n">
        <f>HYPERLINK("https://patentcenter.uspto.gov/applications/17481638","Patent Center")</f>
        <v>0.0</v>
      </c>
      <c r="H74" s="2" t="n">
        <f>HYPERLINK("https://worldwide.espacenet.com/patent/search?q=US20220143255","Espacenet")</f>
        <v>0.0</v>
      </c>
      <c r="I74" s="2" t="n">
        <f>HYPERLINK("https://ppubs.uspto.gov/pubwebapp/external.html?q=20220143255.pn.","USPTO")</f>
        <v>0.0</v>
      </c>
      <c r="J74" s="2" t="n">
        <f>HYPERLINK("https://image-ppubs.uspto.gov/dirsearch-public/print/downloadPdf/20220143255","USPTO PDF")</f>
        <v>0.0</v>
      </c>
      <c r="K74" s="2" t="n">
        <f>HYPERLINK("https://sectors.patentforecast.com/pmd/US20220143255","PMD")</f>
        <v>0.0</v>
      </c>
      <c r="L74" s="2" t="n">
        <f>HYPERLINK("https://globaldossier.uspto.gov/result/application/US/17481638/1","US20220143255")</f>
        <v>0.0</v>
      </c>
      <c r="M74" t="s">
        <v>587</v>
      </c>
      <c r="N74" t="s">
        <v>588</v>
      </c>
      <c r="O74" t="s">
        <v>589</v>
      </c>
      <c r="P74" t="s">
        <v>590</v>
      </c>
      <c r="Q74" s="3" t="n">
        <v>44461.0</v>
      </c>
      <c r="R74" s="3" t="n">
        <v>44693.0</v>
      </c>
      <c r="S74" s="3" t="n">
        <v>44694.23058106482</v>
      </c>
      <c r="T74" s="3" t="n">
        <v>44698.40104074074</v>
      </c>
      <c r="U74" t="s">
        <v>591</v>
      </c>
      <c r="V74" t="s">
        <v>592</v>
      </c>
    </row>
    <row r="75">
      <c r="A75" t="s">
        <v>22</v>
      </c>
      <c r="B75" t="s">
        <v>593</v>
      </c>
      <c r="C75" t="s">
        <v>24</v>
      </c>
      <c r="D75" t="s">
        <v>100</v>
      </c>
      <c r="E75" t="s">
        <v>594</v>
      </c>
      <c r="F75" s="2" t="n">
        <f>HYPERLINK("https://patents.google.com/patent/US20220143245","Google")</f>
        <v>0.0</v>
      </c>
      <c r="G75" s="2" t="n">
        <f>HYPERLINK("https://patentcenter.uspto.gov/applications/17244553","Patent Center")</f>
        <v>0.0</v>
      </c>
      <c r="H75" s="2" t="n">
        <f>HYPERLINK("https://worldwide.espacenet.com/patent/search?q=US20220143245","Espacenet")</f>
        <v>0.0</v>
      </c>
      <c r="I75" s="2" t="n">
        <f>HYPERLINK("https://ppubs.uspto.gov/pubwebapp/external.html?q=20220143245.pn.","USPTO")</f>
        <v>0.0</v>
      </c>
      <c r="J75" s="2" t="n">
        <f>HYPERLINK("https://image-ppubs.uspto.gov/dirsearch-public/print/downloadPdf/20220143245","USPTO PDF")</f>
        <v>0.0</v>
      </c>
      <c r="K75" s="2" t="n">
        <f>HYPERLINK("https://sectors.patentforecast.com/pmd/US20220143245","PMD")</f>
        <v>0.0</v>
      </c>
      <c r="L75" s="2" t="n">
        <f>HYPERLINK("https://globaldossier.uspto.gov/result/application/US/17244553/1","US20220143245")</f>
        <v>0.0</v>
      </c>
      <c r="M75" t="s">
        <v>595</v>
      </c>
      <c r="N75" t="s">
        <v>596</v>
      </c>
      <c r="O75" t="s">
        <v>597</v>
      </c>
      <c r="P75" t="s">
        <v>598</v>
      </c>
      <c r="Q75" s="3" t="n">
        <v>44315.0</v>
      </c>
      <c r="R75" s="3" t="n">
        <v>44693.0</v>
      </c>
      <c r="S75" s="3" t="n">
        <v>44694.23058106482</v>
      </c>
      <c r="T75" s="3" t="n">
        <v>44698.401453784725</v>
      </c>
      <c r="U75" t="s">
        <v>31</v>
      </c>
      <c r="V75" t="s">
        <v>599</v>
      </c>
    </row>
    <row r="76">
      <c r="A76" t="s">
        <v>22</v>
      </c>
      <c r="B76" t="s">
        <v>600</v>
      </c>
      <c r="C76" t="s">
        <v>24</v>
      </c>
      <c r="D76" t="s">
        <v>100</v>
      </c>
      <c r="E76" t="s">
        <v>601</v>
      </c>
      <c r="F76" s="2" t="n">
        <f>HYPERLINK("https://patents.google.com/patent/US20220143240","Google")</f>
        <v>0.0</v>
      </c>
      <c r="G76" s="2" t="n">
        <f>HYPERLINK("https://patentcenter.uspto.gov/applications/17523586","Patent Center")</f>
        <v>0.0</v>
      </c>
      <c r="H76" s="2" t="n">
        <f>HYPERLINK("https://worldwide.espacenet.com/patent/search?q=US20220143240","Espacenet")</f>
        <v>0.0</v>
      </c>
      <c r="I76" s="2" t="n">
        <f>HYPERLINK("https://ppubs.uspto.gov/pubwebapp/external.html?q=20220143240.pn.","USPTO")</f>
        <v>0.0</v>
      </c>
      <c r="J76" s="2" t="n">
        <f>HYPERLINK("https://image-ppubs.uspto.gov/dirsearch-public/print/downloadPdf/20220143240","USPTO PDF")</f>
        <v>0.0</v>
      </c>
      <c r="K76" s="2" t="n">
        <f>HYPERLINK("https://sectors.patentforecast.com/pmd/US20220143240","PMD")</f>
        <v>0.0</v>
      </c>
      <c r="L76" s="2" t="n">
        <f>HYPERLINK("https://globaldossier.uspto.gov/result/application/US/17523586/1","US20220143240")</f>
        <v>0.0</v>
      </c>
      <c r="M76" t="s">
        <v>602</v>
      </c>
      <c r="N76" t="s">
        <v>603</v>
      </c>
      <c r="O76" t="s">
        <v>604</v>
      </c>
      <c r="P76" t="s">
        <v>605</v>
      </c>
      <c r="Q76" s="3" t="n">
        <v>44510.0</v>
      </c>
      <c r="R76" s="3" t="n">
        <v>44693.0</v>
      </c>
      <c r="S76" s="3" t="n">
        <v>44694.23058106482</v>
      </c>
      <c r="T76" s="3" t="n">
        <v>44698.40154113426</v>
      </c>
      <c r="U76" t="s">
        <v>606</v>
      </c>
      <c r="V76" t="s">
        <v>607</v>
      </c>
    </row>
    <row r="77">
      <c r="A77" t="s">
        <v>22</v>
      </c>
      <c r="B77" t="s">
        <v>608</v>
      </c>
      <c r="C77" t="s">
        <v>60</v>
      </c>
      <c r="D77" t="s">
        <v>61</v>
      </c>
      <c r="E77" t="s">
        <v>609</v>
      </c>
      <c r="F77" s="2" t="n">
        <f>HYPERLINK("https://patents.google.com/patent/US20220143172","Google")</f>
        <v>0.0</v>
      </c>
      <c r="G77" s="2" t="n">
        <f>HYPERLINK("https://patentcenter.uspto.gov/applications/17453826","Patent Center")</f>
        <v>0.0</v>
      </c>
      <c r="H77" s="2" t="n">
        <f>HYPERLINK("https://worldwide.espacenet.com/patent/search?q=US20220143172","Espacenet")</f>
        <v>0.0</v>
      </c>
      <c r="I77" s="2" t="n">
        <f>HYPERLINK("https://ppubs.uspto.gov/pubwebapp/external.html?q=20220143172.pn.","USPTO")</f>
        <v>0.0</v>
      </c>
      <c r="J77" s="2" t="n">
        <f>HYPERLINK("https://image-ppubs.uspto.gov/dirsearch-public/print/downloadPdf/20220143172","USPTO PDF")</f>
        <v>0.0</v>
      </c>
      <c r="K77" s="2" t="n">
        <f>HYPERLINK("https://sectors.patentforecast.com/pmd/US20220143172","PMD")</f>
        <v>0.0</v>
      </c>
      <c r="L77" s="2" t="n">
        <f>HYPERLINK("https://globaldossier.uspto.gov/result/application/US/17453826/1","US20220143172")</f>
        <v>0.0</v>
      </c>
      <c r="M77" t="s">
        <v>610</v>
      </c>
      <c r="N77" t="s">
        <v>611</v>
      </c>
      <c r="O77" t="s">
        <v>612</v>
      </c>
      <c r="P77" t="s">
        <v>613</v>
      </c>
      <c r="Q77" s="3" t="n">
        <v>44505.0</v>
      </c>
      <c r="R77" s="3" t="n">
        <v>44693.0</v>
      </c>
      <c r="S77" s="3" t="n">
        <v>44694.233000659726</v>
      </c>
      <c r="T77" s="3" t="n">
        <v>44698.4019487037</v>
      </c>
      <c r="U77" t="s">
        <v>31</v>
      </c>
      <c r="V77" t="s">
        <v>614</v>
      </c>
    </row>
    <row r="78">
      <c r="A78" t="s">
        <v>22</v>
      </c>
      <c r="B78" t="s">
        <v>615</v>
      </c>
      <c r="C78" t="s">
        <v>561</v>
      </c>
      <c r="D78" t="s">
        <v>616</v>
      </c>
      <c r="E78" t="s">
        <v>617</v>
      </c>
      <c r="F78" s="2" t="n">
        <f>HYPERLINK("https://patents.google.com/patent/US20220143123","Google")</f>
        <v>0.0</v>
      </c>
      <c r="G78" s="2" t="n">
        <f>HYPERLINK("https://patentcenter.uspto.gov/applications/17473741","Patent Center")</f>
        <v>0.0</v>
      </c>
      <c r="H78" s="2" t="n">
        <f>HYPERLINK("https://worldwide.espacenet.com/patent/search?q=US20220143123","Espacenet")</f>
        <v>0.0</v>
      </c>
      <c r="I78" s="2" t="n">
        <f>HYPERLINK("https://ppubs.uspto.gov/pubwebapp/external.html?q=20220143123.pn.","USPTO")</f>
        <v>0.0</v>
      </c>
      <c r="J78" s="2" t="n">
        <f>HYPERLINK("https://image-ppubs.uspto.gov/dirsearch-public/print/downloadPdf/20220143123","USPTO PDF")</f>
        <v>0.0</v>
      </c>
      <c r="K78" s="2" t="n">
        <f>HYPERLINK("https://sectors.patentforecast.com/pmd/US20220143123","PMD")</f>
        <v>0.0</v>
      </c>
      <c r="L78" s="2" t="n">
        <f>HYPERLINK("https://globaldossier.uspto.gov/result/application/US/17473741/1","US20220143123")</f>
        <v>0.0</v>
      </c>
      <c r="M78" t="s">
        <v>618</v>
      </c>
      <c r="N78" t="s">
        <v>619</v>
      </c>
      <c r="O78" t="s">
        <v>620</v>
      </c>
      <c r="P78" t="s">
        <v>621</v>
      </c>
      <c r="Q78" s="3" t="n">
        <v>44452.0</v>
      </c>
      <c r="R78" s="3" t="n">
        <v>44693.0</v>
      </c>
      <c r="S78" s="3" t="n">
        <v>44694.23058106482</v>
      </c>
      <c r="T78" s="3" t="n">
        <v>44698.403399236115</v>
      </c>
      <c r="U78" t="s">
        <v>622</v>
      </c>
      <c r="V78" t="s">
        <v>623</v>
      </c>
    </row>
    <row r="79">
      <c r="A79" t="s">
        <v>22</v>
      </c>
      <c r="B79" t="s">
        <v>624</v>
      </c>
      <c r="C79" t="s">
        <v>24</v>
      </c>
      <c r="D79" t="s">
        <v>204</v>
      </c>
      <c r="E79" t="s">
        <v>625</v>
      </c>
      <c r="F79" s="2" t="n">
        <f>HYPERLINK("https://patents.google.com/patent/US20220143121","Google")</f>
        <v>0.0</v>
      </c>
      <c r="G79" s="2" t="n">
        <f>HYPERLINK("https://patentcenter.uspto.gov/applications/17602234","Patent Center")</f>
        <v>0.0</v>
      </c>
      <c r="H79" s="2" t="n">
        <f>HYPERLINK("https://worldwide.espacenet.com/patent/search?q=US20220143121","Espacenet")</f>
        <v>0.0</v>
      </c>
      <c r="I79" s="2" t="n">
        <f>HYPERLINK("https://ppubs.uspto.gov/pubwebapp/external.html?q=20220143121.pn.","USPTO")</f>
        <v>0.0</v>
      </c>
      <c r="J79" s="2" t="n">
        <f>HYPERLINK("https://image-ppubs.uspto.gov/dirsearch-public/print/downloadPdf/20220143121","USPTO PDF")</f>
        <v>0.0</v>
      </c>
      <c r="K79" s="2" t="n">
        <f>HYPERLINK("https://sectors.patentforecast.com/pmd/US20220143121","PMD")</f>
        <v>0.0</v>
      </c>
      <c r="L79" s="2" t="n">
        <f>HYPERLINK("https://globaldossier.uspto.gov/result/application/US/17602234/1","US20220143121")</f>
        <v>0.0</v>
      </c>
      <c r="M79" t="s">
        <v>626</v>
      </c>
      <c r="N79" t="s">
        <v>627</v>
      </c>
      <c r="O79" t="s">
        <v>628</v>
      </c>
      <c r="P79" t="s">
        <v>629</v>
      </c>
      <c r="Q79" s="3" t="n">
        <v>44287.0</v>
      </c>
      <c r="R79" s="3" t="n">
        <v>44693.0</v>
      </c>
      <c r="S79" s="3" t="n">
        <v>44694.23058106482</v>
      </c>
      <c r="T79" s="3" t="n">
        <v>44698.45720493056</v>
      </c>
      <c r="U79" t="s">
        <v>31</v>
      </c>
      <c r="V79" t="s">
        <v>630</v>
      </c>
    </row>
    <row r="80">
      <c r="A80" t="s">
        <v>22</v>
      </c>
      <c r="B80" t="s">
        <v>631</v>
      </c>
      <c r="C80" t="s">
        <v>60</v>
      </c>
      <c r="D80" t="s">
        <v>61</v>
      </c>
      <c r="E80" t="s">
        <v>632</v>
      </c>
      <c r="F80" s="2" t="n">
        <f>HYPERLINK("https://patents.google.com/patent/US20220143093","Google")</f>
        <v>0.0</v>
      </c>
      <c r="G80" s="2" t="n">
        <f>HYPERLINK("https://patentcenter.uspto.gov/applications/17586749","Patent Center")</f>
        <v>0.0</v>
      </c>
      <c r="H80" s="2" t="n">
        <f>HYPERLINK("https://worldwide.espacenet.com/patent/search?q=US20220143093","Espacenet")</f>
        <v>0.0</v>
      </c>
      <c r="I80" s="2" t="n">
        <f>HYPERLINK("https://ppubs.uspto.gov/pubwebapp/external.html?q=20220143093.pn.","USPTO")</f>
        <v>0.0</v>
      </c>
      <c r="J80" s="2" t="n">
        <f>HYPERLINK("https://image-ppubs.uspto.gov/dirsearch-public/print/downloadPdf/20220143093","USPTO PDF")</f>
        <v>0.0</v>
      </c>
      <c r="K80" s="2" t="n">
        <f>HYPERLINK("https://sectors.patentforecast.com/pmd/US20220143093","PMD")</f>
        <v>0.0</v>
      </c>
      <c r="L80" s="2" t="n">
        <f>HYPERLINK("https://globaldossier.uspto.gov/result/application/US/17586749/1","US20220143093")</f>
        <v>0.0</v>
      </c>
      <c r="M80" t="s">
        <v>633</v>
      </c>
      <c r="N80" t="s">
        <v>634</v>
      </c>
      <c r="O80" t="s">
        <v>635</v>
      </c>
      <c r="P80" t="s">
        <v>636</v>
      </c>
      <c r="Q80" s="3" t="n">
        <v>44588.0</v>
      </c>
      <c r="R80" s="3" t="n">
        <v>44693.0</v>
      </c>
      <c r="S80" s="3" t="n">
        <v>44694.23058106482</v>
      </c>
      <c r="T80" s="3" t="n">
        <v>44698.45731820602</v>
      </c>
      <c r="U80" t="s">
        <v>31</v>
      </c>
      <c r="V80" t="s">
        <v>637</v>
      </c>
    </row>
    <row r="81">
      <c r="A81" t="s">
        <v>22</v>
      </c>
      <c r="B81" t="s">
        <v>638</v>
      </c>
      <c r="C81" t="s">
        <v>132</v>
      </c>
      <c r="D81" t="s">
        <v>639</v>
      </c>
      <c r="E81" t="s">
        <v>640</v>
      </c>
      <c r="F81" s="2" t="n">
        <f>HYPERLINK("https://patents.google.com/patent/US20220143081","Google")</f>
        <v>0.0</v>
      </c>
      <c r="G81" s="2" t="n">
        <f>HYPERLINK("https://patentcenter.uspto.gov/applications/17523105","Patent Center")</f>
        <v>0.0</v>
      </c>
      <c r="H81" s="2" t="n">
        <f>HYPERLINK("https://worldwide.espacenet.com/patent/search?q=US20220143081","Espacenet")</f>
        <v>0.0</v>
      </c>
      <c r="I81" s="2" t="n">
        <f>HYPERLINK("https://ppubs.uspto.gov/pubwebapp/external.html?q=20220143081.pn.","USPTO")</f>
        <v>0.0</v>
      </c>
      <c r="J81" s="2" t="n">
        <f>HYPERLINK("https://image-ppubs.uspto.gov/dirsearch-public/print/downloadPdf/20220143081","USPTO PDF")</f>
        <v>0.0</v>
      </c>
      <c r="K81" s="2" t="n">
        <f>HYPERLINK("https://sectors.patentforecast.com/pmd/US20220143081","PMD")</f>
        <v>0.0</v>
      </c>
      <c r="L81" s="2" t="n">
        <f>HYPERLINK("https://globaldossier.uspto.gov/result/application/US/17523105/1","US20220143081")</f>
        <v>0.0</v>
      </c>
      <c r="M81" t="s">
        <v>641</v>
      </c>
      <c r="N81" t="s">
        <v>642</v>
      </c>
      <c r="O81" t="s">
        <v>643</v>
      </c>
      <c r="P81" t="s">
        <v>644</v>
      </c>
      <c r="Q81" s="3" t="n">
        <v>44510.0</v>
      </c>
      <c r="R81" s="3" t="n">
        <v>44693.0</v>
      </c>
      <c r="S81" s="3" t="n">
        <v>44694.23058106482</v>
      </c>
      <c r="T81" s="3" t="n">
        <v>44698.45820890046</v>
      </c>
      <c r="U81" t="s">
        <v>31</v>
      </c>
      <c r="V81" t="s">
        <v>645</v>
      </c>
    </row>
    <row r="82">
      <c r="A82" t="s">
        <v>22</v>
      </c>
      <c r="B82" t="s">
        <v>646</v>
      </c>
      <c r="C82" t="s">
        <v>24</v>
      </c>
      <c r="D82" t="s">
        <v>204</v>
      </c>
      <c r="E82" t="s">
        <v>647</v>
      </c>
      <c r="F82" s="2" t="n">
        <f>HYPERLINK("https://patents.google.com/patent/US20220143080","Google")</f>
        <v>0.0</v>
      </c>
      <c r="G82" s="2" t="n">
        <f>HYPERLINK("https://patentcenter.uspto.gov/applications/17525841","Patent Center")</f>
        <v>0.0</v>
      </c>
      <c r="H82" s="2" t="n">
        <f>HYPERLINK("https://worldwide.espacenet.com/patent/search?q=US20220143080","Espacenet")</f>
        <v>0.0</v>
      </c>
      <c r="I82" s="2" t="n">
        <f>HYPERLINK("https://ppubs.uspto.gov/pubwebapp/external.html?q=20220143080.pn.","USPTO")</f>
        <v>0.0</v>
      </c>
      <c r="J82" s="2" t="n">
        <f>HYPERLINK("https://image-ppubs.uspto.gov/dirsearch-public/print/downloadPdf/20220143080","USPTO PDF")</f>
        <v>0.0</v>
      </c>
      <c r="K82" s="2" t="n">
        <f>HYPERLINK("https://sectors.patentforecast.com/pmd/US20220143080","PMD")</f>
        <v>0.0</v>
      </c>
      <c r="L82" s="2" t="n">
        <f>HYPERLINK("https://globaldossier.uspto.gov/result/application/US/17525841/1","US20220143080")</f>
        <v>0.0</v>
      </c>
      <c r="M82" t="s">
        <v>648</v>
      </c>
      <c r="N82" t="s">
        <v>649</v>
      </c>
      <c r="O82" t="s">
        <v>650</v>
      </c>
      <c r="P82" t="s">
        <v>651</v>
      </c>
      <c r="Q82" s="3" t="n">
        <v>44512.0</v>
      </c>
      <c r="R82" s="3" t="n">
        <v>44693.0</v>
      </c>
      <c r="S82" s="3" t="n">
        <v>44694.23058106482</v>
      </c>
      <c r="T82" s="3" t="n">
        <v>44698.45869620371</v>
      </c>
      <c r="U82" t="s">
        <v>652</v>
      </c>
      <c r="V82" t="s">
        <v>653</v>
      </c>
    </row>
    <row r="83">
      <c r="A83" t="s">
        <v>22</v>
      </c>
      <c r="B83" t="s">
        <v>654</v>
      </c>
      <c r="C83" t="s">
        <v>24</v>
      </c>
      <c r="D83" t="s">
        <v>204</v>
      </c>
      <c r="E83" t="s">
        <v>655</v>
      </c>
      <c r="F83" s="2" t="n">
        <f>HYPERLINK("https://patents.google.com/patent/US20220143057","Google")</f>
        <v>0.0</v>
      </c>
      <c r="G83" s="2" t="n">
        <f>HYPERLINK("https://patentcenter.uspto.gov/applications/17094297","Patent Center")</f>
        <v>0.0</v>
      </c>
      <c r="H83" s="2" t="n">
        <f>HYPERLINK("https://worldwide.espacenet.com/patent/search?q=US20220143057","Espacenet")</f>
        <v>0.0</v>
      </c>
      <c r="I83" s="2" t="n">
        <f>HYPERLINK("https://ppubs.uspto.gov/pubwebapp/external.html?q=20220143057.pn.","USPTO")</f>
        <v>0.0</v>
      </c>
      <c r="J83" s="2" t="n">
        <f>HYPERLINK("https://image-ppubs.uspto.gov/dirsearch-public/print/downloadPdf/20220143057","USPTO PDF")</f>
        <v>0.0</v>
      </c>
      <c r="K83" s="2" t="n">
        <f>HYPERLINK("https://sectors.patentforecast.com/pmd/US20220143057","PMD")</f>
        <v>0.0</v>
      </c>
      <c r="L83" s="2" t="n">
        <f>HYPERLINK("https://globaldossier.uspto.gov/result/application/US/17094297/1","US20220143057")</f>
        <v>0.0</v>
      </c>
      <c r="M83" t="s">
        <v>656</v>
      </c>
      <c r="N83" t="s">
        <v>657</v>
      </c>
      <c r="O83" t="s">
        <v>658</v>
      </c>
      <c r="P83" t="s">
        <v>659</v>
      </c>
      <c r="Q83" s="3" t="n">
        <v>44145.0</v>
      </c>
      <c r="R83" s="3" t="n">
        <v>44693.0</v>
      </c>
      <c r="S83" s="3" t="n">
        <v>44694.23058106482</v>
      </c>
      <c r="T83" s="3" t="n">
        <v>44698.459852465276</v>
      </c>
      <c r="U83" t="s">
        <v>31</v>
      </c>
      <c r="V83" t="s">
        <v>660</v>
      </c>
    </row>
    <row r="84">
      <c r="A84" t="s">
        <v>22</v>
      </c>
      <c r="B84" t="s">
        <v>661</v>
      </c>
      <c r="C84" t="s">
        <v>24</v>
      </c>
      <c r="D84" t="s">
        <v>204</v>
      </c>
      <c r="E84" t="s">
        <v>662</v>
      </c>
      <c r="F84" s="2" t="n">
        <f>HYPERLINK("https://patents.google.com/patent/US20220143052","Google")</f>
        <v>0.0</v>
      </c>
      <c r="G84" s="2" t="n">
        <f>HYPERLINK("https://patentcenter.uspto.gov/applications/17502559","Patent Center")</f>
        <v>0.0</v>
      </c>
      <c r="H84" s="2" t="n">
        <f>HYPERLINK("https://worldwide.espacenet.com/patent/search?q=US20220143052","Espacenet")</f>
        <v>0.0</v>
      </c>
      <c r="I84" s="2" t="n">
        <f>HYPERLINK("https://ppubs.uspto.gov/pubwebapp/external.html?q=20220143052.pn.","USPTO")</f>
        <v>0.0</v>
      </c>
      <c r="J84" s="2" t="n">
        <f>HYPERLINK("https://image-ppubs.uspto.gov/dirsearch-public/print/downloadPdf/20220143052","USPTO PDF")</f>
        <v>0.0</v>
      </c>
      <c r="K84" s="2" t="n">
        <f>HYPERLINK("https://sectors.patentforecast.com/pmd/US20220143052","PMD")</f>
        <v>0.0</v>
      </c>
      <c r="L84" s="2" t="n">
        <f>HYPERLINK("https://globaldossier.uspto.gov/result/application/US/17502559/1","US20220143052")</f>
        <v>0.0</v>
      </c>
      <c r="M84" t="s">
        <v>663</v>
      </c>
      <c r="N84" t="s">
        <v>664</v>
      </c>
      <c r="O84" t="s">
        <v>665</v>
      </c>
      <c r="P84" t="s">
        <v>666</v>
      </c>
      <c r="Q84" s="3" t="n">
        <v>44484.0</v>
      </c>
      <c r="R84" s="3" t="n">
        <v>44693.0</v>
      </c>
      <c r="S84" s="3" t="n">
        <v>44694.22953638889</v>
      </c>
      <c r="T84" s="3" t="n">
        <v>44698.460766365744</v>
      </c>
      <c r="U84" t="s">
        <v>31</v>
      </c>
      <c r="V84" t="s">
        <v>667</v>
      </c>
    </row>
    <row r="85">
      <c r="A85" t="s">
        <v>22</v>
      </c>
      <c r="B85" t="s">
        <v>668</v>
      </c>
      <c r="C85" t="s">
        <v>496</v>
      </c>
      <c r="D85" t="s">
        <v>669</v>
      </c>
      <c r="E85" t="s">
        <v>670</v>
      </c>
      <c r="F85" s="2" t="n">
        <f>HYPERLINK("https://patents.google.com/patent/US20220143040","Google")</f>
        <v>0.0</v>
      </c>
      <c r="G85" s="2" t="n">
        <f>HYPERLINK("https://patentcenter.uspto.gov/applications/17562973","Patent Center")</f>
        <v>0.0</v>
      </c>
      <c r="H85" s="2" t="n">
        <f>HYPERLINK("https://worldwide.espacenet.com/patent/search?q=US20220143040","Espacenet")</f>
        <v>0.0</v>
      </c>
      <c r="I85" s="2" t="n">
        <f>HYPERLINK("https://ppubs.uspto.gov/pubwebapp/external.html?q=20220143040.pn.","USPTO")</f>
        <v>0.0</v>
      </c>
      <c r="J85" s="2" t="n">
        <f>HYPERLINK("https://image-ppubs.uspto.gov/dirsearch-public/print/downloadPdf/20220143040","USPTO PDF")</f>
        <v>0.0</v>
      </c>
      <c r="K85" s="2" t="n">
        <f>HYPERLINK("https://sectors.patentforecast.com/pmd/US20220143040","PMD")</f>
        <v>0.0</v>
      </c>
      <c r="L85" s="2" t="n">
        <f>HYPERLINK("https://globaldossier.uspto.gov/result/application/US/17562973/1","US20220143040")</f>
        <v>0.0</v>
      </c>
      <c r="M85" t="s">
        <v>671</v>
      </c>
      <c r="N85" t="s">
        <v>672</v>
      </c>
      <c r="O85" t="s">
        <v>673</v>
      </c>
      <c r="P85" t="s">
        <v>674</v>
      </c>
      <c r="Q85" s="3" t="n">
        <v>44557.0</v>
      </c>
      <c r="R85" s="3" t="n">
        <v>44693.0</v>
      </c>
      <c r="S85" s="3" t="n">
        <v>44694.22953638889</v>
      </c>
      <c r="T85" s="3" t="n">
        <v>44698.46313979167</v>
      </c>
      <c r="U85" t="s">
        <v>675</v>
      </c>
      <c r="V85" t="s">
        <v>676</v>
      </c>
    </row>
    <row r="86">
      <c r="A86" t="s">
        <v>22</v>
      </c>
      <c r="B86" t="s">
        <v>677</v>
      </c>
      <c r="C86" t="s">
        <v>561</v>
      </c>
      <c r="D86" t="s">
        <v>678</v>
      </c>
      <c r="E86" t="s">
        <v>679</v>
      </c>
      <c r="F86" s="2" t="n">
        <f>HYPERLINK("https://patents.google.com/patent/US20220142992","Google")</f>
        <v>0.0</v>
      </c>
      <c r="G86" s="2" t="n">
        <f>HYPERLINK("https://patentcenter.uspto.gov/applications/17523323","Patent Center")</f>
        <v>0.0</v>
      </c>
      <c r="H86" s="2" t="n">
        <f>HYPERLINK("https://worldwide.espacenet.com/patent/search?q=US20220142992","Espacenet")</f>
        <v>0.0</v>
      </c>
      <c r="I86" s="2" t="n">
        <f>HYPERLINK("https://ppubs.uspto.gov/pubwebapp/external.html?q=20220142992.pn.","USPTO")</f>
        <v>0.0</v>
      </c>
      <c r="J86" s="2" t="n">
        <f>HYPERLINK("https://image-ppubs.uspto.gov/dirsearch-public/print/downloadPdf/20220142992","USPTO PDF")</f>
        <v>0.0</v>
      </c>
      <c r="K86" s="2" t="n">
        <f>HYPERLINK("https://sectors.patentforecast.com/pmd/US20220142992","PMD")</f>
        <v>0.0</v>
      </c>
      <c r="L86" s="2" t="n">
        <f>HYPERLINK("https://globaldossier.uspto.gov/result/application/US/17523323/1","US20220142992")</f>
        <v>0.0</v>
      </c>
      <c r="M86" t="s">
        <v>680</v>
      </c>
      <c r="N86" t="s">
        <v>681</v>
      </c>
      <c r="O86" t="s">
        <v>682</v>
      </c>
      <c r="P86" t="s">
        <v>683</v>
      </c>
      <c r="Q86" s="3" t="n">
        <v>44510.0</v>
      </c>
      <c r="R86" s="3" t="n">
        <v>44693.0</v>
      </c>
      <c r="S86" s="3" t="n">
        <v>44694.22953638889</v>
      </c>
      <c r="T86" s="3" t="n">
        <v>44698.46430142361</v>
      </c>
      <c r="U86" t="s">
        <v>684</v>
      </c>
      <c r="V86" t="s">
        <v>685</v>
      </c>
    </row>
    <row r="87">
      <c r="A87" t="s">
        <v>22</v>
      </c>
      <c r="B87" t="s">
        <v>686</v>
      </c>
      <c r="C87" t="s">
        <v>687</v>
      </c>
      <c r="D87" t="s">
        <v>688</v>
      </c>
      <c r="E87" t="s">
        <v>689</v>
      </c>
      <c r="F87" s="2" t="n">
        <f>HYPERLINK("https://patents.google.com/patent/US20220142976","Google")</f>
        <v>0.0</v>
      </c>
      <c r="G87" s="2" t="n">
        <f>HYPERLINK("https://patentcenter.uspto.gov/applications/17554091","Patent Center")</f>
        <v>0.0</v>
      </c>
      <c r="H87" s="2" t="n">
        <f>HYPERLINK("https://worldwide.espacenet.com/patent/search?q=US20220142976","Espacenet")</f>
        <v>0.0</v>
      </c>
      <c r="I87" s="2" t="n">
        <f>HYPERLINK("https://ppubs.uspto.gov/pubwebapp/external.html?q=20220142976.pn.","USPTO")</f>
        <v>0.0</v>
      </c>
      <c r="J87" s="2" t="n">
        <f>HYPERLINK("https://image-ppubs.uspto.gov/dirsearch-public/print/downloadPdf/20220142976","USPTO PDF")</f>
        <v>0.0</v>
      </c>
      <c r="K87" s="2" t="n">
        <f>HYPERLINK("https://sectors.patentforecast.com/pmd/US20220142976","PMD")</f>
        <v>0.0</v>
      </c>
      <c r="L87" s="2" t="n">
        <f>HYPERLINK("https://globaldossier.uspto.gov/result/application/US/17554091/1","US20220142976")</f>
        <v>0.0</v>
      </c>
      <c r="M87" t="s">
        <v>690</v>
      </c>
      <c r="N87" t="s">
        <v>691</v>
      </c>
      <c r="O87" t="s">
        <v>692</v>
      </c>
      <c r="P87" t="s">
        <v>693</v>
      </c>
      <c r="Q87" s="3" t="n">
        <v>44547.0</v>
      </c>
      <c r="R87" s="3" t="n">
        <v>44693.0</v>
      </c>
      <c r="S87" s="3" t="n">
        <v>44694.23034434028</v>
      </c>
      <c r="T87" s="3" t="n">
        <v>44698.46480148148</v>
      </c>
      <c r="U87" t="s">
        <v>31</v>
      </c>
      <c r="V87" t="s">
        <v>694</v>
      </c>
    </row>
    <row r="88">
      <c r="A88" t="s">
        <v>22</v>
      </c>
      <c r="B88" t="s">
        <v>695</v>
      </c>
      <c r="C88" t="s">
        <v>60</v>
      </c>
      <c r="D88" t="s">
        <v>696</v>
      </c>
      <c r="E88" t="s">
        <v>697</v>
      </c>
      <c r="F88" s="2" t="n">
        <f>HYPERLINK("https://patents.google.com/patent/US20220142947","Google")</f>
        <v>0.0</v>
      </c>
      <c r="G88" s="2" t="n">
        <f>HYPERLINK("https://patentcenter.uspto.gov/applications/17565556","Patent Center")</f>
        <v>0.0</v>
      </c>
      <c r="H88" s="2" t="n">
        <f>HYPERLINK("https://worldwide.espacenet.com/patent/search?q=US20220142947","Espacenet")</f>
        <v>0.0</v>
      </c>
      <c r="I88" s="2" t="n">
        <f>HYPERLINK("https://ppubs.uspto.gov/pubwebapp/external.html?q=20220142947.pn.","USPTO")</f>
        <v>0.0</v>
      </c>
      <c r="J88" s="2" t="n">
        <f>HYPERLINK("https://image-ppubs.uspto.gov/dirsearch-public/print/downloadPdf/20220142947","USPTO PDF")</f>
        <v>0.0</v>
      </c>
      <c r="K88" s="2" t="n">
        <f>HYPERLINK("https://sectors.patentforecast.com/pmd/US20220142947","PMD")</f>
        <v>0.0</v>
      </c>
      <c r="L88" s="2" t="n">
        <f>HYPERLINK("https://globaldossier.uspto.gov/result/application/US/17565556/1","US20220142947")</f>
        <v>0.0</v>
      </c>
      <c r="M88" t="s">
        <v>698</v>
      </c>
      <c r="N88" t="s">
        <v>699</v>
      </c>
      <c r="O88" t="s">
        <v>700</v>
      </c>
      <c r="P88" t="s">
        <v>701</v>
      </c>
      <c r="Q88" s="3" t="n">
        <v>44560.0</v>
      </c>
      <c r="R88" s="3" t="n">
        <v>44693.0</v>
      </c>
      <c r="S88" s="3" t="n">
        <v>44694.23034434028</v>
      </c>
      <c r="T88" s="3" t="n">
        <v>44698.53248861111</v>
      </c>
      <c r="U88" t="s">
        <v>702</v>
      </c>
      <c r="V88" t="s">
        <v>703</v>
      </c>
    </row>
    <row r="89">
      <c r="A89" t="s">
        <v>22</v>
      </c>
      <c r="B89" t="s">
        <v>704</v>
      </c>
      <c r="C89" t="s">
        <v>60</v>
      </c>
      <c r="D89" t="s">
        <v>696</v>
      </c>
      <c r="E89" t="s">
        <v>697</v>
      </c>
      <c r="F89" s="2" t="n">
        <f>HYPERLINK("https://patents.google.com/patent/US20220142913","Google")</f>
        <v>0.0</v>
      </c>
      <c r="G89" s="2" t="n">
        <f>HYPERLINK("https://patentcenter.uspto.gov/applications/17585170","Patent Center")</f>
        <v>0.0</v>
      </c>
      <c r="H89" s="2" t="n">
        <f>HYPERLINK("https://worldwide.espacenet.com/patent/search?q=US20220142913","Espacenet")</f>
        <v>0.0</v>
      </c>
      <c r="I89" s="2" t="n">
        <f>HYPERLINK("https://ppubs.uspto.gov/pubwebapp/external.html?q=20220142913.pn.","USPTO")</f>
        <v>0.0</v>
      </c>
      <c r="J89" s="2" t="n">
        <f>HYPERLINK("https://image-ppubs.uspto.gov/dirsearch-public/print/downloadPdf/20220142913","USPTO PDF")</f>
        <v>0.0</v>
      </c>
      <c r="K89" s="2" t="n">
        <f>HYPERLINK("https://sectors.patentforecast.com/pmd/US20220142913","PMD")</f>
        <v>0.0</v>
      </c>
      <c r="L89" s="2" t="n">
        <f>HYPERLINK("https://globaldossier.uspto.gov/result/application/US/17585170/1","US20220142913")</f>
        <v>0.0</v>
      </c>
      <c r="M89" t="s">
        <v>705</v>
      </c>
      <c r="N89" t="s">
        <v>699</v>
      </c>
      <c r="O89" t="s">
        <v>700</v>
      </c>
      <c r="P89" t="s">
        <v>701</v>
      </c>
      <c r="Q89" s="3" t="n">
        <v>44587.0</v>
      </c>
      <c r="R89" s="3" t="n">
        <v>44693.0</v>
      </c>
      <c r="S89" s="3" t="n">
        <v>44694.23034434028</v>
      </c>
      <c r="T89" s="3" t="n">
        <v>44698.532514212966</v>
      </c>
      <c r="U89" t="s">
        <v>706</v>
      </c>
      <c r="V89" t="s">
        <v>703</v>
      </c>
    </row>
    <row r="90">
      <c r="A90" t="s">
        <v>22</v>
      </c>
      <c r="B90" t="s">
        <v>707</v>
      </c>
      <c r="C90" t="s">
        <v>24</v>
      </c>
      <c r="D90" t="s">
        <v>69</v>
      </c>
      <c r="E90" t="s">
        <v>708</v>
      </c>
      <c r="F90" s="2" t="n">
        <f>HYPERLINK("https://patents.google.com/patent/US20220142882","Google")</f>
        <v>0.0</v>
      </c>
      <c r="G90" s="2" t="n">
        <f>HYPERLINK("https://patentcenter.uspto.gov/applications/17437521","Patent Center")</f>
        <v>0.0</v>
      </c>
      <c r="H90" s="2" t="n">
        <f>HYPERLINK("https://worldwide.espacenet.com/patent/search?q=US20220142882","Espacenet")</f>
        <v>0.0</v>
      </c>
      <c r="I90" s="2" t="n">
        <f>HYPERLINK("https://ppubs.uspto.gov/pubwebapp/external.html?q=20220142882.pn.","USPTO")</f>
        <v>0.0</v>
      </c>
      <c r="J90" s="2" t="n">
        <f>HYPERLINK("https://image-ppubs.uspto.gov/dirsearch-public/print/downloadPdf/20220142882","USPTO PDF")</f>
        <v>0.0</v>
      </c>
      <c r="K90" s="2" t="n">
        <f>HYPERLINK("https://sectors.patentforecast.com/pmd/US20220142882","PMD")</f>
        <v>0.0</v>
      </c>
      <c r="L90" s="2" t="n">
        <f>HYPERLINK("https://globaldossier.uspto.gov/result/application/US/17437521/1","US20220142882")</f>
        <v>0.0</v>
      </c>
      <c r="M90" t="s">
        <v>709</v>
      </c>
      <c r="N90" t="s">
        <v>710</v>
      </c>
      <c r="O90" t="s">
        <v>711</v>
      </c>
      <c r="P90" t="s">
        <v>712</v>
      </c>
      <c r="Q90" s="3" t="n">
        <v>43906.0</v>
      </c>
      <c r="R90" s="3" t="n">
        <v>44693.0</v>
      </c>
      <c r="S90" s="3" t="n">
        <v>44694.23034434028</v>
      </c>
      <c r="T90" s="3" t="n">
        <v>44698.47530657407</v>
      </c>
      <c r="U90" t="s">
        <v>31</v>
      </c>
      <c r="V90" t="s">
        <v>713</v>
      </c>
    </row>
    <row r="91">
      <c r="A91" t="s">
        <v>22</v>
      </c>
      <c r="B91" t="s">
        <v>714</v>
      </c>
      <c r="C91" t="s">
        <v>60</v>
      </c>
      <c r="D91" t="s">
        <v>715</v>
      </c>
      <c r="E91" t="s">
        <v>716</v>
      </c>
      <c r="F91" s="2" t="n">
        <f>HYPERLINK("https://patents.google.com/patent/US20220142673","Google")</f>
        <v>0.0</v>
      </c>
      <c r="G91" s="2" t="n">
        <f>HYPERLINK("https://patentcenter.uspto.gov/applications/17092761","Patent Center")</f>
        <v>0.0</v>
      </c>
      <c r="H91" s="2" t="n">
        <f>HYPERLINK("https://worldwide.espacenet.com/patent/search?q=US20220142673","Espacenet")</f>
        <v>0.0</v>
      </c>
      <c r="I91" s="2" t="n">
        <f>HYPERLINK("https://ppubs.uspto.gov/pubwebapp/external.html?q=20220142673.pn.","USPTO")</f>
        <v>0.0</v>
      </c>
      <c r="J91" s="2" t="n">
        <f>HYPERLINK("https://image-ppubs.uspto.gov/dirsearch-public/print/downloadPdf/20220142673","USPTO PDF")</f>
        <v>0.0</v>
      </c>
      <c r="K91" s="2" t="n">
        <f>HYPERLINK("https://sectors.patentforecast.com/pmd/US20220142673","PMD")</f>
        <v>0.0</v>
      </c>
      <c r="L91" s="2" t="n">
        <f>HYPERLINK("https://globaldossier.uspto.gov/result/application/US/17092761/1","US20220142673")</f>
        <v>0.0</v>
      </c>
      <c r="M91" t="s">
        <v>717</v>
      </c>
      <c r="N91" t="s">
        <v>718</v>
      </c>
      <c r="O91" t="s">
        <v>719</v>
      </c>
      <c r="P91" t="s">
        <v>720</v>
      </c>
      <c r="Q91" s="3" t="n">
        <v>44144.0</v>
      </c>
      <c r="R91" s="3" t="n">
        <v>44693.0</v>
      </c>
      <c r="S91" s="3" t="n">
        <v>44694.23034434028</v>
      </c>
      <c r="T91" s="3" t="n">
        <v>44698.53283753472</v>
      </c>
      <c r="U91" t="s">
        <v>721</v>
      </c>
      <c r="V91" t="s">
        <v>722</v>
      </c>
    </row>
    <row r="92">
      <c r="A92" t="s">
        <v>22</v>
      </c>
      <c r="B92" t="s">
        <v>723</v>
      </c>
      <c r="C92" t="s">
        <v>60</v>
      </c>
      <c r="D92" t="s">
        <v>715</v>
      </c>
      <c r="E92" t="s">
        <v>724</v>
      </c>
      <c r="F92" s="2" t="n">
        <f>HYPERLINK("https://patents.google.com/patent/US20220142670","Google")</f>
        <v>0.0</v>
      </c>
      <c r="G92" s="2" t="n">
        <f>HYPERLINK("https://patentcenter.uspto.gov/applications/17092710","Patent Center")</f>
        <v>0.0</v>
      </c>
      <c r="H92" s="2" t="n">
        <f>HYPERLINK("https://worldwide.espacenet.com/patent/search?q=US20220142670","Espacenet")</f>
        <v>0.0</v>
      </c>
      <c r="I92" s="2" t="n">
        <f>HYPERLINK("https://ppubs.uspto.gov/pubwebapp/external.html?q=20220142670.pn.","USPTO")</f>
        <v>0.0</v>
      </c>
      <c r="J92" s="2" t="n">
        <f>HYPERLINK("https://image-ppubs.uspto.gov/dirsearch-public/print/downloadPdf/20220142670","USPTO PDF")</f>
        <v>0.0</v>
      </c>
      <c r="K92" s="2" t="n">
        <f>HYPERLINK("https://sectors.patentforecast.com/pmd/US20220142670","PMD")</f>
        <v>0.0</v>
      </c>
      <c r="L92" s="2" t="n">
        <f>HYPERLINK("https://globaldossier.uspto.gov/result/application/US/17092710/1","US20220142670")</f>
        <v>0.0</v>
      </c>
      <c r="M92" t="s">
        <v>725</v>
      </c>
      <c r="N92" t="s">
        <v>718</v>
      </c>
      <c r="O92" t="s">
        <v>719</v>
      </c>
      <c r="P92" t="s">
        <v>720</v>
      </c>
      <c r="Q92" s="3" t="n">
        <v>44144.0</v>
      </c>
      <c r="R92" s="3" t="n">
        <v>44693.0</v>
      </c>
      <c r="S92" s="3" t="n">
        <v>44694.23034434028</v>
      </c>
      <c r="T92" s="3" t="n">
        <v>44698.53339372685</v>
      </c>
      <c r="U92" t="s">
        <v>31</v>
      </c>
      <c r="V92" t="s">
        <v>722</v>
      </c>
    </row>
    <row r="93">
      <c r="A93" t="s">
        <v>22</v>
      </c>
      <c r="B93" t="s">
        <v>726</v>
      </c>
      <c r="C93" t="s">
        <v>60</v>
      </c>
      <c r="D93" t="s">
        <v>715</v>
      </c>
      <c r="E93" t="s">
        <v>724</v>
      </c>
      <c r="F93" s="2" t="n">
        <f>HYPERLINK("https://patents.google.com/patent/US20220142669","Google")</f>
        <v>0.0</v>
      </c>
      <c r="G93" s="2" t="n">
        <f>HYPERLINK("https://patentcenter.uspto.gov/applications/17092652","Patent Center")</f>
        <v>0.0</v>
      </c>
      <c r="H93" s="2" t="n">
        <f>HYPERLINK("https://worldwide.espacenet.com/patent/search?q=US20220142669","Espacenet")</f>
        <v>0.0</v>
      </c>
      <c r="I93" s="2" t="n">
        <f>HYPERLINK("https://ppubs.uspto.gov/pubwebapp/external.html?q=20220142669.pn.","USPTO")</f>
        <v>0.0</v>
      </c>
      <c r="J93" s="2" t="n">
        <f>HYPERLINK("https://image-ppubs.uspto.gov/dirsearch-public/print/downloadPdf/20220142669","USPTO PDF")</f>
        <v>0.0</v>
      </c>
      <c r="K93" s="2" t="n">
        <f>HYPERLINK("https://sectors.patentforecast.com/pmd/US20220142669","PMD")</f>
        <v>0.0</v>
      </c>
      <c r="L93" s="2" t="n">
        <f>HYPERLINK("https://globaldossier.uspto.gov/result/application/US/17092652/1","US20220142669")</f>
        <v>0.0</v>
      </c>
      <c r="M93" t="s">
        <v>727</v>
      </c>
      <c r="N93" t="s">
        <v>718</v>
      </c>
      <c r="O93" t="s">
        <v>719</v>
      </c>
      <c r="P93" t="s">
        <v>720</v>
      </c>
      <c r="Q93" s="3" t="n">
        <v>44144.0</v>
      </c>
      <c r="R93" s="3" t="n">
        <v>44693.0</v>
      </c>
      <c r="S93" s="3" t="n">
        <v>44694.23034434028</v>
      </c>
      <c r="T93" s="3" t="n">
        <v>44698.533520717596</v>
      </c>
      <c r="U93" t="s">
        <v>31</v>
      </c>
      <c r="V93" t="s">
        <v>722</v>
      </c>
    </row>
    <row r="94">
      <c r="A94" t="s">
        <v>22</v>
      </c>
      <c r="B94" t="s">
        <v>728</v>
      </c>
      <c r="C94" t="s">
        <v>24</v>
      </c>
      <c r="D94" t="s">
        <v>365</v>
      </c>
      <c r="E94" t="s">
        <v>729</v>
      </c>
      <c r="F94" s="2" t="n">
        <f>HYPERLINK("https://patents.google.com/patent/US20220142619","Google")</f>
        <v>0.0</v>
      </c>
      <c r="G94" s="2" t="n">
        <f>HYPERLINK("https://patentcenter.uspto.gov/applications/17454728","Patent Center")</f>
        <v>0.0</v>
      </c>
      <c r="H94" s="2" t="n">
        <f>HYPERLINK("https://worldwide.espacenet.com/patent/search?q=US20220142619","Espacenet")</f>
        <v>0.0</v>
      </c>
      <c r="I94" s="2" t="n">
        <f>HYPERLINK("https://ppubs.uspto.gov/pubwebapp/external.html?q=20220142619.pn.","USPTO")</f>
        <v>0.0</v>
      </c>
      <c r="J94" s="2" t="n">
        <f>HYPERLINK("https://image-ppubs.uspto.gov/dirsearch-public/print/downloadPdf/20220142619","USPTO PDF")</f>
        <v>0.0</v>
      </c>
      <c r="K94" s="2" t="n">
        <f>HYPERLINK("https://sectors.patentforecast.com/pmd/US20220142619","PMD")</f>
        <v>0.0</v>
      </c>
      <c r="L94" s="2" t="n">
        <f>HYPERLINK("https://globaldossier.uspto.gov/result/application/US/17454728/1","US20220142619")</f>
        <v>0.0</v>
      </c>
      <c r="M94" t="s">
        <v>730</v>
      </c>
      <c r="N94" t="s">
        <v>731</v>
      </c>
      <c r="O94" t="s">
        <v>732</v>
      </c>
      <c r="P94" t="s">
        <v>733</v>
      </c>
      <c r="Q94" s="3" t="n">
        <v>44512.0</v>
      </c>
      <c r="R94" s="3" t="n">
        <v>44693.0</v>
      </c>
      <c r="S94" s="3" t="n">
        <v>44694.23034434028</v>
      </c>
      <c r="T94" s="3" t="n">
        <v>44698.53445104167</v>
      </c>
      <c r="U94" t="s">
        <v>734</v>
      </c>
      <c r="V94" t="s">
        <v>735</v>
      </c>
    </row>
    <row r="95">
      <c r="A95" t="s">
        <v>22</v>
      </c>
      <c r="B95" t="s">
        <v>736</v>
      </c>
      <c r="C95" t="s">
        <v>24</v>
      </c>
      <c r="D95" t="s">
        <v>25</v>
      </c>
      <c r="E95" t="s">
        <v>737</v>
      </c>
      <c r="F95" s="2" t="n">
        <f>HYPERLINK("https://patents.google.com/patent/US20220142534","Google")</f>
        <v>0.0</v>
      </c>
      <c r="G95" s="2" t="n">
        <f>HYPERLINK("https://patentcenter.uspto.gov/applications/17524237","Patent Center")</f>
        <v>0.0</v>
      </c>
      <c r="H95" s="2" t="n">
        <f>HYPERLINK("https://worldwide.espacenet.com/patent/search?q=US20220142534","Espacenet")</f>
        <v>0.0</v>
      </c>
      <c r="I95" s="2" t="n">
        <f>HYPERLINK("https://ppubs.uspto.gov/pubwebapp/external.html?q=20220142534.pn.","USPTO")</f>
        <v>0.0</v>
      </c>
      <c r="J95" s="2" t="n">
        <f>HYPERLINK("https://image-ppubs.uspto.gov/dirsearch-public/print/downloadPdf/20220142534","USPTO PDF")</f>
        <v>0.0</v>
      </c>
      <c r="K95" s="2" t="n">
        <f>HYPERLINK("https://sectors.patentforecast.com/pmd/US20220142534","PMD")</f>
        <v>0.0</v>
      </c>
      <c r="L95" s="2" t="n">
        <f>HYPERLINK("https://globaldossier.uspto.gov/result/application/US/17524237/1","US20220142534")</f>
        <v>0.0</v>
      </c>
      <c r="M95" t="s">
        <v>738</v>
      </c>
      <c r="N95" t="s">
        <v>739</v>
      </c>
      <c r="O95" t="s">
        <v>740</v>
      </c>
      <c r="P95" t="s">
        <v>741</v>
      </c>
      <c r="Q95" s="3" t="n">
        <v>44511.0</v>
      </c>
      <c r="R95" s="3" t="n">
        <v>44693.0</v>
      </c>
      <c r="S95" s="3" t="n">
        <v>44694.23034434028</v>
      </c>
      <c r="T95" s="3" t="n">
        <v>44698.53457256944</v>
      </c>
      <c r="U95" t="s">
        <v>31</v>
      </c>
      <c r="V95" t="s">
        <v>742</v>
      </c>
    </row>
    <row r="96">
      <c r="A96" t="s">
        <v>22</v>
      </c>
      <c r="B96" t="s">
        <v>743</v>
      </c>
      <c r="C96" t="s">
        <v>24</v>
      </c>
      <c r="D96" t="s">
        <v>25</v>
      </c>
      <c r="E96" t="s">
        <v>744</v>
      </c>
      <c r="F96" s="2" t="n">
        <f>HYPERLINK("https://patents.google.com/patent/US20220142531","Google")</f>
        <v>0.0</v>
      </c>
      <c r="G96" s="2" t="n">
        <f>HYPERLINK("https://patentcenter.uspto.gov/applications/17581415","Patent Center")</f>
        <v>0.0</v>
      </c>
      <c r="H96" s="2" t="n">
        <f>HYPERLINK("https://worldwide.espacenet.com/patent/search?q=US20220142531","Espacenet")</f>
        <v>0.0</v>
      </c>
      <c r="I96" s="2" t="n">
        <f>HYPERLINK("https://ppubs.uspto.gov/pubwebapp/external.html?q=20220142531.pn.","USPTO")</f>
        <v>0.0</v>
      </c>
      <c r="J96" s="2" t="n">
        <f>HYPERLINK("https://image-ppubs.uspto.gov/dirsearch-public/print/downloadPdf/20220142531","USPTO PDF")</f>
        <v>0.0</v>
      </c>
      <c r="K96" s="2" t="n">
        <f>HYPERLINK("https://sectors.patentforecast.com/pmd/US20220142531","PMD")</f>
        <v>0.0</v>
      </c>
      <c r="L96" s="2" t="n">
        <f>HYPERLINK("https://globaldossier.uspto.gov/result/application/US/17581415/1","US20220142531")</f>
        <v>0.0</v>
      </c>
      <c r="M96" t="s">
        <v>745</v>
      </c>
      <c r="N96" t="s">
        <v>746</v>
      </c>
      <c r="O96" t="s">
        <v>747</v>
      </c>
      <c r="P96" t="s">
        <v>748</v>
      </c>
      <c r="Q96" s="3" t="n">
        <v>44582.0</v>
      </c>
      <c r="R96" s="3" t="n">
        <v>44693.0</v>
      </c>
      <c r="S96" s="3" t="n">
        <v>44694.23034434028</v>
      </c>
      <c r="T96" s="3" t="n">
        <v>44698.535169965275</v>
      </c>
      <c r="U96" t="s">
        <v>31</v>
      </c>
      <c r="V96" t="s">
        <v>749</v>
      </c>
    </row>
    <row r="97">
      <c r="A97" t="s">
        <v>22</v>
      </c>
      <c r="B97" t="s">
        <v>750</v>
      </c>
      <c r="C97" t="s">
        <v>24</v>
      </c>
      <c r="D97" t="s">
        <v>25</v>
      </c>
      <c r="E97" t="s">
        <v>751</v>
      </c>
      <c r="F97" s="2" t="n">
        <f>HYPERLINK("https://patents.google.com/patent/US20220142527","Google")</f>
        <v>0.0</v>
      </c>
      <c r="G97" s="2" t="n">
        <f>HYPERLINK("https://patentcenter.uspto.gov/applications/17094328","Patent Center")</f>
        <v>0.0</v>
      </c>
      <c r="H97" s="2" t="n">
        <f>HYPERLINK("https://worldwide.espacenet.com/patent/search?q=US20220142527","Espacenet")</f>
        <v>0.0</v>
      </c>
      <c r="I97" s="2" t="n">
        <f>HYPERLINK("https://ppubs.uspto.gov/pubwebapp/external.html?q=20220142527.pn.","USPTO")</f>
        <v>0.0</v>
      </c>
      <c r="J97" s="2" t="n">
        <f>HYPERLINK("https://image-ppubs.uspto.gov/dirsearch-public/print/downloadPdf/20220142527","USPTO PDF")</f>
        <v>0.0</v>
      </c>
      <c r="K97" s="2" t="n">
        <f>HYPERLINK("https://sectors.patentforecast.com/pmd/US20220142527","PMD")</f>
        <v>0.0</v>
      </c>
      <c r="L97" s="2" t="n">
        <f>HYPERLINK("https://globaldossier.uspto.gov/result/application/US/17094328/1","US20220142527")</f>
        <v>0.0</v>
      </c>
      <c r="M97" t="s">
        <v>752</v>
      </c>
      <c r="N97" t="s">
        <v>338</v>
      </c>
      <c r="O97" t="s">
        <v>339</v>
      </c>
      <c r="P97" t="s">
        <v>753</v>
      </c>
      <c r="Q97" s="3" t="n">
        <v>44145.0</v>
      </c>
      <c r="R97" s="3" t="n">
        <v>44693.0</v>
      </c>
      <c r="S97" s="3" t="n">
        <v>44694.23034434028</v>
      </c>
      <c r="T97" s="3" t="n">
        <v>44698.53562200232</v>
      </c>
      <c r="U97" t="s">
        <v>31</v>
      </c>
      <c r="V97" t="s">
        <v>754</v>
      </c>
    </row>
    <row r="98">
      <c r="A98" t="s">
        <v>22</v>
      </c>
      <c r="B98" t="s">
        <v>755</v>
      </c>
      <c r="C98" t="s">
        <v>24</v>
      </c>
      <c r="D98" t="s">
        <v>25</v>
      </c>
      <c r="E98" t="s">
        <v>756</v>
      </c>
      <c r="F98" s="2" t="n">
        <f>HYPERLINK("https://patents.google.com/patent/US20220142491","Google")</f>
        <v>0.0</v>
      </c>
      <c r="G98" s="2" t="n">
        <f>HYPERLINK("https://patentcenter.uspto.gov/applications/17139629","Patent Center")</f>
        <v>0.0</v>
      </c>
      <c r="H98" s="2" t="n">
        <f>HYPERLINK("https://worldwide.espacenet.com/patent/search?q=US20220142491","Espacenet")</f>
        <v>0.0</v>
      </c>
      <c r="I98" s="2" t="n">
        <f>HYPERLINK("https://ppubs.uspto.gov/pubwebapp/external.html?q=20220142491.pn.","USPTO")</f>
        <v>0.0</v>
      </c>
      <c r="J98" s="2" t="n">
        <f>HYPERLINK("https://image-ppubs.uspto.gov/dirsearch-public/print/downloadPdf/20220142491","USPTO PDF")</f>
        <v>0.0</v>
      </c>
      <c r="K98" s="2" t="n">
        <f>HYPERLINK("https://sectors.patentforecast.com/pmd/US20220142491","PMD")</f>
        <v>0.0</v>
      </c>
      <c r="L98" s="2" t="n">
        <f>HYPERLINK("https://globaldossier.uspto.gov/result/application/US/17139629/1","US20220142491")</f>
        <v>0.0</v>
      </c>
      <c r="M98" t="s">
        <v>757</v>
      </c>
      <c r="N98" t="s">
        <v>758</v>
      </c>
      <c r="O98" t="s">
        <v>759</v>
      </c>
      <c r="P98" t="s">
        <v>760</v>
      </c>
      <c r="Q98" s="3" t="n">
        <v>44196.0</v>
      </c>
      <c r="R98" s="3" t="n">
        <v>44693.0</v>
      </c>
      <c r="S98" s="3" t="n">
        <v>44694.23034434028</v>
      </c>
      <c r="T98" s="3" t="n">
        <v>44698.535994618054</v>
      </c>
      <c r="U98" t="s">
        <v>761</v>
      </c>
      <c r="V98" t="s">
        <v>762</v>
      </c>
    </row>
    <row r="99">
      <c r="A99" t="s">
        <v>22</v>
      </c>
      <c r="B99" t="s">
        <v>763</v>
      </c>
      <c r="C99" t="s">
        <v>24</v>
      </c>
      <c r="D99" t="s">
        <v>69</v>
      </c>
      <c r="E99" t="s">
        <v>764</v>
      </c>
      <c r="F99" s="2" t="n">
        <f>HYPERLINK("https://patents.google.com/patent/US20220142281","Google")</f>
        <v>0.0</v>
      </c>
      <c r="G99" s="2" t="n">
        <f>HYPERLINK("https://patentcenter.uspto.gov/applications/17523658","Patent Center")</f>
        <v>0.0</v>
      </c>
      <c r="H99" s="2" t="n">
        <f>HYPERLINK("https://worldwide.espacenet.com/patent/search?q=US20220142281","Espacenet")</f>
        <v>0.0</v>
      </c>
      <c r="I99" s="2" t="n">
        <f>HYPERLINK("https://ppubs.uspto.gov/pubwebapp/external.html?q=20220142281.pn.","USPTO")</f>
        <v>0.0</v>
      </c>
      <c r="J99" s="2" t="n">
        <f>HYPERLINK("https://image-ppubs.uspto.gov/dirsearch-public/print/downloadPdf/20220142281","USPTO PDF")</f>
        <v>0.0</v>
      </c>
      <c r="K99" s="2" t="n">
        <f>HYPERLINK("https://sectors.patentforecast.com/pmd/US20220142281","PMD")</f>
        <v>0.0</v>
      </c>
      <c r="L99" s="2" t="n">
        <f>HYPERLINK("https://globaldossier.uspto.gov/result/application/US/17523658/1","US20220142281")</f>
        <v>0.0</v>
      </c>
      <c r="M99" t="s">
        <v>765</v>
      </c>
      <c r="N99" t="s">
        <v>766</v>
      </c>
      <c r="O99" t="s">
        <v>766</v>
      </c>
      <c r="P99" t="s">
        <v>767</v>
      </c>
      <c r="Q99" s="3" t="n">
        <v>44510.0</v>
      </c>
      <c r="R99" s="3" t="n">
        <v>44693.0</v>
      </c>
      <c r="S99" s="3" t="n">
        <v>44694.23034434028</v>
      </c>
      <c r="T99" s="3" t="n">
        <v>44698.47640741898</v>
      </c>
      <c r="U99" t="s">
        <v>31</v>
      </c>
      <c r="V99" t="s">
        <v>768</v>
      </c>
    </row>
    <row r="100">
      <c r="A100" t="s">
        <v>22</v>
      </c>
      <c r="B100" t="s">
        <v>769</v>
      </c>
      <c r="C100" t="s">
        <v>24</v>
      </c>
      <c r="D100" t="s">
        <v>69</v>
      </c>
      <c r="E100" t="s">
        <v>770</v>
      </c>
      <c r="F100" s="2" t="n">
        <f>HYPERLINK("https://patents.google.com/patent/US20220142274","Google")</f>
        <v>0.0</v>
      </c>
      <c r="G100" s="2" t="n">
        <f>HYPERLINK("https://patentcenter.uspto.gov/applications/17522119","Patent Center")</f>
        <v>0.0</v>
      </c>
      <c r="H100" s="2" t="n">
        <f>HYPERLINK("https://worldwide.espacenet.com/patent/search?q=US20220142274","Espacenet")</f>
        <v>0.0</v>
      </c>
      <c r="I100" s="2" t="n">
        <f>HYPERLINK("https://ppubs.uspto.gov/pubwebapp/external.html?q=20220142274.pn.","USPTO")</f>
        <v>0.0</v>
      </c>
      <c r="J100" s="2" t="n">
        <f>HYPERLINK("https://image-ppubs.uspto.gov/dirsearch-public/print/downloadPdf/20220142274","USPTO PDF")</f>
        <v>0.0</v>
      </c>
      <c r="K100" s="2" t="n">
        <f>HYPERLINK("https://sectors.patentforecast.com/pmd/US20220142274","PMD")</f>
        <v>0.0</v>
      </c>
      <c r="L100" s="2" t="n">
        <f>HYPERLINK("https://globaldossier.uspto.gov/result/application/US/17522119/1","US20220142274")</f>
        <v>0.0</v>
      </c>
      <c r="M100" t="s">
        <v>771</v>
      </c>
      <c r="N100" t="s">
        <v>772</v>
      </c>
      <c r="O100" t="s">
        <v>773</v>
      </c>
      <c r="P100" t="s">
        <v>774</v>
      </c>
      <c r="Q100" s="3" t="n">
        <v>44509.0</v>
      </c>
      <c r="R100" s="3" t="n">
        <v>44693.0</v>
      </c>
      <c r="S100" s="3" t="n">
        <v>44694.23034434028</v>
      </c>
      <c r="T100" s="3" t="n">
        <v>44698.50324839121</v>
      </c>
      <c r="U100" t="s">
        <v>775</v>
      </c>
      <c r="V100" t="s">
        <v>776</v>
      </c>
    </row>
    <row r="101">
      <c r="A101" t="s">
        <v>22</v>
      </c>
      <c r="B101" t="s">
        <v>777</v>
      </c>
      <c r="C101" t="s">
        <v>24</v>
      </c>
      <c r="D101" t="s">
        <v>69</v>
      </c>
      <c r="E101" t="s">
        <v>778</v>
      </c>
      <c r="F101" s="2" t="n">
        <f>HYPERLINK("https://patents.google.com/patent/US20220142273","Google")</f>
        <v>0.0</v>
      </c>
      <c r="G101" s="2" t="n">
        <f>HYPERLINK("https://patentcenter.uspto.gov/applications/17092717","Patent Center")</f>
        <v>0.0</v>
      </c>
      <c r="H101" s="2" t="n">
        <f>HYPERLINK("https://worldwide.espacenet.com/patent/search?q=US20220142273","Espacenet")</f>
        <v>0.0</v>
      </c>
      <c r="I101" s="2" t="n">
        <f>HYPERLINK("https://ppubs.uspto.gov/pubwebapp/external.html?q=20220142273.pn.","USPTO")</f>
        <v>0.0</v>
      </c>
      <c r="J101" s="2" t="n">
        <f>HYPERLINK("https://image-ppubs.uspto.gov/dirsearch-public/print/downloadPdf/20220142273","USPTO PDF")</f>
        <v>0.0</v>
      </c>
      <c r="K101" s="2" t="n">
        <f>HYPERLINK("https://sectors.patentforecast.com/pmd/US20220142273","PMD")</f>
        <v>0.0</v>
      </c>
      <c r="L101" s="2" t="n">
        <f>HYPERLINK("https://globaldossier.uspto.gov/result/application/US/17092717/1","US20220142273")</f>
        <v>0.0</v>
      </c>
      <c r="M101" t="s">
        <v>779</v>
      </c>
      <c r="N101" t="s">
        <v>780</v>
      </c>
      <c r="O101" t="s">
        <v>781</v>
      </c>
      <c r="P101" t="s">
        <v>782</v>
      </c>
      <c r="Q101" s="3" t="n">
        <v>44144.0</v>
      </c>
      <c r="R101" s="3" t="n">
        <v>44693.0</v>
      </c>
      <c r="S101" s="3" t="n">
        <v>44694.23034434028</v>
      </c>
      <c r="T101" s="3" t="n">
        <v>44698.50094096065</v>
      </c>
      <c r="U101" t="s">
        <v>783</v>
      </c>
      <c r="V101" t="s">
        <v>784</v>
      </c>
    </row>
    <row r="102">
      <c r="A102" t="s">
        <v>22</v>
      </c>
      <c r="B102" t="s">
        <v>785</v>
      </c>
      <c r="C102" t="s">
        <v>24</v>
      </c>
      <c r="D102" t="s">
        <v>69</v>
      </c>
      <c r="E102" t="s">
        <v>786</v>
      </c>
      <c r="F102" s="2" t="n">
        <f>HYPERLINK("https://patents.google.com/patent/US20220142272","Google")</f>
        <v>0.0</v>
      </c>
      <c r="G102" s="2" t="n">
        <f>HYPERLINK("https://patentcenter.uspto.gov/applications/17094905","Patent Center")</f>
        <v>0.0</v>
      </c>
      <c r="H102" s="2" t="n">
        <f>HYPERLINK("https://worldwide.espacenet.com/patent/search?q=US20220142272","Espacenet")</f>
        <v>0.0</v>
      </c>
      <c r="I102" s="2" t="n">
        <f>HYPERLINK("https://ppubs.uspto.gov/pubwebapp/external.html?q=20220142272.pn.","USPTO")</f>
        <v>0.0</v>
      </c>
      <c r="J102" s="2" t="n">
        <f>HYPERLINK("https://image-ppubs.uspto.gov/dirsearch-public/print/downloadPdf/20220142272","USPTO PDF")</f>
        <v>0.0</v>
      </c>
      <c r="K102" s="2" t="n">
        <f>HYPERLINK("https://sectors.patentforecast.com/pmd/US20220142272","PMD")</f>
        <v>0.0</v>
      </c>
      <c r="L102" s="2" t="n">
        <f>HYPERLINK("https://globaldossier.uspto.gov/result/application/US/17094905/1","US20220142272")</f>
        <v>0.0</v>
      </c>
      <c r="M102" t="s">
        <v>787</v>
      </c>
      <c r="N102" t="s">
        <v>788</v>
      </c>
      <c r="O102" t="s">
        <v>788</v>
      </c>
      <c r="P102" t="s">
        <v>789</v>
      </c>
      <c r="Q102" s="3" t="n">
        <v>44146.0</v>
      </c>
      <c r="R102" s="3" t="n">
        <v>44693.0</v>
      </c>
      <c r="S102" s="3" t="n">
        <v>44694.23034434028</v>
      </c>
      <c r="T102" s="3" t="n">
        <v>44698.47649153935</v>
      </c>
      <c r="U102" t="s">
        <v>31</v>
      </c>
      <c r="V102" t="s">
        <v>790</v>
      </c>
    </row>
    <row r="103">
      <c r="A103" t="s">
        <v>22</v>
      </c>
      <c r="B103" t="s">
        <v>791</v>
      </c>
      <c r="C103" t="s">
        <v>24</v>
      </c>
      <c r="D103" t="s">
        <v>69</v>
      </c>
      <c r="E103" t="s">
        <v>792</v>
      </c>
      <c r="F103" s="2" t="n">
        <f>HYPERLINK("https://patents.google.com/patent/US20220142271","Google")</f>
        <v>0.0</v>
      </c>
      <c r="G103" s="2" t="n">
        <f>HYPERLINK("https://patentcenter.uspto.gov/applications/17519845","Patent Center")</f>
        <v>0.0</v>
      </c>
      <c r="H103" s="2" t="n">
        <f>HYPERLINK("https://worldwide.espacenet.com/patent/search?q=US20220142271","Espacenet")</f>
        <v>0.0</v>
      </c>
      <c r="I103" s="2" t="n">
        <f>HYPERLINK("https://ppubs.uspto.gov/pubwebapp/external.html?q=20220142271.pn.","USPTO")</f>
        <v>0.0</v>
      </c>
      <c r="J103" s="2" t="n">
        <f>HYPERLINK("https://image-ppubs.uspto.gov/dirsearch-public/print/downloadPdf/20220142271","USPTO PDF")</f>
        <v>0.0</v>
      </c>
      <c r="K103" s="2" t="n">
        <f>HYPERLINK("https://sectors.patentforecast.com/pmd/US20220142271","PMD")</f>
        <v>0.0</v>
      </c>
      <c r="L103" s="2" t="n">
        <f>HYPERLINK("https://globaldossier.uspto.gov/result/application/US/17519845/1","US20220142271")</f>
        <v>0.0</v>
      </c>
      <c r="M103" t="s">
        <v>793</v>
      </c>
      <c r="N103" t="s">
        <v>794</v>
      </c>
      <c r="O103" t="s">
        <v>795</v>
      </c>
      <c r="P103" t="s">
        <v>796</v>
      </c>
      <c r="Q103" s="3" t="n">
        <v>44505.0</v>
      </c>
      <c r="R103" s="3" t="n">
        <v>44693.0</v>
      </c>
      <c r="S103" s="3" t="n">
        <v>44694.23034434028</v>
      </c>
      <c r="T103" s="3" t="n">
        <v>44698.476596967594</v>
      </c>
      <c r="U103" t="s">
        <v>797</v>
      </c>
      <c r="V103" t="s">
        <v>798</v>
      </c>
    </row>
    <row r="104">
      <c r="A104" t="s">
        <v>22</v>
      </c>
      <c r="B104" t="s">
        <v>799</v>
      </c>
      <c r="C104" t="s">
        <v>24</v>
      </c>
      <c r="D104" t="s">
        <v>69</v>
      </c>
      <c r="E104" t="s">
        <v>800</v>
      </c>
      <c r="F104" s="2" t="n">
        <f>HYPERLINK("https://patents.google.com/patent/US20220142269","Google")</f>
        <v>0.0</v>
      </c>
      <c r="G104" s="2" t="n">
        <f>HYPERLINK("https://patentcenter.uspto.gov/applications/17091012","Patent Center")</f>
        <v>0.0</v>
      </c>
      <c r="H104" s="2" t="n">
        <f>HYPERLINK("https://worldwide.espacenet.com/patent/search?q=US20220142269","Espacenet")</f>
        <v>0.0</v>
      </c>
      <c r="I104" s="2" t="n">
        <f>HYPERLINK("https://ppubs.uspto.gov/pubwebapp/external.html?q=20220142269.pn.","USPTO")</f>
        <v>0.0</v>
      </c>
      <c r="J104" s="2" t="n">
        <f>HYPERLINK("https://image-ppubs.uspto.gov/dirsearch-public/print/downloadPdf/20220142269","USPTO PDF")</f>
        <v>0.0</v>
      </c>
      <c r="K104" s="2" t="n">
        <f>HYPERLINK("https://sectors.patentforecast.com/pmd/US20220142269","PMD")</f>
        <v>0.0</v>
      </c>
      <c r="L104" s="2" t="n">
        <f>HYPERLINK("https://globaldossier.uspto.gov/result/application/US/17091012/1","US20220142269")</f>
        <v>0.0</v>
      </c>
      <c r="M104" t="s">
        <v>801</v>
      </c>
      <c r="N104" t="s">
        <v>802</v>
      </c>
      <c r="O104" t="s">
        <v>803</v>
      </c>
      <c r="P104" t="s">
        <v>804</v>
      </c>
      <c r="Q104" s="3" t="n">
        <v>44141.0</v>
      </c>
      <c r="R104" s="3" t="n">
        <v>44693.0</v>
      </c>
      <c r="S104" s="3" t="n">
        <v>44694.23034434028</v>
      </c>
      <c r="T104" s="3" t="n">
        <v>44698.47674439815</v>
      </c>
      <c r="U104" t="s">
        <v>805</v>
      </c>
      <c r="V104" t="s">
        <v>806</v>
      </c>
    </row>
    <row r="105">
      <c r="A105" t="s">
        <v>22</v>
      </c>
      <c r="B105" t="s">
        <v>807</v>
      </c>
      <c r="C105" t="s">
        <v>24</v>
      </c>
      <c r="D105" t="s">
        <v>69</v>
      </c>
      <c r="E105" t="s">
        <v>808</v>
      </c>
      <c r="F105" s="2" t="n">
        <f>HYPERLINK("https://patents.google.com/patent/US20220142268","Google")</f>
        <v>0.0</v>
      </c>
      <c r="G105" s="2" t="n">
        <f>HYPERLINK("https://patentcenter.uspto.gov/applications/17581242","Patent Center")</f>
        <v>0.0</v>
      </c>
      <c r="H105" s="2" t="n">
        <f>HYPERLINK("https://worldwide.espacenet.com/patent/search?q=US20220142268","Espacenet")</f>
        <v>0.0</v>
      </c>
      <c r="I105" s="2" t="n">
        <f>HYPERLINK("https://ppubs.uspto.gov/pubwebapp/external.html?q=20220142268.pn.","USPTO")</f>
        <v>0.0</v>
      </c>
      <c r="J105" s="2" t="n">
        <f>HYPERLINK("https://image-ppubs.uspto.gov/dirsearch-public/print/downloadPdf/20220142268","USPTO PDF")</f>
        <v>0.0</v>
      </c>
      <c r="K105" s="2" t="n">
        <f>HYPERLINK("https://sectors.patentforecast.com/pmd/US20220142268","PMD")</f>
        <v>0.0</v>
      </c>
      <c r="L105" s="2" t="n">
        <f>HYPERLINK("https://globaldossier.uspto.gov/result/application/US/17581242/1","US20220142268")</f>
        <v>0.0</v>
      </c>
      <c r="M105" t="s">
        <v>809</v>
      </c>
      <c r="N105" t="s">
        <v>810</v>
      </c>
      <c r="O105" t="s">
        <v>811</v>
      </c>
      <c r="P105" t="s">
        <v>812</v>
      </c>
      <c r="Q105" s="3" t="n">
        <v>44582.0</v>
      </c>
      <c r="R105" s="3" t="n">
        <v>44693.0</v>
      </c>
      <c r="S105" s="3" t="n">
        <v>44694.23034434028</v>
      </c>
      <c r="T105" s="3" t="n">
        <v>44698.50102363426</v>
      </c>
      <c r="U105" t="s">
        <v>813</v>
      </c>
      <c r="V105" t="s">
        <v>814</v>
      </c>
    </row>
    <row r="106">
      <c r="A106" t="s">
        <v>22</v>
      </c>
      <c r="B106" t="s">
        <v>815</v>
      </c>
      <c r="C106" t="s">
        <v>24</v>
      </c>
      <c r="D106" t="s">
        <v>100</v>
      </c>
      <c r="E106" t="s">
        <v>816</v>
      </c>
      <c r="F106" s="2" t="n">
        <f>HYPERLINK("https://patents.google.com/patent/US20220142167","Google")</f>
        <v>0.0</v>
      </c>
      <c r="G106" s="2" t="n">
        <f>HYPERLINK("https://patentcenter.uspto.gov/applications/17567117","Patent Center")</f>
        <v>0.0</v>
      </c>
      <c r="H106" s="2" t="n">
        <f>HYPERLINK("https://worldwide.espacenet.com/patent/search?q=US20220142167","Espacenet")</f>
        <v>0.0</v>
      </c>
      <c r="I106" s="2" t="n">
        <f>HYPERLINK("https://ppubs.uspto.gov/pubwebapp/external.html?q=20220142167.pn.","USPTO")</f>
        <v>0.0</v>
      </c>
      <c r="J106" s="2" t="n">
        <f>HYPERLINK("https://image-ppubs.uspto.gov/dirsearch-public/print/downloadPdf/20220142167","USPTO PDF")</f>
        <v>0.0</v>
      </c>
      <c r="K106" s="2" t="n">
        <f>HYPERLINK("https://sectors.patentforecast.com/pmd/US20220142167","PMD")</f>
        <v>0.0</v>
      </c>
      <c r="L106" s="2" t="n">
        <f>HYPERLINK("https://globaldossier.uspto.gov/result/application/US/17567117/1","US20220142167")</f>
        <v>0.0</v>
      </c>
      <c r="M106" t="s">
        <v>817</v>
      </c>
      <c r="N106" t="s">
        <v>818</v>
      </c>
      <c r="O106" t="s">
        <v>819</v>
      </c>
      <c r="P106" t="s">
        <v>820</v>
      </c>
      <c r="Q106" s="3" t="n">
        <v>44562.0</v>
      </c>
      <c r="R106" s="3" t="n">
        <v>44693.0</v>
      </c>
      <c r="S106" s="3" t="n">
        <v>44694.23034434028</v>
      </c>
      <c r="T106" s="3" t="n">
        <v>44698.476826053244</v>
      </c>
      <c r="U106" t="s">
        <v>821</v>
      </c>
      <c r="V106" t="s">
        <v>822</v>
      </c>
    </row>
    <row r="107">
      <c r="A107" t="s">
        <v>22</v>
      </c>
      <c r="B107" t="s">
        <v>823</v>
      </c>
      <c r="C107" t="s">
        <v>24</v>
      </c>
      <c r="D107" t="s">
        <v>100</v>
      </c>
      <c r="E107" t="s">
        <v>824</v>
      </c>
      <c r="F107" s="2" t="n">
        <f>HYPERLINK("https://patents.google.com/patent/US20220142147","Google")</f>
        <v>0.0</v>
      </c>
      <c r="G107" s="2" t="n">
        <f>HYPERLINK("https://patentcenter.uspto.gov/applications/17519088","Patent Center")</f>
        <v>0.0</v>
      </c>
      <c r="H107" s="2" t="n">
        <f>HYPERLINK("https://worldwide.espacenet.com/patent/search?q=US20220142147","Espacenet")</f>
        <v>0.0</v>
      </c>
      <c r="I107" s="2" t="n">
        <f>HYPERLINK("https://ppubs.uspto.gov/pubwebapp/external.html?q=20220142147.pn.","USPTO")</f>
        <v>0.0</v>
      </c>
      <c r="J107" s="2" t="n">
        <f>HYPERLINK("https://image-ppubs.uspto.gov/dirsearch-public/print/downloadPdf/20220142147","USPTO PDF")</f>
        <v>0.0</v>
      </c>
      <c r="K107" s="2" t="n">
        <f>HYPERLINK("https://sectors.patentforecast.com/pmd/US20220142147","PMD")</f>
        <v>0.0</v>
      </c>
      <c r="L107" s="2" t="n">
        <f>HYPERLINK("https://globaldossier.uspto.gov/result/application/US/17519088/1","US20220142147")</f>
        <v>0.0</v>
      </c>
      <c r="M107" t="s">
        <v>825</v>
      </c>
      <c r="N107" t="s">
        <v>826</v>
      </c>
      <c r="O107" t="s">
        <v>827</v>
      </c>
      <c r="P107" t="s">
        <v>828</v>
      </c>
      <c r="Q107" s="3" t="n">
        <v>44504.0</v>
      </c>
      <c r="R107" s="3" t="n">
        <v>44693.0</v>
      </c>
      <c r="S107" s="3" t="n">
        <v>44694.23034434028</v>
      </c>
      <c r="T107" s="3" t="n">
        <v>44698.53636480324</v>
      </c>
      <c r="U107" t="s">
        <v>31</v>
      </c>
      <c r="V107" t="s">
        <v>829</v>
      </c>
    </row>
    <row r="108">
      <c r="A108" t="s">
        <v>22</v>
      </c>
      <c r="B108" t="s">
        <v>830</v>
      </c>
      <c r="C108" t="s">
        <v>24</v>
      </c>
      <c r="D108" t="s">
        <v>204</v>
      </c>
      <c r="E108" t="s">
        <v>831</v>
      </c>
      <c r="F108" s="2" t="n">
        <f>HYPERLINK("https://patents.google.com/patent/US20220141298","Google")</f>
        <v>0.0</v>
      </c>
      <c r="G108" s="2" t="n">
        <f>HYPERLINK("https://patentcenter.uspto.gov/applications/17516991","Patent Center")</f>
        <v>0.0</v>
      </c>
      <c r="H108" s="2" t="n">
        <f>HYPERLINK("https://worldwide.espacenet.com/patent/search?q=US20220141298","Espacenet")</f>
        <v>0.0</v>
      </c>
      <c r="I108" s="2" t="n">
        <f>HYPERLINK("https://ppubs.uspto.gov/pubwebapp/external.html?q=20220141298.pn.","USPTO")</f>
        <v>0.0</v>
      </c>
      <c r="J108" s="2" t="n">
        <f>HYPERLINK("https://image-ppubs.uspto.gov/dirsearch-public/print/downloadPdf/20220141298","USPTO PDF")</f>
        <v>0.0</v>
      </c>
      <c r="K108" s="2" t="n">
        <f>HYPERLINK("https://sectors.patentforecast.com/pmd/US20220141298","PMD")</f>
        <v>0.0</v>
      </c>
      <c r="L108" s="2" t="n">
        <f>HYPERLINK("https://globaldossier.uspto.gov/result/application/US/17516991/1","US20220141298")</f>
        <v>0.0</v>
      </c>
      <c r="M108" t="s">
        <v>832</v>
      </c>
      <c r="N108" t="s">
        <v>833</v>
      </c>
      <c r="O108" t="s">
        <v>834</v>
      </c>
      <c r="P108" t="s">
        <v>835</v>
      </c>
      <c r="Q108" s="3" t="n">
        <v>44502.0</v>
      </c>
      <c r="R108" s="3" t="n">
        <v>44686.0</v>
      </c>
      <c r="S108" s="3" t="n">
        <v>44687.229530219905</v>
      </c>
      <c r="T108" s="3" t="n">
        <v>44698.53937028935</v>
      </c>
      <c r="U108" t="s">
        <v>31</v>
      </c>
      <c r="V108" t="s">
        <v>836</v>
      </c>
    </row>
    <row r="109">
      <c r="A109" t="s">
        <v>22</v>
      </c>
      <c r="B109" t="s">
        <v>837</v>
      </c>
      <c r="C109" t="s">
        <v>312</v>
      </c>
      <c r="D109" t="s">
        <v>715</v>
      </c>
      <c r="E109" t="s">
        <v>838</v>
      </c>
      <c r="F109" s="2" t="n">
        <f>HYPERLINK("https://patents.google.com/patent/US20220141239","Google")</f>
        <v>0.0</v>
      </c>
      <c r="G109" s="2" t="n">
        <f>HYPERLINK("https://patentcenter.uspto.gov/applications/17577003","Patent Center")</f>
        <v>0.0</v>
      </c>
      <c r="H109" s="2" t="n">
        <f>HYPERLINK("https://worldwide.espacenet.com/patent/search?q=US20220141239","Espacenet")</f>
        <v>0.0</v>
      </c>
      <c r="I109" s="2" t="n">
        <f>HYPERLINK("https://ppubs.uspto.gov/pubwebapp/external.html?q=20220141239.pn.","USPTO")</f>
        <v>0.0</v>
      </c>
      <c r="J109" s="2" t="n">
        <f>HYPERLINK("https://image-ppubs.uspto.gov/dirsearch-public/print/downloadPdf/20220141239","USPTO PDF")</f>
        <v>0.0</v>
      </c>
      <c r="K109" s="2" t="n">
        <f>HYPERLINK("https://sectors.patentforecast.com/pmd/US20220141239","PMD")</f>
        <v>0.0</v>
      </c>
      <c r="L109" s="2" t="n">
        <f>HYPERLINK("https://globaldossier.uspto.gov/result/application/US/17577003/1","US20220141239")</f>
        <v>0.0</v>
      </c>
      <c r="M109" t="s">
        <v>839</v>
      </c>
      <c r="N109" t="s">
        <v>840</v>
      </c>
      <c r="O109" t="s">
        <v>841</v>
      </c>
      <c r="P109" t="s">
        <v>842</v>
      </c>
      <c r="Q109" s="3" t="n">
        <v>44577.0</v>
      </c>
      <c r="R109" s="3" t="n">
        <v>44686.0</v>
      </c>
      <c r="S109" s="3" t="n">
        <v>44687.23045935185</v>
      </c>
      <c r="T109" s="3" t="n">
        <v>44698.539623310186</v>
      </c>
      <c r="U109" t="s">
        <v>31</v>
      </c>
      <c r="V109" t="s">
        <v>843</v>
      </c>
    </row>
    <row r="110">
      <c r="A110" t="s">
        <v>22</v>
      </c>
      <c r="B110" t="s">
        <v>844</v>
      </c>
      <c r="C110" t="s">
        <v>60</v>
      </c>
      <c r="D110" t="s">
        <v>845</v>
      </c>
      <c r="E110" t="s">
        <v>846</v>
      </c>
      <c r="F110" s="2" t="n">
        <f>HYPERLINK("https://patents.google.com/patent/US20220139568","Google")</f>
        <v>0.0</v>
      </c>
      <c r="G110" s="2" t="n">
        <f>HYPERLINK("https://patentcenter.uspto.gov/applications/17523708","Patent Center")</f>
        <v>0.0</v>
      </c>
      <c r="H110" s="2" t="n">
        <f>HYPERLINK("https://worldwide.espacenet.com/patent/search?q=US20220139568","Espacenet")</f>
        <v>0.0</v>
      </c>
      <c r="I110" s="2" t="n">
        <f>HYPERLINK("https://ppubs.uspto.gov/pubwebapp/external.html?q=20220139568.pn.","USPTO")</f>
        <v>0.0</v>
      </c>
      <c r="J110" s="2" t="n">
        <f>HYPERLINK("https://image-ppubs.uspto.gov/dirsearch-public/print/downloadPdf/20220139568","USPTO PDF")</f>
        <v>0.0</v>
      </c>
      <c r="K110" s="2" t="n">
        <f>HYPERLINK("https://sectors.patentforecast.com/pmd/US20220139568","PMD")</f>
        <v>0.0</v>
      </c>
      <c r="L110" s="2" t="n">
        <f>HYPERLINK("https://globaldossier.uspto.gov/result/application/US/17523708/1","US20220139568")</f>
        <v>0.0</v>
      </c>
      <c r="M110" t="s">
        <v>847</v>
      </c>
      <c r="N110" t="s">
        <v>848</v>
      </c>
      <c r="O110" t="s">
        <v>849</v>
      </c>
      <c r="P110" t="s">
        <v>850</v>
      </c>
      <c r="Q110" s="3" t="n">
        <v>44510.0</v>
      </c>
      <c r="R110" s="3" t="n">
        <v>44686.0</v>
      </c>
      <c r="S110" s="3" t="n">
        <v>44687.23045935185</v>
      </c>
      <c r="T110" s="3" t="n">
        <v>44698.54017478009</v>
      </c>
      <c r="U110" t="s">
        <v>31</v>
      </c>
      <c r="V110" t="s">
        <v>851</v>
      </c>
    </row>
    <row r="111">
      <c r="A111" t="s">
        <v>22</v>
      </c>
      <c r="B111" t="s">
        <v>852</v>
      </c>
      <c r="C111" t="s">
        <v>24</v>
      </c>
      <c r="D111" t="s">
        <v>204</v>
      </c>
      <c r="E111" t="s">
        <v>853</v>
      </c>
      <c r="F111" s="2" t="n">
        <f>HYPERLINK("https://patents.google.com/patent/US20220139567","Google")</f>
        <v>0.0</v>
      </c>
      <c r="G111" s="2" t="n">
        <f>HYPERLINK("https://patentcenter.uspto.gov/applications/17516686","Patent Center")</f>
        <v>0.0</v>
      </c>
      <c r="H111" s="2" t="n">
        <f>HYPERLINK("https://worldwide.espacenet.com/patent/search?q=US20220139567","Espacenet")</f>
        <v>0.0</v>
      </c>
      <c r="I111" s="2" t="n">
        <f>HYPERLINK("https://ppubs.uspto.gov/pubwebapp/external.html?q=20220139567.pn.","USPTO")</f>
        <v>0.0</v>
      </c>
      <c r="J111" s="2" t="n">
        <f>HYPERLINK("https://image-ppubs.uspto.gov/dirsearch-public/print/downloadPdf/20220139567","USPTO PDF")</f>
        <v>0.0</v>
      </c>
      <c r="K111" s="2" t="n">
        <f>HYPERLINK("https://sectors.patentforecast.com/pmd/US20220139567","PMD")</f>
        <v>0.0</v>
      </c>
      <c r="L111" s="2" t="n">
        <f>HYPERLINK("https://globaldossier.uspto.gov/result/application/US/17516686/1","US20220139567")</f>
        <v>0.0</v>
      </c>
      <c r="M111" t="s">
        <v>854</v>
      </c>
      <c r="N111" t="s">
        <v>855</v>
      </c>
      <c r="O111" t="s">
        <v>856</v>
      </c>
      <c r="P111" t="s">
        <v>857</v>
      </c>
      <c r="Q111" s="3" t="n">
        <v>44501.0</v>
      </c>
      <c r="R111" s="3" t="n">
        <v>44686.0</v>
      </c>
      <c r="S111" s="3" t="n">
        <v>44687.23045935185</v>
      </c>
      <c r="T111" s="3" t="n">
        <v>44698.50188516203</v>
      </c>
      <c r="U111" t="s">
        <v>858</v>
      </c>
      <c r="V111" t="s">
        <v>859</v>
      </c>
    </row>
    <row r="112">
      <c r="A112" t="s">
        <v>22</v>
      </c>
      <c r="B112" t="s">
        <v>860</v>
      </c>
      <c r="C112" t="s">
        <v>861</v>
      </c>
      <c r="D112" t="s">
        <v>862</v>
      </c>
      <c r="E112" t="s">
        <v>863</v>
      </c>
      <c r="F112" s="2" t="n">
        <f>HYPERLINK("https://patents.google.com/patent/US20220139556","Google")</f>
        <v>0.0</v>
      </c>
      <c r="G112" s="2" t="n">
        <f>HYPERLINK("https://patentcenter.uspto.gov/applications/17507215","Patent Center")</f>
        <v>0.0</v>
      </c>
      <c r="H112" s="2" t="n">
        <f>HYPERLINK("https://worldwide.espacenet.com/patent/search?q=US20220139556","Espacenet")</f>
        <v>0.0</v>
      </c>
      <c r="I112" s="2" t="n">
        <f>HYPERLINK("https://ppubs.uspto.gov/pubwebapp/external.html?q=20220139556.pn.","USPTO")</f>
        <v>0.0</v>
      </c>
      <c r="J112" s="2" t="n">
        <f>HYPERLINK("https://image-ppubs.uspto.gov/dirsearch-public/print/downloadPdf/20220139556","USPTO PDF")</f>
        <v>0.0</v>
      </c>
      <c r="K112" s="2" t="n">
        <f>HYPERLINK("https://sectors.patentforecast.com/pmd/US20220139556","PMD")</f>
        <v>0.0</v>
      </c>
      <c r="L112" s="2" t="n">
        <f>HYPERLINK("https://globaldossier.uspto.gov/result/application/US/17507215/1","US20220139556")</f>
        <v>0.0</v>
      </c>
      <c r="M112" t="s">
        <v>864</v>
      </c>
      <c r="N112" t="s">
        <v>865</v>
      </c>
      <c r="O112" t="s">
        <v>866</v>
      </c>
      <c r="P112" t="s">
        <v>867</v>
      </c>
      <c r="Q112" s="3" t="n">
        <v>44490.0</v>
      </c>
      <c r="R112" s="3" t="n">
        <v>44686.0</v>
      </c>
      <c r="S112" s="3" t="n">
        <v>44687.23820930556</v>
      </c>
      <c r="T112" s="3" t="n">
        <v>44698.54070255787</v>
      </c>
      <c r="U112" t="s">
        <v>31</v>
      </c>
      <c r="V112" t="s">
        <v>868</v>
      </c>
    </row>
    <row r="113">
      <c r="A113" t="s">
        <v>22</v>
      </c>
      <c r="B113" t="s">
        <v>869</v>
      </c>
      <c r="C113" t="s">
        <v>24</v>
      </c>
      <c r="D113" t="s">
        <v>25</v>
      </c>
      <c r="E113" t="s">
        <v>870</v>
      </c>
      <c r="F113" s="2" t="n">
        <f>HYPERLINK("https://patents.google.com/patent/US20220139546","Google")</f>
        <v>0.0</v>
      </c>
      <c r="G113" s="2" t="n">
        <f>HYPERLINK("https://patentcenter.uspto.gov/applications/17573307","Patent Center")</f>
        <v>0.0</v>
      </c>
      <c r="H113" s="2" t="n">
        <f>HYPERLINK("https://worldwide.espacenet.com/patent/search?q=US20220139546","Espacenet")</f>
        <v>0.0</v>
      </c>
      <c r="I113" s="2" t="n">
        <f>HYPERLINK("https://ppubs.uspto.gov/pubwebapp/external.html?q=20220139546.pn.","USPTO")</f>
        <v>0.0</v>
      </c>
      <c r="J113" s="2" t="n">
        <f>HYPERLINK("https://image-ppubs.uspto.gov/dirsearch-public/print/downloadPdf/20220139546","USPTO PDF")</f>
        <v>0.0</v>
      </c>
      <c r="K113" s="2" t="n">
        <f>HYPERLINK("https://sectors.patentforecast.com/pmd/US20220139546","PMD")</f>
        <v>0.0</v>
      </c>
      <c r="L113" s="2" t="n">
        <f>HYPERLINK("https://globaldossier.uspto.gov/result/application/US/17573307/1","US20220139546")</f>
        <v>0.0</v>
      </c>
      <c r="M113" t="s">
        <v>871</v>
      </c>
      <c r="N113" t="s">
        <v>872</v>
      </c>
      <c r="O113" t="s">
        <v>873</v>
      </c>
      <c r="P113" t="s">
        <v>874</v>
      </c>
      <c r="Q113" s="3" t="n">
        <v>44572.0</v>
      </c>
      <c r="R113" s="3" t="n">
        <v>44686.0</v>
      </c>
      <c r="S113" s="3" t="n">
        <v>44687.23045935185</v>
      </c>
      <c r="T113" s="3" t="n">
        <v>44698.47139832176</v>
      </c>
      <c r="U113" t="s">
        <v>875</v>
      </c>
      <c r="V113" t="s">
        <v>876</v>
      </c>
    </row>
    <row r="114">
      <c r="A114" t="s">
        <v>22</v>
      </c>
      <c r="B114" t="s">
        <v>877</v>
      </c>
      <c r="C114" t="s">
        <v>24</v>
      </c>
      <c r="D114" t="s">
        <v>25</v>
      </c>
      <c r="E114" t="s">
        <v>878</v>
      </c>
      <c r="F114" s="2" t="n">
        <f>HYPERLINK("https://patents.google.com/patent/US20220139523","Google")</f>
        <v>0.0</v>
      </c>
      <c r="G114" s="2" t="n">
        <f>HYPERLINK("https://patentcenter.uspto.gov/applications/17087700","Patent Center")</f>
        <v>0.0</v>
      </c>
      <c r="H114" s="2" t="n">
        <f>HYPERLINK("https://worldwide.espacenet.com/patent/search?q=US20220139523","Espacenet")</f>
        <v>0.0</v>
      </c>
      <c r="I114" s="2" t="n">
        <f>HYPERLINK("https://ppubs.uspto.gov/pubwebapp/external.html?q=20220139523.pn.","USPTO")</f>
        <v>0.0</v>
      </c>
      <c r="J114" s="2" t="n">
        <f>HYPERLINK("https://image-ppubs.uspto.gov/dirsearch-public/print/downloadPdf/20220139523","USPTO PDF")</f>
        <v>0.0</v>
      </c>
      <c r="K114" s="2" t="n">
        <f>HYPERLINK("https://sectors.patentforecast.com/pmd/US20220139523","PMD")</f>
        <v>0.0</v>
      </c>
      <c r="L114" s="2" t="n">
        <f>HYPERLINK("https://globaldossier.uspto.gov/result/application/US/17087700/1","US20220139523")</f>
        <v>0.0</v>
      </c>
      <c r="M114" t="s">
        <v>879</v>
      </c>
      <c r="N114" t="s">
        <v>880</v>
      </c>
      <c r="O114" t="s">
        <v>881</v>
      </c>
      <c r="P114" t="s">
        <v>882</v>
      </c>
      <c r="Q114" s="3" t="n">
        <v>44138.0</v>
      </c>
      <c r="R114" s="3" t="n">
        <v>44686.0</v>
      </c>
      <c r="S114" s="3" t="n">
        <v>44687.23045935185</v>
      </c>
      <c r="T114" s="3" t="n">
        <v>44698.54163039352</v>
      </c>
      <c r="U114" t="s">
        <v>31</v>
      </c>
      <c r="V114" t="s">
        <v>883</v>
      </c>
    </row>
    <row r="115">
      <c r="A115" t="s">
        <v>22</v>
      </c>
      <c r="B115" t="s">
        <v>884</v>
      </c>
      <c r="C115" t="s">
        <v>24</v>
      </c>
      <c r="D115" t="s">
        <v>289</v>
      </c>
      <c r="E115" t="s">
        <v>885</v>
      </c>
      <c r="F115" s="2" t="n">
        <f>HYPERLINK("https://patents.google.com/patent/US20220139511","Google")</f>
        <v>0.0</v>
      </c>
      <c r="G115" s="2" t="n">
        <f>HYPERLINK("https://patentcenter.uspto.gov/applications/17086029","Patent Center")</f>
        <v>0.0</v>
      </c>
      <c r="H115" s="2" t="n">
        <f>HYPERLINK("https://worldwide.espacenet.com/patent/search?q=US20220139511","Espacenet")</f>
        <v>0.0</v>
      </c>
      <c r="I115" s="2" t="n">
        <f>HYPERLINK("https://ppubs.uspto.gov/pubwebapp/external.html?q=20220139511.pn.","USPTO")</f>
        <v>0.0</v>
      </c>
      <c r="J115" s="2" t="n">
        <f>HYPERLINK("https://image-ppubs.uspto.gov/dirsearch-public/print/downloadPdf/20220139511","USPTO PDF")</f>
        <v>0.0</v>
      </c>
      <c r="K115" s="2" t="n">
        <f>HYPERLINK("https://sectors.patentforecast.com/pmd/US20220139511","PMD")</f>
        <v>0.0</v>
      </c>
      <c r="L115" s="2" t="n">
        <f>HYPERLINK("https://globaldossier.uspto.gov/result/application/US/17086029/1","US20220139511")</f>
        <v>0.0</v>
      </c>
      <c r="M115" t="s">
        <v>886</v>
      </c>
      <c r="N115" t="s">
        <v>887</v>
      </c>
      <c r="O115" t="s">
        <v>888</v>
      </c>
      <c r="P115" t="s">
        <v>889</v>
      </c>
      <c r="Q115" s="3" t="n">
        <v>44134.0</v>
      </c>
      <c r="R115" s="3" t="n">
        <v>44686.0</v>
      </c>
      <c r="S115" s="3" t="n">
        <v>44687.23045935185</v>
      </c>
      <c r="T115" s="3" t="n">
        <v>44698.54208435185</v>
      </c>
      <c r="U115" t="s">
        <v>31</v>
      </c>
      <c r="V115" t="s">
        <v>890</v>
      </c>
    </row>
    <row r="116">
      <c r="A116" t="s">
        <v>22</v>
      </c>
      <c r="B116" t="s">
        <v>891</v>
      </c>
      <c r="C116" t="s">
        <v>24</v>
      </c>
      <c r="D116" t="s">
        <v>892</v>
      </c>
      <c r="E116" t="s">
        <v>893</v>
      </c>
      <c r="F116" s="2" t="n">
        <f>HYPERLINK("https://patents.google.com/patent/US20220139507","Google")</f>
        <v>0.0</v>
      </c>
      <c r="G116" s="2" t="n">
        <f>HYPERLINK("https://patentcenter.uspto.gov/applications/17432117","Patent Center")</f>
        <v>0.0</v>
      </c>
      <c r="H116" s="2" t="n">
        <f>HYPERLINK("https://worldwide.espacenet.com/patent/search?q=US20220139507","Espacenet")</f>
        <v>0.0</v>
      </c>
      <c r="I116" s="2" t="n">
        <f>HYPERLINK("https://ppubs.uspto.gov/pubwebapp/external.html?q=20220139507.pn.","USPTO")</f>
        <v>0.0</v>
      </c>
      <c r="J116" s="2" t="n">
        <f>HYPERLINK("https://image-ppubs.uspto.gov/dirsearch-public/print/downloadPdf/20220139507","USPTO PDF")</f>
        <v>0.0</v>
      </c>
      <c r="K116" s="2" t="n">
        <f>HYPERLINK("https://sectors.patentforecast.com/pmd/US20220139507","PMD")</f>
        <v>0.0</v>
      </c>
      <c r="L116" s="2" t="n">
        <f>HYPERLINK("https://globaldossier.uspto.gov/result/application/US/17432117/1","US20220139507")</f>
        <v>0.0</v>
      </c>
      <c r="M116" t="s">
        <v>894</v>
      </c>
      <c r="N116" t="s">
        <v>895</v>
      </c>
      <c r="O116" t="s">
        <v>896</v>
      </c>
      <c r="P116" t="s">
        <v>897</v>
      </c>
      <c r="Q116" s="3" t="n">
        <v>43635.0</v>
      </c>
      <c r="R116" s="3" t="n">
        <v>44686.0</v>
      </c>
      <c r="S116" s="3" t="n">
        <v>44687.23184987268</v>
      </c>
      <c r="T116" s="3" t="n">
        <v>44698.5424152662</v>
      </c>
      <c r="U116" t="s">
        <v>898</v>
      </c>
      <c r="V116" t="s">
        <v>899</v>
      </c>
    </row>
    <row r="117">
      <c r="A117" t="s">
        <v>22</v>
      </c>
      <c r="B117" t="s">
        <v>900</v>
      </c>
      <c r="C117" t="s">
        <v>24</v>
      </c>
      <c r="D117" t="s">
        <v>69</v>
      </c>
      <c r="E117" t="s">
        <v>901</v>
      </c>
      <c r="F117" s="2" t="n">
        <f>HYPERLINK("https://patents.google.com/patent/US20220139378","Google")</f>
        <v>0.0</v>
      </c>
      <c r="G117" s="2" t="n">
        <f>HYPERLINK("https://patentcenter.uspto.gov/applications/17514027","Patent Center")</f>
        <v>0.0</v>
      </c>
      <c r="H117" s="2" t="n">
        <f>HYPERLINK("https://worldwide.espacenet.com/patent/search?q=US20220139378","Espacenet")</f>
        <v>0.0</v>
      </c>
      <c r="I117" s="2" t="n">
        <f>HYPERLINK("https://ppubs.uspto.gov/pubwebapp/external.html?q=20220139378.pn.","USPTO")</f>
        <v>0.0</v>
      </c>
      <c r="J117" s="2" t="n">
        <f>HYPERLINK("https://image-ppubs.uspto.gov/dirsearch-public/print/downloadPdf/20220139378","USPTO PDF")</f>
        <v>0.0</v>
      </c>
      <c r="K117" s="2" t="n">
        <f>HYPERLINK("https://sectors.patentforecast.com/pmd/US20220139378","PMD")</f>
        <v>0.0</v>
      </c>
      <c r="L117" s="2" t="n">
        <f>HYPERLINK("https://globaldossier.uspto.gov/result/application/US/17514027/1","US20220139378")</f>
        <v>0.0</v>
      </c>
      <c r="M117" t="s">
        <v>902</v>
      </c>
      <c r="N117" t="s">
        <v>903</v>
      </c>
      <c r="O117" t="s">
        <v>904</v>
      </c>
      <c r="P117" t="s">
        <v>905</v>
      </c>
      <c r="Q117" s="3" t="n">
        <v>44498.0</v>
      </c>
      <c r="R117" s="3" t="n">
        <v>44686.0</v>
      </c>
      <c r="S117" s="3" t="n">
        <v>44687.23045935185</v>
      </c>
      <c r="T117" s="3" t="n">
        <v>44698.54263380787</v>
      </c>
      <c r="U117" t="s">
        <v>906</v>
      </c>
      <c r="V117" t="s">
        <v>907</v>
      </c>
    </row>
    <row r="118">
      <c r="A118" t="s">
        <v>22</v>
      </c>
      <c r="B118" t="s">
        <v>908</v>
      </c>
      <c r="C118" t="s">
        <v>24</v>
      </c>
      <c r="D118" t="s">
        <v>43</v>
      </c>
      <c r="E118" t="s">
        <v>909</v>
      </c>
      <c r="F118" s="2" t="n">
        <f>HYPERLINK("https://patents.google.com/patent/US20220139136","Google")</f>
        <v>0.0</v>
      </c>
      <c r="G118" s="2" t="n">
        <f>HYPERLINK("https://patentcenter.uspto.gov/applications/17578744","Patent Center")</f>
        <v>0.0</v>
      </c>
      <c r="H118" s="2" t="n">
        <f>HYPERLINK("https://worldwide.espacenet.com/patent/search?q=US20220139136","Espacenet")</f>
        <v>0.0</v>
      </c>
      <c r="I118" s="2" t="n">
        <f>HYPERLINK("https://ppubs.uspto.gov/pubwebapp/external.html?q=20220139136.pn.","USPTO")</f>
        <v>0.0</v>
      </c>
      <c r="J118" s="2" t="n">
        <f>HYPERLINK("https://image-ppubs.uspto.gov/dirsearch-public/print/downloadPdf/20220139136","USPTO PDF")</f>
        <v>0.0</v>
      </c>
      <c r="K118" s="2" t="n">
        <f>HYPERLINK("https://sectors.patentforecast.com/pmd/US20220139136","PMD")</f>
        <v>0.0</v>
      </c>
      <c r="L118" s="2" t="n">
        <f>HYPERLINK("https://globaldossier.uspto.gov/result/application/US/17578744/1","US20220139136")</f>
        <v>0.0</v>
      </c>
      <c r="M118" t="s">
        <v>910</v>
      </c>
      <c r="N118" t="s">
        <v>911</v>
      </c>
      <c r="O118" t="s">
        <v>912</v>
      </c>
      <c r="P118" t="s">
        <v>913</v>
      </c>
      <c r="Q118" s="3" t="n">
        <v>44580.0</v>
      </c>
      <c r="R118" s="3" t="n">
        <v>44686.0</v>
      </c>
      <c r="S118" s="3" t="n">
        <v>44687.23045935185</v>
      </c>
      <c r="T118" s="3" t="n">
        <v>44698.54327645833</v>
      </c>
      <c r="U118" t="s">
        <v>31</v>
      </c>
      <c r="V118" t="s">
        <v>914</v>
      </c>
    </row>
    <row r="119">
      <c r="A119" t="s">
        <v>22</v>
      </c>
      <c r="B119" t="s">
        <v>915</v>
      </c>
      <c r="C119" t="s">
        <v>24</v>
      </c>
      <c r="D119" t="s">
        <v>69</v>
      </c>
      <c r="E119" t="s">
        <v>916</v>
      </c>
      <c r="F119" s="2" t="n">
        <f>HYPERLINK("https://patents.google.com/patent/US20220139088","Google")</f>
        <v>0.0</v>
      </c>
      <c r="G119" s="2" t="n">
        <f>HYPERLINK("https://patentcenter.uspto.gov/applications/17570390","Patent Center")</f>
        <v>0.0</v>
      </c>
      <c r="H119" s="2" t="n">
        <f>HYPERLINK("https://worldwide.espacenet.com/patent/search?q=US20220139088","Espacenet")</f>
        <v>0.0</v>
      </c>
      <c r="I119" s="2" t="n">
        <f>HYPERLINK("https://ppubs.uspto.gov/pubwebapp/external.html?q=20220139088.pn.","USPTO")</f>
        <v>0.0</v>
      </c>
      <c r="J119" s="2" t="n">
        <f>HYPERLINK("https://image-ppubs.uspto.gov/dirsearch-public/print/downloadPdf/20220139088","USPTO PDF")</f>
        <v>0.0</v>
      </c>
      <c r="K119" s="2" t="n">
        <f>HYPERLINK("https://sectors.patentforecast.com/pmd/US20220139088","PMD")</f>
        <v>0.0</v>
      </c>
      <c r="L119" s="2" t="n">
        <f>HYPERLINK("https://globaldossier.uspto.gov/result/application/US/17570390/1","US20220139088")</f>
        <v>0.0</v>
      </c>
      <c r="M119" t="s">
        <v>917</v>
      </c>
      <c r="N119" t="s">
        <v>918</v>
      </c>
      <c r="O119" t="s">
        <v>919</v>
      </c>
      <c r="P119" t="s">
        <v>920</v>
      </c>
      <c r="Q119" s="3" t="n">
        <v>44568.0</v>
      </c>
      <c r="R119" s="3" t="n">
        <v>44686.0</v>
      </c>
      <c r="S119" s="3" t="n">
        <v>44687.23045935185</v>
      </c>
      <c r="T119" s="3" t="n">
        <v>44698.54365650463</v>
      </c>
      <c r="U119" t="s">
        <v>921</v>
      </c>
      <c r="V119" t="s">
        <v>922</v>
      </c>
    </row>
    <row r="120">
      <c r="A120" t="s">
        <v>22</v>
      </c>
      <c r="B120" t="s">
        <v>923</v>
      </c>
      <c r="C120" t="s">
        <v>312</v>
      </c>
      <c r="D120" t="s">
        <v>715</v>
      </c>
      <c r="E120" t="s">
        <v>924</v>
      </c>
      <c r="F120" s="2" t="n">
        <f>HYPERLINK("https://patents.google.com/patent/US20220138935","Google")</f>
        <v>0.0</v>
      </c>
      <c r="G120" s="2" t="n">
        <f>HYPERLINK("https://patentcenter.uspto.gov/applications/17390408","Patent Center")</f>
        <v>0.0</v>
      </c>
      <c r="H120" s="2" t="n">
        <f>HYPERLINK("https://worldwide.espacenet.com/patent/search?q=US20220138935","Espacenet")</f>
        <v>0.0</v>
      </c>
      <c r="I120" s="2" t="n">
        <f>HYPERLINK("https://ppubs.uspto.gov/pubwebapp/external.html?q=20220138935.pn.","USPTO")</f>
        <v>0.0</v>
      </c>
      <c r="J120" s="2" t="n">
        <f>HYPERLINK("https://image-ppubs.uspto.gov/dirsearch-public/print/downloadPdf/20220138935","USPTO PDF")</f>
        <v>0.0</v>
      </c>
      <c r="K120" s="2" t="n">
        <f>HYPERLINK("https://sectors.patentforecast.com/pmd/US20220138935","PMD")</f>
        <v>0.0</v>
      </c>
      <c r="L120" s="2" t="n">
        <f>HYPERLINK("https://globaldossier.uspto.gov/result/application/US/17390408/1","US20220138935")</f>
        <v>0.0</v>
      </c>
      <c r="M120" t="s">
        <v>925</v>
      </c>
      <c r="N120" t="s">
        <v>926</v>
      </c>
      <c r="O120" t="s">
        <v>927</v>
      </c>
      <c r="P120" t="s">
        <v>928</v>
      </c>
      <c r="Q120" s="3" t="n">
        <v>44407.0</v>
      </c>
      <c r="R120" s="3" t="n">
        <v>44686.0</v>
      </c>
      <c r="S120" s="3" t="n">
        <v>44687.23045935185</v>
      </c>
      <c r="T120" s="3" t="n">
        <v>44698.54526989583</v>
      </c>
      <c r="U120" t="s">
        <v>929</v>
      </c>
      <c r="V120" t="s">
        <v>930</v>
      </c>
    </row>
    <row r="121">
      <c r="A121" t="s">
        <v>22</v>
      </c>
      <c r="B121" t="s">
        <v>931</v>
      </c>
      <c r="C121" t="s">
        <v>24</v>
      </c>
      <c r="D121" t="s">
        <v>258</v>
      </c>
      <c r="E121" t="s">
        <v>932</v>
      </c>
      <c r="F121" s="2" t="n">
        <f>HYPERLINK("https://patents.google.com/patent/US20220138857","Google")</f>
        <v>0.0</v>
      </c>
      <c r="G121" s="2" t="n">
        <f>HYPERLINK("https://patentcenter.uspto.gov/applications/17515030","Patent Center")</f>
        <v>0.0</v>
      </c>
      <c r="H121" s="2" t="n">
        <f>HYPERLINK("https://worldwide.espacenet.com/patent/search?q=US20220138857","Espacenet")</f>
        <v>0.0</v>
      </c>
      <c r="I121" s="2" t="n">
        <f>HYPERLINK("https://ppubs.uspto.gov/pubwebapp/external.html?q=20220138857.pn.","USPTO")</f>
        <v>0.0</v>
      </c>
      <c r="J121" s="2" t="n">
        <f>HYPERLINK("https://image-ppubs.uspto.gov/dirsearch-public/print/downloadPdf/20220138857","USPTO PDF")</f>
        <v>0.0</v>
      </c>
      <c r="K121" s="2" t="n">
        <f>HYPERLINK("https://sectors.patentforecast.com/pmd/US20220138857","PMD")</f>
        <v>0.0</v>
      </c>
      <c r="L121" s="2" t="n">
        <f>HYPERLINK("https://globaldossier.uspto.gov/result/application/US/17515030/1","US20220138857")</f>
        <v>0.0</v>
      </c>
      <c r="M121" t="s">
        <v>933</v>
      </c>
      <c r="N121" t="s">
        <v>934</v>
      </c>
      <c r="O121" t="s">
        <v>935</v>
      </c>
      <c r="P121" t="s">
        <v>936</v>
      </c>
      <c r="Q121" s="3" t="n">
        <v>44498.0</v>
      </c>
      <c r="R121" s="3" t="n">
        <v>44686.0</v>
      </c>
      <c r="S121" s="3" t="n">
        <v>44687.229530219905</v>
      </c>
      <c r="T121" s="3" t="n">
        <v>44698.54587550926</v>
      </c>
      <c r="U121" t="s">
        <v>31</v>
      </c>
      <c r="V121" t="s">
        <v>937</v>
      </c>
    </row>
    <row r="122">
      <c r="A122" t="s">
        <v>22</v>
      </c>
      <c r="B122" t="s">
        <v>938</v>
      </c>
      <c r="C122" t="s">
        <v>24</v>
      </c>
      <c r="D122" t="s">
        <v>258</v>
      </c>
      <c r="E122" t="s">
        <v>939</v>
      </c>
      <c r="F122" s="2" t="n">
        <f>HYPERLINK("https://patents.google.com/patent/US20220138806","Google")</f>
        <v>0.0</v>
      </c>
      <c r="G122" s="2" t="n">
        <f>HYPERLINK("https://patentcenter.uspto.gov/applications/17083450","Patent Center")</f>
        <v>0.0</v>
      </c>
      <c r="H122" s="2" t="n">
        <f>HYPERLINK("https://worldwide.espacenet.com/patent/search?q=US20220138806","Espacenet")</f>
        <v>0.0</v>
      </c>
      <c r="I122" s="2" t="n">
        <f>HYPERLINK("https://ppubs.uspto.gov/pubwebapp/external.html?q=20220138806.pn.","USPTO")</f>
        <v>0.0</v>
      </c>
      <c r="J122" s="2" t="n">
        <f>HYPERLINK("https://image-ppubs.uspto.gov/dirsearch-public/print/downloadPdf/20220138806","USPTO PDF")</f>
        <v>0.0</v>
      </c>
      <c r="K122" s="2" t="n">
        <f>HYPERLINK("https://sectors.patentforecast.com/pmd/US20220138806","PMD")</f>
        <v>0.0</v>
      </c>
      <c r="L122" s="2" t="n">
        <f>HYPERLINK("https://globaldossier.uspto.gov/result/application/US/17083450/1","US20220138806")</f>
        <v>0.0</v>
      </c>
      <c r="M122" t="s">
        <v>940</v>
      </c>
      <c r="N122" t="s">
        <v>207</v>
      </c>
      <c r="O122" t="s">
        <v>208</v>
      </c>
      <c r="P122" t="s">
        <v>941</v>
      </c>
      <c r="Q122" s="3" t="n">
        <v>44133.0</v>
      </c>
      <c r="R122" s="3" t="n">
        <v>44686.0</v>
      </c>
      <c r="S122" s="3" t="n">
        <v>44687.229530219905</v>
      </c>
      <c r="T122" s="3" t="n">
        <v>44698.54604784722</v>
      </c>
      <c r="U122" t="s">
        <v>942</v>
      </c>
      <c r="V122" t="s">
        <v>943</v>
      </c>
    </row>
    <row r="123">
      <c r="A123" t="s">
        <v>22</v>
      </c>
      <c r="B123" t="s">
        <v>944</v>
      </c>
      <c r="C123" t="s">
        <v>24</v>
      </c>
      <c r="D123" t="s">
        <v>258</v>
      </c>
      <c r="E123" t="s">
        <v>945</v>
      </c>
      <c r="F123" s="2" t="n">
        <f>HYPERLINK("https://patents.google.com/patent/US20220138655","Google")</f>
        <v>0.0</v>
      </c>
      <c r="G123" s="2" t="n">
        <f>HYPERLINK("https://patentcenter.uspto.gov/applications/17083583","Patent Center")</f>
        <v>0.0</v>
      </c>
      <c r="H123" s="2" t="n">
        <f>HYPERLINK("https://worldwide.espacenet.com/patent/search?q=US20220138655","Espacenet")</f>
        <v>0.0</v>
      </c>
      <c r="I123" s="2" t="n">
        <f>HYPERLINK("https://ppubs.uspto.gov/pubwebapp/external.html?q=20220138655.pn.","USPTO")</f>
        <v>0.0</v>
      </c>
      <c r="J123" s="2" t="n">
        <f>HYPERLINK("https://image-ppubs.uspto.gov/dirsearch-public/print/downloadPdf/20220138655","USPTO PDF")</f>
        <v>0.0</v>
      </c>
      <c r="K123" s="2" t="n">
        <f>HYPERLINK("https://sectors.patentforecast.com/pmd/US20220138655","PMD")</f>
        <v>0.0</v>
      </c>
      <c r="L123" s="2" t="n">
        <f>HYPERLINK("https://globaldossier.uspto.gov/result/application/US/17083583/1","US20220138655")</f>
        <v>0.0</v>
      </c>
      <c r="M123" t="s">
        <v>946</v>
      </c>
      <c r="N123" t="s">
        <v>947</v>
      </c>
      <c r="O123" t="s">
        <v>948</v>
      </c>
      <c r="P123" t="s">
        <v>949</v>
      </c>
      <c r="Q123" s="3" t="n">
        <v>44133.0</v>
      </c>
      <c r="R123" s="3" t="n">
        <v>44686.0</v>
      </c>
      <c r="S123" s="3" t="n">
        <v>44687.23045935185</v>
      </c>
      <c r="T123" s="3" t="n">
        <v>44698.54678635416</v>
      </c>
      <c r="U123" t="s">
        <v>31</v>
      </c>
      <c r="V123" t="s">
        <v>950</v>
      </c>
    </row>
    <row r="124">
      <c r="A124" t="s">
        <v>22</v>
      </c>
      <c r="B124" t="s">
        <v>951</v>
      </c>
      <c r="C124" t="s">
        <v>24</v>
      </c>
      <c r="D124" t="s">
        <v>69</v>
      </c>
      <c r="E124" t="s">
        <v>952</v>
      </c>
      <c r="F124" s="2" t="n">
        <f>HYPERLINK("https://patents.google.com/patent/US20220138465","Google")</f>
        <v>0.0</v>
      </c>
      <c r="G124" s="2" t="n">
        <f>HYPERLINK("https://patentcenter.uspto.gov/applications/17085582","Patent Center")</f>
        <v>0.0</v>
      </c>
      <c r="H124" s="2" t="n">
        <f>HYPERLINK("https://worldwide.espacenet.com/patent/search?q=US20220138465","Espacenet")</f>
        <v>0.0</v>
      </c>
      <c r="I124" s="2" t="n">
        <f>HYPERLINK("https://ppubs.uspto.gov/pubwebapp/external.html?q=20220138465.pn.","USPTO")</f>
        <v>0.0</v>
      </c>
      <c r="J124" s="2" t="n">
        <f>HYPERLINK("https://image-ppubs.uspto.gov/dirsearch-public/print/downloadPdf/20220138465","USPTO PDF")</f>
        <v>0.0</v>
      </c>
      <c r="K124" s="2" t="n">
        <f>HYPERLINK("https://sectors.patentforecast.com/pmd/US20220138465","PMD")</f>
        <v>0.0</v>
      </c>
      <c r="L124" s="2" t="n">
        <f>HYPERLINK("https://globaldossier.uspto.gov/result/application/US/17085582/1","US20220138465")</f>
        <v>0.0</v>
      </c>
      <c r="M124" t="s">
        <v>953</v>
      </c>
      <c r="N124" t="s">
        <v>954</v>
      </c>
      <c r="O124" t="s">
        <v>955</v>
      </c>
      <c r="P124" t="s">
        <v>956</v>
      </c>
      <c r="Q124" s="3" t="n">
        <v>44134.0</v>
      </c>
      <c r="R124" s="3" t="n">
        <v>44686.0</v>
      </c>
      <c r="S124" s="3" t="n">
        <v>44687.23045935185</v>
      </c>
      <c r="T124" s="3" t="n">
        <v>44698.54748425926</v>
      </c>
      <c r="U124" t="s">
        <v>957</v>
      </c>
      <c r="V124" t="s">
        <v>958</v>
      </c>
    </row>
    <row r="125">
      <c r="A125" t="s">
        <v>22</v>
      </c>
      <c r="B125" t="s">
        <v>959</v>
      </c>
      <c r="C125" t="s">
        <v>24</v>
      </c>
      <c r="D125" t="s">
        <v>69</v>
      </c>
      <c r="E125" t="s">
        <v>960</v>
      </c>
      <c r="F125" s="2" t="n">
        <f>HYPERLINK("https://patents.google.com/patent/US20220138373","Google")</f>
        <v>0.0</v>
      </c>
      <c r="G125" s="2" t="n">
        <f>HYPERLINK("https://patentcenter.uspto.gov/applications/17213375","Patent Center")</f>
        <v>0.0</v>
      </c>
      <c r="H125" s="2" t="n">
        <f>HYPERLINK("https://worldwide.espacenet.com/patent/search?q=US20220138373","Espacenet")</f>
        <v>0.0</v>
      </c>
      <c r="I125" s="2" t="n">
        <f>HYPERLINK("https://ppubs.uspto.gov/pubwebapp/external.html?q=20220138373.pn.","USPTO")</f>
        <v>0.0</v>
      </c>
      <c r="J125" s="2" t="n">
        <f>HYPERLINK("https://image-ppubs.uspto.gov/dirsearch-public/print/downloadPdf/20220138373","USPTO PDF")</f>
        <v>0.0</v>
      </c>
      <c r="K125" s="2" t="n">
        <f>HYPERLINK("https://sectors.patentforecast.com/pmd/US20220138373","PMD")</f>
        <v>0.0</v>
      </c>
      <c r="L125" s="2" t="n">
        <f>HYPERLINK("https://globaldossier.uspto.gov/result/application/US/17213375/1","US20220138373")</f>
        <v>0.0</v>
      </c>
      <c r="M125" t="s">
        <v>961</v>
      </c>
      <c r="N125" t="s">
        <v>962</v>
      </c>
      <c r="O125" t="s">
        <v>962</v>
      </c>
      <c r="P125" t="s">
        <v>963</v>
      </c>
      <c r="Q125" s="3" t="n">
        <v>44281.0</v>
      </c>
      <c r="R125" s="3" t="n">
        <v>44686.0</v>
      </c>
      <c r="S125" s="3" t="n">
        <v>44687.23879403935</v>
      </c>
      <c r="T125" s="3" t="n">
        <v>44698.47538053241</v>
      </c>
      <c r="U125" t="s">
        <v>964</v>
      </c>
      <c r="V125" t="s">
        <v>965</v>
      </c>
    </row>
    <row r="126">
      <c r="A126" t="s">
        <v>22</v>
      </c>
      <c r="B126" t="s">
        <v>966</v>
      </c>
      <c r="C126" t="s">
        <v>24</v>
      </c>
      <c r="D126" t="s">
        <v>25</v>
      </c>
      <c r="E126" t="s">
        <v>967</v>
      </c>
      <c r="F126" s="2" t="n">
        <f>HYPERLINK("https://patents.google.com/patent/US20220138347","Google")</f>
        <v>0.0</v>
      </c>
      <c r="G126" s="2" t="n">
        <f>HYPERLINK("https://patentcenter.uspto.gov/applications/17083349","Patent Center")</f>
        <v>0.0</v>
      </c>
      <c r="H126" s="2" t="n">
        <f>HYPERLINK("https://worldwide.espacenet.com/patent/search?q=US20220138347","Espacenet")</f>
        <v>0.0</v>
      </c>
      <c r="I126" s="2" t="n">
        <f>HYPERLINK("https://ppubs.uspto.gov/pubwebapp/external.html?q=20220138347.pn.","USPTO")</f>
        <v>0.0</v>
      </c>
      <c r="J126" s="2" t="n">
        <f>HYPERLINK("https://image-ppubs.uspto.gov/dirsearch-public/print/downloadPdf/20220138347","USPTO PDF")</f>
        <v>0.0</v>
      </c>
      <c r="K126" s="2" t="n">
        <f>HYPERLINK("https://sectors.patentforecast.com/pmd/US20220138347","PMD")</f>
        <v>0.0</v>
      </c>
      <c r="L126" s="2" t="n">
        <f>HYPERLINK("https://globaldossier.uspto.gov/result/application/US/17083349/1","US20220138347")</f>
        <v>0.0</v>
      </c>
      <c r="M126" t="s">
        <v>968</v>
      </c>
      <c r="N126" t="s">
        <v>947</v>
      </c>
      <c r="O126" t="s">
        <v>948</v>
      </c>
      <c r="P126" t="s">
        <v>969</v>
      </c>
      <c r="Q126" s="3" t="n">
        <v>44133.0</v>
      </c>
      <c r="R126" s="3" t="n">
        <v>44686.0</v>
      </c>
      <c r="S126" s="3" t="n">
        <v>44687.23184987268</v>
      </c>
      <c r="T126" s="3" t="n">
        <v>44698.54779952546</v>
      </c>
      <c r="U126" t="s">
        <v>970</v>
      </c>
      <c r="V126" t="s">
        <v>971</v>
      </c>
    </row>
    <row r="127">
      <c r="A127" t="s">
        <v>22</v>
      </c>
      <c r="B127" t="s">
        <v>972</v>
      </c>
      <c r="C127" t="s">
        <v>861</v>
      </c>
      <c r="D127" t="s">
        <v>862</v>
      </c>
      <c r="E127" t="s">
        <v>973</v>
      </c>
      <c r="F127" s="2" t="n">
        <f>HYPERLINK("https://patents.google.com/patent/US20220138300","Google")</f>
        <v>0.0</v>
      </c>
      <c r="G127" s="2" t="n">
        <f>HYPERLINK("https://patentcenter.uspto.gov/applications/17573348","Patent Center")</f>
        <v>0.0</v>
      </c>
      <c r="H127" s="2" t="n">
        <f>HYPERLINK("https://worldwide.espacenet.com/patent/search?q=US20220138300","Espacenet")</f>
        <v>0.0</v>
      </c>
      <c r="I127" s="2" t="n">
        <f>HYPERLINK("https://ppubs.uspto.gov/pubwebapp/external.html?q=20220138300.pn.","USPTO")</f>
        <v>0.0</v>
      </c>
      <c r="J127" s="2" t="n">
        <f>HYPERLINK("https://image-ppubs.uspto.gov/dirsearch-public/print/downloadPdf/20220138300","USPTO PDF")</f>
        <v>0.0</v>
      </c>
      <c r="K127" s="2" t="n">
        <f>HYPERLINK("https://sectors.patentforecast.com/pmd/US20220138300","PMD")</f>
        <v>0.0</v>
      </c>
      <c r="L127" s="2" t="n">
        <f>HYPERLINK("https://globaldossier.uspto.gov/result/application/US/17573348/1","US20220138300")</f>
        <v>0.0</v>
      </c>
      <c r="M127" t="s">
        <v>974</v>
      </c>
      <c r="N127" t="s">
        <v>872</v>
      </c>
      <c r="O127" t="s">
        <v>873</v>
      </c>
      <c r="P127" t="s">
        <v>874</v>
      </c>
      <c r="Q127" s="3" t="n">
        <v>44572.0</v>
      </c>
      <c r="R127" s="3" t="n">
        <v>44686.0</v>
      </c>
      <c r="S127" s="3" t="n">
        <v>44687.23045935185</v>
      </c>
      <c r="T127" s="3" t="n">
        <v>44698.47316136574</v>
      </c>
      <c r="U127" t="s">
        <v>31</v>
      </c>
      <c r="V127" t="s">
        <v>876</v>
      </c>
    </row>
    <row r="128">
      <c r="A128" t="s">
        <v>22</v>
      </c>
      <c r="B128" t="s">
        <v>975</v>
      </c>
      <c r="C128" t="s">
        <v>312</v>
      </c>
      <c r="D128" t="s">
        <v>976</v>
      </c>
      <c r="E128" t="s">
        <v>977</v>
      </c>
      <c r="F128" s="2" t="n">
        <f>HYPERLINK("https://patents.google.com/patent/US20220138241","Google")</f>
        <v>0.0</v>
      </c>
      <c r="G128" s="2" t="n">
        <f>HYPERLINK("https://patentcenter.uspto.gov/applications/17514179","Patent Center")</f>
        <v>0.0</v>
      </c>
      <c r="H128" s="2" t="n">
        <f>HYPERLINK("https://worldwide.espacenet.com/patent/search?q=US20220138241","Espacenet")</f>
        <v>0.0</v>
      </c>
      <c r="I128" s="2" t="n">
        <f>HYPERLINK("https://ppubs.uspto.gov/pubwebapp/external.html?q=20220138241.pn.","USPTO")</f>
        <v>0.0</v>
      </c>
      <c r="J128" s="2" t="n">
        <f>HYPERLINK("https://image-ppubs.uspto.gov/dirsearch-public/print/downloadPdf/20220138241","USPTO PDF")</f>
        <v>0.0</v>
      </c>
      <c r="K128" s="2" t="n">
        <f>HYPERLINK("https://sectors.patentforecast.com/pmd/US20220138241","PMD")</f>
        <v>0.0</v>
      </c>
      <c r="L128" s="2" t="n">
        <f>HYPERLINK("https://globaldossier.uspto.gov/result/application/US/17514179/1","US20220138241")</f>
        <v>0.0</v>
      </c>
      <c r="M128" t="s">
        <v>978</v>
      </c>
      <c r="N128" t="s">
        <v>979</v>
      </c>
      <c r="O128" t="s">
        <v>980</v>
      </c>
      <c r="P128" t="s">
        <v>981</v>
      </c>
      <c r="Q128" s="3" t="n">
        <v>44498.0</v>
      </c>
      <c r="R128" s="3" t="n">
        <v>44686.0</v>
      </c>
      <c r="S128" s="3" t="n">
        <v>44687.23045935185</v>
      </c>
      <c r="T128" s="3" t="n">
        <v>44698.54930820602</v>
      </c>
      <c r="U128" t="s">
        <v>31</v>
      </c>
      <c r="V128" t="s">
        <v>982</v>
      </c>
    </row>
    <row r="129">
      <c r="A129" t="s">
        <v>22</v>
      </c>
      <c r="B129" t="s">
        <v>983</v>
      </c>
      <c r="C129" t="s">
        <v>24</v>
      </c>
      <c r="D129" t="s">
        <v>69</v>
      </c>
      <c r="E129" t="s">
        <v>984</v>
      </c>
      <c r="F129" s="2" t="n">
        <f>HYPERLINK("https://patents.google.com/patent/US20220137730","Google")</f>
        <v>0.0</v>
      </c>
      <c r="G129" s="2" t="n">
        <f>HYPERLINK("https://patentcenter.uspto.gov/applications/17515588","Patent Center")</f>
        <v>0.0</v>
      </c>
      <c r="H129" s="2" t="n">
        <f>HYPERLINK("https://worldwide.espacenet.com/patent/search?q=US20220137730","Espacenet")</f>
        <v>0.0</v>
      </c>
      <c r="I129" s="2" t="n">
        <f>HYPERLINK("https://ppubs.uspto.gov/pubwebapp/external.html?q=20220137730.pn.","USPTO")</f>
        <v>0.0</v>
      </c>
      <c r="J129" s="2" t="n">
        <f>HYPERLINK("https://image-ppubs.uspto.gov/dirsearch-public/print/downloadPdf/20220137730","USPTO PDF")</f>
        <v>0.0</v>
      </c>
      <c r="K129" s="2" t="n">
        <f>HYPERLINK("https://sectors.patentforecast.com/pmd/US20220137730","PMD")</f>
        <v>0.0</v>
      </c>
      <c r="L129" s="2" t="n">
        <f>HYPERLINK("https://globaldossier.uspto.gov/result/application/US/17515588/1","US20220137730")</f>
        <v>0.0</v>
      </c>
      <c r="M129" t="s">
        <v>985</v>
      </c>
      <c r="N129" t="s">
        <v>986</v>
      </c>
      <c r="O129" t="s">
        <v>986</v>
      </c>
      <c r="P129" t="s">
        <v>987</v>
      </c>
      <c r="Q129" s="3" t="n">
        <v>44501.0</v>
      </c>
      <c r="R129" s="3" t="n">
        <v>44686.0</v>
      </c>
      <c r="S129" s="3" t="n">
        <v>44687.23045935185</v>
      </c>
      <c r="T129" s="3" t="n">
        <v>44698.5500734375</v>
      </c>
      <c r="U129" t="s">
        <v>988</v>
      </c>
      <c r="V129" t="s">
        <v>989</v>
      </c>
    </row>
    <row r="130">
      <c r="A130" t="s">
        <v>22</v>
      </c>
      <c r="B130" t="s">
        <v>990</v>
      </c>
      <c r="C130" t="s">
        <v>60</v>
      </c>
      <c r="D130" t="s">
        <v>61</v>
      </c>
      <c r="E130" t="s">
        <v>991</v>
      </c>
      <c r="F130" s="2" t="n">
        <f>HYPERLINK("https://patents.google.com/patent/US20220137066","Google")</f>
        <v>0.0</v>
      </c>
      <c r="G130" s="2" t="n">
        <f>HYPERLINK("https://patentcenter.uspto.gov/applications/17399434","Patent Center")</f>
        <v>0.0</v>
      </c>
      <c r="H130" s="2" t="n">
        <f>HYPERLINK("https://worldwide.espacenet.com/patent/search?q=US20220137066","Espacenet")</f>
        <v>0.0</v>
      </c>
      <c r="I130" s="2" t="n">
        <f>HYPERLINK("https://ppubs.uspto.gov/pubwebapp/external.html?q=20220137066.pn.","USPTO")</f>
        <v>0.0</v>
      </c>
      <c r="J130" s="2" t="n">
        <f>HYPERLINK("https://image-ppubs.uspto.gov/dirsearch-public/print/downloadPdf/20220137066","USPTO PDF")</f>
        <v>0.0</v>
      </c>
      <c r="K130" s="2" t="n">
        <f>HYPERLINK("https://sectors.patentforecast.com/pmd/US20220137066","PMD")</f>
        <v>0.0</v>
      </c>
      <c r="L130" s="2" t="n">
        <f>HYPERLINK("https://globaldossier.uspto.gov/result/application/US/17399434/1","US20220137066")</f>
        <v>0.0</v>
      </c>
      <c r="M130" t="s">
        <v>992</v>
      </c>
      <c r="N130" t="s">
        <v>993</v>
      </c>
      <c r="O130" t="s">
        <v>994</v>
      </c>
      <c r="P130" t="s">
        <v>995</v>
      </c>
      <c r="Q130" s="3" t="n">
        <v>44419.0</v>
      </c>
      <c r="R130" s="3" t="n">
        <v>44686.0</v>
      </c>
      <c r="S130" s="3" t="n">
        <v>44687.23045935185</v>
      </c>
      <c r="T130" s="3" t="n">
        <v>44698.55137039352</v>
      </c>
      <c r="U130" t="s">
        <v>31</v>
      </c>
      <c r="V130" t="s">
        <v>996</v>
      </c>
    </row>
    <row r="131">
      <c r="A131" t="s">
        <v>22</v>
      </c>
      <c r="B131" t="s">
        <v>997</v>
      </c>
      <c r="C131" t="s">
        <v>60</v>
      </c>
      <c r="D131" t="s">
        <v>61</v>
      </c>
      <c r="E131" t="s">
        <v>991</v>
      </c>
      <c r="F131" s="2" t="n">
        <f>HYPERLINK("https://patents.google.com/patent/US20220137065","Google")</f>
        <v>0.0</v>
      </c>
      <c r="G131" s="2" t="n">
        <f>HYPERLINK("https://patentcenter.uspto.gov/applications/17399417","Patent Center")</f>
        <v>0.0</v>
      </c>
      <c r="H131" s="2" t="n">
        <f>HYPERLINK("https://worldwide.espacenet.com/patent/search?q=US20220137065","Espacenet")</f>
        <v>0.0</v>
      </c>
      <c r="I131" s="2" t="n">
        <f>HYPERLINK("https://ppubs.uspto.gov/pubwebapp/external.html?q=20220137065.pn.","USPTO")</f>
        <v>0.0</v>
      </c>
      <c r="J131" s="2" t="n">
        <f>HYPERLINK("https://image-ppubs.uspto.gov/dirsearch-public/print/downloadPdf/20220137065","USPTO PDF")</f>
        <v>0.0</v>
      </c>
      <c r="K131" s="2" t="n">
        <f>HYPERLINK("https://sectors.patentforecast.com/pmd/US20220137065","PMD")</f>
        <v>0.0</v>
      </c>
      <c r="L131" s="2" t="n">
        <f>HYPERLINK("https://globaldossier.uspto.gov/result/application/US/17399417/1","US20220137065")</f>
        <v>0.0</v>
      </c>
      <c r="M131" t="s">
        <v>998</v>
      </c>
      <c r="N131" t="s">
        <v>993</v>
      </c>
      <c r="O131" t="s">
        <v>994</v>
      </c>
      <c r="P131" t="s">
        <v>995</v>
      </c>
      <c r="Q131" s="3" t="n">
        <v>44419.0</v>
      </c>
      <c r="R131" s="3" t="n">
        <v>44686.0</v>
      </c>
      <c r="S131" s="3" t="n">
        <v>44687.23045935185</v>
      </c>
      <c r="T131" s="3" t="n">
        <v>44698.5513997338</v>
      </c>
      <c r="U131" t="s">
        <v>999</v>
      </c>
      <c r="V131" t="s">
        <v>996</v>
      </c>
    </row>
    <row r="132">
      <c r="A132" t="s">
        <v>22</v>
      </c>
      <c r="B132" t="s">
        <v>1000</v>
      </c>
      <c r="C132" t="s">
        <v>60</v>
      </c>
      <c r="D132" t="s">
        <v>61</v>
      </c>
      <c r="E132" t="s">
        <v>1001</v>
      </c>
      <c r="F132" s="2" t="n">
        <f>HYPERLINK("https://patents.google.com/patent/US20220137064","Google")</f>
        <v>0.0</v>
      </c>
      <c r="G132" s="2" t="n">
        <f>HYPERLINK("https://patentcenter.uspto.gov/applications/17399390","Patent Center")</f>
        <v>0.0</v>
      </c>
      <c r="H132" s="2" t="n">
        <f>HYPERLINK("https://worldwide.espacenet.com/patent/search?q=US20220137064","Espacenet")</f>
        <v>0.0</v>
      </c>
      <c r="I132" s="2" t="n">
        <f>HYPERLINK("https://ppubs.uspto.gov/pubwebapp/external.html?q=20220137064.pn.","USPTO")</f>
        <v>0.0</v>
      </c>
      <c r="J132" s="2" t="n">
        <f>HYPERLINK("https://image-ppubs.uspto.gov/dirsearch-public/print/downloadPdf/20220137064","USPTO PDF")</f>
        <v>0.0</v>
      </c>
      <c r="K132" s="2" t="n">
        <f>HYPERLINK("https://sectors.patentforecast.com/pmd/US20220137064","PMD")</f>
        <v>0.0</v>
      </c>
      <c r="L132" s="2" t="n">
        <f>HYPERLINK("https://globaldossier.uspto.gov/result/application/US/17399390/1","US20220137064")</f>
        <v>0.0</v>
      </c>
      <c r="M132" t="s">
        <v>1002</v>
      </c>
      <c r="N132" t="s">
        <v>993</v>
      </c>
      <c r="O132" t="s">
        <v>994</v>
      </c>
      <c r="P132" t="s">
        <v>995</v>
      </c>
      <c r="Q132" s="3" t="n">
        <v>44419.0</v>
      </c>
      <c r="R132" s="3" t="n">
        <v>44686.0</v>
      </c>
      <c r="S132" s="3" t="n">
        <v>44687.23045935185</v>
      </c>
      <c r="T132" s="3" t="n">
        <v>44698.55157821759</v>
      </c>
      <c r="U132" t="s">
        <v>1003</v>
      </c>
      <c r="V132" t="s">
        <v>996</v>
      </c>
    </row>
    <row r="133">
      <c r="A133" t="s">
        <v>22</v>
      </c>
      <c r="B133" t="s">
        <v>1004</v>
      </c>
      <c r="C133" t="s">
        <v>24</v>
      </c>
      <c r="D133" t="s">
        <v>51</v>
      </c>
      <c r="E133" t="s">
        <v>1005</v>
      </c>
      <c r="F133" s="2" t="n">
        <f>HYPERLINK("https://patents.google.com/patent/US20220137033","Google")</f>
        <v>0.0</v>
      </c>
      <c r="G133" s="2" t="n">
        <f>HYPERLINK("https://patentcenter.uspto.gov/applications/17644896","Patent Center")</f>
        <v>0.0</v>
      </c>
      <c r="H133" s="2" t="n">
        <f>HYPERLINK("https://worldwide.espacenet.com/patent/search?q=US20220137033","Espacenet")</f>
        <v>0.0</v>
      </c>
      <c r="I133" s="2" t="n">
        <f>HYPERLINK("https://ppubs.uspto.gov/pubwebapp/external.html?q=20220137033.pn.","USPTO")</f>
        <v>0.0</v>
      </c>
      <c r="J133" s="2" t="n">
        <f>HYPERLINK("https://image-ppubs.uspto.gov/dirsearch-public/print/downloadPdf/20220137033","USPTO PDF")</f>
        <v>0.0</v>
      </c>
      <c r="K133" s="2" t="n">
        <f>HYPERLINK("https://sectors.patentforecast.com/pmd/US20220137033","PMD")</f>
        <v>0.0</v>
      </c>
      <c r="L133" s="2" t="n">
        <f>HYPERLINK("https://globaldossier.uspto.gov/result/application/US/17644896/1","US20220137033")</f>
        <v>0.0</v>
      </c>
      <c r="M133" t="s">
        <v>1006</v>
      </c>
      <c r="N133" t="s">
        <v>1007</v>
      </c>
      <c r="O133" t="s">
        <v>1008</v>
      </c>
      <c r="P133" t="s">
        <v>1009</v>
      </c>
      <c r="Q133" s="3" t="n">
        <v>44547.0</v>
      </c>
      <c r="R133" s="3" t="n">
        <v>44686.0</v>
      </c>
      <c r="S133" s="3" t="n">
        <v>44687.23045935185</v>
      </c>
      <c r="T133" s="3" t="n">
        <v>44698.51413960648</v>
      </c>
      <c r="U133" t="s">
        <v>31</v>
      </c>
      <c r="V133" t="s">
        <v>1010</v>
      </c>
    </row>
    <row r="134">
      <c r="A134" t="s">
        <v>22</v>
      </c>
      <c r="B134" t="s">
        <v>1011</v>
      </c>
      <c r="C134" t="s">
        <v>24</v>
      </c>
      <c r="D134" t="s">
        <v>25</v>
      </c>
      <c r="E134" t="s">
        <v>1012</v>
      </c>
      <c r="F134" s="2" t="n">
        <f>HYPERLINK("https://patents.google.com/patent/US20220136996","Google")</f>
        <v>0.0</v>
      </c>
      <c r="G134" s="2" t="n">
        <f>HYPERLINK("https://patentcenter.uspto.gov/applications/17248477","Patent Center")</f>
        <v>0.0</v>
      </c>
      <c r="H134" s="2" t="n">
        <f>HYPERLINK("https://worldwide.espacenet.com/patent/search?q=US20220136996","Espacenet")</f>
        <v>0.0</v>
      </c>
      <c r="I134" s="2" t="n">
        <f>HYPERLINK("https://ppubs.uspto.gov/pubwebapp/external.html?q=20220136996.pn.","USPTO")</f>
        <v>0.0</v>
      </c>
      <c r="J134" s="2" t="n">
        <f>HYPERLINK("https://image-ppubs.uspto.gov/dirsearch-public/print/downloadPdf/20220136996","USPTO PDF")</f>
        <v>0.0</v>
      </c>
      <c r="K134" s="2" t="n">
        <f>HYPERLINK("https://sectors.patentforecast.com/pmd/US20220136996","PMD")</f>
        <v>0.0</v>
      </c>
      <c r="L134" s="2" t="n">
        <f>HYPERLINK("https://globaldossier.uspto.gov/result/application/US/17248477/1","US20220136996")</f>
        <v>0.0</v>
      </c>
      <c r="M134" t="s">
        <v>1013</v>
      </c>
      <c r="N134" t="s">
        <v>1014</v>
      </c>
      <c r="O134" t="s">
        <v>1015</v>
      </c>
      <c r="P134" t="s">
        <v>1016</v>
      </c>
      <c r="Q134" s="3" t="n">
        <v>44222.0</v>
      </c>
      <c r="R134" s="3" t="n">
        <v>44686.0</v>
      </c>
      <c r="S134" s="3" t="n">
        <v>44687.23045935185</v>
      </c>
      <c r="T134" s="3" t="n">
        <v>44698.55777358796</v>
      </c>
      <c r="U134" t="s">
        <v>1017</v>
      </c>
      <c r="V134" t="s">
        <v>1018</v>
      </c>
    </row>
    <row r="135">
      <c r="A135" t="s">
        <v>22</v>
      </c>
      <c r="B135" t="s">
        <v>1019</v>
      </c>
      <c r="C135" t="s">
        <v>24</v>
      </c>
      <c r="D135" t="s">
        <v>25</v>
      </c>
      <c r="E135" t="s">
        <v>1020</v>
      </c>
      <c r="F135" s="2" t="n">
        <f>HYPERLINK("https://patents.google.com/patent/US20220136941","Google")</f>
        <v>0.0</v>
      </c>
      <c r="G135" s="2" t="n">
        <f>HYPERLINK("https://patentcenter.uspto.gov/applications/17516207","Patent Center")</f>
        <v>0.0</v>
      </c>
      <c r="H135" s="2" t="n">
        <f>HYPERLINK("https://worldwide.espacenet.com/patent/search?q=US20220136941","Espacenet")</f>
        <v>0.0</v>
      </c>
      <c r="I135" s="2" t="n">
        <f>HYPERLINK("https://ppubs.uspto.gov/pubwebapp/external.html?q=20220136941.pn.","USPTO")</f>
        <v>0.0</v>
      </c>
      <c r="J135" s="2" t="n">
        <f>HYPERLINK("https://image-ppubs.uspto.gov/dirsearch-public/print/downloadPdf/20220136941","USPTO PDF")</f>
        <v>0.0</v>
      </c>
      <c r="K135" s="2" t="n">
        <f>HYPERLINK("https://sectors.patentforecast.com/pmd/US20220136941","PMD")</f>
        <v>0.0</v>
      </c>
      <c r="L135" s="2" t="n">
        <f>HYPERLINK("https://globaldossier.uspto.gov/result/application/US/17516207/1","US20220136941")</f>
        <v>0.0</v>
      </c>
      <c r="M135" t="s">
        <v>1021</v>
      </c>
      <c r="N135" t="s">
        <v>1022</v>
      </c>
      <c r="O135" t="s">
        <v>1023</v>
      </c>
      <c r="P135" t="s">
        <v>1024</v>
      </c>
      <c r="Q135" s="3" t="n">
        <v>44501.0</v>
      </c>
      <c r="R135" s="3" t="n">
        <v>44686.0</v>
      </c>
      <c r="S135" s="3" t="n">
        <v>44687.23045935185</v>
      </c>
      <c r="T135" s="3" t="n">
        <v>44698.473285451386</v>
      </c>
      <c r="U135" t="s">
        <v>31</v>
      </c>
      <c r="V135" t="s">
        <v>1025</v>
      </c>
    </row>
    <row r="136">
      <c r="A136" t="s">
        <v>22</v>
      </c>
      <c r="B136" t="s">
        <v>1026</v>
      </c>
      <c r="C136" t="s">
        <v>24</v>
      </c>
      <c r="D136" t="s">
        <v>1027</v>
      </c>
      <c r="E136" t="s">
        <v>1028</v>
      </c>
      <c r="F136" s="2" t="n">
        <f>HYPERLINK("https://patents.google.com/patent/US20220136857","Google")</f>
        <v>0.0</v>
      </c>
      <c r="G136" s="2" t="n">
        <f>HYPERLINK("https://patentcenter.uspto.gov/applications/17517307","Patent Center")</f>
        <v>0.0</v>
      </c>
      <c r="H136" s="2" t="n">
        <f>HYPERLINK("https://worldwide.espacenet.com/patent/search?q=US20220136857","Espacenet")</f>
        <v>0.0</v>
      </c>
      <c r="I136" s="2" t="n">
        <f>HYPERLINK("https://ppubs.uspto.gov/pubwebapp/external.html?q=20220136857.pn.","USPTO")</f>
        <v>0.0</v>
      </c>
      <c r="J136" s="2" t="n">
        <f>HYPERLINK("https://image-ppubs.uspto.gov/dirsearch-public/print/downloadPdf/20220136857","USPTO PDF")</f>
        <v>0.0</v>
      </c>
      <c r="K136" s="2" t="n">
        <f>HYPERLINK("https://sectors.patentforecast.com/pmd/US20220136857","PMD")</f>
        <v>0.0</v>
      </c>
      <c r="L136" s="2" t="n">
        <f>HYPERLINK("https://globaldossier.uspto.gov/result/application/US/17517307/1","US20220136857")</f>
        <v>0.0</v>
      </c>
      <c r="M136" t="s">
        <v>1029</v>
      </c>
      <c r="N136" t="s">
        <v>1030</v>
      </c>
      <c r="O136" t="s">
        <v>1031</v>
      </c>
      <c r="P136" t="s">
        <v>1032</v>
      </c>
      <c r="Q136" s="3" t="n">
        <v>44502.0</v>
      </c>
      <c r="R136" s="3" t="n">
        <v>44686.0</v>
      </c>
      <c r="S136" s="3" t="n">
        <v>44687.23045935185</v>
      </c>
      <c r="T136" s="3" t="n">
        <v>44698.514604317126</v>
      </c>
      <c r="U136" t="s">
        <v>31</v>
      </c>
      <c r="V136" t="s">
        <v>1033</v>
      </c>
    </row>
    <row r="137">
      <c r="A137" t="s">
        <v>22</v>
      </c>
      <c r="B137" t="s">
        <v>1034</v>
      </c>
      <c r="C137" t="s">
        <v>24</v>
      </c>
      <c r="D137" t="s">
        <v>100</v>
      </c>
      <c r="E137" t="s">
        <v>1035</v>
      </c>
      <c r="F137" s="2" t="n">
        <f>HYPERLINK("https://patents.google.com/patent/US20220136116","Google")</f>
        <v>0.0</v>
      </c>
      <c r="G137" s="2" t="n">
        <f>HYPERLINK("https://patentcenter.uspto.gov/applications/17120166","Patent Center")</f>
        <v>0.0</v>
      </c>
      <c r="H137" s="2" t="n">
        <f>HYPERLINK("https://worldwide.espacenet.com/patent/search?q=US20220136116","Espacenet")</f>
        <v>0.0</v>
      </c>
      <c r="I137" s="2" t="n">
        <f>HYPERLINK("https://ppubs.uspto.gov/pubwebapp/external.html?q=20220136116.pn.","USPTO")</f>
        <v>0.0</v>
      </c>
      <c r="J137" s="2" t="n">
        <f>HYPERLINK("https://image-ppubs.uspto.gov/dirsearch-public/print/downloadPdf/20220136116","USPTO PDF")</f>
        <v>0.0</v>
      </c>
      <c r="K137" s="2" t="n">
        <f>HYPERLINK("https://sectors.patentforecast.com/pmd/US20220136116","PMD")</f>
        <v>0.0</v>
      </c>
      <c r="L137" s="2" t="n">
        <f>HYPERLINK("https://globaldossier.uspto.gov/result/application/US/17120166/1","US20220136116")</f>
        <v>0.0</v>
      </c>
      <c r="M137" t="s">
        <v>1036</v>
      </c>
      <c r="N137" t="s">
        <v>1037</v>
      </c>
      <c r="O137" t="s">
        <v>1037</v>
      </c>
      <c r="P137" t="s">
        <v>1038</v>
      </c>
      <c r="Q137" s="3" t="n">
        <v>44177.0</v>
      </c>
      <c r="R137" s="3" t="n">
        <v>44686.0</v>
      </c>
      <c r="S137" s="3" t="n">
        <v>44687.23045935185</v>
      </c>
      <c r="T137" s="3" t="n">
        <v>44698.55283244213</v>
      </c>
      <c r="U137" t="s">
        <v>1039</v>
      </c>
      <c r="V137" t="s">
        <v>1040</v>
      </c>
    </row>
    <row r="138">
      <c r="A138" t="s">
        <v>22</v>
      </c>
      <c r="B138" t="s">
        <v>1041</v>
      </c>
      <c r="C138" t="s">
        <v>60</v>
      </c>
      <c r="D138" t="s">
        <v>61</v>
      </c>
      <c r="E138" t="s">
        <v>1042</v>
      </c>
      <c r="F138" s="2" t="n">
        <f>HYPERLINK("https://patents.google.com/patent/US20220136075","Google")</f>
        <v>0.0</v>
      </c>
      <c r="G138" s="2" t="n">
        <f>HYPERLINK("https://patentcenter.uspto.gov/applications/17648180","Patent Center")</f>
        <v>0.0</v>
      </c>
      <c r="H138" s="2" t="n">
        <f>HYPERLINK("https://worldwide.espacenet.com/patent/search?q=US20220136075","Espacenet")</f>
        <v>0.0</v>
      </c>
      <c r="I138" s="2" t="n">
        <f>HYPERLINK("https://ppubs.uspto.gov/pubwebapp/external.html?q=20220136075.pn.","USPTO")</f>
        <v>0.0</v>
      </c>
      <c r="J138" s="2" t="n">
        <f>HYPERLINK("https://image-ppubs.uspto.gov/dirsearch-public/print/downloadPdf/20220136075","USPTO PDF")</f>
        <v>0.0</v>
      </c>
      <c r="K138" s="2" t="n">
        <f>HYPERLINK("https://sectors.patentforecast.com/pmd/US20220136075","PMD")</f>
        <v>0.0</v>
      </c>
      <c r="L138" s="2" t="n">
        <f>HYPERLINK("https://globaldossier.uspto.gov/result/application/US/17648180/1","US20220136075")</f>
        <v>0.0</v>
      </c>
      <c r="M138" t="s">
        <v>1043</v>
      </c>
      <c r="N138" t="s">
        <v>1044</v>
      </c>
      <c r="O138" t="s">
        <v>1045</v>
      </c>
      <c r="P138" t="s">
        <v>1046</v>
      </c>
      <c r="Q138" s="3" t="n">
        <v>44579.0</v>
      </c>
      <c r="R138" s="3" t="n">
        <v>44686.0</v>
      </c>
      <c r="S138" s="3" t="n">
        <v>44687.23045935185</v>
      </c>
      <c r="T138" s="3" t="n">
        <v>44698.473807905095</v>
      </c>
      <c r="U138" t="s">
        <v>31</v>
      </c>
      <c r="V138" t="s">
        <v>1047</v>
      </c>
    </row>
    <row r="139">
      <c r="A139" t="s">
        <v>22</v>
      </c>
      <c r="B139" t="s">
        <v>1048</v>
      </c>
      <c r="C139" t="s">
        <v>24</v>
      </c>
      <c r="D139" t="s">
        <v>25</v>
      </c>
      <c r="E139" t="s">
        <v>1049</v>
      </c>
      <c r="F139" s="2" t="n">
        <f>HYPERLINK("https://patents.google.com/patent/US20220136074","Google")</f>
        <v>0.0</v>
      </c>
      <c r="G139" s="2" t="n">
        <f>HYPERLINK("https://patentcenter.uspto.gov/applications/17519670","Patent Center")</f>
        <v>0.0</v>
      </c>
      <c r="H139" s="2" t="n">
        <f>HYPERLINK("https://worldwide.espacenet.com/patent/search?q=US20220136074","Espacenet")</f>
        <v>0.0</v>
      </c>
      <c r="I139" s="2" t="n">
        <f>HYPERLINK("https://ppubs.uspto.gov/pubwebapp/external.html?q=20220136074.pn.","USPTO")</f>
        <v>0.0</v>
      </c>
      <c r="J139" s="2" t="n">
        <f>HYPERLINK("https://image-ppubs.uspto.gov/dirsearch-public/print/downloadPdf/20220136074","USPTO PDF")</f>
        <v>0.0</v>
      </c>
      <c r="K139" s="2" t="n">
        <f>HYPERLINK("https://sectors.patentforecast.com/pmd/US20220136074","PMD")</f>
        <v>0.0</v>
      </c>
      <c r="L139" s="2" t="n">
        <f>HYPERLINK("https://globaldossier.uspto.gov/result/application/US/17519670/1","US20220136074")</f>
        <v>0.0</v>
      </c>
      <c r="M139" t="s">
        <v>1050</v>
      </c>
      <c r="N139" t="s">
        <v>1051</v>
      </c>
      <c r="O139" t="s">
        <v>1052</v>
      </c>
      <c r="P139" t="s">
        <v>1053</v>
      </c>
      <c r="Q139" s="3" t="n">
        <v>44505.0</v>
      </c>
      <c r="R139" s="3" t="n">
        <v>44686.0</v>
      </c>
      <c r="S139" s="3" t="n">
        <v>44687.23045935185</v>
      </c>
      <c r="T139" s="3" t="n">
        <v>44698.47477753472</v>
      </c>
      <c r="U139" t="s">
        <v>1054</v>
      </c>
      <c r="V139" t="s">
        <v>1055</v>
      </c>
    </row>
    <row r="140">
      <c r="A140" t="s">
        <v>22</v>
      </c>
      <c r="B140" t="s">
        <v>1056</v>
      </c>
      <c r="C140" t="s">
        <v>60</v>
      </c>
      <c r="D140" t="s">
        <v>61</v>
      </c>
      <c r="E140" t="s">
        <v>1057</v>
      </c>
      <c r="F140" s="2" t="n">
        <f>HYPERLINK("https://patents.google.com/patent/US20220136036","Google")</f>
        <v>0.0</v>
      </c>
      <c r="G140" s="2" t="n">
        <f>HYPERLINK("https://patentcenter.uspto.gov/applications/17578004","Patent Center")</f>
        <v>0.0</v>
      </c>
      <c r="H140" s="2" t="n">
        <f>HYPERLINK("https://worldwide.espacenet.com/patent/search?q=US20220136036","Espacenet")</f>
        <v>0.0</v>
      </c>
      <c r="I140" s="2" t="n">
        <f>HYPERLINK("https://ppubs.uspto.gov/pubwebapp/external.html?q=20220136036.pn.","USPTO")</f>
        <v>0.0</v>
      </c>
      <c r="J140" s="2" t="n">
        <f>HYPERLINK("https://image-ppubs.uspto.gov/dirsearch-public/print/downloadPdf/20220136036","USPTO PDF")</f>
        <v>0.0</v>
      </c>
      <c r="K140" s="2" t="n">
        <f>HYPERLINK("https://sectors.patentforecast.com/pmd/US20220136036","PMD")</f>
        <v>0.0</v>
      </c>
      <c r="L140" s="2" t="n">
        <f>HYPERLINK("https://globaldossier.uspto.gov/result/application/US/17578004/1","US20220136036")</f>
        <v>0.0</v>
      </c>
      <c r="M140" t="s">
        <v>1058</v>
      </c>
      <c r="N140" t="s">
        <v>1059</v>
      </c>
      <c r="O140" t="s">
        <v>1060</v>
      </c>
      <c r="P140" t="s">
        <v>1061</v>
      </c>
      <c r="Q140" s="3" t="n">
        <v>44579.0</v>
      </c>
      <c r="R140" s="3" t="n">
        <v>44686.0</v>
      </c>
      <c r="S140" s="3" t="n">
        <v>44687.23045935185</v>
      </c>
      <c r="T140" s="3" t="n">
        <v>44698.55342545139</v>
      </c>
      <c r="U140" t="s">
        <v>1062</v>
      </c>
      <c r="V140" t="s">
        <v>1063</v>
      </c>
    </row>
    <row r="141">
      <c r="A141" t="s">
        <v>22</v>
      </c>
      <c r="B141" t="s">
        <v>1064</v>
      </c>
      <c r="C141" t="s">
        <v>60</v>
      </c>
      <c r="D141" t="s">
        <v>61</v>
      </c>
      <c r="E141" t="s">
        <v>1065</v>
      </c>
      <c r="F141" s="2" t="n">
        <f>HYPERLINK("https://patents.google.com/patent/US20220135952","Google")</f>
        <v>0.0</v>
      </c>
      <c r="G141" s="2" t="n">
        <f>HYPERLINK("https://patentcenter.uspto.gov/applications/17410126","Patent Center")</f>
        <v>0.0</v>
      </c>
      <c r="H141" s="2" t="n">
        <f>HYPERLINK("https://worldwide.espacenet.com/patent/search?q=US20220135952","Espacenet")</f>
        <v>0.0</v>
      </c>
      <c r="I141" s="2" t="n">
        <f>HYPERLINK("https://ppubs.uspto.gov/pubwebapp/external.html?q=20220135952.pn.","USPTO")</f>
        <v>0.0</v>
      </c>
      <c r="J141" s="2" t="n">
        <f>HYPERLINK("https://image-ppubs.uspto.gov/dirsearch-public/print/downloadPdf/20220135952","USPTO PDF")</f>
        <v>0.0</v>
      </c>
      <c r="K141" s="2" t="n">
        <f>HYPERLINK("https://sectors.patentforecast.com/pmd/US20220135952","PMD")</f>
        <v>0.0</v>
      </c>
      <c r="L141" s="2" t="n">
        <f>HYPERLINK("https://globaldossier.uspto.gov/result/application/US/17410126/1","US20220135952")</f>
        <v>0.0</v>
      </c>
      <c r="M141" t="s">
        <v>1066</v>
      </c>
      <c r="N141" t="s">
        <v>1067</v>
      </c>
      <c r="O141" t="s">
        <v>1067</v>
      </c>
      <c r="P141" t="s">
        <v>1068</v>
      </c>
      <c r="Q141" s="3" t="n">
        <v>44432.0</v>
      </c>
      <c r="R141" s="3" t="n">
        <v>44686.0</v>
      </c>
      <c r="S141" s="3" t="n">
        <v>44687.23276988426</v>
      </c>
      <c r="T141" s="3" t="n">
        <v>44698.55379679398</v>
      </c>
      <c r="U141" t="s">
        <v>31</v>
      </c>
      <c r="V141" t="s">
        <v>1069</v>
      </c>
    </row>
    <row r="142">
      <c r="A142" t="s">
        <v>22</v>
      </c>
      <c r="B142" t="s">
        <v>1070</v>
      </c>
      <c r="C142" t="s">
        <v>24</v>
      </c>
      <c r="D142" t="s">
        <v>25</v>
      </c>
      <c r="E142" t="s">
        <v>1071</v>
      </c>
      <c r="F142" s="2" t="n">
        <f>HYPERLINK("https://patents.google.com/patent/US20220135939","Google")</f>
        <v>0.0</v>
      </c>
      <c r="G142" s="2" t="n">
        <f>HYPERLINK("https://patentcenter.uspto.gov/applications/17383404","Patent Center")</f>
        <v>0.0</v>
      </c>
      <c r="H142" s="2" t="n">
        <f>HYPERLINK("https://worldwide.espacenet.com/patent/search?q=US20220135939","Espacenet")</f>
        <v>0.0</v>
      </c>
      <c r="I142" s="2" t="n">
        <f>HYPERLINK("https://ppubs.uspto.gov/pubwebapp/external.html?q=20220135939.pn.","USPTO")</f>
        <v>0.0</v>
      </c>
      <c r="J142" s="2" t="n">
        <f>HYPERLINK("https://image-ppubs.uspto.gov/dirsearch-public/print/downloadPdf/20220135939","USPTO PDF")</f>
        <v>0.0</v>
      </c>
      <c r="K142" s="2" t="n">
        <f>HYPERLINK("https://sectors.patentforecast.com/pmd/US20220135939","PMD")</f>
        <v>0.0</v>
      </c>
      <c r="L142" s="2" t="n">
        <f>HYPERLINK("https://globaldossier.uspto.gov/result/application/US/17383404/1","US20220135939")</f>
        <v>0.0</v>
      </c>
      <c r="M142" t="s">
        <v>1072</v>
      </c>
      <c r="N142" t="s">
        <v>1073</v>
      </c>
      <c r="O142" t="s">
        <v>1074</v>
      </c>
      <c r="P142" t="s">
        <v>1075</v>
      </c>
      <c r="Q142" s="3" t="n">
        <v>44399.0</v>
      </c>
      <c r="R142" s="3" t="n">
        <v>44686.0</v>
      </c>
      <c r="S142" s="3" t="n">
        <v>44687.23045935185</v>
      </c>
      <c r="T142" s="3" t="n">
        <v>44698.47498953704</v>
      </c>
      <c r="U142" t="s">
        <v>31</v>
      </c>
      <c r="V142" t="s">
        <v>1076</v>
      </c>
    </row>
    <row r="143">
      <c r="A143" t="s">
        <v>22</v>
      </c>
      <c r="B143" t="s">
        <v>1077</v>
      </c>
      <c r="C143" t="s">
        <v>60</v>
      </c>
      <c r="D143" t="s">
        <v>61</v>
      </c>
      <c r="E143" t="s">
        <v>1078</v>
      </c>
      <c r="F143" s="2" t="n">
        <f>HYPERLINK("https://patents.google.com/patent/US20220135923","Google")</f>
        <v>0.0</v>
      </c>
      <c r="G143" s="2" t="n">
        <f>HYPERLINK("https://patentcenter.uspto.gov/applications/17514795","Patent Center")</f>
        <v>0.0</v>
      </c>
      <c r="H143" s="2" t="n">
        <f>HYPERLINK("https://worldwide.espacenet.com/patent/search?q=US20220135923","Espacenet")</f>
        <v>0.0</v>
      </c>
      <c r="I143" s="2" t="n">
        <f>HYPERLINK("https://ppubs.uspto.gov/pubwebapp/external.html?q=20220135923.pn.","USPTO")</f>
        <v>0.0</v>
      </c>
      <c r="J143" s="2" t="n">
        <f>HYPERLINK("https://image-ppubs.uspto.gov/dirsearch-public/print/downloadPdf/20220135923","USPTO PDF")</f>
        <v>0.0</v>
      </c>
      <c r="K143" s="2" t="n">
        <f>HYPERLINK("https://sectors.patentforecast.com/pmd/US20220135923","PMD")</f>
        <v>0.0</v>
      </c>
      <c r="L143" s="2" t="n">
        <f>HYPERLINK("https://globaldossier.uspto.gov/result/application/US/17514795/1","US20220135923")</f>
        <v>0.0</v>
      </c>
      <c r="M143" t="s">
        <v>1079</v>
      </c>
      <c r="N143" t="s">
        <v>1080</v>
      </c>
      <c r="O143" t="s">
        <v>1081</v>
      </c>
      <c r="P143" t="s">
        <v>1082</v>
      </c>
      <c r="Q143" s="3" t="n">
        <v>44498.0</v>
      </c>
      <c r="R143" s="3" t="n">
        <v>44686.0</v>
      </c>
      <c r="S143" s="3" t="n">
        <v>44687.23045935185</v>
      </c>
      <c r="T143" s="3" t="n">
        <v>44698.55521792824</v>
      </c>
      <c r="U143" t="s">
        <v>31</v>
      </c>
      <c r="V143" t="s">
        <v>1083</v>
      </c>
    </row>
    <row r="144">
      <c r="A144" t="s">
        <v>22</v>
      </c>
      <c r="B144" t="s">
        <v>1084</v>
      </c>
      <c r="C144" t="s">
        <v>24</v>
      </c>
      <c r="D144" t="s">
        <v>69</v>
      </c>
      <c r="E144" t="s">
        <v>1085</v>
      </c>
      <c r="F144" s="2" t="n">
        <f>HYPERLINK("https://patents.google.com/patent/US20220135702","Google")</f>
        <v>0.0</v>
      </c>
      <c r="G144" s="2" t="n">
        <f>HYPERLINK("https://patentcenter.uspto.gov/applications/17514898","Patent Center")</f>
        <v>0.0</v>
      </c>
      <c r="H144" s="2" t="n">
        <f>HYPERLINK("https://worldwide.espacenet.com/patent/search?q=US20220135702","Espacenet")</f>
        <v>0.0</v>
      </c>
      <c r="I144" s="2" t="n">
        <f>HYPERLINK("https://ppubs.uspto.gov/pubwebapp/external.html?q=20220135702.pn.","USPTO")</f>
        <v>0.0</v>
      </c>
      <c r="J144" s="2" t="n">
        <f>HYPERLINK("https://image-ppubs.uspto.gov/dirsearch-public/print/downloadPdf/20220135702","USPTO PDF")</f>
        <v>0.0</v>
      </c>
      <c r="K144" s="2" t="n">
        <f>HYPERLINK("https://sectors.patentforecast.com/pmd/US20220135702","PMD")</f>
        <v>0.0</v>
      </c>
      <c r="L144" s="2" t="n">
        <f>HYPERLINK("https://globaldossier.uspto.gov/result/application/US/17514898/1","US20220135702")</f>
        <v>0.0</v>
      </c>
      <c r="M144" t="s">
        <v>1086</v>
      </c>
      <c r="N144" t="s">
        <v>555</v>
      </c>
      <c r="O144" t="s">
        <v>556</v>
      </c>
      <c r="P144" t="s">
        <v>557</v>
      </c>
      <c r="Q144" s="3" t="n">
        <v>44498.0</v>
      </c>
      <c r="R144" s="3" t="n">
        <v>44686.0</v>
      </c>
      <c r="S144" s="3" t="n">
        <v>44687.23045935185</v>
      </c>
      <c r="T144" s="3" t="n">
        <v>44698.55787355324</v>
      </c>
      <c r="U144" t="s">
        <v>1087</v>
      </c>
      <c r="V144" t="s">
        <v>1088</v>
      </c>
    </row>
    <row r="145">
      <c r="A145" t="s">
        <v>22</v>
      </c>
      <c r="B145" t="s">
        <v>1089</v>
      </c>
      <c r="C145" t="s">
        <v>132</v>
      </c>
      <c r="D145" t="s">
        <v>133</v>
      </c>
      <c r="E145" t="s">
        <v>1090</v>
      </c>
      <c r="F145" s="2" t="n">
        <f>HYPERLINK("https://patents.google.com/patent/US20220135654","Google")</f>
        <v>0.0</v>
      </c>
      <c r="G145" s="2" t="n">
        <f>HYPERLINK("https://patentcenter.uspto.gov/applications/17512837","Patent Center")</f>
        <v>0.0</v>
      </c>
      <c r="H145" s="2" t="n">
        <f>HYPERLINK("https://worldwide.espacenet.com/patent/search?q=US20220135654","Espacenet")</f>
        <v>0.0</v>
      </c>
      <c r="I145" s="2" t="n">
        <f>HYPERLINK("https://ppubs.uspto.gov/pubwebapp/external.html?q=20220135654.pn.","USPTO")</f>
        <v>0.0</v>
      </c>
      <c r="J145" s="2" t="n">
        <f>HYPERLINK("https://image-ppubs.uspto.gov/dirsearch-public/print/downloadPdf/20220135654","USPTO PDF")</f>
        <v>0.0</v>
      </c>
      <c r="K145" s="2" t="n">
        <f>HYPERLINK("https://sectors.patentforecast.com/pmd/US20220135654","PMD")</f>
        <v>0.0</v>
      </c>
      <c r="L145" s="2" t="n">
        <f>HYPERLINK("https://globaldossier.uspto.gov/result/application/US/17512837/1","US20220135654")</f>
        <v>0.0</v>
      </c>
      <c r="M145" t="s">
        <v>1091</v>
      </c>
      <c r="N145" t="s">
        <v>1092</v>
      </c>
      <c r="O145" t="s">
        <v>1092</v>
      </c>
      <c r="P145" t="s">
        <v>1093</v>
      </c>
      <c r="Q145" s="3" t="n">
        <v>44497.0</v>
      </c>
      <c r="R145" s="3" t="n">
        <v>44686.0</v>
      </c>
      <c r="S145" s="3" t="n">
        <v>44687.23045935185</v>
      </c>
      <c r="T145" s="3" t="n">
        <v>44698.557996006944</v>
      </c>
      <c r="U145" t="s">
        <v>1094</v>
      </c>
      <c r="V145" t="s">
        <v>1095</v>
      </c>
    </row>
    <row r="146">
      <c r="A146" t="s">
        <v>22</v>
      </c>
      <c r="B146" t="s">
        <v>1096</v>
      </c>
      <c r="C146" t="s">
        <v>24</v>
      </c>
      <c r="D146" t="s">
        <v>69</v>
      </c>
      <c r="E146" t="s">
        <v>1097</v>
      </c>
      <c r="F146" s="2" t="n">
        <f>HYPERLINK("https://patents.google.com/patent/US20220135653","Google")</f>
        <v>0.0</v>
      </c>
      <c r="G146" s="2" t="n">
        <f>HYPERLINK("https://patentcenter.uspto.gov/applications/17502086","Patent Center")</f>
        <v>0.0</v>
      </c>
      <c r="H146" s="2" t="n">
        <f>HYPERLINK("https://worldwide.espacenet.com/patent/search?q=US20220135653","Espacenet")</f>
        <v>0.0</v>
      </c>
      <c r="I146" s="2" t="n">
        <f>HYPERLINK("https://ppubs.uspto.gov/pubwebapp/external.html?q=20220135653.pn.","USPTO")</f>
        <v>0.0</v>
      </c>
      <c r="J146" s="2" t="n">
        <f>HYPERLINK("https://image-ppubs.uspto.gov/dirsearch-public/print/downloadPdf/20220135653","USPTO PDF")</f>
        <v>0.0</v>
      </c>
      <c r="K146" s="2" t="n">
        <f>HYPERLINK("https://sectors.patentforecast.com/pmd/US20220135653","PMD")</f>
        <v>0.0</v>
      </c>
      <c r="L146" s="2" t="n">
        <f>HYPERLINK("https://globaldossier.uspto.gov/result/application/US/17502086/1","US20220135653")</f>
        <v>0.0</v>
      </c>
      <c r="M146" t="s">
        <v>1098</v>
      </c>
      <c r="N146" t="s">
        <v>1099</v>
      </c>
      <c r="O146" t="s">
        <v>1100</v>
      </c>
      <c r="P146" t="s">
        <v>1101</v>
      </c>
      <c r="Q146" s="3" t="n">
        <v>44484.0</v>
      </c>
      <c r="R146" s="3" t="n">
        <v>44686.0</v>
      </c>
      <c r="S146" s="3" t="n">
        <v>44687.23045935185</v>
      </c>
      <c r="T146" s="3" t="n">
        <v>44698.55819238426</v>
      </c>
      <c r="U146" t="s">
        <v>1102</v>
      </c>
      <c r="V146" t="s">
        <v>1103</v>
      </c>
    </row>
    <row r="147">
      <c r="A147" t="s">
        <v>22</v>
      </c>
      <c r="B147" t="s">
        <v>1104</v>
      </c>
      <c r="C147" t="s">
        <v>24</v>
      </c>
      <c r="D147" t="s">
        <v>69</v>
      </c>
      <c r="E147" t="s">
        <v>1105</v>
      </c>
      <c r="F147" s="2" t="n">
        <f>HYPERLINK("https://patents.google.com/patent/US20220135626","Google")</f>
        <v>0.0</v>
      </c>
      <c r="G147" s="2" t="n">
        <f>HYPERLINK("https://patentcenter.uspto.gov/applications/17514572","Patent Center")</f>
        <v>0.0</v>
      </c>
      <c r="H147" s="2" t="n">
        <f>HYPERLINK("https://worldwide.espacenet.com/patent/search?q=US20220135626","Espacenet")</f>
        <v>0.0</v>
      </c>
      <c r="I147" s="2" t="n">
        <f>HYPERLINK("https://ppubs.uspto.gov/pubwebapp/external.html?q=20220135626.pn.","USPTO")</f>
        <v>0.0</v>
      </c>
      <c r="J147" s="2" t="n">
        <f>HYPERLINK("https://image-ppubs.uspto.gov/dirsearch-public/print/downloadPdf/20220135626","USPTO PDF")</f>
        <v>0.0</v>
      </c>
      <c r="K147" s="2" t="n">
        <f>HYPERLINK("https://sectors.patentforecast.com/pmd/US20220135626","PMD")</f>
        <v>0.0</v>
      </c>
      <c r="L147" s="2" t="n">
        <f>HYPERLINK("https://globaldossier.uspto.gov/result/application/US/17514572/1","US20220135626")</f>
        <v>0.0</v>
      </c>
      <c r="M147" t="s">
        <v>1106</v>
      </c>
      <c r="N147" t="s">
        <v>1107</v>
      </c>
      <c r="O147" t="s">
        <v>1108</v>
      </c>
      <c r="P147" t="s">
        <v>1109</v>
      </c>
      <c r="Q147" s="3" t="n">
        <v>44498.0</v>
      </c>
      <c r="R147" s="3" t="n">
        <v>44686.0</v>
      </c>
      <c r="S147" s="3" t="n">
        <v>44687.23045935185</v>
      </c>
      <c r="T147" s="3" t="n">
        <v>44698.56239841435</v>
      </c>
      <c r="U147" t="s">
        <v>1110</v>
      </c>
      <c r="V147" t="s">
        <v>1111</v>
      </c>
    </row>
    <row r="148">
      <c r="A148" t="s">
        <v>22</v>
      </c>
      <c r="B148" t="s">
        <v>1112</v>
      </c>
      <c r="C148" t="s">
        <v>60</v>
      </c>
      <c r="D148" t="s">
        <v>61</v>
      </c>
      <c r="E148" t="s">
        <v>1113</v>
      </c>
      <c r="F148" s="2" t="n">
        <f>HYPERLINK("https://patents.google.com/patent/US20220135625","Google")</f>
        <v>0.0</v>
      </c>
      <c r="G148" s="2" t="n">
        <f>HYPERLINK("https://patentcenter.uspto.gov/applications/17556413","Patent Center")</f>
        <v>0.0</v>
      </c>
      <c r="H148" s="2" t="n">
        <f>HYPERLINK("https://worldwide.espacenet.com/patent/search?q=US20220135625","Espacenet")</f>
        <v>0.0</v>
      </c>
      <c r="I148" s="2" t="n">
        <f>HYPERLINK("https://ppubs.uspto.gov/pubwebapp/external.html?q=20220135625.pn.","USPTO")</f>
        <v>0.0</v>
      </c>
      <c r="J148" s="2" t="n">
        <f>HYPERLINK("https://image-ppubs.uspto.gov/dirsearch-public/print/downloadPdf/20220135625","USPTO PDF")</f>
        <v>0.0</v>
      </c>
      <c r="K148" s="2" t="n">
        <f>HYPERLINK("https://sectors.patentforecast.com/pmd/US20220135625","PMD")</f>
        <v>0.0</v>
      </c>
      <c r="L148" s="2" t="n">
        <f>HYPERLINK("https://globaldossier.uspto.gov/result/application/US/17556413/1","US20220135625")</f>
        <v>0.0</v>
      </c>
      <c r="M148" t="s">
        <v>1114</v>
      </c>
      <c r="N148" t="s">
        <v>1115</v>
      </c>
      <c r="O148" t="s">
        <v>1115</v>
      </c>
      <c r="P148" t="s">
        <v>1116</v>
      </c>
      <c r="Q148" s="3" t="n">
        <v>44550.0</v>
      </c>
      <c r="R148" s="3" t="n">
        <v>44686.0</v>
      </c>
      <c r="S148" s="3" t="n">
        <v>44687.23045935185</v>
      </c>
      <c r="T148" s="3" t="n">
        <v>44698.56293261574</v>
      </c>
      <c r="U148" t="s">
        <v>1117</v>
      </c>
      <c r="V148" t="s">
        <v>1118</v>
      </c>
    </row>
    <row r="149">
      <c r="A149" t="s">
        <v>22</v>
      </c>
      <c r="B149" t="s">
        <v>1119</v>
      </c>
      <c r="C149" t="s">
        <v>60</v>
      </c>
      <c r="D149" t="s">
        <v>61</v>
      </c>
      <c r="E149" t="s">
        <v>1120</v>
      </c>
      <c r="F149" s="2" t="n">
        <f>HYPERLINK("https://patents.google.com/patent/US20220135624","Google")</f>
        <v>0.0</v>
      </c>
      <c r="G149" s="2" t="n">
        <f>HYPERLINK("https://patentcenter.uspto.gov/applications/17505466","Patent Center")</f>
        <v>0.0</v>
      </c>
      <c r="H149" s="2" t="n">
        <f>HYPERLINK("https://worldwide.espacenet.com/patent/search?q=US20220135624","Espacenet")</f>
        <v>0.0</v>
      </c>
      <c r="I149" s="2" t="n">
        <f>HYPERLINK("https://ppubs.uspto.gov/pubwebapp/external.html?q=20220135624.pn.","USPTO")</f>
        <v>0.0</v>
      </c>
      <c r="J149" s="2" t="n">
        <f>HYPERLINK("https://image-ppubs.uspto.gov/dirsearch-public/print/downloadPdf/20220135624","USPTO PDF")</f>
        <v>0.0</v>
      </c>
      <c r="K149" s="2" t="n">
        <f>HYPERLINK("https://sectors.patentforecast.com/pmd/US20220135624","PMD")</f>
        <v>0.0</v>
      </c>
      <c r="L149" s="2" t="n">
        <f>HYPERLINK("https://globaldossier.uspto.gov/result/application/US/17505466/1","US20220135624")</f>
        <v>0.0</v>
      </c>
      <c r="M149" t="s">
        <v>1121</v>
      </c>
      <c r="N149" t="s">
        <v>1122</v>
      </c>
      <c r="O149" t="s">
        <v>1123</v>
      </c>
      <c r="P149" t="s">
        <v>1124</v>
      </c>
      <c r="Q149" s="3" t="n">
        <v>44488.0</v>
      </c>
      <c r="R149" s="3" t="n">
        <v>44686.0</v>
      </c>
      <c r="S149" s="3" t="n">
        <v>44687.23045935185</v>
      </c>
      <c r="T149" s="3" t="n">
        <v>44698.563575949076</v>
      </c>
      <c r="U149" t="s">
        <v>31</v>
      </c>
      <c r="V149" t="s">
        <v>1125</v>
      </c>
    </row>
    <row r="150">
      <c r="A150" t="s">
        <v>22</v>
      </c>
      <c r="B150" t="s">
        <v>1126</v>
      </c>
      <c r="C150" t="s">
        <v>60</v>
      </c>
      <c r="D150" t="s">
        <v>61</v>
      </c>
      <c r="E150" t="s">
        <v>1127</v>
      </c>
      <c r="F150" s="2" t="n">
        <f>HYPERLINK("https://patents.google.com/patent/US20220135520","Google")</f>
        <v>0.0</v>
      </c>
      <c r="G150" s="2" t="n">
        <f>HYPERLINK("https://patentcenter.uspto.gov/applications/17506822","Patent Center")</f>
        <v>0.0</v>
      </c>
      <c r="H150" s="2" t="n">
        <f>HYPERLINK("https://worldwide.espacenet.com/patent/search?q=US20220135520","Espacenet")</f>
        <v>0.0</v>
      </c>
      <c r="I150" s="2" t="n">
        <f>HYPERLINK("https://ppubs.uspto.gov/pubwebapp/external.html?q=20220135520.pn.","USPTO")</f>
        <v>0.0</v>
      </c>
      <c r="J150" s="2" t="n">
        <f>HYPERLINK("https://image-ppubs.uspto.gov/dirsearch-public/print/downloadPdf/20220135520","USPTO PDF")</f>
        <v>0.0</v>
      </c>
      <c r="K150" s="2" t="n">
        <f>HYPERLINK("https://sectors.patentforecast.com/pmd/US20220135520","PMD")</f>
        <v>0.0</v>
      </c>
      <c r="L150" s="2" t="n">
        <f>HYPERLINK("https://globaldossier.uspto.gov/result/application/US/17506822/1","US20220135520")</f>
        <v>0.0</v>
      </c>
      <c r="M150" t="s">
        <v>1128</v>
      </c>
      <c r="N150" t="s">
        <v>1129</v>
      </c>
      <c r="O150" t="s">
        <v>1130</v>
      </c>
      <c r="P150" t="s">
        <v>1131</v>
      </c>
      <c r="Q150" s="3" t="n">
        <v>44490.0</v>
      </c>
      <c r="R150" s="3" t="n">
        <v>44686.0</v>
      </c>
      <c r="S150" s="3" t="n">
        <v>44687.229530219905</v>
      </c>
      <c r="T150" s="3" t="n">
        <v>44698.56468859954</v>
      </c>
      <c r="U150" t="s">
        <v>1132</v>
      </c>
      <c r="V150" t="s">
        <v>1133</v>
      </c>
    </row>
    <row r="151">
      <c r="A151" t="s">
        <v>22</v>
      </c>
      <c r="B151" t="s">
        <v>1134</v>
      </c>
      <c r="C151" t="s">
        <v>24</v>
      </c>
      <c r="D151" t="s">
        <v>100</v>
      </c>
      <c r="E151" t="s">
        <v>1135</v>
      </c>
      <c r="F151" s="2" t="n">
        <f>HYPERLINK("https://patents.google.com/patent/US20220135104","Google")</f>
        <v>0.0</v>
      </c>
      <c r="G151" s="2" t="n">
        <f>HYPERLINK("https://patentcenter.uspto.gov/applications/17575355","Patent Center")</f>
        <v>0.0</v>
      </c>
      <c r="H151" s="2" t="n">
        <f>HYPERLINK("https://worldwide.espacenet.com/patent/search?q=US20220135104","Espacenet")</f>
        <v>0.0</v>
      </c>
      <c r="I151" s="2" t="n">
        <f>HYPERLINK("https://ppubs.uspto.gov/pubwebapp/external.html?q=20220135104.pn.","USPTO")</f>
        <v>0.0</v>
      </c>
      <c r="J151" s="2" t="n">
        <f>HYPERLINK("https://image-ppubs.uspto.gov/dirsearch-public/print/downloadPdf/20220135104","USPTO PDF")</f>
        <v>0.0</v>
      </c>
      <c r="K151" s="2" t="n">
        <f>HYPERLINK("https://sectors.patentforecast.com/pmd/US20220135104","PMD")</f>
        <v>0.0</v>
      </c>
      <c r="L151" s="2" t="n">
        <f>HYPERLINK("https://globaldossier.uspto.gov/result/application/US/17575355/1","US20220135104")</f>
        <v>0.0</v>
      </c>
      <c r="M151" t="s">
        <v>1136</v>
      </c>
      <c r="N151" t="s">
        <v>1137</v>
      </c>
      <c r="O151" t="s">
        <v>1138</v>
      </c>
      <c r="P151" t="s">
        <v>1139</v>
      </c>
      <c r="Q151" s="3" t="n">
        <v>44574.0</v>
      </c>
      <c r="R151" s="3" t="n">
        <v>44686.0</v>
      </c>
      <c r="S151" s="3" t="n">
        <v>44687.23045935185</v>
      </c>
      <c r="T151" s="3" t="n">
        <v>44698.51478892361</v>
      </c>
      <c r="U151" t="s">
        <v>31</v>
      </c>
      <c r="V151" t="s">
        <v>1140</v>
      </c>
    </row>
    <row r="152">
      <c r="A152" t="s">
        <v>22</v>
      </c>
      <c r="B152" t="s">
        <v>1141</v>
      </c>
      <c r="C152" t="s">
        <v>24</v>
      </c>
      <c r="D152" t="s">
        <v>528</v>
      </c>
      <c r="E152" t="s">
        <v>1142</v>
      </c>
      <c r="F152" s="2" t="n">
        <f>HYPERLINK("https://patents.google.com/patent/US20220134971","Google")</f>
        <v>0.0</v>
      </c>
      <c r="G152" s="2" t="n">
        <f>HYPERLINK("https://patentcenter.uspto.gov/applications/17094130","Patent Center")</f>
        <v>0.0</v>
      </c>
      <c r="H152" s="2" t="n">
        <f>HYPERLINK("https://worldwide.espacenet.com/patent/search?q=US20220134971","Espacenet")</f>
        <v>0.0</v>
      </c>
      <c r="I152" s="2" t="n">
        <f>HYPERLINK("https://ppubs.uspto.gov/pubwebapp/external.html?q=20220134971.pn.","USPTO")</f>
        <v>0.0</v>
      </c>
      <c r="J152" s="2" t="n">
        <f>HYPERLINK("https://image-ppubs.uspto.gov/dirsearch-public/print/downloadPdf/20220134971","USPTO PDF")</f>
        <v>0.0</v>
      </c>
      <c r="K152" s="2" t="n">
        <f>HYPERLINK("https://sectors.patentforecast.com/pmd/US20220134971","PMD")</f>
        <v>0.0</v>
      </c>
      <c r="L152" s="2" t="n">
        <f>HYPERLINK("https://globaldossier.uspto.gov/result/application/US/17094130/1","US20220134971")</f>
        <v>0.0</v>
      </c>
      <c r="M152" t="s">
        <v>1143</v>
      </c>
      <c r="N152" t="s">
        <v>1144</v>
      </c>
      <c r="O152" t="s">
        <v>1145</v>
      </c>
      <c r="P152" t="s">
        <v>1146</v>
      </c>
      <c r="Q152" s="3" t="n">
        <v>44145.0</v>
      </c>
      <c r="R152" s="3" t="n">
        <v>44686.0</v>
      </c>
      <c r="S152" s="3" t="n">
        <v>44687.23045935185</v>
      </c>
      <c r="T152" s="3" t="n">
        <v>44698.56601726852</v>
      </c>
      <c r="U152" t="s">
        <v>1147</v>
      </c>
      <c r="V152" t="s">
        <v>1148</v>
      </c>
    </row>
    <row r="153">
      <c r="A153" t="s">
        <v>22</v>
      </c>
      <c r="B153" t="s">
        <v>1149</v>
      </c>
      <c r="C153" t="s">
        <v>24</v>
      </c>
      <c r="D153" t="s">
        <v>100</v>
      </c>
      <c r="E153" t="s">
        <v>1150</v>
      </c>
      <c r="F153" s="2" t="n">
        <f>HYPERLINK("https://patents.google.com/patent/US20220134370","Google")</f>
        <v>0.0</v>
      </c>
      <c r="G153" s="2" t="n">
        <f>HYPERLINK("https://patentcenter.uspto.gov/applications/17519259","Patent Center")</f>
        <v>0.0</v>
      </c>
      <c r="H153" s="2" t="n">
        <f>HYPERLINK("https://worldwide.espacenet.com/patent/search?q=US20220134370","Espacenet")</f>
        <v>0.0</v>
      </c>
      <c r="I153" s="2" t="n">
        <f>HYPERLINK("https://ppubs.uspto.gov/pubwebapp/external.html?q=20220134370.pn.","USPTO")</f>
        <v>0.0</v>
      </c>
      <c r="J153" s="2" t="n">
        <f>HYPERLINK("https://image-ppubs.uspto.gov/dirsearch-public/print/downloadPdf/20220134370","USPTO PDF")</f>
        <v>0.0</v>
      </c>
      <c r="K153" s="2" t="n">
        <f>HYPERLINK("https://sectors.patentforecast.com/pmd/US20220134370","PMD")</f>
        <v>0.0</v>
      </c>
      <c r="L153" s="2" t="n">
        <f>HYPERLINK("https://globaldossier.uspto.gov/result/application/US/17519259/1","US20220134370")</f>
        <v>0.0</v>
      </c>
      <c r="M153" t="s">
        <v>1151</v>
      </c>
      <c r="N153" t="s">
        <v>1152</v>
      </c>
      <c r="O153" t="s">
        <v>1153</v>
      </c>
      <c r="P153" t="s">
        <v>1154</v>
      </c>
      <c r="Q153" s="3" t="n">
        <v>44504.0</v>
      </c>
      <c r="R153" s="3" t="n">
        <v>44686.0</v>
      </c>
      <c r="S153" s="3" t="n">
        <v>44687.23045935185</v>
      </c>
      <c r="T153" s="3" t="n">
        <v>44698.51530247685</v>
      </c>
      <c r="U153" t="s">
        <v>31</v>
      </c>
      <c r="V153" t="s">
        <v>1155</v>
      </c>
    </row>
    <row r="154">
      <c r="A154" t="s">
        <v>22</v>
      </c>
      <c r="B154" t="s">
        <v>1156</v>
      </c>
      <c r="C154" t="s">
        <v>24</v>
      </c>
      <c r="D154" t="s">
        <v>25</v>
      </c>
      <c r="E154" t="s">
        <v>1157</v>
      </c>
      <c r="F154" s="2" t="n">
        <f>HYPERLINK("https://patents.google.com/patent/US20220134329","Google")</f>
        <v>0.0</v>
      </c>
      <c r="G154" s="2" t="n">
        <f>HYPERLINK("https://patentcenter.uspto.gov/applications/17516909","Patent Center")</f>
        <v>0.0</v>
      </c>
      <c r="H154" s="2" t="n">
        <f>HYPERLINK("https://worldwide.espacenet.com/patent/search?q=US20220134329","Espacenet")</f>
        <v>0.0</v>
      </c>
      <c r="I154" s="2" t="n">
        <f>HYPERLINK("https://ppubs.uspto.gov/pubwebapp/external.html?q=20220134329.pn.","USPTO")</f>
        <v>0.0</v>
      </c>
      <c r="J154" s="2" t="n">
        <f>HYPERLINK("https://image-ppubs.uspto.gov/dirsearch-public/print/downloadPdf/20220134329","USPTO PDF")</f>
        <v>0.0</v>
      </c>
      <c r="K154" s="2" t="n">
        <f>HYPERLINK("https://sectors.patentforecast.com/pmd/US20220134329","PMD")</f>
        <v>0.0</v>
      </c>
      <c r="L154" s="2" t="n">
        <f>HYPERLINK("https://globaldossier.uspto.gov/result/application/US/17516909/1","US20220134329")</f>
        <v>0.0</v>
      </c>
      <c r="M154" t="s">
        <v>1158</v>
      </c>
      <c r="N154" t="s">
        <v>1159</v>
      </c>
      <c r="O154" t="s">
        <v>1160</v>
      </c>
      <c r="P154" t="s">
        <v>1161</v>
      </c>
      <c r="Q154" s="3" t="n">
        <v>44502.0</v>
      </c>
      <c r="R154" s="3" t="n">
        <v>44686.0</v>
      </c>
      <c r="S154" s="3" t="n">
        <v>44687.23045935185</v>
      </c>
      <c r="T154" s="3" t="n">
        <v>44698.56613006944</v>
      </c>
      <c r="U154" t="s">
        <v>1162</v>
      </c>
      <c r="V154" t="s">
        <v>1163</v>
      </c>
    </row>
    <row r="155">
      <c r="A155" t="s">
        <v>22</v>
      </c>
      <c r="B155" t="s">
        <v>1164</v>
      </c>
      <c r="C155" t="s">
        <v>24</v>
      </c>
      <c r="D155" t="s">
        <v>69</v>
      </c>
      <c r="E155" t="s">
        <v>1165</v>
      </c>
      <c r="F155" s="2" t="n">
        <f>HYPERLINK("https://patents.google.com/patent/US20220134141","Google")</f>
        <v>0.0</v>
      </c>
      <c r="G155" s="2" t="n">
        <f>HYPERLINK("https://patentcenter.uspto.gov/applications/17090299","Patent Center")</f>
        <v>0.0</v>
      </c>
      <c r="H155" s="2" t="n">
        <f>HYPERLINK("https://worldwide.espacenet.com/patent/search?q=US20220134141","Espacenet")</f>
        <v>0.0</v>
      </c>
      <c r="I155" s="2" t="n">
        <f>HYPERLINK("https://ppubs.uspto.gov/pubwebapp/external.html?q=20220134141.pn.","USPTO")</f>
        <v>0.0</v>
      </c>
      <c r="J155" s="2" t="n">
        <f>HYPERLINK("https://image-ppubs.uspto.gov/dirsearch-public/print/downloadPdf/20220134141","USPTO PDF")</f>
        <v>0.0</v>
      </c>
      <c r="K155" s="2" t="n">
        <f>HYPERLINK("https://sectors.patentforecast.com/pmd/US20220134141","PMD")</f>
        <v>0.0</v>
      </c>
      <c r="L155" s="2" t="n">
        <f>HYPERLINK("https://globaldossier.uspto.gov/result/application/US/17090299/1","US20220134141")</f>
        <v>0.0</v>
      </c>
      <c r="M155" t="s">
        <v>1166</v>
      </c>
      <c r="N155" t="s">
        <v>1167</v>
      </c>
      <c r="O155" t="s">
        <v>1168</v>
      </c>
      <c r="P155" t="s">
        <v>1169</v>
      </c>
      <c r="Q155" s="3" t="n">
        <v>44140.0</v>
      </c>
      <c r="R155" s="3" t="n">
        <v>44686.0</v>
      </c>
      <c r="S155" s="3" t="n">
        <v>44687.23045935185</v>
      </c>
      <c r="T155" s="3" t="n">
        <v>44698.47770099537</v>
      </c>
      <c r="U155" t="s">
        <v>31</v>
      </c>
      <c r="V155" t="s">
        <v>1170</v>
      </c>
    </row>
    <row r="156">
      <c r="A156" t="s">
        <v>22</v>
      </c>
      <c r="B156" t="s">
        <v>1171</v>
      </c>
      <c r="C156" t="s">
        <v>24</v>
      </c>
      <c r="D156" t="s">
        <v>69</v>
      </c>
      <c r="E156" t="s">
        <v>1172</v>
      </c>
      <c r="F156" s="2" t="n">
        <f>HYPERLINK("https://patents.google.com/patent/US20220134140","Google")</f>
        <v>0.0</v>
      </c>
      <c r="G156" s="2" t="n">
        <f>HYPERLINK("https://patentcenter.uspto.gov/applications/17577200","Patent Center")</f>
        <v>0.0</v>
      </c>
      <c r="H156" s="2" t="n">
        <f>HYPERLINK("https://worldwide.espacenet.com/patent/search?q=US20220134140","Espacenet")</f>
        <v>0.0</v>
      </c>
      <c r="I156" s="2" t="n">
        <f>HYPERLINK("https://ppubs.uspto.gov/pubwebapp/external.html?q=20220134140.pn.","USPTO")</f>
        <v>0.0</v>
      </c>
      <c r="J156" s="2" t="n">
        <f>HYPERLINK("https://image-ppubs.uspto.gov/dirsearch-public/print/downloadPdf/20220134140","USPTO PDF")</f>
        <v>0.0</v>
      </c>
      <c r="K156" s="2" t="n">
        <f>HYPERLINK("https://sectors.patentforecast.com/pmd/US20220134140","PMD")</f>
        <v>0.0</v>
      </c>
      <c r="L156" s="2" t="n">
        <f>HYPERLINK("https://globaldossier.uspto.gov/result/application/US/17577200/1","US20220134140")</f>
        <v>0.0</v>
      </c>
      <c r="M156" t="s">
        <v>1173</v>
      </c>
      <c r="N156" t="s">
        <v>1174</v>
      </c>
      <c r="O156" t="s">
        <v>1175</v>
      </c>
      <c r="P156" t="s">
        <v>1176</v>
      </c>
      <c r="Q156" s="3" t="n">
        <v>44578.0</v>
      </c>
      <c r="R156" s="3" t="n">
        <v>44686.0</v>
      </c>
      <c r="S156" s="3" t="n">
        <v>44687.23045935185</v>
      </c>
      <c r="T156" s="3" t="n">
        <v>44698.47780248843</v>
      </c>
      <c r="U156" t="s">
        <v>1177</v>
      </c>
      <c r="V156" t="s">
        <v>1178</v>
      </c>
    </row>
    <row r="157">
      <c r="A157" t="s">
        <v>22</v>
      </c>
      <c r="B157" t="s">
        <v>1179</v>
      </c>
      <c r="C157" t="s">
        <v>561</v>
      </c>
      <c r="D157" t="s">
        <v>497</v>
      </c>
      <c r="E157" t="s">
        <v>1180</v>
      </c>
      <c r="F157" s="2" t="n">
        <f>HYPERLINK("https://patents.google.com/patent/US20220134043","Google")</f>
        <v>0.0</v>
      </c>
      <c r="G157" s="2" t="n">
        <f>HYPERLINK("https://patentcenter.uspto.gov/applications/17089345","Patent Center")</f>
        <v>0.0</v>
      </c>
      <c r="H157" s="2" t="n">
        <f>HYPERLINK("https://worldwide.espacenet.com/patent/search?q=US20220134043","Espacenet")</f>
        <v>0.0</v>
      </c>
      <c r="I157" s="2" t="n">
        <f>HYPERLINK("https://ppubs.uspto.gov/pubwebapp/external.html?q=20220134043.pn.","USPTO")</f>
        <v>0.0</v>
      </c>
      <c r="J157" s="2" t="n">
        <f>HYPERLINK("https://image-ppubs.uspto.gov/dirsearch-public/print/downloadPdf/20220134043","USPTO PDF")</f>
        <v>0.0</v>
      </c>
      <c r="K157" s="2" t="n">
        <f>HYPERLINK("https://sectors.patentforecast.com/pmd/US20220134043","PMD")</f>
        <v>0.0</v>
      </c>
      <c r="L157" s="2" t="n">
        <f>HYPERLINK("https://globaldossier.uspto.gov/result/application/US/17089345/1","US20220134043")</f>
        <v>0.0</v>
      </c>
      <c r="M157" t="s">
        <v>1181</v>
      </c>
      <c r="N157" t="s">
        <v>1182</v>
      </c>
      <c r="O157" t="s">
        <v>1182</v>
      </c>
      <c r="P157" t="s">
        <v>1183</v>
      </c>
      <c r="Q157" s="3" t="n">
        <v>44139.0</v>
      </c>
      <c r="R157" s="3" t="n">
        <v>44686.0</v>
      </c>
      <c r="S157" s="3" t="n">
        <v>44687.23045935185</v>
      </c>
      <c r="T157" s="3" t="n">
        <v>44698.50434982639</v>
      </c>
      <c r="U157" t="s">
        <v>31</v>
      </c>
      <c r="V157" t="s">
        <v>1184</v>
      </c>
    </row>
    <row r="158">
      <c r="A158" t="s">
        <v>22</v>
      </c>
      <c r="B158" t="s">
        <v>1185</v>
      </c>
      <c r="C158" t="s">
        <v>24</v>
      </c>
      <c r="D158" t="s">
        <v>892</v>
      </c>
      <c r="E158" t="s">
        <v>1186</v>
      </c>
      <c r="F158" s="2" t="n">
        <f>HYPERLINK("https://patents.google.com/patent/US20220134034","Google")</f>
        <v>0.0</v>
      </c>
      <c r="G158" s="2" t="n">
        <f>HYPERLINK("https://patentcenter.uspto.gov/applications/17306425","Patent Center")</f>
        <v>0.0</v>
      </c>
      <c r="H158" s="2" t="n">
        <f>HYPERLINK("https://worldwide.espacenet.com/patent/search?q=US20220134034","Espacenet")</f>
        <v>0.0</v>
      </c>
      <c r="I158" s="2" t="n">
        <f>HYPERLINK("https://ppubs.uspto.gov/pubwebapp/external.html?q=20220134034.pn.","USPTO")</f>
        <v>0.0</v>
      </c>
      <c r="J158" s="2" t="n">
        <f>HYPERLINK("https://image-ppubs.uspto.gov/dirsearch-public/print/downloadPdf/20220134034","USPTO PDF")</f>
        <v>0.0</v>
      </c>
      <c r="K158" s="2" t="n">
        <f>HYPERLINK("https://sectors.patentforecast.com/pmd/US20220134034","PMD")</f>
        <v>0.0</v>
      </c>
      <c r="L158" s="2" t="n">
        <f>HYPERLINK("https://globaldossier.uspto.gov/result/application/US/17306425/1","US20220134034")</f>
        <v>0.0</v>
      </c>
      <c r="M158" t="s">
        <v>1187</v>
      </c>
      <c r="N158" t="s">
        <v>1188</v>
      </c>
      <c r="O158" t="s">
        <v>1189</v>
      </c>
      <c r="P158" t="s">
        <v>1190</v>
      </c>
      <c r="Q158" s="3" t="n">
        <v>44319.0</v>
      </c>
      <c r="R158" s="3" t="n">
        <v>44686.0</v>
      </c>
      <c r="S158" s="3" t="n">
        <v>44687.23045935185</v>
      </c>
      <c r="T158" s="3" t="n">
        <v>44698.478187256944</v>
      </c>
      <c r="U158" t="s">
        <v>1191</v>
      </c>
      <c r="V158" t="s">
        <v>1192</v>
      </c>
    </row>
    <row r="159">
      <c r="A159" t="s">
        <v>22</v>
      </c>
      <c r="B159" t="s">
        <v>1193</v>
      </c>
      <c r="C159" t="s">
        <v>24</v>
      </c>
      <c r="D159" t="s">
        <v>25</v>
      </c>
      <c r="E159" t="s">
        <v>1194</v>
      </c>
      <c r="F159" s="2" t="n">
        <f>HYPERLINK("https://patents.google.com/patent/US20220134030","Google")</f>
        <v>0.0</v>
      </c>
      <c r="G159" s="2" t="n">
        <f>HYPERLINK("https://patentcenter.uspto.gov/applications/17511083","Patent Center")</f>
        <v>0.0</v>
      </c>
      <c r="H159" s="2" t="n">
        <f>HYPERLINK("https://worldwide.espacenet.com/patent/search?q=US20220134030","Espacenet")</f>
        <v>0.0</v>
      </c>
      <c r="I159" s="2" t="n">
        <f>HYPERLINK("https://ppubs.uspto.gov/pubwebapp/external.html?q=20220134030.pn.","USPTO")</f>
        <v>0.0</v>
      </c>
      <c r="J159" s="2" t="n">
        <f>HYPERLINK("https://image-ppubs.uspto.gov/dirsearch-public/print/downloadPdf/20220134030","USPTO PDF")</f>
        <v>0.0</v>
      </c>
      <c r="K159" s="2" t="n">
        <f>HYPERLINK("https://sectors.patentforecast.com/pmd/US20220134030","PMD")</f>
        <v>0.0</v>
      </c>
      <c r="L159" s="2" t="n">
        <f>HYPERLINK("https://globaldossier.uspto.gov/result/application/US/17511083/1","US20220134030")</f>
        <v>0.0</v>
      </c>
      <c r="M159" t="s">
        <v>1195</v>
      </c>
      <c r="N159" t="s">
        <v>1196</v>
      </c>
      <c r="O159" t="s">
        <v>1196</v>
      </c>
      <c r="P159" t="s">
        <v>1197</v>
      </c>
      <c r="Q159" s="3" t="n">
        <v>44495.0</v>
      </c>
      <c r="R159" s="3" t="n">
        <v>44686.0</v>
      </c>
      <c r="S159" s="3" t="n">
        <v>44687.23045935185</v>
      </c>
      <c r="T159" s="3" t="n">
        <v>44698.49684803241</v>
      </c>
      <c r="U159" t="s">
        <v>1198</v>
      </c>
      <c r="V159" t="s">
        <v>1199</v>
      </c>
    </row>
    <row r="160">
      <c r="A160" t="s">
        <v>22</v>
      </c>
      <c r="B160" t="s">
        <v>1200</v>
      </c>
      <c r="C160" t="s">
        <v>24</v>
      </c>
      <c r="D160" t="s">
        <v>100</v>
      </c>
      <c r="E160" t="s">
        <v>1201</v>
      </c>
      <c r="F160" s="2" t="n">
        <f>HYPERLINK("https://patents.google.com/patent/US20220133940","Google")</f>
        <v>0.0</v>
      </c>
      <c r="G160" s="2" t="n">
        <f>HYPERLINK("https://patentcenter.uspto.gov/applications/17090778","Patent Center")</f>
        <v>0.0</v>
      </c>
      <c r="H160" s="2" t="n">
        <f>HYPERLINK("https://worldwide.espacenet.com/patent/search?q=US20220133940","Espacenet")</f>
        <v>0.0</v>
      </c>
      <c r="I160" s="2" t="n">
        <f>HYPERLINK("https://ppubs.uspto.gov/pubwebapp/external.html?q=20220133940.pn.","USPTO")</f>
        <v>0.0</v>
      </c>
      <c r="J160" s="2" t="n">
        <f>HYPERLINK("https://image-ppubs.uspto.gov/dirsearch-public/print/downloadPdf/20220133940","USPTO PDF")</f>
        <v>0.0</v>
      </c>
      <c r="K160" s="2" t="n">
        <f>HYPERLINK("https://sectors.patentforecast.com/pmd/US20220133940","PMD")</f>
        <v>0.0</v>
      </c>
      <c r="L160" s="2" t="n">
        <f>HYPERLINK("https://globaldossier.uspto.gov/result/application/US/17090778/1","US20220133940")</f>
        <v>0.0</v>
      </c>
      <c r="M160" t="s">
        <v>1202</v>
      </c>
      <c r="N160" t="s">
        <v>1203</v>
      </c>
      <c r="O160" t="s">
        <v>1204</v>
      </c>
      <c r="P160" t="s">
        <v>1205</v>
      </c>
      <c r="Q160" s="3" t="n">
        <v>44140.0</v>
      </c>
      <c r="R160" s="3" t="n">
        <v>44686.0</v>
      </c>
      <c r="S160" s="3" t="n">
        <v>44687.2303425</v>
      </c>
      <c r="T160" s="3" t="n">
        <v>44698.49704584491</v>
      </c>
      <c r="U160" t="s">
        <v>1206</v>
      </c>
      <c r="V160" t="s">
        <v>1207</v>
      </c>
    </row>
    <row r="161">
      <c r="A161" t="s">
        <v>22</v>
      </c>
      <c r="B161" t="s">
        <v>1208</v>
      </c>
      <c r="C161" t="s">
        <v>24</v>
      </c>
      <c r="D161" t="s">
        <v>100</v>
      </c>
      <c r="E161" t="s">
        <v>1209</v>
      </c>
      <c r="F161" s="2" t="n">
        <f>HYPERLINK("https://patents.google.com/patent/US20220133929","Google")</f>
        <v>0.0</v>
      </c>
      <c r="G161" s="2" t="n">
        <f>HYPERLINK("https://patentcenter.uspto.gov/applications/17512886","Patent Center")</f>
        <v>0.0</v>
      </c>
      <c r="H161" s="2" t="n">
        <f>HYPERLINK("https://worldwide.espacenet.com/patent/search?q=US20220133929","Espacenet")</f>
        <v>0.0</v>
      </c>
      <c r="I161" s="2" t="n">
        <f>HYPERLINK("https://ppubs.uspto.gov/pubwebapp/external.html?q=20220133929.pn.","USPTO")</f>
        <v>0.0</v>
      </c>
      <c r="J161" s="2" t="n">
        <f>HYPERLINK("https://image-ppubs.uspto.gov/dirsearch-public/print/downloadPdf/20220133929","USPTO PDF")</f>
        <v>0.0</v>
      </c>
      <c r="K161" s="2" t="n">
        <f>HYPERLINK("https://sectors.patentforecast.com/pmd/US20220133929","PMD")</f>
        <v>0.0</v>
      </c>
      <c r="L161" s="2" t="n">
        <f>HYPERLINK("https://globaldossier.uspto.gov/result/application/US/17512886/1","US20220133929")</f>
        <v>0.0</v>
      </c>
      <c r="M161" t="s">
        <v>1210</v>
      </c>
      <c r="N161" t="s">
        <v>1211</v>
      </c>
      <c r="O161" t="s">
        <v>1212</v>
      </c>
      <c r="P161" t="s">
        <v>1213</v>
      </c>
      <c r="Q161" s="3" t="n">
        <v>44497.0</v>
      </c>
      <c r="R161" s="3" t="n">
        <v>44686.0</v>
      </c>
      <c r="S161" s="3" t="n">
        <v>44687.2303425</v>
      </c>
      <c r="T161" s="3" t="n">
        <v>44698.478250925924</v>
      </c>
      <c r="U161" t="s">
        <v>1214</v>
      </c>
      <c r="V161" t="s">
        <v>1215</v>
      </c>
    </row>
    <row r="162">
      <c r="A162" t="s">
        <v>22</v>
      </c>
      <c r="B162" t="s">
        <v>1216</v>
      </c>
      <c r="C162" t="s">
        <v>60</v>
      </c>
      <c r="D162" t="s">
        <v>1217</v>
      </c>
      <c r="E162" t="s">
        <v>1218</v>
      </c>
      <c r="F162" s="2" t="n">
        <f>HYPERLINK("https://patents.google.com/patent/US20220133928","Google")</f>
        <v>0.0</v>
      </c>
      <c r="G162" s="2" t="n">
        <f>HYPERLINK("https://patentcenter.uspto.gov/applications/17515306","Patent Center")</f>
        <v>0.0</v>
      </c>
      <c r="H162" s="2" t="n">
        <f>HYPERLINK("https://worldwide.espacenet.com/patent/search?q=US20220133928","Espacenet")</f>
        <v>0.0</v>
      </c>
      <c r="I162" s="2" t="n">
        <f>HYPERLINK("https://ppubs.uspto.gov/pubwebapp/external.html?q=20220133928.pn.","USPTO")</f>
        <v>0.0</v>
      </c>
      <c r="J162" s="2" t="n">
        <f>HYPERLINK("https://image-ppubs.uspto.gov/dirsearch-public/print/downloadPdf/20220133928","USPTO PDF")</f>
        <v>0.0</v>
      </c>
      <c r="K162" s="2" t="n">
        <f>HYPERLINK("https://sectors.patentforecast.com/pmd/US20220133928","PMD")</f>
        <v>0.0</v>
      </c>
      <c r="L162" s="2" t="n">
        <f>HYPERLINK("https://globaldossier.uspto.gov/result/application/US/17515306/1","US20220133928")</f>
        <v>0.0</v>
      </c>
      <c r="M162" t="s">
        <v>1219</v>
      </c>
      <c r="N162" t="s">
        <v>1220</v>
      </c>
      <c r="O162" t="s">
        <v>1221</v>
      </c>
      <c r="P162" t="s">
        <v>1222</v>
      </c>
      <c r="Q162" s="3" t="n">
        <v>44498.0</v>
      </c>
      <c r="R162" s="3" t="n">
        <v>44686.0</v>
      </c>
      <c r="S162" s="3" t="n">
        <v>44687.2303425</v>
      </c>
      <c r="T162" s="3" t="n">
        <v>44698.50526731482</v>
      </c>
      <c r="U162" t="s">
        <v>31</v>
      </c>
      <c r="V162" t="s">
        <v>1223</v>
      </c>
    </row>
    <row r="163">
      <c r="A163" t="s">
        <v>22</v>
      </c>
      <c r="B163" t="s">
        <v>1224</v>
      </c>
      <c r="C163" t="s">
        <v>24</v>
      </c>
      <c r="D163" t="s">
        <v>100</v>
      </c>
      <c r="E163" t="s">
        <v>1225</v>
      </c>
      <c r="F163" s="2" t="n">
        <f>HYPERLINK("https://patents.google.com/patent/US20220133927","Google")</f>
        <v>0.0</v>
      </c>
      <c r="G163" s="2" t="n">
        <f>HYPERLINK("https://patentcenter.uspto.gov/applications/17086900","Patent Center")</f>
        <v>0.0</v>
      </c>
      <c r="H163" s="2" t="n">
        <f>HYPERLINK("https://worldwide.espacenet.com/patent/search?q=US20220133927","Espacenet")</f>
        <v>0.0</v>
      </c>
      <c r="I163" s="2" t="n">
        <f>HYPERLINK("https://ppubs.uspto.gov/pubwebapp/external.html?q=20220133927.pn.","USPTO")</f>
        <v>0.0</v>
      </c>
      <c r="J163" s="2" t="n">
        <f>HYPERLINK("https://image-ppubs.uspto.gov/dirsearch-public/print/downloadPdf/20220133927","USPTO PDF")</f>
        <v>0.0</v>
      </c>
      <c r="K163" s="2" t="n">
        <f>HYPERLINK("https://sectors.patentforecast.com/pmd/US20220133927","PMD")</f>
        <v>0.0</v>
      </c>
      <c r="L163" s="2" t="n">
        <f>HYPERLINK("https://globaldossier.uspto.gov/result/application/US/17086900/1","US20220133927")</f>
        <v>0.0</v>
      </c>
      <c r="M163" t="s">
        <v>1226</v>
      </c>
      <c r="N163" t="s">
        <v>1227</v>
      </c>
      <c r="O163" t="s">
        <v>1228</v>
      </c>
      <c r="P163" t="s">
        <v>1229</v>
      </c>
      <c r="Q163" s="3" t="n">
        <v>44137.0</v>
      </c>
      <c r="R163" s="3" t="n">
        <v>44686.0</v>
      </c>
      <c r="S163" s="3" t="n">
        <v>44687.2303425</v>
      </c>
      <c r="T163" s="3" t="n">
        <v>44698.4783140162</v>
      </c>
      <c r="U163" t="s">
        <v>1230</v>
      </c>
      <c r="V163" t="s">
        <v>1231</v>
      </c>
    </row>
    <row r="164">
      <c r="A164" t="s">
        <v>22</v>
      </c>
      <c r="B164" t="s">
        <v>1232</v>
      </c>
      <c r="C164" t="s">
        <v>60</v>
      </c>
      <c r="D164" t="s">
        <v>1217</v>
      </c>
      <c r="E164" t="s">
        <v>1233</v>
      </c>
      <c r="F164" s="2" t="n">
        <f>HYPERLINK("https://patents.google.com/patent/US20220133893","Google")</f>
        <v>0.0</v>
      </c>
      <c r="G164" s="2" t="n">
        <f>HYPERLINK("https://patentcenter.uspto.gov/applications/17514390","Patent Center")</f>
        <v>0.0</v>
      </c>
      <c r="H164" s="2" t="n">
        <f>HYPERLINK("https://worldwide.espacenet.com/patent/search?q=US20220133893","Espacenet")</f>
        <v>0.0</v>
      </c>
      <c r="I164" s="2" t="n">
        <f>HYPERLINK("https://ppubs.uspto.gov/pubwebapp/external.html?q=20220133893.pn.","USPTO")</f>
        <v>0.0</v>
      </c>
      <c r="J164" s="2" t="n">
        <f>HYPERLINK("https://image-ppubs.uspto.gov/dirsearch-public/print/downloadPdf/20220133893","USPTO PDF")</f>
        <v>0.0</v>
      </c>
      <c r="K164" s="2" t="n">
        <f>HYPERLINK("https://sectors.patentforecast.com/pmd/US20220133893","PMD")</f>
        <v>0.0</v>
      </c>
      <c r="L164" s="2" t="n">
        <f>HYPERLINK("https://globaldossier.uspto.gov/result/application/US/17514390/1","US20220133893")</f>
        <v>0.0</v>
      </c>
      <c r="M164" t="s">
        <v>1234</v>
      </c>
      <c r="N164" t="s">
        <v>1235</v>
      </c>
      <c r="O164" t="s">
        <v>1236</v>
      </c>
      <c r="P164" t="s">
        <v>1237</v>
      </c>
      <c r="Q164" s="3" t="n">
        <v>44498.0</v>
      </c>
      <c r="R164" s="3" t="n">
        <v>44686.0</v>
      </c>
      <c r="S164" s="3" t="n">
        <v>44687.2303425</v>
      </c>
      <c r="T164" s="3" t="n">
        <v>44698.50606346065</v>
      </c>
      <c r="U164" t="s">
        <v>1238</v>
      </c>
      <c r="V164" t="s">
        <v>1239</v>
      </c>
    </row>
    <row r="165">
      <c r="A165" t="s">
        <v>22</v>
      </c>
      <c r="B165" t="s">
        <v>1240</v>
      </c>
      <c r="C165" t="s">
        <v>60</v>
      </c>
      <c r="D165" t="s">
        <v>1241</v>
      </c>
      <c r="E165" t="s">
        <v>1242</v>
      </c>
      <c r="F165" s="2" t="n">
        <f>HYPERLINK("https://patents.google.com/patent/US20220133885","Google")</f>
        <v>0.0</v>
      </c>
      <c r="G165" s="2" t="n">
        <f>HYPERLINK("https://patentcenter.uspto.gov/applications/17517535","Patent Center")</f>
        <v>0.0</v>
      </c>
      <c r="H165" s="2" t="n">
        <f>HYPERLINK("https://worldwide.espacenet.com/patent/search?q=US20220133885","Espacenet")</f>
        <v>0.0</v>
      </c>
      <c r="I165" s="2" t="n">
        <f>HYPERLINK("https://ppubs.uspto.gov/pubwebapp/external.html?q=20220133885.pn.","USPTO")</f>
        <v>0.0</v>
      </c>
      <c r="J165" s="2" t="n">
        <f>HYPERLINK("https://image-ppubs.uspto.gov/dirsearch-public/print/downloadPdf/20220133885","USPTO PDF")</f>
        <v>0.0</v>
      </c>
      <c r="K165" s="2" t="n">
        <f>HYPERLINK("https://sectors.patentforecast.com/pmd/US20220133885","PMD")</f>
        <v>0.0</v>
      </c>
      <c r="L165" s="2" t="n">
        <f>HYPERLINK("https://globaldossier.uspto.gov/result/application/US/17517535/1","US20220133885")</f>
        <v>0.0</v>
      </c>
      <c r="M165" t="s">
        <v>1243</v>
      </c>
      <c r="N165" t="s">
        <v>1244</v>
      </c>
      <c r="O165" t="s">
        <v>1244</v>
      </c>
      <c r="P165" t="s">
        <v>1245</v>
      </c>
      <c r="Q165" s="3" t="n">
        <v>44502.0</v>
      </c>
      <c r="R165" s="3" t="n">
        <v>44686.0</v>
      </c>
      <c r="S165" s="3" t="n">
        <v>44687.2303425</v>
      </c>
      <c r="T165" s="3" t="n">
        <v>44698.56655380787</v>
      </c>
      <c r="U165" t="s">
        <v>1246</v>
      </c>
      <c r="V165" t="s">
        <v>1247</v>
      </c>
    </row>
    <row r="166">
      <c r="A166" t="s">
        <v>22</v>
      </c>
      <c r="B166" t="s">
        <v>1248</v>
      </c>
      <c r="C166" t="s">
        <v>60</v>
      </c>
      <c r="D166" t="s">
        <v>1217</v>
      </c>
      <c r="E166" t="s">
        <v>1249</v>
      </c>
      <c r="F166" s="2" t="n">
        <f>HYPERLINK("https://patents.google.com/patent/US20220133880","Google")</f>
        <v>0.0</v>
      </c>
      <c r="G166" s="2" t="n">
        <f>HYPERLINK("https://patentcenter.uspto.gov/applications/17512902","Patent Center")</f>
        <v>0.0</v>
      </c>
      <c r="H166" s="2" t="n">
        <f>HYPERLINK("https://worldwide.espacenet.com/patent/search?q=US20220133880","Espacenet")</f>
        <v>0.0</v>
      </c>
      <c r="I166" s="2" t="n">
        <f>HYPERLINK("https://ppubs.uspto.gov/pubwebapp/external.html?q=20220133880.pn.","USPTO")</f>
        <v>0.0</v>
      </c>
      <c r="J166" s="2" t="n">
        <f>HYPERLINK("https://image-ppubs.uspto.gov/dirsearch-public/print/downloadPdf/20220133880","USPTO PDF")</f>
        <v>0.0</v>
      </c>
      <c r="K166" s="2" t="n">
        <f>HYPERLINK("https://sectors.patentforecast.com/pmd/US20220133880","PMD")</f>
        <v>0.0</v>
      </c>
      <c r="L166" s="2" t="n">
        <f>HYPERLINK("https://globaldossier.uspto.gov/result/application/US/17512902/1","US20220133880")</f>
        <v>0.0</v>
      </c>
      <c r="M166" t="s">
        <v>1250</v>
      </c>
      <c r="N166" t="s">
        <v>1251</v>
      </c>
      <c r="O166" t="s">
        <v>1252</v>
      </c>
      <c r="P166" t="s">
        <v>1253</v>
      </c>
      <c r="Q166" s="3" t="n">
        <v>44497.0</v>
      </c>
      <c r="R166" s="3" t="n">
        <v>44686.0</v>
      </c>
      <c r="S166" s="3" t="n">
        <v>44687.229530219905</v>
      </c>
      <c r="T166" s="3" t="n">
        <v>44698.4789946875</v>
      </c>
      <c r="U166" t="s">
        <v>1254</v>
      </c>
      <c r="V166" t="s">
        <v>1255</v>
      </c>
    </row>
    <row r="167">
      <c r="A167" t="s">
        <v>22</v>
      </c>
      <c r="B167" t="s">
        <v>1256</v>
      </c>
      <c r="C167" t="s">
        <v>60</v>
      </c>
      <c r="D167" t="s">
        <v>1257</v>
      </c>
      <c r="E167" t="s">
        <v>1258</v>
      </c>
      <c r="F167" s="2" t="n">
        <f>HYPERLINK("https://patents.google.com/patent/US20220133879","Google")</f>
        <v>0.0</v>
      </c>
      <c r="G167" s="2" t="n">
        <f>HYPERLINK("https://patentcenter.uspto.gov/applications/17435145","Patent Center")</f>
        <v>0.0</v>
      </c>
      <c r="H167" s="2" t="n">
        <f>HYPERLINK("https://worldwide.espacenet.com/patent/search?q=US20220133879","Espacenet")</f>
        <v>0.0</v>
      </c>
      <c r="I167" s="2" t="n">
        <f>HYPERLINK("https://ppubs.uspto.gov/pubwebapp/external.html?q=20220133879.pn.","USPTO")</f>
        <v>0.0</v>
      </c>
      <c r="J167" s="2" t="n">
        <f>HYPERLINK("https://image-ppubs.uspto.gov/dirsearch-public/print/downloadPdf/20220133879","USPTO PDF")</f>
        <v>0.0</v>
      </c>
      <c r="K167" s="2" t="n">
        <f>HYPERLINK("https://sectors.patentforecast.com/pmd/US20220133879","PMD")</f>
        <v>0.0</v>
      </c>
      <c r="L167" s="2" t="n">
        <f>HYPERLINK("https://globaldossier.uspto.gov/result/application/US/17435145/1","US20220133879")</f>
        <v>0.0</v>
      </c>
      <c r="M167" t="s">
        <v>1259</v>
      </c>
      <c r="N167" t="s">
        <v>1260</v>
      </c>
      <c r="O167" t="s">
        <v>1261</v>
      </c>
      <c r="P167" t="s">
        <v>1262</v>
      </c>
      <c r="Q167" s="3" t="n">
        <v>43934.0</v>
      </c>
      <c r="R167" s="3" t="n">
        <v>44686.0</v>
      </c>
      <c r="S167" s="3" t="n">
        <v>44687.23879403935</v>
      </c>
      <c r="T167" s="3" t="n">
        <v>44698.56730084491</v>
      </c>
      <c r="U167" t="s">
        <v>31</v>
      </c>
      <c r="V167" t="s">
        <v>1263</v>
      </c>
    </row>
    <row r="168">
      <c r="A168" t="s">
        <v>22</v>
      </c>
      <c r="B168" t="s">
        <v>1264</v>
      </c>
      <c r="C168" t="s">
        <v>132</v>
      </c>
      <c r="D168" t="s">
        <v>1265</v>
      </c>
      <c r="E168" t="s">
        <v>1266</v>
      </c>
      <c r="F168" s="2" t="n">
        <f>HYPERLINK("https://patents.google.com/patent/US20220133876","Google")</f>
        <v>0.0</v>
      </c>
      <c r="G168" s="2" t="n">
        <f>HYPERLINK("https://patentcenter.uspto.gov/applications/17431070","Patent Center")</f>
        <v>0.0</v>
      </c>
      <c r="H168" s="2" t="n">
        <f>HYPERLINK("https://worldwide.espacenet.com/patent/search?q=US20220133876","Espacenet")</f>
        <v>0.0</v>
      </c>
      <c r="I168" s="2" t="n">
        <f>HYPERLINK("https://ppubs.uspto.gov/pubwebapp/external.html?q=20220133876.pn.","USPTO")</f>
        <v>0.0</v>
      </c>
      <c r="J168" s="2" t="n">
        <f>HYPERLINK("https://image-ppubs.uspto.gov/dirsearch-public/print/downloadPdf/20220133876","USPTO PDF")</f>
        <v>0.0</v>
      </c>
      <c r="K168" s="2" t="n">
        <f>HYPERLINK("https://sectors.patentforecast.com/pmd/US20220133876","PMD")</f>
        <v>0.0</v>
      </c>
      <c r="L168" s="2" t="n">
        <f>HYPERLINK("https://globaldossier.uspto.gov/result/application/US/17431070/1","US20220133876")</f>
        <v>0.0</v>
      </c>
      <c r="M168" t="s">
        <v>1267</v>
      </c>
      <c r="N168" t="s">
        <v>1268</v>
      </c>
      <c r="O168" t="s">
        <v>1269</v>
      </c>
      <c r="P168" t="s">
        <v>1270</v>
      </c>
      <c r="Q168" s="3" t="n">
        <v>43871.0</v>
      </c>
      <c r="R168" s="3" t="n">
        <v>44686.0</v>
      </c>
      <c r="S168" s="3" t="n">
        <v>44687.23276988426</v>
      </c>
      <c r="T168" s="3" t="n">
        <v>44698.56919200232</v>
      </c>
      <c r="U168" t="s">
        <v>31</v>
      </c>
      <c r="V168" t="s">
        <v>1271</v>
      </c>
    </row>
    <row r="169">
      <c r="A169" t="s">
        <v>22</v>
      </c>
      <c r="B169" t="s">
        <v>1272</v>
      </c>
      <c r="C169" t="s">
        <v>24</v>
      </c>
      <c r="D169" t="s">
        <v>69</v>
      </c>
      <c r="E169" t="s">
        <v>1273</v>
      </c>
      <c r="F169" s="2" t="n">
        <f>HYPERLINK("https://patents.google.com/patent/US20220133875","Google")</f>
        <v>0.0</v>
      </c>
      <c r="G169" s="2" t="n">
        <f>HYPERLINK("https://patentcenter.uspto.gov/applications/17433732","Patent Center")</f>
        <v>0.0</v>
      </c>
      <c r="H169" s="2" t="n">
        <f>HYPERLINK("https://worldwide.espacenet.com/patent/search?q=US20220133875","Espacenet")</f>
        <v>0.0</v>
      </c>
      <c r="I169" s="2" t="n">
        <f>HYPERLINK("https://ppubs.uspto.gov/pubwebapp/external.html?q=20220133875.pn.","USPTO")</f>
        <v>0.0</v>
      </c>
      <c r="J169" s="2" t="n">
        <f>HYPERLINK("https://image-ppubs.uspto.gov/dirsearch-public/print/downloadPdf/20220133875","USPTO PDF")</f>
        <v>0.0</v>
      </c>
      <c r="K169" s="2" t="n">
        <f>HYPERLINK("https://sectors.patentforecast.com/pmd/US20220133875","PMD")</f>
        <v>0.0</v>
      </c>
      <c r="L169" s="2" t="n">
        <f>HYPERLINK("https://globaldossier.uspto.gov/result/application/US/17433732/1","US20220133875")</f>
        <v>0.0</v>
      </c>
      <c r="M169" t="s">
        <v>1274</v>
      </c>
      <c r="N169" t="s">
        <v>1275</v>
      </c>
      <c r="O169" t="s">
        <v>1275</v>
      </c>
      <c r="P169" t="s">
        <v>1276</v>
      </c>
      <c r="Q169" s="3" t="n">
        <v>43886.0</v>
      </c>
      <c r="R169" s="3" t="n">
        <v>44686.0</v>
      </c>
      <c r="S169" s="3" t="n">
        <v>44687.23508428241</v>
      </c>
      <c r="T169" s="3" t="n">
        <v>44698.475474074075</v>
      </c>
      <c r="U169" t="s">
        <v>31</v>
      </c>
      <c r="V169" t="s">
        <v>1277</v>
      </c>
    </row>
    <row r="170">
      <c r="A170" t="s">
        <v>22</v>
      </c>
      <c r="B170" t="s">
        <v>1278</v>
      </c>
      <c r="C170" t="s">
        <v>496</v>
      </c>
      <c r="D170" t="s">
        <v>616</v>
      </c>
      <c r="E170" t="s">
        <v>1279</v>
      </c>
      <c r="F170" s="2" t="n">
        <f>HYPERLINK("https://patents.google.com/patent/US20220133858","Google")</f>
        <v>0.0</v>
      </c>
      <c r="G170" s="2" t="n">
        <f>HYPERLINK("https://patentcenter.uspto.gov/applications/17513395","Patent Center")</f>
        <v>0.0</v>
      </c>
      <c r="H170" s="2" t="n">
        <f>HYPERLINK("https://worldwide.espacenet.com/patent/search?q=US20220133858","Espacenet")</f>
        <v>0.0</v>
      </c>
      <c r="I170" s="2" t="n">
        <f>HYPERLINK("https://ppubs.uspto.gov/pubwebapp/external.html?q=20220133858.pn.","USPTO")</f>
        <v>0.0</v>
      </c>
      <c r="J170" s="2" t="n">
        <f>HYPERLINK("https://image-ppubs.uspto.gov/dirsearch-public/print/downloadPdf/20220133858","USPTO PDF")</f>
        <v>0.0</v>
      </c>
      <c r="K170" s="2" t="n">
        <f>HYPERLINK("https://sectors.patentforecast.com/pmd/US20220133858","PMD")</f>
        <v>0.0</v>
      </c>
      <c r="L170" s="2" t="n">
        <f>HYPERLINK("https://globaldossier.uspto.gov/result/application/US/17513395/1","US20220133858")</f>
        <v>0.0</v>
      </c>
      <c r="M170" t="s">
        <v>1280</v>
      </c>
      <c r="N170" t="s">
        <v>1281</v>
      </c>
      <c r="O170" t="s">
        <v>1282</v>
      </c>
      <c r="P170" t="s">
        <v>1283</v>
      </c>
      <c r="Q170" s="3" t="n">
        <v>44497.0</v>
      </c>
      <c r="R170" s="3" t="n">
        <v>44686.0</v>
      </c>
      <c r="S170" s="3" t="n">
        <v>44687.2303425</v>
      </c>
      <c r="T170" s="3" t="n">
        <v>44698.47589306713</v>
      </c>
      <c r="U170" t="s">
        <v>31</v>
      </c>
      <c r="V170" t="s">
        <v>1284</v>
      </c>
    </row>
    <row r="171">
      <c r="A171" t="s">
        <v>22</v>
      </c>
      <c r="B171" t="s">
        <v>1285</v>
      </c>
      <c r="C171" t="s">
        <v>60</v>
      </c>
      <c r="D171" t="s">
        <v>61</v>
      </c>
      <c r="E171" t="s">
        <v>1286</v>
      </c>
      <c r="F171" s="2" t="n">
        <f>HYPERLINK("https://patents.google.com/patent/US20220133837","Google")</f>
        <v>0.0</v>
      </c>
      <c r="G171" s="2" t="n">
        <f>HYPERLINK("https://patentcenter.uspto.gov/applications/17459842","Patent Center")</f>
        <v>0.0</v>
      </c>
      <c r="H171" s="2" t="n">
        <f>HYPERLINK("https://worldwide.espacenet.com/patent/search?q=US20220133837","Espacenet")</f>
        <v>0.0</v>
      </c>
      <c r="I171" s="2" t="n">
        <f>HYPERLINK("https://ppubs.uspto.gov/pubwebapp/external.html?q=20220133837.pn.","USPTO")</f>
        <v>0.0</v>
      </c>
      <c r="J171" s="2" t="n">
        <f>HYPERLINK("https://image-ppubs.uspto.gov/dirsearch-public/print/downloadPdf/20220133837","USPTO PDF")</f>
        <v>0.0</v>
      </c>
      <c r="K171" s="2" t="n">
        <f>HYPERLINK("https://sectors.patentforecast.com/pmd/US20220133837","PMD")</f>
        <v>0.0</v>
      </c>
      <c r="L171" s="2" t="n">
        <f>HYPERLINK("https://globaldossier.uspto.gov/result/application/US/17459842/1","US20220133837")</f>
        <v>0.0</v>
      </c>
      <c r="M171" t="s">
        <v>1287</v>
      </c>
      <c r="N171" t="s">
        <v>1288</v>
      </c>
      <c r="O171" t="s">
        <v>1288</v>
      </c>
      <c r="P171" t="s">
        <v>1289</v>
      </c>
      <c r="Q171" s="3" t="n">
        <v>44435.0</v>
      </c>
      <c r="R171" s="3" t="n">
        <v>44686.0</v>
      </c>
      <c r="S171" s="3" t="n">
        <v>44687.2303425</v>
      </c>
      <c r="T171" s="3" t="n">
        <v>44698.569386979165</v>
      </c>
      <c r="U171" t="s">
        <v>31</v>
      </c>
      <c r="V171" t="s">
        <v>1290</v>
      </c>
    </row>
    <row r="172">
      <c r="A172" t="s">
        <v>22</v>
      </c>
      <c r="B172" t="s">
        <v>1291</v>
      </c>
      <c r="C172" t="s">
        <v>1292</v>
      </c>
      <c r="D172" t="s">
        <v>1293</v>
      </c>
      <c r="E172" t="s">
        <v>1294</v>
      </c>
      <c r="F172" s="2" t="n">
        <f>HYPERLINK("https://patents.google.com/patent/US20220133833","Google")</f>
        <v>0.0</v>
      </c>
      <c r="G172" s="2" t="n">
        <f>HYPERLINK("https://patentcenter.uspto.gov/applications/17370994","Patent Center")</f>
        <v>0.0</v>
      </c>
      <c r="H172" s="2" t="n">
        <f>HYPERLINK("https://worldwide.espacenet.com/patent/search?q=US20220133833","Espacenet")</f>
        <v>0.0</v>
      </c>
      <c r="I172" s="2" t="n">
        <f>HYPERLINK("https://ppubs.uspto.gov/pubwebapp/external.html?q=20220133833.pn.","USPTO")</f>
        <v>0.0</v>
      </c>
      <c r="J172" s="2" t="n">
        <f>HYPERLINK("https://image-ppubs.uspto.gov/dirsearch-public/print/downloadPdf/20220133833","USPTO PDF")</f>
        <v>0.0</v>
      </c>
      <c r="K172" s="2" t="n">
        <f>HYPERLINK("https://sectors.patentforecast.com/pmd/US20220133833","PMD")</f>
        <v>0.0</v>
      </c>
      <c r="L172" s="2" t="n">
        <f>HYPERLINK("https://globaldossier.uspto.gov/result/application/US/17370994/1","US20220133833")</f>
        <v>0.0</v>
      </c>
      <c r="M172" t="s">
        <v>1295</v>
      </c>
      <c r="N172" t="s">
        <v>1296</v>
      </c>
      <c r="O172" t="s">
        <v>1296</v>
      </c>
      <c r="P172" t="s">
        <v>1297</v>
      </c>
      <c r="Q172" s="3" t="n">
        <v>44385.0</v>
      </c>
      <c r="R172" s="3" t="n">
        <v>44686.0</v>
      </c>
      <c r="S172" s="3" t="n">
        <v>44687.2303425</v>
      </c>
      <c r="T172" s="3" t="n">
        <v>44698.51649065972</v>
      </c>
      <c r="U172" t="s">
        <v>31</v>
      </c>
      <c r="V172" t="s">
        <v>1298</v>
      </c>
    </row>
    <row r="173">
      <c r="A173" t="s">
        <v>22</v>
      </c>
      <c r="B173" t="s">
        <v>1299</v>
      </c>
      <c r="C173" t="s">
        <v>496</v>
      </c>
      <c r="D173" t="s">
        <v>616</v>
      </c>
      <c r="E173" t="s">
        <v>1300</v>
      </c>
      <c r="F173" s="2" t="n">
        <f>HYPERLINK("https://patents.google.com/patent/US20220133829","Google")</f>
        <v>0.0</v>
      </c>
      <c r="G173" s="2" t="n">
        <f>HYPERLINK("https://patentcenter.uspto.gov/applications/17127589","Patent Center")</f>
        <v>0.0</v>
      </c>
      <c r="H173" s="2" t="n">
        <f>HYPERLINK("https://worldwide.espacenet.com/patent/search?q=US20220133829","Espacenet")</f>
        <v>0.0</v>
      </c>
      <c r="I173" s="2" t="n">
        <f>HYPERLINK("https://ppubs.uspto.gov/pubwebapp/external.html?q=20220133829.pn.","USPTO")</f>
        <v>0.0</v>
      </c>
      <c r="J173" s="2" t="n">
        <f>HYPERLINK("https://image-ppubs.uspto.gov/dirsearch-public/print/downloadPdf/20220133829","USPTO PDF")</f>
        <v>0.0</v>
      </c>
      <c r="K173" s="2" t="n">
        <f>HYPERLINK("https://sectors.patentforecast.com/pmd/US20220133829","PMD")</f>
        <v>0.0</v>
      </c>
      <c r="L173" s="2" t="n">
        <f>HYPERLINK("https://globaldossier.uspto.gov/result/application/US/17127589/1","US20220133829")</f>
        <v>0.0</v>
      </c>
      <c r="M173" t="s">
        <v>1301</v>
      </c>
      <c r="N173" t="s">
        <v>1302</v>
      </c>
      <c r="O173" t="s">
        <v>1302</v>
      </c>
      <c r="P173" t="s">
        <v>1303</v>
      </c>
      <c r="Q173" s="3" t="n">
        <v>44183.0</v>
      </c>
      <c r="R173" s="3" t="n">
        <v>44686.0</v>
      </c>
      <c r="S173" s="3" t="n">
        <v>44687.2303425</v>
      </c>
      <c r="T173" s="3" t="n">
        <v>44698.56971457176</v>
      </c>
      <c r="U173" t="s">
        <v>31</v>
      </c>
      <c r="V173" t="s">
        <v>1304</v>
      </c>
    </row>
    <row r="174">
      <c r="A174" t="s">
        <v>22</v>
      </c>
      <c r="B174" t="s">
        <v>1305</v>
      </c>
      <c r="C174" t="s">
        <v>496</v>
      </c>
      <c r="D174" t="s">
        <v>616</v>
      </c>
      <c r="E174" t="s">
        <v>1306</v>
      </c>
      <c r="F174" s="2" t="n">
        <f>HYPERLINK("https://patents.google.com/patent/US20220133786","Google")</f>
        <v>0.0</v>
      </c>
      <c r="G174" s="2" t="n">
        <f>HYPERLINK("https://patentcenter.uspto.gov/applications/17547794","Patent Center")</f>
        <v>0.0</v>
      </c>
      <c r="H174" s="2" t="n">
        <f>HYPERLINK("https://worldwide.espacenet.com/patent/search?q=US20220133786","Espacenet")</f>
        <v>0.0</v>
      </c>
      <c r="I174" s="2" t="n">
        <f>HYPERLINK("https://ppubs.uspto.gov/pubwebapp/external.html?q=20220133786.pn.","USPTO")</f>
        <v>0.0</v>
      </c>
      <c r="J174" s="2" t="n">
        <f>HYPERLINK("https://image-ppubs.uspto.gov/dirsearch-public/print/downloadPdf/20220133786","USPTO PDF")</f>
        <v>0.0</v>
      </c>
      <c r="K174" s="2" t="n">
        <f>HYPERLINK("https://sectors.patentforecast.com/pmd/US20220133786","PMD")</f>
        <v>0.0</v>
      </c>
      <c r="L174" s="2" t="n">
        <f>HYPERLINK("https://globaldossier.uspto.gov/result/application/US/17547794/1","US20220133786")</f>
        <v>0.0</v>
      </c>
      <c r="M174" t="s">
        <v>1307</v>
      </c>
      <c r="N174" t="s">
        <v>1308</v>
      </c>
      <c r="O174" t="s">
        <v>1309</v>
      </c>
      <c r="P174" t="s">
        <v>1310</v>
      </c>
      <c r="Q174" s="3" t="n">
        <v>44540.0</v>
      </c>
      <c r="R174" s="3" t="n">
        <v>44686.0</v>
      </c>
      <c r="S174" s="3" t="n">
        <v>44687.2303425</v>
      </c>
      <c r="T174" s="3" t="n">
        <v>44698.57095606482</v>
      </c>
      <c r="U174" t="s">
        <v>1311</v>
      </c>
      <c r="V174" t="s">
        <v>1312</v>
      </c>
    </row>
    <row r="175">
      <c r="A175" t="s">
        <v>22</v>
      </c>
      <c r="B175" t="s">
        <v>1313</v>
      </c>
      <c r="C175" t="s">
        <v>496</v>
      </c>
      <c r="D175" t="s">
        <v>616</v>
      </c>
      <c r="E175" t="s">
        <v>1306</v>
      </c>
      <c r="F175" s="2" t="n">
        <f>HYPERLINK("https://patents.google.com/patent/US20220133785","Google")</f>
        <v>0.0</v>
      </c>
      <c r="G175" s="2" t="n">
        <f>HYPERLINK("https://patentcenter.uspto.gov/applications/17547712","Patent Center")</f>
        <v>0.0</v>
      </c>
      <c r="H175" s="2" t="n">
        <f>HYPERLINK("https://worldwide.espacenet.com/patent/search?q=US20220133785","Espacenet")</f>
        <v>0.0</v>
      </c>
      <c r="I175" s="2" t="n">
        <f>HYPERLINK("https://ppubs.uspto.gov/pubwebapp/external.html?q=20220133785.pn.","USPTO")</f>
        <v>0.0</v>
      </c>
      <c r="J175" s="2" t="n">
        <f>HYPERLINK("https://image-ppubs.uspto.gov/dirsearch-public/print/downloadPdf/20220133785","USPTO PDF")</f>
        <v>0.0</v>
      </c>
      <c r="K175" s="2" t="n">
        <f>HYPERLINK("https://sectors.patentforecast.com/pmd/US20220133785","PMD")</f>
        <v>0.0</v>
      </c>
      <c r="L175" s="2" t="n">
        <f>HYPERLINK("https://globaldossier.uspto.gov/result/application/US/17547712/1","US20220133785")</f>
        <v>0.0</v>
      </c>
      <c r="M175" t="s">
        <v>1314</v>
      </c>
      <c r="N175" t="s">
        <v>1308</v>
      </c>
      <c r="O175" t="s">
        <v>1309</v>
      </c>
      <c r="P175" t="s">
        <v>1310</v>
      </c>
      <c r="Q175" s="3" t="n">
        <v>44540.0</v>
      </c>
      <c r="R175" s="3" t="n">
        <v>44686.0</v>
      </c>
      <c r="S175" s="3" t="n">
        <v>44687.2303425</v>
      </c>
      <c r="T175" s="3" t="n">
        <v>44698.5713521412</v>
      </c>
      <c r="U175" t="s">
        <v>31</v>
      </c>
      <c r="V175" t="s">
        <v>1312</v>
      </c>
    </row>
    <row r="176">
      <c r="A176" t="s">
        <v>22</v>
      </c>
      <c r="B176" t="s">
        <v>1315</v>
      </c>
      <c r="C176" t="s">
        <v>1292</v>
      </c>
      <c r="D176" t="s">
        <v>1316</v>
      </c>
      <c r="E176" t="s">
        <v>1317</v>
      </c>
      <c r="F176" s="2" t="n">
        <f>HYPERLINK("https://patents.google.com/patent/US20220133784","Google")</f>
        <v>0.0</v>
      </c>
      <c r="G176" s="2" t="n">
        <f>HYPERLINK("https://patentcenter.uspto.gov/applications/17576773","Patent Center")</f>
        <v>0.0</v>
      </c>
      <c r="H176" s="2" t="n">
        <f>HYPERLINK("https://worldwide.espacenet.com/patent/search?q=US20220133784","Espacenet")</f>
        <v>0.0</v>
      </c>
      <c r="I176" s="2" t="n">
        <f>HYPERLINK("https://ppubs.uspto.gov/pubwebapp/external.html?q=20220133784.pn.","USPTO")</f>
        <v>0.0</v>
      </c>
      <c r="J176" s="2" t="n">
        <f>HYPERLINK("https://image-ppubs.uspto.gov/dirsearch-public/print/downloadPdf/20220133784","USPTO PDF")</f>
        <v>0.0</v>
      </c>
      <c r="K176" s="2" t="n">
        <f>HYPERLINK("https://sectors.patentforecast.com/pmd/US20220133784","PMD")</f>
        <v>0.0</v>
      </c>
      <c r="L176" s="2" t="n">
        <f>HYPERLINK("https://globaldossier.uspto.gov/result/application/US/17576773/1","US20220133784")</f>
        <v>0.0</v>
      </c>
      <c r="M176" t="s">
        <v>1318</v>
      </c>
      <c r="N176" t="s">
        <v>1319</v>
      </c>
      <c r="O176" t="s">
        <v>1320</v>
      </c>
      <c r="P176" t="s">
        <v>1321</v>
      </c>
      <c r="Q176" s="3" t="n">
        <v>44575.0</v>
      </c>
      <c r="R176" s="3" t="n">
        <v>44686.0</v>
      </c>
      <c r="S176" s="3" t="n">
        <v>44687.2303425</v>
      </c>
      <c r="T176" s="3" t="n">
        <v>44698.572161435186</v>
      </c>
      <c r="U176" t="s">
        <v>31</v>
      </c>
      <c r="V176" t="s">
        <v>1322</v>
      </c>
    </row>
    <row r="177">
      <c r="A177" t="s">
        <v>22</v>
      </c>
      <c r="B177" t="s">
        <v>1323</v>
      </c>
      <c r="C177" t="s">
        <v>561</v>
      </c>
      <c r="D177" t="s">
        <v>616</v>
      </c>
      <c r="E177" t="s">
        <v>1324</v>
      </c>
      <c r="F177" s="2" t="n">
        <f>HYPERLINK("https://patents.google.com/patent/US20220133783","Google")</f>
        <v>0.0</v>
      </c>
      <c r="G177" s="2" t="n">
        <f>HYPERLINK("https://patentcenter.uspto.gov/applications/17576098","Patent Center")</f>
        <v>0.0</v>
      </c>
      <c r="H177" s="2" t="n">
        <f>HYPERLINK("https://worldwide.espacenet.com/patent/search?q=US20220133783","Espacenet")</f>
        <v>0.0</v>
      </c>
      <c r="I177" s="2" t="n">
        <f>HYPERLINK("https://ppubs.uspto.gov/pubwebapp/external.html?q=20220133783.pn.","USPTO")</f>
        <v>0.0</v>
      </c>
      <c r="J177" s="2" t="n">
        <f>HYPERLINK("https://image-ppubs.uspto.gov/dirsearch-public/print/downloadPdf/20220133783","USPTO PDF")</f>
        <v>0.0</v>
      </c>
      <c r="K177" s="2" t="n">
        <f>HYPERLINK("https://sectors.patentforecast.com/pmd/US20220133783","PMD")</f>
        <v>0.0</v>
      </c>
      <c r="L177" s="2" t="n">
        <f>HYPERLINK("https://globaldossier.uspto.gov/result/application/US/17576098/1","US20220133783")</f>
        <v>0.0</v>
      </c>
      <c r="M177" t="s">
        <v>1325</v>
      </c>
      <c r="N177" t="s">
        <v>1326</v>
      </c>
      <c r="O177" t="s">
        <v>1327</v>
      </c>
      <c r="P177" t="s">
        <v>1328</v>
      </c>
      <c r="Q177" s="3" t="n">
        <v>44575.0</v>
      </c>
      <c r="R177" s="3" t="n">
        <v>44686.0</v>
      </c>
      <c r="S177" s="3" t="n">
        <v>44687.2303425</v>
      </c>
      <c r="T177" s="3" t="n">
        <v>44698.572476724534</v>
      </c>
      <c r="U177" t="s">
        <v>1329</v>
      </c>
      <c r="V177" t="s">
        <v>1330</v>
      </c>
    </row>
    <row r="178">
      <c r="A178" t="s">
        <v>22</v>
      </c>
      <c r="B178" t="s">
        <v>1331</v>
      </c>
      <c r="C178" t="s">
        <v>60</v>
      </c>
      <c r="D178" t="s">
        <v>61</v>
      </c>
      <c r="E178" t="s">
        <v>1332</v>
      </c>
      <c r="F178" s="2" t="n">
        <f>HYPERLINK("https://patents.google.com/patent/US20220133669","Google")</f>
        <v>0.0</v>
      </c>
      <c r="G178" s="2" t="n">
        <f>HYPERLINK("https://patentcenter.uspto.gov/applications/17514381","Patent Center")</f>
        <v>0.0</v>
      </c>
      <c r="H178" s="2" t="n">
        <f>HYPERLINK("https://worldwide.espacenet.com/patent/search?q=US20220133669","Espacenet")</f>
        <v>0.0</v>
      </c>
      <c r="I178" s="2" t="n">
        <f>HYPERLINK("https://ppubs.uspto.gov/pubwebapp/external.html?q=20220133669.pn.","USPTO")</f>
        <v>0.0</v>
      </c>
      <c r="J178" s="2" t="n">
        <f>HYPERLINK("https://image-ppubs.uspto.gov/dirsearch-public/print/downloadPdf/20220133669","USPTO PDF")</f>
        <v>0.0</v>
      </c>
      <c r="K178" s="2" t="n">
        <f>HYPERLINK("https://sectors.patentforecast.com/pmd/US20220133669","PMD")</f>
        <v>0.0</v>
      </c>
      <c r="L178" s="2" t="n">
        <f>HYPERLINK("https://globaldossier.uspto.gov/result/application/US/17514381/1","US20220133669")</f>
        <v>0.0</v>
      </c>
      <c r="M178" t="s">
        <v>1333</v>
      </c>
      <c r="N178" t="s">
        <v>1334</v>
      </c>
      <c r="O178" t="s">
        <v>1335</v>
      </c>
      <c r="P178" t="s">
        <v>1336</v>
      </c>
      <c r="Q178" s="3" t="n">
        <v>44498.0</v>
      </c>
      <c r="R178" s="3" t="n">
        <v>44686.0</v>
      </c>
      <c r="S178" s="3" t="n">
        <v>44687.2303425</v>
      </c>
      <c r="T178" s="3" t="n">
        <v>44698.572811921294</v>
      </c>
      <c r="U178" t="s">
        <v>1337</v>
      </c>
      <c r="V178" t="s">
        <v>1338</v>
      </c>
    </row>
    <row r="179">
      <c r="A179" t="s">
        <v>22</v>
      </c>
      <c r="B179" t="s">
        <v>1339</v>
      </c>
      <c r="C179" t="s">
        <v>561</v>
      </c>
      <c r="D179" t="s">
        <v>1340</v>
      </c>
      <c r="E179" t="s">
        <v>1341</v>
      </c>
      <c r="F179" s="2" t="n">
        <f>HYPERLINK("https://patents.google.com/patent/US20220133625","Google")</f>
        <v>0.0</v>
      </c>
      <c r="G179" s="2" t="n">
        <f>HYPERLINK("https://patentcenter.uspto.gov/applications/17182664","Patent Center")</f>
        <v>0.0</v>
      </c>
      <c r="H179" s="2" t="n">
        <f>HYPERLINK("https://worldwide.espacenet.com/patent/search?q=US20220133625","Espacenet")</f>
        <v>0.0</v>
      </c>
      <c r="I179" s="2" t="n">
        <f>HYPERLINK("https://ppubs.uspto.gov/pubwebapp/external.html?q=20220133625.pn.","USPTO")</f>
        <v>0.0</v>
      </c>
      <c r="J179" s="2" t="n">
        <f>HYPERLINK("https://image-ppubs.uspto.gov/dirsearch-public/print/downloadPdf/20220133625","USPTO PDF")</f>
        <v>0.0</v>
      </c>
      <c r="K179" s="2" t="n">
        <f>HYPERLINK("https://sectors.patentforecast.com/pmd/US20220133625","PMD")</f>
        <v>0.0</v>
      </c>
      <c r="L179" s="2" t="n">
        <f>HYPERLINK("https://globaldossier.uspto.gov/result/application/US/17182664/1","US20220133625")</f>
        <v>0.0</v>
      </c>
      <c r="M179" t="s">
        <v>1342</v>
      </c>
      <c r="N179" t="s">
        <v>1343</v>
      </c>
      <c r="O179" t="s">
        <v>1343</v>
      </c>
      <c r="P179" t="s">
        <v>1344</v>
      </c>
      <c r="Q179" s="3" t="n">
        <v>44250.0</v>
      </c>
      <c r="R179" s="3" t="n">
        <v>44686.0</v>
      </c>
      <c r="S179" s="3" t="n">
        <v>44687.2303425</v>
      </c>
      <c r="T179" s="3" t="n">
        <v>44698.573099918984</v>
      </c>
      <c r="U179" t="s">
        <v>1345</v>
      </c>
      <c r="V179" t="s">
        <v>1346</v>
      </c>
    </row>
    <row r="180">
      <c r="A180" t="s">
        <v>22</v>
      </c>
      <c r="B180" t="s">
        <v>1347</v>
      </c>
      <c r="C180" t="s">
        <v>60</v>
      </c>
      <c r="D180" t="s">
        <v>715</v>
      </c>
      <c r="E180" t="s">
        <v>1348</v>
      </c>
      <c r="F180" s="2" t="n">
        <f>HYPERLINK("https://patents.google.com/patent/US20220133560","Google")</f>
        <v>0.0</v>
      </c>
      <c r="G180" s="2" t="n">
        <f>HYPERLINK("https://patentcenter.uspto.gov/applications/17443180","Patent Center")</f>
        <v>0.0</v>
      </c>
      <c r="H180" s="2" t="n">
        <f>HYPERLINK("https://worldwide.espacenet.com/patent/search?q=US20220133560","Espacenet")</f>
        <v>0.0</v>
      </c>
      <c r="I180" s="2" t="n">
        <f>HYPERLINK("https://ppubs.uspto.gov/pubwebapp/external.html?q=20220133560.pn.","USPTO")</f>
        <v>0.0</v>
      </c>
      <c r="J180" s="2" t="n">
        <f>HYPERLINK("https://image-ppubs.uspto.gov/dirsearch-public/print/downloadPdf/20220133560","USPTO PDF")</f>
        <v>0.0</v>
      </c>
      <c r="K180" s="2" t="n">
        <f>HYPERLINK("https://sectors.patentforecast.com/pmd/US20220133560","PMD")</f>
        <v>0.0</v>
      </c>
      <c r="L180" s="2" t="n">
        <f>HYPERLINK("https://globaldossier.uspto.gov/result/application/US/17443180/1","US20220133560")</f>
        <v>0.0</v>
      </c>
      <c r="M180" t="s">
        <v>1349</v>
      </c>
      <c r="N180" t="s">
        <v>1350</v>
      </c>
      <c r="O180" t="s">
        <v>1351</v>
      </c>
      <c r="P180" t="s">
        <v>1352</v>
      </c>
      <c r="Q180" s="3" t="n">
        <v>44398.0</v>
      </c>
      <c r="R180" s="3" t="n">
        <v>44686.0</v>
      </c>
      <c r="S180" s="3" t="n">
        <v>44687.2303425</v>
      </c>
      <c r="T180" s="3" t="n">
        <v>44698.57375674768</v>
      </c>
      <c r="U180" t="s">
        <v>1353</v>
      </c>
      <c r="V180" t="s">
        <v>1354</v>
      </c>
    </row>
    <row r="181">
      <c r="A181" t="s">
        <v>22</v>
      </c>
      <c r="B181" t="s">
        <v>1355</v>
      </c>
      <c r="C181" t="s">
        <v>24</v>
      </c>
      <c r="D181" t="s">
        <v>1356</v>
      </c>
      <c r="E181" t="s">
        <v>1357</v>
      </c>
      <c r="F181" s="2" t="n">
        <f>HYPERLINK("https://patents.google.com/patent/US20220133432","Google")</f>
        <v>0.0</v>
      </c>
      <c r="G181" s="2" t="n">
        <f>HYPERLINK("https://patentcenter.uspto.gov/applications/17500492","Patent Center")</f>
        <v>0.0</v>
      </c>
      <c r="H181" s="2" t="n">
        <f>HYPERLINK("https://worldwide.espacenet.com/patent/search?q=US20220133432","Espacenet")</f>
        <v>0.0</v>
      </c>
      <c r="I181" s="2" t="n">
        <f>HYPERLINK("https://ppubs.uspto.gov/pubwebapp/external.html?q=20220133432.pn.","USPTO")</f>
        <v>0.0</v>
      </c>
      <c r="J181" s="2" t="n">
        <f>HYPERLINK("https://image-ppubs.uspto.gov/dirsearch-public/print/downloadPdf/20220133432","USPTO PDF")</f>
        <v>0.0</v>
      </c>
      <c r="K181" s="2" t="n">
        <f>HYPERLINK("https://sectors.patentforecast.com/pmd/US20220133432","PMD")</f>
        <v>0.0</v>
      </c>
      <c r="L181" s="2" t="n">
        <f>HYPERLINK("https://globaldossier.uspto.gov/result/application/US/17500492/1","US20220133432")</f>
        <v>0.0</v>
      </c>
      <c r="M181" t="s">
        <v>1358</v>
      </c>
      <c r="N181" t="s">
        <v>1359</v>
      </c>
      <c r="O181" t="s">
        <v>1360</v>
      </c>
      <c r="P181" t="s">
        <v>1361</v>
      </c>
      <c r="Q181" s="3" t="n">
        <v>44482.0</v>
      </c>
      <c r="R181" s="3" t="n">
        <v>44686.0</v>
      </c>
      <c r="S181" s="3" t="n">
        <v>44687.2303425</v>
      </c>
      <c r="T181" s="3" t="n">
        <v>44698.51877189815</v>
      </c>
      <c r="U181" t="s">
        <v>1362</v>
      </c>
      <c r="V181" t="s">
        <v>1363</v>
      </c>
    </row>
    <row r="182">
      <c r="A182" t="s">
        <v>22</v>
      </c>
      <c r="B182" t="s">
        <v>1364</v>
      </c>
      <c r="C182" t="s">
        <v>24</v>
      </c>
      <c r="D182" t="s">
        <v>51</v>
      </c>
      <c r="E182" t="s">
        <v>1365</v>
      </c>
      <c r="F182" s="2" t="n">
        <f>HYPERLINK("https://patents.google.com/patent/US20220133283","Google")</f>
        <v>0.0</v>
      </c>
      <c r="G182" s="2" t="n">
        <f>HYPERLINK("https://patentcenter.uspto.gov/applications/17127604","Patent Center")</f>
        <v>0.0</v>
      </c>
      <c r="H182" s="2" t="n">
        <f>HYPERLINK("https://worldwide.espacenet.com/patent/search?q=US20220133283","Espacenet")</f>
        <v>0.0</v>
      </c>
      <c r="I182" s="2" t="n">
        <f>HYPERLINK("https://ppubs.uspto.gov/pubwebapp/external.html?q=20220133283.pn.","USPTO")</f>
        <v>0.0</v>
      </c>
      <c r="J182" s="2" t="n">
        <f>HYPERLINK("https://image-ppubs.uspto.gov/dirsearch-public/print/downloadPdf/20220133283","USPTO PDF")</f>
        <v>0.0</v>
      </c>
      <c r="K182" s="2" t="n">
        <f>HYPERLINK("https://sectors.patentforecast.com/pmd/US20220133283","PMD")</f>
        <v>0.0</v>
      </c>
      <c r="L182" s="2" t="n">
        <f>HYPERLINK("https://globaldossier.uspto.gov/result/application/US/17127604/1","US20220133283")</f>
        <v>0.0</v>
      </c>
      <c r="M182" t="s">
        <v>1366</v>
      </c>
      <c r="N182" t="s">
        <v>1302</v>
      </c>
      <c r="O182" t="s">
        <v>1302</v>
      </c>
      <c r="P182" t="s">
        <v>1367</v>
      </c>
      <c r="Q182" s="3" t="n">
        <v>44183.0</v>
      </c>
      <c r="R182" s="3" t="n">
        <v>44686.0</v>
      </c>
      <c r="S182" s="3" t="n">
        <v>44687.2303425</v>
      </c>
      <c r="T182" s="3" t="n">
        <v>44698.50743230324</v>
      </c>
      <c r="U182" t="s">
        <v>1368</v>
      </c>
      <c r="V182" t="s">
        <v>1369</v>
      </c>
    </row>
    <row r="183">
      <c r="A183" t="s">
        <v>22</v>
      </c>
      <c r="B183" t="s">
        <v>1370</v>
      </c>
      <c r="C183" t="s">
        <v>24</v>
      </c>
      <c r="D183" t="s">
        <v>25</v>
      </c>
      <c r="E183" t="s">
        <v>1371</v>
      </c>
      <c r="F183" s="2" t="n">
        <f>HYPERLINK("https://patents.google.com/patent/US20220133279","Google")</f>
        <v>0.0</v>
      </c>
      <c r="G183" s="2" t="n">
        <f>HYPERLINK("https://patentcenter.uspto.gov/applications/17516942","Patent Center")</f>
        <v>0.0</v>
      </c>
      <c r="H183" s="2" t="n">
        <f>HYPERLINK("https://worldwide.espacenet.com/patent/search?q=US20220133279","Espacenet")</f>
        <v>0.0</v>
      </c>
      <c r="I183" s="2" t="n">
        <f>HYPERLINK("https://ppubs.uspto.gov/pubwebapp/external.html?q=20220133279.pn.","USPTO")</f>
        <v>0.0</v>
      </c>
      <c r="J183" s="2" t="n">
        <f>HYPERLINK("https://image-ppubs.uspto.gov/dirsearch-public/print/downloadPdf/20220133279","USPTO PDF")</f>
        <v>0.0</v>
      </c>
      <c r="K183" s="2" t="n">
        <f>HYPERLINK("https://sectors.patentforecast.com/pmd/US20220133279","PMD")</f>
        <v>0.0</v>
      </c>
      <c r="L183" s="2" t="n">
        <f>HYPERLINK("https://globaldossier.uspto.gov/result/application/US/17516942/1","US20220133279")</f>
        <v>0.0</v>
      </c>
      <c r="M183" t="s">
        <v>1372</v>
      </c>
      <c r="N183" t="s">
        <v>1373</v>
      </c>
      <c r="O183" t="s">
        <v>1374</v>
      </c>
      <c r="P183" t="s">
        <v>1375</v>
      </c>
      <c r="Q183" s="3" t="n">
        <v>44502.0</v>
      </c>
      <c r="R183" s="3" t="n">
        <v>44686.0</v>
      </c>
      <c r="S183" s="3" t="n">
        <v>44687.2303425</v>
      </c>
      <c r="T183" s="3" t="n">
        <v>44698.57398951389</v>
      </c>
      <c r="U183" t="s">
        <v>31</v>
      </c>
      <c r="V183" t="s">
        <v>1376</v>
      </c>
    </row>
    <row r="184">
      <c r="A184" t="s">
        <v>22</v>
      </c>
      <c r="B184" t="s">
        <v>1377</v>
      </c>
      <c r="C184" t="s">
        <v>24</v>
      </c>
      <c r="D184" t="s">
        <v>25</v>
      </c>
      <c r="E184" t="s">
        <v>1378</v>
      </c>
      <c r="F184" s="2" t="n">
        <f>HYPERLINK("https://patents.google.com/patent/US20220133187","Google")</f>
        <v>0.0</v>
      </c>
      <c r="G184" s="2" t="n">
        <f>HYPERLINK("https://patentcenter.uspto.gov/applications/17542765","Patent Center")</f>
        <v>0.0</v>
      </c>
      <c r="H184" s="2" t="n">
        <f>HYPERLINK("https://worldwide.espacenet.com/patent/search?q=US20220133187","Espacenet")</f>
        <v>0.0</v>
      </c>
      <c r="I184" s="2" t="n">
        <f>HYPERLINK("https://ppubs.uspto.gov/pubwebapp/external.html?q=20220133187.pn.","USPTO")</f>
        <v>0.0</v>
      </c>
      <c r="J184" s="2" t="n">
        <f>HYPERLINK("https://image-ppubs.uspto.gov/dirsearch-public/print/downloadPdf/20220133187","USPTO PDF")</f>
        <v>0.0</v>
      </c>
      <c r="K184" s="2" t="n">
        <f>HYPERLINK("https://sectors.patentforecast.com/pmd/US20220133187","PMD")</f>
        <v>0.0</v>
      </c>
      <c r="L184" s="2" t="n">
        <f>HYPERLINK("https://globaldossier.uspto.gov/result/application/US/17542765/1","US20220133187")</f>
        <v>0.0</v>
      </c>
      <c r="M184" t="s">
        <v>1379</v>
      </c>
      <c r="N184" t="s">
        <v>746</v>
      </c>
      <c r="O184" t="s">
        <v>747</v>
      </c>
      <c r="P184" t="s">
        <v>748</v>
      </c>
      <c r="Q184" s="3" t="n">
        <v>44536.0</v>
      </c>
      <c r="R184" s="3" t="n">
        <v>44686.0</v>
      </c>
      <c r="S184" s="3" t="n">
        <v>44687.2303425</v>
      </c>
      <c r="T184" s="3" t="n">
        <v>44698.57412278935</v>
      </c>
      <c r="U184" t="s">
        <v>31</v>
      </c>
      <c r="V184" t="s">
        <v>1380</v>
      </c>
    </row>
    <row r="185">
      <c r="A185" t="s">
        <v>22</v>
      </c>
      <c r="B185" t="s">
        <v>1381</v>
      </c>
      <c r="C185" t="s">
        <v>24</v>
      </c>
      <c r="D185" t="s">
        <v>25</v>
      </c>
      <c r="E185" t="s">
        <v>1382</v>
      </c>
      <c r="F185" s="2" t="n">
        <f>HYPERLINK("https://patents.google.com/patent/US20220133157","Google")</f>
        <v>0.0</v>
      </c>
      <c r="G185" s="2" t="n">
        <f>HYPERLINK("https://patentcenter.uspto.gov/applications/17575673","Patent Center")</f>
        <v>0.0</v>
      </c>
      <c r="H185" s="2" t="n">
        <f>HYPERLINK("https://worldwide.espacenet.com/patent/search?q=US20220133157","Espacenet")</f>
        <v>0.0</v>
      </c>
      <c r="I185" s="2" t="n">
        <f>HYPERLINK("https://ppubs.uspto.gov/pubwebapp/external.html?q=20220133157.pn.","USPTO")</f>
        <v>0.0</v>
      </c>
      <c r="J185" s="2" t="n">
        <f>HYPERLINK("https://image-ppubs.uspto.gov/dirsearch-public/print/downloadPdf/20220133157","USPTO PDF")</f>
        <v>0.0</v>
      </c>
      <c r="K185" s="2" t="n">
        <f>HYPERLINK("https://sectors.patentforecast.com/pmd/US20220133157","PMD")</f>
        <v>0.0</v>
      </c>
      <c r="L185" s="2" t="n">
        <f>HYPERLINK("https://globaldossier.uspto.gov/result/application/US/17575673/1","US20220133157")</f>
        <v>0.0</v>
      </c>
      <c r="M185" t="s">
        <v>1383</v>
      </c>
      <c r="N185" t="s">
        <v>1384</v>
      </c>
      <c r="O185" t="s">
        <v>1385</v>
      </c>
      <c r="P185" t="s">
        <v>1386</v>
      </c>
      <c r="Q185" s="3" t="n">
        <v>44575.0</v>
      </c>
      <c r="R185" s="3" t="n">
        <v>44686.0</v>
      </c>
      <c r="S185" s="3" t="n">
        <v>44687.2303425</v>
      </c>
      <c r="T185" s="3" t="n">
        <v>44698.57420663194</v>
      </c>
      <c r="U185" t="s">
        <v>1387</v>
      </c>
      <c r="V185" t="s">
        <v>1388</v>
      </c>
    </row>
    <row r="186">
      <c r="A186" t="s">
        <v>22</v>
      </c>
      <c r="B186" t="s">
        <v>1389</v>
      </c>
      <c r="C186" t="s">
        <v>24</v>
      </c>
      <c r="D186" t="s">
        <v>25</v>
      </c>
      <c r="E186" t="s">
        <v>1390</v>
      </c>
      <c r="F186" s="2" t="n">
        <f>HYPERLINK("https://patents.google.com/patent/US20220133153","Google")</f>
        <v>0.0</v>
      </c>
      <c r="G186" s="2" t="n">
        <f>HYPERLINK("https://patentcenter.uspto.gov/applications/17084695","Patent Center")</f>
        <v>0.0</v>
      </c>
      <c r="H186" s="2" t="n">
        <f>HYPERLINK("https://worldwide.espacenet.com/patent/search?q=US20220133153","Espacenet")</f>
        <v>0.0</v>
      </c>
      <c r="I186" s="2" t="n">
        <f>HYPERLINK("https://ppubs.uspto.gov/pubwebapp/external.html?q=20220133153.pn.","USPTO")</f>
        <v>0.0</v>
      </c>
      <c r="J186" s="2" t="n">
        <f>HYPERLINK("https://image-ppubs.uspto.gov/dirsearch-public/print/downloadPdf/20220133153","USPTO PDF")</f>
        <v>0.0</v>
      </c>
      <c r="K186" s="2" t="n">
        <f>HYPERLINK("https://sectors.patentforecast.com/pmd/US20220133153","PMD")</f>
        <v>0.0</v>
      </c>
      <c r="L186" s="2" t="n">
        <f>HYPERLINK("https://globaldossier.uspto.gov/result/application/US/17084695/1","US20220133153")</f>
        <v>0.0</v>
      </c>
      <c r="M186" t="s">
        <v>1391</v>
      </c>
      <c r="N186" t="s">
        <v>1392</v>
      </c>
      <c r="O186" t="s">
        <v>1393</v>
      </c>
      <c r="P186" t="s">
        <v>1394</v>
      </c>
      <c r="Q186" s="3" t="n">
        <v>44134.0</v>
      </c>
      <c r="R186" s="3" t="n">
        <v>44686.0</v>
      </c>
      <c r="S186" s="3" t="n">
        <v>44687.2303425</v>
      </c>
      <c r="T186" s="3" t="n">
        <v>44698.574272858794</v>
      </c>
      <c r="U186" t="s">
        <v>1395</v>
      </c>
      <c r="V186" t="s">
        <v>1396</v>
      </c>
    </row>
    <row r="187">
      <c r="A187" t="s">
        <v>22</v>
      </c>
      <c r="B187" t="s">
        <v>1397</v>
      </c>
      <c r="C187" t="s">
        <v>24</v>
      </c>
      <c r="D187" t="s">
        <v>100</v>
      </c>
      <c r="E187" t="s">
        <v>1398</v>
      </c>
      <c r="F187" s="2" t="n">
        <f>HYPERLINK("https://patents.google.com/patent/US20220133114","Google")</f>
        <v>0.0</v>
      </c>
      <c r="G187" s="2" t="n">
        <f>HYPERLINK("https://patentcenter.uspto.gov/applications/17516888","Patent Center")</f>
        <v>0.0</v>
      </c>
      <c r="H187" s="2" t="n">
        <f>HYPERLINK("https://worldwide.espacenet.com/patent/search?q=US20220133114","Espacenet")</f>
        <v>0.0</v>
      </c>
      <c r="I187" s="2" t="n">
        <f>HYPERLINK("https://ppubs.uspto.gov/pubwebapp/external.html?q=20220133114.pn.","USPTO")</f>
        <v>0.0</v>
      </c>
      <c r="J187" s="2" t="n">
        <f>HYPERLINK("https://image-ppubs.uspto.gov/dirsearch-public/print/downloadPdf/20220133114","USPTO PDF")</f>
        <v>0.0</v>
      </c>
      <c r="K187" s="2" t="n">
        <f>HYPERLINK("https://sectors.patentforecast.com/pmd/US20220133114","PMD")</f>
        <v>0.0</v>
      </c>
      <c r="L187" s="2" t="n">
        <f>HYPERLINK("https://globaldossier.uspto.gov/result/application/US/17516888/1","US20220133114")</f>
        <v>0.0</v>
      </c>
      <c r="M187" t="s">
        <v>1399</v>
      </c>
      <c r="N187" t="s">
        <v>1400</v>
      </c>
      <c r="O187" t="s">
        <v>1401</v>
      </c>
      <c r="P187" t="s">
        <v>1402</v>
      </c>
      <c r="Q187" s="3" t="n">
        <v>44502.0</v>
      </c>
      <c r="R187" s="3" t="n">
        <v>44686.0</v>
      </c>
      <c r="S187" s="3" t="n">
        <v>44687.2303425</v>
      </c>
      <c r="T187" s="3" t="n">
        <v>44698.50796209491</v>
      </c>
      <c r="U187" t="s">
        <v>31</v>
      </c>
      <c r="V187" t="s">
        <v>1403</v>
      </c>
    </row>
    <row r="188">
      <c r="A188" t="s">
        <v>22</v>
      </c>
      <c r="B188" t="s">
        <v>1404</v>
      </c>
      <c r="C188" t="s">
        <v>24</v>
      </c>
      <c r="D188" t="s">
        <v>69</v>
      </c>
      <c r="E188" t="s">
        <v>1405</v>
      </c>
      <c r="F188" s="2" t="n">
        <f>HYPERLINK("https://patents.google.com/patent/US20220132952","Google")</f>
        <v>0.0</v>
      </c>
      <c r="G188" s="2" t="n">
        <f>HYPERLINK("https://patentcenter.uspto.gov/applications/17574600","Patent Center")</f>
        <v>0.0</v>
      </c>
      <c r="H188" s="2" t="n">
        <f>HYPERLINK("https://worldwide.espacenet.com/patent/search?q=US20220132952","Espacenet")</f>
        <v>0.0</v>
      </c>
      <c r="I188" s="2" t="n">
        <f>HYPERLINK("https://ppubs.uspto.gov/pubwebapp/external.html?q=20220132952.pn.","USPTO")</f>
        <v>0.0</v>
      </c>
      <c r="J188" s="2" t="n">
        <f>HYPERLINK("https://image-ppubs.uspto.gov/dirsearch-public/print/downloadPdf/20220132952","USPTO PDF")</f>
        <v>0.0</v>
      </c>
      <c r="K188" s="2" t="n">
        <f>HYPERLINK("https://sectors.patentforecast.com/pmd/US20220132952","PMD")</f>
        <v>0.0</v>
      </c>
      <c r="L188" s="2" t="n">
        <f>HYPERLINK("https://globaldossier.uspto.gov/result/application/US/17574600/1","US20220132952")</f>
        <v>0.0</v>
      </c>
      <c r="M188" t="s">
        <v>1406</v>
      </c>
      <c r="N188" t="s">
        <v>1407</v>
      </c>
      <c r="O188" t="s">
        <v>1407</v>
      </c>
      <c r="P188" t="s">
        <v>1408</v>
      </c>
      <c r="Q188" s="3" t="n">
        <v>44574.0</v>
      </c>
      <c r="R188" s="3" t="n">
        <v>44686.0</v>
      </c>
      <c r="S188" s="3" t="n">
        <v>44687.2303425</v>
      </c>
      <c r="T188" s="3" t="n">
        <v>44698.50923329861</v>
      </c>
      <c r="U188" t="s">
        <v>1409</v>
      </c>
      <c r="V188" t="s">
        <v>1410</v>
      </c>
    </row>
    <row r="189">
      <c r="A189" t="s">
        <v>22</v>
      </c>
      <c r="B189" t="s">
        <v>1411</v>
      </c>
      <c r="C189" t="s">
        <v>24</v>
      </c>
      <c r="D189" t="s">
        <v>100</v>
      </c>
      <c r="E189" t="s">
        <v>1412</v>
      </c>
      <c r="F189" s="2" t="n">
        <f>HYPERLINK("https://patents.google.com/patent/US20220132859","Google")</f>
        <v>0.0</v>
      </c>
      <c r="G189" s="2" t="n">
        <f>HYPERLINK("https://patentcenter.uspto.gov/applications/17507141","Patent Center")</f>
        <v>0.0</v>
      </c>
      <c r="H189" s="2" t="n">
        <f>HYPERLINK("https://worldwide.espacenet.com/patent/search?q=US20220132859","Espacenet")</f>
        <v>0.0</v>
      </c>
      <c r="I189" s="2" t="n">
        <f>HYPERLINK("https://ppubs.uspto.gov/pubwebapp/external.html?q=20220132859.pn.","USPTO")</f>
        <v>0.0</v>
      </c>
      <c r="J189" s="2" t="n">
        <f>HYPERLINK("https://image-ppubs.uspto.gov/dirsearch-public/print/downloadPdf/20220132859","USPTO PDF")</f>
        <v>0.0</v>
      </c>
      <c r="K189" s="2" t="n">
        <f>HYPERLINK("https://sectors.patentforecast.com/pmd/US20220132859","PMD")</f>
        <v>0.0</v>
      </c>
      <c r="L189" s="2" t="n">
        <f>HYPERLINK("https://globaldossier.uspto.gov/result/application/US/17507141/1","US20220132859")</f>
        <v>0.0</v>
      </c>
      <c r="M189" t="s">
        <v>1413</v>
      </c>
      <c r="N189" t="s">
        <v>1414</v>
      </c>
      <c r="O189" t="s">
        <v>1415</v>
      </c>
      <c r="P189" t="s">
        <v>1416</v>
      </c>
      <c r="Q189" s="3" t="n">
        <v>44490.0</v>
      </c>
      <c r="R189" s="3" t="n">
        <v>44686.0</v>
      </c>
      <c r="S189" s="3" t="n">
        <v>44687.2303425</v>
      </c>
      <c r="T189" s="3" t="n">
        <v>44698.57446363426</v>
      </c>
      <c r="U189" t="s">
        <v>1417</v>
      </c>
      <c r="V189" t="s">
        <v>1418</v>
      </c>
    </row>
    <row r="190">
      <c r="A190" t="s">
        <v>22</v>
      </c>
      <c r="B190" t="s">
        <v>1419</v>
      </c>
      <c r="C190" t="s">
        <v>24</v>
      </c>
      <c r="D190" t="s">
        <v>100</v>
      </c>
      <c r="E190" t="s">
        <v>1420</v>
      </c>
      <c r="F190" s="2" t="n">
        <f>HYPERLINK("https://patents.google.com/patent/US20220132857","Google")</f>
        <v>0.0</v>
      </c>
      <c r="G190" s="2" t="n">
        <f>HYPERLINK("https://patentcenter.uspto.gov/applications/17518896","Patent Center")</f>
        <v>0.0</v>
      </c>
      <c r="H190" s="2" t="n">
        <f>HYPERLINK("https://worldwide.espacenet.com/patent/search?q=US20220132857","Espacenet")</f>
        <v>0.0</v>
      </c>
      <c r="I190" s="2" t="n">
        <f>HYPERLINK("https://ppubs.uspto.gov/pubwebapp/external.html?q=20220132857.pn.","USPTO")</f>
        <v>0.0</v>
      </c>
      <c r="J190" s="2" t="n">
        <f>HYPERLINK("https://image-ppubs.uspto.gov/dirsearch-public/print/downloadPdf/20220132857","USPTO PDF")</f>
        <v>0.0</v>
      </c>
      <c r="K190" s="2" t="n">
        <f>HYPERLINK("https://sectors.patentforecast.com/pmd/US20220132857","PMD")</f>
        <v>0.0</v>
      </c>
      <c r="L190" s="2" t="n">
        <f>HYPERLINK("https://globaldossier.uspto.gov/result/application/US/17518896/1","US20220132857")</f>
        <v>0.0</v>
      </c>
      <c r="M190" t="s">
        <v>1421</v>
      </c>
      <c r="N190" t="s">
        <v>1422</v>
      </c>
      <c r="O190" t="s">
        <v>1422</v>
      </c>
      <c r="P190" t="s">
        <v>1423</v>
      </c>
      <c r="Q190" s="3" t="n">
        <v>44504.0</v>
      </c>
      <c r="R190" s="3" t="n">
        <v>44686.0</v>
      </c>
      <c r="S190" s="3" t="n">
        <v>44687.2303425</v>
      </c>
      <c r="T190" s="3" t="n">
        <v>44698.57454270833</v>
      </c>
      <c r="U190" t="s">
        <v>1424</v>
      </c>
      <c r="V190" t="s">
        <v>1425</v>
      </c>
    </row>
    <row r="191">
      <c r="A191" t="s">
        <v>22</v>
      </c>
      <c r="B191" t="s">
        <v>1426</v>
      </c>
      <c r="C191" t="s">
        <v>24</v>
      </c>
      <c r="D191" t="s">
        <v>100</v>
      </c>
      <c r="E191" t="s">
        <v>1427</v>
      </c>
      <c r="F191" s="2" t="n">
        <f>HYPERLINK("https://patents.google.com/patent/US20220132840","Google")</f>
        <v>0.0</v>
      </c>
      <c r="G191" s="2" t="n">
        <f>HYPERLINK("https://patentcenter.uspto.gov/applications/17507957","Patent Center")</f>
        <v>0.0</v>
      </c>
      <c r="H191" s="2" t="n">
        <f>HYPERLINK("https://worldwide.espacenet.com/patent/search?q=US20220132840","Espacenet")</f>
        <v>0.0</v>
      </c>
      <c r="I191" s="2" t="n">
        <f>HYPERLINK("https://ppubs.uspto.gov/pubwebapp/external.html?q=20220132840.pn.","USPTO")</f>
        <v>0.0</v>
      </c>
      <c r="J191" s="2" t="n">
        <f>HYPERLINK("https://image-ppubs.uspto.gov/dirsearch-public/print/downloadPdf/20220132840","USPTO PDF")</f>
        <v>0.0</v>
      </c>
      <c r="K191" s="2" t="n">
        <f>HYPERLINK("https://sectors.patentforecast.com/pmd/US20220132840","PMD")</f>
        <v>0.0</v>
      </c>
      <c r="L191" s="2" t="n">
        <f>HYPERLINK("https://globaldossier.uspto.gov/result/application/US/17507957/1","US20220132840")</f>
        <v>0.0</v>
      </c>
      <c r="M191" t="s">
        <v>1428</v>
      </c>
      <c r="N191" t="s">
        <v>1429</v>
      </c>
      <c r="O191" t="s">
        <v>1430</v>
      </c>
      <c r="P191" t="s">
        <v>1431</v>
      </c>
      <c r="Q191" s="3" t="n">
        <v>44491.0</v>
      </c>
      <c r="R191" s="3" t="n">
        <v>44686.0</v>
      </c>
      <c r="S191" s="3" t="n">
        <v>44687.2303425</v>
      </c>
      <c r="T191" s="3" t="n">
        <v>44698.509653402776</v>
      </c>
      <c r="U191" t="s">
        <v>1432</v>
      </c>
      <c r="V191" t="s">
        <v>1433</v>
      </c>
    </row>
    <row r="192">
      <c r="A192" t="s">
        <v>22</v>
      </c>
      <c r="B192" t="s">
        <v>1434</v>
      </c>
      <c r="C192" t="s">
        <v>24</v>
      </c>
      <c r="D192" t="s">
        <v>25</v>
      </c>
      <c r="E192" t="s">
        <v>1435</v>
      </c>
      <c r="F192" s="2" t="n">
        <f>HYPERLINK("https://patents.google.com/patent/US20220132838","Google")</f>
        <v>0.0</v>
      </c>
      <c r="G192" s="2" t="n">
        <f>HYPERLINK("https://patentcenter.uspto.gov/applications/17507344","Patent Center")</f>
        <v>0.0</v>
      </c>
      <c r="H192" s="2" t="n">
        <f>HYPERLINK("https://worldwide.espacenet.com/patent/search?q=US20220132838","Espacenet")</f>
        <v>0.0</v>
      </c>
      <c r="I192" s="2" t="n">
        <f>HYPERLINK("https://ppubs.uspto.gov/pubwebapp/external.html?q=20220132838.pn.","USPTO")</f>
        <v>0.0</v>
      </c>
      <c r="J192" s="2" t="n">
        <f>HYPERLINK("https://image-ppubs.uspto.gov/dirsearch-public/print/downloadPdf/20220132838","USPTO PDF")</f>
        <v>0.0</v>
      </c>
      <c r="K192" s="2" t="n">
        <f>HYPERLINK("https://sectors.patentforecast.com/pmd/US20220132838","PMD")</f>
        <v>0.0</v>
      </c>
      <c r="L192" s="2" t="n">
        <f>HYPERLINK("https://globaldossier.uspto.gov/result/application/US/17507344/1","US20220132838")</f>
        <v>0.0</v>
      </c>
      <c r="M192" t="s">
        <v>1436</v>
      </c>
      <c r="N192" t="s">
        <v>1437</v>
      </c>
      <c r="O192" t="s">
        <v>1438</v>
      </c>
      <c r="P192" t="s">
        <v>1439</v>
      </c>
      <c r="Q192" s="3" t="n">
        <v>44490.0</v>
      </c>
      <c r="R192" s="3" t="n">
        <v>44686.0</v>
      </c>
      <c r="S192" s="3" t="n">
        <v>44687.2303425</v>
      </c>
      <c r="T192" s="3" t="n">
        <v>44698.50974800926</v>
      </c>
      <c r="U192" t="s">
        <v>31</v>
      </c>
      <c r="V192" t="s">
        <v>1440</v>
      </c>
    </row>
    <row r="193">
      <c r="A193" t="s">
        <v>22</v>
      </c>
      <c r="B193" t="s">
        <v>1441</v>
      </c>
      <c r="C193" t="s">
        <v>24</v>
      </c>
      <c r="D193" t="s">
        <v>69</v>
      </c>
      <c r="E193" t="s">
        <v>1442</v>
      </c>
      <c r="F193" s="2" t="n">
        <f>HYPERLINK("https://patents.google.com/patent/US20220132604","Google")</f>
        <v>0.0</v>
      </c>
      <c r="G193" s="2" t="n">
        <f>HYPERLINK("https://patentcenter.uspto.gov/applications/17449522","Patent Center")</f>
        <v>0.0</v>
      </c>
      <c r="H193" s="2" t="n">
        <f>HYPERLINK("https://worldwide.espacenet.com/patent/search?q=US20220132604","Espacenet")</f>
        <v>0.0</v>
      </c>
      <c r="I193" s="2" t="n">
        <f>HYPERLINK("https://ppubs.uspto.gov/pubwebapp/external.html?q=20220132604.pn.","USPTO")</f>
        <v>0.0</v>
      </c>
      <c r="J193" s="2" t="n">
        <f>HYPERLINK("https://image-ppubs.uspto.gov/dirsearch-public/print/downloadPdf/20220132604","USPTO PDF")</f>
        <v>0.0</v>
      </c>
      <c r="K193" s="2" t="n">
        <f>HYPERLINK("https://sectors.patentforecast.com/pmd/US20220132604","PMD")</f>
        <v>0.0</v>
      </c>
      <c r="L193" s="2" t="n">
        <f>HYPERLINK("https://globaldossier.uspto.gov/result/application/US/17449522/1","US20220132604")</f>
        <v>0.0</v>
      </c>
      <c r="M193" t="s">
        <v>1443</v>
      </c>
      <c r="N193" t="s">
        <v>1444</v>
      </c>
      <c r="O193" t="s">
        <v>1445</v>
      </c>
      <c r="P193" t="s">
        <v>1446</v>
      </c>
      <c r="Q193" s="3" t="n">
        <v>44469.0</v>
      </c>
      <c r="R193" s="3" t="n">
        <v>44679.0</v>
      </c>
      <c r="S193" s="3" t="n">
        <v>44680.22945148148</v>
      </c>
      <c r="T193" s="3" t="n">
        <v>44698.57564403935</v>
      </c>
      <c r="U193" t="s">
        <v>1447</v>
      </c>
      <c r="V193" t="s">
        <v>1448</v>
      </c>
    </row>
    <row r="194">
      <c r="A194" t="s">
        <v>22</v>
      </c>
      <c r="B194" t="s">
        <v>1449</v>
      </c>
      <c r="C194" t="s">
        <v>24</v>
      </c>
      <c r="D194" t="s">
        <v>1450</v>
      </c>
      <c r="E194" t="s">
        <v>1451</v>
      </c>
      <c r="F194" s="2" t="n">
        <f>HYPERLINK("https://patents.google.com/patent/US20220132290","Google")</f>
        <v>0.0</v>
      </c>
      <c r="G194" s="2" t="n">
        <f>HYPERLINK("https://patentcenter.uspto.gov/applications/17512952","Patent Center")</f>
        <v>0.0</v>
      </c>
      <c r="H194" s="2" t="n">
        <f>HYPERLINK("https://worldwide.espacenet.com/patent/search?q=US20220132290","Espacenet")</f>
        <v>0.0</v>
      </c>
      <c r="I194" s="2" t="n">
        <f>HYPERLINK("https://ppubs.uspto.gov/pubwebapp/external.html?q=20220132290.pn.","USPTO")</f>
        <v>0.0</v>
      </c>
      <c r="J194" s="2" t="n">
        <f>HYPERLINK("https://image-ppubs.uspto.gov/dirsearch-public/print/downloadPdf/20220132290","USPTO PDF")</f>
        <v>0.0</v>
      </c>
      <c r="K194" s="2" t="n">
        <f>HYPERLINK("https://sectors.patentforecast.com/pmd/US20220132290","PMD")</f>
        <v>0.0</v>
      </c>
      <c r="L194" s="2" t="n">
        <f>HYPERLINK("https://globaldossier.uspto.gov/result/application/US/17512952/1","US20220132290")</f>
        <v>0.0</v>
      </c>
      <c r="M194" t="s">
        <v>1452</v>
      </c>
      <c r="N194" t="s">
        <v>1453</v>
      </c>
      <c r="O194" t="s">
        <v>1454</v>
      </c>
      <c r="P194" t="s">
        <v>1455</v>
      </c>
      <c r="Q194" s="3" t="n">
        <v>44497.0</v>
      </c>
      <c r="R194" s="3" t="n">
        <v>44679.0</v>
      </c>
      <c r="S194" s="3" t="n">
        <v>44680.230491724535</v>
      </c>
      <c r="T194" s="3" t="n">
        <v>44698.57601394676</v>
      </c>
      <c r="U194" t="s">
        <v>1456</v>
      </c>
      <c r="V194" t="s">
        <v>1457</v>
      </c>
    </row>
    <row r="195">
      <c r="A195" t="s">
        <v>22</v>
      </c>
      <c r="B195" t="s">
        <v>1458</v>
      </c>
      <c r="C195" t="s">
        <v>24</v>
      </c>
      <c r="D195" t="s">
        <v>25</v>
      </c>
      <c r="E195" t="s">
        <v>1459</v>
      </c>
      <c r="F195" s="2" t="n">
        <f>HYPERLINK("https://patents.google.com/patent/US20220132052","Google")</f>
        <v>0.0</v>
      </c>
      <c r="G195" s="2" t="n">
        <f>HYPERLINK("https://patentcenter.uspto.gov/applications/17509621","Patent Center")</f>
        <v>0.0</v>
      </c>
      <c r="H195" s="2" t="n">
        <f>HYPERLINK("https://worldwide.espacenet.com/patent/search?q=US20220132052","Espacenet")</f>
        <v>0.0</v>
      </c>
      <c r="I195" s="2" t="n">
        <f>HYPERLINK("https://ppubs.uspto.gov/pubwebapp/external.html?q=20220132052.pn.","USPTO")</f>
        <v>0.0</v>
      </c>
      <c r="J195" s="2" t="n">
        <f>HYPERLINK("https://image-ppubs.uspto.gov/dirsearch-public/print/downloadPdf/20220132052","USPTO PDF")</f>
        <v>0.0</v>
      </c>
      <c r="K195" s="2" t="n">
        <f>HYPERLINK("https://sectors.patentforecast.com/pmd/US20220132052","PMD")</f>
        <v>0.0</v>
      </c>
      <c r="L195" s="2" t="n">
        <f>HYPERLINK("https://globaldossier.uspto.gov/result/application/US/17509621/1","US20220132052")</f>
        <v>0.0</v>
      </c>
      <c r="M195" t="s">
        <v>1460</v>
      </c>
      <c r="N195" t="s">
        <v>1461</v>
      </c>
      <c r="O195" t="s">
        <v>1461</v>
      </c>
      <c r="P195" t="s">
        <v>1462</v>
      </c>
      <c r="Q195" s="3" t="n">
        <v>44494.0</v>
      </c>
      <c r="R195" s="3" t="n">
        <v>44679.0</v>
      </c>
      <c r="S195" s="3" t="n">
        <v>44680.230491724535</v>
      </c>
      <c r="T195" s="3" t="n">
        <v>44698.57612945602</v>
      </c>
      <c r="U195" t="s">
        <v>31</v>
      </c>
      <c r="V195" t="s">
        <v>1463</v>
      </c>
    </row>
    <row r="196">
      <c r="A196" t="s">
        <v>22</v>
      </c>
      <c r="B196" t="s">
        <v>1464</v>
      </c>
      <c r="C196" t="s">
        <v>24</v>
      </c>
      <c r="D196" t="s">
        <v>25</v>
      </c>
      <c r="E196" t="s">
        <v>1465</v>
      </c>
      <c r="F196" s="2" t="n">
        <f>HYPERLINK("https://patents.google.com/patent/US20220130556","Google")</f>
        <v>0.0</v>
      </c>
      <c r="G196" s="2" t="n">
        <f>HYPERLINK("https://patentcenter.uspto.gov/applications/17511873","Patent Center")</f>
        <v>0.0</v>
      </c>
      <c r="H196" s="2" t="n">
        <f>HYPERLINK("https://worldwide.espacenet.com/patent/search?q=US20220130556","Espacenet")</f>
        <v>0.0</v>
      </c>
      <c r="I196" s="2" t="n">
        <f>HYPERLINK("https://ppubs.uspto.gov/pubwebapp/external.html?q=20220130556.pn.","USPTO")</f>
        <v>0.0</v>
      </c>
      <c r="J196" s="2" t="n">
        <f>HYPERLINK("https://image-ppubs.uspto.gov/dirsearch-public/print/downloadPdf/20220130556","USPTO PDF")</f>
        <v>0.0</v>
      </c>
      <c r="K196" s="2" t="n">
        <f>HYPERLINK("https://sectors.patentforecast.com/pmd/US20220130556","PMD")</f>
        <v>0.0</v>
      </c>
      <c r="L196" s="2" t="n">
        <f>HYPERLINK("https://globaldossier.uspto.gov/result/application/US/17511873/1","US20220130556")</f>
        <v>0.0</v>
      </c>
      <c r="M196" t="s">
        <v>1466</v>
      </c>
      <c r="N196" t="s">
        <v>1467</v>
      </c>
      <c r="O196" t="s">
        <v>1468</v>
      </c>
      <c r="P196" t="s">
        <v>1469</v>
      </c>
      <c r="Q196" s="3" t="n">
        <v>44496.0</v>
      </c>
      <c r="R196" s="3" t="n">
        <v>44679.0</v>
      </c>
      <c r="S196" s="3" t="n">
        <v>44680.23133181713</v>
      </c>
      <c r="T196" s="3" t="n">
        <v>44698.57698604167</v>
      </c>
      <c r="U196" t="s">
        <v>31</v>
      </c>
      <c r="V196" t="s">
        <v>1470</v>
      </c>
    </row>
    <row r="197">
      <c r="A197" t="s">
        <v>22</v>
      </c>
      <c r="B197" t="s">
        <v>1471</v>
      </c>
      <c r="C197" t="s">
        <v>24</v>
      </c>
      <c r="D197" t="s">
        <v>25</v>
      </c>
      <c r="E197" t="s">
        <v>1472</v>
      </c>
      <c r="F197" s="2" t="n">
        <f>HYPERLINK("https://patents.google.com/patent/US20220130555","Google")</f>
        <v>0.0</v>
      </c>
      <c r="G197" s="2" t="n">
        <f>HYPERLINK("https://patentcenter.uspto.gov/applications/17568083","Patent Center")</f>
        <v>0.0</v>
      </c>
      <c r="H197" s="2" t="n">
        <f>HYPERLINK("https://worldwide.espacenet.com/patent/search?q=US20220130555","Espacenet")</f>
        <v>0.0</v>
      </c>
      <c r="I197" s="2" t="n">
        <f>HYPERLINK("https://ppubs.uspto.gov/pubwebapp/external.html?q=20220130555.pn.","USPTO")</f>
        <v>0.0</v>
      </c>
      <c r="J197" s="2" t="n">
        <f>HYPERLINK("https://image-ppubs.uspto.gov/dirsearch-public/print/downloadPdf/20220130555","USPTO PDF")</f>
        <v>0.0</v>
      </c>
      <c r="K197" s="2" t="n">
        <f>HYPERLINK("https://sectors.patentforecast.com/pmd/US20220130555","PMD")</f>
        <v>0.0</v>
      </c>
      <c r="L197" s="2" t="n">
        <f>HYPERLINK("https://globaldossier.uspto.gov/result/application/US/17568083/1","US20220130555")</f>
        <v>0.0</v>
      </c>
      <c r="M197" t="s">
        <v>1473</v>
      </c>
      <c r="N197" t="s">
        <v>1474</v>
      </c>
      <c r="O197" t="s">
        <v>1474</v>
      </c>
      <c r="P197" t="s">
        <v>1475</v>
      </c>
      <c r="Q197" s="3" t="n">
        <v>44565.0</v>
      </c>
      <c r="R197" s="3" t="n">
        <v>44679.0</v>
      </c>
      <c r="S197" s="3" t="n">
        <v>44680.230491724535</v>
      </c>
      <c r="T197" s="3" t="n">
        <v>44698.57784423611</v>
      </c>
      <c r="U197" t="s">
        <v>31</v>
      </c>
      <c r="V197" t="s">
        <v>1476</v>
      </c>
    </row>
    <row r="198">
      <c r="A198" t="s">
        <v>22</v>
      </c>
      <c r="B198" t="s">
        <v>1477</v>
      </c>
      <c r="C198" t="s">
        <v>60</v>
      </c>
      <c r="D198" t="s">
        <v>845</v>
      </c>
      <c r="E198" t="s">
        <v>1478</v>
      </c>
      <c r="F198" s="2" t="n">
        <f>HYPERLINK("https://patents.google.com/patent/US20220130532","Google")</f>
        <v>0.0</v>
      </c>
      <c r="G198" s="2" t="n">
        <f>HYPERLINK("https://patentcenter.uspto.gov/applications/17510729","Patent Center")</f>
        <v>0.0</v>
      </c>
      <c r="H198" s="2" t="n">
        <f>HYPERLINK("https://worldwide.espacenet.com/patent/search?q=US20220130532","Espacenet")</f>
        <v>0.0</v>
      </c>
      <c r="I198" s="2" t="n">
        <f>HYPERLINK("https://ppubs.uspto.gov/pubwebapp/external.html?q=20220130532.pn.","USPTO")</f>
        <v>0.0</v>
      </c>
      <c r="J198" s="2" t="n">
        <f>HYPERLINK("https://image-ppubs.uspto.gov/dirsearch-public/print/downloadPdf/20220130532","USPTO PDF")</f>
        <v>0.0</v>
      </c>
      <c r="K198" s="2" t="n">
        <f>HYPERLINK("https://sectors.patentforecast.com/pmd/US20220130532","PMD")</f>
        <v>0.0</v>
      </c>
      <c r="L198" s="2" t="n">
        <f>HYPERLINK("https://globaldossier.uspto.gov/result/application/US/17510729/1","US20220130532")</f>
        <v>0.0</v>
      </c>
      <c r="M198" t="s">
        <v>1479</v>
      </c>
      <c r="N198" t="s">
        <v>1480</v>
      </c>
      <c r="O198" t="s">
        <v>1480</v>
      </c>
      <c r="P198" t="s">
        <v>1481</v>
      </c>
      <c r="Q198" s="3" t="n">
        <v>44495.0</v>
      </c>
      <c r="R198" s="3" t="n">
        <v>44679.0</v>
      </c>
      <c r="S198" s="3" t="n">
        <v>44680.230491724535</v>
      </c>
      <c r="T198" s="3" t="n">
        <v>44698.57835607639</v>
      </c>
      <c r="U198" t="s">
        <v>31</v>
      </c>
      <c r="V198" t="s">
        <v>1482</v>
      </c>
    </row>
    <row r="199">
      <c r="A199" t="s">
        <v>22</v>
      </c>
      <c r="B199" t="s">
        <v>1483</v>
      </c>
      <c r="C199" t="s">
        <v>24</v>
      </c>
      <c r="D199" t="s">
        <v>69</v>
      </c>
      <c r="E199" t="s">
        <v>1484</v>
      </c>
      <c r="F199" s="2" t="n">
        <f>HYPERLINK("https://patents.google.com/patent/US20220130531","Google")</f>
        <v>0.0</v>
      </c>
      <c r="G199" s="2" t="n">
        <f>HYPERLINK("https://patentcenter.uspto.gov/applications/17539899","Patent Center")</f>
        <v>0.0</v>
      </c>
      <c r="H199" s="2" t="n">
        <f>HYPERLINK("https://worldwide.espacenet.com/patent/search?q=US20220130531","Espacenet")</f>
        <v>0.0</v>
      </c>
      <c r="I199" s="2" t="n">
        <f>HYPERLINK("https://ppubs.uspto.gov/pubwebapp/external.html?q=20220130531.pn.","USPTO")</f>
        <v>0.0</v>
      </c>
      <c r="J199" s="2" t="n">
        <f>HYPERLINK("https://image-ppubs.uspto.gov/dirsearch-public/print/downloadPdf/20220130531","USPTO PDF")</f>
        <v>0.0</v>
      </c>
      <c r="K199" s="2" t="n">
        <f>HYPERLINK("https://sectors.patentforecast.com/pmd/US20220130531","PMD")</f>
        <v>0.0</v>
      </c>
      <c r="L199" s="2" t="n">
        <f>HYPERLINK("https://globaldossier.uspto.gov/result/application/US/17539899/1","US20220130531")</f>
        <v>0.0</v>
      </c>
      <c r="M199" t="s">
        <v>1485</v>
      </c>
      <c r="N199" t="s">
        <v>1486</v>
      </c>
      <c r="O199" t="s">
        <v>1487</v>
      </c>
      <c r="P199" t="s">
        <v>1488</v>
      </c>
      <c r="Q199" s="3" t="n">
        <v>44531.0</v>
      </c>
      <c r="R199" s="3" t="n">
        <v>44679.0</v>
      </c>
      <c r="S199" s="3" t="n">
        <v>44680.235266840275</v>
      </c>
      <c r="T199" s="3" t="n">
        <v>44698.5786887037</v>
      </c>
      <c r="U199" t="s">
        <v>1489</v>
      </c>
      <c r="V199" t="s">
        <v>1490</v>
      </c>
    </row>
    <row r="200">
      <c r="A200" t="s">
        <v>22</v>
      </c>
      <c r="B200" t="s">
        <v>1491</v>
      </c>
      <c r="C200" t="s">
        <v>1492</v>
      </c>
      <c r="D200" t="s">
        <v>1493</v>
      </c>
      <c r="E200" t="s">
        <v>1494</v>
      </c>
      <c r="F200" s="2" t="n">
        <f>HYPERLINK("https://patents.google.com/patent/US20220130529","Google")</f>
        <v>0.0</v>
      </c>
      <c r="G200" s="2" t="n">
        <f>HYPERLINK("https://patentcenter.uspto.gov/applications/17510986","Patent Center")</f>
        <v>0.0</v>
      </c>
      <c r="H200" s="2" t="n">
        <f>HYPERLINK("https://worldwide.espacenet.com/patent/search?q=US20220130529","Espacenet")</f>
        <v>0.0</v>
      </c>
      <c r="I200" s="2" t="n">
        <f>HYPERLINK("https://ppubs.uspto.gov/pubwebapp/external.html?q=20220130529.pn.","USPTO")</f>
        <v>0.0</v>
      </c>
      <c r="J200" s="2" t="n">
        <f>HYPERLINK("https://image-ppubs.uspto.gov/dirsearch-public/print/downloadPdf/20220130529","USPTO PDF")</f>
        <v>0.0</v>
      </c>
      <c r="K200" s="2" t="n">
        <f>HYPERLINK("https://sectors.patentforecast.com/pmd/US20220130529","PMD")</f>
        <v>0.0</v>
      </c>
      <c r="L200" s="2" t="n">
        <f>HYPERLINK("https://globaldossier.uspto.gov/result/application/US/17510986/1","US20220130529")</f>
        <v>0.0</v>
      </c>
      <c r="M200" t="s">
        <v>1495</v>
      </c>
      <c r="N200" t="s">
        <v>1496</v>
      </c>
      <c r="O200" t="s">
        <v>1497</v>
      </c>
      <c r="P200" t="s">
        <v>1498</v>
      </c>
      <c r="Q200" s="3" t="n">
        <v>44495.0</v>
      </c>
      <c r="R200" s="3" t="n">
        <v>44679.0</v>
      </c>
      <c r="S200" s="3" t="n">
        <v>44680.230491724535</v>
      </c>
      <c r="T200" s="3" t="n">
        <v>44698.57926063657</v>
      </c>
      <c r="U200" t="s">
        <v>31</v>
      </c>
      <c r="V200" t="s">
        <v>1499</v>
      </c>
    </row>
    <row r="201">
      <c r="A201" t="s">
        <v>22</v>
      </c>
      <c r="B201" t="s">
        <v>1500</v>
      </c>
      <c r="C201" t="s">
        <v>24</v>
      </c>
      <c r="D201" t="s">
        <v>25</v>
      </c>
      <c r="E201" t="s">
        <v>1501</v>
      </c>
      <c r="F201" s="2" t="n">
        <f>HYPERLINK("https://patents.google.com/patent/US20220130518","Google")</f>
        <v>0.0</v>
      </c>
      <c r="G201" s="2" t="n">
        <f>HYPERLINK("https://patentcenter.uspto.gov/applications/17516477","Patent Center")</f>
        <v>0.0</v>
      </c>
      <c r="H201" s="2" t="n">
        <f>HYPERLINK("https://worldwide.espacenet.com/patent/search?q=US20220130518","Espacenet")</f>
        <v>0.0</v>
      </c>
      <c r="I201" s="2" t="n">
        <f>HYPERLINK("https://ppubs.uspto.gov/pubwebapp/external.html?q=20220130518.pn.","USPTO")</f>
        <v>0.0</v>
      </c>
      <c r="J201" s="2" t="n">
        <f>HYPERLINK("https://image-ppubs.uspto.gov/dirsearch-public/print/downloadPdf/20220130518","USPTO PDF")</f>
        <v>0.0</v>
      </c>
      <c r="K201" s="2" t="n">
        <f>HYPERLINK("https://sectors.patentforecast.com/pmd/US20220130518","PMD")</f>
        <v>0.0</v>
      </c>
      <c r="L201" s="2" t="n">
        <f>HYPERLINK("https://globaldossier.uspto.gov/result/application/US/17516477/1","US20220130518")</f>
        <v>0.0</v>
      </c>
      <c r="M201" t="s">
        <v>1502</v>
      </c>
      <c r="N201" t="s">
        <v>1503</v>
      </c>
      <c r="O201" t="s">
        <v>1504</v>
      </c>
      <c r="P201" t="s">
        <v>1505</v>
      </c>
      <c r="Q201" s="3" t="n">
        <v>44501.0</v>
      </c>
      <c r="R201" s="3" t="n">
        <v>44679.0</v>
      </c>
      <c r="S201" s="3" t="n">
        <v>44680.235266840275</v>
      </c>
      <c r="T201" s="3" t="n">
        <v>44698.57938083333</v>
      </c>
      <c r="U201" t="s">
        <v>31</v>
      </c>
      <c r="V201" t="s">
        <v>1506</v>
      </c>
    </row>
    <row r="202">
      <c r="A202" t="s">
        <v>22</v>
      </c>
      <c r="B202" t="s">
        <v>1507</v>
      </c>
      <c r="C202" t="s">
        <v>24</v>
      </c>
      <c r="D202" t="s">
        <v>25</v>
      </c>
      <c r="E202" t="s">
        <v>1508</v>
      </c>
      <c r="F202" s="2" t="n">
        <f>HYPERLINK("https://patents.google.com/patent/US20220130501","Google")</f>
        <v>0.0</v>
      </c>
      <c r="G202" s="2" t="n">
        <f>HYPERLINK("https://patentcenter.uspto.gov/applications/17573259","Patent Center")</f>
        <v>0.0</v>
      </c>
      <c r="H202" s="2" t="n">
        <f>HYPERLINK("https://worldwide.espacenet.com/patent/search?q=US20220130501","Espacenet")</f>
        <v>0.0</v>
      </c>
      <c r="I202" s="2" t="n">
        <f>HYPERLINK("https://ppubs.uspto.gov/pubwebapp/external.html?q=20220130501.pn.","USPTO")</f>
        <v>0.0</v>
      </c>
      <c r="J202" s="2" t="n">
        <f>HYPERLINK("https://image-ppubs.uspto.gov/dirsearch-public/print/downloadPdf/20220130501","USPTO PDF")</f>
        <v>0.0</v>
      </c>
      <c r="K202" s="2" t="n">
        <f>HYPERLINK("https://sectors.patentforecast.com/pmd/US20220130501","PMD")</f>
        <v>0.0</v>
      </c>
      <c r="L202" s="2" t="n">
        <f>HYPERLINK("https://globaldossier.uspto.gov/result/application/US/17573259/1","US20220130501")</f>
        <v>0.0</v>
      </c>
      <c r="M202" t="s">
        <v>1509</v>
      </c>
      <c r="N202" t="s">
        <v>872</v>
      </c>
      <c r="O202" t="s">
        <v>873</v>
      </c>
      <c r="P202" t="s">
        <v>1510</v>
      </c>
      <c r="Q202" s="3" t="n">
        <v>44572.0</v>
      </c>
      <c r="R202" s="3" t="n">
        <v>44679.0</v>
      </c>
      <c r="S202" s="3" t="n">
        <v>44680.230491724535</v>
      </c>
      <c r="T202" s="3" t="n">
        <v>44698.58004552083</v>
      </c>
      <c r="U202" t="s">
        <v>1511</v>
      </c>
      <c r="V202" t="s">
        <v>876</v>
      </c>
    </row>
    <row r="203">
      <c r="A203" t="s">
        <v>22</v>
      </c>
      <c r="B203" t="s">
        <v>1512</v>
      </c>
      <c r="C203" t="s">
        <v>24</v>
      </c>
      <c r="D203" t="s">
        <v>25</v>
      </c>
      <c r="E203" t="s">
        <v>1513</v>
      </c>
      <c r="F203" s="2" t="n">
        <f>HYPERLINK("https://patents.google.com/patent/US20220130035","Google")</f>
        <v>0.0</v>
      </c>
      <c r="G203" s="2" t="n">
        <f>HYPERLINK("https://patentcenter.uspto.gov/applications/17080506","Patent Center")</f>
        <v>0.0</v>
      </c>
      <c r="H203" s="2" t="n">
        <f>HYPERLINK("https://worldwide.espacenet.com/patent/search?q=US20220130035","Espacenet")</f>
        <v>0.0</v>
      </c>
      <c r="I203" s="2" t="n">
        <f>HYPERLINK("https://ppubs.uspto.gov/pubwebapp/external.html?q=20220130035.pn.","USPTO")</f>
        <v>0.0</v>
      </c>
      <c r="J203" s="2" t="n">
        <f>HYPERLINK("https://image-ppubs.uspto.gov/dirsearch-public/print/downloadPdf/20220130035","USPTO PDF")</f>
        <v>0.0</v>
      </c>
      <c r="K203" s="2" t="n">
        <f>HYPERLINK("https://sectors.patentforecast.com/pmd/US20220130035","PMD")</f>
        <v>0.0</v>
      </c>
      <c r="L203" s="2" t="n">
        <f>HYPERLINK("https://globaldossier.uspto.gov/result/application/US/17080506/1","US20220130035")</f>
        <v>0.0</v>
      </c>
      <c r="M203" t="s">
        <v>1514</v>
      </c>
      <c r="N203" t="s">
        <v>1196</v>
      </c>
      <c r="O203" t="s">
        <v>1196</v>
      </c>
      <c r="P203" t="s">
        <v>1515</v>
      </c>
      <c r="Q203" s="3" t="n">
        <v>44130.0</v>
      </c>
      <c r="R203" s="3" t="n">
        <v>44679.0</v>
      </c>
      <c r="S203" s="3" t="n">
        <v>44680.230491724535</v>
      </c>
      <c r="T203" s="3" t="n">
        <v>44698.58119297454</v>
      </c>
      <c r="U203" t="s">
        <v>31</v>
      </c>
      <c r="V203" t="s">
        <v>1516</v>
      </c>
    </row>
    <row r="204">
      <c r="A204" t="s">
        <v>22</v>
      </c>
      <c r="B204" t="s">
        <v>1517</v>
      </c>
      <c r="C204" t="s">
        <v>24</v>
      </c>
      <c r="D204" t="s">
        <v>43</v>
      </c>
      <c r="E204" t="s">
        <v>1518</v>
      </c>
      <c r="F204" s="2" t="n">
        <f>HYPERLINK("https://patents.google.com/patent/US20220129999","Google")</f>
        <v>0.0</v>
      </c>
      <c r="G204" s="2" t="n">
        <f>HYPERLINK("https://patentcenter.uspto.gov/applications/17515844","Patent Center")</f>
        <v>0.0</v>
      </c>
      <c r="H204" s="2" t="n">
        <f>HYPERLINK("https://worldwide.espacenet.com/patent/search?q=US20220129999","Espacenet")</f>
        <v>0.0</v>
      </c>
      <c r="I204" s="2" t="n">
        <f>HYPERLINK("https://ppubs.uspto.gov/pubwebapp/external.html?q=20220129999.pn.","USPTO")</f>
        <v>0.0</v>
      </c>
      <c r="J204" s="2" t="n">
        <f>HYPERLINK("https://image-ppubs.uspto.gov/dirsearch-public/print/downloadPdf/20220129999","USPTO PDF")</f>
        <v>0.0</v>
      </c>
      <c r="K204" s="2" t="n">
        <f>HYPERLINK("https://sectors.patentforecast.com/pmd/US20220129999","PMD")</f>
        <v>0.0</v>
      </c>
      <c r="L204" s="2" t="n">
        <f>HYPERLINK("https://globaldossier.uspto.gov/result/application/US/17515844/1","US20220129999")</f>
        <v>0.0</v>
      </c>
      <c r="M204" t="s">
        <v>1519</v>
      </c>
      <c r="N204" t="s">
        <v>1520</v>
      </c>
      <c r="O204" t="s">
        <v>1521</v>
      </c>
      <c r="P204" t="s">
        <v>1522</v>
      </c>
      <c r="Q204" s="3" t="n">
        <v>44501.0</v>
      </c>
      <c r="R204" s="3" t="n">
        <v>44679.0</v>
      </c>
      <c r="S204" s="3" t="n">
        <v>44680.23133181713</v>
      </c>
      <c r="T204" s="3" t="n">
        <v>44698.58139393519</v>
      </c>
      <c r="U204" t="s">
        <v>1523</v>
      </c>
      <c r="V204" t="s">
        <v>1524</v>
      </c>
    </row>
    <row r="205">
      <c r="A205" t="s">
        <v>22</v>
      </c>
      <c r="B205" t="s">
        <v>1525</v>
      </c>
      <c r="C205" t="s">
        <v>24</v>
      </c>
      <c r="D205" t="s">
        <v>204</v>
      </c>
      <c r="E205" t="s">
        <v>1526</v>
      </c>
      <c r="F205" s="2" t="n">
        <f>HYPERLINK("https://patents.google.com/patent/US20220129954","Google")</f>
        <v>0.0</v>
      </c>
      <c r="G205" s="2" t="n">
        <f>HYPERLINK("https://patentcenter.uspto.gov/applications/17080936","Patent Center")</f>
        <v>0.0</v>
      </c>
      <c r="H205" s="2" t="n">
        <f>HYPERLINK("https://worldwide.espacenet.com/patent/search?q=US20220129954","Espacenet")</f>
        <v>0.0</v>
      </c>
      <c r="I205" s="2" t="n">
        <f>HYPERLINK("https://ppubs.uspto.gov/pubwebapp/external.html?q=20220129954.pn.","USPTO")</f>
        <v>0.0</v>
      </c>
      <c r="J205" s="2" t="n">
        <f>HYPERLINK("https://image-ppubs.uspto.gov/dirsearch-public/print/downloadPdf/20220129954","USPTO PDF")</f>
        <v>0.0</v>
      </c>
      <c r="K205" s="2" t="n">
        <f>HYPERLINK("https://sectors.patentforecast.com/pmd/US20220129954","PMD")</f>
        <v>0.0</v>
      </c>
      <c r="L205" s="2" t="n">
        <f>HYPERLINK("https://globaldossier.uspto.gov/result/application/US/17080936/1","US20220129954")</f>
        <v>0.0</v>
      </c>
      <c r="M205" t="s">
        <v>1527</v>
      </c>
      <c r="N205" t="s">
        <v>207</v>
      </c>
      <c r="O205" t="s">
        <v>208</v>
      </c>
      <c r="P205" t="s">
        <v>1528</v>
      </c>
      <c r="Q205" s="3" t="n">
        <v>44131.0</v>
      </c>
      <c r="R205" s="3" t="n">
        <v>44679.0</v>
      </c>
      <c r="S205" s="3" t="n">
        <v>44680.22945148148</v>
      </c>
      <c r="T205" s="3" t="n">
        <v>44698.581606238426</v>
      </c>
      <c r="U205" t="s">
        <v>1529</v>
      </c>
      <c r="V205" t="s">
        <v>1530</v>
      </c>
    </row>
    <row r="206">
      <c r="A206" t="s">
        <v>22</v>
      </c>
      <c r="B206" t="s">
        <v>1531</v>
      </c>
      <c r="C206" t="s">
        <v>24</v>
      </c>
      <c r="D206" t="s">
        <v>258</v>
      </c>
      <c r="E206" t="s">
        <v>1532</v>
      </c>
      <c r="F206" s="2" t="n">
        <f>HYPERLINK("https://patents.google.com/patent/US20220129895","Google")</f>
        <v>0.0</v>
      </c>
      <c r="G206" s="2" t="n">
        <f>HYPERLINK("https://patentcenter.uspto.gov/applications/17512567","Patent Center")</f>
        <v>0.0</v>
      </c>
      <c r="H206" s="2" t="n">
        <f>HYPERLINK("https://worldwide.espacenet.com/patent/search?q=US20220129895","Espacenet")</f>
        <v>0.0</v>
      </c>
      <c r="I206" s="2" t="n">
        <f>HYPERLINK("https://ppubs.uspto.gov/pubwebapp/external.html?q=20220129895.pn.","USPTO")</f>
        <v>0.0</v>
      </c>
      <c r="J206" s="2" t="n">
        <f>HYPERLINK("https://image-ppubs.uspto.gov/dirsearch-public/print/downloadPdf/20220129895","USPTO PDF")</f>
        <v>0.0</v>
      </c>
      <c r="K206" s="2" t="n">
        <f>HYPERLINK("https://sectors.patentforecast.com/pmd/US20220129895","PMD")</f>
        <v>0.0</v>
      </c>
      <c r="L206" s="2" t="n">
        <f>HYPERLINK("https://globaldossier.uspto.gov/result/application/US/17512567/1","US20220129895")</f>
        <v>0.0</v>
      </c>
      <c r="M206" t="s">
        <v>1533</v>
      </c>
      <c r="N206" t="s">
        <v>1534</v>
      </c>
      <c r="O206" t="s">
        <v>1535</v>
      </c>
      <c r="P206" t="s">
        <v>1536</v>
      </c>
      <c r="Q206" s="3" t="n">
        <v>44496.0</v>
      </c>
      <c r="R206" s="3" t="n">
        <v>44679.0</v>
      </c>
      <c r="S206" s="3" t="n">
        <v>44680.230491724535</v>
      </c>
      <c r="T206" s="3" t="n">
        <v>44698.58173100695</v>
      </c>
      <c r="U206" t="s">
        <v>1537</v>
      </c>
      <c r="V206" t="s">
        <v>1538</v>
      </c>
    </row>
    <row r="207">
      <c r="A207" t="s">
        <v>22</v>
      </c>
      <c r="B207" t="s">
        <v>1539</v>
      </c>
      <c r="C207" t="s">
        <v>24</v>
      </c>
      <c r="D207" t="s">
        <v>258</v>
      </c>
      <c r="E207" t="s">
        <v>1540</v>
      </c>
      <c r="F207" s="2" t="n">
        <f>HYPERLINK("https://patents.google.com/patent/US20220129872","Google")</f>
        <v>0.0</v>
      </c>
      <c r="G207" s="2" t="n">
        <f>HYPERLINK("https://patentcenter.uspto.gov/applications/17080212","Patent Center")</f>
        <v>0.0</v>
      </c>
      <c r="H207" s="2" t="n">
        <f>HYPERLINK("https://worldwide.espacenet.com/patent/search?q=US20220129872","Espacenet")</f>
        <v>0.0</v>
      </c>
      <c r="I207" s="2" t="n">
        <f>HYPERLINK("https://ppubs.uspto.gov/pubwebapp/external.html?q=20220129872.pn.","USPTO")</f>
        <v>0.0</v>
      </c>
      <c r="J207" s="2" t="n">
        <f>HYPERLINK("https://image-ppubs.uspto.gov/dirsearch-public/print/downloadPdf/20220129872","USPTO PDF")</f>
        <v>0.0</v>
      </c>
      <c r="K207" s="2" t="n">
        <f>HYPERLINK("https://sectors.patentforecast.com/pmd/US20220129872","PMD")</f>
        <v>0.0</v>
      </c>
      <c r="L207" s="2" t="n">
        <f>HYPERLINK("https://globaldossier.uspto.gov/result/application/US/17080212/1","US20220129872")</f>
        <v>0.0</v>
      </c>
      <c r="M207" t="s">
        <v>1541</v>
      </c>
      <c r="N207" t="s">
        <v>1542</v>
      </c>
      <c r="O207" t="s">
        <v>1543</v>
      </c>
      <c r="P207" t="s">
        <v>1544</v>
      </c>
      <c r="Q207" s="3" t="n">
        <v>44130.0</v>
      </c>
      <c r="R207" s="3" t="n">
        <v>44679.0</v>
      </c>
      <c r="S207" s="3" t="n">
        <v>44680.230491724535</v>
      </c>
      <c r="T207" s="3" t="n">
        <v>44698.58178824074</v>
      </c>
      <c r="U207" t="s">
        <v>1545</v>
      </c>
      <c r="V207" t="s">
        <v>1546</v>
      </c>
    </row>
    <row r="208">
      <c r="A208" t="s">
        <v>22</v>
      </c>
      <c r="B208" t="s">
        <v>1547</v>
      </c>
      <c r="C208" t="s">
        <v>24</v>
      </c>
      <c r="D208" t="s">
        <v>25</v>
      </c>
      <c r="E208" t="s">
        <v>1548</v>
      </c>
      <c r="F208" s="2" t="n">
        <f>HYPERLINK("https://patents.google.com/patent/US20220128567","Google")</f>
        <v>0.0</v>
      </c>
      <c r="G208" s="2" t="n">
        <f>HYPERLINK("https://patentcenter.uspto.gov/applications/17573123","Patent Center")</f>
        <v>0.0</v>
      </c>
      <c r="H208" s="2" t="n">
        <f>HYPERLINK("https://worldwide.espacenet.com/patent/search?q=US20220128567","Espacenet")</f>
        <v>0.0</v>
      </c>
      <c r="I208" s="2" t="n">
        <f>HYPERLINK("https://ppubs.uspto.gov/pubwebapp/external.html?q=20220128567.pn.","USPTO")</f>
        <v>0.0</v>
      </c>
      <c r="J208" s="2" t="n">
        <f>HYPERLINK("https://image-ppubs.uspto.gov/dirsearch-public/print/downloadPdf/20220128567","USPTO PDF")</f>
        <v>0.0</v>
      </c>
      <c r="K208" s="2" t="n">
        <f>HYPERLINK("https://sectors.patentforecast.com/pmd/US20220128567","PMD")</f>
        <v>0.0</v>
      </c>
      <c r="L208" s="2" t="n">
        <f>HYPERLINK("https://globaldossier.uspto.gov/result/application/US/17573123/1","US20220128567")</f>
        <v>0.0</v>
      </c>
      <c r="M208" t="s">
        <v>1549</v>
      </c>
      <c r="N208" t="s">
        <v>1550</v>
      </c>
      <c r="O208" t="s">
        <v>1551</v>
      </c>
      <c r="P208" t="s">
        <v>1552</v>
      </c>
      <c r="Q208" s="3" t="n">
        <v>44572.0</v>
      </c>
      <c r="R208" s="3" t="n">
        <v>44679.0</v>
      </c>
      <c r="S208" s="3" t="n">
        <v>44680.230491724535</v>
      </c>
      <c r="T208" s="3" t="n">
        <v>44698.581911354166</v>
      </c>
      <c r="U208" t="s">
        <v>31</v>
      </c>
      <c r="V208" t="s">
        <v>1553</v>
      </c>
    </row>
    <row r="209">
      <c r="A209" t="s">
        <v>22</v>
      </c>
      <c r="B209" t="s">
        <v>1554</v>
      </c>
      <c r="C209" t="s">
        <v>60</v>
      </c>
      <c r="D209" t="s">
        <v>61</v>
      </c>
      <c r="E209" t="s">
        <v>1555</v>
      </c>
      <c r="F209" s="2" t="n">
        <f>HYPERLINK("https://patents.google.com/patent/US20220128560","Google")</f>
        <v>0.0</v>
      </c>
      <c r="G209" s="2" t="n">
        <f>HYPERLINK("https://patentcenter.uspto.gov/applications/17513538","Patent Center")</f>
        <v>0.0</v>
      </c>
      <c r="H209" s="2" t="n">
        <f>HYPERLINK("https://worldwide.espacenet.com/patent/search?q=US20220128560","Espacenet")</f>
        <v>0.0</v>
      </c>
      <c r="I209" s="2" t="n">
        <f>HYPERLINK("https://ppubs.uspto.gov/pubwebapp/external.html?q=20220128560.pn.","USPTO")</f>
        <v>0.0</v>
      </c>
      <c r="J209" s="2" t="n">
        <f>HYPERLINK("https://image-ppubs.uspto.gov/dirsearch-public/print/downloadPdf/20220128560","USPTO PDF")</f>
        <v>0.0</v>
      </c>
      <c r="K209" s="2" t="n">
        <f>HYPERLINK("https://sectors.patentforecast.com/pmd/US20220128560","PMD")</f>
        <v>0.0</v>
      </c>
      <c r="L209" s="2" t="n">
        <f>HYPERLINK("https://globaldossier.uspto.gov/result/application/US/17513538/1","US20220128560")</f>
        <v>0.0</v>
      </c>
      <c r="M209" t="s">
        <v>1556</v>
      </c>
      <c r="N209" t="s">
        <v>1557</v>
      </c>
      <c r="O209" t="s">
        <v>1558</v>
      </c>
      <c r="P209" t="s">
        <v>1559</v>
      </c>
      <c r="Q209" s="3" t="n">
        <v>44497.0</v>
      </c>
      <c r="R209" s="3" t="n">
        <v>44679.0</v>
      </c>
      <c r="S209" s="3" t="n">
        <v>44680.230491724535</v>
      </c>
      <c r="T209" s="3" t="n">
        <v>44698.58205229167</v>
      </c>
      <c r="U209" t="s">
        <v>31</v>
      </c>
      <c r="V209" t="s">
        <v>1560</v>
      </c>
    </row>
    <row r="210">
      <c r="A210" t="s">
        <v>22</v>
      </c>
      <c r="B210" t="s">
        <v>1561</v>
      </c>
      <c r="C210" t="s">
        <v>24</v>
      </c>
      <c r="D210" t="s">
        <v>892</v>
      </c>
      <c r="E210" t="s">
        <v>1562</v>
      </c>
      <c r="F210" s="2" t="n">
        <f>HYPERLINK("https://patents.google.com/patent/US20220128559","Google")</f>
        <v>0.0</v>
      </c>
      <c r="G210" s="2" t="n">
        <f>HYPERLINK("https://patentcenter.uspto.gov/applications/17507604","Patent Center")</f>
        <v>0.0</v>
      </c>
      <c r="H210" s="2" t="n">
        <f>HYPERLINK("https://worldwide.espacenet.com/patent/search?q=US20220128559","Espacenet")</f>
        <v>0.0</v>
      </c>
      <c r="I210" s="2" t="n">
        <f>HYPERLINK("https://ppubs.uspto.gov/pubwebapp/external.html?q=20220128559.pn.","USPTO")</f>
        <v>0.0</v>
      </c>
      <c r="J210" s="2" t="n">
        <f>HYPERLINK("https://image-ppubs.uspto.gov/dirsearch-public/print/downloadPdf/20220128559","USPTO PDF")</f>
        <v>0.0</v>
      </c>
      <c r="K210" s="2" t="n">
        <f>HYPERLINK("https://sectors.patentforecast.com/pmd/US20220128559","PMD")</f>
        <v>0.0</v>
      </c>
      <c r="L210" s="2" t="n">
        <f>HYPERLINK("https://globaldossier.uspto.gov/result/application/US/17507604/1","US20220128559")</f>
        <v>0.0</v>
      </c>
      <c r="M210" t="s">
        <v>1563</v>
      </c>
      <c r="N210" t="s">
        <v>1564</v>
      </c>
      <c r="O210" t="s">
        <v>1565</v>
      </c>
      <c r="P210" t="s">
        <v>1566</v>
      </c>
      <c r="Q210" s="3" t="n">
        <v>44490.0</v>
      </c>
      <c r="R210" s="3" t="n">
        <v>44679.0</v>
      </c>
      <c r="S210" s="3" t="n">
        <v>44680.230491724535</v>
      </c>
      <c r="T210" s="3" t="n">
        <v>44698.503999837965</v>
      </c>
      <c r="U210" t="s">
        <v>31</v>
      </c>
      <c r="V210" t="s">
        <v>1567</v>
      </c>
    </row>
    <row r="211">
      <c r="A211" t="s">
        <v>22</v>
      </c>
      <c r="B211" t="s">
        <v>1568</v>
      </c>
      <c r="C211" t="s">
        <v>24</v>
      </c>
      <c r="D211" t="s">
        <v>51</v>
      </c>
      <c r="E211" t="s">
        <v>1569</v>
      </c>
      <c r="F211" s="2" t="n">
        <f>HYPERLINK("https://patents.google.com/patent/US20220128555","Google")</f>
        <v>0.0</v>
      </c>
      <c r="G211" s="2" t="n">
        <f>HYPERLINK("https://patentcenter.uspto.gov/applications/17511185","Patent Center")</f>
        <v>0.0</v>
      </c>
      <c r="H211" s="2" t="n">
        <f>HYPERLINK("https://worldwide.espacenet.com/patent/search?q=US20220128555","Espacenet")</f>
        <v>0.0</v>
      </c>
      <c r="I211" s="2" t="n">
        <f>HYPERLINK("https://ppubs.uspto.gov/pubwebapp/external.html?q=20220128555.pn.","USPTO")</f>
        <v>0.0</v>
      </c>
      <c r="J211" s="2" t="n">
        <f>HYPERLINK("https://image-ppubs.uspto.gov/dirsearch-public/print/downloadPdf/20220128555","USPTO PDF")</f>
        <v>0.0</v>
      </c>
      <c r="K211" s="2" t="n">
        <f>HYPERLINK("https://sectors.patentforecast.com/pmd/US20220128555","PMD")</f>
        <v>0.0</v>
      </c>
      <c r="L211" s="2" t="n">
        <f>HYPERLINK("https://globaldossier.uspto.gov/result/application/US/17511185/1","US20220128555")</f>
        <v>0.0</v>
      </c>
      <c r="M211" t="s">
        <v>1570</v>
      </c>
      <c r="N211" t="s">
        <v>330</v>
      </c>
      <c r="O211" t="s">
        <v>331</v>
      </c>
      <c r="P211" t="s">
        <v>1571</v>
      </c>
      <c r="Q211" s="3" t="n">
        <v>44495.0</v>
      </c>
      <c r="R211" s="3" t="n">
        <v>44679.0</v>
      </c>
      <c r="S211" s="3" t="n">
        <v>44680.230491724535</v>
      </c>
      <c r="T211" s="3" t="n">
        <v>44698.58213350694</v>
      </c>
      <c r="U211" t="s">
        <v>1572</v>
      </c>
      <c r="V211" t="s">
        <v>1573</v>
      </c>
    </row>
    <row r="212">
      <c r="A212" t="s">
        <v>22</v>
      </c>
      <c r="B212" t="s">
        <v>1574</v>
      </c>
      <c r="C212" t="s">
        <v>24</v>
      </c>
      <c r="D212" t="s">
        <v>25</v>
      </c>
      <c r="E212" t="s">
        <v>1575</v>
      </c>
      <c r="F212" s="2" t="n">
        <f>HYPERLINK("https://patents.google.com/patent/US20220128548","Google")</f>
        <v>0.0</v>
      </c>
      <c r="G212" s="2" t="n">
        <f>HYPERLINK("https://patentcenter.uspto.gov/applications/17507867","Patent Center")</f>
        <v>0.0</v>
      </c>
      <c r="H212" s="2" t="n">
        <f>HYPERLINK("https://worldwide.espacenet.com/patent/search?q=US20220128548","Espacenet")</f>
        <v>0.0</v>
      </c>
      <c r="I212" s="2" t="n">
        <f>HYPERLINK("https://ppubs.uspto.gov/pubwebapp/external.html?q=20220128548.pn.","USPTO")</f>
        <v>0.0</v>
      </c>
      <c r="J212" s="2" t="n">
        <f>HYPERLINK("https://image-ppubs.uspto.gov/dirsearch-public/print/downloadPdf/20220128548","USPTO PDF")</f>
        <v>0.0</v>
      </c>
      <c r="K212" s="2" t="n">
        <f>HYPERLINK("https://sectors.patentforecast.com/pmd/US20220128548","PMD")</f>
        <v>0.0</v>
      </c>
      <c r="L212" s="2" t="n">
        <f>HYPERLINK("https://globaldossier.uspto.gov/result/application/US/17507867/1","US20220128548")</f>
        <v>0.0</v>
      </c>
      <c r="M212" t="s">
        <v>1576</v>
      </c>
      <c r="N212" t="s">
        <v>1577</v>
      </c>
      <c r="O212" t="s">
        <v>1578</v>
      </c>
      <c r="P212" t="s">
        <v>1579</v>
      </c>
      <c r="Q212" s="3" t="n">
        <v>44491.0</v>
      </c>
      <c r="R212" s="3" t="n">
        <v>44679.0</v>
      </c>
      <c r="S212" s="3" t="n">
        <v>44680.230491724535</v>
      </c>
      <c r="T212" s="3" t="n">
        <v>44698.58261456018</v>
      </c>
      <c r="U212" t="s">
        <v>1580</v>
      </c>
      <c r="V212" t="s">
        <v>1581</v>
      </c>
    </row>
    <row r="213">
      <c r="A213" t="s">
        <v>22</v>
      </c>
      <c r="B213" t="s">
        <v>1582</v>
      </c>
      <c r="C213" t="s">
        <v>24</v>
      </c>
      <c r="D213" t="s">
        <v>25</v>
      </c>
      <c r="E213" t="s">
        <v>1548</v>
      </c>
      <c r="F213" s="2" t="n">
        <f>HYPERLINK("https://patents.google.com/patent/US20220128546","Google")</f>
        <v>0.0</v>
      </c>
      <c r="G213" s="2" t="n">
        <f>HYPERLINK("https://patentcenter.uspto.gov/applications/17573110","Patent Center")</f>
        <v>0.0</v>
      </c>
      <c r="H213" s="2" t="n">
        <f>HYPERLINK("https://worldwide.espacenet.com/patent/search?q=US20220128546","Espacenet")</f>
        <v>0.0</v>
      </c>
      <c r="I213" s="2" t="n">
        <f>HYPERLINK("https://ppubs.uspto.gov/pubwebapp/external.html?q=20220128546.pn.","USPTO")</f>
        <v>0.0</v>
      </c>
      <c r="J213" s="2" t="n">
        <f>HYPERLINK("https://image-ppubs.uspto.gov/dirsearch-public/print/downloadPdf/20220128546","USPTO PDF")</f>
        <v>0.0</v>
      </c>
      <c r="K213" s="2" t="n">
        <f>HYPERLINK("https://sectors.patentforecast.com/pmd/US20220128546","PMD")</f>
        <v>0.0</v>
      </c>
      <c r="L213" s="2" t="n">
        <f>HYPERLINK("https://globaldossier.uspto.gov/result/application/US/17573110/1","US20220128546")</f>
        <v>0.0</v>
      </c>
      <c r="M213" t="s">
        <v>1583</v>
      </c>
      <c r="N213" t="s">
        <v>1550</v>
      </c>
      <c r="O213" t="s">
        <v>1551</v>
      </c>
      <c r="P213" t="s">
        <v>1552</v>
      </c>
      <c r="Q213" s="3" t="n">
        <v>44572.0</v>
      </c>
      <c r="R213" s="3" t="n">
        <v>44679.0</v>
      </c>
      <c r="S213" s="3" t="n">
        <v>44680.230491724535</v>
      </c>
      <c r="T213" s="3" t="n">
        <v>44698.58269984954</v>
      </c>
      <c r="U213" t="s">
        <v>31</v>
      </c>
      <c r="V213" t="s">
        <v>1553</v>
      </c>
    </row>
    <row r="214">
      <c r="A214" t="s">
        <v>22</v>
      </c>
      <c r="B214" t="s">
        <v>1584</v>
      </c>
      <c r="C214" t="s">
        <v>24</v>
      </c>
      <c r="D214" t="s">
        <v>69</v>
      </c>
      <c r="E214" t="s">
        <v>1585</v>
      </c>
      <c r="F214" s="2" t="n">
        <f>HYPERLINK("https://patents.google.com/patent/US20220128535","Google")</f>
        <v>0.0</v>
      </c>
      <c r="G214" s="2" t="n">
        <f>HYPERLINK("https://patentcenter.uspto.gov/applications/17076944","Patent Center")</f>
        <v>0.0</v>
      </c>
      <c r="H214" s="2" t="n">
        <f>HYPERLINK("https://worldwide.espacenet.com/patent/search?q=US20220128535","Espacenet")</f>
        <v>0.0</v>
      </c>
      <c r="I214" s="2" t="n">
        <f>HYPERLINK("https://ppubs.uspto.gov/pubwebapp/external.html?q=20220128535.pn.","USPTO")</f>
        <v>0.0</v>
      </c>
      <c r="J214" s="2" t="n">
        <f>HYPERLINK("https://image-ppubs.uspto.gov/dirsearch-public/print/downloadPdf/20220128535","USPTO PDF")</f>
        <v>0.0</v>
      </c>
      <c r="K214" s="2" t="n">
        <f>HYPERLINK("https://sectors.patentforecast.com/pmd/US20220128535","PMD")</f>
        <v>0.0</v>
      </c>
      <c r="L214" s="2" t="n">
        <f>HYPERLINK("https://globaldossier.uspto.gov/result/application/US/17076944/1","US20220128535")</f>
        <v>0.0</v>
      </c>
      <c r="M214" t="s">
        <v>1586</v>
      </c>
      <c r="N214" t="s">
        <v>1384</v>
      </c>
      <c r="O214" t="s">
        <v>1385</v>
      </c>
      <c r="P214" t="s">
        <v>1386</v>
      </c>
      <c r="Q214" s="3" t="n">
        <v>44126.0</v>
      </c>
      <c r="R214" s="3" t="n">
        <v>44679.0</v>
      </c>
      <c r="S214" s="3" t="n">
        <v>44680.230491724535</v>
      </c>
      <c r="T214" s="3" t="n">
        <v>44698.58283936343</v>
      </c>
      <c r="U214" t="s">
        <v>1587</v>
      </c>
      <c r="V214" t="s">
        <v>1588</v>
      </c>
    </row>
    <row r="215">
      <c r="A215" t="s">
        <v>22</v>
      </c>
      <c r="B215" t="s">
        <v>1589</v>
      </c>
      <c r="C215" t="s">
        <v>24</v>
      </c>
      <c r="D215" t="s">
        <v>25</v>
      </c>
      <c r="E215" t="s">
        <v>1590</v>
      </c>
      <c r="F215" s="2" t="n">
        <f>HYPERLINK("https://patents.google.com/patent/US20220128409","Google")</f>
        <v>0.0</v>
      </c>
      <c r="G215" s="2" t="n">
        <f>HYPERLINK("https://patentcenter.uspto.gov/applications/17081047","Patent Center")</f>
        <v>0.0</v>
      </c>
      <c r="H215" s="2" t="n">
        <f>HYPERLINK("https://worldwide.espacenet.com/patent/search?q=US20220128409","Espacenet")</f>
        <v>0.0</v>
      </c>
      <c r="I215" s="2" t="n">
        <f>HYPERLINK("https://ppubs.uspto.gov/pubwebapp/external.html?q=20220128409.pn.","USPTO")</f>
        <v>0.0</v>
      </c>
      <c r="J215" s="2" t="n">
        <f>HYPERLINK("https://image-ppubs.uspto.gov/dirsearch-public/print/downloadPdf/20220128409","USPTO PDF")</f>
        <v>0.0</v>
      </c>
      <c r="K215" s="2" t="n">
        <f>HYPERLINK("https://sectors.patentforecast.com/pmd/US20220128409","PMD")</f>
        <v>0.0</v>
      </c>
      <c r="L215" s="2" t="n">
        <f>HYPERLINK("https://globaldossier.uspto.gov/result/application/US/17081047/1","US20220128409")</f>
        <v>0.0</v>
      </c>
      <c r="M215" t="s">
        <v>1591</v>
      </c>
      <c r="N215" t="s">
        <v>1227</v>
      </c>
      <c r="O215" t="s">
        <v>1228</v>
      </c>
      <c r="P215" t="s">
        <v>1592</v>
      </c>
      <c r="Q215" s="3" t="n">
        <v>44131.0</v>
      </c>
      <c r="R215" s="3" t="n">
        <v>44679.0</v>
      </c>
      <c r="S215" s="3" t="n">
        <v>44680.230491724535</v>
      </c>
      <c r="T215" s="3" t="n">
        <v>44698.58298133102</v>
      </c>
      <c r="U215" t="s">
        <v>1593</v>
      </c>
      <c r="V215" t="s">
        <v>1594</v>
      </c>
    </row>
    <row r="216">
      <c r="A216" t="s">
        <v>22</v>
      </c>
      <c r="B216" t="s">
        <v>1595</v>
      </c>
      <c r="C216" t="s">
        <v>24</v>
      </c>
      <c r="D216" t="s">
        <v>69</v>
      </c>
      <c r="E216" t="s">
        <v>1596</v>
      </c>
      <c r="F216" s="2" t="n">
        <f>HYPERLINK("https://patents.google.com/patent/US20220127779","Google")</f>
        <v>0.0</v>
      </c>
      <c r="G216" s="2" t="n">
        <f>HYPERLINK("https://patentcenter.uspto.gov/applications/17081418","Patent Center")</f>
        <v>0.0</v>
      </c>
      <c r="H216" s="2" t="n">
        <f>HYPERLINK("https://worldwide.espacenet.com/patent/search?q=US20220127779","Espacenet")</f>
        <v>0.0</v>
      </c>
      <c r="I216" s="2" t="n">
        <f>HYPERLINK("https://ppubs.uspto.gov/pubwebapp/external.html?q=20220127779.pn.","USPTO")</f>
        <v>0.0</v>
      </c>
      <c r="J216" s="2" t="n">
        <f>HYPERLINK("https://image-ppubs.uspto.gov/dirsearch-public/print/downloadPdf/20220127779","USPTO PDF")</f>
        <v>0.0</v>
      </c>
      <c r="K216" s="2" t="n">
        <f>HYPERLINK("https://sectors.patentforecast.com/pmd/US20220127779","PMD")</f>
        <v>0.0</v>
      </c>
      <c r="L216" s="2" t="n">
        <f>HYPERLINK("https://globaldossier.uspto.gov/result/application/US/17081418/1","US20220127779")</f>
        <v>0.0</v>
      </c>
      <c r="M216" t="s">
        <v>1597</v>
      </c>
      <c r="N216" t="s">
        <v>1598</v>
      </c>
      <c r="O216" t="s">
        <v>1599</v>
      </c>
      <c r="P216" t="s">
        <v>1600</v>
      </c>
      <c r="Q216" s="3" t="n">
        <v>44131.0</v>
      </c>
      <c r="R216" s="3" t="n">
        <v>44679.0</v>
      </c>
      <c r="S216" s="3" t="n">
        <v>44680.230491724535</v>
      </c>
      <c r="T216" s="3" t="n">
        <v>44698.58310672454</v>
      </c>
      <c r="U216" t="s">
        <v>31</v>
      </c>
      <c r="V216" t="s">
        <v>1601</v>
      </c>
    </row>
    <row r="217">
      <c r="A217" t="s">
        <v>22</v>
      </c>
      <c r="B217" t="s">
        <v>1602</v>
      </c>
      <c r="C217" t="s">
        <v>60</v>
      </c>
      <c r="D217" t="s">
        <v>61</v>
      </c>
      <c r="E217" t="s">
        <v>1603</v>
      </c>
      <c r="F217" s="2" t="n">
        <f>HYPERLINK("https://patents.google.com/patent/US20220127685","Google")</f>
        <v>0.0</v>
      </c>
      <c r="G217" s="2" t="n">
        <f>HYPERLINK("https://patentcenter.uspto.gov/applications/17506804","Patent Center")</f>
        <v>0.0</v>
      </c>
      <c r="H217" s="2" t="n">
        <f>HYPERLINK("https://worldwide.espacenet.com/patent/search?q=US20220127685","Espacenet")</f>
        <v>0.0</v>
      </c>
      <c r="I217" s="2" t="n">
        <f>HYPERLINK("https://ppubs.uspto.gov/pubwebapp/external.html?q=20220127685.pn.","USPTO")</f>
        <v>0.0</v>
      </c>
      <c r="J217" s="2" t="n">
        <f>HYPERLINK("https://image-ppubs.uspto.gov/dirsearch-public/print/downloadPdf/20220127685","USPTO PDF")</f>
        <v>0.0</v>
      </c>
      <c r="K217" s="2" t="n">
        <f>HYPERLINK("https://sectors.patentforecast.com/pmd/US20220127685","PMD")</f>
        <v>0.0</v>
      </c>
      <c r="L217" s="2" t="n">
        <f>HYPERLINK("https://globaldossier.uspto.gov/result/application/US/17506804/1","US20220127685")</f>
        <v>0.0</v>
      </c>
      <c r="M217" t="s">
        <v>1604</v>
      </c>
      <c r="N217" t="s">
        <v>1467</v>
      </c>
      <c r="O217" t="s">
        <v>1468</v>
      </c>
      <c r="P217" t="s">
        <v>1605</v>
      </c>
      <c r="Q217" s="3" t="n">
        <v>44490.0</v>
      </c>
      <c r="R217" s="3" t="n">
        <v>44679.0</v>
      </c>
      <c r="S217" s="3" t="n">
        <v>44680.230491724535</v>
      </c>
      <c r="T217" s="3" t="n">
        <v>44698.58336894676</v>
      </c>
      <c r="U217" t="s">
        <v>31</v>
      </c>
      <c r="V217" t="s">
        <v>1606</v>
      </c>
    </row>
    <row r="218">
      <c r="A218" t="s">
        <v>22</v>
      </c>
      <c r="B218" t="s">
        <v>1607</v>
      </c>
      <c r="C218" t="s">
        <v>60</v>
      </c>
      <c r="D218" t="s">
        <v>61</v>
      </c>
      <c r="E218" t="s">
        <v>1608</v>
      </c>
      <c r="F218" s="2" t="n">
        <f>HYPERLINK("https://patents.google.com/patent/US20220127670","Google")</f>
        <v>0.0</v>
      </c>
      <c r="G218" s="2" t="n">
        <f>HYPERLINK("https://patentcenter.uspto.gov/applications/17209381","Patent Center")</f>
        <v>0.0</v>
      </c>
      <c r="H218" s="2" t="n">
        <f>HYPERLINK("https://worldwide.espacenet.com/patent/search?q=US20220127670","Espacenet")</f>
        <v>0.0</v>
      </c>
      <c r="I218" s="2" t="n">
        <f>HYPERLINK("https://ppubs.uspto.gov/pubwebapp/external.html?q=20220127670.pn.","USPTO")</f>
        <v>0.0</v>
      </c>
      <c r="J218" s="2" t="n">
        <f>HYPERLINK("https://image-ppubs.uspto.gov/dirsearch-public/print/downloadPdf/20220127670","USPTO PDF")</f>
        <v>0.0</v>
      </c>
      <c r="K218" s="2" t="n">
        <f>HYPERLINK("https://sectors.patentforecast.com/pmd/US20220127670","PMD")</f>
        <v>0.0</v>
      </c>
      <c r="L218" s="2" t="n">
        <f>HYPERLINK("https://globaldossier.uspto.gov/result/application/US/17209381/1","US20220127670")</f>
        <v>0.0</v>
      </c>
      <c r="M218" t="s">
        <v>1609</v>
      </c>
      <c r="N218" t="s">
        <v>1610</v>
      </c>
      <c r="O218" t="s">
        <v>1611</v>
      </c>
      <c r="P218" t="s">
        <v>1612</v>
      </c>
      <c r="Q218" s="3" t="n">
        <v>44278.0</v>
      </c>
      <c r="R218" s="3" t="n">
        <v>44679.0</v>
      </c>
      <c r="S218" s="3" t="n">
        <v>44680.230491724535</v>
      </c>
      <c r="T218" s="3" t="n">
        <v>44698.58396325231</v>
      </c>
      <c r="U218" t="s">
        <v>1613</v>
      </c>
      <c r="V218" t="s">
        <v>1614</v>
      </c>
    </row>
    <row r="219">
      <c r="A219" t="s">
        <v>22</v>
      </c>
      <c r="B219" t="s">
        <v>1615</v>
      </c>
      <c r="C219" t="s">
        <v>561</v>
      </c>
      <c r="D219" t="s">
        <v>1340</v>
      </c>
      <c r="E219" t="s">
        <v>1616</v>
      </c>
      <c r="F219" s="2" t="n">
        <f>HYPERLINK("https://patents.google.com/patent/US20220127668","Google")</f>
        <v>0.0</v>
      </c>
      <c r="G219" s="2" t="n">
        <f>HYPERLINK("https://patentcenter.uspto.gov/applications/17511407","Patent Center")</f>
        <v>0.0</v>
      </c>
      <c r="H219" s="2" t="n">
        <f>HYPERLINK("https://worldwide.espacenet.com/patent/search?q=US20220127668","Espacenet")</f>
        <v>0.0</v>
      </c>
      <c r="I219" s="2" t="n">
        <f>HYPERLINK("https://ppubs.uspto.gov/pubwebapp/external.html?q=20220127668.pn.","USPTO")</f>
        <v>0.0</v>
      </c>
      <c r="J219" s="2" t="n">
        <f>HYPERLINK("https://image-ppubs.uspto.gov/dirsearch-public/print/downloadPdf/20220127668","USPTO PDF")</f>
        <v>0.0</v>
      </c>
      <c r="K219" s="2" t="n">
        <f>HYPERLINK("https://sectors.patentforecast.com/pmd/US20220127668","PMD")</f>
        <v>0.0</v>
      </c>
      <c r="L219" s="2" t="n">
        <f>HYPERLINK("https://globaldossier.uspto.gov/result/application/US/17511407/1","US20220127668")</f>
        <v>0.0</v>
      </c>
      <c r="M219" t="s">
        <v>1617</v>
      </c>
      <c r="N219" t="s">
        <v>1618</v>
      </c>
      <c r="O219" t="s">
        <v>1619</v>
      </c>
      <c r="P219" t="s">
        <v>1620</v>
      </c>
      <c r="Q219" s="3" t="n">
        <v>44495.0</v>
      </c>
      <c r="R219" s="3" t="n">
        <v>44679.0</v>
      </c>
      <c r="S219" s="3" t="n">
        <v>44680.230491724535</v>
      </c>
      <c r="T219" s="3" t="n">
        <v>44698.5845978588</v>
      </c>
      <c r="U219" t="s">
        <v>1621</v>
      </c>
      <c r="V219" t="s">
        <v>1622</v>
      </c>
    </row>
    <row r="220">
      <c r="A220" t="s">
        <v>22</v>
      </c>
      <c r="B220" t="s">
        <v>1623</v>
      </c>
      <c r="C220" t="s">
        <v>24</v>
      </c>
      <c r="D220" t="s">
        <v>25</v>
      </c>
      <c r="E220" t="s">
        <v>1624</v>
      </c>
      <c r="F220" s="2" t="n">
        <f>HYPERLINK("https://patents.google.com/patent/US20220127658","Google")</f>
        <v>0.0</v>
      </c>
      <c r="G220" s="2" t="n">
        <f>HYPERLINK("https://patentcenter.uspto.gov/applications/17512246","Patent Center")</f>
        <v>0.0</v>
      </c>
      <c r="H220" s="2" t="n">
        <f>HYPERLINK("https://worldwide.espacenet.com/patent/search?q=US20220127658","Espacenet")</f>
        <v>0.0</v>
      </c>
      <c r="I220" s="2" t="n">
        <f>HYPERLINK("https://ppubs.uspto.gov/pubwebapp/external.html?q=20220127658.pn.","USPTO")</f>
        <v>0.0</v>
      </c>
      <c r="J220" s="2" t="n">
        <f>HYPERLINK("https://image-ppubs.uspto.gov/dirsearch-public/print/downloadPdf/20220127658","USPTO PDF")</f>
        <v>0.0</v>
      </c>
      <c r="K220" s="2" t="n">
        <f>HYPERLINK("https://sectors.patentforecast.com/pmd/US20220127658","PMD")</f>
        <v>0.0</v>
      </c>
      <c r="L220" s="2" t="n">
        <f>HYPERLINK("https://globaldossier.uspto.gov/result/application/US/17512246/1","US20220127658")</f>
        <v>0.0</v>
      </c>
      <c r="M220" t="s">
        <v>1625</v>
      </c>
      <c r="N220" t="s">
        <v>1626</v>
      </c>
      <c r="O220" t="s">
        <v>1627</v>
      </c>
      <c r="P220" t="s">
        <v>1628</v>
      </c>
      <c r="Q220" s="3" t="n">
        <v>44496.0</v>
      </c>
      <c r="R220" s="3" t="n">
        <v>44679.0</v>
      </c>
      <c r="S220" s="3" t="n">
        <v>44680.230491724535</v>
      </c>
      <c r="T220" s="3" t="n">
        <v>44698.58487320602</v>
      </c>
      <c r="U220" t="s">
        <v>31</v>
      </c>
      <c r="V220" t="s">
        <v>1629</v>
      </c>
    </row>
    <row r="221">
      <c r="A221" t="s">
        <v>22</v>
      </c>
      <c r="B221" t="s">
        <v>1630</v>
      </c>
      <c r="C221" t="s">
        <v>60</v>
      </c>
      <c r="D221" t="s">
        <v>61</v>
      </c>
      <c r="E221" t="s">
        <v>1631</v>
      </c>
      <c r="F221" s="2" t="n">
        <f>HYPERLINK("https://patents.google.com/patent/US20220127615","Google")</f>
        <v>0.0</v>
      </c>
      <c r="G221" s="2" t="n">
        <f>HYPERLINK("https://patentcenter.uspto.gov/applications/17523030","Patent Center")</f>
        <v>0.0</v>
      </c>
      <c r="H221" s="2" t="n">
        <f>HYPERLINK("https://worldwide.espacenet.com/patent/search?q=US20220127615","Espacenet")</f>
        <v>0.0</v>
      </c>
      <c r="I221" s="2" t="n">
        <f>HYPERLINK("https://ppubs.uspto.gov/pubwebapp/external.html?q=20220127615.pn.","USPTO")</f>
        <v>0.0</v>
      </c>
      <c r="J221" s="2" t="n">
        <f>HYPERLINK("https://image-ppubs.uspto.gov/dirsearch-public/print/downloadPdf/20220127615","USPTO PDF")</f>
        <v>0.0</v>
      </c>
      <c r="K221" s="2" t="n">
        <f>HYPERLINK("https://sectors.patentforecast.com/pmd/US20220127615","PMD")</f>
        <v>0.0</v>
      </c>
      <c r="L221" s="2" t="n">
        <f>HYPERLINK("https://globaldossier.uspto.gov/result/application/US/17523030/1","US20220127615")</f>
        <v>0.0</v>
      </c>
      <c r="M221" t="s">
        <v>1632</v>
      </c>
      <c r="N221" t="s">
        <v>1633</v>
      </c>
      <c r="O221" t="s">
        <v>1634</v>
      </c>
      <c r="P221" t="s">
        <v>1635</v>
      </c>
      <c r="Q221" s="3" t="n">
        <v>44510.0</v>
      </c>
      <c r="R221" s="3" t="n">
        <v>44679.0</v>
      </c>
      <c r="S221" s="3" t="n">
        <v>44680.230491724535</v>
      </c>
      <c r="T221" s="3" t="n">
        <v>44698.58497945602</v>
      </c>
      <c r="U221" t="s">
        <v>1636</v>
      </c>
      <c r="V221" t="s">
        <v>1637</v>
      </c>
    </row>
    <row r="222">
      <c r="A222" t="s">
        <v>22</v>
      </c>
      <c r="B222" t="s">
        <v>1638</v>
      </c>
      <c r="C222" t="s">
        <v>60</v>
      </c>
      <c r="D222" t="s">
        <v>61</v>
      </c>
      <c r="E222" t="s">
        <v>1639</v>
      </c>
      <c r="F222" s="2" t="n">
        <f>HYPERLINK("https://patents.google.com/patent/US20220127614","Google")</f>
        <v>0.0</v>
      </c>
      <c r="G222" s="2" t="n">
        <f>HYPERLINK("https://patentcenter.uspto.gov/applications/17512963","Patent Center")</f>
        <v>0.0</v>
      </c>
      <c r="H222" s="2" t="n">
        <f>HYPERLINK("https://worldwide.espacenet.com/patent/search?q=US20220127614","Espacenet")</f>
        <v>0.0</v>
      </c>
      <c r="I222" s="2" t="n">
        <f>HYPERLINK("https://ppubs.uspto.gov/pubwebapp/external.html?q=20220127614.pn.","USPTO")</f>
        <v>0.0</v>
      </c>
      <c r="J222" s="2" t="n">
        <f>HYPERLINK("https://image-ppubs.uspto.gov/dirsearch-public/print/downloadPdf/20220127614","USPTO PDF")</f>
        <v>0.0</v>
      </c>
      <c r="K222" s="2" t="n">
        <f>HYPERLINK("https://sectors.patentforecast.com/pmd/US20220127614","PMD")</f>
        <v>0.0</v>
      </c>
      <c r="L222" s="2" t="n">
        <f>HYPERLINK("https://globaldossier.uspto.gov/result/application/US/17512963/1","US20220127614")</f>
        <v>0.0</v>
      </c>
      <c r="M222" t="s">
        <v>1640</v>
      </c>
      <c r="N222" t="s">
        <v>1641</v>
      </c>
      <c r="O222" t="s">
        <v>1642</v>
      </c>
      <c r="P222" t="s">
        <v>1643</v>
      </c>
      <c r="Q222" s="3" t="n">
        <v>44497.0</v>
      </c>
      <c r="R222" s="3" t="n">
        <v>44679.0</v>
      </c>
      <c r="S222" s="3" t="n">
        <v>44680.22945148148</v>
      </c>
      <c r="T222" s="3" t="n">
        <v>44698.58532945602</v>
      </c>
      <c r="U222" t="s">
        <v>1644</v>
      </c>
      <c r="V222" t="s">
        <v>1645</v>
      </c>
    </row>
    <row r="223">
      <c r="A223" t="s">
        <v>22</v>
      </c>
      <c r="B223" t="s">
        <v>1646</v>
      </c>
      <c r="C223" t="s">
        <v>60</v>
      </c>
      <c r="D223" t="s">
        <v>61</v>
      </c>
      <c r="E223" t="s">
        <v>1647</v>
      </c>
      <c r="F223" s="2" t="n">
        <f>HYPERLINK("https://patents.google.com/patent/US20220127579","Google")</f>
        <v>0.0</v>
      </c>
      <c r="G223" s="2" t="n">
        <f>HYPERLINK("https://patentcenter.uspto.gov/applications/17508855","Patent Center")</f>
        <v>0.0</v>
      </c>
      <c r="H223" s="2" t="n">
        <f>HYPERLINK("https://worldwide.espacenet.com/patent/search?q=US20220127579","Espacenet")</f>
        <v>0.0</v>
      </c>
      <c r="I223" s="2" t="n">
        <f>HYPERLINK("https://ppubs.uspto.gov/pubwebapp/external.html?q=20220127579.pn.","USPTO")</f>
        <v>0.0</v>
      </c>
      <c r="J223" s="2" t="n">
        <f>HYPERLINK("https://image-ppubs.uspto.gov/dirsearch-public/print/downloadPdf/20220127579","USPTO PDF")</f>
        <v>0.0</v>
      </c>
      <c r="K223" s="2" t="n">
        <f>HYPERLINK("https://sectors.patentforecast.com/pmd/US20220127579","PMD")</f>
        <v>0.0</v>
      </c>
      <c r="L223" s="2" t="n">
        <f>HYPERLINK("https://globaldossier.uspto.gov/result/application/US/17508855/1","US20220127579")</f>
        <v>0.0</v>
      </c>
      <c r="M223" t="s">
        <v>1648</v>
      </c>
      <c r="N223" t="s">
        <v>1649</v>
      </c>
      <c r="O223" t="s">
        <v>1650</v>
      </c>
      <c r="P223" t="s">
        <v>1651</v>
      </c>
      <c r="Q223" s="3" t="n">
        <v>44491.0</v>
      </c>
      <c r="R223" s="3" t="n">
        <v>44679.0</v>
      </c>
      <c r="S223" s="3" t="n">
        <v>44680.230491724535</v>
      </c>
      <c r="T223" s="3" t="n">
        <v>44698.58665282407</v>
      </c>
      <c r="U223" t="s">
        <v>31</v>
      </c>
      <c r="V223" t="s">
        <v>1652</v>
      </c>
    </row>
    <row r="224">
      <c r="A224" t="s">
        <v>22</v>
      </c>
      <c r="B224" t="s">
        <v>1653</v>
      </c>
      <c r="C224" t="s">
        <v>60</v>
      </c>
      <c r="D224" t="s">
        <v>61</v>
      </c>
      <c r="E224" t="s">
        <v>1654</v>
      </c>
      <c r="F224" s="2" t="n">
        <f>HYPERLINK("https://patents.google.com/patent/US20220127337","Google")</f>
        <v>0.0</v>
      </c>
      <c r="G224" s="2" t="n">
        <f>HYPERLINK("https://patentcenter.uspto.gov/applications/17512027","Patent Center")</f>
        <v>0.0</v>
      </c>
      <c r="H224" s="2" t="n">
        <f>HYPERLINK("https://worldwide.espacenet.com/patent/search?q=US20220127337","Espacenet")</f>
        <v>0.0</v>
      </c>
      <c r="I224" s="2" t="n">
        <f>HYPERLINK("https://ppubs.uspto.gov/pubwebapp/external.html?q=20220127337.pn.","USPTO")</f>
        <v>0.0</v>
      </c>
      <c r="J224" s="2" t="n">
        <f>HYPERLINK("https://image-ppubs.uspto.gov/dirsearch-public/print/downloadPdf/20220127337","USPTO PDF")</f>
        <v>0.0</v>
      </c>
      <c r="K224" s="2" t="n">
        <f>HYPERLINK("https://sectors.patentforecast.com/pmd/US20220127337","PMD")</f>
        <v>0.0</v>
      </c>
      <c r="L224" s="2" t="n">
        <f>HYPERLINK("https://globaldossier.uspto.gov/result/application/US/17512027/1","US20220127337")</f>
        <v>0.0</v>
      </c>
      <c r="M224" t="s">
        <v>1655</v>
      </c>
      <c r="N224" t="s">
        <v>1656</v>
      </c>
      <c r="O224" t="s">
        <v>1657</v>
      </c>
      <c r="P224" t="s">
        <v>1658</v>
      </c>
      <c r="Q224" s="3" t="n">
        <v>44496.0</v>
      </c>
      <c r="R224" s="3" t="n">
        <v>44679.0</v>
      </c>
      <c r="S224" s="3" t="n">
        <v>44680.230491724535</v>
      </c>
      <c r="T224" s="3" t="n">
        <v>44698.58686664352</v>
      </c>
      <c r="U224" t="s">
        <v>31</v>
      </c>
      <c r="V224" t="s">
        <v>1659</v>
      </c>
    </row>
    <row r="225">
      <c r="A225" t="s">
        <v>22</v>
      </c>
      <c r="B225" t="s">
        <v>1660</v>
      </c>
      <c r="C225" t="s">
        <v>60</v>
      </c>
      <c r="D225" t="s">
        <v>61</v>
      </c>
      <c r="E225" t="s">
        <v>1661</v>
      </c>
      <c r="F225" s="2" t="n">
        <f>HYPERLINK("https://patents.google.com/patent/US20220127309","Google")</f>
        <v>0.0</v>
      </c>
      <c r="G225" s="2" t="n">
        <f>HYPERLINK("https://patentcenter.uspto.gov/applications/17573616","Patent Center")</f>
        <v>0.0</v>
      </c>
      <c r="H225" s="2" t="n">
        <f>HYPERLINK("https://worldwide.espacenet.com/patent/search?q=US20220127309","Espacenet")</f>
        <v>0.0</v>
      </c>
      <c r="I225" s="2" t="n">
        <f>HYPERLINK("https://ppubs.uspto.gov/pubwebapp/external.html?q=20220127309.pn.","USPTO")</f>
        <v>0.0</v>
      </c>
      <c r="J225" s="2" t="n">
        <f>HYPERLINK("https://image-ppubs.uspto.gov/dirsearch-public/print/downloadPdf/20220127309","USPTO PDF")</f>
        <v>0.0</v>
      </c>
      <c r="K225" s="2" t="n">
        <f>HYPERLINK("https://sectors.patentforecast.com/pmd/US20220127309","PMD")</f>
        <v>0.0</v>
      </c>
      <c r="L225" s="2" t="n">
        <f>HYPERLINK("https://globaldossier.uspto.gov/result/application/US/17573616/1","US20220127309")</f>
        <v>0.0</v>
      </c>
      <c r="M225" t="s">
        <v>1662</v>
      </c>
      <c r="N225" t="s">
        <v>1663</v>
      </c>
      <c r="O225" t="s">
        <v>1664</v>
      </c>
      <c r="P225" t="s">
        <v>1665</v>
      </c>
      <c r="Q225" s="3" t="n">
        <v>44572.0</v>
      </c>
      <c r="R225" s="3" t="n">
        <v>44679.0</v>
      </c>
      <c r="S225" s="3" t="n">
        <v>44680.23202640047</v>
      </c>
      <c r="T225" s="3" t="n">
        <v>44698.58789974537</v>
      </c>
      <c r="U225" t="s">
        <v>1666</v>
      </c>
      <c r="V225" t="s">
        <v>1667</v>
      </c>
    </row>
    <row r="226">
      <c r="A226" t="s">
        <v>22</v>
      </c>
      <c r="B226" t="s">
        <v>1668</v>
      </c>
      <c r="C226" t="s">
        <v>60</v>
      </c>
      <c r="D226" t="s">
        <v>61</v>
      </c>
      <c r="E226" t="s">
        <v>1669</v>
      </c>
      <c r="F226" s="2" t="n">
        <f>HYPERLINK("https://patents.google.com/patent/US20220127250","Google")</f>
        <v>0.0</v>
      </c>
      <c r="G226" s="2" t="n">
        <f>HYPERLINK("https://patentcenter.uspto.gov/applications/17506453","Patent Center")</f>
        <v>0.0</v>
      </c>
      <c r="H226" s="2" t="n">
        <f>HYPERLINK("https://worldwide.espacenet.com/patent/search?q=US20220127250","Espacenet")</f>
        <v>0.0</v>
      </c>
      <c r="I226" s="2" t="n">
        <f>HYPERLINK("https://ppubs.uspto.gov/pubwebapp/external.html?q=20220127250.pn.","USPTO")</f>
        <v>0.0</v>
      </c>
      <c r="J226" s="2" t="n">
        <f>HYPERLINK("https://image-ppubs.uspto.gov/dirsearch-public/print/downloadPdf/20220127250","USPTO PDF")</f>
        <v>0.0</v>
      </c>
      <c r="K226" s="2" t="n">
        <f>HYPERLINK("https://sectors.patentforecast.com/pmd/US20220127250","PMD")</f>
        <v>0.0</v>
      </c>
      <c r="L226" s="2" t="n">
        <f>HYPERLINK("https://globaldossier.uspto.gov/result/application/US/17506453/1","US20220127250")</f>
        <v>0.0</v>
      </c>
      <c r="M226" t="s">
        <v>1670</v>
      </c>
      <c r="N226" t="s">
        <v>1671</v>
      </c>
      <c r="O226" t="s">
        <v>1672</v>
      </c>
      <c r="P226" t="s">
        <v>1673</v>
      </c>
      <c r="Q226" s="3" t="n">
        <v>44489.0</v>
      </c>
      <c r="R226" s="3" t="n">
        <v>44679.0</v>
      </c>
      <c r="S226" s="3" t="n">
        <v>44680.230491724535</v>
      </c>
      <c r="T226" s="3" t="n">
        <v>44698.58860122685</v>
      </c>
      <c r="U226" t="s">
        <v>1674</v>
      </c>
      <c r="V226" t="s">
        <v>1675</v>
      </c>
    </row>
    <row r="227">
      <c r="A227" t="s">
        <v>22</v>
      </c>
      <c r="B227" t="s">
        <v>1676</v>
      </c>
      <c r="C227" t="s">
        <v>24</v>
      </c>
      <c r="D227" t="s">
        <v>69</v>
      </c>
      <c r="E227" t="s">
        <v>1677</v>
      </c>
      <c r="F227" s="2" t="n">
        <f>HYPERLINK("https://patents.google.com/patent/US20220127045","Google")</f>
        <v>0.0</v>
      </c>
      <c r="G227" s="2" t="n">
        <f>HYPERLINK("https://patentcenter.uspto.gov/applications/17077492","Patent Center")</f>
        <v>0.0</v>
      </c>
      <c r="H227" s="2" t="n">
        <f>HYPERLINK("https://worldwide.espacenet.com/patent/search?q=US20220127045","Espacenet")</f>
        <v>0.0</v>
      </c>
      <c r="I227" s="2" t="n">
        <f>HYPERLINK("https://ppubs.uspto.gov/pubwebapp/external.html?q=20220127045.pn.","USPTO")</f>
        <v>0.0</v>
      </c>
      <c r="J227" s="2" t="n">
        <f>HYPERLINK("https://image-ppubs.uspto.gov/dirsearch-public/print/downloadPdf/20220127045","USPTO PDF")</f>
        <v>0.0</v>
      </c>
      <c r="K227" s="2" t="n">
        <f>HYPERLINK("https://sectors.patentforecast.com/pmd/US20220127045","PMD")</f>
        <v>0.0</v>
      </c>
      <c r="L227" s="2" t="n">
        <f>HYPERLINK("https://globaldossier.uspto.gov/result/application/US/17077492/1","US20220127045")</f>
        <v>0.0</v>
      </c>
      <c r="M227" t="s">
        <v>1678</v>
      </c>
      <c r="N227" t="s">
        <v>1679</v>
      </c>
      <c r="O227" t="s">
        <v>1680</v>
      </c>
      <c r="P227" t="s">
        <v>1681</v>
      </c>
      <c r="Q227" s="3" t="n">
        <v>44126.0</v>
      </c>
      <c r="R227" s="3" t="n">
        <v>44679.0</v>
      </c>
      <c r="S227" s="3" t="n">
        <v>44680.230491724535</v>
      </c>
      <c r="T227" s="3" t="n">
        <v>44698.51726450231</v>
      </c>
      <c r="U227" t="s">
        <v>31</v>
      </c>
      <c r="V227" t="s">
        <v>1682</v>
      </c>
    </row>
    <row r="228">
      <c r="A228" t="s">
        <v>22</v>
      </c>
      <c r="B228" t="s">
        <v>1683</v>
      </c>
      <c r="C228" t="s">
        <v>24</v>
      </c>
      <c r="D228" t="s">
        <v>100</v>
      </c>
      <c r="E228" t="s">
        <v>1684</v>
      </c>
      <c r="F228" s="2" t="n">
        <f>HYPERLINK("https://patents.google.com/patent/US20220126311","Google")</f>
        <v>0.0</v>
      </c>
      <c r="G228" s="2" t="n">
        <f>HYPERLINK("https://patentcenter.uspto.gov/applications/17078083","Patent Center")</f>
        <v>0.0</v>
      </c>
      <c r="H228" s="2" t="n">
        <f>HYPERLINK("https://worldwide.espacenet.com/patent/search?q=US20220126311","Espacenet")</f>
        <v>0.0</v>
      </c>
      <c r="I228" s="2" t="n">
        <f>HYPERLINK("https://ppubs.uspto.gov/pubwebapp/external.html?q=20220126311.pn.","USPTO")</f>
        <v>0.0</v>
      </c>
      <c r="J228" s="2" t="n">
        <f>HYPERLINK("https://image-ppubs.uspto.gov/dirsearch-public/print/downloadPdf/20220126311","USPTO PDF")</f>
        <v>0.0</v>
      </c>
      <c r="K228" s="2" t="n">
        <f>HYPERLINK("https://sectors.patentforecast.com/pmd/US20220126311","PMD")</f>
        <v>0.0</v>
      </c>
      <c r="L228" s="2" t="n">
        <f>HYPERLINK("https://globaldossier.uspto.gov/result/application/US/17078083/1","US20220126311")</f>
        <v>0.0</v>
      </c>
      <c r="M228" t="s">
        <v>1685</v>
      </c>
      <c r="N228" t="s">
        <v>1686</v>
      </c>
      <c r="O228" t="s">
        <v>1687</v>
      </c>
      <c r="P228" t="s">
        <v>1688</v>
      </c>
      <c r="Q228" s="3" t="n">
        <v>44126.0</v>
      </c>
      <c r="R228" s="3" t="n">
        <v>44679.0</v>
      </c>
      <c r="S228" s="3" t="n">
        <v>44680.230491724535</v>
      </c>
      <c r="T228" s="3" t="n">
        <v>44698.51740950232</v>
      </c>
      <c r="U228" t="s">
        <v>1689</v>
      </c>
      <c r="V228" t="s">
        <v>1690</v>
      </c>
    </row>
    <row r="229">
      <c r="A229" t="s">
        <v>22</v>
      </c>
      <c r="B229" t="s">
        <v>1691</v>
      </c>
      <c r="C229" t="s">
        <v>24</v>
      </c>
      <c r="D229" t="s">
        <v>365</v>
      </c>
      <c r="E229" t="s">
        <v>1692</v>
      </c>
      <c r="F229" s="2" t="n">
        <f>HYPERLINK("https://patents.google.com/patent/US20220126288","Google")</f>
        <v>0.0</v>
      </c>
      <c r="G229" s="2" t="n">
        <f>HYPERLINK("https://patentcenter.uspto.gov/applications/17507565","Patent Center")</f>
        <v>0.0</v>
      </c>
      <c r="H229" s="2" t="n">
        <f>HYPERLINK("https://worldwide.espacenet.com/patent/search?q=US20220126288","Espacenet")</f>
        <v>0.0</v>
      </c>
      <c r="I229" s="2" t="n">
        <f>HYPERLINK("https://ppubs.uspto.gov/pubwebapp/external.html?q=20220126288.pn.","USPTO")</f>
        <v>0.0</v>
      </c>
      <c r="J229" s="2" t="n">
        <f>HYPERLINK("https://image-ppubs.uspto.gov/dirsearch-public/print/downloadPdf/20220126288","USPTO PDF")</f>
        <v>0.0</v>
      </c>
      <c r="K229" s="2" t="n">
        <f>HYPERLINK("https://sectors.patentforecast.com/pmd/US20220126288","PMD")</f>
        <v>0.0</v>
      </c>
      <c r="L229" s="2" t="n">
        <f>HYPERLINK("https://globaldossier.uspto.gov/result/application/US/17507565/1","US20220126288")</f>
        <v>0.0</v>
      </c>
      <c r="M229" t="s">
        <v>1693</v>
      </c>
      <c r="N229" t="s">
        <v>1694</v>
      </c>
      <c r="O229" t="s">
        <v>1695</v>
      </c>
      <c r="P229" t="s">
        <v>1696</v>
      </c>
      <c r="Q229" s="3" t="n">
        <v>44490.0</v>
      </c>
      <c r="R229" s="3" t="n">
        <v>44679.0</v>
      </c>
      <c r="S229" s="3" t="n">
        <v>44680.230491724535</v>
      </c>
      <c r="T229" s="3" t="n">
        <v>44698.589016481485</v>
      </c>
      <c r="U229" t="s">
        <v>1697</v>
      </c>
      <c r="V229" t="s">
        <v>1698</v>
      </c>
    </row>
    <row r="230">
      <c r="A230" t="s">
        <v>22</v>
      </c>
      <c r="B230" t="s">
        <v>1699</v>
      </c>
      <c r="C230" t="s">
        <v>24</v>
      </c>
      <c r="D230" t="s">
        <v>100</v>
      </c>
      <c r="E230" t="s">
        <v>1700</v>
      </c>
      <c r="F230" s="2" t="n">
        <f>HYPERLINK("https://patents.google.com/patent/US20220126126","Google")</f>
        <v>0.0</v>
      </c>
      <c r="G230" s="2" t="n">
        <f>HYPERLINK("https://patentcenter.uspto.gov/applications/17509741","Patent Center")</f>
        <v>0.0</v>
      </c>
      <c r="H230" s="2" t="n">
        <f>HYPERLINK("https://worldwide.espacenet.com/patent/search?q=US20220126126","Espacenet")</f>
        <v>0.0</v>
      </c>
      <c r="I230" s="2" t="n">
        <f>HYPERLINK("https://ppubs.uspto.gov/pubwebapp/external.html?q=20220126126.pn.","USPTO")</f>
        <v>0.0</v>
      </c>
      <c r="J230" s="2" t="n">
        <f>HYPERLINK("https://image-ppubs.uspto.gov/dirsearch-public/print/downloadPdf/20220126126","USPTO PDF")</f>
        <v>0.0</v>
      </c>
      <c r="K230" s="2" t="n">
        <f>HYPERLINK("https://sectors.patentforecast.com/pmd/US20220126126","PMD")</f>
        <v>0.0</v>
      </c>
      <c r="L230" s="2" t="n">
        <f>HYPERLINK("https://globaldossier.uspto.gov/result/application/US/17509741/1","US20220126126")</f>
        <v>0.0</v>
      </c>
      <c r="M230" t="s">
        <v>1701</v>
      </c>
      <c r="N230" t="s">
        <v>1702</v>
      </c>
      <c r="O230" t="s">
        <v>1702</v>
      </c>
      <c r="P230" t="s">
        <v>1703</v>
      </c>
      <c r="Q230" s="3" t="n">
        <v>44494.0</v>
      </c>
      <c r="R230" s="3" t="n">
        <v>44679.0</v>
      </c>
      <c r="S230" s="3" t="n">
        <v>44680.230491724535</v>
      </c>
      <c r="T230" s="3" t="n">
        <v>44698.589218217596</v>
      </c>
      <c r="U230" t="s">
        <v>1704</v>
      </c>
      <c r="V230" t="s">
        <v>1705</v>
      </c>
    </row>
    <row r="231">
      <c r="A231" t="s">
        <v>22</v>
      </c>
      <c r="B231" t="s">
        <v>1706</v>
      </c>
      <c r="C231" t="s">
        <v>24</v>
      </c>
      <c r="D231" t="s">
        <v>69</v>
      </c>
      <c r="E231" t="s">
        <v>1707</v>
      </c>
      <c r="F231" s="2" t="n">
        <f>HYPERLINK("https://patents.google.com/patent/US20220126125","Google")</f>
        <v>0.0</v>
      </c>
      <c r="G231" s="2" t="n">
        <f>HYPERLINK("https://patentcenter.uspto.gov/applications/17507192","Patent Center")</f>
        <v>0.0</v>
      </c>
      <c r="H231" s="2" t="n">
        <f>HYPERLINK("https://worldwide.espacenet.com/patent/search?q=US20220126125","Espacenet")</f>
        <v>0.0</v>
      </c>
      <c r="I231" s="2" t="n">
        <f>HYPERLINK("https://ppubs.uspto.gov/pubwebapp/external.html?q=20220126125.pn.","USPTO")</f>
        <v>0.0</v>
      </c>
      <c r="J231" s="2" t="n">
        <f>HYPERLINK("https://image-ppubs.uspto.gov/dirsearch-public/print/downloadPdf/20220126125","USPTO PDF")</f>
        <v>0.0</v>
      </c>
      <c r="K231" s="2" t="n">
        <f>HYPERLINK("https://sectors.patentforecast.com/pmd/US20220126125","PMD")</f>
        <v>0.0</v>
      </c>
      <c r="L231" s="2" t="n">
        <f>HYPERLINK("https://globaldossier.uspto.gov/result/application/US/17507192/1","US20220126125")</f>
        <v>0.0</v>
      </c>
      <c r="M231" t="s">
        <v>1708</v>
      </c>
      <c r="N231" t="s">
        <v>1709</v>
      </c>
      <c r="O231" t="s">
        <v>1710</v>
      </c>
      <c r="P231" t="s">
        <v>1711</v>
      </c>
      <c r="Q231" s="3" t="n">
        <v>44490.0</v>
      </c>
      <c r="R231" s="3" t="n">
        <v>44679.0</v>
      </c>
      <c r="S231" s="3" t="n">
        <v>44680.230491724535</v>
      </c>
      <c r="T231" s="3" t="n">
        <v>44698.47559084491</v>
      </c>
      <c r="U231" t="s">
        <v>1712</v>
      </c>
      <c r="V231" t="s">
        <v>1713</v>
      </c>
    </row>
    <row r="232">
      <c r="A232" t="s">
        <v>22</v>
      </c>
      <c r="B232" t="s">
        <v>1714</v>
      </c>
      <c r="C232" t="s">
        <v>561</v>
      </c>
      <c r="D232" t="s">
        <v>497</v>
      </c>
      <c r="E232" t="s">
        <v>1715</v>
      </c>
      <c r="F232" s="2" t="n">
        <f>HYPERLINK("https://patents.google.com/patent/US20220126043","Google")</f>
        <v>0.0</v>
      </c>
      <c r="G232" s="2" t="n">
        <f>HYPERLINK("https://patentcenter.uspto.gov/applications/17508955","Patent Center")</f>
        <v>0.0</v>
      </c>
      <c r="H232" s="2" t="n">
        <f>HYPERLINK("https://worldwide.espacenet.com/patent/search?q=US20220126043","Espacenet")</f>
        <v>0.0</v>
      </c>
      <c r="I232" s="2" t="n">
        <f>HYPERLINK("https://ppubs.uspto.gov/pubwebapp/external.html?q=20220126043.pn.","USPTO")</f>
        <v>0.0</v>
      </c>
      <c r="J232" s="2" t="n">
        <f>HYPERLINK("https://image-ppubs.uspto.gov/dirsearch-public/print/downloadPdf/20220126043","USPTO PDF")</f>
        <v>0.0</v>
      </c>
      <c r="K232" s="2" t="n">
        <f>HYPERLINK("https://sectors.patentforecast.com/pmd/US20220126043","PMD")</f>
        <v>0.0</v>
      </c>
      <c r="L232" s="2" t="n">
        <f>HYPERLINK("https://globaldossier.uspto.gov/result/application/US/17508955/1","US20220126043")</f>
        <v>0.0</v>
      </c>
      <c r="M232" t="s">
        <v>1716</v>
      </c>
      <c r="N232" t="s">
        <v>1717</v>
      </c>
      <c r="O232" t="s">
        <v>1718</v>
      </c>
      <c r="P232" t="s">
        <v>1719</v>
      </c>
      <c r="Q232" s="3" t="n">
        <v>44491.0</v>
      </c>
      <c r="R232" s="3" t="n">
        <v>44679.0</v>
      </c>
      <c r="S232" s="3" t="n">
        <v>44680.230491724535</v>
      </c>
      <c r="T232" s="3" t="n">
        <v>44698.5893740625</v>
      </c>
      <c r="U232" t="s">
        <v>31</v>
      </c>
      <c r="V232" t="s">
        <v>1720</v>
      </c>
    </row>
    <row r="233">
      <c r="A233" t="s">
        <v>22</v>
      </c>
      <c r="B233" t="s">
        <v>1721</v>
      </c>
      <c r="C233" t="s">
        <v>24</v>
      </c>
      <c r="D233" t="s">
        <v>100</v>
      </c>
      <c r="E233" t="s">
        <v>1722</v>
      </c>
      <c r="F233" s="2" t="n">
        <f>HYPERLINK("https://patents.google.com/patent/US20220125986","Google")</f>
        <v>0.0</v>
      </c>
      <c r="G233" s="2" t="n">
        <f>HYPERLINK("https://patentcenter.uspto.gov/applications/17522137","Patent Center")</f>
        <v>0.0</v>
      </c>
      <c r="H233" s="2" t="n">
        <f>HYPERLINK("https://worldwide.espacenet.com/patent/search?q=US20220125986","Espacenet")</f>
        <v>0.0</v>
      </c>
      <c r="I233" s="2" t="n">
        <f>HYPERLINK("https://ppubs.uspto.gov/pubwebapp/external.html?q=20220125986.pn.","USPTO")</f>
        <v>0.0</v>
      </c>
      <c r="J233" s="2" t="n">
        <f>HYPERLINK("https://image-ppubs.uspto.gov/dirsearch-public/print/downloadPdf/20220125986","USPTO PDF")</f>
        <v>0.0</v>
      </c>
      <c r="K233" s="2" t="n">
        <f>HYPERLINK("https://sectors.patentforecast.com/pmd/US20220125986","PMD")</f>
        <v>0.0</v>
      </c>
      <c r="L233" s="2" t="n">
        <f>HYPERLINK("https://globaldossier.uspto.gov/result/application/US/17522137/1","US20220125986")</f>
        <v>0.0</v>
      </c>
      <c r="M233" t="s">
        <v>1723</v>
      </c>
      <c r="N233" t="s">
        <v>1724</v>
      </c>
      <c r="O233" t="s">
        <v>1725</v>
      </c>
      <c r="P233" t="s">
        <v>1726</v>
      </c>
      <c r="Q233" s="3" t="n">
        <v>44509.0</v>
      </c>
      <c r="R233" s="3" t="n">
        <v>44679.0</v>
      </c>
      <c r="S233" s="3" t="n">
        <v>44680.230491724535</v>
      </c>
      <c r="T233" s="3" t="n">
        <v>44698.51760344907</v>
      </c>
      <c r="U233" t="s">
        <v>1727</v>
      </c>
      <c r="V233" t="s">
        <v>1728</v>
      </c>
    </row>
    <row r="234">
      <c r="A234" t="s">
        <v>22</v>
      </c>
      <c r="B234" t="s">
        <v>1729</v>
      </c>
      <c r="C234" t="s">
        <v>24</v>
      </c>
      <c r="D234" t="s">
        <v>100</v>
      </c>
      <c r="E234" t="s">
        <v>1730</v>
      </c>
      <c r="F234" s="2" t="n">
        <f>HYPERLINK("https://patents.google.com/patent/US20220125981","Google")</f>
        <v>0.0</v>
      </c>
      <c r="G234" s="2" t="n">
        <f>HYPERLINK("https://patentcenter.uspto.gov/applications/16950719","Patent Center")</f>
        <v>0.0</v>
      </c>
      <c r="H234" s="2" t="n">
        <f>HYPERLINK("https://worldwide.espacenet.com/patent/search?q=US20220125981","Espacenet")</f>
        <v>0.0</v>
      </c>
      <c r="I234" s="2" t="n">
        <f>HYPERLINK("https://ppubs.uspto.gov/pubwebapp/external.html?q=20220125981.pn.","USPTO")</f>
        <v>0.0</v>
      </c>
      <c r="J234" s="2" t="n">
        <f>HYPERLINK("https://image-ppubs.uspto.gov/dirsearch-public/print/downloadPdf/20220125981","USPTO PDF")</f>
        <v>0.0</v>
      </c>
      <c r="K234" s="2" t="n">
        <f>HYPERLINK("https://sectors.patentforecast.com/pmd/US20220125981","PMD")</f>
        <v>0.0</v>
      </c>
      <c r="L234" s="2" t="n">
        <f>HYPERLINK("https://globaldossier.uspto.gov/result/application/US/16950719/1","US20220125981")</f>
        <v>0.0</v>
      </c>
      <c r="M234" t="s">
        <v>1731</v>
      </c>
      <c r="N234" t="s">
        <v>1732</v>
      </c>
      <c r="O234" t="s">
        <v>1733</v>
      </c>
      <c r="P234" t="s">
        <v>1734</v>
      </c>
      <c r="Q234" s="3" t="n">
        <v>44152.0</v>
      </c>
      <c r="R234" s="3" t="n">
        <v>44679.0</v>
      </c>
      <c r="S234" s="3" t="n">
        <v>44680.230491724535</v>
      </c>
      <c r="T234" s="3" t="n">
        <v>44698.5895656713</v>
      </c>
      <c r="U234" t="s">
        <v>31</v>
      </c>
      <c r="V234" t="s">
        <v>1735</v>
      </c>
    </row>
    <row r="235">
      <c r="A235" t="s">
        <v>22</v>
      </c>
      <c r="B235" t="s">
        <v>1736</v>
      </c>
      <c r="C235" t="s">
        <v>24</v>
      </c>
      <c r="D235" t="s">
        <v>100</v>
      </c>
      <c r="E235" t="s">
        <v>1737</v>
      </c>
      <c r="F235" s="2" t="n">
        <f>HYPERLINK("https://patents.google.com/patent/US20220125979","Google")</f>
        <v>0.0</v>
      </c>
      <c r="G235" s="2" t="n">
        <f>HYPERLINK("https://patentcenter.uspto.gov/applications/17446155","Patent Center")</f>
        <v>0.0</v>
      </c>
      <c r="H235" s="2" t="n">
        <f>HYPERLINK("https://worldwide.espacenet.com/patent/search?q=US20220125979","Espacenet")</f>
        <v>0.0</v>
      </c>
      <c r="I235" s="2" t="n">
        <f>HYPERLINK("https://ppubs.uspto.gov/pubwebapp/external.html?q=20220125979.pn.","USPTO")</f>
        <v>0.0</v>
      </c>
      <c r="J235" s="2" t="n">
        <f>HYPERLINK("https://image-ppubs.uspto.gov/dirsearch-public/print/downloadPdf/20220125979","USPTO PDF")</f>
        <v>0.0</v>
      </c>
      <c r="K235" s="2" t="n">
        <f>HYPERLINK("https://sectors.patentforecast.com/pmd/US20220125979","PMD")</f>
        <v>0.0</v>
      </c>
      <c r="L235" s="2" t="n">
        <f>HYPERLINK("https://globaldossier.uspto.gov/result/application/US/17446155/1","US20220125979")</f>
        <v>0.0</v>
      </c>
      <c r="M235" t="s">
        <v>1738</v>
      </c>
      <c r="N235" t="s">
        <v>1739</v>
      </c>
      <c r="O235" t="s">
        <v>1740</v>
      </c>
      <c r="P235" t="s">
        <v>1741</v>
      </c>
      <c r="Q235" s="3" t="n">
        <v>44434.0</v>
      </c>
      <c r="R235" s="3" t="n">
        <v>44679.0</v>
      </c>
      <c r="S235" s="3" t="n">
        <v>44680.230491724535</v>
      </c>
      <c r="T235" s="3" t="n">
        <v>44698.50334144676</v>
      </c>
      <c r="U235" t="s">
        <v>1742</v>
      </c>
      <c r="V235" t="s">
        <v>1743</v>
      </c>
    </row>
    <row r="236">
      <c r="A236" t="s">
        <v>22</v>
      </c>
      <c r="B236" t="s">
        <v>1744</v>
      </c>
      <c r="C236" t="s">
        <v>24</v>
      </c>
      <c r="D236" t="s">
        <v>100</v>
      </c>
      <c r="E236" t="s">
        <v>1745</v>
      </c>
      <c r="F236" s="2" t="n">
        <f>HYPERLINK("https://patents.google.com/patent/US20220125976","Google")</f>
        <v>0.0</v>
      </c>
      <c r="G236" s="2" t="n">
        <f>HYPERLINK("https://patentcenter.uspto.gov/applications/17078500","Patent Center")</f>
        <v>0.0</v>
      </c>
      <c r="H236" s="2" t="n">
        <f>HYPERLINK("https://worldwide.espacenet.com/patent/search?q=US20220125976","Espacenet")</f>
        <v>0.0</v>
      </c>
      <c r="I236" s="2" t="n">
        <f>HYPERLINK("https://ppubs.uspto.gov/pubwebapp/external.html?q=20220125976.pn.","USPTO")</f>
        <v>0.0</v>
      </c>
      <c r="J236" s="2" t="n">
        <f>HYPERLINK("https://image-ppubs.uspto.gov/dirsearch-public/print/downloadPdf/20220125976","USPTO PDF")</f>
        <v>0.0</v>
      </c>
      <c r="K236" s="2" t="n">
        <f>HYPERLINK("https://sectors.patentforecast.com/pmd/US20220125976","PMD")</f>
        <v>0.0</v>
      </c>
      <c r="L236" s="2" t="n">
        <f>HYPERLINK("https://globaldossier.uspto.gov/result/application/US/17078500/1","US20220125976")</f>
        <v>0.0</v>
      </c>
      <c r="M236" t="s">
        <v>1746</v>
      </c>
      <c r="N236" t="s">
        <v>1227</v>
      </c>
      <c r="O236" t="s">
        <v>1228</v>
      </c>
      <c r="P236" t="s">
        <v>1747</v>
      </c>
      <c r="Q236" s="3" t="n">
        <v>44127.0</v>
      </c>
      <c r="R236" s="3" t="n">
        <v>44679.0</v>
      </c>
      <c r="S236" s="3" t="n">
        <v>44680.230491724535</v>
      </c>
      <c r="T236" s="3" t="n">
        <v>44698.49735922454</v>
      </c>
      <c r="U236" t="s">
        <v>1748</v>
      </c>
      <c r="V236" t="s">
        <v>1749</v>
      </c>
    </row>
    <row r="237">
      <c r="A237" t="s">
        <v>22</v>
      </c>
      <c r="B237" t="s">
        <v>1750</v>
      </c>
      <c r="C237" t="s">
        <v>24</v>
      </c>
      <c r="D237" t="s">
        <v>1751</v>
      </c>
      <c r="E237" t="s">
        <v>1752</v>
      </c>
      <c r="F237" s="2" t="n">
        <f>HYPERLINK("https://patents.google.com/patent/US20220125975","Google")</f>
        <v>0.0</v>
      </c>
      <c r="G237" s="2" t="n">
        <f>HYPERLINK("https://patentcenter.uspto.gov/applications/17078025","Patent Center")</f>
        <v>0.0</v>
      </c>
      <c r="H237" s="2" t="n">
        <f>HYPERLINK("https://worldwide.espacenet.com/patent/search?q=US20220125975","Espacenet")</f>
        <v>0.0</v>
      </c>
      <c r="I237" s="2" t="n">
        <f>HYPERLINK("https://ppubs.uspto.gov/pubwebapp/external.html?q=20220125975.pn.","USPTO")</f>
        <v>0.0</v>
      </c>
      <c r="J237" s="2" t="n">
        <f>HYPERLINK("https://image-ppubs.uspto.gov/dirsearch-public/print/downloadPdf/20220125975","USPTO PDF")</f>
        <v>0.0</v>
      </c>
      <c r="K237" s="2" t="n">
        <f>HYPERLINK("https://sectors.patentforecast.com/pmd/US20220125975","PMD")</f>
        <v>0.0</v>
      </c>
      <c r="L237" s="2" t="n">
        <f>HYPERLINK("https://globaldossier.uspto.gov/result/application/US/17078025/1","US20220125975")</f>
        <v>0.0</v>
      </c>
      <c r="M237" t="s">
        <v>1753</v>
      </c>
      <c r="N237" t="s">
        <v>1754</v>
      </c>
      <c r="O237" t="s">
        <v>1755</v>
      </c>
      <c r="P237" t="s">
        <v>1756</v>
      </c>
      <c r="Q237" s="3" t="n">
        <v>44126.0</v>
      </c>
      <c r="R237" s="3" t="n">
        <v>44679.0</v>
      </c>
      <c r="S237" s="3" t="n">
        <v>44680.230491724535</v>
      </c>
      <c r="T237" s="3" t="n">
        <v>44698.49758859954</v>
      </c>
      <c r="U237" t="s">
        <v>31</v>
      </c>
      <c r="V237" t="s">
        <v>1757</v>
      </c>
    </row>
    <row r="238">
      <c r="A238" t="s">
        <v>22</v>
      </c>
      <c r="B238" t="s">
        <v>1758</v>
      </c>
      <c r="C238" t="s">
        <v>24</v>
      </c>
      <c r="D238" t="s">
        <v>100</v>
      </c>
      <c r="E238" t="s">
        <v>1759</v>
      </c>
      <c r="F238" s="2" t="n">
        <f>HYPERLINK("https://patents.google.com/patent/US20220125967","Google")</f>
        <v>0.0</v>
      </c>
      <c r="G238" s="2" t="n">
        <f>HYPERLINK("https://patentcenter.uspto.gov/applications/16950714","Patent Center")</f>
        <v>0.0</v>
      </c>
      <c r="H238" s="2" t="n">
        <f>HYPERLINK("https://worldwide.espacenet.com/patent/search?q=US20220125967","Espacenet")</f>
        <v>0.0</v>
      </c>
      <c r="I238" s="2" t="n">
        <f>HYPERLINK("https://ppubs.uspto.gov/pubwebapp/external.html?q=20220125967.pn.","USPTO")</f>
        <v>0.0</v>
      </c>
      <c r="J238" s="2" t="n">
        <f>HYPERLINK("https://image-ppubs.uspto.gov/dirsearch-public/print/downloadPdf/20220125967","USPTO PDF")</f>
        <v>0.0</v>
      </c>
      <c r="K238" s="2" t="n">
        <f>HYPERLINK("https://sectors.patentforecast.com/pmd/US20220125967","PMD")</f>
        <v>0.0</v>
      </c>
      <c r="L238" s="2" t="n">
        <f>HYPERLINK("https://globaldossier.uspto.gov/result/application/US/16950714/1","US20220125967")</f>
        <v>0.0</v>
      </c>
      <c r="M238" t="s">
        <v>1760</v>
      </c>
      <c r="N238" t="s">
        <v>1732</v>
      </c>
      <c r="O238" t="s">
        <v>1733</v>
      </c>
      <c r="P238" t="s">
        <v>1761</v>
      </c>
      <c r="Q238" s="3" t="n">
        <v>44152.0</v>
      </c>
      <c r="R238" s="3" t="n">
        <v>44679.0</v>
      </c>
      <c r="S238" s="3" t="n">
        <v>44680.230491724535</v>
      </c>
      <c r="T238" s="3" t="n">
        <v>44698.497695266204</v>
      </c>
      <c r="U238" t="s">
        <v>31</v>
      </c>
      <c r="V238" t="s">
        <v>1762</v>
      </c>
    </row>
    <row r="239">
      <c r="A239" t="s">
        <v>22</v>
      </c>
      <c r="B239" t="s">
        <v>1763</v>
      </c>
      <c r="C239" t="s">
        <v>132</v>
      </c>
      <c r="D239" t="s">
        <v>133</v>
      </c>
      <c r="E239" t="s">
        <v>1764</v>
      </c>
      <c r="F239" s="2" t="n">
        <f>HYPERLINK("https://patents.google.com/patent/US20220125914","Google")</f>
        <v>0.0</v>
      </c>
      <c r="G239" s="2" t="n">
        <f>HYPERLINK("https://patentcenter.uspto.gov/applications/17572182","Patent Center")</f>
        <v>0.0</v>
      </c>
      <c r="H239" s="2" t="n">
        <f>HYPERLINK("https://worldwide.espacenet.com/patent/search?q=US20220125914","Espacenet")</f>
        <v>0.0</v>
      </c>
      <c r="I239" s="2" t="n">
        <f>HYPERLINK("https://ppubs.uspto.gov/pubwebapp/external.html?q=20220125914.pn.","USPTO")</f>
        <v>0.0</v>
      </c>
      <c r="J239" s="2" t="n">
        <f>HYPERLINK("https://image-ppubs.uspto.gov/dirsearch-public/print/downloadPdf/20220125914","USPTO PDF")</f>
        <v>0.0</v>
      </c>
      <c r="K239" s="2" t="n">
        <f>HYPERLINK("https://sectors.patentforecast.com/pmd/US20220125914","PMD")</f>
        <v>0.0</v>
      </c>
      <c r="L239" s="2" t="n">
        <f>HYPERLINK("https://globaldossier.uspto.gov/result/application/US/17572182/1","US20220125914")</f>
        <v>0.0</v>
      </c>
      <c r="M239" t="s">
        <v>1765</v>
      </c>
      <c r="N239" t="s">
        <v>1275</v>
      </c>
      <c r="O239" t="s">
        <v>1275</v>
      </c>
      <c r="P239" t="s">
        <v>1766</v>
      </c>
      <c r="Q239" s="3" t="n">
        <v>44571.0</v>
      </c>
      <c r="R239" s="3" t="n">
        <v>44679.0</v>
      </c>
      <c r="S239" s="3" t="n">
        <v>44680.230491724535</v>
      </c>
      <c r="T239" s="3" t="n">
        <v>44698.497892141204</v>
      </c>
      <c r="U239" t="s">
        <v>1767</v>
      </c>
      <c r="V239" t="s">
        <v>1768</v>
      </c>
    </row>
    <row r="240">
      <c r="A240" t="s">
        <v>22</v>
      </c>
      <c r="B240" t="s">
        <v>1769</v>
      </c>
      <c r="C240" t="s">
        <v>24</v>
      </c>
      <c r="D240" t="s">
        <v>892</v>
      </c>
      <c r="E240" t="s">
        <v>1770</v>
      </c>
      <c r="F240" s="2" t="n">
        <f>HYPERLINK("https://patents.google.com/patent/US20220125913","Google")</f>
        <v>0.0</v>
      </c>
      <c r="G240" s="2" t="n">
        <f>HYPERLINK("https://patentcenter.uspto.gov/applications/17511090","Patent Center")</f>
        <v>0.0</v>
      </c>
      <c r="H240" s="2" t="n">
        <f>HYPERLINK("https://worldwide.espacenet.com/patent/search?q=US20220125913","Espacenet")</f>
        <v>0.0</v>
      </c>
      <c r="I240" s="2" t="n">
        <f>HYPERLINK("https://ppubs.uspto.gov/pubwebapp/external.html?q=20220125913.pn.","USPTO")</f>
        <v>0.0</v>
      </c>
      <c r="J240" s="2" t="n">
        <f>HYPERLINK("https://image-ppubs.uspto.gov/dirsearch-public/print/downloadPdf/20220125913","USPTO PDF")</f>
        <v>0.0</v>
      </c>
      <c r="K240" s="2" t="n">
        <f>HYPERLINK("https://sectors.patentforecast.com/pmd/US20220125913","PMD")</f>
        <v>0.0</v>
      </c>
      <c r="L240" s="2" t="n">
        <f>HYPERLINK("https://globaldossier.uspto.gov/result/application/US/17511090/1","US20220125913")</f>
        <v>0.0</v>
      </c>
      <c r="M240" t="s">
        <v>1771</v>
      </c>
      <c r="N240" t="s">
        <v>1772</v>
      </c>
      <c r="O240" t="s">
        <v>1773</v>
      </c>
      <c r="P240" t="s">
        <v>1774</v>
      </c>
      <c r="Q240" s="3" t="n">
        <v>44495.0</v>
      </c>
      <c r="R240" s="3" t="n">
        <v>44679.0</v>
      </c>
      <c r="S240" s="3" t="n">
        <v>44680.230491724535</v>
      </c>
      <c r="T240" s="3" t="n">
        <v>44698.476116770835</v>
      </c>
      <c r="U240" t="s">
        <v>1775</v>
      </c>
      <c r="V240" t="s">
        <v>1776</v>
      </c>
    </row>
    <row r="241">
      <c r="A241" t="s">
        <v>22</v>
      </c>
      <c r="B241" t="s">
        <v>1777</v>
      </c>
      <c r="C241" t="s">
        <v>60</v>
      </c>
      <c r="D241" t="s">
        <v>1257</v>
      </c>
      <c r="E241" t="s">
        <v>1778</v>
      </c>
      <c r="F241" s="2" t="n">
        <f>HYPERLINK("https://patents.google.com/patent/US20220125884","Google")</f>
        <v>0.0</v>
      </c>
      <c r="G241" s="2" t="n">
        <f>HYPERLINK("https://patentcenter.uspto.gov/applications/17506483","Patent Center")</f>
        <v>0.0</v>
      </c>
      <c r="H241" s="2" t="n">
        <f>HYPERLINK("https://worldwide.espacenet.com/patent/search?q=US20220125884","Espacenet")</f>
        <v>0.0</v>
      </c>
      <c r="I241" s="2" t="n">
        <f>HYPERLINK("https://ppubs.uspto.gov/pubwebapp/external.html?q=20220125884.pn.","USPTO")</f>
        <v>0.0</v>
      </c>
      <c r="J241" s="2" t="n">
        <f>HYPERLINK("https://image-ppubs.uspto.gov/dirsearch-public/print/downloadPdf/20220125884","USPTO PDF")</f>
        <v>0.0</v>
      </c>
      <c r="K241" s="2" t="n">
        <f>HYPERLINK("https://sectors.patentforecast.com/pmd/US20220125884","PMD")</f>
        <v>0.0</v>
      </c>
      <c r="L241" s="2" t="n">
        <f>HYPERLINK("https://globaldossier.uspto.gov/result/application/US/17506483/1","US20220125884")</f>
        <v>0.0</v>
      </c>
      <c r="M241" t="s">
        <v>1779</v>
      </c>
      <c r="N241" t="s">
        <v>664</v>
      </c>
      <c r="O241" t="s">
        <v>665</v>
      </c>
      <c r="P241" t="s">
        <v>1780</v>
      </c>
      <c r="Q241" s="3" t="n">
        <v>44489.0</v>
      </c>
      <c r="R241" s="3" t="n">
        <v>44679.0</v>
      </c>
      <c r="S241" s="3" t="n">
        <v>44680.22945148148</v>
      </c>
      <c r="T241" s="3" t="n">
        <v>44698.589795011576</v>
      </c>
      <c r="U241" t="s">
        <v>31</v>
      </c>
      <c r="V241" t="s">
        <v>1781</v>
      </c>
    </row>
    <row r="242">
      <c r="A242" t="s">
        <v>22</v>
      </c>
      <c r="B242" t="s">
        <v>1782</v>
      </c>
      <c r="C242" t="s">
        <v>561</v>
      </c>
      <c r="D242" t="s">
        <v>616</v>
      </c>
      <c r="E242" t="s">
        <v>1783</v>
      </c>
      <c r="F242" s="2" t="n">
        <f>HYPERLINK("https://patents.google.com/patent/US20220125878","Google")</f>
        <v>0.0</v>
      </c>
      <c r="G242" s="2" t="n">
        <f>HYPERLINK("https://patentcenter.uspto.gov/applications/17506370","Patent Center")</f>
        <v>0.0</v>
      </c>
      <c r="H242" s="2" t="n">
        <f>HYPERLINK("https://worldwide.espacenet.com/patent/search?q=US20220125878","Espacenet")</f>
        <v>0.0</v>
      </c>
      <c r="I242" s="2" t="n">
        <f>HYPERLINK("https://ppubs.uspto.gov/pubwebapp/external.html?q=20220125878.pn.","USPTO")</f>
        <v>0.0</v>
      </c>
      <c r="J242" s="2" t="n">
        <f>HYPERLINK("https://image-ppubs.uspto.gov/dirsearch-public/print/downloadPdf/20220125878","USPTO PDF")</f>
        <v>0.0</v>
      </c>
      <c r="K242" s="2" t="n">
        <f>HYPERLINK("https://sectors.patentforecast.com/pmd/US20220125878","PMD")</f>
        <v>0.0</v>
      </c>
      <c r="L242" s="2" t="n">
        <f>HYPERLINK("https://globaldossier.uspto.gov/result/application/US/17506370/1","US20220125878")</f>
        <v>0.0</v>
      </c>
      <c r="M242" t="s">
        <v>1784</v>
      </c>
      <c r="N242" t="s">
        <v>1785</v>
      </c>
      <c r="O242" t="s">
        <v>1785</v>
      </c>
      <c r="P242" t="s">
        <v>1786</v>
      </c>
      <c r="Q242" s="3" t="n">
        <v>44489.0</v>
      </c>
      <c r="R242" s="3" t="n">
        <v>44679.0</v>
      </c>
      <c r="S242" s="3" t="n">
        <v>44680.22945148148</v>
      </c>
      <c r="T242" s="3" t="n">
        <v>44698.59030409722</v>
      </c>
      <c r="U242" t="s">
        <v>1787</v>
      </c>
      <c r="V242" t="s">
        <v>1788</v>
      </c>
    </row>
    <row r="243">
      <c r="A243" t="s">
        <v>22</v>
      </c>
      <c r="B243" t="s">
        <v>1789</v>
      </c>
      <c r="C243" t="s">
        <v>60</v>
      </c>
      <c r="D243" t="s">
        <v>61</v>
      </c>
      <c r="E243" t="s">
        <v>1790</v>
      </c>
      <c r="F243" s="2" t="n">
        <f>HYPERLINK("https://patents.google.com/patent/US20220125843","Google")</f>
        <v>0.0</v>
      </c>
      <c r="G243" s="2" t="n">
        <f>HYPERLINK("https://patentcenter.uspto.gov/applications/17478615","Patent Center")</f>
        <v>0.0</v>
      </c>
      <c r="H243" s="2" t="n">
        <f>HYPERLINK("https://worldwide.espacenet.com/patent/search?q=US20220125843","Espacenet")</f>
        <v>0.0</v>
      </c>
      <c r="I243" s="2" t="n">
        <f>HYPERLINK("https://ppubs.uspto.gov/pubwebapp/external.html?q=20220125843.pn.","USPTO")</f>
        <v>0.0</v>
      </c>
      <c r="J243" s="2" t="n">
        <f>HYPERLINK("https://image-ppubs.uspto.gov/dirsearch-public/print/downloadPdf/20220125843","USPTO PDF")</f>
        <v>0.0</v>
      </c>
      <c r="K243" s="2" t="n">
        <f>HYPERLINK("https://sectors.patentforecast.com/pmd/US20220125843","PMD")</f>
        <v>0.0</v>
      </c>
      <c r="L243" s="2" t="n">
        <f>HYPERLINK("https://globaldossier.uspto.gov/result/application/US/17478615/1","US20220125843")</f>
        <v>0.0</v>
      </c>
      <c r="M243" t="s">
        <v>1791</v>
      </c>
      <c r="N243" t="s">
        <v>1792</v>
      </c>
      <c r="O243" t="s">
        <v>1793</v>
      </c>
      <c r="P243" t="s">
        <v>1794</v>
      </c>
      <c r="Q243" s="3" t="n">
        <v>44456.0</v>
      </c>
      <c r="R243" s="3" t="n">
        <v>44679.0</v>
      </c>
      <c r="S243" s="3" t="n">
        <v>44680.23202640047</v>
      </c>
      <c r="T243" s="3" t="n">
        <v>44698.60502771991</v>
      </c>
      <c r="U243" t="s">
        <v>31</v>
      </c>
      <c r="V243" t="s">
        <v>1795</v>
      </c>
    </row>
    <row r="244">
      <c r="A244" t="s">
        <v>22</v>
      </c>
      <c r="B244" t="s">
        <v>1796</v>
      </c>
      <c r="C244" t="s">
        <v>60</v>
      </c>
      <c r="D244" t="s">
        <v>61</v>
      </c>
      <c r="E244" t="s">
        <v>1797</v>
      </c>
      <c r="F244" s="2" t="n">
        <f>HYPERLINK("https://patents.google.com/patent/US20220125833","Google")</f>
        <v>0.0</v>
      </c>
      <c r="G244" s="2" t="n">
        <f>HYPERLINK("https://patentcenter.uspto.gov/applications/17451843","Patent Center")</f>
        <v>0.0</v>
      </c>
      <c r="H244" s="2" t="n">
        <f>HYPERLINK("https://worldwide.espacenet.com/patent/search?q=US20220125833","Espacenet")</f>
        <v>0.0</v>
      </c>
      <c r="I244" s="2" t="n">
        <f>HYPERLINK("https://ppubs.uspto.gov/pubwebapp/external.html?q=20220125833.pn.","USPTO")</f>
        <v>0.0</v>
      </c>
      <c r="J244" s="2" t="n">
        <f>HYPERLINK("https://image-ppubs.uspto.gov/dirsearch-public/print/downloadPdf/20220125833","USPTO PDF")</f>
        <v>0.0</v>
      </c>
      <c r="K244" s="2" t="n">
        <f>HYPERLINK("https://sectors.patentforecast.com/pmd/US20220125833","PMD")</f>
        <v>0.0</v>
      </c>
      <c r="L244" s="2" t="n">
        <f>HYPERLINK("https://globaldossier.uspto.gov/result/application/US/17451843/1","US20220125833")</f>
        <v>0.0</v>
      </c>
      <c r="M244" t="s">
        <v>1798</v>
      </c>
      <c r="N244" t="s">
        <v>1799</v>
      </c>
      <c r="O244" t="s">
        <v>1799</v>
      </c>
      <c r="P244" t="s">
        <v>1800</v>
      </c>
      <c r="Q244" s="3" t="n">
        <v>44491.0</v>
      </c>
      <c r="R244" s="3" t="n">
        <v>44679.0</v>
      </c>
      <c r="S244" s="3" t="n">
        <v>44680.230491724535</v>
      </c>
      <c r="T244" s="3" t="n">
        <v>44698.60534324074</v>
      </c>
      <c r="U244" t="s">
        <v>1801</v>
      </c>
      <c r="V244" t="s">
        <v>1802</v>
      </c>
    </row>
    <row r="245">
      <c r="A245" t="s">
        <v>22</v>
      </c>
      <c r="B245" t="s">
        <v>1803</v>
      </c>
      <c r="C245" t="s">
        <v>496</v>
      </c>
      <c r="D245" t="s">
        <v>616</v>
      </c>
      <c r="E245" t="s">
        <v>1804</v>
      </c>
      <c r="F245" s="2" t="n">
        <f>HYPERLINK("https://patents.google.com/patent/US20220125819","Google")</f>
        <v>0.0</v>
      </c>
      <c r="G245" s="2" t="n">
        <f>HYPERLINK("https://patentcenter.uspto.gov/applications/17568452","Patent Center")</f>
        <v>0.0</v>
      </c>
      <c r="H245" s="2" t="n">
        <f>HYPERLINK("https://worldwide.espacenet.com/patent/search?q=US20220125819","Espacenet")</f>
        <v>0.0</v>
      </c>
      <c r="I245" s="2" t="n">
        <f>HYPERLINK("https://ppubs.uspto.gov/pubwebapp/external.html?q=20220125819.pn.","USPTO")</f>
        <v>0.0</v>
      </c>
      <c r="J245" s="2" t="n">
        <f>HYPERLINK("https://image-ppubs.uspto.gov/dirsearch-public/print/downloadPdf/20220125819","USPTO PDF")</f>
        <v>0.0</v>
      </c>
      <c r="K245" s="2" t="n">
        <f>HYPERLINK("https://sectors.patentforecast.com/pmd/US20220125819","PMD")</f>
        <v>0.0</v>
      </c>
      <c r="L245" s="2" t="n">
        <f>HYPERLINK("https://globaldossier.uspto.gov/result/application/US/17568452/1","US20220125819")</f>
        <v>0.0</v>
      </c>
      <c r="M245" t="s">
        <v>1805</v>
      </c>
      <c r="N245" t="s">
        <v>1806</v>
      </c>
      <c r="O245" t="s">
        <v>1806</v>
      </c>
      <c r="P245" t="s">
        <v>1807</v>
      </c>
      <c r="Q245" s="3" t="n">
        <v>44565.0</v>
      </c>
      <c r="R245" s="3" t="n">
        <v>44679.0</v>
      </c>
      <c r="S245" s="3" t="n">
        <v>44680.230491724535</v>
      </c>
      <c r="T245" s="3" t="n">
        <v>44698.49891577546</v>
      </c>
      <c r="U245" t="s">
        <v>31</v>
      </c>
      <c r="V245" t="s">
        <v>1808</v>
      </c>
    </row>
    <row r="246">
      <c r="A246" t="s">
        <v>22</v>
      </c>
      <c r="B246" t="s">
        <v>1809</v>
      </c>
      <c r="C246" t="s">
        <v>60</v>
      </c>
      <c r="D246" t="s">
        <v>61</v>
      </c>
      <c r="E246" t="s">
        <v>1810</v>
      </c>
      <c r="F246" s="2" t="n">
        <f>HYPERLINK("https://patents.google.com/patent/US20220125818","Google")</f>
        <v>0.0</v>
      </c>
      <c r="G246" s="2" t="n">
        <f>HYPERLINK("https://patentcenter.uspto.gov/applications/17089344","Patent Center")</f>
        <v>0.0</v>
      </c>
      <c r="H246" s="2" t="n">
        <f>HYPERLINK("https://worldwide.espacenet.com/patent/search?q=US20220125818","Espacenet")</f>
        <v>0.0</v>
      </c>
      <c r="I246" s="2" t="n">
        <f>HYPERLINK("https://ppubs.uspto.gov/pubwebapp/external.html?q=20220125818.pn.","USPTO")</f>
        <v>0.0</v>
      </c>
      <c r="J246" s="2" t="n">
        <f>HYPERLINK("https://image-ppubs.uspto.gov/dirsearch-public/print/downloadPdf/20220125818","USPTO PDF")</f>
        <v>0.0</v>
      </c>
      <c r="K246" s="2" t="n">
        <f>HYPERLINK("https://sectors.patentforecast.com/pmd/US20220125818","PMD")</f>
        <v>0.0</v>
      </c>
      <c r="L246" s="2" t="n">
        <f>HYPERLINK("https://globaldossier.uspto.gov/result/application/US/17089344/1","US20220125818")</f>
        <v>0.0</v>
      </c>
      <c r="M246" t="s">
        <v>1811</v>
      </c>
      <c r="N246" t="s">
        <v>1812</v>
      </c>
      <c r="O246" t="s">
        <v>1812</v>
      </c>
      <c r="P246" t="s">
        <v>1813</v>
      </c>
      <c r="Q246" s="3" t="n">
        <v>44139.0</v>
      </c>
      <c r="R246" s="3" t="n">
        <v>44679.0</v>
      </c>
      <c r="S246" s="3" t="n">
        <v>44680.230491724535</v>
      </c>
      <c r="T246" s="3" t="n">
        <v>44698.605403912035</v>
      </c>
      <c r="U246" t="s">
        <v>1814</v>
      </c>
      <c r="V246" t="s">
        <v>1815</v>
      </c>
    </row>
    <row r="247">
      <c r="A247" t="s">
        <v>22</v>
      </c>
      <c r="B247" t="s">
        <v>1816</v>
      </c>
      <c r="C247" t="s">
        <v>60</v>
      </c>
      <c r="D247" t="s">
        <v>61</v>
      </c>
      <c r="E247" t="s">
        <v>1817</v>
      </c>
      <c r="F247" s="2" t="n">
        <f>HYPERLINK("https://patents.google.com/patent/US20220125809","Google")</f>
        <v>0.0</v>
      </c>
      <c r="G247" s="2" t="n">
        <f>HYPERLINK("https://patentcenter.uspto.gov/applications/17570054","Patent Center")</f>
        <v>0.0</v>
      </c>
      <c r="H247" s="2" t="n">
        <f>HYPERLINK("https://worldwide.espacenet.com/patent/search?q=US20220125809","Espacenet")</f>
        <v>0.0</v>
      </c>
      <c r="I247" s="2" t="n">
        <f>HYPERLINK("https://ppubs.uspto.gov/pubwebapp/external.html?q=20220125809.pn.","USPTO")</f>
        <v>0.0</v>
      </c>
      <c r="J247" s="2" t="n">
        <f>HYPERLINK("https://image-ppubs.uspto.gov/dirsearch-public/print/downloadPdf/20220125809","USPTO PDF")</f>
        <v>0.0</v>
      </c>
      <c r="K247" s="2" t="n">
        <f>HYPERLINK("https://sectors.patentforecast.com/pmd/US20220125809","PMD")</f>
        <v>0.0</v>
      </c>
      <c r="L247" s="2" t="n">
        <f>HYPERLINK("https://globaldossier.uspto.gov/result/application/US/17570054/1","US20220125809")</f>
        <v>0.0</v>
      </c>
      <c r="M247" t="s">
        <v>1818</v>
      </c>
      <c r="N247" t="s">
        <v>1819</v>
      </c>
      <c r="O247" t="s">
        <v>1820</v>
      </c>
      <c r="P247" t="s">
        <v>1821</v>
      </c>
      <c r="Q247" s="3" t="n">
        <v>44567.0</v>
      </c>
      <c r="R247" s="3" t="n">
        <v>44679.0</v>
      </c>
      <c r="S247" s="3" t="n">
        <v>44680.230491724535</v>
      </c>
      <c r="T247" s="3" t="n">
        <v>44698.60565171296</v>
      </c>
      <c r="U247" t="s">
        <v>1822</v>
      </c>
      <c r="V247" t="s">
        <v>1823</v>
      </c>
    </row>
    <row r="248">
      <c r="A248" t="s">
        <v>22</v>
      </c>
      <c r="B248" t="s">
        <v>1824</v>
      </c>
      <c r="C248" t="s">
        <v>132</v>
      </c>
      <c r="D248" t="s">
        <v>142</v>
      </c>
      <c r="E248" t="s">
        <v>1825</v>
      </c>
      <c r="F248" s="2" t="n">
        <f>HYPERLINK("https://patents.google.com/patent/US20220125773","Google")</f>
        <v>0.0</v>
      </c>
      <c r="G248" s="2" t="n">
        <f>HYPERLINK("https://patentcenter.uspto.gov/applications/17512268","Patent Center")</f>
        <v>0.0</v>
      </c>
      <c r="H248" s="2" t="n">
        <f>HYPERLINK("https://worldwide.espacenet.com/patent/search?q=US20220125773","Espacenet")</f>
        <v>0.0</v>
      </c>
      <c r="I248" s="2" t="n">
        <f>HYPERLINK("https://ppubs.uspto.gov/pubwebapp/external.html?q=20220125773.pn.","USPTO")</f>
        <v>0.0</v>
      </c>
      <c r="J248" s="2" t="n">
        <f>HYPERLINK("https://image-ppubs.uspto.gov/dirsearch-public/print/downloadPdf/20220125773","USPTO PDF")</f>
        <v>0.0</v>
      </c>
      <c r="K248" s="2" t="n">
        <f>HYPERLINK("https://sectors.patentforecast.com/pmd/US20220125773","PMD")</f>
        <v>0.0</v>
      </c>
      <c r="L248" s="2" t="n">
        <f>HYPERLINK("https://globaldossier.uspto.gov/result/application/US/17512268/1","US20220125773")</f>
        <v>0.0</v>
      </c>
      <c r="M248" t="s">
        <v>1826</v>
      </c>
      <c r="N248" t="s">
        <v>1827</v>
      </c>
      <c r="O248" t="s">
        <v>1828</v>
      </c>
      <c r="P248" t="s">
        <v>1829</v>
      </c>
      <c r="Q248" s="3" t="n">
        <v>44496.0</v>
      </c>
      <c r="R248" s="3" t="n">
        <v>44679.0</v>
      </c>
      <c r="S248" s="3" t="n">
        <v>44680.230491724535</v>
      </c>
      <c r="T248" s="3" t="n">
        <v>44698.606205648146</v>
      </c>
      <c r="U248" t="s">
        <v>31</v>
      </c>
      <c r="V248" t="s">
        <v>1830</v>
      </c>
    </row>
    <row r="249">
      <c r="A249" t="s">
        <v>22</v>
      </c>
      <c r="B249" t="s">
        <v>1831</v>
      </c>
      <c r="C249" t="s">
        <v>60</v>
      </c>
      <c r="D249" t="s">
        <v>61</v>
      </c>
      <c r="E249" t="s">
        <v>1832</v>
      </c>
      <c r="F249" s="2" t="n">
        <f>HYPERLINK("https://patents.google.com/patent/US20220125768","Google")</f>
        <v>0.0</v>
      </c>
      <c r="G249" s="2" t="n">
        <f>HYPERLINK("https://patentcenter.uspto.gov/applications/17511044","Patent Center")</f>
        <v>0.0</v>
      </c>
      <c r="H249" s="2" t="n">
        <f>HYPERLINK("https://worldwide.espacenet.com/patent/search?q=US20220125768","Espacenet")</f>
        <v>0.0</v>
      </c>
      <c r="I249" s="2" t="n">
        <f>HYPERLINK("https://ppubs.uspto.gov/pubwebapp/external.html?q=20220125768.pn.","USPTO")</f>
        <v>0.0</v>
      </c>
      <c r="J249" s="2" t="n">
        <f>HYPERLINK("https://image-ppubs.uspto.gov/dirsearch-public/print/downloadPdf/20220125768","USPTO PDF")</f>
        <v>0.0</v>
      </c>
      <c r="K249" s="2" t="n">
        <f>HYPERLINK("https://sectors.patentforecast.com/pmd/US20220125768","PMD")</f>
        <v>0.0</v>
      </c>
      <c r="L249" s="2" t="n">
        <f>HYPERLINK("https://globaldossier.uspto.gov/result/application/US/17511044/1","US20220125768")</f>
        <v>0.0</v>
      </c>
      <c r="M249" t="s">
        <v>1833</v>
      </c>
      <c r="N249" t="s">
        <v>1834</v>
      </c>
      <c r="O249" t="s">
        <v>1835</v>
      </c>
      <c r="P249" t="s">
        <v>1836</v>
      </c>
      <c r="Q249" s="3" t="n">
        <v>44495.0</v>
      </c>
      <c r="R249" s="3" t="n">
        <v>44679.0</v>
      </c>
      <c r="S249" s="3" t="n">
        <v>44680.22945148148</v>
      </c>
      <c r="T249" s="3" t="n">
        <v>44698.606343680556</v>
      </c>
      <c r="U249" t="s">
        <v>1837</v>
      </c>
      <c r="V249" t="s">
        <v>1838</v>
      </c>
    </row>
    <row r="250">
      <c r="A250" t="s">
        <v>22</v>
      </c>
      <c r="B250" t="s">
        <v>1839</v>
      </c>
      <c r="C250" t="s">
        <v>24</v>
      </c>
      <c r="D250" t="s">
        <v>69</v>
      </c>
      <c r="E250" t="s">
        <v>1840</v>
      </c>
      <c r="F250" s="2" t="n">
        <f>HYPERLINK("https://patents.google.com/patent/US20220125657","Google")</f>
        <v>0.0</v>
      </c>
      <c r="G250" s="2" t="n">
        <f>HYPERLINK("https://patentcenter.uspto.gov/applications/17079675","Patent Center")</f>
        <v>0.0</v>
      </c>
      <c r="H250" s="2" t="n">
        <f>HYPERLINK("https://worldwide.espacenet.com/patent/search?q=US20220125657","Espacenet")</f>
        <v>0.0</v>
      </c>
      <c r="I250" s="2" t="n">
        <f>HYPERLINK("https://ppubs.uspto.gov/pubwebapp/external.html?q=20220125657.pn.","USPTO")</f>
        <v>0.0</v>
      </c>
      <c r="J250" s="2" t="n">
        <f>HYPERLINK("https://image-ppubs.uspto.gov/dirsearch-public/print/downloadPdf/20220125657","USPTO PDF")</f>
        <v>0.0</v>
      </c>
      <c r="K250" s="2" t="n">
        <f>HYPERLINK("https://sectors.patentforecast.com/pmd/US20220125657","PMD")</f>
        <v>0.0</v>
      </c>
      <c r="L250" s="2" t="n">
        <f>HYPERLINK("https://globaldossier.uspto.gov/result/application/US/17079675/1","US20220125657")</f>
        <v>0.0</v>
      </c>
      <c r="M250" t="s">
        <v>1841</v>
      </c>
      <c r="N250" t="s">
        <v>1842</v>
      </c>
      <c r="O250" t="s">
        <v>1842</v>
      </c>
      <c r="P250" t="s">
        <v>1843</v>
      </c>
      <c r="Q250" s="3" t="n">
        <v>44130.0</v>
      </c>
      <c r="R250" s="3" t="n">
        <v>44679.0</v>
      </c>
      <c r="S250" s="3" t="n">
        <v>44680.230058726855</v>
      </c>
      <c r="T250" s="3" t="n">
        <v>44698.52569873843</v>
      </c>
      <c r="U250" t="s">
        <v>1844</v>
      </c>
      <c r="V250" t="s">
        <v>1845</v>
      </c>
    </row>
    <row r="251">
      <c r="A251" t="s">
        <v>22</v>
      </c>
      <c r="B251" t="s">
        <v>1846</v>
      </c>
      <c r="C251" t="s">
        <v>24</v>
      </c>
      <c r="D251" t="s">
        <v>25</v>
      </c>
      <c r="E251" t="s">
        <v>1847</v>
      </c>
      <c r="F251" s="2" t="n">
        <f>HYPERLINK("https://patents.google.com/patent/US20220125373","Google")</f>
        <v>0.0</v>
      </c>
      <c r="G251" s="2" t="n">
        <f>HYPERLINK("https://patentcenter.uspto.gov/applications/17428524","Patent Center")</f>
        <v>0.0</v>
      </c>
      <c r="H251" s="2" t="n">
        <f>HYPERLINK("https://worldwide.espacenet.com/patent/search?q=US20220125373","Espacenet")</f>
        <v>0.0</v>
      </c>
      <c r="I251" s="2" t="n">
        <f>HYPERLINK("https://ppubs.uspto.gov/pubwebapp/external.html?q=20220125373.pn.","USPTO")</f>
        <v>0.0</v>
      </c>
      <c r="J251" s="2" t="n">
        <f>HYPERLINK("https://image-ppubs.uspto.gov/dirsearch-public/print/downloadPdf/20220125373","USPTO PDF")</f>
        <v>0.0</v>
      </c>
      <c r="K251" s="2" t="n">
        <f>HYPERLINK("https://sectors.patentforecast.com/pmd/US20220125373","PMD")</f>
        <v>0.0</v>
      </c>
      <c r="L251" s="2" t="n">
        <f>HYPERLINK("https://globaldossier.uspto.gov/result/application/US/17428524/1","US20220125373")</f>
        <v>0.0</v>
      </c>
      <c r="M251" t="s">
        <v>1848</v>
      </c>
      <c r="N251" t="s">
        <v>1849</v>
      </c>
      <c r="O251" t="s">
        <v>1850</v>
      </c>
      <c r="P251" t="s">
        <v>1851</v>
      </c>
      <c r="Q251" s="3" t="n">
        <v>43868.0</v>
      </c>
      <c r="R251" s="3" t="n">
        <v>44679.0</v>
      </c>
      <c r="S251" s="3" t="n">
        <v>44680.235266840275</v>
      </c>
      <c r="T251" s="3" t="n">
        <v>44698.60671386574</v>
      </c>
      <c r="U251" t="s">
        <v>1852</v>
      </c>
      <c r="V251" t="s">
        <v>1853</v>
      </c>
    </row>
    <row r="252">
      <c r="A252" t="s">
        <v>22</v>
      </c>
      <c r="B252" t="s">
        <v>1854</v>
      </c>
      <c r="C252" t="s">
        <v>24</v>
      </c>
      <c r="D252" t="s">
        <v>69</v>
      </c>
      <c r="E252" t="s">
        <v>1855</v>
      </c>
      <c r="F252" s="2" t="n">
        <f>HYPERLINK("https://patents.google.com/patent/US20220125333","Google")</f>
        <v>0.0</v>
      </c>
      <c r="G252" s="2" t="n">
        <f>HYPERLINK("https://patentcenter.uspto.gov/applications/17511487","Patent Center")</f>
        <v>0.0</v>
      </c>
      <c r="H252" s="2" t="n">
        <f>HYPERLINK("https://worldwide.espacenet.com/patent/search?q=US20220125333","Espacenet")</f>
        <v>0.0</v>
      </c>
      <c r="I252" s="2" t="n">
        <f>HYPERLINK("https://ppubs.uspto.gov/pubwebapp/external.html?q=20220125333.pn.","USPTO")</f>
        <v>0.0</v>
      </c>
      <c r="J252" s="2" t="n">
        <f>HYPERLINK("https://image-ppubs.uspto.gov/dirsearch-public/print/downloadPdf/20220125333","USPTO PDF")</f>
        <v>0.0</v>
      </c>
      <c r="K252" s="2" t="n">
        <f>HYPERLINK("https://sectors.patentforecast.com/pmd/US20220125333","PMD")</f>
        <v>0.0</v>
      </c>
      <c r="L252" s="2" t="n">
        <f>HYPERLINK("https://globaldossier.uspto.gov/result/application/US/17511487/1","US20220125333")</f>
        <v>0.0</v>
      </c>
      <c r="M252" t="s">
        <v>1856</v>
      </c>
      <c r="N252" t="s">
        <v>1857</v>
      </c>
      <c r="O252" t="s">
        <v>1858</v>
      </c>
      <c r="P252" t="s">
        <v>1859</v>
      </c>
      <c r="Q252" s="3" t="n">
        <v>44495.0</v>
      </c>
      <c r="R252" s="3" t="n">
        <v>44679.0</v>
      </c>
      <c r="S252" s="3" t="n">
        <v>44680.230058726855</v>
      </c>
      <c r="T252" s="3" t="n">
        <v>44698.49917199074</v>
      </c>
      <c r="U252" t="s">
        <v>1860</v>
      </c>
      <c r="V252" t="s">
        <v>1861</v>
      </c>
    </row>
    <row r="253">
      <c r="A253" t="s">
        <v>22</v>
      </c>
      <c r="B253" t="s">
        <v>1862</v>
      </c>
      <c r="C253" t="s">
        <v>60</v>
      </c>
      <c r="D253" t="s">
        <v>715</v>
      </c>
      <c r="E253" t="s">
        <v>1863</v>
      </c>
      <c r="F253" s="2" t="n">
        <f>HYPERLINK("https://patents.google.com/patent/US20220125330","Google")</f>
        <v>0.0</v>
      </c>
      <c r="G253" s="2" t="n">
        <f>HYPERLINK("https://patentcenter.uspto.gov/applications/17081287","Patent Center")</f>
        <v>0.0</v>
      </c>
      <c r="H253" s="2" t="n">
        <f>HYPERLINK("https://worldwide.espacenet.com/patent/search?q=US20220125330","Espacenet")</f>
        <v>0.0</v>
      </c>
      <c r="I253" s="2" t="n">
        <f>HYPERLINK("https://ppubs.uspto.gov/pubwebapp/external.html?q=20220125330.pn.","USPTO")</f>
        <v>0.0</v>
      </c>
      <c r="J253" s="2" t="n">
        <f>HYPERLINK("https://image-ppubs.uspto.gov/dirsearch-public/print/downloadPdf/20220125330","USPTO PDF")</f>
        <v>0.0</v>
      </c>
      <c r="K253" s="2" t="n">
        <f>HYPERLINK("https://sectors.patentforecast.com/pmd/US20220125330","PMD")</f>
        <v>0.0</v>
      </c>
      <c r="L253" s="2" t="n">
        <f>HYPERLINK("https://globaldossier.uspto.gov/result/application/US/17081287/1","US20220125330")</f>
        <v>0.0</v>
      </c>
      <c r="M253" t="s">
        <v>1864</v>
      </c>
      <c r="N253" t="s">
        <v>1865</v>
      </c>
      <c r="O253" t="s">
        <v>1866</v>
      </c>
      <c r="P253" t="s">
        <v>1867</v>
      </c>
      <c r="Q253" s="3" t="n">
        <v>44131.0</v>
      </c>
      <c r="R253" s="3" t="n">
        <v>44679.0</v>
      </c>
      <c r="S253" s="3" t="n">
        <v>44680.230058726855</v>
      </c>
      <c r="T253" s="3" t="n">
        <v>44698.49955847222</v>
      </c>
      <c r="U253" t="s">
        <v>1868</v>
      </c>
      <c r="V253" t="s">
        <v>1869</v>
      </c>
    </row>
    <row r="254">
      <c r="A254" t="s">
        <v>22</v>
      </c>
      <c r="B254" t="s">
        <v>1870</v>
      </c>
      <c r="C254" t="s">
        <v>24</v>
      </c>
      <c r="D254" t="s">
        <v>100</v>
      </c>
      <c r="E254" t="s">
        <v>1871</v>
      </c>
      <c r="F254" s="2" t="n">
        <f>HYPERLINK("https://patents.google.com/patent/US20220125287","Google")</f>
        <v>0.0</v>
      </c>
      <c r="G254" s="2" t="n">
        <f>HYPERLINK("https://patentcenter.uspto.gov/applications/17509304","Patent Center")</f>
        <v>0.0</v>
      </c>
      <c r="H254" s="2" t="n">
        <f>HYPERLINK("https://worldwide.espacenet.com/patent/search?q=US20220125287","Espacenet")</f>
        <v>0.0</v>
      </c>
      <c r="I254" s="2" t="n">
        <f>HYPERLINK("https://ppubs.uspto.gov/pubwebapp/external.html?q=20220125287.pn.","USPTO")</f>
        <v>0.0</v>
      </c>
      <c r="J254" s="2" t="n">
        <f>HYPERLINK("https://image-ppubs.uspto.gov/dirsearch-public/print/downloadPdf/20220125287","USPTO PDF")</f>
        <v>0.0</v>
      </c>
      <c r="K254" s="2" t="n">
        <f>HYPERLINK("https://sectors.patentforecast.com/pmd/US20220125287","PMD")</f>
        <v>0.0</v>
      </c>
      <c r="L254" s="2" t="n">
        <f>HYPERLINK("https://globaldossier.uspto.gov/result/application/US/17509304/1","US20220125287")</f>
        <v>0.0</v>
      </c>
      <c r="M254" t="s">
        <v>1872</v>
      </c>
      <c r="N254" t="s">
        <v>1873</v>
      </c>
      <c r="O254" t="s">
        <v>1874</v>
      </c>
      <c r="P254" t="s">
        <v>1875</v>
      </c>
      <c r="Q254" s="3" t="n">
        <v>44494.0</v>
      </c>
      <c r="R254" s="3" t="n">
        <v>44679.0</v>
      </c>
      <c r="S254" s="3" t="n">
        <v>44680.230058726855</v>
      </c>
      <c r="T254" s="3" t="n">
        <v>44698.49974811343</v>
      </c>
      <c r="U254" t="s">
        <v>31</v>
      </c>
      <c r="V254" t="s">
        <v>1876</v>
      </c>
    </row>
    <row r="255">
      <c r="A255" t="s">
        <v>22</v>
      </c>
      <c r="B255" t="s">
        <v>1877</v>
      </c>
      <c r="C255" t="s">
        <v>24</v>
      </c>
      <c r="D255" t="s">
        <v>204</v>
      </c>
      <c r="E255" t="s">
        <v>1878</v>
      </c>
      <c r="F255" s="2" t="n">
        <f>HYPERLINK("https://patents.google.com/patent/US20220125221","Google")</f>
        <v>0.0</v>
      </c>
      <c r="G255" s="2" t="n">
        <f>HYPERLINK("https://patentcenter.uspto.gov/applications/17082499","Patent Center")</f>
        <v>0.0</v>
      </c>
      <c r="H255" s="2" t="n">
        <f>HYPERLINK("https://worldwide.espacenet.com/patent/search?q=US20220125221","Espacenet")</f>
        <v>0.0</v>
      </c>
      <c r="I255" s="2" t="n">
        <f>HYPERLINK("https://ppubs.uspto.gov/pubwebapp/external.html?q=20220125221.pn.","USPTO")</f>
        <v>0.0</v>
      </c>
      <c r="J255" s="2" t="n">
        <f>HYPERLINK("https://image-ppubs.uspto.gov/dirsearch-public/print/downloadPdf/20220125221","USPTO PDF")</f>
        <v>0.0</v>
      </c>
      <c r="K255" s="2" t="n">
        <f>HYPERLINK("https://sectors.patentforecast.com/pmd/US20220125221","PMD")</f>
        <v>0.0</v>
      </c>
      <c r="L255" s="2" t="n">
        <f>HYPERLINK("https://globaldossier.uspto.gov/result/application/US/17082499/1","US20220125221")</f>
        <v>0.0</v>
      </c>
      <c r="M255" t="s">
        <v>1879</v>
      </c>
      <c r="N255" t="s">
        <v>1880</v>
      </c>
      <c r="O255" t="s">
        <v>1880</v>
      </c>
      <c r="P255" t="s">
        <v>1881</v>
      </c>
      <c r="Q255" s="3" t="n">
        <v>44132.0</v>
      </c>
      <c r="R255" s="3" t="n">
        <v>44679.0</v>
      </c>
      <c r="S255" s="3" t="n">
        <v>44680.230058726855</v>
      </c>
      <c r="T255" s="3" t="n">
        <v>44698.60718219908</v>
      </c>
      <c r="U255" t="s">
        <v>31</v>
      </c>
      <c r="V255" t="s">
        <v>1882</v>
      </c>
    </row>
    <row r="256">
      <c r="A256" t="s">
        <v>22</v>
      </c>
      <c r="B256" t="s">
        <v>1883</v>
      </c>
      <c r="C256" t="s">
        <v>24</v>
      </c>
      <c r="D256" t="s">
        <v>204</v>
      </c>
      <c r="E256" t="s">
        <v>1884</v>
      </c>
      <c r="F256" s="2" t="n">
        <f>HYPERLINK("https://patents.google.com/patent/US20220124284","Google")</f>
        <v>0.0</v>
      </c>
      <c r="G256" s="2" t="n">
        <f>HYPERLINK("https://patentcenter.uspto.gov/applications/17198323","Patent Center")</f>
        <v>0.0</v>
      </c>
      <c r="H256" s="2" t="n">
        <f>HYPERLINK("https://worldwide.espacenet.com/patent/search?q=US20220124284","Espacenet")</f>
        <v>0.0</v>
      </c>
      <c r="I256" s="2" t="n">
        <f>HYPERLINK("https://ppubs.uspto.gov/pubwebapp/external.html?q=20220124284.pn.","USPTO")</f>
        <v>0.0</v>
      </c>
      <c r="J256" s="2" t="n">
        <f>HYPERLINK("https://image-ppubs.uspto.gov/dirsearch-public/print/downloadPdf/20220124284","USPTO PDF")</f>
        <v>0.0</v>
      </c>
      <c r="K256" s="2" t="n">
        <f>HYPERLINK("https://sectors.patentforecast.com/pmd/US20220124284","PMD")</f>
        <v>0.0</v>
      </c>
      <c r="L256" s="2" t="n">
        <f>HYPERLINK("https://globaldossier.uspto.gov/result/application/US/17198323/1","US20220124284")</f>
        <v>0.0</v>
      </c>
      <c r="M256" t="s">
        <v>1885</v>
      </c>
      <c r="N256" t="s">
        <v>1886</v>
      </c>
      <c r="O256" t="s">
        <v>1887</v>
      </c>
      <c r="P256" t="s">
        <v>1888</v>
      </c>
      <c r="Q256" s="3" t="n">
        <v>44266.0</v>
      </c>
      <c r="R256" s="3" t="n">
        <v>44672.0</v>
      </c>
      <c r="S256" s="3" t="n">
        <v>44673.23069068287</v>
      </c>
      <c r="T256" s="3" t="n">
        <v>44698.60727277778</v>
      </c>
      <c r="U256" t="s">
        <v>1889</v>
      </c>
      <c r="V256" t="s">
        <v>1890</v>
      </c>
    </row>
    <row r="257">
      <c r="A257" t="s">
        <v>22</v>
      </c>
      <c r="B257" t="s">
        <v>1891</v>
      </c>
      <c r="C257" t="s">
        <v>24</v>
      </c>
      <c r="D257" t="s">
        <v>204</v>
      </c>
      <c r="E257" t="s">
        <v>1892</v>
      </c>
      <c r="F257" s="2" t="n">
        <f>HYPERLINK("https://patents.google.com/patent/US20220124283","Google")</f>
        <v>0.0</v>
      </c>
      <c r="G257" s="2" t="n">
        <f>HYPERLINK("https://patentcenter.uspto.gov/applications/17075454","Patent Center")</f>
        <v>0.0</v>
      </c>
      <c r="H257" s="2" t="n">
        <f>HYPERLINK("https://worldwide.espacenet.com/patent/search?q=US20220124283","Espacenet")</f>
        <v>0.0</v>
      </c>
      <c r="I257" s="2" t="n">
        <f>HYPERLINK("https://ppubs.uspto.gov/pubwebapp/external.html?q=20220124283.pn.","USPTO")</f>
        <v>0.0</v>
      </c>
      <c r="J257" s="2" t="n">
        <f>HYPERLINK("https://image-ppubs.uspto.gov/dirsearch-public/print/downloadPdf/20220124283","USPTO PDF")</f>
        <v>0.0</v>
      </c>
      <c r="K257" s="2" t="n">
        <f>HYPERLINK("https://sectors.patentforecast.com/pmd/US20220124283","PMD")</f>
        <v>0.0</v>
      </c>
      <c r="L257" s="2" t="n">
        <f>HYPERLINK("https://globaldossier.uspto.gov/result/application/US/17075454/1","US20220124283")</f>
        <v>0.0</v>
      </c>
      <c r="M257" t="s">
        <v>1893</v>
      </c>
      <c r="N257" t="s">
        <v>1886</v>
      </c>
      <c r="O257" t="s">
        <v>1887</v>
      </c>
      <c r="P257" t="s">
        <v>1894</v>
      </c>
      <c r="Q257" s="3" t="n">
        <v>44124.0</v>
      </c>
      <c r="R257" s="3" t="n">
        <v>44672.0</v>
      </c>
      <c r="S257" s="3" t="n">
        <v>44673.23069068287</v>
      </c>
      <c r="T257" s="3" t="n">
        <v>44698.60732886574</v>
      </c>
      <c r="U257" t="s">
        <v>31</v>
      </c>
      <c r="V257" t="s">
        <v>1890</v>
      </c>
    </row>
    <row r="258">
      <c r="A258" t="s">
        <v>22</v>
      </c>
      <c r="B258" t="s">
        <v>1895</v>
      </c>
      <c r="C258" t="s">
        <v>24</v>
      </c>
      <c r="D258" t="s">
        <v>204</v>
      </c>
      <c r="E258" t="s">
        <v>1896</v>
      </c>
      <c r="F258" s="2" t="n">
        <f>HYPERLINK("https://patents.google.com/patent/US20220124250","Google")</f>
        <v>0.0</v>
      </c>
      <c r="G258" s="2" t="n">
        <f>HYPERLINK("https://patentcenter.uspto.gov/applications/17468055","Patent Center")</f>
        <v>0.0</v>
      </c>
      <c r="H258" s="2" t="n">
        <f>HYPERLINK("https://worldwide.espacenet.com/patent/search?q=US20220124250","Espacenet")</f>
        <v>0.0</v>
      </c>
      <c r="I258" s="2" t="n">
        <f>HYPERLINK("https://ppubs.uspto.gov/pubwebapp/external.html?q=20220124250.pn.","USPTO")</f>
        <v>0.0</v>
      </c>
      <c r="J258" s="2" t="n">
        <f>HYPERLINK("https://image-ppubs.uspto.gov/dirsearch-public/print/downloadPdf/20220124250","USPTO PDF")</f>
        <v>0.0</v>
      </c>
      <c r="K258" s="2" t="n">
        <f>HYPERLINK("https://sectors.patentforecast.com/pmd/US20220124250","PMD")</f>
        <v>0.0</v>
      </c>
      <c r="L258" s="2" t="n">
        <f>HYPERLINK("https://globaldossier.uspto.gov/result/application/US/17468055/1","US20220124250")</f>
        <v>0.0</v>
      </c>
      <c r="M258" t="s">
        <v>1897</v>
      </c>
      <c r="N258" t="s">
        <v>1898</v>
      </c>
      <c r="O258" t="s">
        <v>1899</v>
      </c>
      <c r="P258" t="s">
        <v>1900</v>
      </c>
      <c r="Q258" s="3" t="n">
        <v>44446.0</v>
      </c>
      <c r="R258" s="3" t="n">
        <v>44672.0</v>
      </c>
      <c r="S258" s="3" t="n">
        <v>44673.23069068287</v>
      </c>
      <c r="T258" s="3" t="n">
        <v>44698.607517094904</v>
      </c>
      <c r="U258" t="s">
        <v>1901</v>
      </c>
      <c r="V258" t="s">
        <v>1902</v>
      </c>
    </row>
    <row r="259">
      <c r="A259" t="s">
        <v>22</v>
      </c>
      <c r="B259" t="s">
        <v>1903</v>
      </c>
      <c r="C259" t="s">
        <v>24</v>
      </c>
      <c r="D259" t="s">
        <v>25</v>
      </c>
      <c r="E259" t="s">
        <v>1904</v>
      </c>
      <c r="F259" s="2" t="n">
        <f>HYPERLINK("https://patents.google.com/patent/US20220122743","Google")</f>
        <v>0.0</v>
      </c>
      <c r="G259" s="2" t="n">
        <f>HYPERLINK("https://patentcenter.uspto.gov/applications/17323058","Patent Center")</f>
        <v>0.0</v>
      </c>
      <c r="H259" s="2" t="n">
        <f>HYPERLINK("https://worldwide.espacenet.com/patent/search?q=US20220122743","Espacenet")</f>
        <v>0.0</v>
      </c>
      <c r="I259" s="2" t="n">
        <f>HYPERLINK("https://ppubs.uspto.gov/pubwebapp/external.html?q=20220122743.pn.","USPTO")</f>
        <v>0.0</v>
      </c>
      <c r="J259" s="2" t="n">
        <f>HYPERLINK("https://image-ppubs.uspto.gov/dirsearch-public/print/downloadPdf/20220122743","USPTO PDF")</f>
        <v>0.0</v>
      </c>
      <c r="K259" s="2" t="n">
        <f>HYPERLINK("https://sectors.patentforecast.com/pmd/US20220122743","PMD")</f>
        <v>0.0</v>
      </c>
      <c r="L259" s="2" t="n">
        <f>HYPERLINK("https://globaldossier.uspto.gov/result/application/US/17323058/1","US20220122743")</f>
        <v>0.0</v>
      </c>
      <c r="M259" t="s">
        <v>1905</v>
      </c>
      <c r="N259" t="s">
        <v>1906</v>
      </c>
      <c r="O259" t="s">
        <v>1907</v>
      </c>
      <c r="P259" t="s">
        <v>1908</v>
      </c>
      <c r="Q259" s="3" t="n">
        <v>44334.0</v>
      </c>
      <c r="R259" s="3" t="n">
        <v>44672.0</v>
      </c>
      <c r="S259" s="3" t="n">
        <v>44673.232420960645</v>
      </c>
      <c r="T259" s="3" t="n">
        <v>44698.60811026621</v>
      </c>
      <c r="U259" t="s">
        <v>31</v>
      </c>
      <c r="V259" t="s">
        <v>1909</v>
      </c>
    </row>
    <row r="260">
      <c r="A260" t="s">
        <v>22</v>
      </c>
      <c r="B260" t="s">
        <v>1910</v>
      </c>
      <c r="C260" t="s">
        <v>24</v>
      </c>
      <c r="D260" t="s">
        <v>43</v>
      </c>
      <c r="E260" t="s">
        <v>1911</v>
      </c>
      <c r="F260" s="2" t="n">
        <f>HYPERLINK("https://patents.google.com/patent/US20220122741","Google")</f>
        <v>0.0</v>
      </c>
      <c r="G260" s="2" t="n">
        <f>HYPERLINK("https://patentcenter.uspto.gov/applications/17076218","Patent Center")</f>
        <v>0.0</v>
      </c>
      <c r="H260" s="2" t="n">
        <f>HYPERLINK("https://worldwide.espacenet.com/patent/search?q=US20220122741","Espacenet")</f>
        <v>0.0</v>
      </c>
      <c r="I260" s="2" t="n">
        <f>HYPERLINK("https://ppubs.uspto.gov/pubwebapp/external.html?q=20220122741.pn.","USPTO")</f>
        <v>0.0</v>
      </c>
      <c r="J260" s="2" t="n">
        <f>HYPERLINK("https://image-ppubs.uspto.gov/dirsearch-public/print/downloadPdf/20220122741","USPTO PDF")</f>
        <v>0.0</v>
      </c>
      <c r="K260" s="2" t="n">
        <f>HYPERLINK("https://sectors.patentforecast.com/pmd/US20220122741","PMD")</f>
        <v>0.0</v>
      </c>
      <c r="L260" s="2" t="n">
        <f>HYPERLINK("https://globaldossier.uspto.gov/result/application/US/17076218/1","US20220122741")</f>
        <v>0.0</v>
      </c>
      <c r="M260" t="s">
        <v>1912</v>
      </c>
      <c r="N260" t="s">
        <v>1913</v>
      </c>
      <c r="O260" t="s">
        <v>1914</v>
      </c>
      <c r="P260" t="s">
        <v>1915</v>
      </c>
      <c r="Q260" s="3" t="n">
        <v>44125.0</v>
      </c>
      <c r="R260" s="3" t="n">
        <v>44672.0</v>
      </c>
      <c r="S260" s="3" t="n">
        <v>44673.23069068287</v>
      </c>
      <c r="T260" s="3" t="n">
        <v>44698.60815759259</v>
      </c>
      <c r="U260" t="s">
        <v>1916</v>
      </c>
      <c r="V260" t="s">
        <v>1917</v>
      </c>
    </row>
    <row r="261">
      <c r="A261" t="s">
        <v>22</v>
      </c>
      <c r="B261" t="s">
        <v>1918</v>
      </c>
      <c r="C261" t="s">
        <v>24</v>
      </c>
      <c r="D261" t="s">
        <v>25</v>
      </c>
      <c r="E261" t="s">
        <v>1919</v>
      </c>
      <c r="F261" s="2" t="n">
        <f>HYPERLINK("https://patents.google.com/patent/US20220122740","Google")</f>
        <v>0.0</v>
      </c>
      <c r="G261" s="2" t="n">
        <f>HYPERLINK("https://patentcenter.uspto.gov/applications/17071763","Patent Center")</f>
        <v>0.0</v>
      </c>
      <c r="H261" s="2" t="n">
        <f>HYPERLINK("https://worldwide.espacenet.com/patent/search?q=US20220122740","Espacenet")</f>
        <v>0.0</v>
      </c>
      <c r="I261" s="2" t="n">
        <f>HYPERLINK("https://ppubs.uspto.gov/pubwebapp/external.html?q=20220122740.pn.","USPTO")</f>
        <v>0.0</v>
      </c>
      <c r="J261" s="2" t="n">
        <f>HYPERLINK("https://image-ppubs.uspto.gov/dirsearch-public/print/downloadPdf/20220122740","USPTO PDF")</f>
        <v>0.0</v>
      </c>
      <c r="K261" s="2" t="n">
        <f>HYPERLINK("https://sectors.patentforecast.com/pmd/US20220122740","PMD")</f>
        <v>0.0</v>
      </c>
      <c r="L261" s="2" t="n">
        <f>HYPERLINK("https://globaldossier.uspto.gov/result/application/US/17071763/1","US20220122740")</f>
        <v>0.0</v>
      </c>
      <c r="M261" t="s">
        <v>1920</v>
      </c>
      <c r="N261" t="s">
        <v>926</v>
      </c>
      <c r="O261" t="s">
        <v>927</v>
      </c>
      <c r="P261" t="s">
        <v>1921</v>
      </c>
      <c r="Q261" s="3" t="n">
        <v>44119.0</v>
      </c>
      <c r="R261" s="3" t="n">
        <v>44672.0</v>
      </c>
      <c r="S261" s="3" t="n">
        <v>44673.23069068287</v>
      </c>
      <c r="T261" s="3" t="n">
        <v>44698.5005577662</v>
      </c>
      <c r="U261" t="s">
        <v>1922</v>
      </c>
      <c r="V261" t="s">
        <v>1923</v>
      </c>
    </row>
    <row r="262">
      <c r="A262" t="s">
        <v>22</v>
      </c>
      <c r="B262" t="s">
        <v>1924</v>
      </c>
      <c r="C262" t="s">
        <v>24</v>
      </c>
      <c r="D262" t="s">
        <v>43</v>
      </c>
      <c r="E262" t="s">
        <v>1925</v>
      </c>
      <c r="F262" s="2" t="n">
        <f>HYPERLINK("https://patents.google.com/patent/US20220122738","Google")</f>
        <v>0.0</v>
      </c>
      <c r="G262" s="2" t="n">
        <f>HYPERLINK("https://patentcenter.uspto.gov/applications/17503099","Patent Center")</f>
        <v>0.0</v>
      </c>
      <c r="H262" s="2" t="n">
        <f>HYPERLINK("https://worldwide.espacenet.com/patent/search?q=US20220122738","Espacenet")</f>
        <v>0.0</v>
      </c>
      <c r="I262" s="2" t="n">
        <f>HYPERLINK("https://ppubs.uspto.gov/pubwebapp/external.html?q=20220122738.pn.","USPTO")</f>
        <v>0.0</v>
      </c>
      <c r="J262" s="2" t="n">
        <f>HYPERLINK("https://image-ppubs.uspto.gov/dirsearch-public/print/downloadPdf/20220122738","USPTO PDF")</f>
        <v>0.0</v>
      </c>
      <c r="K262" s="2" t="n">
        <f>HYPERLINK("https://sectors.patentforecast.com/pmd/US20220122738","PMD")</f>
        <v>0.0</v>
      </c>
      <c r="L262" s="2" t="n">
        <f>HYPERLINK("https://globaldossier.uspto.gov/result/application/US/17503099/1","US20220122738")</f>
        <v>0.0</v>
      </c>
      <c r="M262" t="s">
        <v>1926</v>
      </c>
      <c r="N262" t="s">
        <v>1927</v>
      </c>
      <c r="O262" t="s">
        <v>1928</v>
      </c>
      <c r="P262" t="s">
        <v>1929</v>
      </c>
      <c r="Q262" s="3" t="n">
        <v>44484.0</v>
      </c>
      <c r="R262" s="3" t="n">
        <v>44672.0</v>
      </c>
      <c r="S262" s="3" t="n">
        <v>44673.23959700231</v>
      </c>
      <c r="T262" s="3" t="n">
        <v>44698.519358460646</v>
      </c>
      <c r="U262" t="s">
        <v>31</v>
      </c>
      <c r="V262" t="s">
        <v>1930</v>
      </c>
    </row>
    <row r="263">
      <c r="A263" t="s">
        <v>22</v>
      </c>
      <c r="B263" t="s">
        <v>1931</v>
      </c>
      <c r="C263" t="s">
        <v>24</v>
      </c>
      <c r="D263" t="s">
        <v>25</v>
      </c>
      <c r="E263" t="s">
        <v>1932</v>
      </c>
      <c r="F263" s="2" t="n">
        <f>HYPERLINK("https://patents.google.com/patent/US20220122726","Google")</f>
        <v>0.0</v>
      </c>
      <c r="G263" s="2" t="n">
        <f>HYPERLINK("https://patentcenter.uspto.gov/applications/17428295","Patent Center")</f>
        <v>0.0</v>
      </c>
      <c r="H263" s="2" t="n">
        <f>HYPERLINK("https://worldwide.espacenet.com/patent/search?q=US20220122726","Espacenet")</f>
        <v>0.0</v>
      </c>
      <c r="I263" s="2" t="n">
        <f>HYPERLINK("https://ppubs.uspto.gov/pubwebapp/external.html?q=20220122726.pn.","USPTO")</f>
        <v>0.0</v>
      </c>
      <c r="J263" s="2" t="n">
        <f>HYPERLINK("https://image-ppubs.uspto.gov/dirsearch-public/print/downloadPdf/20220122726","USPTO PDF")</f>
        <v>0.0</v>
      </c>
      <c r="K263" s="2" t="n">
        <f>HYPERLINK("https://sectors.patentforecast.com/pmd/US20220122726","PMD")</f>
        <v>0.0</v>
      </c>
      <c r="L263" s="2" t="n">
        <f>HYPERLINK("https://globaldossier.uspto.gov/result/application/US/17428295/1","US20220122726")</f>
        <v>0.0</v>
      </c>
      <c r="M263" t="s">
        <v>1933</v>
      </c>
      <c r="N263" t="s">
        <v>1934</v>
      </c>
      <c r="O263" t="s">
        <v>1935</v>
      </c>
      <c r="P263" t="s">
        <v>1936</v>
      </c>
      <c r="Q263" s="3" t="n">
        <v>43866.0</v>
      </c>
      <c r="R263" s="3" t="n">
        <v>44672.0</v>
      </c>
      <c r="S263" s="3" t="n">
        <v>44680.23133181713</v>
      </c>
      <c r="T263" s="3" t="n">
        <v>44698.60823798611</v>
      </c>
      <c r="U263" t="s">
        <v>1937</v>
      </c>
      <c r="V263" t="s">
        <v>1938</v>
      </c>
    </row>
    <row r="264">
      <c r="A264" t="s">
        <v>22</v>
      </c>
      <c r="B264" t="s">
        <v>1939</v>
      </c>
      <c r="C264" t="s">
        <v>1492</v>
      </c>
      <c r="D264" t="s">
        <v>1493</v>
      </c>
      <c r="E264" t="s">
        <v>1940</v>
      </c>
      <c r="F264" s="2" t="n">
        <f>HYPERLINK("https://patents.google.com/patent/US20220122700","Google")</f>
        <v>0.0</v>
      </c>
      <c r="G264" s="2" t="n">
        <f>HYPERLINK("https://patentcenter.uspto.gov/applications/17075567","Patent Center")</f>
        <v>0.0</v>
      </c>
      <c r="H264" s="2" t="n">
        <f>HYPERLINK("https://worldwide.espacenet.com/patent/search?q=US20220122700","Espacenet")</f>
        <v>0.0</v>
      </c>
      <c r="I264" s="2" t="n">
        <f>HYPERLINK("https://ppubs.uspto.gov/pubwebapp/external.html?q=20220122700.pn.","USPTO")</f>
        <v>0.0</v>
      </c>
      <c r="J264" s="2" t="n">
        <f>HYPERLINK("https://image-ppubs.uspto.gov/dirsearch-public/print/downloadPdf/20220122700","USPTO PDF")</f>
        <v>0.0</v>
      </c>
      <c r="K264" s="2" t="n">
        <f>HYPERLINK("https://sectors.patentforecast.com/pmd/US20220122700","PMD")</f>
        <v>0.0</v>
      </c>
      <c r="L264" s="2" t="n">
        <f>HYPERLINK("https://globaldossier.uspto.gov/result/application/US/17075567/1","US20220122700")</f>
        <v>0.0</v>
      </c>
      <c r="M264" t="s">
        <v>1941</v>
      </c>
      <c r="N264" t="s">
        <v>1942</v>
      </c>
      <c r="O264" t="s">
        <v>1942</v>
      </c>
      <c r="P264" t="s">
        <v>1943</v>
      </c>
      <c r="Q264" s="3" t="n">
        <v>44124.0</v>
      </c>
      <c r="R264" s="3" t="n">
        <v>44672.0</v>
      </c>
      <c r="S264" s="3" t="n">
        <v>44673.232420960645</v>
      </c>
      <c r="T264" s="3" t="n">
        <v>44698.608617453705</v>
      </c>
      <c r="U264" t="s">
        <v>1944</v>
      </c>
      <c r="V264" t="s">
        <v>1945</v>
      </c>
    </row>
    <row r="265">
      <c r="A265" t="s">
        <v>22</v>
      </c>
      <c r="B265" t="s">
        <v>1946</v>
      </c>
      <c r="C265" t="s">
        <v>561</v>
      </c>
      <c r="D265" t="s">
        <v>1947</v>
      </c>
      <c r="E265" t="s">
        <v>1948</v>
      </c>
      <c r="F265" s="2" t="n">
        <f>HYPERLINK("https://patents.google.com/patent/US20220122699","Google")</f>
        <v>0.0</v>
      </c>
      <c r="G265" s="2" t="n">
        <f>HYPERLINK("https://patentcenter.uspto.gov/applications/17500489","Patent Center")</f>
        <v>0.0</v>
      </c>
      <c r="H265" s="2" t="n">
        <f>HYPERLINK("https://worldwide.espacenet.com/patent/search?q=US20220122699","Espacenet")</f>
        <v>0.0</v>
      </c>
      <c r="I265" s="2" t="n">
        <f>HYPERLINK("https://ppubs.uspto.gov/pubwebapp/external.html?q=20220122699.pn.","USPTO")</f>
        <v>0.0</v>
      </c>
      <c r="J265" s="2" t="n">
        <f>HYPERLINK("https://image-ppubs.uspto.gov/dirsearch-public/print/downloadPdf/20220122699","USPTO PDF")</f>
        <v>0.0</v>
      </c>
      <c r="K265" s="2" t="n">
        <f>HYPERLINK("https://sectors.patentforecast.com/pmd/US20220122699","PMD")</f>
        <v>0.0</v>
      </c>
      <c r="L265" s="2" t="n">
        <f>HYPERLINK("https://globaldossier.uspto.gov/result/application/US/17500489/1","US20220122699")</f>
        <v>0.0</v>
      </c>
      <c r="M265" t="s">
        <v>1949</v>
      </c>
      <c r="N265" t="s">
        <v>1950</v>
      </c>
      <c r="O265" t="s">
        <v>1951</v>
      </c>
      <c r="P265" t="s">
        <v>1952</v>
      </c>
      <c r="Q265" s="3" t="n">
        <v>44482.0</v>
      </c>
      <c r="R265" s="3" t="n">
        <v>44672.0</v>
      </c>
      <c r="S265" s="3" t="n">
        <v>44673.23069068287</v>
      </c>
      <c r="T265" s="3" t="n">
        <v>44698.609955775464</v>
      </c>
      <c r="U265" t="s">
        <v>31</v>
      </c>
      <c r="V265" t="s">
        <v>1953</v>
      </c>
    </row>
    <row r="266">
      <c r="A266" t="s">
        <v>22</v>
      </c>
      <c r="B266" t="s">
        <v>1954</v>
      </c>
      <c r="C266" t="s">
        <v>24</v>
      </c>
      <c r="D266" t="s">
        <v>25</v>
      </c>
      <c r="E266" t="s">
        <v>1955</v>
      </c>
      <c r="F266" s="2" t="n">
        <f>HYPERLINK("https://patents.google.com/patent/US20220122694","Google")</f>
        <v>0.0</v>
      </c>
      <c r="G266" s="2" t="n">
        <f>HYPERLINK("https://patentcenter.uspto.gov/applications/17566850","Patent Center")</f>
        <v>0.0</v>
      </c>
      <c r="H266" s="2" t="n">
        <f>HYPERLINK("https://worldwide.espacenet.com/patent/search?q=US20220122694","Espacenet")</f>
        <v>0.0</v>
      </c>
      <c r="I266" s="2" t="n">
        <f>HYPERLINK("https://ppubs.uspto.gov/pubwebapp/external.html?q=20220122694.pn.","USPTO")</f>
        <v>0.0</v>
      </c>
      <c r="J266" s="2" t="n">
        <f>HYPERLINK("https://image-ppubs.uspto.gov/dirsearch-public/print/downloadPdf/20220122694","USPTO PDF")</f>
        <v>0.0</v>
      </c>
      <c r="K266" s="2" t="n">
        <f>HYPERLINK("https://sectors.patentforecast.com/pmd/US20220122694","PMD")</f>
        <v>0.0</v>
      </c>
      <c r="L266" s="2" t="n">
        <f>HYPERLINK("https://globaldossier.uspto.gov/result/application/US/17566850/1","US20220122694")</f>
        <v>0.0</v>
      </c>
      <c r="M266" t="s">
        <v>1956</v>
      </c>
      <c r="N266" t="s">
        <v>1957</v>
      </c>
      <c r="O266" t="s">
        <v>1958</v>
      </c>
      <c r="P266" t="s">
        <v>1959</v>
      </c>
      <c r="Q266" s="3" t="n">
        <v>44561.0</v>
      </c>
      <c r="R266" s="3" t="n">
        <v>44672.0</v>
      </c>
      <c r="S266" s="3" t="n">
        <v>44673.23069068287</v>
      </c>
      <c r="T266" s="3" t="n">
        <v>44698.61002759259</v>
      </c>
      <c r="U266" t="s">
        <v>31</v>
      </c>
      <c r="V266" t="s">
        <v>1960</v>
      </c>
    </row>
    <row r="267">
      <c r="A267" t="s">
        <v>22</v>
      </c>
      <c r="B267" t="s">
        <v>1961</v>
      </c>
      <c r="C267" t="s">
        <v>24</v>
      </c>
      <c r="D267" t="s">
        <v>204</v>
      </c>
      <c r="E267" t="s">
        <v>1962</v>
      </c>
      <c r="F267" s="2" t="n">
        <f>HYPERLINK("https://patents.google.com/patent/US20220122570","Google")</f>
        <v>0.0</v>
      </c>
      <c r="G267" s="2" t="n">
        <f>HYPERLINK("https://patentcenter.uspto.gov/applications/17451243","Patent Center")</f>
        <v>0.0</v>
      </c>
      <c r="H267" s="2" t="n">
        <f>HYPERLINK("https://worldwide.espacenet.com/patent/search?q=US20220122570","Espacenet")</f>
        <v>0.0</v>
      </c>
      <c r="I267" s="2" t="n">
        <f>HYPERLINK("https://ppubs.uspto.gov/pubwebapp/external.html?q=20220122570.pn.","USPTO")</f>
        <v>0.0</v>
      </c>
      <c r="J267" s="2" t="n">
        <f>HYPERLINK("https://image-ppubs.uspto.gov/dirsearch-public/print/downloadPdf/20220122570","USPTO PDF")</f>
        <v>0.0</v>
      </c>
      <c r="K267" s="2" t="n">
        <f>HYPERLINK("https://sectors.patentforecast.com/pmd/US20220122570","PMD")</f>
        <v>0.0</v>
      </c>
      <c r="L267" s="2" t="n">
        <f>HYPERLINK("https://globaldossier.uspto.gov/result/application/US/17451243/1","US20220122570")</f>
        <v>0.0</v>
      </c>
      <c r="M267" t="s">
        <v>1963</v>
      </c>
      <c r="N267" t="s">
        <v>1964</v>
      </c>
      <c r="O267" t="s">
        <v>1964</v>
      </c>
      <c r="P267" t="s">
        <v>1965</v>
      </c>
      <c r="Q267" s="3" t="n">
        <v>44487.0</v>
      </c>
      <c r="R267" s="3" t="n">
        <v>44672.0</v>
      </c>
      <c r="S267" s="3" t="n">
        <v>44673.23069068287</v>
      </c>
      <c r="T267" s="3" t="n">
        <v>44698.61013457176</v>
      </c>
      <c r="U267" t="s">
        <v>1966</v>
      </c>
      <c r="V267" t="s">
        <v>1967</v>
      </c>
    </row>
    <row r="268">
      <c r="A268" t="s">
        <v>22</v>
      </c>
      <c r="B268" t="s">
        <v>1968</v>
      </c>
      <c r="C268" t="s">
        <v>24</v>
      </c>
      <c r="D268" t="s">
        <v>204</v>
      </c>
      <c r="E268" t="s">
        <v>1969</v>
      </c>
      <c r="F268" s="2" t="n">
        <f>HYPERLINK("https://patents.google.com/patent/US20220122479","Google")</f>
        <v>0.0</v>
      </c>
      <c r="G268" s="2" t="n">
        <f>HYPERLINK("https://patentcenter.uspto.gov/applications/17072074","Patent Center")</f>
        <v>0.0</v>
      </c>
      <c r="H268" s="2" t="n">
        <f>HYPERLINK("https://worldwide.espacenet.com/patent/search?q=US20220122479","Espacenet")</f>
        <v>0.0</v>
      </c>
      <c r="I268" s="2" t="n">
        <f>HYPERLINK("https://ppubs.uspto.gov/pubwebapp/external.html?q=20220122479.pn.","USPTO")</f>
        <v>0.0</v>
      </c>
      <c r="J268" s="2" t="n">
        <f>HYPERLINK("https://image-ppubs.uspto.gov/dirsearch-public/print/downloadPdf/20220122479","USPTO PDF")</f>
        <v>0.0</v>
      </c>
      <c r="K268" s="2" t="n">
        <f>HYPERLINK("https://sectors.patentforecast.com/pmd/US20220122479","PMD")</f>
        <v>0.0</v>
      </c>
      <c r="L268" s="2" t="n">
        <f>HYPERLINK("https://globaldossier.uspto.gov/result/application/US/17072074/1","US20220122479")</f>
        <v>0.0</v>
      </c>
      <c r="M268" t="s">
        <v>1970</v>
      </c>
      <c r="N268" t="s">
        <v>1971</v>
      </c>
      <c r="O268" t="s">
        <v>1971</v>
      </c>
      <c r="P268" t="s">
        <v>1972</v>
      </c>
      <c r="Q268" s="3" t="n">
        <v>44120.0</v>
      </c>
      <c r="R268" s="3" t="n">
        <v>44672.0</v>
      </c>
      <c r="S268" s="3" t="n">
        <v>44673.23069068287</v>
      </c>
      <c r="T268" s="3" t="n">
        <v>44698.610521435185</v>
      </c>
      <c r="U268" t="s">
        <v>31</v>
      </c>
      <c r="V268" t="s">
        <v>1973</v>
      </c>
    </row>
    <row r="269">
      <c r="A269" t="s">
        <v>22</v>
      </c>
      <c r="B269" t="s">
        <v>1974</v>
      </c>
      <c r="C269" t="s">
        <v>24</v>
      </c>
      <c r="D269" t="s">
        <v>204</v>
      </c>
      <c r="E269" t="s">
        <v>1975</v>
      </c>
      <c r="F269" s="2" t="n">
        <f>HYPERLINK("https://patents.google.com/patent/US20220122458","Google")</f>
        <v>0.0</v>
      </c>
      <c r="G269" s="2" t="n">
        <f>HYPERLINK("https://patentcenter.uspto.gov/applications/17646712","Patent Center")</f>
        <v>0.0</v>
      </c>
      <c r="H269" s="2" t="n">
        <f>HYPERLINK("https://worldwide.espacenet.com/patent/search?q=US20220122458","Espacenet")</f>
        <v>0.0</v>
      </c>
      <c r="I269" s="2" t="n">
        <f>HYPERLINK("https://ppubs.uspto.gov/pubwebapp/external.html?q=20220122458.pn.","USPTO")</f>
        <v>0.0</v>
      </c>
      <c r="J269" s="2" t="n">
        <f>HYPERLINK("https://image-ppubs.uspto.gov/dirsearch-public/print/downloadPdf/20220122458","USPTO PDF")</f>
        <v>0.0</v>
      </c>
      <c r="K269" s="2" t="n">
        <f>HYPERLINK("https://sectors.patentforecast.com/pmd/US20220122458","PMD")</f>
        <v>0.0</v>
      </c>
      <c r="L269" s="2" t="n">
        <f>HYPERLINK("https://globaldossier.uspto.gov/result/application/US/17646712/1","US20220122458")</f>
        <v>0.0</v>
      </c>
      <c r="M269" t="s">
        <v>1976</v>
      </c>
      <c r="N269" t="s">
        <v>1977</v>
      </c>
      <c r="O269" t="s">
        <v>1978</v>
      </c>
      <c r="P269" t="s">
        <v>1979</v>
      </c>
      <c r="Q269" s="3" t="n">
        <v>44561.0</v>
      </c>
      <c r="R269" s="3" t="n">
        <v>44672.0</v>
      </c>
      <c r="S269" s="3" t="n">
        <v>44673.23069068287</v>
      </c>
      <c r="T269" s="3" t="n">
        <v>44698.610658020836</v>
      </c>
      <c r="U269" t="s">
        <v>31</v>
      </c>
      <c r="V269" t="s">
        <v>1980</v>
      </c>
    </row>
    <row r="270">
      <c r="A270" t="s">
        <v>22</v>
      </c>
      <c r="B270" t="s">
        <v>1981</v>
      </c>
      <c r="C270" t="s">
        <v>24</v>
      </c>
      <c r="D270" t="s">
        <v>69</v>
      </c>
      <c r="E270" t="s">
        <v>1982</v>
      </c>
      <c r="F270" s="2" t="n">
        <f>HYPERLINK("https://patents.google.com/patent/US20220122389","Google")</f>
        <v>0.0</v>
      </c>
      <c r="G270" s="2" t="n">
        <f>HYPERLINK("https://patentcenter.uspto.gov/applications/17561914","Patent Center")</f>
        <v>0.0</v>
      </c>
      <c r="H270" s="2" t="n">
        <f>HYPERLINK("https://worldwide.espacenet.com/patent/search?q=US20220122389","Espacenet")</f>
        <v>0.0</v>
      </c>
      <c r="I270" s="2" t="n">
        <f>HYPERLINK("https://ppubs.uspto.gov/pubwebapp/external.html?q=20220122389.pn.","USPTO")</f>
        <v>0.0</v>
      </c>
      <c r="J270" s="2" t="n">
        <f>HYPERLINK("https://image-ppubs.uspto.gov/dirsearch-public/print/downloadPdf/20220122389","USPTO PDF")</f>
        <v>0.0</v>
      </c>
      <c r="K270" s="2" t="n">
        <f>HYPERLINK("https://sectors.patentforecast.com/pmd/US20220122389","PMD")</f>
        <v>0.0</v>
      </c>
      <c r="L270" s="2" t="n">
        <f>HYPERLINK("https://globaldossier.uspto.gov/result/application/US/17561914/1","US20220122389")</f>
        <v>0.0</v>
      </c>
      <c r="M270" t="s">
        <v>1983</v>
      </c>
      <c r="N270" t="s">
        <v>1984</v>
      </c>
      <c r="O270" t="s">
        <v>1985</v>
      </c>
      <c r="P270" t="s">
        <v>1986</v>
      </c>
      <c r="Q270" s="3" t="n">
        <v>44554.0</v>
      </c>
      <c r="R270" s="3" t="n">
        <v>44672.0</v>
      </c>
      <c r="S270" s="3" t="n">
        <v>44673.23069068287</v>
      </c>
      <c r="T270" s="3" t="n">
        <v>44678.649779224535</v>
      </c>
      <c r="U270" t="s">
        <v>31</v>
      </c>
      <c r="V270" t="s">
        <v>1987</v>
      </c>
    </row>
    <row r="271">
      <c r="A271" t="s">
        <v>22</v>
      </c>
      <c r="B271" t="s">
        <v>1988</v>
      </c>
      <c r="C271" t="s">
        <v>24</v>
      </c>
      <c r="D271" t="s">
        <v>258</v>
      </c>
      <c r="E271" t="s">
        <v>1989</v>
      </c>
      <c r="F271" s="2" t="n">
        <f>HYPERLINK("https://patents.google.com/patent/US20220122167","Google")</f>
        <v>0.0</v>
      </c>
      <c r="G271" s="2" t="n">
        <f>HYPERLINK("https://patentcenter.uspto.gov/applications/17505421","Patent Center")</f>
        <v>0.0</v>
      </c>
      <c r="H271" s="2" t="n">
        <f>HYPERLINK("https://worldwide.espacenet.com/patent/search?q=US20220122167","Espacenet")</f>
        <v>0.0</v>
      </c>
      <c r="I271" s="2" t="n">
        <f>HYPERLINK("https://ppubs.uspto.gov/pubwebapp/external.html?q=20220122167.pn.","USPTO")</f>
        <v>0.0</v>
      </c>
      <c r="J271" s="2" t="n">
        <f>HYPERLINK("https://image-ppubs.uspto.gov/dirsearch-public/print/downloadPdf/20220122167","USPTO PDF")</f>
        <v>0.0</v>
      </c>
      <c r="K271" s="2" t="n">
        <f>HYPERLINK("https://sectors.patentforecast.com/pmd/US20220122167","PMD")</f>
        <v>0.0</v>
      </c>
      <c r="L271" s="2" t="n">
        <f>HYPERLINK("https://globaldossier.uspto.gov/result/application/US/17505421/1","US20220122167")</f>
        <v>0.0</v>
      </c>
      <c r="M271" t="s">
        <v>1990</v>
      </c>
      <c r="N271" t="s">
        <v>1991</v>
      </c>
      <c r="O271" t="s">
        <v>1992</v>
      </c>
      <c r="P271" t="s">
        <v>1993</v>
      </c>
      <c r="Q271" s="3" t="n">
        <v>44488.0</v>
      </c>
      <c r="R271" s="3" t="n">
        <v>44672.0</v>
      </c>
      <c r="S271" s="3" t="n">
        <v>44673.23069068287</v>
      </c>
      <c r="T271" s="3" t="n">
        <v>44698.61092548611</v>
      </c>
      <c r="U271" t="s">
        <v>31</v>
      </c>
      <c r="V271" t="s">
        <v>1994</v>
      </c>
    </row>
    <row r="272">
      <c r="A272" t="s">
        <v>22</v>
      </c>
      <c r="B272" t="s">
        <v>1995</v>
      </c>
      <c r="C272" t="s">
        <v>24</v>
      </c>
      <c r="D272" t="s">
        <v>43</v>
      </c>
      <c r="E272" t="s">
        <v>1996</v>
      </c>
      <c r="F272" s="2" t="n">
        <f>HYPERLINK("https://patents.google.com/patent/US20220121851","Google")</f>
        <v>0.0</v>
      </c>
      <c r="G272" s="2" t="n">
        <f>HYPERLINK("https://patentcenter.uspto.gov/applications/17074461","Patent Center")</f>
        <v>0.0</v>
      </c>
      <c r="H272" s="2" t="n">
        <f>HYPERLINK("https://worldwide.espacenet.com/patent/search?q=US20220121851","Espacenet")</f>
        <v>0.0</v>
      </c>
      <c r="I272" s="2" t="n">
        <f>HYPERLINK("https://ppubs.uspto.gov/pubwebapp/external.html?q=20220121851.pn.","USPTO")</f>
        <v>0.0</v>
      </c>
      <c r="J272" s="2" t="n">
        <f>HYPERLINK("https://image-ppubs.uspto.gov/dirsearch-public/print/downloadPdf/20220121851","USPTO PDF")</f>
        <v>0.0</v>
      </c>
      <c r="K272" s="2" t="n">
        <f>HYPERLINK("https://sectors.patentforecast.com/pmd/US20220121851","PMD")</f>
        <v>0.0</v>
      </c>
      <c r="L272" s="2" t="n">
        <f>HYPERLINK("https://globaldossier.uspto.gov/result/application/US/17074461/1","US20220121851")</f>
        <v>0.0</v>
      </c>
      <c r="M272" t="s">
        <v>1997</v>
      </c>
      <c r="N272" t="s">
        <v>1998</v>
      </c>
      <c r="O272" t="s">
        <v>1999</v>
      </c>
      <c r="P272" t="s">
        <v>2000</v>
      </c>
      <c r="Q272" s="3" t="n">
        <v>44123.0</v>
      </c>
      <c r="R272" s="3" t="n">
        <v>44672.0</v>
      </c>
      <c r="S272" s="3" t="n">
        <v>44673.23069068287</v>
      </c>
      <c r="T272" s="3" t="n">
        <v>44698.61143476852</v>
      </c>
      <c r="U272" t="s">
        <v>2001</v>
      </c>
      <c r="V272" t="s">
        <v>2002</v>
      </c>
    </row>
    <row r="273">
      <c r="A273" t="s">
        <v>22</v>
      </c>
      <c r="B273" t="s">
        <v>2003</v>
      </c>
      <c r="C273" t="s">
        <v>24</v>
      </c>
      <c r="D273" t="s">
        <v>69</v>
      </c>
      <c r="E273" t="s">
        <v>2004</v>
      </c>
      <c r="F273" s="2" t="n">
        <f>HYPERLINK("https://patents.google.com/patent/US20220120746","Google")</f>
        <v>0.0</v>
      </c>
      <c r="G273" s="2" t="n">
        <f>HYPERLINK("https://patentcenter.uspto.gov/applications/17501250","Patent Center")</f>
        <v>0.0</v>
      </c>
      <c r="H273" s="2" t="n">
        <f>HYPERLINK("https://worldwide.espacenet.com/patent/search?q=US20220120746","Espacenet")</f>
        <v>0.0</v>
      </c>
      <c r="I273" s="2" t="n">
        <f>HYPERLINK("https://ppubs.uspto.gov/pubwebapp/external.html?q=20220120746.pn.","USPTO")</f>
        <v>0.0</v>
      </c>
      <c r="J273" s="2" t="n">
        <f>HYPERLINK("https://image-ppubs.uspto.gov/dirsearch-public/print/downloadPdf/20220120746","USPTO PDF")</f>
        <v>0.0</v>
      </c>
      <c r="K273" s="2" t="n">
        <f>HYPERLINK("https://sectors.patentforecast.com/pmd/US20220120746","PMD")</f>
        <v>0.0</v>
      </c>
      <c r="L273" s="2" t="n">
        <f>HYPERLINK("https://globaldossier.uspto.gov/result/application/US/17501250/1","US20220120746")</f>
        <v>0.0</v>
      </c>
      <c r="M273" t="s">
        <v>2005</v>
      </c>
      <c r="N273" t="s">
        <v>1806</v>
      </c>
      <c r="O273" t="s">
        <v>1806</v>
      </c>
      <c r="P273" t="s">
        <v>1807</v>
      </c>
      <c r="Q273" s="3" t="n">
        <v>44483.0</v>
      </c>
      <c r="R273" s="3" t="n">
        <v>44672.0</v>
      </c>
      <c r="S273" s="3" t="n">
        <v>44673.23069068287</v>
      </c>
      <c r="T273" s="3" t="n">
        <v>44678.47981827546</v>
      </c>
      <c r="U273" t="s">
        <v>2006</v>
      </c>
      <c r="V273" t="s">
        <v>2007</v>
      </c>
    </row>
    <row r="274">
      <c r="A274" t="s">
        <v>22</v>
      </c>
      <c r="B274" t="s">
        <v>2008</v>
      </c>
      <c r="C274" t="s">
        <v>561</v>
      </c>
      <c r="D274" t="s">
        <v>1340</v>
      </c>
      <c r="E274" t="s">
        <v>2009</v>
      </c>
      <c r="F274" s="2" t="n">
        <f>HYPERLINK("https://patents.google.com/patent/US20220120743","Google")</f>
        <v>0.0</v>
      </c>
      <c r="G274" s="2" t="n">
        <f>HYPERLINK("https://patentcenter.uspto.gov/applications/17502999","Patent Center")</f>
        <v>0.0</v>
      </c>
      <c r="H274" s="2" t="n">
        <f>HYPERLINK("https://worldwide.espacenet.com/patent/search?q=US20220120743","Espacenet")</f>
        <v>0.0</v>
      </c>
      <c r="I274" s="2" t="n">
        <f>HYPERLINK("https://ppubs.uspto.gov/pubwebapp/external.html?q=20220120743.pn.","USPTO")</f>
        <v>0.0</v>
      </c>
      <c r="J274" s="2" t="n">
        <f>HYPERLINK("https://image-ppubs.uspto.gov/dirsearch-public/print/downloadPdf/20220120743","USPTO PDF")</f>
        <v>0.0</v>
      </c>
      <c r="K274" s="2" t="n">
        <f>HYPERLINK("https://sectors.patentforecast.com/pmd/US20220120743","PMD")</f>
        <v>0.0</v>
      </c>
      <c r="L274" s="2" t="n">
        <f>HYPERLINK("https://globaldossier.uspto.gov/result/application/US/17502999/1","US20220120743")</f>
        <v>0.0</v>
      </c>
      <c r="M274" t="s">
        <v>2010</v>
      </c>
      <c r="N274" t="s">
        <v>330</v>
      </c>
      <c r="O274" t="s">
        <v>331</v>
      </c>
      <c r="P274" t="s">
        <v>2011</v>
      </c>
      <c r="Q274" s="3" t="n">
        <v>44484.0</v>
      </c>
      <c r="R274" s="3" t="n">
        <v>44672.0</v>
      </c>
      <c r="S274" s="3" t="n">
        <v>44673.23069068287</v>
      </c>
      <c r="T274" s="3" t="n">
        <v>44698.61224188657</v>
      </c>
      <c r="U274" t="s">
        <v>31</v>
      </c>
      <c r="V274" t="s">
        <v>2012</v>
      </c>
    </row>
    <row r="275">
      <c r="A275" t="s">
        <v>22</v>
      </c>
      <c r="B275" t="s">
        <v>2013</v>
      </c>
      <c r="C275" t="s">
        <v>24</v>
      </c>
      <c r="D275" t="s">
        <v>69</v>
      </c>
      <c r="E275" t="s">
        <v>2014</v>
      </c>
      <c r="F275" s="2" t="n">
        <f>HYPERLINK("https://patents.google.com/patent/US20220120741","Google")</f>
        <v>0.0</v>
      </c>
      <c r="G275" s="2" t="n">
        <f>HYPERLINK("https://patentcenter.uspto.gov/applications/17490419","Patent Center")</f>
        <v>0.0</v>
      </c>
      <c r="H275" s="2" t="n">
        <f>HYPERLINK("https://worldwide.espacenet.com/patent/search?q=US20220120741","Espacenet")</f>
        <v>0.0</v>
      </c>
      <c r="I275" s="2" t="n">
        <f>HYPERLINK("https://ppubs.uspto.gov/pubwebapp/external.html?q=20220120741.pn.","USPTO")</f>
        <v>0.0</v>
      </c>
      <c r="J275" s="2" t="n">
        <f>HYPERLINK("https://image-ppubs.uspto.gov/dirsearch-public/print/downloadPdf/20220120741","USPTO PDF")</f>
        <v>0.0</v>
      </c>
      <c r="K275" s="2" t="n">
        <f>HYPERLINK("https://sectors.patentforecast.com/pmd/US20220120741","PMD")</f>
        <v>0.0</v>
      </c>
      <c r="L275" s="2" t="n">
        <f>HYPERLINK("https://globaldossier.uspto.gov/result/application/US/17490419/1","US20220120741")</f>
        <v>0.0</v>
      </c>
      <c r="M275" t="s">
        <v>2015</v>
      </c>
      <c r="N275" t="s">
        <v>2016</v>
      </c>
      <c r="O275" t="s">
        <v>2017</v>
      </c>
      <c r="P275" t="s">
        <v>2018</v>
      </c>
      <c r="Q275" s="3" t="n">
        <v>44469.0</v>
      </c>
      <c r="R275" s="3" t="n">
        <v>44672.0</v>
      </c>
      <c r="S275" s="3" t="n">
        <v>44673.23069068287</v>
      </c>
      <c r="T275" s="3" t="n">
        <v>44678.477928761575</v>
      </c>
      <c r="U275" t="s">
        <v>2019</v>
      </c>
      <c r="V275" t="s">
        <v>2020</v>
      </c>
    </row>
    <row r="276">
      <c r="A276" t="s">
        <v>22</v>
      </c>
      <c r="B276" t="s">
        <v>2021</v>
      </c>
      <c r="C276" t="s">
        <v>24</v>
      </c>
      <c r="D276" t="s">
        <v>51</v>
      </c>
      <c r="E276" t="s">
        <v>2022</v>
      </c>
      <c r="F276" s="2" t="n">
        <f>HYPERLINK("https://patents.google.com/patent/US20220120737","Google")</f>
        <v>0.0</v>
      </c>
      <c r="G276" s="2" t="n">
        <f>HYPERLINK("https://patentcenter.uspto.gov/applications/17076034","Patent Center")</f>
        <v>0.0</v>
      </c>
      <c r="H276" s="2" t="n">
        <f>HYPERLINK("https://worldwide.espacenet.com/patent/search?q=US20220120737","Espacenet")</f>
        <v>0.0</v>
      </c>
      <c r="I276" s="2" t="n">
        <f>HYPERLINK("https://ppubs.uspto.gov/pubwebapp/external.html?q=20220120737.pn.","USPTO")</f>
        <v>0.0</v>
      </c>
      <c r="J276" s="2" t="n">
        <f>HYPERLINK("https://image-ppubs.uspto.gov/dirsearch-public/print/downloadPdf/20220120737","USPTO PDF")</f>
        <v>0.0</v>
      </c>
      <c r="K276" s="2" t="n">
        <f>HYPERLINK("https://sectors.patentforecast.com/pmd/US20220120737","PMD")</f>
        <v>0.0</v>
      </c>
      <c r="L276" s="2" t="n">
        <f>HYPERLINK("https://globaldossier.uspto.gov/result/application/US/17076034/1","US20220120737")</f>
        <v>0.0</v>
      </c>
      <c r="M276" t="s">
        <v>2023</v>
      </c>
      <c r="N276" t="s">
        <v>2024</v>
      </c>
      <c r="O276" t="s">
        <v>2024</v>
      </c>
      <c r="P276" t="s">
        <v>2025</v>
      </c>
      <c r="Q276" s="3" t="n">
        <v>44125.0</v>
      </c>
      <c r="R276" s="3" t="n">
        <v>44672.0</v>
      </c>
      <c r="S276" s="3" t="n">
        <v>44673.22952724537</v>
      </c>
      <c r="T276" s="3" t="n">
        <v>44678.477456168985</v>
      </c>
      <c r="U276" t="s">
        <v>31</v>
      </c>
      <c r="V276" t="s">
        <v>2026</v>
      </c>
    </row>
    <row r="277">
      <c r="A277" t="s">
        <v>22</v>
      </c>
      <c r="B277" t="s">
        <v>2027</v>
      </c>
      <c r="C277" t="s">
        <v>24</v>
      </c>
      <c r="D277" t="s">
        <v>51</v>
      </c>
      <c r="E277" t="s">
        <v>2028</v>
      </c>
      <c r="F277" s="2" t="n">
        <f>HYPERLINK("https://patents.google.com/patent/US20220120735","Google")</f>
        <v>0.0</v>
      </c>
      <c r="G277" s="2" t="n">
        <f>HYPERLINK("https://patentcenter.uspto.gov/applications/17500755","Patent Center")</f>
        <v>0.0</v>
      </c>
      <c r="H277" s="2" t="n">
        <f>HYPERLINK("https://worldwide.espacenet.com/patent/search?q=US20220120735","Espacenet")</f>
        <v>0.0</v>
      </c>
      <c r="I277" s="2" t="n">
        <f>HYPERLINK("https://ppubs.uspto.gov/pubwebapp/external.html?q=20220120735.pn.","USPTO")</f>
        <v>0.0</v>
      </c>
      <c r="J277" s="2" t="n">
        <f>HYPERLINK("https://image-ppubs.uspto.gov/dirsearch-public/print/downloadPdf/20220120735","USPTO PDF")</f>
        <v>0.0</v>
      </c>
      <c r="K277" s="2" t="n">
        <f>HYPERLINK("https://sectors.patentforecast.com/pmd/US20220120735","PMD")</f>
        <v>0.0</v>
      </c>
      <c r="L277" s="2" t="n">
        <f>HYPERLINK("https://globaldossier.uspto.gov/result/application/US/17500755/1","US20220120735")</f>
        <v>0.0</v>
      </c>
      <c r="M277" t="s">
        <v>2029</v>
      </c>
      <c r="N277" t="s">
        <v>2030</v>
      </c>
      <c r="O277" t="s">
        <v>2031</v>
      </c>
      <c r="P277" t="s">
        <v>2032</v>
      </c>
      <c r="Q277" s="3" t="n">
        <v>44482.0</v>
      </c>
      <c r="R277" s="3" t="n">
        <v>44672.0</v>
      </c>
      <c r="S277" s="3" t="n">
        <v>44673.23069068287</v>
      </c>
      <c r="T277" s="3" t="n">
        <v>44698.61247127315</v>
      </c>
      <c r="U277" t="s">
        <v>2033</v>
      </c>
      <c r="V277" t="s">
        <v>2034</v>
      </c>
    </row>
    <row r="278">
      <c r="A278" t="s">
        <v>22</v>
      </c>
      <c r="B278" t="s">
        <v>2035</v>
      </c>
      <c r="C278" t="s">
        <v>60</v>
      </c>
      <c r="D278" t="s">
        <v>61</v>
      </c>
      <c r="E278" t="s">
        <v>2036</v>
      </c>
      <c r="F278" s="2" t="n">
        <f>HYPERLINK("https://patents.google.com/patent/US20220120732","Google")</f>
        <v>0.0</v>
      </c>
      <c r="G278" s="2" t="n">
        <f>HYPERLINK("https://patentcenter.uspto.gov/applications/17428714","Patent Center")</f>
        <v>0.0</v>
      </c>
      <c r="H278" s="2" t="n">
        <f>HYPERLINK("https://worldwide.espacenet.com/patent/search?q=US20220120732","Espacenet")</f>
        <v>0.0</v>
      </c>
      <c r="I278" s="2" t="n">
        <f>HYPERLINK("https://ppubs.uspto.gov/pubwebapp/external.html?q=20220120732.pn.","USPTO")</f>
        <v>0.0</v>
      </c>
      <c r="J278" s="2" t="n">
        <f>HYPERLINK("https://image-ppubs.uspto.gov/dirsearch-public/print/downloadPdf/20220120732","USPTO PDF")</f>
        <v>0.0</v>
      </c>
      <c r="K278" s="2" t="n">
        <f>HYPERLINK("https://sectors.patentforecast.com/pmd/US20220120732","PMD")</f>
        <v>0.0</v>
      </c>
      <c r="L278" s="2" t="n">
        <f>HYPERLINK("https://globaldossier.uspto.gov/result/application/US/17428714/1","US20220120732")</f>
        <v>0.0</v>
      </c>
      <c r="M278" t="s">
        <v>2037</v>
      </c>
      <c r="N278" t="s">
        <v>2038</v>
      </c>
      <c r="O278" t="s">
        <v>2039</v>
      </c>
      <c r="P278" t="s">
        <v>2040</v>
      </c>
      <c r="Q278" s="3" t="n">
        <v>43882.0</v>
      </c>
      <c r="R278" s="3" t="n">
        <v>44672.0</v>
      </c>
      <c r="S278" s="3" t="n">
        <v>44673.23069068287</v>
      </c>
      <c r="T278" s="3" t="n">
        <v>44678.628503657405</v>
      </c>
      <c r="U278" t="s">
        <v>31</v>
      </c>
      <c r="V278" t="s">
        <v>2041</v>
      </c>
    </row>
    <row r="279">
      <c r="A279" t="s">
        <v>22</v>
      </c>
      <c r="B279" t="s">
        <v>2042</v>
      </c>
      <c r="C279" t="s">
        <v>24</v>
      </c>
      <c r="D279" t="s">
        <v>25</v>
      </c>
      <c r="E279" t="s">
        <v>2043</v>
      </c>
      <c r="F279" s="2" t="n">
        <f>HYPERLINK("https://patents.google.com/patent/US20220120692","Google")</f>
        <v>0.0</v>
      </c>
      <c r="G279" s="2" t="n">
        <f>HYPERLINK("https://patentcenter.uspto.gov/applications/17514078","Patent Center")</f>
        <v>0.0</v>
      </c>
      <c r="H279" s="2" t="n">
        <f>HYPERLINK("https://worldwide.espacenet.com/patent/search?q=US20220120692","Espacenet")</f>
        <v>0.0</v>
      </c>
      <c r="I279" s="2" t="n">
        <f>HYPERLINK("https://ppubs.uspto.gov/pubwebapp/external.html?q=20220120692.pn.","USPTO")</f>
        <v>0.0</v>
      </c>
      <c r="J279" s="2" t="n">
        <f>HYPERLINK("https://image-ppubs.uspto.gov/dirsearch-public/print/downloadPdf/20220120692","USPTO PDF")</f>
        <v>0.0</v>
      </c>
      <c r="K279" s="2" t="n">
        <f>HYPERLINK("https://sectors.patentforecast.com/pmd/US20220120692","PMD")</f>
        <v>0.0</v>
      </c>
      <c r="L279" s="2" t="n">
        <f>HYPERLINK("https://globaldossier.uspto.gov/result/application/US/17514078/1","US20220120692")</f>
        <v>0.0</v>
      </c>
      <c r="M279" t="s">
        <v>2044</v>
      </c>
      <c r="N279" t="s">
        <v>2045</v>
      </c>
      <c r="O279" t="s">
        <v>2045</v>
      </c>
      <c r="P279" t="s">
        <v>2046</v>
      </c>
      <c r="Q279" s="3" t="n">
        <v>44498.0</v>
      </c>
      <c r="R279" s="3" t="n">
        <v>44672.0</v>
      </c>
      <c r="S279" s="3" t="n">
        <v>44673.23069068287</v>
      </c>
      <c r="T279" s="3" t="n">
        <v>44698.61256179398</v>
      </c>
      <c r="U279" t="s">
        <v>2047</v>
      </c>
      <c r="V279" t="s">
        <v>2048</v>
      </c>
    </row>
    <row r="280">
      <c r="A280" t="s">
        <v>22</v>
      </c>
      <c r="B280" t="s">
        <v>2049</v>
      </c>
      <c r="C280" t="s">
        <v>24</v>
      </c>
      <c r="D280" t="s">
        <v>25</v>
      </c>
      <c r="E280" t="s">
        <v>2050</v>
      </c>
      <c r="F280" s="2" t="n">
        <f>HYPERLINK("https://patents.google.com/patent/US20220120676","Google")</f>
        <v>0.0</v>
      </c>
      <c r="G280" s="2" t="n">
        <f>HYPERLINK("https://patentcenter.uspto.gov/applications/17564318","Patent Center")</f>
        <v>0.0</v>
      </c>
      <c r="H280" s="2" t="n">
        <f>HYPERLINK("https://worldwide.espacenet.com/patent/search?q=US20220120676","Espacenet")</f>
        <v>0.0</v>
      </c>
      <c r="I280" s="2" t="n">
        <f>HYPERLINK("https://ppubs.uspto.gov/pubwebapp/external.html?q=20220120676.pn.","USPTO")</f>
        <v>0.0</v>
      </c>
      <c r="J280" s="2" t="n">
        <f>HYPERLINK("https://image-ppubs.uspto.gov/dirsearch-public/print/downloadPdf/20220120676","USPTO PDF")</f>
        <v>0.0</v>
      </c>
      <c r="K280" s="2" t="n">
        <f>HYPERLINK("https://sectors.patentforecast.com/pmd/US20220120676","PMD")</f>
        <v>0.0</v>
      </c>
      <c r="L280" s="2" t="n">
        <f>HYPERLINK("https://globaldossier.uspto.gov/result/application/US/17564318/1","US20220120676")</f>
        <v>0.0</v>
      </c>
      <c r="M280" t="s">
        <v>2051</v>
      </c>
      <c r="N280" t="s">
        <v>2052</v>
      </c>
      <c r="O280" t="s">
        <v>2053</v>
      </c>
      <c r="P280" t="s">
        <v>2054</v>
      </c>
      <c r="Q280" s="3" t="n">
        <v>44559.0</v>
      </c>
      <c r="R280" s="3" t="n">
        <v>44672.0</v>
      </c>
      <c r="S280" s="3" t="n">
        <v>44673.23069068287</v>
      </c>
      <c r="T280" s="3" t="n">
        <v>44698.612718888886</v>
      </c>
      <c r="U280" t="s">
        <v>31</v>
      </c>
      <c r="V280" t="s">
        <v>2055</v>
      </c>
    </row>
    <row r="281">
      <c r="A281" t="s">
        <v>22</v>
      </c>
      <c r="B281" t="s">
        <v>2056</v>
      </c>
      <c r="C281" t="s">
        <v>24</v>
      </c>
      <c r="D281" t="s">
        <v>25</v>
      </c>
      <c r="E281" t="s">
        <v>2057</v>
      </c>
      <c r="F281" s="2" t="n">
        <f>HYPERLINK("https://patents.google.com/patent/US20220120674","Google")</f>
        <v>0.0</v>
      </c>
      <c r="G281" s="2" t="n">
        <f>HYPERLINK("https://patentcenter.uspto.gov/applications/17506762","Patent Center")</f>
        <v>0.0</v>
      </c>
      <c r="H281" s="2" t="n">
        <f>HYPERLINK("https://worldwide.espacenet.com/patent/search?q=US20220120674","Espacenet")</f>
        <v>0.0</v>
      </c>
      <c r="I281" s="2" t="n">
        <f>HYPERLINK("https://ppubs.uspto.gov/pubwebapp/external.html?q=20220120674.pn.","USPTO")</f>
        <v>0.0</v>
      </c>
      <c r="J281" s="2" t="n">
        <f>HYPERLINK("https://image-ppubs.uspto.gov/dirsearch-public/print/downloadPdf/20220120674","USPTO PDF")</f>
        <v>0.0</v>
      </c>
      <c r="K281" s="2" t="n">
        <f>HYPERLINK("https://sectors.patentforecast.com/pmd/US20220120674","PMD")</f>
        <v>0.0</v>
      </c>
      <c r="L281" s="2" t="n">
        <f>HYPERLINK("https://globaldossier.uspto.gov/result/application/US/17506762/1","US20220120674")</f>
        <v>0.0</v>
      </c>
      <c r="M281" t="s">
        <v>2058</v>
      </c>
      <c r="N281" t="s">
        <v>2059</v>
      </c>
      <c r="O281" t="s">
        <v>2060</v>
      </c>
      <c r="P281" t="s">
        <v>2061</v>
      </c>
      <c r="Q281" s="3" t="n">
        <v>44490.0</v>
      </c>
      <c r="R281" s="3" t="n">
        <v>44672.0</v>
      </c>
      <c r="S281" s="3" t="n">
        <v>44673.22952724537</v>
      </c>
      <c r="T281" s="3" t="n">
        <v>44698.61293696759</v>
      </c>
      <c r="U281" t="s">
        <v>2062</v>
      </c>
      <c r="V281" t="s">
        <v>2063</v>
      </c>
    </row>
    <row r="282">
      <c r="A282" t="s">
        <v>22</v>
      </c>
      <c r="B282" t="s">
        <v>2064</v>
      </c>
      <c r="C282" t="s">
        <v>24</v>
      </c>
      <c r="D282" t="s">
        <v>25</v>
      </c>
      <c r="E282" t="s">
        <v>2065</v>
      </c>
      <c r="F282" s="2" t="n">
        <f>HYPERLINK("https://patents.google.com/patent/US20220120656","Google")</f>
        <v>0.0</v>
      </c>
      <c r="G282" s="2" t="n">
        <f>HYPERLINK("https://patentcenter.uspto.gov/applications/17503086","Patent Center")</f>
        <v>0.0</v>
      </c>
      <c r="H282" s="2" t="n">
        <f>HYPERLINK("https://worldwide.espacenet.com/patent/search?q=US20220120656","Espacenet")</f>
        <v>0.0</v>
      </c>
      <c r="I282" s="2" t="n">
        <f>HYPERLINK("https://ppubs.uspto.gov/pubwebapp/external.html?q=20220120656.pn.","USPTO")</f>
        <v>0.0</v>
      </c>
      <c r="J282" s="2" t="n">
        <f>HYPERLINK("https://image-ppubs.uspto.gov/dirsearch-public/print/downloadPdf/20220120656","USPTO PDF")</f>
        <v>0.0</v>
      </c>
      <c r="K282" s="2" t="n">
        <f>HYPERLINK("https://sectors.patentforecast.com/pmd/US20220120656","PMD")</f>
        <v>0.0</v>
      </c>
      <c r="L282" s="2" t="n">
        <f>HYPERLINK("https://globaldossier.uspto.gov/result/application/US/17503086/1","US20220120656")</f>
        <v>0.0</v>
      </c>
      <c r="M282" t="s">
        <v>2066</v>
      </c>
      <c r="N282" t="s">
        <v>2067</v>
      </c>
      <c r="O282" t="s">
        <v>2068</v>
      </c>
      <c r="P282" t="s">
        <v>2069</v>
      </c>
      <c r="Q282" s="3" t="n">
        <v>44484.0</v>
      </c>
      <c r="R282" s="3" t="n">
        <v>44672.0</v>
      </c>
      <c r="S282" s="3" t="n">
        <v>44673.23069068287</v>
      </c>
      <c r="T282" s="3" t="n">
        <v>44678.555452685185</v>
      </c>
      <c r="U282" t="s">
        <v>31</v>
      </c>
      <c r="V282" t="s">
        <v>2070</v>
      </c>
    </row>
    <row r="283">
      <c r="A283" t="s">
        <v>22</v>
      </c>
      <c r="B283" t="s">
        <v>2071</v>
      </c>
      <c r="C283" t="s">
        <v>24</v>
      </c>
      <c r="D283" t="s">
        <v>69</v>
      </c>
      <c r="E283" t="s">
        <v>2072</v>
      </c>
      <c r="F283" s="2" t="n">
        <f>HYPERLINK("https://patents.google.com/patent/US20220120618","Google")</f>
        <v>0.0</v>
      </c>
      <c r="G283" s="2" t="n">
        <f>HYPERLINK("https://patentcenter.uspto.gov/applications/17505405","Patent Center")</f>
        <v>0.0</v>
      </c>
      <c r="H283" s="2" t="n">
        <f>HYPERLINK("https://worldwide.espacenet.com/patent/search?q=US20220120618","Espacenet")</f>
        <v>0.0</v>
      </c>
      <c r="I283" s="2" t="n">
        <f>HYPERLINK("https://ppubs.uspto.gov/pubwebapp/external.html?q=20220120618.pn.","USPTO")</f>
        <v>0.0</v>
      </c>
      <c r="J283" s="2" t="n">
        <f>HYPERLINK("https://image-ppubs.uspto.gov/dirsearch-public/print/downloadPdf/20220120618","USPTO PDF")</f>
        <v>0.0</v>
      </c>
      <c r="K283" s="2" t="n">
        <f>HYPERLINK("https://sectors.patentforecast.com/pmd/US20220120618","PMD")</f>
        <v>0.0</v>
      </c>
      <c r="L283" s="2" t="n">
        <f>HYPERLINK("https://globaldossier.uspto.gov/result/application/US/17505405/1","US20220120618")</f>
        <v>0.0</v>
      </c>
      <c r="M283" t="s">
        <v>2073</v>
      </c>
      <c r="N283" t="s">
        <v>2074</v>
      </c>
      <c r="O283" t="s">
        <v>2075</v>
      </c>
      <c r="P283" t="s">
        <v>2076</v>
      </c>
      <c r="Q283" s="3" t="n">
        <v>44488.0</v>
      </c>
      <c r="R283" s="3" t="n">
        <v>44672.0</v>
      </c>
      <c r="S283" s="3" t="n">
        <v>44673.23069068287</v>
      </c>
      <c r="T283" s="3" t="n">
        <v>44698.61299403935</v>
      </c>
      <c r="U283" t="s">
        <v>31</v>
      </c>
      <c r="V283" t="s">
        <v>2077</v>
      </c>
    </row>
    <row r="284">
      <c r="A284" t="s">
        <v>22</v>
      </c>
      <c r="B284" t="s">
        <v>2078</v>
      </c>
      <c r="C284" t="s">
        <v>24</v>
      </c>
      <c r="D284" t="s">
        <v>69</v>
      </c>
      <c r="E284" t="s">
        <v>2079</v>
      </c>
      <c r="F284" s="2" t="n">
        <f>HYPERLINK("https://patents.google.com/patent/US20220120459","Google")</f>
        <v>0.0</v>
      </c>
      <c r="G284" s="2" t="n">
        <f>HYPERLINK("https://patentcenter.uspto.gov/applications/17075984","Patent Center")</f>
        <v>0.0</v>
      </c>
      <c r="H284" s="2" t="n">
        <f>HYPERLINK("https://worldwide.espacenet.com/patent/search?q=US20220120459","Espacenet")</f>
        <v>0.0</v>
      </c>
      <c r="I284" s="2" t="n">
        <f>HYPERLINK("https://ppubs.uspto.gov/pubwebapp/external.html?q=20220120459.pn.","USPTO")</f>
        <v>0.0</v>
      </c>
      <c r="J284" s="2" t="n">
        <f>HYPERLINK("https://image-ppubs.uspto.gov/dirsearch-public/print/downloadPdf/20220120459","USPTO PDF")</f>
        <v>0.0</v>
      </c>
      <c r="K284" s="2" t="n">
        <f>HYPERLINK("https://sectors.patentforecast.com/pmd/US20220120459","PMD")</f>
        <v>0.0</v>
      </c>
      <c r="L284" s="2" t="n">
        <f>HYPERLINK("https://globaldossier.uspto.gov/result/application/US/17075984/1","US20220120459")</f>
        <v>0.0</v>
      </c>
      <c r="M284" t="s">
        <v>2080</v>
      </c>
      <c r="N284" t="s">
        <v>2081</v>
      </c>
      <c r="O284" t="s">
        <v>2081</v>
      </c>
      <c r="P284" t="s">
        <v>2082</v>
      </c>
      <c r="Q284" s="3" t="n">
        <v>44125.0</v>
      </c>
      <c r="R284" s="3" t="n">
        <v>44672.0</v>
      </c>
      <c r="S284" s="3" t="n">
        <v>44673.23069068287</v>
      </c>
      <c r="T284" s="3" t="n">
        <v>44698.61305866898</v>
      </c>
      <c r="U284" t="s">
        <v>2083</v>
      </c>
      <c r="V284" t="s">
        <v>2084</v>
      </c>
    </row>
    <row r="285">
      <c r="A285" t="s">
        <v>22</v>
      </c>
      <c r="B285" t="s">
        <v>2085</v>
      </c>
      <c r="C285" t="s">
        <v>24</v>
      </c>
      <c r="D285" t="s">
        <v>204</v>
      </c>
      <c r="E285" t="s">
        <v>2086</v>
      </c>
      <c r="F285" s="2" t="n">
        <f>HYPERLINK("https://patents.google.com/patent/US20220120107","Google")</f>
        <v>0.0</v>
      </c>
      <c r="G285" s="2" t="n">
        <f>HYPERLINK("https://patentcenter.uspto.gov/applications/17505341","Patent Center")</f>
        <v>0.0</v>
      </c>
      <c r="H285" s="2" t="n">
        <f>HYPERLINK("https://worldwide.espacenet.com/patent/search?q=US20220120107","Espacenet")</f>
        <v>0.0</v>
      </c>
      <c r="I285" s="2" t="n">
        <f>HYPERLINK("https://ppubs.uspto.gov/pubwebapp/external.html?q=20220120107.pn.","USPTO")</f>
        <v>0.0</v>
      </c>
      <c r="J285" s="2" t="n">
        <f>HYPERLINK("https://image-ppubs.uspto.gov/dirsearch-public/print/downloadPdf/20220120107","USPTO PDF")</f>
        <v>0.0</v>
      </c>
      <c r="K285" s="2" t="n">
        <f>HYPERLINK("https://sectors.patentforecast.com/pmd/US20220120107","PMD")</f>
        <v>0.0</v>
      </c>
      <c r="L285" s="2" t="n">
        <f>HYPERLINK("https://globaldossier.uspto.gov/result/application/US/17505341/1","US20220120107")</f>
        <v>0.0</v>
      </c>
      <c r="M285" t="s">
        <v>2087</v>
      </c>
      <c r="N285" t="s">
        <v>2088</v>
      </c>
      <c r="O285" t="s">
        <v>2088</v>
      </c>
      <c r="P285" t="s">
        <v>2089</v>
      </c>
      <c r="Q285" s="3" t="n">
        <v>44488.0</v>
      </c>
      <c r="R285" s="3" t="n">
        <v>44672.0</v>
      </c>
      <c r="S285" s="3" t="n">
        <v>44673.23069068287</v>
      </c>
      <c r="T285" s="3" t="n">
        <v>44698.61312666666</v>
      </c>
      <c r="U285" t="s">
        <v>2090</v>
      </c>
      <c r="V285" t="s">
        <v>2091</v>
      </c>
    </row>
    <row r="286">
      <c r="A286" t="s">
        <v>22</v>
      </c>
      <c r="B286" t="s">
        <v>2092</v>
      </c>
      <c r="C286" t="s">
        <v>24</v>
      </c>
      <c r="D286" t="s">
        <v>25</v>
      </c>
      <c r="E286" t="s">
        <v>2093</v>
      </c>
      <c r="F286" s="2" t="n">
        <f>HYPERLINK("https://patents.google.com/patent/US20220119897","Google")</f>
        <v>0.0</v>
      </c>
      <c r="G286" s="2" t="n">
        <f>HYPERLINK("https://patentcenter.uspto.gov/applications/17348636","Patent Center")</f>
        <v>0.0</v>
      </c>
      <c r="H286" s="2" t="n">
        <f>HYPERLINK("https://worldwide.espacenet.com/patent/search?q=US20220119897","Espacenet")</f>
        <v>0.0</v>
      </c>
      <c r="I286" s="2" t="n">
        <f>HYPERLINK("https://ppubs.uspto.gov/pubwebapp/external.html?q=20220119897.pn.","USPTO")</f>
        <v>0.0</v>
      </c>
      <c r="J286" s="2" t="n">
        <f>HYPERLINK("https://image-ppubs.uspto.gov/dirsearch-public/print/downloadPdf/20220119897","USPTO PDF")</f>
        <v>0.0</v>
      </c>
      <c r="K286" s="2" t="n">
        <f>HYPERLINK("https://sectors.patentforecast.com/pmd/US20220119897","PMD")</f>
        <v>0.0</v>
      </c>
      <c r="L286" s="2" t="n">
        <f>HYPERLINK("https://globaldossier.uspto.gov/result/application/US/17348636/1","US20220119897")</f>
        <v>0.0</v>
      </c>
      <c r="M286" t="s">
        <v>2094</v>
      </c>
      <c r="N286" t="s">
        <v>2095</v>
      </c>
      <c r="O286" t="s">
        <v>2096</v>
      </c>
      <c r="P286" t="s">
        <v>2097</v>
      </c>
      <c r="Q286" s="3" t="n">
        <v>44362.0</v>
      </c>
      <c r="R286" s="3" t="n">
        <v>44672.0</v>
      </c>
      <c r="S286" s="3" t="n">
        <v>44673.23069068287</v>
      </c>
      <c r="T286" s="3" t="n">
        <v>44678.61775613426</v>
      </c>
      <c r="U286" t="s">
        <v>2098</v>
      </c>
      <c r="V286" t="s">
        <v>2099</v>
      </c>
    </row>
    <row r="287">
      <c r="A287" t="s">
        <v>22</v>
      </c>
      <c r="B287" t="s">
        <v>2100</v>
      </c>
      <c r="C287" t="s">
        <v>24</v>
      </c>
      <c r="D287" t="s">
        <v>25</v>
      </c>
      <c r="E287" t="s">
        <v>2101</v>
      </c>
      <c r="F287" s="2" t="n">
        <f>HYPERLINK("https://patents.google.com/patent/US20220119896","Google")</f>
        <v>0.0</v>
      </c>
      <c r="G287" s="2" t="n">
        <f>HYPERLINK("https://patentcenter.uspto.gov/applications/17507472","Patent Center")</f>
        <v>0.0</v>
      </c>
      <c r="H287" s="2" t="n">
        <f>HYPERLINK("https://worldwide.espacenet.com/patent/search?q=US20220119896","Espacenet")</f>
        <v>0.0</v>
      </c>
      <c r="I287" s="2" t="n">
        <f>HYPERLINK("https://ppubs.uspto.gov/pubwebapp/external.html?q=20220119896.pn.","USPTO")</f>
        <v>0.0</v>
      </c>
      <c r="J287" s="2" t="n">
        <f>HYPERLINK("https://image-ppubs.uspto.gov/dirsearch-public/print/downloadPdf/20220119896","USPTO PDF")</f>
        <v>0.0</v>
      </c>
      <c r="K287" s="2" t="n">
        <f>HYPERLINK("https://sectors.patentforecast.com/pmd/US20220119896","PMD")</f>
        <v>0.0</v>
      </c>
      <c r="L287" s="2" t="n">
        <f>HYPERLINK("https://globaldossier.uspto.gov/result/application/US/17507472/1","US20220119896")</f>
        <v>0.0</v>
      </c>
      <c r="M287" t="s">
        <v>2102</v>
      </c>
      <c r="N287" t="s">
        <v>2103</v>
      </c>
      <c r="O287" t="s">
        <v>2104</v>
      </c>
      <c r="P287" t="s">
        <v>2105</v>
      </c>
      <c r="Q287" s="3" t="n">
        <v>44490.0</v>
      </c>
      <c r="R287" s="3" t="n">
        <v>44672.0</v>
      </c>
      <c r="S287" s="3" t="n">
        <v>44673.23069068287</v>
      </c>
      <c r="T287" s="3" t="n">
        <v>44678.61763453704</v>
      </c>
      <c r="U287" t="s">
        <v>2106</v>
      </c>
      <c r="V287" t="s">
        <v>2107</v>
      </c>
    </row>
    <row r="288">
      <c r="A288" t="s">
        <v>22</v>
      </c>
      <c r="B288" t="s">
        <v>2108</v>
      </c>
      <c r="C288" t="s">
        <v>132</v>
      </c>
      <c r="D288" t="s">
        <v>142</v>
      </c>
      <c r="E288" t="s">
        <v>2109</v>
      </c>
      <c r="F288" s="2" t="n">
        <f>HYPERLINK("https://patents.google.com/patent/US20220119824","Google")</f>
        <v>0.0</v>
      </c>
      <c r="G288" s="2" t="n">
        <f>HYPERLINK("https://patentcenter.uspto.gov/applications/17569290","Patent Center")</f>
        <v>0.0</v>
      </c>
      <c r="H288" s="2" t="n">
        <f>HYPERLINK("https://worldwide.espacenet.com/patent/search?q=US20220119824","Espacenet")</f>
        <v>0.0</v>
      </c>
      <c r="I288" s="2" t="n">
        <f>HYPERLINK("https://ppubs.uspto.gov/pubwebapp/external.html?q=20220119824.pn.","USPTO")</f>
        <v>0.0</v>
      </c>
      <c r="J288" s="2" t="n">
        <f>HYPERLINK("https://image-ppubs.uspto.gov/dirsearch-public/print/downloadPdf/20220119824","USPTO PDF")</f>
        <v>0.0</v>
      </c>
      <c r="K288" s="2" t="n">
        <f>HYPERLINK("https://sectors.patentforecast.com/pmd/US20220119824","PMD")</f>
        <v>0.0</v>
      </c>
      <c r="L288" s="2" t="n">
        <f>HYPERLINK("https://globaldossier.uspto.gov/result/application/US/17569290/1","US20220119824")</f>
        <v>0.0</v>
      </c>
      <c r="M288" t="s">
        <v>2110</v>
      </c>
      <c r="N288" t="s">
        <v>2111</v>
      </c>
      <c r="O288" t="s">
        <v>2112</v>
      </c>
      <c r="P288" t="s">
        <v>2113</v>
      </c>
      <c r="Q288" s="3" t="n">
        <v>44566.0</v>
      </c>
      <c r="R288" s="3" t="n">
        <v>44672.0</v>
      </c>
      <c r="S288" s="3" t="n">
        <v>44673.23069068287</v>
      </c>
      <c r="T288" s="3" t="n">
        <v>44698.61328784722</v>
      </c>
      <c r="U288" t="s">
        <v>2114</v>
      </c>
      <c r="V288" t="s">
        <v>2115</v>
      </c>
    </row>
    <row r="289">
      <c r="A289" t="s">
        <v>22</v>
      </c>
      <c r="B289" t="s">
        <v>2116</v>
      </c>
      <c r="C289" t="s">
        <v>60</v>
      </c>
      <c r="D289" t="s">
        <v>61</v>
      </c>
      <c r="E289" t="s">
        <v>2117</v>
      </c>
      <c r="F289" s="2" t="n">
        <f>HYPERLINK("https://patents.google.com/patent/US20220119812","Google")</f>
        <v>0.0</v>
      </c>
      <c r="G289" s="2" t="n">
        <f>HYPERLINK("https://patentcenter.uspto.gov/applications/17451521","Patent Center")</f>
        <v>0.0</v>
      </c>
      <c r="H289" s="2" t="n">
        <f>HYPERLINK("https://worldwide.espacenet.com/patent/search?q=US20220119812","Espacenet")</f>
        <v>0.0</v>
      </c>
      <c r="I289" s="2" t="n">
        <f>HYPERLINK("https://ppubs.uspto.gov/pubwebapp/external.html?q=20220119812.pn.","USPTO")</f>
        <v>0.0</v>
      </c>
      <c r="J289" s="2" t="n">
        <f>HYPERLINK("https://image-ppubs.uspto.gov/dirsearch-public/print/downloadPdf/20220119812","USPTO PDF")</f>
        <v>0.0</v>
      </c>
      <c r="K289" s="2" t="n">
        <f>HYPERLINK("https://sectors.patentforecast.com/pmd/US20220119812","PMD")</f>
        <v>0.0</v>
      </c>
      <c r="L289" s="2" t="n">
        <f>HYPERLINK("https://globaldossier.uspto.gov/result/application/US/17451521/1","US20220119812")</f>
        <v>0.0</v>
      </c>
      <c r="M289" t="s">
        <v>2118</v>
      </c>
      <c r="N289" t="s">
        <v>2119</v>
      </c>
      <c r="O289" t="s">
        <v>2120</v>
      </c>
      <c r="P289" t="s">
        <v>2121</v>
      </c>
      <c r="Q289" s="3" t="n">
        <v>44489.0</v>
      </c>
      <c r="R289" s="3" t="n">
        <v>44672.0</v>
      </c>
      <c r="S289" s="3" t="n">
        <v>44673.23069068287</v>
      </c>
      <c r="T289" s="3" t="n">
        <v>44678.48021734953</v>
      </c>
      <c r="U289" t="s">
        <v>2122</v>
      </c>
      <c r="V289" t="s">
        <v>2123</v>
      </c>
    </row>
    <row r="290">
      <c r="A290" t="s">
        <v>22</v>
      </c>
      <c r="B290" t="s">
        <v>2124</v>
      </c>
      <c r="C290" t="s">
        <v>132</v>
      </c>
      <c r="D290" t="s">
        <v>133</v>
      </c>
      <c r="E290" t="s">
        <v>2125</v>
      </c>
      <c r="F290" s="2" t="n">
        <f>HYPERLINK("https://patents.google.com/patent/US20220119776","Google")</f>
        <v>0.0</v>
      </c>
      <c r="G290" s="2" t="n">
        <f>HYPERLINK("https://patentcenter.uspto.gov/applications/17505496","Patent Center")</f>
        <v>0.0</v>
      </c>
      <c r="H290" s="2" t="n">
        <f>HYPERLINK("https://worldwide.espacenet.com/patent/search?q=US20220119776","Espacenet")</f>
        <v>0.0</v>
      </c>
      <c r="I290" s="2" t="n">
        <f>HYPERLINK("https://ppubs.uspto.gov/pubwebapp/external.html?q=20220119776.pn.","USPTO")</f>
        <v>0.0</v>
      </c>
      <c r="J290" s="2" t="n">
        <f>HYPERLINK("https://image-ppubs.uspto.gov/dirsearch-public/print/downloadPdf/20220119776","USPTO PDF")</f>
        <v>0.0</v>
      </c>
      <c r="K290" s="2" t="n">
        <f>HYPERLINK("https://sectors.patentforecast.com/pmd/US20220119776","PMD")</f>
        <v>0.0</v>
      </c>
      <c r="L290" s="2" t="n">
        <f>HYPERLINK("https://globaldossier.uspto.gov/result/application/US/17505496/1","US20220119776")</f>
        <v>0.0</v>
      </c>
      <c r="M290" t="s">
        <v>2126</v>
      </c>
      <c r="N290" t="s">
        <v>2127</v>
      </c>
      <c r="O290" t="s">
        <v>2127</v>
      </c>
      <c r="P290" t="s">
        <v>2128</v>
      </c>
      <c r="Q290" s="3" t="n">
        <v>44488.0</v>
      </c>
      <c r="R290" s="3" t="n">
        <v>44672.0</v>
      </c>
      <c r="S290" s="3" t="n">
        <v>44673.22952724537</v>
      </c>
      <c r="T290" s="3" t="n">
        <v>44678.47946605324</v>
      </c>
      <c r="U290" t="s">
        <v>2129</v>
      </c>
      <c r="V290" t="s">
        <v>2130</v>
      </c>
    </row>
    <row r="291">
      <c r="A291" t="s">
        <v>22</v>
      </c>
      <c r="B291" t="s">
        <v>2131</v>
      </c>
      <c r="C291" t="s">
        <v>60</v>
      </c>
      <c r="D291" t="s">
        <v>61</v>
      </c>
      <c r="E291" t="s">
        <v>2132</v>
      </c>
      <c r="F291" s="2" t="n">
        <f>HYPERLINK("https://patents.google.com/patent/US20220119552","Google")</f>
        <v>0.0</v>
      </c>
      <c r="G291" s="2" t="n">
        <f>HYPERLINK("https://patentcenter.uspto.gov/applications/17503132","Patent Center")</f>
        <v>0.0</v>
      </c>
      <c r="H291" s="2" t="n">
        <f>HYPERLINK("https://worldwide.espacenet.com/patent/search?q=US20220119552","Espacenet")</f>
        <v>0.0</v>
      </c>
      <c r="I291" s="2" t="n">
        <f>HYPERLINK("https://ppubs.uspto.gov/pubwebapp/external.html?q=20220119552.pn.","USPTO")</f>
        <v>0.0</v>
      </c>
      <c r="J291" s="2" t="n">
        <f>HYPERLINK("https://image-ppubs.uspto.gov/dirsearch-public/print/downloadPdf/20220119552","USPTO PDF")</f>
        <v>0.0</v>
      </c>
      <c r="K291" s="2" t="n">
        <f>HYPERLINK("https://sectors.patentforecast.com/pmd/US20220119552","PMD")</f>
        <v>0.0</v>
      </c>
      <c r="L291" s="2" t="n">
        <f>HYPERLINK("https://globaldossier.uspto.gov/result/application/US/17503132/1","US20220119552")</f>
        <v>0.0</v>
      </c>
      <c r="M291" t="s">
        <v>2133</v>
      </c>
      <c r="N291" t="s">
        <v>2134</v>
      </c>
      <c r="O291" t="s">
        <v>2135</v>
      </c>
      <c r="P291" t="s">
        <v>2136</v>
      </c>
      <c r="Q291" s="3" t="n">
        <v>44484.0</v>
      </c>
      <c r="R291" s="3" t="n">
        <v>44672.0</v>
      </c>
      <c r="S291" s="3" t="n">
        <v>44673.23069068287</v>
      </c>
      <c r="T291" s="3" t="n">
        <v>44698.61337899305</v>
      </c>
      <c r="U291" t="s">
        <v>2137</v>
      </c>
      <c r="V291" t="s">
        <v>2138</v>
      </c>
    </row>
    <row r="292">
      <c r="A292" t="s">
        <v>22</v>
      </c>
      <c r="B292" t="s">
        <v>2139</v>
      </c>
      <c r="C292" t="s">
        <v>496</v>
      </c>
      <c r="D292" t="s">
        <v>616</v>
      </c>
      <c r="E292" t="s">
        <v>2140</v>
      </c>
      <c r="F292" s="2" t="n">
        <f>HYPERLINK("https://patents.google.com/patent/US20220119501","Google")</f>
        <v>0.0</v>
      </c>
      <c r="G292" s="2" t="n">
        <f>HYPERLINK("https://patentcenter.uspto.gov/applications/17501955","Patent Center")</f>
        <v>0.0</v>
      </c>
      <c r="H292" s="2" t="n">
        <f>HYPERLINK("https://worldwide.espacenet.com/patent/search?q=US20220119501","Espacenet")</f>
        <v>0.0</v>
      </c>
      <c r="I292" s="2" t="n">
        <f>HYPERLINK("https://ppubs.uspto.gov/pubwebapp/external.html?q=20220119501.pn.","USPTO")</f>
        <v>0.0</v>
      </c>
      <c r="J292" s="2" t="n">
        <f>HYPERLINK("https://image-ppubs.uspto.gov/dirsearch-public/print/downloadPdf/20220119501","USPTO PDF")</f>
        <v>0.0</v>
      </c>
      <c r="K292" s="2" t="n">
        <f>HYPERLINK("https://sectors.patentforecast.com/pmd/US20220119501","PMD")</f>
        <v>0.0</v>
      </c>
      <c r="L292" s="2" t="n">
        <f>HYPERLINK("https://globaldossier.uspto.gov/result/application/US/17501955/1","US20220119501")</f>
        <v>0.0</v>
      </c>
      <c r="M292" t="s">
        <v>2141</v>
      </c>
      <c r="N292" t="s">
        <v>2142</v>
      </c>
      <c r="O292" t="s">
        <v>2143</v>
      </c>
      <c r="P292" t="s">
        <v>2144</v>
      </c>
      <c r="Q292" s="3" t="n">
        <v>44483.0</v>
      </c>
      <c r="R292" s="3" t="n">
        <v>44672.0</v>
      </c>
      <c r="S292" s="3" t="n">
        <v>44673.23069068287</v>
      </c>
      <c r="T292" s="3" t="n">
        <v>44698.61358730324</v>
      </c>
      <c r="U292" t="s">
        <v>31</v>
      </c>
      <c r="V292" t="s">
        <v>2145</v>
      </c>
    </row>
    <row r="293">
      <c r="A293" t="s">
        <v>22</v>
      </c>
      <c r="B293" t="s">
        <v>2146</v>
      </c>
      <c r="C293" t="s">
        <v>60</v>
      </c>
      <c r="D293" t="s">
        <v>61</v>
      </c>
      <c r="E293" t="s">
        <v>2147</v>
      </c>
      <c r="F293" s="2" t="n">
        <f>HYPERLINK("https://patents.google.com/patent/US20220119493","Google")</f>
        <v>0.0</v>
      </c>
      <c r="G293" s="2" t="n">
        <f>HYPERLINK("https://patentcenter.uspto.gov/applications/17568814","Patent Center")</f>
        <v>0.0</v>
      </c>
      <c r="H293" s="2" t="n">
        <f>HYPERLINK("https://worldwide.espacenet.com/patent/search?q=US20220119493","Espacenet")</f>
        <v>0.0</v>
      </c>
      <c r="I293" s="2" t="n">
        <f>HYPERLINK("https://ppubs.uspto.gov/pubwebapp/external.html?q=20220119493.pn.","USPTO")</f>
        <v>0.0</v>
      </c>
      <c r="J293" s="2" t="n">
        <f>HYPERLINK("https://image-ppubs.uspto.gov/dirsearch-public/print/downloadPdf/20220119493","USPTO PDF")</f>
        <v>0.0</v>
      </c>
      <c r="K293" s="2" t="n">
        <f>HYPERLINK("https://sectors.patentforecast.com/pmd/US20220119493","PMD")</f>
        <v>0.0</v>
      </c>
      <c r="L293" s="2" t="n">
        <f>HYPERLINK("https://globaldossier.uspto.gov/result/application/US/17568814/1","US20220119493")</f>
        <v>0.0</v>
      </c>
      <c r="M293" t="s">
        <v>2148</v>
      </c>
      <c r="N293" t="s">
        <v>2149</v>
      </c>
      <c r="O293" t="s">
        <v>2150</v>
      </c>
      <c r="P293" t="s">
        <v>2151</v>
      </c>
      <c r="Q293" s="3" t="n">
        <v>44566.0</v>
      </c>
      <c r="R293" s="3" t="n">
        <v>44672.0</v>
      </c>
      <c r="S293" s="3" t="n">
        <v>44673.23069068287</v>
      </c>
      <c r="T293" s="3" t="n">
        <v>44698.61407072916</v>
      </c>
      <c r="U293" t="s">
        <v>31</v>
      </c>
      <c r="V293" t="s">
        <v>2152</v>
      </c>
    </row>
    <row r="294">
      <c r="A294" t="s">
        <v>22</v>
      </c>
      <c r="B294" t="s">
        <v>2153</v>
      </c>
      <c r="C294" t="s">
        <v>60</v>
      </c>
      <c r="D294" t="s">
        <v>61</v>
      </c>
      <c r="E294" t="s">
        <v>2154</v>
      </c>
      <c r="F294" s="2" t="n">
        <f>HYPERLINK("https://patents.google.com/patent/US20220119492","Google")</f>
        <v>0.0</v>
      </c>
      <c r="G294" s="2" t="n">
        <f>HYPERLINK("https://patentcenter.uspto.gov/applications/17519278","Patent Center")</f>
        <v>0.0</v>
      </c>
      <c r="H294" s="2" t="n">
        <f>HYPERLINK("https://worldwide.espacenet.com/patent/search?q=US20220119492","Espacenet")</f>
        <v>0.0</v>
      </c>
      <c r="I294" s="2" t="n">
        <f>HYPERLINK("https://ppubs.uspto.gov/pubwebapp/external.html?q=20220119492.pn.","USPTO")</f>
        <v>0.0</v>
      </c>
      <c r="J294" s="2" t="n">
        <f>HYPERLINK("https://image-ppubs.uspto.gov/dirsearch-public/print/downloadPdf/20220119492","USPTO PDF")</f>
        <v>0.0</v>
      </c>
      <c r="K294" s="2" t="n">
        <f>HYPERLINK("https://sectors.patentforecast.com/pmd/US20220119492","PMD")</f>
        <v>0.0</v>
      </c>
      <c r="L294" s="2" t="n">
        <f>HYPERLINK("https://globaldossier.uspto.gov/result/application/US/17519278/1","US20220119492")</f>
        <v>0.0</v>
      </c>
      <c r="M294" t="s">
        <v>2155</v>
      </c>
      <c r="N294" t="s">
        <v>2149</v>
      </c>
      <c r="O294" t="s">
        <v>2150</v>
      </c>
      <c r="P294" t="s">
        <v>2151</v>
      </c>
      <c r="Q294" s="3" t="n">
        <v>44504.0</v>
      </c>
      <c r="R294" s="3" t="n">
        <v>44672.0</v>
      </c>
      <c r="S294" s="3" t="n">
        <v>44673.23069068287</v>
      </c>
      <c r="T294" s="3" t="n">
        <v>44698.61414224537</v>
      </c>
      <c r="U294" t="s">
        <v>31</v>
      </c>
      <c r="V294" t="s">
        <v>2156</v>
      </c>
    </row>
    <row r="295">
      <c r="A295" t="s">
        <v>22</v>
      </c>
      <c r="B295" t="s">
        <v>2157</v>
      </c>
      <c r="C295" t="s">
        <v>60</v>
      </c>
      <c r="D295" t="s">
        <v>61</v>
      </c>
      <c r="E295" t="s">
        <v>2158</v>
      </c>
      <c r="F295" s="2" t="n">
        <f>HYPERLINK("https://patents.google.com/patent/US20220119465","Google")</f>
        <v>0.0</v>
      </c>
      <c r="G295" s="2" t="n">
        <f>HYPERLINK("https://patentcenter.uspto.gov/applications/17568411","Patent Center")</f>
        <v>0.0</v>
      </c>
      <c r="H295" s="2" t="n">
        <f>HYPERLINK("https://worldwide.espacenet.com/patent/search?q=US20220119465","Espacenet")</f>
        <v>0.0</v>
      </c>
      <c r="I295" s="2" t="n">
        <f>HYPERLINK("https://ppubs.uspto.gov/pubwebapp/external.html?q=20220119465.pn.","USPTO")</f>
        <v>0.0</v>
      </c>
      <c r="J295" s="2" t="n">
        <f>HYPERLINK("https://image-ppubs.uspto.gov/dirsearch-public/print/downloadPdf/20220119465","USPTO PDF")</f>
        <v>0.0</v>
      </c>
      <c r="K295" s="2" t="n">
        <f>HYPERLINK("https://sectors.patentforecast.com/pmd/US20220119465","PMD")</f>
        <v>0.0</v>
      </c>
      <c r="L295" s="2" t="n">
        <f>HYPERLINK("https://globaldossier.uspto.gov/result/application/US/17568411/1","US20220119465")</f>
        <v>0.0</v>
      </c>
      <c r="M295" t="s">
        <v>2159</v>
      </c>
      <c r="N295" t="s">
        <v>2149</v>
      </c>
      <c r="O295" t="s">
        <v>2150</v>
      </c>
      <c r="P295" t="s">
        <v>2151</v>
      </c>
      <c r="Q295" s="3" t="n">
        <v>44565.0</v>
      </c>
      <c r="R295" s="3" t="n">
        <v>44672.0</v>
      </c>
      <c r="S295" s="3" t="n">
        <v>44673.23069068287</v>
      </c>
      <c r="T295" s="3" t="n">
        <v>44698.61560159722</v>
      </c>
      <c r="U295" t="s">
        <v>2160</v>
      </c>
      <c r="V295" t="s">
        <v>2161</v>
      </c>
    </row>
    <row r="296">
      <c r="A296" t="s">
        <v>22</v>
      </c>
      <c r="B296" t="s">
        <v>2162</v>
      </c>
      <c r="C296" t="s">
        <v>60</v>
      </c>
      <c r="D296" t="s">
        <v>61</v>
      </c>
      <c r="E296" t="s">
        <v>2163</v>
      </c>
      <c r="F296" s="2" t="n">
        <f>HYPERLINK("https://patents.google.com/patent/US20220119464","Google")</f>
        <v>0.0</v>
      </c>
      <c r="G296" s="2" t="n">
        <f>HYPERLINK("https://patentcenter.uspto.gov/applications/17391805","Patent Center")</f>
        <v>0.0</v>
      </c>
      <c r="H296" s="2" t="n">
        <f>HYPERLINK("https://worldwide.espacenet.com/patent/search?q=US20220119464","Espacenet")</f>
        <v>0.0</v>
      </c>
      <c r="I296" s="2" t="n">
        <f>HYPERLINK("https://ppubs.uspto.gov/pubwebapp/external.html?q=20220119464.pn.","USPTO")</f>
        <v>0.0</v>
      </c>
      <c r="J296" s="2" t="n">
        <f>HYPERLINK("https://image-ppubs.uspto.gov/dirsearch-public/print/downloadPdf/20220119464","USPTO PDF")</f>
        <v>0.0</v>
      </c>
      <c r="K296" s="2" t="n">
        <f>HYPERLINK("https://sectors.patentforecast.com/pmd/US20220119464","PMD")</f>
        <v>0.0</v>
      </c>
      <c r="L296" s="2" t="n">
        <f>HYPERLINK("https://globaldossier.uspto.gov/result/application/US/17391805/1","US20220119464")</f>
        <v>0.0</v>
      </c>
      <c r="M296" t="s">
        <v>2164</v>
      </c>
      <c r="N296" t="s">
        <v>2165</v>
      </c>
      <c r="O296" t="s">
        <v>2165</v>
      </c>
      <c r="P296" t="s">
        <v>2166</v>
      </c>
      <c r="Q296" s="3" t="n">
        <v>44410.0</v>
      </c>
      <c r="R296" s="3" t="n">
        <v>44672.0</v>
      </c>
      <c r="S296" s="3" t="n">
        <v>44673.23069068287</v>
      </c>
      <c r="T296" s="3" t="n">
        <v>44698.61593356481</v>
      </c>
      <c r="U296" t="s">
        <v>2167</v>
      </c>
      <c r="V296" t="s">
        <v>2168</v>
      </c>
    </row>
    <row r="297">
      <c r="A297" t="s">
        <v>22</v>
      </c>
      <c r="B297" t="s">
        <v>2169</v>
      </c>
      <c r="C297" t="s">
        <v>60</v>
      </c>
      <c r="D297" t="s">
        <v>61</v>
      </c>
      <c r="E297" t="s">
        <v>2170</v>
      </c>
      <c r="F297" s="2" t="n">
        <f>HYPERLINK("https://patents.google.com/patent/US20220119381","Google")</f>
        <v>0.0</v>
      </c>
      <c r="G297" s="2" t="n">
        <f>HYPERLINK("https://patentcenter.uspto.gov/applications/17106799","Patent Center")</f>
        <v>0.0</v>
      </c>
      <c r="H297" s="2" t="n">
        <f>HYPERLINK("https://worldwide.espacenet.com/patent/search?q=US20220119381","Espacenet")</f>
        <v>0.0</v>
      </c>
      <c r="I297" s="2" t="n">
        <f>HYPERLINK("https://ppubs.uspto.gov/pubwebapp/external.html?q=20220119381.pn.","USPTO")</f>
        <v>0.0</v>
      </c>
      <c r="J297" s="2" t="n">
        <f>HYPERLINK("https://image-ppubs.uspto.gov/dirsearch-public/print/downloadPdf/20220119381","USPTO PDF")</f>
        <v>0.0</v>
      </c>
      <c r="K297" s="2" t="n">
        <f>HYPERLINK("https://sectors.patentforecast.com/pmd/US20220119381","PMD")</f>
        <v>0.0</v>
      </c>
      <c r="L297" s="2" t="n">
        <f>HYPERLINK("https://globaldossier.uspto.gov/result/application/US/17106799/1","US20220119381")</f>
        <v>0.0</v>
      </c>
      <c r="M297" t="s">
        <v>2171</v>
      </c>
      <c r="N297" t="s">
        <v>2172</v>
      </c>
      <c r="O297" t="s">
        <v>2173</v>
      </c>
      <c r="P297" t="s">
        <v>2174</v>
      </c>
      <c r="Q297" s="3" t="n">
        <v>44165.0</v>
      </c>
      <c r="R297" s="3" t="n">
        <v>44672.0</v>
      </c>
      <c r="S297" s="3" t="n">
        <v>44673.23069068287</v>
      </c>
      <c r="T297" s="3" t="n">
        <v>44678.4770259375</v>
      </c>
      <c r="U297" t="s">
        <v>2175</v>
      </c>
      <c r="V297" t="s">
        <v>2176</v>
      </c>
    </row>
    <row r="298">
      <c r="A298" t="s">
        <v>22</v>
      </c>
      <c r="B298" t="s">
        <v>2177</v>
      </c>
      <c r="C298" t="s">
        <v>24</v>
      </c>
      <c r="D298" t="s">
        <v>69</v>
      </c>
      <c r="E298" t="s">
        <v>2178</v>
      </c>
      <c r="F298" s="2" t="n">
        <f>HYPERLINK("https://patents.google.com/patent/US20220118748","Google")</f>
        <v>0.0</v>
      </c>
      <c r="G298" s="2" t="n">
        <f>HYPERLINK("https://patentcenter.uspto.gov/applications/17566447","Patent Center")</f>
        <v>0.0</v>
      </c>
      <c r="H298" s="2" t="n">
        <f>HYPERLINK("https://worldwide.espacenet.com/patent/search?q=US20220118748","Espacenet")</f>
        <v>0.0</v>
      </c>
      <c r="I298" s="2" t="n">
        <f>HYPERLINK("https://ppubs.uspto.gov/pubwebapp/external.html?q=20220118748.pn.","USPTO")</f>
        <v>0.0</v>
      </c>
      <c r="J298" s="2" t="n">
        <f>HYPERLINK("https://image-ppubs.uspto.gov/dirsearch-public/print/downloadPdf/20220118748","USPTO PDF")</f>
        <v>0.0</v>
      </c>
      <c r="K298" s="2" t="n">
        <f>HYPERLINK("https://sectors.patentforecast.com/pmd/US20220118748","PMD")</f>
        <v>0.0</v>
      </c>
      <c r="L298" s="2" t="n">
        <f>HYPERLINK("https://globaldossier.uspto.gov/result/application/US/17566447/1","US20220118748")</f>
        <v>0.0</v>
      </c>
      <c r="M298" t="s">
        <v>2179</v>
      </c>
      <c r="N298" t="s">
        <v>2180</v>
      </c>
      <c r="O298" t="s">
        <v>2180</v>
      </c>
      <c r="P298" t="s">
        <v>2181</v>
      </c>
      <c r="Q298" s="3" t="n">
        <v>44560.0</v>
      </c>
      <c r="R298" s="3" t="n">
        <v>44672.0</v>
      </c>
      <c r="S298" s="3" t="n">
        <v>44673.23069068287</v>
      </c>
      <c r="T298" s="3" t="n">
        <v>44698.616708078705</v>
      </c>
      <c r="U298" t="s">
        <v>31</v>
      </c>
      <c r="V298" t="s">
        <v>2182</v>
      </c>
    </row>
    <row r="299">
      <c r="A299" t="s">
        <v>22</v>
      </c>
      <c r="B299" t="s">
        <v>2183</v>
      </c>
      <c r="C299" t="s">
        <v>60</v>
      </c>
      <c r="D299" t="s">
        <v>61</v>
      </c>
      <c r="E299" t="s">
        <v>2184</v>
      </c>
      <c r="F299" s="2" t="n">
        <f>HYPERLINK("https://patents.google.com/patent/US20220118443","Google")</f>
        <v>0.0</v>
      </c>
      <c r="G299" s="2" t="n">
        <f>HYPERLINK("https://patentcenter.uspto.gov/applications/17502483","Patent Center")</f>
        <v>0.0</v>
      </c>
      <c r="H299" s="2" t="n">
        <f>HYPERLINK("https://worldwide.espacenet.com/patent/search?q=US20220118443","Espacenet")</f>
        <v>0.0</v>
      </c>
      <c r="I299" s="2" t="n">
        <f>HYPERLINK("https://ppubs.uspto.gov/pubwebapp/external.html?q=20220118443.pn.","USPTO")</f>
        <v>0.0</v>
      </c>
      <c r="J299" s="2" t="n">
        <f>HYPERLINK("https://image-ppubs.uspto.gov/dirsearch-public/print/downloadPdf/20220118443","USPTO PDF")</f>
        <v>0.0</v>
      </c>
      <c r="K299" s="2" t="n">
        <f>HYPERLINK("https://sectors.patentforecast.com/pmd/US20220118443","PMD")</f>
        <v>0.0</v>
      </c>
      <c r="L299" s="2" t="n">
        <f>HYPERLINK("https://globaldossier.uspto.gov/result/application/US/17502483/1","US20220118443")</f>
        <v>0.0</v>
      </c>
      <c r="M299" t="s">
        <v>2185</v>
      </c>
      <c r="N299" t="s">
        <v>1950</v>
      </c>
      <c r="O299" t="s">
        <v>1951</v>
      </c>
      <c r="P299" t="s">
        <v>2186</v>
      </c>
      <c r="Q299" s="3" t="n">
        <v>44484.0</v>
      </c>
      <c r="R299" s="3" t="n">
        <v>44672.0</v>
      </c>
      <c r="S299" s="3" t="n">
        <v>44673.23069068287</v>
      </c>
      <c r="T299" s="3" t="n">
        <v>44698.617349988424</v>
      </c>
      <c r="U299" t="s">
        <v>31</v>
      </c>
      <c r="V299" t="s">
        <v>2187</v>
      </c>
    </row>
    <row r="300">
      <c r="A300" t="s">
        <v>22</v>
      </c>
      <c r="B300" t="s">
        <v>2188</v>
      </c>
      <c r="C300" t="s">
        <v>24</v>
      </c>
      <c r="D300" t="s">
        <v>34</v>
      </c>
      <c r="E300" t="s">
        <v>2189</v>
      </c>
      <c r="F300" s="2" t="n">
        <f>HYPERLINK("https://patents.google.com/patent/US20220118294","Google")</f>
        <v>0.0</v>
      </c>
      <c r="G300" s="2" t="n">
        <f>HYPERLINK("https://patentcenter.uspto.gov/applications/17503166","Patent Center")</f>
        <v>0.0</v>
      </c>
      <c r="H300" s="2" t="n">
        <f>HYPERLINK("https://worldwide.espacenet.com/patent/search?q=US20220118294","Espacenet")</f>
        <v>0.0</v>
      </c>
      <c r="I300" s="2" t="n">
        <f>HYPERLINK("https://ppubs.uspto.gov/pubwebapp/external.html?q=20220118294.pn.","USPTO")</f>
        <v>0.0</v>
      </c>
      <c r="J300" s="2" t="n">
        <f>HYPERLINK("https://image-ppubs.uspto.gov/dirsearch-public/print/downloadPdf/20220118294","USPTO PDF")</f>
        <v>0.0</v>
      </c>
      <c r="K300" s="2" t="n">
        <f>HYPERLINK("https://sectors.patentforecast.com/pmd/US20220118294","PMD")</f>
        <v>0.0</v>
      </c>
      <c r="L300" s="2" t="n">
        <f>HYPERLINK("https://globaldossier.uspto.gov/result/application/US/17503166/1","US20220118294")</f>
        <v>0.0</v>
      </c>
      <c r="M300" t="s">
        <v>2190</v>
      </c>
      <c r="N300" t="s">
        <v>2191</v>
      </c>
      <c r="O300" t="s">
        <v>2191</v>
      </c>
      <c r="P300" t="s">
        <v>2192</v>
      </c>
      <c r="Q300" s="3" t="n">
        <v>44484.0</v>
      </c>
      <c r="R300" s="3" t="n">
        <v>44672.0</v>
      </c>
      <c r="S300" s="3" t="n">
        <v>44673.23069068287</v>
      </c>
      <c r="T300" s="3" t="n">
        <v>44678.64015380787</v>
      </c>
      <c r="U300" t="s">
        <v>2193</v>
      </c>
      <c r="V300" t="s">
        <v>2194</v>
      </c>
    </row>
    <row r="301">
      <c r="A301" t="s">
        <v>22</v>
      </c>
      <c r="B301" t="s">
        <v>2195</v>
      </c>
      <c r="C301" t="s">
        <v>24</v>
      </c>
      <c r="D301" t="s">
        <v>69</v>
      </c>
      <c r="E301" t="s">
        <v>2196</v>
      </c>
      <c r="F301" s="2" t="n">
        <f>HYPERLINK("https://patents.google.com/patent/US20220118292","Google")</f>
        <v>0.0</v>
      </c>
      <c r="G301" s="2" t="n">
        <f>HYPERLINK("https://patentcenter.uspto.gov/applications/17484880","Patent Center")</f>
        <v>0.0</v>
      </c>
      <c r="H301" s="2" t="n">
        <f>HYPERLINK("https://worldwide.espacenet.com/patent/search?q=US20220118292","Espacenet")</f>
        <v>0.0</v>
      </c>
      <c r="I301" s="2" t="n">
        <f>HYPERLINK("https://ppubs.uspto.gov/pubwebapp/external.html?q=20220118292.pn.","USPTO")</f>
        <v>0.0</v>
      </c>
      <c r="J301" s="2" t="n">
        <f>HYPERLINK("https://image-ppubs.uspto.gov/dirsearch-public/print/downloadPdf/20220118292","USPTO PDF")</f>
        <v>0.0</v>
      </c>
      <c r="K301" s="2" t="n">
        <f>HYPERLINK("https://sectors.patentforecast.com/pmd/US20220118292","PMD")</f>
        <v>0.0</v>
      </c>
      <c r="L301" s="2" t="n">
        <f>HYPERLINK("https://globaldossier.uspto.gov/result/application/US/17484880/1","US20220118292")</f>
        <v>0.0</v>
      </c>
      <c r="M301" t="s">
        <v>2197</v>
      </c>
      <c r="N301" t="s">
        <v>2198</v>
      </c>
      <c r="O301" t="s">
        <v>2199</v>
      </c>
      <c r="P301" t="s">
        <v>2200</v>
      </c>
      <c r="Q301" s="3" t="n">
        <v>44463.0</v>
      </c>
      <c r="R301" s="3" t="n">
        <v>44672.0</v>
      </c>
      <c r="S301" s="3" t="n">
        <v>44673.22952724537</v>
      </c>
      <c r="T301" s="3" t="n">
        <v>44678.635074247686</v>
      </c>
      <c r="U301" t="s">
        <v>31</v>
      </c>
      <c r="V301" t="s">
        <v>2201</v>
      </c>
    </row>
    <row r="302">
      <c r="A302" t="s">
        <v>22</v>
      </c>
      <c r="B302" t="s">
        <v>2202</v>
      </c>
      <c r="C302" t="s">
        <v>24</v>
      </c>
      <c r="D302" t="s">
        <v>69</v>
      </c>
      <c r="E302" t="s">
        <v>2203</v>
      </c>
      <c r="F302" s="2" t="n">
        <f>HYPERLINK("https://patents.google.com/patent/US20220118289","Google")</f>
        <v>0.0</v>
      </c>
      <c r="G302" s="2" t="n">
        <f>HYPERLINK("https://patentcenter.uspto.gov/applications/17121485","Patent Center")</f>
        <v>0.0</v>
      </c>
      <c r="H302" s="2" t="n">
        <f>HYPERLINK("https://worldwide.espacenet.com/patent/search?q=US20220118289","Espacenet")</f>
        <v>0.0</v>
      </c>
      <c r="I302" s="2" t="n">
        <f>HYPERLINK("https://ppubs.uspto.gov/pubwebapp/external.html?q=20220118289.pn.","USPTO")</f>
        <v>0.0</v>
      </c>
      <c r="J302" s="2" t="n">
        <f>HYPERLINK("https://image-ppubs.uspto.gov/dirsearch-public/print/downloadPdf/20220118289","USPTO PDF")</f>
        <v>0.0</v>
      </c>
      <c r="K302" s="2" t="n">
        <f>HYPERLINK("https://sectors.patentforecast.com/pmd/US20220118289","PMD")</f>
        <v>0.0</v>
      </c>
      <c r="L302" s="2" t="n">
        <f>HYPERLINK("https://globaldossier.uspto.gov/result/application/US/17121485/1","US20220118289")</f>
        <v>0.0</v>
      </c>
      <c r="M302" t="s">
        <v>2204</v>
      </c>
      <c r="N302" t="s">
        <v>2205</v>
      </c>
      <c r="O302" t="s">
        <v>2205</v>
      </c>
      <c r="P302" t="s">
        <v>2206</v>
      </c>
      <c r="Q302" s="3" t="n">
        <v>44179.0</v>
      </c>
      <c r="R302" s="3" t="n">
        <v>44672.0</v>
      </c>
      <c r="S302" s="3" t="n">
        <v>44673.23069068287</v>
      </c>
      <c r="T302" s="3" t="n">
        <v>44698.61750206019</v>
      </c>
      <c r="U302" t="s">
        <v>31</v>
      </c>
      <c r="V302" t="s">
        <v>2207</v>
      </c>
    </row>
    <row r="303">
      <c r="A303" t="s">
        <v>22</v>
      </c>
      <c r="B303" t="s">
        <v>2208</v>
      </c>
      <c r="C303" t="s">
        <v>24</v>
      </c>
      <c r="D303" t="s">
        <v>69</v>
      </c>
      <c r="E303" t="s">
        <v>2209</v>
      </c>
      <c r="F303" s="2" t="n">
        <f>HYPERLINK("https://patents.google.com/patent/US20220118212","Google")</f>
        <v>0.0</v>
      </c>
      <c r="G303" s="2" t="n">
        <f>HYPERLINK("https://patentcenter.uspto.gov/applications/17561708","Patent Center")</f>
        <v>0.0</v>
      </c>
      <c r="H303" s="2" t="n">
        <f>HYPERLINK("https://worldwide.espacenet.com/patent/search?q=US20220118212","Espacenet")</f>
        <v>0.0</v>
      </c>
      <c r="I303" s="2" t="n">
        <f>HYPERLINK("https://ppubs.uspto.gov/pubwebapp/external.html?q=20220118212.pn.","USPTO")</f>
        <v>0.0</v>
      </c>
      <c r="J303" s="2" t="n">
        <f>HYPERLINK("https://image-ppubs.uspto.gov/dirsearch-public/print/downloadPdf/20220118212","USPTO PDF")</f>
        <v>0.0</v>
      </c>
      <c r="K303" s="2" t="n">
        <f>HYPERLINK("https://sectors.patentforecast.com/pmd/US20220118212","PMD")</f>
        <v>0.0</v>
      </c>
      <c r="L303" s="2" t="n">
        <f>HYPERLINK("https://globaldossier.uspto.gov/result/application/US/17561708/1","US20220118212")</f>
        <v>0.0</v>
      </c>
      <c r="M303" t="s">
        <v>2210</v>
      </c>
      <c r="N303" t="s">
        <v>2211</v>
      </c>
      <c r="O303" t="s">
        <v>2212</v>
      </c>
      <c r="P303" t="s">
        <v>2213</v>
      </c>
      <c r="Q303" s="3" t="n">
        <v>44553.0</v>
      </c>
      <c r="R303" s="3" t="n">
        <v>44672.0</v>
      </c>
      <c r="S303" s="3" t="n">
        <v>44673.230571168984</v>
      </c>
      <c r="T303" s="3" t="n">
        <v>44698.617730659724</v>
      </c>
      <c r="U303" t="s">
        <v>31</v>
      </c>
      <c r="V303" t="s">
        <v>2214</v>
      </c>
    </row>
    <row r="304">
      <c r="A304" t="s">
        <v>22</v>
      </c>
      <c r="B304" t="s">
        <v>2215</v>
      </c>
      <c r="C304" t="s">
        <v>24</v>
      </c>
      <c r="D304" t="s">
        <v>100</v>
      </c>
      <c r="E304" t="s">
        <v>2216</v>
      </c>
      <c r="F304" s="2" t="n">
        <f>HYPERLINK("https://patents.google.com/patent/US20220118148","Google")</f>
        <v>0.0</v>
      </c>
      <c r="G304" s="2" t="n">
        <f>HYPERLINK("https://patentcenter.uspto.gov/applications/17504972","Patent Center")</f>
        <v>0.0</v>
      </c>
      <c r="H304" s="2" t="n">
        <f>HYPERLINK("https://worldwide.espacenet.com/patent/search?q=US20220118148","Espacenet")</f>
        <v>0.0</v>
      </c>
      <c r="I304" s="2" t="n">
        <f>HYPERLINK("https://ppubs.uspto.gov/pubwebapp/external.html?q=20220118148.pn.","USPTO")</f>
        <v>0.0</v>
      </c>
      <c r="J304" s="2" t="n">
        <f>HYPERLINK("https://image-ppubs.uspto.gov/dirsearch-public/print/downloadPdf/20220118148","USPTO PDF")</f>
        <v>0.0</v>
      </c>
      <c r="K304" s="2" t="n">
        <f>HYPERLINK("https://sectors.patentforecast.com/pmd/US20220118148","PMD")</f>
        <v>0.0</v>
      </c>
      <c r="L304" s="2" t="n">
        <f>HYPERLINK("https://globaldossier.uspto.gov/result/application/US/17504972/1","US20220118148")</f>
        <v>0.0</v>
      </c>
      <c r="M304" t="s">
        <v>2217</v>
      </c>
      <c r="N304" t="s">
        <v>2218</v>
      </c>
      <c r="O304" t="s">
        <v>2219</v>
      </c>
      <c r="P304" t="s">
        <v>2220</v>
      </c>
      <c r="Q304" s="3" t="n">
        <v>44488.0</v>
      </c>
      <c r="R304" s="3" t="n">
        <v>44672.0</v>
      </c>
      <c r="S304" s="3" t="n">
        <v>44673.230571168984</v>
      </c>
      <c r="T304" s="3" t="n">
        <v>44698.61809938657</v>
      </c>
      <c r="U304" t="s">
        <v>31</v>
      </c>
      <c r="V304" t="s">
        <v>2221</v>
      </c>
    </row>
    <row r="305">
      <c r="A305" t="s">
        <v>22</v>
      </c>
      <c r="B305" t="s">
        <v>2222</v>
      </c>
      <c r="C305" t="s">
        <v>24</v>
      </c>
      <c r="D305" t="s">
        <v>69</v>
      </c>
      <c r="E305" t="s">
        <v>2223</v>
      </c>
      <c r="F305" s="2" t="n">
        <f>HYPERLINK("https://patents.google.com/patent/US20220118147","Google")</f>
        <v>0.0</v>
      </c>
      <c r="G305" s="2" t="n">
        <f>HYPERLINK("https://patentcenter.uspto.gov/applications/17091086","Patent Center")</f>
        <v>0.0</v>
      </c>
      <c r="H305" s="2" t="n">
        <f>HYPERLINK("https://worldwide.espacenet.com/patent/search?q=US20220118147","Espacenet")</f>
        <v>0.0</v>
      </c>
      <c r="I305" s="2" t="n">
        <f>HYPERLINK("https://ppubs.uspto.gov/pubwebapp/external.html?q=20220118147.pn.","USPTO")</f>
        <v>0.0</v>
      </c>
      <c r="J305" s="2" t="n">
        <f>HYPERLINK("https://image-ppubs.uspto.gov/dirsearch-public/print/downloadPdf/20220118147","USPTO PDF")</f>
        <v>0.0</v>
      </c>
      <c r="K305" s="2" t="n">
        <f>HYPERLINK("https://sectors.patentforecast.com/pmd/US20220118147","PMD")</f>
        <v>0.0</v>
      </c>
      <c r="L305" s="2" t="n">
        <f>HYPERLINK("https://globaldossier.uspto.gov/result/application/US/17091086/1","US20220118147")</f>
        <v>0.0</v>
      </c>
      <c r="M305" t="s">
        <v>2224</v>
      </c>
      <c r="N305" t="s">
        <v>2225</v>
      </c>
      <c r="O305" t="s">
        <v>2226</v>
      </c>
      <c r="P305" t="s">
        <v>2227</v>
      </c>
      <c r="Q305" s="3" t="n">
        <v>44141.0</v>
      </c>
      <c r="R305" s="3" t="n">
        <v>44672.0</v>
      </c>
      <c r="S305" s="3" t="n">
        <v>44673.230571168984</v>
      </c>
      <c r="T305" s="3" t="n">
        <v>44678.63368082176</v>
      </c>
      <c r="U305" t="s">
        <v>31</v>
      </c>
      <c r="V305" t="s">
        <v>2228</v>
      </c>
    </row>
    <row r="306">
      <c r="A306" t="s">
        <v>22</v>
      </c>
      <c r="B306" t="s">
        <v>2229</v>
      </c>
      <c r="C306" t="s">
        <v>24</v>
      </c>
      <c r="D306" t="s">
        <v>100</v>
      </c>
      <c r="E306" t="s">
        <v>2230</v>
      </c>
      <c r="F306" s="2" t="n">
        <f>HYPERLINK("https://patents.google.com/patent/US20220118135","Google")</f>
        <v>0.0</v>
      </c>
      <c r="G306" s="2" t="n">
        <f>HYPERLINK("https://patentcenter.uspto.gov/applications/17450635","Patent Center")</f>
        <v>0.0</v>
      </c>
      <c r="H306" s="2" t="n">
        <f>HYPERLINK("https://worldwide.espacenet.com/patent/search?q=US20220118135","Espacenet")</f>
        <v>0.0</v>
      </c>
      <c r="I306" s="2" t="n">
        <f>HYPERLINK("https://ppubs.uspto.gov/pubwebapp/external.html?q=20220118135.pn.","USPTO")</f>
        <v>0.0</v>
      </c>
      <c r="J306" s="2" t="n">
        <f>HYPERLINK("https://image-ppubs.uspto.gov/dirsearch-public/print/downloadPdf/20220118135","USPTO PDF")</f>
        <v>0.0</v>
      </c>
      <c r="K306" s="2" t="n">
        <f>HYPERLINK("https://sectors.patentforecast.com/pmd/US20220118135","PMD")</f>
        <v>0.0</v>
      </c>
      <c r="L306" s="2" t="n">
        <f>HYPERLINK("https://globaldossier.uspto.gov/result/application/US/17450635/1","US20220118135")</f>
        <v>0.0</v>
      </c>
      <c r="M306" t="s">
        <v>2231</v>
      </c>
      <c r="N306" t="s">
        <v>2232</v>
      </c>
      <c r="O306" t="s">
        <v>2232</v>
      </c>
      <c r="P306" t="s">
        <v>2233</v>
      </c>
      <c r="Q306" s="3" t="n">
        <v>44481.0</v>
      </c>
      <c r="R306" s="3" t="n">
        <v>44672.0</v>
      </c>
      <c r="S306" s="3" t="n">
        <v>44673.230571168984</v>
      </c>
      <c r="T306" s="3" t="n">
        <v>44678.36591554398</v>
      </c>
      <c r="U306" t="s">
        <v>2234</v>
      </c>
      <c r="V306" t="s">
        <v>2235</v>
      </c>
    </row>
    <row r="307">
      <c r="A307" t="s">
        <v>22</v>
      </c>
      <c r="B307" t="s">
        <v>2236</v>
      </c>
      <c r="C307" t="s">
        <v>24</v>
      </c>
      <c r="D307" t="s">
        <v>100</v>
      </c>
      <c r="E307" t="s">
        <v>2237</v>
      </c>
      <c r="F307" s="2" t="n">
        <f>HYPERLINK("https://patents.google.com/patent/US20220118134","Google")</f>
        <v>0.0</v>
      </c>
      <c r="G307" s="2" t="n">
        <f>HYPERLINK("https://patentcenter.uspto.gov/applications/17450512","Patent Center")</f>
        <v>0.0</v>
      </c>
      <c r="H307" s="2" t="n">
        <f>HYPERLINK("https://worldwide.espacenet.com/patent/search?q=US20220118134","Espacenet")</f>
        <v>0.0</v>
      </c>
      <c r="I307" s="2" t="n">
        <f>HYPERLINK("https://ppubs.uspto.gov/pubwebapp/external.html?q=20220118134.pn.","USPTO")</f>
        <v>0.0</v>
      </c>
      <c r="J307" s="2" t="n">
        <f>HYPERLINK("https://image-ppubs.uspto.gov/dirsearch-public/print/downloadPdf/20220118134","USPTO PDF")</f>
        <v>0.0</v>
      </c>
      <c r="K307" s="2" t="n">
        <f>HYPERLINK("https://sectors.patentforecast.com/pmd/US20220118134","PMD")</f>
        <v>0.0</v>
      </c>
      <c r="L307" s="2" t="n">
        <f>HYPERLINK("https://globaldossier.uspto.gov/result/application/US/17450512/1","US20220118134")</f>
        <v>0.0</v>
      </c>
      <c r="M307" t="s">
        <v>2238</v>
      </c>
      <c r="N307" t="s">
        <v>2232</v>
      </c>
      <c r="O307" t="s">
        <v>2232</v>
      </c>
      <c r="P307" t="s">
        <v>2239</v>
      </c>
      <c r="Q307" s="3" t="n">
        <v>44480.0</v>
      </c>
      <c r="R307" s="3" t="n">
        <v>44672.0</v>
      </c>
      <c r="S307" s="3" t="n">
        <v>44673.230571168984</v>
      </c>
      <c r="T307" s="3" t="n">
        <v>44678.38517681713</v>
      </c>
      <c r="U307" t="s">
        <v>2240</v>
      </c>
      <c r="V307" t="s">
        <v>2241</v>
      </c>
    </row>
    <row r="308">
      <c r="A308" t="s">
        <v>22</v>
      </c>
      <c r="B308" t="s">
        <v>2242</v>
      </c>
      <c r="C308" t="s">
        <v>24</v>
      </c>
      <c r="D308" t="s">
        <v>100</v>
      </c>
      <c r="E308" t="s">
        <v>2243</v>
      </c>
      <c r="F308" s="2" t="n">
        <f>HYPERLINK("https://patents.google.com/patent/US20220118127","Google")</f>
        <v>0.0</v>
      </c>
      <c r="G308" s="2" t="n">
        <f>HYPERLINK("https://patentcenter.uspto.gov/applications/17501100","Patent Center")</f>
        <v>0.0</v>
      </c>
      <c r="H308" s="2" t="n">
        <f>HYPERLINK("https://worldwide.espacenet.com/patent/search?q=US20220118127","Espacenet")</f>
        <v>0.0</v>
      </c>
      <c r="I308" s="2" t="n">
        <f>HYPERLINK("https://ppubs.uspto.gov/pubwebapp/external.html?q=20220118127.pn.","USPTO")</f>
        <v>0.0</v>
      </c>
      <c r="J308" s="2" t="n">
        <f>HYPERLINK("https://image-ppubs.uspto.gov/dirsearch-public/print/downloadPdf/20220118127","USPTO PDF")</f>
        <v>0.0</v>
      </c>
      <c r="K308" s="2" t="n">
        <f>HYPERLINK("https://sectors.patentforecast.com/pmd/US20220118127","PMD")</f>
        <v>0.0</v>
      </c>
      <c r="L308" s="2" t="n">
        <f>HYPERLINK("https://globaldossier.uspto.gov/result/application/US/17501100/1","US20220118127")</f>
        <v>0.0</v>
      </c>
      <c r="M308" t="s">
        <v>2244</v>
      </c>
      <c r="N308" t="s">
        <v>855</v>
      </c>
      <c r="O308" t="s">
        <v>856</v>
      </c>
      <c r="P308" t="s">
        <v>2245</v>
      </c>
      <c r="Q308" s="3" t="n">
        <v>44483.0</v>
      </c>
      <c r="R308" s="3" t="n">
        <v>44672.0</v>
      </c>
      <c r="S308" s="3" t="n">
        <v>44673.24098556713</v>
      </c>
      <c r="T308" s="3" t="n">
        <v>44698.51961326389</v>
      </c>
      <c r="U308" t="s">
        <v>2246</v>
      </c>
      <c r="V308" t="s">
        <v>2247</v>
      </c>
    </row>
    <row r="309">
      <c r="A309" t="s">
        <v>22</v>
      </c>
      <c r="B309" t="s">
        <v>2248</v>
      </c>
      <c r="C309" t="s">
        <v>24</v>
      </c>
      <c r="D309" t="s">
        <v>100</v>
      </c>
      <c r="E309" t="s">
        <v>2249</v>
      </c>
      <c r="F309" s="2" t="n">
        <f>HYPERLINK("https://patents.google.com/patent/US20220118125","Google")</f>
        <v>0.0</v>
      </c>
      <c r="G309" s="2" t="n">
        <f>HYPERLINK("https://patentcenter.uspto.gov/applications/17156993","Patent Center")</f>
        <v>0.0</v>
      </c>
      <c r="H309" s="2" t="n">
        <f>HYPERLINK("https://worldwide.espacenet.com/patent/search?q=US20220118125","Espacenet")</f>
        <v>0.0</v>
      </c>
      <c r="I309" s="2" t="n">
        <f>HYPERLINK("https://ppubs.uspto.gov/pubwebapp/external.html?q=20220118125.pn.","USPTO")</f>
        <v>0.0</v>
      </c>
      <c r="J309" s="2" t="n">
        <f>HYPERLINK("https://image-ppubs.uspto.gov/dirsearch-public/print/downloadPdf/20220118125","USPTO PDF")</f>
        <v>0.0</v>
      </c>
      <c r="K309" s="2" t="n">
        <f>HYPERLINK("https://sectors.patentforecast.com/pmd/US20220118125","PMD")</f>
        <v>0.0</v>
      </c>
      <c r="L309" s="2" t="n">
        <f>HYPERLINK("https://globaldossier.uspto.gov/result/application/US/17156993/1","US20220118125")</f>
        <v>0.0</v>
      </c>
      <c r="M309" t="s">
        <v>2250</v>
      </c>
      <c r="N309" t="s">
        <v>2251</v>
      </c>
      <c r="O309" t="s">
        <v>2252</v>
      </c>
      <c r="P309" t="s">
        <v>2253</v>
      </c>
      <c r="Q309" s="3" t="n">
        <v>44221.0</v>
      </c>
      <c r="R309" s="3" t="n">
        <v>44672.0</v>
      </c>
      <c r="S309" s="3" t="n">
        <v>44673.230571168984</v>
      </c>
      <c r="T309" s="3" t="n">
        <v>44678.57928900463</v>
      </c>
      <c r="U309" t="s">
        <v>2254</v>
      </c>
      <c r="V309" t="s">
        <v>2255</v>
      </c>
    </row>
    <row r="310">
      <c r="A310" t="s">
        <v>22</v>
      </c>
      <c r="B310" t="s">
        <v>2256</v>
      </c>
      <c r="C310" t="s">
        <v>132</v>
      </c>
      <c r="D310" t="s">
        <v>142</v>
      </c>
      <c r="E310" t="s">
        <v>2257</v>
      </c>
      <c r="F310" s="2" t="n">
        <f>HYPERLINK("https://patents.google.com/patent/US20220118073","Google")</f>
        <v>0.0</v>
      </c>
      <c r="G310" s="2" t="n">
        <f>HYPERLINK("https://patentcenter.uspto.gov/applications/17155592","Patent Center")</f>
        <v>0.0</v>
      </c>
      <c r="H310" s="2" t="n">
        <f>HYPERLINK("https://worldwide.espacenet.com/patent/search?q=US20220118073","Espacenet")</f>
        <v>0.0</v>
      </c>
      <c r="I310" s="2" t="n">
        <f>HYPERLINK("https://ppubs.uspto.gov/pubwebapp/external.html?q=20220118073.pn.","USPTO")</f>
        <v>0.0</v>
      </c>
      <c r="J310" s="2" t="n">
        <f>HYPERLINK("https://image-ppubs.uspto.gov/dirsearch-public/print/downloadPdf/20220118073","USPTO PDF")</f>
        <v>0.0</v>
      </c>
      <c r="K310" s="2" t="n">
        <f>HYPERLINK("https://sectors.patentforecast.com/pmd/US20220118073","PMD")</f>
        <v>0.0</v>
      </c>
      <c r="L310" s="2" t="n">
        <f>HYPERLINK("https://globaldossier.uspto.gov/result/application/US/17155592/1","US20220118073")</f>
        <v>0.0</v>
      </c>
      <c r="M310" t="s">
        <v>2258</v>
      </c>
      <c r="N310" t="s">
        <v>145</v>
      </c>
      <c r="O310" t="s">
        <v>146</v>
      </c>
      <c r="P310" t="s">
        <v>2259</v>
      </c>
      <c r="Q310" s="3" t="n">
        <v>44218.0</v>
      </c>
      <c r="R310" s="3" t="n">
        <v>44672.0</v>
      </c>
      <c r="S310" s="3" t="n">
        <v>44673.23392578703</v>
      </c>
      <c r="T310" s="3" t="n">
        <v>44678.475269305556</v>
      </c>
      <c r="U310" t="s">
        <v>31</v>
      </c>
      <c r="V310" t="s">
        <v>2260</v>
      </c>
    </row>
    <row r="311">
      <c r="A311" t="s">
        <v>22</v>
      </c>
      <c r="B311" t="s">
        <v>2261</v>
      </c>
      <c r="C311" t="s">
        <v>60</v>
      </c>
      <c r="D311" t="s">
        <v>2262</v>
      </c>
      <c r="E311" t="s">
        <v>2263</v>
      </c>
      <c r="F311" s="2" t="n">
        <f>HYPERLINK("https://patents.google.com/patent/US20220118044","Google")</f>
        <v>0.0</v>
      </c>
      <c r="G311" s="2" t="n">
        <f>HYPERLINK("https://patentcenter.uspto.gov/applications/17072732","Patent Center")</f>
        <v>0.0</v>
      </c>
      <c r="H311" s="2" t="n">
        <f>HYPERLINK("https://worldwide.espacenet.com/patent/search?q=US20220118044","Espacenet")</f>
        <v>0.0</v>
      </c>
      <c r="I311" s="2" t="n">
        <f>HYPERLINK("https://ppubs.uspto.gov/pubwebapp/external.html?q=20220118044.pn.","USPTO")</f>
        <v>0.0</v>
      </c>
      <c r="J311" s="2" t="n">
        <f>HYPERLINK("https://image-ppubs.uspto.gov/dirsearch-public/print/downloadPdf/20220118044","USPTO PDF")</f>
        <v>0.0</v>
      </c>
      <c r="K311" s="2" t="n">
        <f>HYPERLINK("https://sectors.patentforecast.com/pmd/US20220118044","PMD")</f>
        <v>0.0</v>
      </c>
      <c r="L311" s="2" t="n">
        <f>HYPERLINK("https://globaldossier.uspto.gov/result/application/US/17072732/1","US20220118044")</f>
        <v>0.0</v>
      </c>
      <c r="M311" t="s">
        <v>2264</v>
      </c>
      <c r="N311" t="s">
        <v>2265</v>
      </c>
      <c r="O311" t="s">
        <v>2266</v>
      </c>
      <c r="P311" t="s">
        <v>2267</v>
      </c>
      <c r="Q311" s="3" t="n">
        <v>44120.0</v>
      </c>
      <c r="R311" s="3" t="n">
        <v>44672.0</v>
      </c>
      <c r="S311" s="3" t="n">
        <v>44673.230571168984</v>
      </c>
      <c r="T311" s="3" t="n">
        <v>44678.39480040509</v>
      </c>
      <c r="U311" t="s">
        <v>31</v>
      </c>
      <c r="V311" t="s">
        <v>2268</v>
      </c>
    </row>
    <row r="312">
      <c r="A312" t="s">
        <v>22</v>
      </c>
      <c r="B312" t="s">
        <v>2269</v>
      </c>
      <c r="C312" t="s">
        <v>60</v>
      </c>
      <c r="D312" t="s">
        <v>61</v>
      </c>
      <c r="E312" t="s">
        <v>2270</v>
      </c>
      <c r="F312" s="2" t="n">
        <f>HYPERLINK("https://patents.google.com/patent/US20220118023","Google")</f>
        <v>0.0</v>
      </c>
      <c r="G312" s="2" t="n">
        <f>HYPERLINK("https://patentcenter.uspto.gov/applications/17646539","Patent Center")</f>
        <v>0.0</v>
      </c>
      <c r="H312" s="2" t="n">
        <f>HYPERLINK("https://worldwide.espacenet.com/patent/search?q=US20220118023","Espacenet")</f>
        <v>0.0</v>
      </c>
      <c r="I312" s="2" t="n">
        <f>HYPERLINK("https://ppubs.uspto.gov/pubwebapp/external.html?q=20220118023.pn.","USPTO")</f>
        <v>0.0</v>
      </c>
      <c r="J312" s="2" t="n">
        <f>HYPERLINK("https://image-ppubs.uspto.gov/dirsearch-public/print/downloadPdf/20220118023","USPTO PDF")</f>
        <v>0.0</v>
      </c>
      <c r="K312" s="2" t="n">
        <f>HYPERLINK("https://sectors.patentforecast.com/pmd/US20220118023","PMD")</f>
        <v>0.0</v>
      </c>
      <c r="L312" s="2" t="n">
        <f>HYPERLINK("https://globaldossier.uspto.gov/result/application/US/17646539/1","US20220118023")</f>
        <v>0.0</v>
      </c>
      <c r="M312" t="s">
        <v>2271</v>
      </c>
      <c r="N312" t="s">
        <v>2272</v>
      </c>
      <c r="O312" t="s">
        <v>2273</v>
      </c>
      <c r="P312" t="s">
        <v>2274</v>
      </c>
      <c r="Q312" s="3" t="n">
        <v>44560.0</v>
      </c>
      <c r="R312" s="3" t="n">
        <v>44672.0</v>
      </c>
      <c r="S312" s="3" t="n">
        <v>44673.230571168984</v>
      </c>
      <c r="T312" s="3" t="n">
        <v>44698.61823204861</v>
      </c>
      <c r="U312" t="s">
        <v>31</v>
      </c>
      <c r="V312" t="s">
        <v>2275</v>
      </c>
    </row>
    <row r="313">
      <c r="A313" t="s">
        <v>22</v>
      </c>
      <c r="B313" t="s">
        <v>2276</v>
      </c>
      <c r="C313" t="s">
        <v>60</v>
      </c>
      <c r="D313" t="s">
        <v>61</v>
      </c>
      <c r="E313" t="s">
        <v>2277</v>
      </c>
      <c r="F313" s="2" t="n">
        <f>HYPERLINK("https://patents.google.com/patent/US20220118007","Google")</f>
        <v>0.0</v>
      </c>
      <c r="G313" s="2" t="n">
        <f>HYPERLINK("https://patentcenter.uspto.gov/applications/17491863","Patent Center")</f>
        <v>0.0</v>
      </c>
      <c r="H313" s="2" t="n">
        <f>HYPERLINK("https://worldwide.espacenet.com/patent/search?q=US20220118007","Espacenet")</f>
        <v>0.0</v>
      </c>
      <c r="I313" s="2" t="n">
        <f>HYPERLINK("https://ppubs.uspto.gov/pubwebapp/external.html?q=20220118007.pn.","USPTO")</f>
        <v>0.0</v>
      </c>
      <c r="J313" s="2" t="n">
        <f>HYPERLINK("https://image-ppubs.uspto.gov/dirsearch-public/print/downloadPdf/20220118007","USPTO PDF")</f>
        <v>0.0</v>
      </c>
      <c r="K313" s="2" t="n">
        <f>HYPERLINK("https://sectors.patentforecast.com/pmd/US20220118007","PMD")</f>
        <v>0.0</v>
      </c>
      <c r="L313" s="2" t="n">
        <f>HYPERLINK("https://globaldossier.uspto.gov/result/application/US/17491863/1","US20220118007")</f>
        <v>0.0</v>
      </c>
      <c r="M313" t="s">
        <v>2278</v>
      </c>
      <c r="N313" t="s">
        <v>2279</v>
      </c>
      <c r="O313" t="s">
        <v>2279</v>
      </c>
      <c r="P313" t="s">
        <v>2280</v>
      </c>
      <c r="Q313" s="3" t="n">
        <v>44470.0</v>
      </c>
      <c r="R313" s="3" t="n">
        <v>44672.0</v>
      </c>
      <c r="S313" s="3" t="n">
        <v>44673.230571168984</v>
      </c>
      <c r="T313" s="3" t="n">
        <v>44678.628805775465</v>
      </c>
      <c r="U313" t="s">
        <v>2281</v>
      </c>
      <c r="V313" t="s">
        <v>2282</v>
      </c>
    </row>
    <row r="314">
      <c r="A314" t="s">
        <v>22</v>
      </c>
      <c r="B314" t="s">
        <v>2283</v>
      </c>
      <c r="C314" t="s">
        <v>24</v>
      </c>
      <c r="D314" t="s">
        <v>69</v>
      </c>
      <c r="E314" t="s">
        <v>2284</v>
      </c>
      <c r="F314" s="2" t="n">
        <f>HYPERLINK("https://patents.google.com/patent/US20220117980","Google")</f>
        <v>0.0</v>
      </c>
      <c r="G314" s="2" t="n">
        <f>HYPERLINK("https://patentcenter.uspto.gov/applications/17374819","Patent Center")</f>
        <v>0.0</v>
      </c>
      <c r="H314" s="2" t="n">
        <f>HYPERLINK("https://worldwide.espacenet.com/patent/search?q=US20220117980","Espacenet")</f>
        <v>0.0</v>
      </c>
      <c r="I314" s="2" t="n">
        <f>HYPERLINK("https://ppubs.uspto.gov/pubwebapp/external.html?q=20220117980.pn.","USPTO")</f>
        <v>0.0</v>
      </c>
      <c r="J314" s="2" t="n">
        <f>HYPERLINK("https://image-ppubs.uspto.gov/dirsearch-public/print/downloadPdf/20220117980","USPTO PDF")</f>
        <v>0.0</v>
      </c>
      <c r="K314" s="2" t="n">
        <f>HYPERLINK("https://sectors.patentforecast.com/pmd/US20220117980","PMD")</f>
        <v>0.0</v>
      </c>
      <c r="L314" s="2" t="n">
        <f>HYPERLINK("https://globaldossier.uspto.gov/result/application/US/17374819/1","US20220117980")</f>
        <v>0.0</v>
      </c>
      <c r="M314" t="s">
        <v>2285</v>
      </c>
      <c r="N314" t="s">
        <v>2286</v>
      </c>
      <c r="O314" t="s">
        <v>2287</v>
      </c>
      <c r="P314" t="s">
        <v>2288</v>
      </c>
      <c r="Q314" s="3" t="n">
        <v>44390.0</v>
      </c>
      <c r="R314" s="3" t="n">
        <v>44672.0</v>
      </c>
      <c r="S314" s="3" t="n">
        <v>44673.230571168984</v>
      </c>
      <c r="T314" s="3" t="n">
        <v>44678.47790721065</v>
      </c>
      <c r="U314" t="s">
        <v>2289</v>
      </c>
      <c r="V314" t="s">
        <v>2290</v>
      </c>
    </row>
    <row r="315">
      <c r="A315" t="s">
        <v>22</v>
      </c>
      <c r="B315" t="s">
        <v>2291</v>
      </c>
      <c r="C315" t="s">
        <v>60</v>
      </c>
      <c r="D315" t="s">
        <v>61</v>
      </c>
      <c r="E315" t="s">
        <v>2292</v>
      </c>
      <c r="F315" s="2" t="n">
        <f>HYPERLINK("https://patents.google.com/patent/US20220117957","Google")</f>
        <v>0.0</v>
      </c>
      <c r="G315" s="2" t="n">
        <f>HYPERLINK("https://patentcenter.uspto.gov/applications/17076379","Patent Center")</f>
        <v>0.0</v>
      </c>
      <c r="H315" s="2" t="n">
        <f>HYPERLINK("https://worldwide.espacenet.com/patent/search?q=US20220117957","Espacenet")</f>
        <v>0.0</v>
      </c>
      <c r="I315" s="2" t="n">
        <f>HYPERLINK("https://ppubs.uspto.gov/pubwebapp/external.html?q=20220117957.pn.","USPTO")</f>
        <v>0.0</v>
      </c>
      <c r="J315" s="2" t="n">
        <f>HYPERLINK("https://image-ppubs.uspto.gov/dirsearch-public/print/downloadPdf/20220117957","USPTO PDF")</f>
        <v>0.0</v>
      </c>
      <c r="K315" s="2" t="n">
        <f>HYPERLINK("https://sectors.patentforecast.com/pmd/US20220117957","PMD")</f>
        <v>0.0</v>
      </c>
      <c r="L315" s="2" t="n">
        <f>HYPERLINK("https://globaldossier.uspto.gov/result/application/US/17076379/1","US20220117957")</f>
        <v>0.0</v>
      </c>
      <c r="M315" t="s">
        <v>2293</v>
      </c>
      <c r="N315" t="s">
        <v>2294</v>
      </c>
      <c r="O315" t="s">
        <v>2295</v>
      </c>
      <c r="P315" t="s">
        <v>2296</v>
      </c>
      <c r="Q315" s="3" t="n">
        <v>44125.0</v>
      </c>
      <c r="R315" s="3" t="n">
        <v>44672.0</v>
      </c>
      <c r="S315" s="3" t="n">
        <v>44673.230571168984</v>
      </c>
      <c r="T315" s="3" t="n">
        <v>44678.628462962966</v>
      </c>
      <c r="U315" t="s">
        <v>2297</v>
      </c>
      <c r="V315" t="s">
        <v>2298</v>
      </c>
    </row>
    <row r="316">
      <c r="A316" t="s">
        <v>22</v>
      </c>
      <c r="B316" t="s">
        <v>2299</v>
      </c>
      <c r="C316" t="s">
        <v>60</v>
      </c>
      <c r="D316" t="s">
        <v>61</v>
      </c>
      <c r="E316" t="s">
        <v>2300</v>
      </c>
      <c r="F316" s="2" t="n">
        <f>HYPERLINK("https://patents.google.com/patent/US20220117943","Google")</f>
        <v>0.0</v>
      </c>
      <c r="G316" s="2" t="n">
        <f>HYPERLINK("https://patentcenter.uspto.gov/applications/17337077","Patent Center")</f>
        <v>0.0</v>
      </c>
      <c r="H316" s="2" t="n">
        <f>HYPERLINK("https://worldwide.espacenet.com/patent/search?q=US20220117943","Espacenet")</f>
        <v>0.0</v>
      </c>
      <c r="I316" s="2" t="n">
        <f>HYPERLINK("https://ppubs.uspto.gov/pubwebapp/external.html?q=20220117943.pn.","USPTO")</f>
        <v>0.0</v>
      </c>
      <c r="J316" s="2" t="n">
        <f>HYPERLINK("https://image-ppubs.uspto.gov/dirsearch-public/print/downloadPdf/20220117943","USPTO PDF")</f>
        <v>0.0</v>
      </c>
      <c r="K316" s="2" t="n">
        <f>HYPERLINK("https://sectors.patentforecast.com/pmd/US20220117943","PMD")</f>
        <v>0.0</v>
      </c>
      <c r="L316" s="2" t="n">
        <f>HYPERLINK("https://globaldossier.uspto.gov/result/application/US/17337077/1","US20220117943")</f>
        <v>0.0</v>
      </c>
      <c r="M316" t="s">
        <v>2301</v>
      </c>
      <c r="N316" t="s">
        <v>2302</v>
      </c>
      <c r="O316" t="s">
        <v>2303</v>
      </c>
      <c r="P316" t="s">
        <v>2304</v>
      </c>
      <c r="Q316" s="3" t="n">
        <v>44349.0</v>
      </c>
      <c r="R316" s="3" t="n">
        <v>44672.0</v>
      </c>
      <c r="S316" s="3" t="n">
        <v>44673.230571168984</v>
      </c>
      <c r="T316" s="3" t="n">
        <v>44698.618487719905</v>
      </c>
      <c r="U316" t="s">
        <v>2305</v>
      </c>
      <c r="V316" t="s">
        <v>2306</v>
      </c>
    </row>
    <row r="317">
      <c r="A317" t="s">
        <v>22</v>
      </c>
      <c r="B317" t="s">
        <v>2307</v>
      </c>
      <c r="C317" t="s">
        <v>60</v>
      </c>
      <c r="D317" t="s">
        <v>61</v>
      </c>
      <c r="E317" t="s">
        <v>2308</v>
      </c>
      <c r="F317" s="2" t="n">
        <f>HYPERLINK("https://patents.google.com/patent/US20220117936","Google")</f>
        <v>0.0</v>
      </c>
      <c r="G317" s="2" t="n">
        <f>HYPERLINK("https://patentcenter.uspto.gov/applications/17505693","Patent Center")</f>
        <v>0.0</v>
      </c>
      <c r="H317" s="2" t="n">
        <f>HYPERLINK("https://worldwide.espacenet.com/patent/search?q=US20220117936","Espacenet")</f>
        <v>0.0</v>
      </c>
      <c r="I317" s="2" t="n">
        <f>HYPERLINK("https://ppubs.uspto.gov/pubwebapp/external.html?q=20220117936.pn.","USPTO")</f>
        <v>0.0</v>
      </c>
      <c r="J317" s="2" t="n">
        <f>HYPERLINK("https://image-ppubs.uspto.gov/dirsearch-public/print/downloadPdf/20220117936","USPTO PDF")</f>
        <v>0.0</v>
      </c>
      <c r="K317" s="2" t="n">
        <f>HYPERLINK("https://sectors.patentforecast.com/pmd/US20220117936","PMD")</f>
        <v>0.0</v>
      </c>
      <c r="L317" s="2" t="n">
        <f>HYPERLINK("https://globaldossier.uspto.gov/result/application/US/17505693/1","US20220117936")</f>
        <v>0.0</v>
      </c>
      <c r="M317" t="s">
        <v>2309</v>
      </c>
      <c r="N317" t="s">
        <v>2310</v>
      </c>
      <c r="O317" t="s">
        <v>2311</v>
      </c>
      <c r="P317" t="s">
        <v>2312</v>
      </c>
      <c r="Q317" s="3" t="n">
        <v>44489.0</v>
      </c>
      <c r="R317" s="3" t="n">
        <v>44672.0</v>
      </c>
      <c r="S317" s="3" t="n">
        <v>44673.230571168984</v>
      </c>
      <c r="T317" s="3" t="n">
        <v>44678.48084133102</v>
      </c>
      <c r="U317" t="s">
        <v>2313</v>
      </c>
      <c r="V317" t="s">
        <v>2314</v>
      </c>
    </row>
    <row r="318">
      <c r="A318" t="s">
        <v>22</v>
      </c>
      <c r="B318" t="s">
        <v>2315</v>
      </c>
      <c r="C318" t="s">
        <v>60</v>
      </c>
      <c r="D318" t="s">
        <v>61</v>
      </c>
      <c r="E318" t="s">
        <v>2316</v>
      </c>
      <c r="F318" s="2" t="n">
        <f>HYPERLINK("https://patents.google.com/patent/US20220117909","Google")</f>
        <v>0.0</v>
      </c>
      <c r="G318" s="2" t="n">
        <f>HYPERLINK("https://patentcenter.uspto.gov/applications/17562087","Patent Center")</f>
        <v>0.0</v>
      </c>
      <c r="H318" s="2" t="n">
        <f>HYPERLINK("https://worldwide.espacenet.com/patent/search?q=US20220117909","Espacenet")</f>
        <v>0.0</v>
      </c>
      <c r="I318" s="2" t="n">
        <f>HYPERLINK("https://ppubs.uspto.gov/pubwebapp/external.html?q=20220117909.pn.","USPTO")</f>
        <v>0.0</v>
      </c>
      <c r="J318" s="2" t="n">
        <f>HYPERLINK("https://image-ppubs.uspto.gov/dirsearch-public/print/downloadPdf/20220117909","USPTO PDF")</f>
        <v>0.0</v>
      </c>
      <c r="K318" s="2" t="n">
        <f>HYPERLINK("https://sectors.patentforecast.com/pmd/US20220117909","PMD")</f>
        <v>0.0</v>
      </c>
      <c r="L318" s="2" t="n">
        <f>HYPERLINK("https://globaldossier.uspto.gov/result/application/US/17562087/1","US20220117909")</f>
        <v>0.0</v>
      </c>
      <c r="M318" t="s">
        <v>2317</v>
      </c>
      <c r="N318" t="s">
        <v>2318</v>
      </c>
      <c r="O318" t="s">
        <v>2319</v>
      </c>
      <c r="P318" t="s">
        <v>2320</v>
      </c>
      <c r="Q318" s="3" t="n">
        <v>44557.0</v>
      </c>
      <c r="R318" s="3" t="n">
        <v>44672.0</v>
      </c>
      <c r="S318" s="3" t="n">
        <v>44673.230571168984</v>
      </c>
      <c r="T318" s="3" t="n">
        <v>44698.62092003472</v>
      </c>
      <c r="U318" t="s">
        <v>31</v>
      </c>
      <c r="V318" t="s">
        <v>2321</v>
      </c>
    </row>
    <row r="319">
      <c r="A319" t="s">
        <v>22</v>
      </c>
      <c r="B319" t="s">
        <v>2322</v>
      </c>
      <c r="C319" t="s">
        <v>60</v>
      </c>
      <c r="D319" t="s">
        <v>61</v>
      </c>
      <c r="E319" t="s">
        <v>2323</v>
      </c>
      <c r="F319" s="2" t="n">
        <f>HYPERLINK("https://patents.google.com/patent/US20220117891","Google")</f>
        <v>0.0</v>
      </c>
      <c r="G319" s="2" t="n">
        <f>HYPERLINK("https://patentcenter.uspto.gov/applications/17523450","Patent Center")</f>
        <v>0.0</v>
      </c>
      <c r="H319" s="2" t="n">
        <f>HYPERLINK("https://worldwide.espacenet.com/patent/search?q=US20220117891","Espacenet")</f>
        <v>0.0</v>
      </c>
      <c r="I319" s="2" t="n">
        <f>HYPERLINK("https://ppubs.uspto.gov/pubwebapp/external.html?q=20220117891.pn.","USPTO")</f>
        <v>0.0</v>
      </c>
      <c r="J319" s="2" t="n">
        <f>HYPERLINK("https://image-ppubs.uspto.gov/dirsearch-public/print/downloadPdf/20220117891","USPTO PDF")</f>
        <v>0.0</v>
      </c>
      <c r="K319" s="2" t="n">
        <f>HYPERLINK("https://sectors.patentforecast.com/pmd/US20220117891","PMD")</f>
        <v>0.0</v>
      </c>
      <c r="L319" s="2" t="n">
        <f>HYPERLINK("https://globaldossier.uspto.gov/result/application/US/17523450/1","US20220117891")</f>
        <v>0.0</v>
      </c>
      <c r="M319" t="s">
        <v>2324</v>
      </c>
      <c r="N319" t="s">
        <v>2325</v>
      </c>
      <c r="O319" t="s">
        <v>2326</v>
      </c>
      <c r="P319" t="s">
        <v>2327</v>
      </c>
      <c r="Q319" s="3" t="n">
        <v>44510.0</v>
      </c>
      <c r="R319" s="3" t="n">
        <v>44672.0</v>
      </c>
      <c r="S319" s="3" t="n">
        <v>44673.230571168984</v>
      </c>
      <c r="T319" s="3" t="n">
        <v>44698.62100204861</v>
      </c>
      <c r="U319" t="s">
        <v>31</v>
      </c>
      <c r="V319" t="s">
        <v>2328</v>
      </c>
    </row>
    <row r="320">
      <c r="A320" t="s">
        <v>22</v>
      </c>
      <c r="B320" t="s">
        <v>2329</v>
      </c>
      <c r="C320" t="s">
        <v>60</v>
      </c>
      <c r="D320" t="s">
        <v>715</v>
      </c>
      <c r="E320" t="s">
        <v>2330</v>
      </c>
      <c r="F320" s="2" t="n">
        <f>HYPERLINK("https://patents.google.com/patent/US20220117678","Google")</f>
        <v>0.0</v>
      </c>
      <c r="G320" s="2" t="n">
        <f>HYPERLINK("https://patentcenter.uspto.gov/applications/17646636","Patent Center")</f>
        <v>0.0</v>
      </c>
      <c r="H320" s="2" t="n">
        <f>HYPERLINK("https://worldwide.espacenet.com/patent/search?q=US20220117678","Espacenet")</f>
        <v>0.0</v>
      </c>
      <c r="I320" s="2" t="n">
        <f>HYPERLINK("https://ppubs.uspto.gov/pubwebapp/external.html?q=20220117678.pn.","USPTO")</f>
        <v>0.0</v>
      </c>
      <c r="J320" s="2" t="n">
        <f>HYPERLINK("https://image-ppubs.uspto.gov/dirsearch-public/print/downloadPdf/20220117678","USPTO PDF")</f>
        <v>0.0</v>
      </c>
      <c r="K320" s="2" t="n">
        <f>HYPERLINK("https://sectors.patentforecast.com/pmd/US20220117678","PMD")</f>
        <v>0.0</v>
      </c>
      <c r="L320" s="2" t="n">
        <f>HYPERLINK("https://globaldossier.uspto.gov/result/application/US/17646636/1","US20220117678")</f>
        <v>0.0</v>
      </c>
      <c r="M320" t="s">
        <v>2331</v>
      </c>
      <c r="N320" t="s">
        <v>2332</v>
      </c>
      <c r="O320" t="s">
        <v>2333</v>
      </c>
      <c r="P320" t="s">
        <v>2334</v>
      </c>
      <c r="Q320" s="3" t="n">
        <v>44560.0</v>
      </c>
      <c r="R320" s="3" t="n">
        <v>44672.0</v>
      </c>
      <c r="S320" s="3" t="n">
        <v>44673.230571168984</v>
      </c>
      <c r="T320" s="3" t="n">
        <v>44698.62132633102</v>
      </c>
      <c r="U320" t="s">
        <v>2335</v>
      </c>
      <c r="V320" t="s">
        <v>2336</v>
      </c>
    </row>
    <row r="321">
      <c r="A321" t="s">
        <v>22</v>
      </c>
      <c r="B321" t="s">
        <v>2337</v>
      </c>
      <c r="C321" t="s">
        <v>24</v>
      </c>
      <c r="D321" t="s">
        <v>51</v>
      </c>
      <c r="E321" t="s">
        <v>2338</v>
      </c>
      <c r="F321" s="2" t="n">
        <f>HYPERLINK("https://patents.google.com/patent/US20220117587","Google")</f>
        <v>0.0</v>
      </c>
      <c r="G321" s="2" t="n">
        <f>HYPERLINK("https://patentcenter.uspto.gov/applications/17388440","Patent Center")</f>
        <v>0.0</v>
      </c>
      <c r="H321" s="2" t="n">
        <f>HYPERLINK("https://worldwide.espacenet.com/patent/search?q=US20220117587","Espacenet")</f>
        <v>0.0</v>
      </c>
      <c r="I321" s="2" t="n">
        <f>HYPERLINK("https://ppubs.uspto.gov/pubwebapp/external.html?q=20220117587.pn.","USPTO")</f>
        <v>0.0</v>
      </c>
      <c r="J321" s="2" t="n">
        <f>HYPERLINK("https://image-ppubs.uspto.gov/dirsearch-public/print/downloadPdf/20220117587","USPTO PDF")</f>
        <v>0.0</v>
      </c>
      <c r="K321" s="2" t="n">
        <f>HYPERLINK("https://sectors.patentforecast.com/pmd/US20220117587","PMD")</f>
        <v>0.0</v>
      </c>
      <c r="L321" s="2" t="n">
        <f>HYPERLINK("https://globaldossier.uspto.gov/result/application/US/17388440/1","US20220117587")</f>
        <v>0.0</v>
      </c>
      <c r="M321" t="s">
        <v>2339</v>
      </c>
      <c r="N321" t="s">
        <v>2340</v>
      </c>
      <c r="O321" t="s">
        <v>2341</v>
      </c>
      <c r="P321" t="s">
        <v>2342</v>
      </c>
      <c r="Q321" s="3" t="n">
        <v>44406.0</v>
      </c>
      <c r="R321" s="3" t="n">
        <v>44672.0</v>
      </c>
      <c r="S321" s="3" t="n">
        <v>44673.230571168984</v>
      </c>
      <c r="T321" s="3" t="n">
        <v>44698.6214190625</v>
      </c>
      <c r="U321" t="s">
        <v>2343</v>
      </c>
      <c r="V321" t="s">
        <v>2344</v>
      </c>
    </row>
    <row r="322">
      <c r="A322" t="s">
        <v>22</v>
      </c>
      <c r="B322" t="s">
        <v>2345</v>
      </c>
      <c r="C322" t="s">
        <v>24</v>
      </c>
      <c r="D322" t="s">
        <v>34</v>
      </c>
      <c r="E322" t="s">
        <v>2346</v>
      </c>
      <c r="F322" s="2" t="n">
        <f>HYPERLINK("https://patents.google.com/patent/US20220117541","Google")</f>
        <v>0.0</v>
      </c>
      <c r="G322" s="2" t="n">
        <f>HYPERLINK("https://patentcenter.uspto.gov/applications/17111114","Patent Center")</f>
        <v>0.0</v>
      </c>
      <c r="H322" s="2" t="n">
        <f>HYPERLINK("https://worldwide.espacenet.com/patent/search?q=US20220117541","Espacenet")</f>
        <v>0.0</v>
      </c>
      <c r="I322" s="2" t="n">
        <f>HYPERLINK("https://ppubs.uspto.gov/pubwebapp/external.html?q=20220117541.pn.","USPTO")</f>
        <v>0.0</v>
      </c>
      <c r="J322" s="2" t="n">
        <f>HYPERLINK("https://image-ppubs.uspto.gov/dirsearch-public/print/downloadPdf/20220117541","USPTO PDF")</f>
        <v>0.0</v>
      </c>
      <c r="K322" s="2" t="n">
        <f>HYPERLINK("https://sectors.patentforecast.com/pmd/US20220117541","PMD")</f>
        <v>0.0</v>
      </c>
      <c r="L322" s="2" t="n">
        <f>HYPERLINK("https://globaldossier.uspto.gov/result/application/US/17111114/1","US20220117541")</f>
        <v>0.0</v>
      </c>
      <c r="M322" t="s">
        <v>2347</v>
      </c>
      <c r="N322" t="s">
        <v>2348</v>
      </c>
      <c r="O322" t="s">
        <v>2348</v>
      </c>
      <c r="P322" t="s">
        <v>2349</v>
      </c>
      <c r="Q322" s="3" t="n">
        <v>44168.0</v>
      </c>
      <c r="R322" s="3" t="n">
        <v>44672.0</v>
      </c>
      <c r="S322" s="3" t="n">
        <v>44673.230571168984</v>
      </c>
      <c r="T322" s="3" t="n">
        <v>44678.5644456713</v>
      </c>
      <c r="U322" t="s">
        <v>31</v>
      </c>
      <c r="V322" t="s">
        <v>2350</v>
      </c>
    </row>
    <row r="323">
      <c r="A323" t="s">
        <v>22</v>
      </c>
      <c r="B323" t="s">
        <v>2351</v>
      </c>
      <c r="C323" t="s">
        <v>24</v>
      </c>
      <c r="D323" t="s">
        <v>25</v>
      </c>
      <c r="E323" t="s">
        <v>2352</v>
      </c>
      <c r="F323" s="2" t="n">
        <f>HYPERLINK("https://patents.google.com/patent/US20220117503","Google")</f>
        <v>0.0</v>
      </c>
      <c r="G323" s="2" t="n">
        <f>HYPERLINK("https://patentcenter.uspto.gov/applications/17506263","Patent Center")</f>
        <v>0.0</v>
      </c>
      <c r="H323" s="2" t="n">
        <f>HYPERLINK("https://worldwide.espacenet.com/patent/search?q=US20220117503","Espacenet")</f>
        <v>0.0</v>
      </c>
      <c r="I323" s="2" t="n">
        <f>HYPERLINK("https://ppubs.uspto.gov/pubwebapp/external.html?q=20220117503.pn.","USPTO")</f>
        <v>0.0</v>
      </c>
      <c r="J323" s="2" t="n">
        <f>HYPERLINK("https://image-ppubs.uspto.gov/dirsearch-public/print/downloadPdf/20220117503","USPTO PDF")</f>
        <v>0.0</v>
      </c>
      <c r="K323" s="2" t="n">
        <f>HYPERLINK("https://sectors.patentforecast.com/pmd/US20220117503","PMD")</f>
        <v>0.0</v>
      </c>
      <c r="L323" s="2" t="n">
        <f>HYPERLINK("https://globaldossier.uspto.gov/result/application/US/17506263/1","US20220117503")</f>
        <v>0.0</v>
      </c>
      <c r="M323" t="s">
        <v>2353</v>
      </c>
      <c r="N323" t="s">
        <v>2354</v>
      </c>
      <c r="O323" t="s">
        <v>2355</v>
      </c>
      <c r="P323" t="s">
        <v>2356</v>
      </c>
      <c r="Q323" s="3" t="n">
        <v>44489.0</v>
      </c>
      <c r="R323" s="3" t="n">
        <v>44672.0</v>
      </c>
      <c r="S323" s="3" t="n">
        <v>44673.230571168984</v>
      </c>
      <c r="T323" s="3" t="n">
        <v>44698.62155265046</v>
      </c>
      <c r="U323" t="s">
        <v>31</v>
      </c>
      <c r="V323" t="s">
        <v>2357</v>
      </c>
    </row>
    <row r="324">
      <c r="A324" t="s">
        <v>22</v>
      </c>
      <c r="B324" t="s">
        <v>2358</v>
      </c>
      <c r="C324" t="s">
        <v>24</v>
      </c>
      <c r="D324" t="s">
        <v>69</v>
      </c>
      <c r="E324" t="s">
        <v>2359</v>
      </c>
      <c r="F324" s="2" t="n">
        <f>HYPERLINK("https://patents.google.com/patent/US20220117496","Google")</f>
        <v>0.0</v>
      </c>
      <c r="G324" s="2" t="n">
        <f>HYPERLINK("https://patentcenter.uspto.gov/applications/17505388","Patent Center")</f>
        <v>0.0</v>
      </c>
      <c r="H324" s="2" t="n">
        <f>HYPERLINK("https://worldwide.espacenet.com/patent/search?q=US20220117496","Espacenet")</f>
        <v>0.0</v>
      </c>
      <c r="I324" s="2" t="n">
        <f>HYPERLINK("https://ppubs.uspto.gov/pubwebapp/external.html?q=20220117496.pn.","USPTO")</f>
        <v>0.0</v>
      </c>
      <c r="J324" s="2" t="n">
        <f>HYPERLINK("https://image-ppubs.uspto.gov/dirsearch-public/print/downloadPdf/20220117496","USPTO PDF")</f>
        <v>0.0</v>
      </c>
      <c r="K324" s="2" t="n">
        <f>HYPERLINK("https://sectors.patentforecast.com/pmd/US20220117496","PMD")</f>
        <v>0.0</v>
      </c>
      <c r="L324" s="2" t="n">
        <f>HYPERLINK("https://globaldossier.uspto.gov/result/application/US/17505388/1","US20220117496")</f>
        <v>0.0</v>
      </c>
      <c r="M324" t="s">
        <v>2360</v>
      </c>
      <c r="N324" t="s">
        <v>2074</v>
      </c>
      <c r="O324" t="s">
        <v>2075</v>
      </c>
      <c r="P324" t="s">
        <v>2076</v>
      </c>
      <c r="Q324" s="3" t="n">
        <v>44488.0</v>
      </c>
      <c r="R324" s="3" t="n">
        <v>44672.0</v>
      </c>
      <c r="S324" s="3" t="n">
        <v>44673.230571168984</v>
      </c>
      <c r="T324" s="3" t="n">
        <v>44698.519741435186</v>
      </c>
      <c r="U324" t="s">
        <v>31</v>
      </c>
      <c r="V324" t="s">
        <v>2077</v>
      </c>
    </row>
    <row r="325">
      <c r="A325" t="s">
        <v>22</v>
      </c>
      <c r="B325" t="s">
        <v>2361</v>
      </c>
      <c r="C325" t="s">
        <v>24</v>
      </c>
      <c r="D325" t="s">
        <v>25</v>
      </c>
      <c r="E325" t="s">
        <v>2362</v>
      </c>
      <c r="F325" s="2" t="n">
        <f>HYPERLINK("https://patents.google.com/patent/US20220117491","Google")</f>
        <v>0.0</v>
      </c>
      <c r="G325" s="2" t="n">
        <f>HYPERLINK("https://patentcenter.uspto.gov/applications/17564298","Patent Center")</f>
        <v>0.0</v>
      </c>
      <c r="H325" s="2" t="n">
        <f>HYPERLINK("https://worldwide.espacenet.com/patent/search?q=US20220117491","Espacenet")</f>
        <v>0.0</v>
      </c>
      <c r="I325" s="2" t="n">
        <f>HYPERLINK("https://ppubs.uspto.gov/pubwebapp/external.html?q=20220117491.pn.","USPTO")</f>
        <v>0.0</v>
      </c>
      <c r="J325" s="2" t="n">
        <f>HYPERLINK("https://image-ppubs.uspto.gov/dirsearch-public/print/downloadPdf/20220117491","USPTO PDF")</f>
        <v>0.0</v>
      </c>
      <c r="K325" s="2" t="n">
        <f>HYPERLINK("https://sectors.patentforecast.com/pmd/US20220117491","PMD")</f>
        <v>0.0</v>
      </c>
      <c r="L325" s="2" t="n">
        <f>HYPERLINK("https://globaldossier.uspto.gov/result/application/US/17564298/1","US20220117491")</f>
        <v>0.0</v>
      </c>
      <c r="M325" t="s">
        <v>2363</v>
      </c>
      <c r="N325" t="s">
        <v>2052</v>
      </c>
      <c r="O325" t="s">
        <v>2053</v>
      </c>
      <c r="P325" t="s">
        <v>2364</v>
      </c>
      <c r="Q325" s="3" t="n">
        <v>44559.0</v>
      </c>
      <c r="R325" s="3" t="n">
        <v>44672.0</v>
      </c>
      <c r="S325" s="3" t="n">
        <v>44673.230571168984</v>
      </c>
      <c r="T325" s="3" t="n">
        <v>44698.62166827546</v>
      </c>
      <c r="U325" t="s">
        <v>31</v>
      </c>
      <c r="V325" t="s">
        <v>2365</v>
      </c>
    </row>
    <row r="326">
      <c r="A326" t="s">
        <v>22</v>
      </c>
      <c r="B326" t="s">
        <v>2366</v>
      </c>
      <c r="C326" t="s">
        <v>24</v>
      </c>
      <c r="D326" t="s">
        <v>69</v>
      </c>
      <c r="E326" t="s">
        <v>2367</v>
      </c>
      <c r="F326" s="2" t="n">
        <f>HYPERLINK("https://patents.google.com/patent/US20220117332","Google")</f>
        <v>0.0</v>
      </c>
      <c r="G326" s="2" t="n">
        <f>HYPERLINK("https://patentcenter.uspto.gov/applications/16949185","Patent Center")</f>
        <v>0.0</v>
      </c>
      <c r="H326" s="2" t="n">
        <f>HYPERLINK("https://worldwide.espacenet.com/patent/search?q=US20220117332","Espacenet")</f>
        <v>0.0</v>
      </c>
      <c r="I326" s="2" t="n">
        <f>HYPERLINK("https://ppubs.uspto.gov/pubwebapp/external.html?q=20220117332.pn.","USPTO")</f>
        <v>0.0</v>
      </c>
      <c r="J326" s="2" t="n">
        <f>HYPERLINK("https://image-ppubs.uspto.gov/dirsearch-public/print/downloadPdf/20220117332","USPTO PDF")</f>
        <v>0.0</v>
      </c>
      <c r="K326" s="2" t="n">
        <f>HYPERLINK("https://sectors.patentforecast.com/pmd/US20220117332","PMD")</f>
        <v>0.0</v>
      </c>
      <c r="L326" s="2" t="n">
        <f>HYPERLINK("https://globaldossier.uspto.gov/result/application/US/16949185/1","US20220117332")</f>
        <v>0.0</v>
      </c>
      <c r="M326" t="s">
        <v>2368</v>
      </c>
      <c r="N326" t="s">
        <v>2369</v>
      </c>
      <c r="O326" t="s">
        <v>2370</v>
      </c>
      <c r="P326" t="s">
        <v>2371</v>
      </c>
      <c r="Q326" s="3" t="n">
        <v>44123.0</v>
      </c>
      <c r="R326" s="3" t="n">
        <v>44672.0</v>
      </c>
      <c r="S326" s="3" t="n">
        <v>44673.230571168984</v>
      </c>
      <c r="T326" s="3" t="n">
        <v>44678.63868412037</v>
      </c>
      <c r="U326" t="s">
        <v>31</v>
      </c>
      <c r="V326" t="s">
        <v>2372</v>
      </c>
    </row>
    <row r="327">
      <c r="A327" t="s">
        <v>22</v>
      </c>
      <c r="B327" t="s">
        <v>2373</v>
      </c>
      <c r="C327" t="s">
        <v>24</v>
      </c>
      <c r="D327" t="s">
        <v>69</v>
      </c>
      <c r="E327" t="s">
        <v>2374</v>
      </c>
      <c r="F327" s="2" t="n">
        <f>HYPERLINK("https://patents.google.com/patent/US20220117331","Google")</f>
        <v>0.0</v>
      </c>
      <c r="G327" s="2" t="n">
        <f>HYPERLINK("https://patentcenter.uspto.gov/applications/17071485","Patent Center")</f>
        <v>0.0</v>
      </c>
      <c r="H327" s="2" t="n">
        <f>HYPERLINK("https://worldwide.espacenet.com/patent/search?q=US20220117331","Espacenet")</f>
        <v>0.0</v>
      </c>
      <c r="I327" s="2" t="n">
        <f>HYPERLINK("https://ppubs.uspto.gov/pubwebapp/external.html?q=20220117331.pn.","USPTO")</f>
        <v>0.0</v>
      </c>
      <c r="J327" s="2" t="n">
        <f>HYPERLINK("https://image-ppubs.uspto.gov/dirsearch-public/print/downloadPdf/20220117331","USPTO PDF")</f>
        <v>0.0</v>
      </c>
      <c r="K327" s="2" t="n">
        <f>HYPERLINK("https://sectors.patentforecast.com/pmd/US20220117331","PMD")</f>
        <v>0.0</v>
      </c>
      <c r="L327" s="2" t="n">
        <f>HYPERLINK("https://globaldossier.uspto.gov/result/application/US/17071485/1","US20220117331")</f>
        <v>0.0</v>
      </c>
      <c r="M327" t="s">
        <v>2375</v>
      </c>
      <c r="N327" t="s">
        <v>1227</v>
      </c>
      <c r="O327" t="s">
        <v>1228</v>
      </c>
      <c r="P327" t="s">
        <v>1747</v>
      </c>
      <c r="Q327" s="3" t="n">
        <v>44119.0</v>
      </c>
      <c r="R327" s="3" t="n">
        <v>44672.0</v>
      </c>
      <c r="S327" s="3" t="n">
        <v>44673.230571168984</v>
      </c>
      <c r="T327" s="3" t="n">
        <v>44678.47317990741</v>
      </c>
      <c r="U327" t="s">
        <v>31</v>
      </c>
      <c r="V327" t="s">
        <v>2376</v>
      </c>
    </row>
    <row r="328">
      <c r="A328" t="s">
        <v>22</v>
      </c>
      <c r="B328" t="s">
        <v>2377</v>
      </c>
      <c r="C328" t="s">
        <v>24</v>
      </c>
      <c r="D328" t="s">
        <v>69</v>
      </c>
      <c r="E328" t="s">
        <v>2378</v>
      </c>
      <c r="F328" s="2" t="n">
        <f>HYPERLINK("https://patents.google.com/patent/US20220117329","Google")</f>
        <v>0.0</v>
      </c>
      <c r="G328" s="2" t="n">
        <f>HYPERLINK("https://patentcenter.uspto.gov/applications/17566878","Patent Center")</f>
        <v>0.0</v>
      </c>
      <c r="H328" s="2" t="n">
        <f>HYPERLINK("https://worldwide.espacenet.com/patent/search?q=US20220117329","Espacenet")</f>
        <v>0.0</v>
      </c>
      <c r="I328" s="2" t="n">
        <f>HYPERLINK("https://ppubs.uspto.gov/pubwebapp/external.html?q=20220117329.pn.","USPTO")</f>
        <v>0.0</v>
      </c>
      <c r="J328" s="2" t="n">
        <f>HYPERLINK("https://image-ppubs.uspto.gov/dirsearch-public/print/downloadPdf/20220117329","USPTO PDF")</f>
        <v>0.0</v>
      </c>
      <c r="K328" s="2" t="n">
        <f>HYPERLINK("https://sectors.patentforecast.com/pmd/US20220117329","PMD")</f>
        <v>0.0</v>
      </c>
      <c r="L328" s="2" t="n">
        <f>HYPERLINK("https://globaldossier.uspto.gov/result/application/US/17566878/1","US20220117329")</f>
        <v>0.0</v>
      </c>
      <c r="M328" t="s">
        <v>2379</v>
      </c>
      <c r="N328" t="s">
        <v>810</v>
      </c>
      <c r="O328" t="s">
        <v>811</v>
      </c>
      <c r="P328" t="s">
        <v>2380</v>
      </c>
      <c r="Q328" s="3" t="n">
        <v>44561.0</v>
      </c>
      <c r="R328" s="3" t="n">
        <v>44672.0</v>
      </c>
      <c r="S328" s="3" t="n">
        <v>44673.230571168984</v>
      </c>
      <c r="T328" s="3" t="n">
        <v>44678.631319155094</v>
      </c>
      <c r="U328" t="s">
        <v>2381</v>
      </c>
      <c r="V328" t="s">
        <v>2382</v>
      </c>
    </row>
    <row r="329">
      <c r="A329" t="s">
        <v>22</v>
      </c>
      <c r="B329" t="s">
        <v>2383</v>
      </c>
      <c r="C329" t="s">
        <v>24</v>
      </c>
      <c r="D329" t="s">
        <v>69</v>
      </c>
      <c r="E329" t="s">
        <v>2384</v>
      </c>
      <c r="F329" s="2" t="n">
        <f>HYPERLINK("https://patents.google.com/patent/US20220117233","Google")</f>
        <v>0.0</v>
      </c>
      <c r="G329" s="2" t="n">
        <f>HYPERLINK("https://patentcenter.uspto.gov/applications/17646557","Patent Center")</f>
        <v>0.0</v>
      </c>
      <c r="H329" s="2" t="n">
        <f>HYPERLINK("https://worldwide.espacenet.com/patent/search?q=US20220117233","Espacenet")</f>
        <v>0.0</v>
      </c>
      <c r="I329" s="2" t="n">
        <f>HYPERLINK("https://ppubs.uspto.gov/pubwebapp/external.html?q=20220117233.pn.","USPTO")</f>
        <v>0.0</v>
      </c>
      <c r="J329" s="2" t="n">
        <f>HYPERLINK("https://image-ppubs.uspto.gov/dirsearch-public/print/downloadPdf/20220117233","USPTO PDF")</f>
        <v>0.0</v>
      </c>
      <c r="K329" s="2" t="n">
        <f>HYPERLINK("https://sectors.patentforecast.com/pmd/US20220117233","PMD")</f>
        <v>0.0</v>
      </c>
      <c r="L329" s="2" t="n">
        <f>HYPERLINK("https://globaldossier.uspto.gov/result/application/US/17646557/1","US20220117233")</f>
        <v>0.0</v>
      </c>
      <c r="M329" t="s">
        <v>2385</v>
      </c>
      <c r="N329" t="s">
        <v>2232</v>
      </c>
      <c r="O329" t="s">
        <v>2232</v>
      </c>
      <c r="P329" t="s">
        <v>2386</v>
      </c>
      <c r="Q329" s="3" t="n">
        <v>44560.0</v>
      </c>
      <c r="R329" s="3" t="n">
        <v>44672.0</v>
      </c>
      <c r="S329" s="3" t="n">
        <v>44673.230571168984</v>
      </c>
      <c r="T329" s="3" t="n">
        <v>44678.36608886574</v>
      </c>
      <c r="U329" t="s">
        <v>31</v>
      </c>
      <c r="V329" t="s">
        <v>2387</v>
      </c>
    </row>
    <row r="330">
      <c r="A330" t="s">
        <v>22</v>
      </c>
      <c r="B330" t="s">
        <v>2388</v>
      </c>
      <c r="C330" t="s">
        <v>24</v>
      </c>
      <c r="D330" t="s">
        <v>204</v>
      </c>
      <c r="E330" t="s">
        <v>2389</v>
      </c>
      <c r="F330" s="2" t="n">
        <f>HYPERLINK("https://patents.google.com/patent/US20220116463","Google")</f>
        <v>0.0</v>
      </c>
      <c r="G330" s="2" t="n">
        <f>HYPERLINK("https://patentcenter.uspto.gov/applications/17499824","Patent Center")</f>
        <v>0.0</v>
      </c>
      <c r="H330" s="2" t="n">
        <f>HYPERLINK("https://worldwide.espacenet.com/patent/search?q=US20220116463","Espacenet")</f>
        <v>0.0</v>
      </c>
      <c r="I330" s="2" t="n">
        <f>HYPERLINK("https://ppubs.uspto.gov/pubwebapp/external.html?q=20220116463.pn.","USPTO")</f>
        <v>0.0</v>
      </c>
      <c r="J330" s="2" t="n">
        <f>HYPERLINK("https://image-ppubs.uspto.gov/dirsearch-public/print/downloadPdf/20220116463","USPTO PDF")</f>
        <v>0.0</v>
      </c>
      <c r="K330" s="2" t="n">
        <f>HYPERLINK("https://sectors.patentforecast.com/pmd/US20220116463","PMD")</f>
        <v>0.0</v>
      </c>
      <c r="L330" s="2" t="n">
        <f>HYPERLINK("https://globaldossier.uspto.gov/result/application/US/17499824/1","US20220116463")</f>
        <v>0.0</v>
      </c>
      <c r="M330" t="s">
        <v>2390</v>
      </c>
      <c r="N330" t="s">
        <v>2391</v>
      </c>
      <c r="O330" t="s">
        <v>2392</v>
      </c>
      <c r="P330" t="s">
        <v>2393</v>
      </c>
      <c r="Q330" s="3" t="n">
        <v>44481.0</v>
      </c>
      <c r="R330" s="3" t="n">
        <v>44665.0</v>
      </c>
      <c r="S330" s="3" t="n">
        <v>44666.23050423611</v>
      </c>
      <c r="T330" s="3" t="n">
        <v>44719.554632719904</v>
      </c>
      <c r="U330" t="s">
        <v>31</v>
      </c>
      <c r="V330" t="s">
        <v>2394</v>
      </c>
    </row>
    <row r="331">
      <c r="A331" t="s">
        <v>22</v>
      </c>
      <c r="B331" t="s">
        <v>2395</v>
      </c>
      <c r="C331" t="s">
        <v>24</v>
      </c>
      <c r="D331" t="s">
        <v>69</v>
      </c>
      <c r="E331" t="s">
        <v>2396</v>
      </c>
      <c r="F331" s="2" t="n">
        <f>HYPERLINK("https://patents.google.com/patent/US20220115146","Google")</f>
        <v>0.0</v>
      </c>
      <c r="G331" s="2" t="n">
        <f>HYPERLINK("https://patentcenter.uspto.gov/applications/17110965","Patent Center")</f>
        <v>0.0</v>
      </c>
      <c r="H331" s="2" t="n">
        <f>HYPERLINK("https://worldwide.espacenet.com/patent/search?q=US20220115146","Espacenet")</f>
        <v>0.0</v>
      </c>
      <c r="I331" s="2" t="n">
        <f>HYPERLINK("https://ppubs.uspto.gov/pubwebapp/external.html?q=20220115146.pn.","USPTO")</f>
        <v>0.0</v>
      </c>
      <c r="J331" s="2" t="n">
        <f>HYPERLINK("https://image-ppubs.uspto.gov/dirsearch-public/print/downloadPdf/20220115146","USPTO PDF")</f>
        <v>0.0</v>
      </c>
      <c r="K331" s="2" t="n">
        <f>HYPERLINK("https://sectors.patentforecast.com/pmd/US20220115146","PMD")</f>
        <v>0.0</v>
      </c>
      <c r="L331" s="2" t="n">
        <f>HYPERLINK("https://globaldossier.uspto.gov/result/application/US/17110965/1","US20220115146")</f>
        <v>0.0</v>
      </c>
      <c r="M331" t="s">
        <v>2397</v>
      </c>
      <c r="N331" t="s">
        <v>2398</v>
      </c>
      <c r="O331" t="s">
        <v>2399</v>
      </c>
      <c r="P331" t="s">
        <v>2400</v>
      </c>
      <c r="Q331" s="3" t="n">
        <v>44168.0</v>
      </c>
      <c r="R331" s="3" t="n">
        <v>44665.0</v>
      </c>
      <c r="S331" s="3" t="n">
        <v>44666.234903310185</v>
      </c>
      <c r="T331" s="3" t="n">
        <v>44719.55495459491</v>
      </c>
      <c r="U331" t="s">
        <v>2401</v>
      </c>
      <c r="V331" t="s">
        <v>2402</v>
      </c>
    </row>
    <row r="332">
      <c r="A332" t="s">
        <v>22</v>
      </c>
      <c r="B332" t="s">
        <v>2403</v>
      </c>
      <c r="C332" t="s">
        <v>24</v>
      </c>
      <c r="D332" t="s">
        <v>25</v>
      </c>
      <c r="E332" t="s">
        <v>2404</v>
      </c>
      <c r="F332" s="2" t="n">
        <f>HYPERLINK("https://patents.google.com/patent/US20220115142","Google")</f>
        <v>0.0</v>
      </c>
      <c r="G332" s="2" t="n">
        <f>HYPERLINK("https://patentcenter.uspto.gov/applications/17500885","Patent Center")</f>
        <v>0.0</v>
      </c>
      <c r="H332" s="2" t="n">
        <f>HYPERLINK("https://worldwide.espacenet.com/patent/search?q=US20220115142","Espacenet")</f>
        <v>0.0</v>
      </c>
      <c r="I332" s="2" t="n">
        <f>HYPERLINK("https://ppubs.uspto.gov/pubwebapp/external.html?q=20220115142.pn.","USPTO")</f>
        <v>0.0</v>
      </c>
      <c r="J332" s="2" t="n">
        <f>HYPERLINK("https://image-ppubs.uspto.gov/dirsearch-public/print/downloadPdf/20220115142","USPTO PDF")</f>
        <v>0.0</v>
      </c>
      <c r="K332" s="2" t="n">
        <f>HYPERLINK("https://sectors.patentforecast.com/pmd/US20220115142","PMD")</f>
        <v>0.0</v>
      </c>
      <c r="L332" s="2" t="n">
        <f>HYPERLINK("https://globaldossier.uspto.gov/result/application/US/17500885/1","US20220115142")</f>
        <v>0.0</v>
      </c>
      <c r="M332" t="s">
        <v>2405</v>
      </c>
      <c r="N332" t="s">
        <v>2406</v>
      </c>
      <c r="O332" t="s">
        <v>2406</v>
      </c>
      <c r="P332" t="s">
        <v>2407</v>
      </c>
      <c r="Q332" s="3" t="n">
        <v>44482.0</v>
      </c>
      <c r="R332" s="3" t="n">
        <v>44665.0</v>
      </c>
      <c r="S332" s="3" t="n">
        <v>44666.23953287037</v>
      </c>
      <c r="T332" s="3" t="n">
        <v>44719.55508846065</v>
      </c>
      <c r="U332" t="s">
        <v>31</v>
      </c>
      <c r="V332" t="s">
        <v>2408</v>
      </c>
    </row>
    <row r="333">
      <c r="A333" t="s">
        <v>22</v>
      </c>
      <c r="B333" t="s">
        <v>2409</v>
      </c>
      <c r="C333" t="s">
        <v>24</v>
      </c>
      <c r="D333" t="s">
        <v>69</v>
      </c>
      <c r="E333" t="s">
        <v>2410</v>
      </c>
      <c r="F333" s="2" t="n">
        <f>HYPERLINK("https://patents.google.com/patent/US20220115137","Google")</f>
        <v>0.0</v>
      </c>
      <c r="G333" s="2" t="n">
        <f>HYPERLINK("https://patentcenter.uspto.gov/applications/16949088","Patent Center")</f>
        <v>0.0</v>
      </c>
      <c r="H333" s="2" t="n">
        <f>HYPERLINK("https://worldwide.espacenet.com/patent/search?q=US20220115137","Espacenet")</f>
        <v>0.0</v>
      </c>
      <c r="I333" s="2" t="n">
        <f>HYPERLINK("https://ppubs.uspto.gov/pubwebapp/external.html?q=20220115137.pn.","USPTO")</f>
        <v>0.0</v>
      </c>
      <c r="J333" s="2" t="n">
        <f>HYPERLINK("https://image-ppubs.uspto.gov/dirsearch-public/print/downloadPdf/20220115137","USPTO PDF")</f>
        <v>0.0</v>
      </c>
      <c r="K333" s="2" t="n">
        <f>HYPERLINK("https://sectors.patentforecast.com/pmd/US20220115137","PMD")</f>
        <v>0.0</v>
      </c>
      <c r="L333" s="2" t="n">
        <f>HYPERLINK("https://globaldossier.uspto.gov/result/application/US/16949088/1","US20220115137")</f>
        <v>0.0</v>
      </c>
      <c r="M333" t="s">
        <v>2411</v>
      </c>
      <c r="N333" t="s">
        <v>2412</v>
      </c>
      <c r="O333" t="s">
        <v>2413</v>
      </c>
      <c r="P333" t="s">
        <v>2414</v>
      </c>
      <c r="Q333" s="3" t="n">
        <v>44117.0</v>
      </c>
      <c r="R333" s="3" t="n">
        <v>44665.0</v>
      </c>
      <c r="S333" s="3" t="n">
        <v>44666.23050423611</v>
      </c>
      <c r="T333" s="3" t="n">
        <v>44719.55520487268</v>
      </c>
      <c r="U333" t="s">
        <v>2415</v>
      </c>
      <c r="V333" t="s">
        <v>2416</v>
      </c>
    </row>
    <row r="334">
      <c r="A334" t="s">
        <v>22</v>
      </c>
      <c r="B334" t="s">
        <v>2417</v>
      </c>
      <c r="C334" t="s">
        <v>60</v>
      </c>
      <c r="D334" t="s">
        <v>715</v>
      </c>
      <c r="E334" t="s">
        <v>2418</v>
      </c>
      <c r="F334" s="2" t="n">
        <f>HYPERLINK("https://patents.google.com/patent/US20220115108","Google")</f>
        <v>0.0</v>
      </c>
      <c r="G334" s="2" t="n">
        <f>HYPERLINK("https://patentcenter.uspto.gov/applications/17512579","Patent Center")</f>
        <v>0.0</v>
      </c>
      <c r="H334" s="2" t="n">
        <f>HYPERLINK("https://worldwide.espacenet.com/patent/search?q=US20220115108","Espacenet")</f>
        <v>0.0</v>
      </c>
      <c r="I334" s="2" t="n">
        <f>HYPERLINK("https://ppubs.uspto.gov/pubwebapp/external.html?q=20220115108.pn.","USPTO")</f>
        <v>0.0</v>
      </c>
      <c r="J334" s="2" t="n">
        <f>HYPERLINK("https://image-ppubs.uspto.gov/dirsearch-public/print/downloadPdf/20220115108","USPTO PDF")</f>
        <v>0.0</v>
      </c>
      <c r="K334" s="2" t="n">
        <f>HYPERLINK("https://sectors.patentforecast.com/pmd/US20220115108","PMD")</f>
        <v>0.0</v>
      </c>
      <c r="L334" s="2" t="n">
        <f>HYPERLINK("https://globaldossier.uspto.gov/result/application/US/17512579/1","US20220115108")</f>
        <v>0.0</v>
      </c>
      <c r="M334" t="s">
        <v>2419</v>
      </c>
      <c r="N334" t="s">
        <v>2420</v>
      </c>
      <c r="O334" t="s">
        <v>2421</v>
      </c>
      <c r="P334" t="s">
        <v>2422</v>
      </c>
      <c r="Q334" s="3" t="n">
        <v>44496.0</v>
      </c>
      <c r="R334" s="3" t="n">
        <v>44665.0</v>
      </c>
      <c r="S334" s="3" t="n">
        <v>44666.23050423611</v>
      </c>
      <c r="T334" s="3" t="n">
        <v>44672.35103375</v>
      </c>
      <c r="U334" t="s">
        <v>31</v>
      </c>
      <c r="V334" t="s">
        <v>2423</v>
      </c>
    </row>
    <row r="335">
      <c r="A335" t="s">
        <v>22</v>
      </c>
      <c r="B335" t="s">
        <v>2424</v>
      </c>
      <c r="C335" t="s">
        <v>24</v>
      </c>
      <c r="D335" t="s">
        <v>25</v>
      </c>
      <c r="E335" t="s">
        <v>2425</v>
      </c>
      <c r="F335" s="2" t="n">
        <f>HYPERLINK("https://patents.google.com/patent/US20220115100","Google")</f>
        <v>0.0</v>
      </c>
      <c r="G335" s="2" t="n">
        <f>HYPERLINK("https://patentcenter.uspto.gov/applications/17500621","Patent Center")</f>
        <v>0.0</v>
      </c>
      <c r="H335" s="2" t="n">
        <f>HYPERLINK("https://worldwide.espacenet.com/patent/search?q=US20220115100","Espacenet")</f>
        <v>0.0</v>
      </c>
      <c r="I335" s="2" t="n">
        <f>HYPERLINK("https://ppubs.uspto.gov/pubwebapp/external.html?q=20220115100.pn.","USPTO")</f>
        <v>0.0</v>
      </c>
      <c r="J335" s="2" t="n">
        <f>HYPERLINK("https://image-ppubs.uspto.gov/dirsearch-public/print/downloadPdf/20220115100","USPTO PDF")</f>
        <v>0.0</v>
      </c>
      <c r="K335" s="2" t="n">
        <f>HYPERLINK("https://sectors.patentforecast.com/pmd/US20220115100","PMD")</f>
        <v>0.0</v>
      </c>
      <c r="L335" s="2" t="n">
        <f>HYPERLINK("https://globaldossier.uspto.gov/result/application/US/17500621/1","US20220115100")</f>
        <v>0.0</v>
      </c>
      <c r="M335" t="s">
        <v>2426</v>
      </c>
      <c r="N335" t="s">
        <v>2427</v>
      </c>
      <c r="O335" t="s">
        <v>2428</v>
      </c>
      <c r="P335" t="s">
        <v>2429</v>
      </c>
      <c r="Q335" s="3" t="n">
        <v>44482.0</v>
      </c>
      <c r="R335" s="3" t="n">
        <v>44665.0</v>
      </c>
      <c r="S335" s="3" t="n">
        <v>44666.229458773145</v>
      </c>
      <c r="T335" s="3" t="n">
        <v>44719.55540334491</v>
      </c>
      <c r="U335" t="s">
        <v>2430</v>
      </c>
      <c r="V335" t="s">
        <v>2431</v>
      </c>
    </row>
    <row r="336">
      <c r="A336" t="s">
        <v>22</v>
      </c>
      <c r="B336" t="s">
        <v>2432</v>
      </c>
      <c r="C336" t="s">
        <v>24</v>
      </c>
      <c r="D336" t="s">
        <v>204</v>
      </c>
      <c r="E336" t="s">
        <v>2433</v>
      </c>
      <c r="F336" s="2" t="n">
        <f>HYPERLINK("https://patents.google.com/patent/US20220114901","Google")</f>
        <v>0.0</v>
      </c>
      <c r="G336" s="2" t="n">
        <f>HYPERLINK("https://patentcenter.uspto.gov/applications/17450984","Patent Center")</f>
        <v>0.0</v>
      </c>
      <c r="H336" s="2" t="n">
        <f>HYPERLINK("https://worldwide.espacenet.com/patent/search?q=US20220114901","Espacenet")</f>
        <v>0.0</v>
      </c>
      <c r="I336" s="2" t="n">
        <f>HYPERLINK("https://ppubs.uspto.gov/pubwebapp/external.html?q=20220114901.pn.","USPTO")</f>
        <v>0.0</v>
      </c>
      <c r="J336" s="2" t="n">
        <f>HYPERLINK("https://image-ppubs.uspto.gov/dirsearch-public/print/downloadPdf/20220114901","USPTO PDF")</f>
        <v>0.0</v>
      </c>
      <c r="K336" s="2" t="n">
        <f>HYPERLINK("https://sectors.patentforecast.com/pmd/US20220114901","PMD")</f>
        <v>0.0</v>
      </c>
      <c r="L336" s="2" t="n">
        <f>HYPERLINK("https://globaldossier.uspto.gov/result/application/US/17450984/1","US20220114901")</f>
        <v>0.0</v>
      </c>
      <c r="M336" t="s">
        <v>2434</v>
      </c>
      <c r="N336" t="s">
        <v>2435</v>
      </c>
      <c r="O336" t="s">
        <v>2436</v>
      </c>
      <c r="P336" t="s">
        <v>2437</v>
      </c>
      <c r="Q336" s="3" t="n">
        <v>44483.0</v>
      </c>
      <c r="R336" s="3" t="n">
        <v>44665.0</v>
      </c>
      <c r="S336" s="3" t="n">
        <v>44666.23050423611</v>
      </c>
      <c r="T336" s="3" t="n">
        <v>44719.55551425926</v>
      </c>
      <c r="U336" t="s">
        <v>31</v>
      </c>
      <c r="V336" t="s">
        <v>2438</v>
      </c>
    </row>
    <row r="337">
      <c r="A337" t="s">
        <v>22</v>
      </c>
      <c r="B337" t="s">
        <v>2439</v>
      </c>
      <c r="C337" t="s">
        <v>24</v>
      </c>
      <c r="D337" t="s">
        <v>69</v>
      </c>
      <c r="E337" t="s">
        <v>2440</v>
      </c>
      <c r="F337" s="2" t="n">
        <f>HYPERLINK("https://patents.google.com/patent/US20220114878","Google")</f>
        <v>0.0</v>
      </c>
      <c r="G337" s="2" t="n">
        <f>HYPERLINK("https://patentcenter.uspto.gov/applications/17070420","Patent Center")</f>
        <v>0.0</v>
      </c>
      <c r="H337" s="2" t="n">
        <f>HYPERLINK("https://worldwide.espacenet.com/patent/search?q=US20220114878","Espacenet")</f>
        <v>0.0</v>
      </c>
      <c r="I337" s="2" t="n">
        <f>HYPERLINK("https://ppubs.uspto.gov/pubwebapp/external.html?q=20220114878.pn.","USPTO")</f>
        <v>0.0</v>
      </c>
      <c r="J337" s="2" t="n">
        <f>HYPERLINK("https://image-ppubs.uspto.gov/dirsearch-public/print/downloadPdf/20220114878","USPTO PDF")</f>
        <v>0.0</v>
      </c>
      <c r="K337" s="2" t="n">
        <f>HYPERLINK("https://sectors.patentforecast.com/pmd/US20220114878","PMD")</f>
        <v>0.0</v>
      </c>
      <c r="L337" s="2" t="n">
        <f>HYPERLINK("https://globaldossier.uspto.gov/result/application/US/17070420/1","US20220114878")</f>
        <v>0.0</v>
      </c>
      <c r="M337" t="s">
        <v>2441</v>
      </c>
      <c r="N337" t="s">
        <v>2442</v>
      </c>
      <c r="O337" t="s">
        <v>2443</v>
      </c>
      <c r="P337" t="s">
        <v>2444</v>
      </c>
      <c r="Q337" s="3" t="n">
        <v>44118.0</v>
      </c>
      <c r="R337" s="3" t="n">
        <v>44665.0</v>
      </c>
      <c r="S337" s="3" t="n">
        <v>44666.23050423611</v>
      </c>
      <c r="T337" s="3" t="n">
        <v>44672.469740486114</v>
      </c>
      <c r="U337" t="s">
        <v>2445</v>
      </c>
      <c r="V337" t="s">
        <v>2446</v>
      </c>
    </row>
    <row r="338">
      <c r="A338" t="s">
        <v>22</v>
      </c>
      <c r="B338" t="s">
        <v>2447</v>
      </c>
      <c r="C338" t="s">
        <v>24</v>
      </c>
      <c r="D338" t="s">
        <v>204</v>
      </c>
      <c r="E338" t="s">
        <v>2448</v>
      </c>
      <c r="F338" s="2" t="n">
        <f>HYPERLINK("https://patents.google.com/patent/US20220114562","Google")</f>
        <v>0.0</v>
      </c>
      <c r="G338" s="2" t="n">
        <f>HYPERLINK("https://patentcenter.uspto.gov/applications/17496383","Patent Center")</f>
        <v>0.0</v>
      </c>
      <c r="H338" s="2" t="n">
        <f>HYPERLINK("https://worldwide.espacenet.com/patent/search?q=US20220114562","Espacenet")</f>
        <v>0.0</v>
      </c>
      <c r="I338" s="2" t="n">
        <f>HYPERLINK("https://ppubs.uspto.gov/pubwebapp/external.html?q=20220114562.pn.","USPTO")</f>
        <v>0.0</v>
      </c>
      <c r="J338" s="2" t="n">
        <f>HYPERLINK("https://image-ppubs.uspto.gov/dirsearch-public/print/downloadPdf/20220114562","USPTO PDF")</f>
        <v>0.0</v>
      </c>
      <c r="K338" s="2" t="n">
        <f>HYPERLINK("https://sectors.patentforecast.com/pmd/US20220114562","PMD")</f>
        <v>0.0</v>
      </c>
      <c r="L338" s="2" t="n">
        <f>HYPERLINK("https://globaldossier.uspto.gov/result/application/US/17496383/1","US20220114562")</f>
        <v>0.0</v>
      </c>
      <c r="M338" t="s">
        <v>2449</v>
      </c>
      <c r="N338" t="s">
        <v>2450</v>
      </c>
      <c r="O338" t="s">
        <v>2451</v>
      </c>
      <c r="P338" t="s">
        <v>2452</v>
      </c>
      <c r="Q338" s="3" t="n">
        <v>44476.0</v>
      </c>
      <c r="R338" s="3" t="n">
        <v>44665.0</v>
      </c>
      <c r="S338" s="3" t="n">
        <v>44666.23050423611</v>
      </c>
      <c r="T338" s="3" t="n">
        <v>44719.55681289352</v>
      </c>
      <c r="U338" t="s">
        <v>31</v>
      </c>
      <c r="V338" t="s">
        <v>2453</v>
      </c>
    </row>
    <row r="339">
      <c r="A339" t="s">
        <v>22</v>
      </c>
      <c r="B339" t="s">
        <v>2454</v>
      </c>
      <c r="C339" t="s">
        <v>24</v>
      </c>
      <c r="D339" t="s">
        <v>204</v>
      </c>
      <c r="E339" t="s">
        <v>2455</v>
      </c>
      <c r="F339" s="2" t="n">
        <f>HYPERLINK("https://patents.google.com/patent/US20220114297","Google")</f>
        <v>0.0</v>
      </c>
      <c r="G339" s="2" t="n">
        <f>HYPERLINK("https://patentcenter.uspto.gov/applications/17499114","Patent Center")</f>
        <v>0.0</v>
      </c>
      <c r="H339" s="2" t="n">
        <f>HYPERLINK("https://worldwide.espacenet.com/patent/search?q=US20220114297","Espacenet")</f>
        <v>0.0</v>
      </c>
      <c r="I339" s="2" t="n">
        <f>HYPERLINK("https://ppubs.uspto.gov/pubwebapp/external.html?q=20220114297.pn.","USPTO")</f>
        <v>0.0</v>
      </c>
      <c r="J339" s="2" t="n">
        <f>HYPERLINK("https://image-ppubs.uspto.gov/dirsearch-public/print/downloadPdf/20220114297","USPTO PDF")</f>
        <v>0.0</v>
      </c>
      <c r="K339" s="2" t="n">
        <f>HYPERLINK("https://sectors.patentforecast.com/pmd/US20220114297","PMD")</f>
        <v>0.0</v>
      </c>
      <c r="L339" s="2" t="n">
        <f>HYPERLINK("https://globaldossier.uspto.gov/result/application/US/17499114/1","US20220114297")</f>
        <v>0.0</v>
      </c>
      <c r="M339" t="s">
        <v>2456</v>
      </c>
      <c r="N339" t="s">
        <v>2457</v>
      </c>
      <c r="O339" t="s">
        <v>2457</v>
      </c>
      <c r="P339" t="s">
        <v>2458</v>
      </c>
      <c r="Q339" s="3" t="n">
        <v>44481.0</v>
      </c>
      <c r="R339" s="3" t="n">
        <v>44665.0</v>
      </c>
      <c r="S339" s="3" t="n">
        <v>44666.23050423611</v>
      </c>
      <c r="T339" s="3" t="n">
        <v>44719.557234768516</v>
      </c>
      <c r="U339" t="s">
        <v>2459</v>
      </c>
      <c r="V339" t="s">
        <v>2460</v>
      </c>
    </row>
    <row r="340">
      <c r="A340" t="s">
        <v>22</v>
      </c>
      <c r="B340" t="s">
        <v>2461</v>
      </c>
      <c r="C340" t="s">
        <v>24</v>
      </c>
      <c r="D340" t="s">
        <v>528</v>
      </c>
      <c r="E340" t="s">
        <v>2462</v>
      </c>
      <c r="F340" s="2" t="n">
        <f>HYPERLINK("https://patents.google.com/patent/US20220113832","Google")</f>
        <v>0.0</v>
      </c>
      <c r="G340" s="2" t="n">
        <f>HYPERLINK("https://patentcenter.uspto.gov/applications/17315978","Patent Center")</f>
        <v>0.0</v>
      </c>
      <c r="H340" s="2" t="n">
        <f>HYPERLINK("https://worldwide.espacenet.com/patent/search?q=US20220113832","Espacenet")</f>
        <v>0.0</v>
      </c>
      <c r="I340" s="2" t="n">
        <f>HYPERLINK("https://ppubs.uspto.gov/pubwebapp/external.html?q=20220113832.pn.","USPTO")</f>
        <v>0.0</v>
      </c>
      <c r="J340" s="2" t="n">
        <f>HYPERLINK("https://image-ppubs.uspto.gov/dirsearch-public/print/downloadPdf/20220113832","USPTO PDF")</f>
        <v>0.0</v>
      </c>
      <c r="K340" s="2" t="n">
        <f>HYPERLINK("https://sectors.patentforecast.com/pmd/US20220113832","PMD")</f>
        <v>0.0</v>
      </c>
      <c r="L340" s="2" t="n">
        <f>HYPERLINK("https://globaldossier.uspto.gov/result/application/US/17315978/1","US20220113832")</f>
        <v>0.0</v>
      </c>
      <c r="M340" t="s">
        <v>2463</v>
      </c>
      <c r="N340" t="s">
        <v>2464</v>
      </c>
      <c r="O340" t="s">
        <v>2465</v>
      </c>
      <c r="P340" t="s">
        <v>2466</v>
      </c>
      <c r="Q340" s="3" t="n">
        <v>44326.0</v>
      </c>
      <c r="R340" s="3" t="n">
        <v>44665.0</v>
      </c>
      <c r="S340" s="3" t="n">
        <v>44666.23050423611</v>
      </c>
      <c r="T340" s="3" t="n">
        <v>44719.5575384375</v>
      </c>
      <c r="U340" t="s">
        <v>2467</v>
      </c>
      <c r="V340" t="s">
        <v>2468</v>
      </c>
    </row>
    <row r="341">
      <c r="A341" t="s">
        <v>22</v>
      </c>
      <c r="B341" t="s">
        <v>2469</v>
      </c>
      <c r="C341" t="s">
        <v>24</v>
      </c>
      <c r="D341" t="s">
        <v>43</v>
      </c>
      <c r="E341" t="s">
        <v>2470</v>
      </c>
      <c r="F341" s="2" t="n">
        <f>HYPERLINK("https://patents.google.com/patent/US20220113368","Google")</f>
        <v>0.0</v>
      </c>
      <c r="G341" s="2" t="n">
        <f>HYPERLINK("https://patentcenter.uspto.gov/applications/17645095","Patent Center")</f>
        <v>0.0</v>
      </c>
      <c r="H341" s="2" t="n">
        <f>HYPERLINK("https://worldwide.espacenet.com/patent/search?q=US20220113368","Espacenet")</f>
        <v>0.0</v>
      </c>
      <c r="I341" s="2" t="n">
        <f>HYPERLINK("https://ppubs.uspto.gov/pubwebapp/external.html?q=20220113368.pn.","USPTO")</f>
        <v>0.0</v>
      </c>
      <c r="J341" s="2" t="n">
        <f>HYPERLINK("https://image-ppubs.uspto.gov/dirsearch-public/print/downloadPdf/20220113368","USPTO PDF")</f>
        <v>0.0</v>
      </c>
      <c r="K341" s="2" t="n">
        <f>HYPERLINK("https://sectors.patentforecast.com/pmd/US20220113368","PMD")</f>
        <v>0.0</v>
      </c>
      <c r="L341" s="2" t="n">
        <f>HYPERLINK("https://globaldossier.uspto.gov/result/application/US/17645095/1","US20220113368")</f>
        <v>0.0</v>
      </c>
      <c r="M341" t="s">
        <v>2471</v>
      </c>
      <c r="N341" t="s">
        <v>2472</v>
      </c>
      <c r="O341" t="s">
        <v>2473</v>
      </c>
      <c r="P341" t="s">
        <v>2474</v>
      </c>
      <c r="Q341" s="3" t="n">
        <v>44550.0</v>
      </c>
      <c r="R341" s="3" t="n">
        <v>44665.0</v>
      </c>
      <c r="S341" s="3" t="n">
        <v>44666.23050423611</v>
      </c>
      <c r="T341" s="3" t="n">
        <v>44672.44999946759</v>
      </c>
      <c r="U341" t="s">
        <v>31</v>
      </c>
      <c r="V341" t="s">
        <v>2475</v>
      </c>
    </row>
    <row r="342">
      <c r="A342" t="s">
        <v>22</v>
      </c>
      <c r="B342" t="s">
        <v>2476</v>
      </c>
      <c r="C342" t="s">
        <v>24</v>
      </c>
      <c r="D342" t="s">
        <v>51</v>
      </c>
      <c r="E342" t="s">
        <v>2477</v>
      </c>
      <c r="F342" s="2" t="n">
        <f>HYPERLINK("https://patents.google.com/patent/US20220113307","Google")</f>
        <v>0.0</v>
      </c>
      <c r="G342" s="2" t="n">
        <f>HYPERLINK("https://patentcenter.uspto.gov/applications/17497210","Patent Center")</f>
        <v>0.0</v>
      </c>
      <c r="H342" s="2" t="n">
        <f>HYPERLINK("https://worldwide.espacenet.com/patent/search?q=US20220113307","Espacenet")</f>
        <v>0.0</v>
      </c>
      <c r="I342" s="2" t="n">
        <f>HYPERLINK("https://ppubs.uspto.gov/pubwebapp/external.html?q=20220113307.pn.","USPTO")</f>
        <v>0.0</v>
      </c>
      <c r="J342" s="2" t="n">
        <f>HYPERLINK("https://image-ppubs.uspto.gov/dirsearch-public/print/downloadPdf/20220113307","USPTO PDF")</f>
        <v>0.0</v>
      </c>
      <c r="K342" s="2" t="n">
        <f>HYPERLINK("https://sectors.patentforecast.com/pmd/US20220113307","PMD")</f>
        <v>0.0</v>
      </c>
      <c r="L342" s="2" t="n">
        <f>HYPERLINK("https://globaldossier.uspto.gov/result/application/US/17497210/1","US20220113307")</f>
        <v>0.0</v>
      </c>
      <c r="M342" t="s">
        <v>2478</v>
      </c>
      <c r="N342" t="s">
        <v>330</v>
      </c>
      <c r="O342" t="s">
        <v>331</v>
      </c>
      <c r="P342" t="s">
        <v>2479</v>
      </c>
      <c r="Q342" s="3" t="n">
        <v>44477.0</v>
      </c>
      <c r="R342" s="3" t="n">
        <v>44665.0</v>
      </c>
      <c r="S342" s="3" t="n">
        <v>44666.23050423611</v>
      </c>
      <c r="T342" s="3" t="n">
        <v>44719.55761729167</v>
      </c>
      <c r="U342" t="s">
        <v>2480</v>
      </c>
      <c r="V342" t="s">
        <v>2481</v>
      </c>
    </row>
    <row r="343">
      <c r="A343" t="s">
        <v>22</v>
      </c>
      <c r="B343" t="s">
        <v>2482</v>
      </c>
      <c r="C343" t="s">
        <v>24</v>
      </c>
      <c r="D343" t="s">
        <v>25</v>
      </c>
      <c r="E343" t="s">
        <v>2483</v>
      </c>
      <c r="F343" s="2" t="n">
        <f>HYPERLINK("https://patents.google.com/patent/US20220113306","Google")</f>
        <v>0.0</v>
      </c>
      <c r="G343" s="2" t="n">
        <f>HYPERLINK("https://patentcenter.uspto.gov/applications/17539763","Patent Center")</f>
        <v>0.0</v>
      </c>
      <c r="H343" s="2" t="n">
        <f>HYPERLINK("https://worldwide.espacenet.com/patent/search?q=US20220113306","Espacenet")</f>
        <v>0.0</v>
      </c>
      <c r="I343" s="2" t="n">
        <f>HYPERLINK("https://ppubs.uspto.gov/pubwebapp/external.html?q=20220113306.pn.","USPTO")</f>
        <v>0.0</v>
      </c>
      <c r="J343" s="2" t="n">
        <f>HYPERLINK("https://image-ppubs.uspto.gov/dirsearch-public/print/downloadPdf/20220113306","USPTO PDF")</f>
        <v>0.0</v>
      </c>
      <c r="K343" s="2" t="n">
        <f>HYPERLINK("https://sectors.patentforecast.com/pmd/US20220113306","PMD")</f>
        <v>0.0</v>
      </c>
      <c r="L343" s="2" t="n">
        <f>HYPERLINK("https://globaldossier.uspto.gov/result/application/US/17539763/1","US20220113306")</f>
        <v>0.0</v>
      </c>
      <c r="M343" t="s">
        <v>2484</v>
      </c>
      <c r="N343" t="s">
        <v>2485</v>
      </c>
      <c r="O343" t="s">
        <v>2486</v>
      </c>
      <c r="P343" t="s">
        <v>2487</v>
      </c>
      <c r="Q343" s="3" t="n">
        <v>44531.0</v>
      </c>
      <c r="R343" s="3" t="n">
        <v>44665.0</v>
      </c>
      <c r="S343" s="3" t="n">
        <v>44666.23050423611</v>
      </c>
      <c r="T343" s="3" t="n">
        <v>44678.5859668287</v>
      </c>
      <c r="U343" t="s">
        <v>2488</v>
      </c>
      <c r="V343" t="s">
        <v>2489</v>
      </c>
    </row>
    <row r="344">
      <c r="A344" t="s">
        <v>22</v>
      </c>
      <c r="B344" t="s">
        <v>2490</v>
      </c>
      <c r="C344" t="s">
        <v>24</v>
      </c>
      <c r="D344" t="s">
        <v>25</v>
      </c>
      <c r="E344" t="s">
        <v>2483</v>
      </c>
      <c r="F344" s="2" t="n">
        <f>HYPERLINK("https://patents.google.com/patent/US20220113305","Google")</f>
        <v>0.0</v>
      </c>
      <c r="G344" s="2" t="n">
        <f>HYPERLINK("https://patentcenter.uspto.gov/applications/17070308","Patent Center")</f>
        <v>0.0</v>
      </c>
      <c r="H344" s="2" t="n">
        <f>HYPERLINK("https://worldwide.espacenet.com/patent/search?q=US20220113305","Espacenet")</f>
        <v>0.0</v>
      </c>
      <c r="I344" s="2" t="n">
        <f>HYPERLINK("https://ppubs.uspto.gov/pubwebapp/external.html?q=20220113305.pn.","USPTO")</f>
        <v>0.0</v>
      </c>
      <c r="J344" s="2" t="n">
        <f>HYPERLINK("https://image-ppubs.uspto.gov/dirsearch-public/print/downloadPdf/20220113305","USPTO PDF")</f>
        <v>0.0</v>
      </c>
      <c r="K344" s="2" t="n">
        <f>HYPERLINK("https://sectors.patentforecast.com/pmd/US20220113305","PMD")</f>
        <v>0.0</v>
      </c>
      <c r="L344" s="2" t="n">
        <f>HYPERLINK("https://globaldossier.uspto.gov/result/application/US/17070308/1","US20220113305")</f>
        <v>0.0</v>
      </c>
      <c r="M344" t="s">
        <v>2491</v>
      </c>
      <c r="N344" t="s">
        <v>2485</v>
      </c>
      <c r="O344" t="s">
        <v>2486</v>
      </c>
      <c r="P344" t="s">
        <v>2487</v>
      </c>
      <c r="Q344" s="3" t="n">
        <v>44118.0</v>
      </c>
      <c r="R344" s="3" t="n">
        <v>44665.0</v>
      </c>
      <c r="S344" s="3" t="n">
        <v>44666.23050423611</v>
      </c>
      <c r="T344" s="3" t="n">
        <v>44719.55767722222</v>
      </c>
      <c r="U344" t="s">
        <v>31</v>
      </c>
      <c r="V344" t="s">
        <v>2492</v>
      </c>
    </row>
    <row r="345">
      <c r="A345" t="s">
        <v>22</v>
      </c>
      <c r="B345" t="s">
        <v>2493</v>
      </c>
      <c r="C345" t="s">
        <v>24</v>
      </c>
      <c r="D345" t="s">
        <v>25</v>
      </c>
      <c r="E345" t="s">
        <v>2494</v>
      </c>
      <c r="F345" s="2" t="n">
        <f>HYPERLINK("https://patents.google.com/patent/US20220113294","Google")</f>
        <v>0.0</v>
      </c>
      <c r="G345" s="2" t="n">
        <f>HYPERLINK("https://patentcenter.uspto.gov/applications/17498441","Patent Center")</f>
        <v>0.0</v>
      </c>
      <c r="H345" s="2" t="n">
        <f>HYPERLINK("https://worldwide.espacenet.com/patent/search?q=US20220113294","Espacenet")</f>
        <v>0.0</v>
      </c>
      <c r="I345" s="2" t="n">
        <f>HYPERLINK("https://ppubs.uspto.gov/pubwebapp/external.html?q=20220113294.pn.","USPTO")</f>
        <v>0.0</v>
      </c>
      <c r="J345" s="2" t="n">
        <f>HYPERLINK("https://image-ppubs.uspto.gov/dirsearch-public/print/downloadPdf/20220113294","USPTO PDF")</f>
        <v>0.0</v>
      </c>
      <c r="K345" s="2" t="n">
        <f>HYPERLINK("https://sectors.patentforecast.com/pmd/US20220113294","PMD")</f>
        <v>0.0</v>
      </c>
      <c r="L345" s="2" t="n">
        <f>HYPERLINK("https://globaldossier.uspto.gov/result/application/US/17498441/1","US20220113294")</f>
        <v>0.0</v>
      </c>
      <c r="M345" t="s">
        <v>2495</v>
      </c>
      <c r="N345" t="s">
        <v>2496</v>
      </c>
      <c r="O345" t="s">
        <v>2496</v>
      </c>
      <c r="P345" t="s">
        <v>2497</v>
      </c>
      <c r="Q345" s="3" t="n">
        <v>44480.0</v>
      </c>
      <c r="R345" s="3" t="n">
        <v>44665.0</v>
      </c>
      <c r="S345" s="3" t="n">
        <v>44666.23050423611</v>
      </c>
      <c r="T345" s="3" t="n">
        <v>44719.55772596065</v>
      </c>
      <c r="U345" t="s">
        <v>31</v>
      </c>
      <c r="V345" t="s">
        <v>2498</v>
      </c>
    </row>
    <row r="346">
      <c r="A346" t="s">
        <v>22</v>
      </c>
      <c r="B346" t="s">
        <v>2499</v>
      </c>
      <c r="C346" t="s">
        <v>24</v>
      </c>
      <c r="D346" t="s">
        <v>25</v>
      </c>
      <c r="E346" t="s">
        <v>2500</v>
      </c>
      <c r="F346" s="2" t="n">
        <f>HYPERLINK("https://patents.google.com/patent/US20220113291","Google")</f>
        <v>0.0</v>
      </c>
      <c r="G346" s="2" t="n">
        <f>HYPERLINK("https://patentcenter.uspto.gov/applications/17500904","Patent Center")</f>
        <v>0.0</v>
      </c>
      <c r="H346" s="2" t="n">
        <f>HYPERLINK("https://worldwide.espacenet.com/patent/search?q=US20220113291","Espacenet")</f>
        <v>0.0</v>
      </c>
      <c r="I346" s="2" t="n">
        <f>HYPERLINK("https://ppubs.uspto.gov/pubwebapp/external.html?q=20220113291.pn.","USPTO")</f>
        <v>0.0</v>
      </c>
      <c r="J346" s="2" t="n">
        <f>HYPERLINK("https://image-ppubs.uspto.gov/dirsearch-public/print/downloadPdf/20220113291","USPTO PDF")</f>
        <v>0.0</v>
      </c>
      <c r="K346" s="2" t="n">
        <f>HYPERLINK("https://sectors.patentforecast.com/pmd/US20220113291","PMD")</f>
        <v>0.0</v>
      </c>
      <c r="L346" s="2" t="n">
        <f>HYPERLINK("https://globaldossier.uspto.gov/result/application/US/17500904/1","US20220113291")</f>
        <v>0.0</v>
      </c>
      <c r="M346" t="s">
        <v>2501</v>
      </c>
      <c r="N346" t="s">
        <v>2406</v>
      </c>
      <c r="O346" t="s">
        <v>2406</v>
      </c>
      <c r="P346" t="s">
        <v>2407</v>
      </c>
      <c r="Q346" s="3" t="n">
        <v>44482.0</v>
      </c>
      <c r="R346" s="3" t="n">
        <v>44665.0</v>
      </c>
      <c r="S346" s="3" t="n">
        <v>44666.23050423611</v>
      </c>
      <c r="T346" s="3" t="n">
        <v>44672.49212015046</v>
      </c>
      <c r="U346" t="s">
        <v>2502</v>
      </c>
      <c r="V346" t="s">
        <v>2503</v>
      </c>
    </row>
    <row r="347">
      <c r="A347" t="s">
        <v>22</v>
      </c>
      <c r="B347" t="s">
        <v>2504</v>
      </c>
      <c r="C347" t="s">
        <v>24</v>
      </c>
      <c r="D347" t="s">
        <v>25</v>
      </c>
      <c r="E347" t="s">
        <v>2505</v>
      </c>
      <c r="F347" s="2" t="n">
        <f>HYPERLINK("https://patents.google.com/patent/US20220113257","Google")</f>
        <v>0.0</v>
      </c>
      <c r="G347" s="2" t="n">
        <f>HYPERLINK("https://patentcenter.uspto.gov/applications/17500700","Patent Center")</f>
        <v>0.0</v>
      </c>
      <c r="H347" s="2" t="n">
        <f>HYPERLINK("https://worldwide.espacenet.com/patent/search?q=US20220113257","Espacenet")</f>
        <v>0.0</v>
      </c>
      <c r="I347" s="2" t="n">
        <f>HYPERLINK("https://ppubs.uspto.gov/pubwebapp/external.html?q=20220113257.pn.","USPTO")</f>
        <v>0.0</v>
      </c>
      <c r="J347" s="2" t="n">
        <f>HYPERLINK("https://image-ppubs.uspto.gov/dirsearch-public/print/downloadPdf/20220113257","USPTO PDF")</f>
        <v>0.0</v>
      </c>
      <c r="K347" s="2" t="n">
        <f>HYPERLINK("https://sectors.patentforecast.com/pmd/US20220113257","PMD")</f>
        <v>0.0</v>
      </c>
      <c r="L347" s="2" t="n">
        <f>HYPERLINK("https://globaldossier.uspto.gov/result/application/US/17500700/1","US20220113257")</f>
        <v>0.0</v>
      </c>
      <c r="M347" t="s">
        <v>2506</v>
      </c>
      <c r="N347" t="s">
        <v>2507</v>
      </c>
      <c r="O347" t="s">
        <v>2507</v>
      </c>
      <c r="P347" t="s">
        <v>2508</v>
      </c>
      <c r="Q347" s="3" t="n">
        <v>44482.0</v>
      </c>
      <c r="R347" s="3" t="n">
        <v>44665.0</v>
      </c>
      <c r="S347" s="3" t="n">
        <v>44666.23050423611</v>
      </c>
      <c r="T347" s="3" t="n">
        <v>44719.557940949075</v>
      </c>
      <c r="U347" t="s">
        <v>31</v>
      </c>
      <c r="V347" t="s">
        <v>2509</v>
      </c>
    </row>
    <row r="348">
      <c r="A348" t="s">
        <v>22</v>
      </c>
      <c r="B348" t="s">
        <v>2510</v>
      </c>
      <c r="C348" t="s">
        <v>24</v>
      </c>
      <c r="D348" t="s">
        <v>51</v>
      </c>
      <c r="E348" t="s">
        <v>2511</v>
      </c>
      <c r="F348" s="2" t="n">
        <f>HYPERLINK("https://patents.google.com/patent/US20220113245","Google")</f>
        <v>0.0</v>
      </c>
      <c r="G348" s="2" t="n">
        <f>HYPERLINK("https://patentcenter.uspto.gov/applications/17069808","Patent Center")</f>
        <v>0.0</v>
      </c>
      <c r="H348" s="2" t="n">
        <f>HYPERLINK("https://worldwide.espacenet.com/patent/search?q=US20220113245","Espacenet")</f>
        <v>0.0</v>
      </c>
      <c r="I348" s="2" t="n">
        <f>HYPERLINK("https://ppubs.uspto.gov/pubwebapp/external.html?q=20220113245.pn.","USPTO")</f>
        <v>0.0</v>
      </c>
      <c r="J348" s="2" t="n">
        <f>HYPERLINK("https://image-ppubs.uspto.gov/dirsearch-public/print/downloadPdf/20220113245","USPTO PDF")</f>
        <v>0.0</v>
      </c>
      <c r="K348" s="2" t="n">
        <f>HYPERLINK("https://sectors.patentforecast.com/pmd/US20220113245","PMD")</f>
        <v>0.0</v>
      </c>
      <c r="L348" s="2" t="n">
        <f>HYPERLINK("https://globaldossier.uspto.gov/result/application/US/17069808/1","US20220113245")</f>
        <v>0.0</v>
      </c>
      <c r="M348" t="s">
        <v>2512</v>
      </c>
      <c r="N348" t="s">
        <v>2513</v>
      </c>
      <c r="O348" t="s">
        <v>2514</v>
      </c>
      <c r="P348" t="s">
        <v>2515</v>
      </c>
      <c r="Q348" s="3" t="n">
        <v>44117.0</v>
      </c>
      <c r="R348" s="3" t="n">
        <v>44665.0</v>
      </c>
      <c r="S348" s="3" t="n">
        <v>44666.23050423611</v>
      </c>
      <c r="T348" s="3" t="n">
        <v>44672.36023478009</v>
      </c>
      <c r="U348" t="s">
        <v>2516</v>
      </c>
      <c r="V348" t="s">
        <v>2517</v>
      </c>
    </row>
    <row r="349">
      <c r="A349" t="s">
        <v>22</v>
      </c>
      <c r="B349" t="s">
        <v>2518</v>
      </c>
      <c r="C349" t="s">
        <v>24</v>
      </c>
      <c r="D349" t="s">
        <v>69</v>
      </c>
      <c r="E349" t="s">
        <v>2519</v>
      </c>
      <c r="F349" s="2" t="n">
        <f>HYPERLINK("https://patents.google.com/patent/US20220113052","Google")</f>
        <v>0.0</v>
      </c>
      <c r="G349" s="2" t="n">
        <f>HYPERLINK("https://patentcenter.uspto.gov/applications/17497928","Patent Center")</f>
        <v>0.0</v>
      </c>
      <c r="H349" s="2" t="n">
        <f>HYPERLINK("https://worldwide.espacenet.com/patent/search?q=US20220113052","Espacenet")</f>
        <v>0.0</v>
      </c>
      <c r="I349" s="2" t="n">
        <f>HYPERLINK("https://ppubs.uspto.gov/pubwebapp/external.html?q=20220113052.pn.","USPTO")</f>
        <v>0.0</v>
      </c>
      <c r="J349" s="2" t="n">
        <f>HYPERLINK("https://image-ppubs.uspto.gov/dirsearch-public/print/downloadPdf/20220113052","USPTO PDF")</f>
        <v>0.0</v>
      </c>
      <c r="K349" s="2" t="n">
        <f>HYPERLINK("https://sectors.patentforecast.com/pmd/US20220113052","PMD")</f>
        <v>0.0</v>
      </c>
      <c r="L349" s="2" t="n">
        <f>HYPERLINK("https://globaldossier.uspto.gov/result/application/US/17497928/1","US20220113052")</f>
        <v>0.0</v>
      </c>
      <c r="M349" t="s">
        <v>2520</v>
      </c>
      <c r="N349" t="s">
        <v>2521</v>
      </c>
      <c r="O349" t="s">
        <v>2522</v>
      </c>
      <c r="P349" t="s">
        <v>2523</v>
      </c>
      <c r="Q349" s="3" t="n">
        <v>44478.0</v>
      </c>
      <c r="R349" s="3" t="n">
        <v>44665.0</v>
      </c>
      <c r="S349" s="3" t="n">
        <v>44666.23050423611</v>
      </c>
      <c r="T349" s="3" t="n">
        <v>44719.55800784722</v>
      </c>
      <c r="U349" t="s">
        <v>2524</v>
      </c>
      <c r="V349" t="s">
        <v>2525</v>
      </c>
    </row>
    <row r="350">
      <c r="A350" t="s">
        <v>22</v>
      </c>
      <c r="B350" t="s">
        <v>2526</v>
      </c>
      <c r="C350" t="s">
        <v>24</v>
      </c>
      <c r="D350" t="s">
        <v>100</v>
      </c>
      <c r="E350" t="s">
        <v>2527</v>
      </c>
      <c r="F350" s="2" t="n">
        <f>HYPERLINK("https://patents.google.com/patent/US20220113050","Google")</f>
        <v>0.0</v>
      </c>
      <c r="G350" s="2" t="n">
        <f>HYPERLINK("https://patentcenter.uspto.gov/applications/17496101","Patent Center")</f>
        <v>0.0</v>
      </c>
      <c r="H350" s="2" t="n">
        <f>HYPERLINK("https://worldwide.espacenet.com/patent/search?q=US20220113050","Espacenet")</f>
        <v>0.0</v>
      </c>
      <c r="I350" s="2" t="n">
        <f>HYPERLINK("https://ppubs.uspto.gov/pubwebapp/external.html?q=20220113050.pn.","USPTO")</f>
        <v>0.0</v>
      </c>
      <c r="J350" s="2" t="n">
        <f>HYPERLINK("https://image-ppubs.uspto.gov/dirsearch-public/print/downloadPdf/20220113050","USPTO PDF")</f>
        <v>0.0</v>
      </c>
      <c r="K350" s="2" t="n">
        <f>HYPERLINK("https://sectors.patentforecast.com/pmd/US20220113050","PMD")</f>
        <v>0.0</v>
      </c>
      <c r="L350" s="2" t="n">
        <f>HYPERLINK("https://globaldossier.uspto.gov/result/application/US/17496101/1","US20220113050")</f>
        <v>0.0</v>
      </c>
      <c r="M350" t="s">
        <v>2528</v>
      </c>
      <c r="N350" t="s">
        <v>1520</v>
      </c>
      <c r="O350" t="s">
        <v>1521</v>
      </c>
      <c r="P350" t="s">
        <v>2529</v>
      </c>
      <c r="Q350" s="3" t="n">
        <v>44476.0</v>
      </c>
      <c r="R350" s="3" t="n">
        <v>44665.0</v>
      </c>
      <c r="S350" s="3" t="n">
        <v>44666.23050423611</v>
      </c>
      <c r="T350" s="3" t="n">
        <v>44672.37340805556</v>
      </c>
      <c r="U350" t="s">
        <v>2530</v>
      </c>
      <c r="V350" t="s">
        <v>2531</v>
      </c>
    </row>
    <row r="351">
      <c r="A351" t="s">
        <v>22</v>
      </c>
      <c r="B351" t="s">
        <v>2532</v>
      </c>
      <c r="C351" t="s">
        <v>24</v>
      </c>
      <c r="D351" t="s">
        <v>69</v>
      </c>
      <c r="E351" t="s">
        <v>2533</v>
      </c>
      <c r="F351" s="2" t="n">
        <f>HYPERLINK("https://patents.google.com/patent/US20220112629","Google")</f>
        <v>0.0</v>
      </c>
      <c r="G351" s="2" t="n">
        <f>HYPERLINK("https://patentcenter.uspto.gov/applications/17498975","Patent Center")</f>
        <v>0.0</v>
      </c>
      <c r="H351" s="2" t="n">
        <f>HYPERLINK("https://worldwide.espacenet.com/patent/search?q=US20220112629","Espacenet")</f>
        <v>0.0</v>
      </c>
      <c r="I351" s="2" t="n">
        <f>HYPERLINK("https://ppubs.uspto.gov/pubwebapp/external.html?q=20220112629.pn.","USPTO")</f>
        <v>0.0</v>
      </c>
      <c r="J351" s="2" t="n">
        <f>HYPERLINK("https://image-ppubs.uspto.gov/dirsearch-public/print/downloadPdf/20220112629","USPTO PDF")</f>
        <v>0.0</v>
      </c>
      <c r="K351" s="2" t="n">
        <f>HYPERLINK("https://sectors.patentforecast.com/pmd/US20220112629","PMD")</f>
        <v>0.0</v>
      </c>
      <c r="L351" s="2" t="n">
        <f>HYPERLINK("https://globaldossier.uspto.gov/result/application/US/17498975/1","US20220112629")</f>
        <v>0.0</v>
      </c>
      <c r="M351" t="s">
        <v>2534</v>
      </c>
      <c r="N351" t="s">
        <v>2354</v>
      </c>
      <c r="O351" t="s">
        <v>2355</v>
      </c>
      <c r="P351" t="s">
        <v>2535</v>
      </c>
      <c r="Q351" s="3" t="n">
        <v>44481.0</v>
      </c>
      <c r="R351" s="3" t="n">
        <v>44665.0</v>
      </c>
      <c r="S351" s="3" t="n">
        <v>44666.23050423611</v>
      </c>
      <c r="T351" s="3" t="n">
        <v>44672.34843167824</v>
      </c>
      <c r="U351" t="s">
        <v>2536</v>
      </c>
      <c r="V351" t="s">
        <v>2537</v>
      </c>
    </row>
    <row r="352">
      <c r="A352" t="s">
        <v>22</v>
      </c>
      <c r="B352" t="s">
        <v>2538</v>
      </c>
      <c r="C352" t="s">
        <v>60</v>
      </c>
      <c r="D352" t="s">
        <v>77</v>
      </c>
      <c r="E352" t="s">
        <v>2539</v>
      </c>
      <c r="F352" s="2" t="n">
        <f>HYPERLINK("https://patents.google.com/patent/US20220112273","Google")</f>
        <v>0.0</v>
      </c>
      <c r="G352" s="2" t="n">
        <f>HYPERLINK("https://patentcenter.uspto.gov/applications/17554642","Patent Center")</f>
        <v>0.0</v>
      </c>
      <c r="H352" s="2" t="n">
        <f>HYPERLINK("https://worldwide.espacenet.com/patent/search?q=US20220112273","Espacenet")</f>
        <v>0.0</v>
      </c>
      <c r="I352" s="2" t="n">
        <f>HYPERLINK("https://ppubs.uspto.gov/pubwebapp/external.html?q=20220112273.pn.","USPTO")</f>
        <v>0.0</v>
      </c>
      <c r="J352" s="2" t="n">
        <f>HYPERLINK("https://image-ppubs.uspto.gov/dirsearch-public/print/downloadPdf/20220112273","USPTO PDF")</f>
        <v>0.0</v>
      </c>
      <c r="K352" s="2" t="n">
        <f>HYPERLINK("https://sectors.patentforecast.com/pmd/US20220112273","PMD")</f>
        <v>0.0</v>
      </c>
      <c r="L352" s="2" t="n">
        <f>HYPERLINK("https://globaldossier.uspto.gov/result/application/US/17554642/1","US20220112273")</f>
        <v>0.0</v>
      </c>
      <c r="M352" t="s">
        <v>2540</v>
      </c>
      <c r="N352" t="s">
        <v>2541</v>
      </c>
      <c r="O352" t="s">
        <v>2542</v>
      </c>
      <c r="P352" t="s">
        <v>2543</v>
      </c>
      <c r="Q352" s="3" t="n">
        <v>44547.0</v>
      </c>
      <c r="R352" s="3" t="n">
        <v>44665.0</v>
      </c>
      <c r="S352" s="3" t="n">
        <v>44666.23652409722</v>
      </c>
      <c r="T352" s="3" t="n">
        <v>44672.43610230324</v>
      </c>
      <c r="U352" t="s">
        <v>31</v>
      </c>
      <c r="V352" t="s">
        <v>2544</v>
      </c>
    </row>
    <row r="353">
      <c r="A353" t="s">
        <v>22</v>
      </c>
      <c r="B353" t="s">
        <v>2545</v>
      </c>
      <c r="C353" t="s">
        <v>60</v>
      </c>
      <c r="D353" t="s">
        <v>77</v>
      </c>
      <c r="E353" t="s">
        <v>2546</v>
      </c>
      <c r="F353" s="2" t="n">
        <f>HYPERLINK("https://patents.google.com/patent/US20220112271","Google")</f>
        <v>0.0</v>
      </c>
      <c r="G353" s="2" t="n">
        <f>HYPERLINK("https://patentcenter.uspto.gov/applications/17560727","Patent Center")</f>
        <v>0.0</v>
      </c>
      <c r="H353" s="2" t="n">
        <f>HYPERLINK("https://worldwide.espacenet.com/patent/search?q=US20220112271","Espacenet")</f>
        <v>0.0</v>
      </c>
      <c r="I353" s="2" t="n">
        <f>HYPERLINK("https://ppubs.uspto.gov/pubwebapp/external.html?q=20220112271.pn.","USPTO")</f>
        <v>0.0</v>
      </c>
      <c r="J353" s="2" t="n">
        <f>HYPERLINK("https://image-ppubs.uspto.gov/dirsearch-public/print/downloadPdf/20220112271","USPTO PDF")</f>
        <v>0.0</v>
      </c>
      <c r="K353" s="2" t="n">
        <f>HYPERLINK("https://sectors.patentforecast.com/pmd/US20220112271","PMD")</f>
        <v>0.0</v>
      </c>
      <c r="L353" s="2" t="n">
        <f>HYPERLINK("https://globaldossier.uspto.gov/result/application/US/17560727/1","US20220112271")</f>
        <v>0.0</v>
      </c>
      <c r="M353" t="s">
        <v>2547</v>
      </c>
      <c r="N353" t="s">
        <v>2548</v>
      </c>
      <c r="O353" t="s">
        <v>2549</v>
      </c>
      <c r="P353" t="s">
        <v>2550</v>
      </c>
      <c r="Q353" s="3" t="n">
        <v>44553.0</v>
      </c>
      <c r="R353" s="3" t="n">
        <v>44665.0</v>
      </c>
      <c r="S353" s="3" t="n">
        <v>44666.23570868056</v>
      </c>
      <c r="T353" s="3" t="n">
        <v>44672.43709789352</v>
      </c>
      <c r="U353" t="s">
        <v>2551</v>
      </c>
      <c r="V353" t="s">
        <v>2552</v>
      </c>
    </row>
    <row r="354">
      <c r="A354" t="s">
        <v>22</v>
      </c>
      <c r="B354" t="s">
        <v>2553</v>
      </c>
      <c r="C354" t="s">
        <v>24</v>
      </c>
      <c r="D354" t="s">
        <v>69</v>
      </c>
      <c r="E354" t="s">
        <v>2554</v>
      </c>
      <c r="F354" s="2" t="n">
        <f>HYPERLINK("https://patents.google.com/patent/US20220111325","Google")</f>
        <v>0.0</v>
      </c>
      <c r="G354" s="2" t="n">
        <f>HYPERLINK("https://patentcenter.uspto.gov/applications/17267871","Patent Center")</f>
        <v>0.0</v>
      </c>
      <c r="H354" s="2" t="n">
        <f>HYPERLINK("https://worldwide.espacenet.com/patent/search?q=US20220111325","Espacenet")</f>
        <v>0.0</v>
      </c>
      <c r="I354" s="2" t="n">
        <f>HYPERLINK("https://ppubs.uspto.gov/pubwebapp/external.html?q=20220111325.pn.","USPTO")</f>
        <v>0.0</v>
      </c>
      <c r="J354" s="2" t="n">
        <f>HYPERLINK("https://image-ppubs.uspto.gov/dirsearch-public/print/downloadPdf/20220111325","USPTO PDF")</f>
        <v>0.0</v>
      </c>
      <c r="K354" s="2" t="n">
        <f>HYPERLINK("https://sectors.patentforecast.com/pmd/US20220111325","PMD")</f>
        <v>0.0</v>
      </c>
      <c r="L354" s="2" t="n">
        <f>HYPERLINK("https://globaldossier.uspto.gov/result/application/US/17267871/1","US20220111325")</f>
        <v>0.0</v>
      </c>
      <c r="M354" t="s">
        <v>2555</v>
      </c>
      <c r="N354" t="s">
        <v>2556</v>
      </c>
      <c r="O354" t="s">
        <v>2556</v>
      </c>
      <c r="P354" t="s">
        <v>2557</v>
      </c>
      <c r="Q354" s="3" t="n">
        <v>44152.0</v>
      </c>
      <c r="R354" s="3" t="n">
        <v>44665.0</v>
      </c>
      <c r="S354" s="3" t="n">
        <v>44666.23050423611</v>
      </c>
      <c r="T354" s="3" t="n">
        <v>44678.63980457176</v>
      </c>
      <c r="U354" t="s">
        <v>2558</v>
      </c>
      <c r="V354" t="s">
        <v>2559</v>
      </c>
    </row>
    <row r="355">
      <c r="A355" t="s">
        <v>22</v>
      </c>
      <c r="B355" t="s">
        <v>2560</v>
      </c>
      <c r="C355" t="s">
        <v>24</v>
      </c>
      <c r="D355" t="s">
        <v>100</v>
      </c>
      <c r="E355" t="s">
        <v>2561</v>
      </c>
      <c r="F355" s="2" t="n">
        <f>HYPERLINK("https://patents.google.com/patent/US20220111323","Google")</f>
        <v>0.0</v>
      </c>
      <c r="G355" s="2" t="n">
        <f>HYPERLINK("https://patentcenter.uspto.gov/applications/17501663","Patent Center")</f>
        <v>0.0</v>
      </c>
      <c r="H355" s="2" t="n">
        <f>HYPERLINK("https://worldwide.espacenet.com/patent/search?q=US20220111323","Espacenet")</f>
        <v>0.0</v>
      </c>
      <c r="I355" s="2" t="n">
        <f>HYPERLINK("https://ppubs.uspto.gov/pubwebapp/external.html?q=20220111323.pn.","USPTO")</f>
        <v>0.0</v>
      </c>
      <c r="J355" s="2" t="n">
        <f>HYPERLINK("https://image-ppubs.uspto.gov/dirsearch-public/print/downloadPdf/20220111323","USPTO PDF")</f>
        <v>0.0</v>
      </c>
      <c r="K355" s="2" t="n">
        <f>HYPERLINK("https://sectors.patentforecast.com/pmd/US20220111323","PMD")</f>
        <v>0.0</v>
      </c>
      <c r="L355" s="2" t="n">
        <f>HYPERLINK("https://globaldossier.uspto.gov/result/application/US/17501663/1","US20220111323")</f>
        <v>0.0</v>
      </c>
      <c r="M355" t="s">
        <v>2562</v>
      </c>
      <c r="N355" t="s">
        <v>2563</v>
      </c>
      <c r="O355" t="s">
        <v>2563</v>
      </c>
      <c r="P355" t="s">
        <v>2564</v>
      </c>
      <c r="Q355" s="3" t="n">
        <v>44483.0</v>
      </c>
      <c r="R355" s="3" t="n">
        <v>44665.0</v>
      </c>
      <c r="S355" s="3" t="n">
        <v>44666.23050423611</v>
      </c>
      <c r="T355" s="3" t="n">
        <v>44672.36886928241</v>
      </c>
      <c r="U355" t="s">
        <v>31</v>
      </c>
      <c r="V355" t="s">
        <v>2565</v>
      </c>
    </row>
    <row r="356">
      <c r="A356" t="s">
        <v>22</v>
      </c>
      <c r="B356" t="s">
        <v>2566</v>
      </c>
      <c r="C356" t="s">
        <v>24</v>
      </c>
      <c r="D356" t="s">
        <v>69</v>
      </c>
      <c r="E356" t="s">
        <v>2567</v>
      </c>
      <c r="F356" s="2" t="n">
        <f>HYPERLINK("https://patents.google.com/patent/US20220111322","Google")</f>
        <v>0.0</v>
      </c>
      <c r="G356" s="2" t="n">
        <f>HYPERLINK("https://patentcenter.uspto.gov/applications/17492800","Patent Center")</f>
        <v>0.0</v>
      </c>
      <c r="H356" s="2" t="n">
        <f>HYPERLINK("https://worldwide.espacenet.com/patent/search?q=US20220111322","Espacenet")</f>
        <v>0.0</v>
      </c>
      <c r="I356" s="2" t="n">
        <f>HYPERLINK("https://ppubs.uspto.gov/pubwebapp/external.html?q=20220111322.pn.","USPTO")</f>
        <v>0.0</v>
      </c>
      <c r="J356" s="2" t="n">
        <f>HYPERLINK("https://image-ppubs.uspto.gov/dirsearch-public/print/downloadPdf/20220111322","USPTO PDF")</f>
        <v>0.0</v>
      </c>
      <c r="K356" s="2" t="n">
        <f>HYPERLINK("https://sectors.patentforecast.com/pmd/US20220111322","PMD")</f>
        <v>0.0</v>
      </c>
      <c r="L356" s="2" t="n">
        <f>HYPERLINK("https://globaldossier.uspto.gov/result/application/US/17492800/1","US20220111322")</f>
        <v>0.0</v>
      </c>
      <c r="M356" t="s">
        <v>2568</v>
      </c>
      <c r="N356" t="s">
        <v>2569</v>
      </c>
      <c r="O356" t="s">
        <v>2569</v>
      </c>
      <c r="P356" t="s">
        <v>2570</v>
      </c>
      <c r="Q356" s="3" t="n">
        <v>44473.0</v>
      </c>
      <c r="R356" s="3" t="n">
        <v>44665.0</v>
      </c>
      <c r="S356" s="3" t="n">
        <v>44666.23050423611</v>
      </c>
      <c r="T356" s="3" t="n">
        <v>44719.55808681713</v>
      </c>
      <c r="U356" t="s">
        <v>31</v>
      </c>
      <c r="V356" t="s">
        <v>2571</v>
      </c>
    </row>
    <row r="357">
      <c r="A357" t="s">
        <v>22</v>
      </c>
      <c r="B357" t="s">
        <v>2572</v>
      </c>
      <c r="C357" t="s">
        <v>24</v>
      </c>
      <c r="D357" t="s">
        <v>69</v>
      </c>
      <c r="E357" t="s">
        <v>124</v>
      </c>
      <c r="F357" s="2" t="n">
        <f>HYPERLINK("https://patents.google.com/patent/US20220111170","Google")</f>
        <v>0.0</v>
      </c>
      <c r="G357" s="2" t="n">
        <f>HYPERLINK("https://patentcenter.uspto.gov/applications/17341418","Patent Center")</f>
        <v>0.0</v>
      </c>
      <c r="H357" s="2" t="n">
        <f>HYPERLINK("https://worldwide.espacenet.com/patent/search?q=US20220111170","Espacenet")</f>
        <v>0.0</v>
      </c>
      <c r="I357" s="2" t="n">
        <f>HYPERLINK("https://ppubs.uspto.gov/pubwebapp/external.html?q=20220111170.pn.","USPTO")</f>
        <v>0.0</v>
      </c>
      <c r="J357" s="2" t="n">
        <f>HYPERLINK("https://image-ppubs.uspto.gov/dirsearch-public/print/downloadPdf/20220111170","USPTO PDF")</f>
        <v>0.0</v>
      </c>
      <c r="K357" s="2" t="n">
        <f>HYPERLINK("https://sectors.patentforecast.com/pmd/US20220111170","PMD")</f>
        <v>0.0</v>
      </c>
      <c r="L357" s="2" t="n">
        <f>HYPERLINK("https://globaldossier.uspto.gov/result/application/US/17341418/1","US20220111170")</f>
        <v>0.0</v>
      </c>
      <c r="M357" t="s">
        <v>2573</v>
      </c>
      <c r="N357" t="s">
        <v>2574</v>
      </c>
      <c r="O357" t="s">
        <v>2575</v>
      </c>
      <c r="P357" t="s">
        <v>2576</v>
      </c>
      <c r="Q357" s="3" t="n">
        <v>44355.0</v>
      </c>
      <c r="R357" s="3" t="n">
        <v>44665.0</v>
      </c>
      <c r="S357" s="3" t="n">
        <v>44666.23050423611</v>
      </c>
      <c r="T357" s="3" t="n">
        <v>44678.645978113425</v>
      </c>
      <c r="U357" t="s">
        <v>2577</v>
      </c>
      <c r="V357" t="s">
        <v>2578</v>
      </c>
    </row>
    <row r="358">
      <c r="A358" t="s">
        <v>22</v>
      </c>
      <c r="B358" t="s">
        <v>2579</v>
      </c>
      <c r="C358" t="s">
        <v>60</v>
      </c>
      <c r="D358" t="s">
        <v>715</v>
      </c>
      <c r="E358" t="s">
        <v>2580</v>
      </c>
      <c r="F358" s="2" t="n">
        <f>HYPERLINK("https://patents.google.com/patent/US20220111165","Google")</f>
        <v>0.0</v>
      </c>
      <c r="G358" s="2" t="n">
        <f>HYPERLINK("https://patentcenter.uspto.gov/applications/17067990","Patent Center")</f>
        <v>0.0</v>
      </c>
      <c r="H358" s="2" t="n">
        <f>HYPERLINK("https://worldwide.espacenet.com/patent/search?q=US20220111165","Espacenet")</f>
        <v>0.0</v>
      </c>
      <c r="I358" s="2" t="n">
        <f>HYPERLINK("https://ppubs.uspto.gov/pubwebapp/external.html?q=20220111165.pn.","USPTO")</f>
        <v>0.0</v>
      </c>
      <c r="J358" s="2" t="n">
        <f>HYPERLINK("https://image-ppubs.uspto.gov/dirsearch-public/print/downloadPdf/20220111165","USPTO PDF")</f>
        <v>0.0</v>
      </c>
      <c r="K358" s="2" t="n">
        <f>HYPERLINK("https://sectors.patentforecast.com/pmd/US20220111165","PMD")</f>
        <v>0.0</v>
      </c>
      <c r="L358" s="2" t="n">
        <f>HYPERLINK("https://globaldossier.uspto.gov/result/application/US/17067990/1","US20220111165")</f>
        <v>0.0</v>
      </c>
      <c r="M358" t="s">
        <v>2581</v>
      </c>
      <c r="N358" t="s">
        <v>2582</v>
      </c>
      <c r="O358" t="s">
        <v>2582</v>
      </c>
      <c r="P358" t="s">
        <v>2583</v>
      </c>
      <c r="Q358" s="3" t="n">
        <v>44116.0</v>
      </c>
      <c r="R358" s="3" t="n">
        <v>44665.0</v>
      </c>
      <c r="S358" s="3" t="n">
        <v>44666.23050423611</v>
      </c>
      <c r="T358" s="3" t="n">
        <v>44719.55898512732</v>
      </c>
      <c r="U358" t="s">
        <v>2584</v>
      </c>
      <c r="V358" t="s">
        <v>2585</v>
      </c>
    </row>
    <row r="359">
      <c r="A359" t="s">
        <v>22</v>
      </c>
      <c r="B359" t="s">
        <v>2586</v>
      </c>
      <c r="C359" t="s">
        <v>24</v>
      </c>
      <c r="D359" t="s">
        <v>100</v>
      </c>
      <c r="E359" t="s">
        <v>2587</v>
      </c>
      <c r="F359" s="2" t="n">
        <f>HYPERLINK("https://patents.google.com/patent/US20220111104","Google")</f>
        <v>0.0</v>
      </c>
      <c r="G359" s="2" t="n">
        <f>HYPERLINK("https://patentcenter.uspto.gov/applications/17070607","Patent Center")</f>
        <v>0.0</v>
      </c>
      <c r="H359" s="2" t="n">
        <f>HYPERLINK("https://worldwide.espacenet.com/patent/search?q=US20220111104","Espacenet")</f>
        <v>0.0</v>
      </c>
      <c r="I359" s="2" t="n">
        <f>HYPERLINK("https://ppubs.uspto.gov/pubwebapp/external.html?q=20220111104.pn.","USPTO")</f>
        <v>0.0</v>
      </c>
      <c r="J359" s="2" t="n">
        <f>HYPERLINK("https://image-ppubs.uspto.gov/dirsearch-public/print/downloadPdf/20220111104","USPTO PDF")</f>
        <v>0.0</v>
      </c>
      <c r="K359" s="2" t="n">
        <f>HYPERLINK("https://sectors.patentforecast.com/pmd/US20220111104","PMD")</f>
        <v>0.0</v>
      </c>
      <c r="L359" s="2" t="n">
        <f>HYPERLINK("https://globaldossier.uspto.gov/result/application/US/17070607/1","US20220111104")</f>
        <v>0.0</v>
      </c>
      <c r="M359" t="s">
        <v>2588</v>
      </c>
      <c r="N359" t="s">
        <v>2589</v>
      </c>
      <c r="O359" t="s">
        <v>2590</v>
      </c>
      <c r="P359" t="s">
        <v>2591</v>
      </c>
      <c r="Q359" s="3" t="n">
        <v>44118.0</v>
      </c>
      <c r="R359" s="3" t="n">
        <v>44665.0</v>
      </c>
      <c r="S359" s="3" t="n">
        <v>44666.23050423611</v>
      </c>
      <c r="T359" s="3" t="n">
        <v>44672.477140497685</v>
      </c>
      <c r="U359" t="s">
        <v>2592</v>
      </c>
      <c r="V359" t="s">
        <v>2593</v>
      </c>
    </row>
    <row r="360">
      <c r="A360" t="s">
        <v>22</v>
      </c>
      <c r="B360" t="s">
        <v>2594</v>
      </c>
      <c r="C360" t="s">
        <v>24</v>
      </c>
      <c r="D360" t="s">
        <v>69</v>
      </c>
      <c r="E360" t="s">
        <v>2595</v>
      </c>
      <c r="F360" s="2" t="n">
        <f>HYPERLINK("https://patents.google.com/patent/US20220111094","Google")</f>
        <v>0.0</v>
      </c>
      <c r="G360" s="2" t="n">
        <f>HYPERLINK("https://patentcenter.uspto.gov/applications/17500908","Patent Center")</f>
        <v>0.0</v>
      </c>
      <c r="H360" s="2" t="n">
        <f>HYPERLINK("https://worldwide.espacenet.com/patent/search?q=US20220111094","Espacenet")</f>
        <v>0.0</v>
      </c>
      <c r="I360" s="2" t="n">
        <f>HYPERLINK("https://ppubs.uspto.gov/pubwebapp/external.html?q=20220111094.pn.","USPTO")</f>
        <v>0.0</v>
      </c>
      <c r="J360" s="2" t="n">
        <f>HYPERLINK("https://image-ppubs.uspto.gov/dirsearch-public/print/downloadPdf/20220111094","USPTO PDF")</f>
        <v>0.0</v>
      </c>
      <c r="K360" s="2" t="n">
        <f>HYPERLINK("https://sectors.patentforecast.com/pmd/US20220111094","PMD")</f>
        <v>0.0</v>
      </c>
      <c r="L360" s="2" t="n">
        <f>HYPERLINK("https://globaldossier.uspto.gov/result/application/US/17500908/1","US20220111094")</f>
        <v>0.0</v>
      </c>
      <c r="M360" t="s">
        <v>2596</v>
      </c>
      <c r="N360" t="s">
        <v>2597</v>
      </c>
      <c r="O360" t="s">
        <v>2598</v>
      </c>
      <c r="P360" t="s">
        <v>2599</v>
      </c>
      <c r="Q360" s="3" t="n">
        <v>44482.0</v>
      </c>
      <c r="R360" s="3" t="n">
        <v>44665.0</v>
      </c>
      <c r="S360" s="3" t="n">
        <v>44666.23050423611</v>
      </c>
      <c r="T360" s="3" t="n">
        <v>44719.55911836806</v>
      </c>
      <c r="U360" t="s">
        <v>31</v>
      </c>
      <c r="V360" t="s">
        <v>2600</v>
      </c>
    </row>
    <row r="361">
      <c r="A361" t="s">
        <v>22</v>
      </c>
      <c r="B361" t="s">
        <v>2601</v>
      </c>
      <c r="C361" t="s">
        <v>24</v>
      </c>
      <c r="D361" t="s">
        <v>100</v>
      </c>
      <c r="E361" t="s">
        <v>2602</v>
      </c>
      <c r="F361" s="2" t="n">
        <f>HYPERLINK("https://patents.google.com/patent/US20220111083","Google")</f>
        <v>0.0</v>
      </c>
      <c r="G361" s="2" t="n">
        <f>HYPERLINK("https://patentcenter.uspto.gov/applications/17066464","Patent Center")</f>
        <v>0.0</v>
      </c>
      <c r="H361" s="2" t="n">
        <f>HYPERLINK("https://worldwide.espacenet.com/patent/search?q=US20220111083","Espacenet")</f>
        <v>0.0</v>
      </c>
      <c r="I361" s="2" t="n">
        <f>HYPERLINK("https://ppubs.uspto.gov/pubwebapp/external.html?q=20220111083.pn.","USPTO")</f>
        <v>0.0</v>
      </c>
      <c r="J361" s="2" t="n">
        <f>HYPERLINK("https://image-ppubs.uspto.gov/dirsearch-public/print/downloadPdf/20220111083","USPTO PDF")</f>
        <v>0.0</v>
      </c>
      <c r="K361" s="2" t="n">
        <f>HYPERLINK("https://sectors.patentforecast.com/pmd/US20220111083","PMD")</f>
        <v>0.0</v>
      </c>
      <c r="L361" s="2" t="n">
        <f>HYPERLINK("https://globaldossier.uspto.gov/result/application/US/17066464/1","US20220111083")</f>
        <v>0.0</v>
      </c>
      <c r="M361" t="s">
        <v>2603</v>
      </c>
      <c r="N361" t="s">
        <v>2604</v>
      </c>
      <c r="O361" t="s">
        <v>2605</v>
      </c>
      <c r="P361" t="s">
        <v>2606</v>
      </c>
      <c r="Q361" s="3" t="n">
        <v>44112.0</v>
      </c>
      <c r="R361" s="3" t="n">
        <v>44665.0</v>
      </c>
      <c r="S361" s="3" t="n">
        <v>44666.23050423611</v>
      </c>
      <c r="T361" s="3" t="n">
        <v>44719.559225150464</v>
      </c>
      <c r="U361" t="s">
        <v>2607</v>
      </c>
      <c r="V361" t="s">
        <v>2608</v>
      </c>
    </row>
    <row r="362">
      <c r="A362" t="s">
        <v>22</v>
      </c>
      <c r="B362" t="s">
        <v>2609</v>
      </c>
      <c r="C362" t="s">
        <v>132</v>
      </c>
      <c r="D362" t="s">
        <v>142</v>
      </c>
      <c r="E362" t="s">
        <v>2610</v>
      </c>
      <c r="F362" s="2" t="n">
        <f>HYPERLINK("https://patents.google.com/patent/US20220111039","Google")</f>
        <v>0.0</v>
      </c>
      <c r="G362" s="2" t="n">
        <f>HYPERLINK("https://patentcenter.uspto.gov/applications/17552331","Patent Center")</f>
        <v>0.0</v>
      </c>
      <c r="H362" s="2" t="n">
        <f>HYPERLINK("https://worldwide.espacenet.com/patent/search?q=US20220111039","Espacenet")</f>
        <v>0.0</v>
      </c>
      <c r="I362" s="2" t="n">
        <f>HYPERLINK("https://ppubs.uspto.gov/pubwebapp/external.html?q=20220111039.pn.","USPTO")</f>
        <v>0.0</v>
      </c>
      <c r="J362" s="2" t="n">
        <f>HYPERLINK("https://image-ppubs.uspto.gov/dirsearch-public/print/downloadPdf/20220111039","USPTO PDF")</f>
        <v>0.0</v>
      </c>
      <c r="K362" s="2" t="n">
        <f>HYPERLINK("https://sectors.patentforecast.com/pmd/US20220111039","PMD")</f>
        <v>0.0</v>
      </c>
      <c r="L362" s="2" t="n">
        <f>HYPERLINK("https://globaldossier.uspto.gov/result/application/US/17552331/1","US20220111039")</f>
        <v>0.0</v>
      </c>
      <c r="M362" t="s">
        <v>2611</v>
      </c>
      <c r="N362" t="s">
        <v>2612</v>
      </c>
      <c r="O362" t="s">
        <v>2613</v>
      </c>
      <c r="P362" t="s">
        <v>2614</v>
      </c>
      <c r="Q362" s="3" t="n">
        <v>44545.0</v>
      </c>
      <c r="R362" s="3" t="n">
        <v>44665.0</v>
      </c>
      <c r="S362" s="3" t="n">
        <v>44666.23050423611</v>
      </c>
      <c r="T362" s="3" t="n">
        <v>44672.473898993056</v>
      </c>
      <c r="U362" t="s">
        <v>31</v>
      </c>
      <c r="V362" t="s">
        <v>2615</v>
      </c>
    </row>
    <row r="363">
      <c r="A363" t="s">
        <v>22</v>
      </c>
      <c r="B363" t="s">
        <v>2616</v>
      </c>
      <c r="C363" t="s">
        <v>132</v>
      </c>
      <c r="D363" t="s">
        <v>142</v>
      </c>
      <c r="E363" t="s">
        <v>2617</v>
      </c>
      <c r="F363" s="2" t="n">
        <f>HYPERLINK("https://patents.google.com/patent/US20220111038","Google")</f>
        <v>0.0</v>
      </c>
      <c r="G363" s="2" t="n">
        <f>HYPERLINK("https://patentcenter.uspto.gov/applications/17480073","Patent Center")</f>
        <v>0.0</v>
      </c>
      <c r="H363" s="2" t="n">
        <f>HYPERLINK("https://worldwide.espacenet.com/patent/search?q=US20220111038","Espacenet")</f>
        <v>0.0</v>
      </c>
      <c r="I363" s="2" t="n">
        <f>HYPERLINK("https://ppubs.uspto.gov/pubwebapp/external.html?q=20220111038.pn.","USPTO")</f>
        <v>0.0</v>
      </c>
      <c r="J363" s="2" t="n">
        <f>HYPERLINK("https://image-ppubs.uspto.gov/dirsearch-public/print/downloadPdf/20220111038","USPTO PDF")</f>
        <v>0.0</v>
      </c>
      <c r="K363" s="2" t="n">
        <f>HYPERLINK("https://sectors.patentforecast.com/pmd/US20220111038","PMD")</f>
        <v>0.0</v>
      </c>
      <c r="L363" s="2" t="n">
        <f>HYPERLINK("https://globaldossier.uspto.gov/result/application/US/17480073/1","US20220111038")</f>
        <v>0.0</v>
      </c>
      <c r="M363" t="s">
        <v>2618</v>
      </c>
      <c r="N363" t="s">
        <v>2619</v>
      </c>
      <c r="O363" t="s">
        <v>2619</v>
      </c>
      <c r="P363" t="s">
        <v>2620</v>
      </c>
      <c r="Q363" s="3" t="n">
        <v>44459.0</v>
      </c>
      <c r="R363" s="3" t="n">
        <v>44665.0</v>
      </c>
      <c r="S363" s="3" t="n">
        <v>44666.23050423611</v>
      </c>
      <c r="T363" s="3" t="n">
        <v>44672.399028912034</v>
      </c>
      <c r="U363" t="s">
        <v>31</v>
      </c>
      <c r="V363" t="s">
        <v>2621</v>
      </c>
    </row>
    <row r="364">
      <c r="A364" t="s">
        <v>22</v>
      </c>
      <c r="B364" t="s">
        <v>2622</v>
      </c>
      <c r="C364" t="s">
        <v>132</v>
      </c>
      <c r="D364" t="s">
        <v>133</v>
      </c>
      <c r="E364" t="s">
        <v>2623</v>
      </c>
      <c r="F364" s="2" t="n">
        <f>HYPERLINK("https://patents.google.com/patent/US20220111037","Google")</f>
        <v>0.0</v>
      </c>
      <c r="G364" s="2" t="n">
        <f>HYPERLINK("https://patentcenter.uspto.gov/applications/17401584","Patent Center")</f>
        <v>0.0</v>
      </c>
      <c r="H364" s="2" t="n">
        <f>HYPERLINK("https://worldwide.espacenet.com/patent/search?q=US20220111037","Espacenet")</f>
        <v>0.0</v>
      </c>
      <c r="I364" s="2" t="n">
        <f>HYPERLINK("https://ppubs.uspto.gov/pubwebapp/external.html?q=20220111037.pn.","USPTO")</f>
        <v>0.0</v>
      </c>
      <c r="J364" s="2" t="n">
        <f>HYPERLINK("https://image-ppubs.uspto.gov/dirsearch-public/print/downloadPdf/20220111037","USPTO PDF")</f>
        <v>0.0</v>
      </c>
      <c r="K364" s="2" t="n">
        <f>HYPERLINK("https://sectors.patentforecast.com/pmd/US20220111037","PMD")</f>
        <v>0.0</v>
      </c>
      <c r="L364" s="2" t="n">
        <f>HYPERLINK("https://globaldossier.uspto.gov/result/application/US/17401584/1","US20220111037")</f>
        <v>0.0</v>
      </c>
      <c r="M364" t="s">
        <v>2624</v>
      </c>
      <c r="N364" t="s">
        <v>2625</v>
      </c>
      <c r="O364" t="s">
        <v>2625</v>
      </c>
      <c r="P364" t="s">
        <v>2626</v>
      </c>
      <c r="Q364" s="3" t="n">
        <v>44421.0</v>
      </c>
      <c r="R364" s="3" t="n">
        <v>44665.0</v>
      </c>
      <c r="S364" s="3" t="n">
        <v>44666.23050423611</v>
      </c>
      <c r="T364" s="3" t="n">
        <v>44719.559290763886</v>
      </c>
      <c r="U364" t="s">
        <v>31</v>
      </c>
      <c r="V364" t="s">
        <v>2627</v>
      </c>
    </row>
    <row r="365">
      <c r="A365" t="s">
        <v>22</v>
      </c>
      <c r="B365" t="s">
        <v>2628</v>
      </c>
      <c r="C365" t="s">
        <v>132</v>
      </c>
      <c r="D365" t="s">
        <v>2629</v>
      </c>
      <c r="E365" t="s">
        <v>2630</v>
      </c>
      <c r="F365" s="2" t="n">
        <f>HYPERLINK("https://patents.google.com/patent/US20220111032","Google")</f>
        <v>0.0</v>
      </c>
      <c r="G365" s="2" t="n">
        <f>HYPERLINK("https://patentcenter.uspto.gov/applications/17065535","Patent Center")</f>
        <v>0.0</v>
      </c>
      <c r="H365" s="2" t="n">
        <f>HYPERLINK("https://worldwide.espacenet.com/patent/search?q=US20220111032","Espacenet")</f>
        <v>0.0</v>
      </c>
      <c r="I365" s="2" t="n">
        <f>HYPERLINK("https://ppubs.uspto.gov/pubwebapp/external.html?q=20220111032.pn.","USPTO")</f>
        <v>0.0</v>
      </c>
      <c r="J365" s="2" t="n">
        <f>HYPERLINK("https://image-ppubs.uspto.gov/dirsearch-public/print/downloadPdf/20220111032","USPTO PDF")</f>
        <v>0.0</v>
      </c>
      <c r="K365" s="2" t="n">
        <f>HYPERLINK("https://sectors.patentforecast.com/pmd/US20220111032","PMD")</f>
        <v>0.0</v>
      </c>
      <c r="L365" s="2" t="n">
        <f>HYPERLINK("https://globaldossier.uspto.gov/result/application/US/17065535/1","US20220111032")</f>
        <v>0.0</v>
      </c>
      <c r="M365" t="s">
        <v>2631</v>
      </c>
      <c r="N365" t="s">
        <v>2632</v>
      </c>
      <c r="O365" t="s">
        <v>2632</v>
      </c>
      <c r="P365" t="s">
        <v>2633</v>
      </c>
      <c r="Q365" s="3" t="n">
        <v>44112.0</v>
      </c>
      <c r="R365" s="3" t="n">
        <v>44665.0</v>
      </c>
      <c r="S365" s="3" t="n">
        <v>44666.24045363426</v>
      </c>
      <c r="T365" s="3" t="n">
        <v>44672.473490185184</v>
      </c>
      <c r="U365" t="s">
        <v>2634</v>
      </c>
      <c r="V365" t="s">
        <v>2635</v>
      </c>
    </row>
    <row r="366">
      <c r="A366" t="s">
        <v>22</v>
      </c>
      <c r="B366" t="s">
        <v>2636</v>
      </c>
      <c r="C366" t="s">
        <v>312</v>
      </c>
      <c r="D366" t="s">
        <v>313</v>
      </c>
      <c r="E366" t="s">
        <v>2637</v>
      </c>
      <c r="F366" s="2" t="n">
        <f>HYPERLINK("https://patents.google.com/patent/US20220111004","Google")</f>
        <v>0.0</v>
      </c>
      <c r="G366" s="2" t="n">
        <f>HYPERLINK("https://patentcenter.uspto.gov/applications/17345531","Patent Center")</f>
        <v>0.0</v>
      </c>
      <c r="H366" s="2" t="n">
        <f>HYPERLINK("https://worldwide.espacenet.com/patent/search?q=US20220111004","Espacenet")</f>
        <v>0.0</v>
      </c>
      <c r="I366" s="2" t="n">
        <f>HYPERLINK("https://ppubs.uspto.gov/pubwebapp/external.html?q=20220111004.pn.","USPTO")</f>
        <v>0.0</v>
      </c>
      <c r="J366" s="2" t="n">
        <f>HYPERLINK("https://image-ppubs.uspto.gov/dirsearch-public/print/downloadPdf/20220111004","USPTO PDF")</f>
        <v>0.0</v>
      </c>
      <c r="K366" s="2" t="n">
        <f>HYPERLINK("https://sectors.patentforecast.com/pmd/US20220111004","PMD")</f>
        <v>0.0</v>
      </c>
      <c r="L366" s="2" t="n">
        <f>HYPERLINK("https://globaldossier.uspto.gov/result/application/US/17345531/1","US20220111004")</f>
        <v>0.0</v>
      </c>
      <c r="M366" t="s">
        <v>2638</v>
      </c>
      <c r="N366" t="s">
        <v>2639</v>
      </c>
      <c r="O366" t="s">
        <v>2640</v>
      </c>
      <c r="P366" t="s">
        <v>2641</v>
      </c>
      <c r="Q366" s="3" t="n">
        <v>44358.0</v>
      </c>
      <c r="R366" s="3" t="n">
        <v>44665.0</v>
      </c>
      <c r="S366" s="3" t="n">
        <v>44666.23050423611</v>
      </c>
      <c r="T366" s="3" t="n">
        <v>44672.38820011574</v>
      </c>
      <c r="U366" t="s">
        <v>31</v>
      </c>
      <c r="V366" t="s">
        <v>2642</v>
      </c>
    </row>
    <row r="367">
      <c r="A367" t="s">
        <v>22</v>
      </c>
      <c r="B367" t="s">
        <v>2643</v>
      </c>
      <c r="C367" t="s">
        <v>132</v>
      </c>
      <c r="D367" t="s">
        <v>133</v>
      </c>
      <c r="E367" t="s">
        <v>2644</v>
      </c>
      <c r="F367" s="2" t="n">
        <f>HYPERLINK("https://patents.google.com/patent/US20220110987","Google")</f>
        <v>0.0</v>
      </c>
      <c r="G367" s="2" t="n">
        <f>HYPERLINK("https://patentcenter.uspto.gov/applications/17497295","Patent Center")</f>
        <v>0.0</v>
      </c>
      <c r="H367" s="2" t="n">
        <f>HYPERLINK("https://worldwide.espacenet.com/patent/search?q=US20220110987","Espacenet")</f>
        <v>0.0</v>
      </c>
      <c r="I367" s="2" t="n">
        <f>HYPERLINK("https://ppubs.uspto.gov/pubwebapp/external.html?q=20220110987.pn.","USPTO")</f>
        <v>0.0</v>
      </c>
      <c r="J367" s="2" t="n">
        <f>HYPERLINK("https://image-ppubs.uspto.gov/dirsearch-public/print/downloadPdf/20220110987","USPTO PDF")</f>
        <v>0.0</v>
      </c>
      <c r="K367" s="2" t="n">
        <f>HYPERLINK("https://sectors.patentforecast.com/pmd/US20220110987","PMD")</f>
        <v>0.0</v>
      </c>
      <c r="L367" s="2" t="n">
        <f>HYPERLINK("https://globaldossier.uspto.gov/result/application/US/17497295/1","US20220110987")</f>
        <v>0.0</v>
      </c>
      <c r="M367" t="s">
        <v>2645</v>
      </c>
      <c r="N367" t="s">
        <v>2646</v>
      </c>
      <c r="O367" t="s">
        <v>2646</v>
      </c>
      <c r="P367" t="s">
        <v>2647</v>
      </c>
      <c r="Q367" s="3" t="n">
        <v>44477.0</v>
      </c>
      <c r="R367" s="3" t="n">
        <v>44665.0</v>
      </c>
      <c r="S367" s="3" t="n">
        <v>44666.229458773145</v>
      </c>
      <c r="T367" s="3" t="n">
        <v>44678.5754912037</v>
      </c>
      <c r="U367" t="s">
        <v>31</v>
      </c>
      <c r="V367" t="s">
        <v>2648</v>
      </c>
    </row>
    <row r="368">
      <c r="A368" t="s">
        <v>22</v>
      </c>
      <c r="B368" t="s">
        <v>2649</v>
      </c>
      <c r="C368" t="s">
        <v>60</v>
      </c>
      <c r="D368" t="s">
        <v>2262</v>
      </c>
      <c r="E368" t="s">
        <v>2650</v>
      </c>
      <c r="F368" s="2" t="n">
        <f>HYPERLINK("https://patents.google.com/patent/US20220110977","Google")</f>
        <v>0.0</v>
      </c>
      <c r="G368" s="2" t="n">
        <f>HYPERLINK("https://patentcenter.uspto.gov/applications/17556650","Patent Center")</f>
        <v>0.0</v>
      </c>
      <c r="H368" s="2" t="n">
        <f>HYPERLINK("https://worldwide.espacenet.com/patent/search?q=US20220110977","Espacenet")</f>
        <v>0.0</v>
      </c>
      <c r="I368" s="2" t="n">
        <f>HYPERLINK("https://ppubs.uspto.gov/pubwebapp/external.html?q=20220110977.pn.","USPTO")</f>
        <v>0.0</v>
      </c>
      <c r="J368" s="2" t="n">
        <f>HYPERLINK("https://image-ppubs.uspto.gov/dirsearch-public/print/downloadPdf/20220110977","USPTO PDF")</f>
        <v>0.0</v>
      </c>
      <c r="K368" s="2" t="n">
        <f>HYPERLINK("https://sectors.patentforecast.com/pmd/US20220110977","PMD")</f>
        <v>0.0</v>
      </c>
      <c r="L368" s="2" t="n">
        <f>HYPERLINK("https://globaldossier.uspto.gov/result/application/US/17556650/1","US20220110977")</f>
        <v>0.0</v>
      </c>
      <c r="M368" t="s">
        <v>2651</v>
      </c>
      <c r="N368" t="s">
        <v>2652</v>
      </c>
      <c r="O368" t="s">
        <v>2653</v>
      </c>
      <c r="P368" t="s">
        <v>2654</v>
      </c>
      <c r="Q368" s="3" t="n">
        <v>44550.0</v>
      </c>
      <c r="R368" s="3" t="n">
        <v>44665.0</v>
      </c>
      <c r="S368" s="3" t="n">
        <v>44666.23050423611</v>
      </c>
      <c r="T368" s="3" t="n">
        <v>44672.394840995374</v>
      </c>
      <c r="U368" t="s">
        <v>2655</v>
      </c>
      <c r="V368" t="s">
        <v>2656</v>
      </c>
    </row>
    <row r="369">
      <c r="A369" t="s">
        <v>22</v>
      </c>
      <c r="B369" t="s">
        <v>2657</v>
      </c>
      <c r="C369" t="s">
        <v>60</v>
      </c>
      <c r="D369" t="s">
        <v>77</v>
      </c>
      <c r="E369" t="s">
        <v>2658</v>
      </c>
      <c r="F369" s="2" t="n">
        <f>HYPERLINK("https://patents.google.com/patent/US20220110972","Google")</f>
        <v>0.0</v>
      </c>
      <c r="G369" s="2" t="n">
        <f>HYPERLINK("https://patentcenter.uspto.gov/applications/17499792","Patent Center")</f>
        <v>0.0</v>
      </c>
      <c r="H369" s="2" t="n">
        <f>HYPERLINK("https://worldwide.espacenet.com/patent/search?q=US20220110972","Espacenet")</f>
        <v>0.0</v>
      </c>
      <c r="I369" s="2" t="n">
        <f>HYPERLINK("https://ppubs.uspto.gov/pubwebapp/external.html?q=20220110972.pn.","USPTO")</f>
        <v>0.0</v>
      </c>
      <c r="J369" s="2" t="n">
        <f>HYPERLINK("https://image-ppubs.uspto.gov/dirsearch-public/print/downloadPdf/20220110972","USPTO PDF")</f>
        <v>0.0</v>
      </c>
      <c r="K369" s="2" t="n">
        <f>HYPERLINK("https://sectors.patentforecast.com/pmd/US20220110972","PMD")</f>
        <v>0.0</v>
      </c>
      <c r="L369" s="2" t="n">
        <f>HYPERLINK("https://globaldossier.uspto.gov/result/application/US/17499792/1","US20220110972")</f>
        <v>0.0</v>
      </c>
      <c r="M369" t="s">
        <v>2659</v>
      </c>
      <c r="N369" t="s">
        <v>2597</v>
      </c>
      <c r="O369" t="s">
        <v>2598</v>
      </c>
      <c r="P369" t="s">
        <v>2599</v>
      </c>
      <c r="Q369" s="3" t="n">
        <v>44481.0</v>
      </c>
      <c r="R369" s="3" t="n">
        <v>44665.0</v>
      </c>
      <c r="S369" s="3" t="n">
        <v>44666.23050423611</v>
      </c>
      <c r="T369" s="3" t="n">
        <v>44672.352095532406</v>
      </c>
      <c r="U369" t="s">
        <v>2660</v>
      </c>
      <c r="V369" t="s">
        <v>2661</v>
      </c>
    </row>
    <row r="370">
      <c r="A370" t="s">
        <v>22</v>
      </c>
      <c r="B370" t="s">
        <v>2662</v>
      </c>
      <c r="C370" t="s">
        <v>24</v>
      </c>
      <c r="D370" t="s">
        <v>100</v>
      </c>
      <c r="E370" t="s">
        <v>2663</v>
      </c>
      <c r="F370" s="2" t="n">
        <f>HYPERLINK("https://patents.google.com/patent/US20220110968","Google")</f>
        <v>0.0</v>
      </c>
      <c r="G370" s="2" t="n">
        <f>HYPERLINK("https://patentcenter.uspto.gov/applications/17404941","Patent Center")</f>
        <v>0.0</v>
      </c>
      <c r="H370" s="2" t="n">
        <f>HYPERLINK("https://worldwide.espacenet.com/patent/search?q=US20220110968","Espacenet")</f>
        <v>0.0</v>
      </c>
      <c r="I370" s="2" t="n">
        <f>HYPERLINK("https://ppubs.uspto.gov/pubwebapp/external.html?q=20220110968.pn.","USPTO")</f>
        <v>0.0</v>
      </c>
      <c r="J370" s="2" t="n">
        <f>HYPERLINK("https://image-ppubs.uspto.gov/dirsearch-public/print/downloadPdf/20220110968","USPTO PDF")</f>
        <v>0.0</v>
      </c>
      <c r="K370" s="2" t="n">
        <f>HYPERLINK("https://sectors.patentforecast.com/pmd/US20220110968","PMD")</f>
        <v>0.0</v>
      </c>
      <c r="L370" s="2" t="n">
        <f>HYPERLINK("https://globaldossier.uspto.gov/result/application/US/17404941/1","US20220110968")</f>
        <v>0.0</v>
      </c>
      <c r="M370" t="s">
        <v>2664</v>
      </c>
      <c r="N370" t="s">
        <v>2665</v>
      </c>
      <c r="O370" t="s">
        <v>2666</v>
      </c>
      <c r="P370" t="s">
        <v>2667</v>
      </c>
      <c r="Q370" s="3" t="n">
        <v>44425.0</v>
      </c>
      <c r="R370" s="3" t="n">
        <v>44665.0</v>
      </c>
      <c r="S370" s="3" t="n">
        <v>44666.23050423611</v>
      </c>
      <c r="T370" s="3" t="n">
        <v>44672.39865434028</v>
      </c>
      <c r="U370" t="s">
        <v>2668</v>
      </c>
      <c r="V370" t="s">
        <v>2669</v>
      </c>
    </row>
    <row r="371">
      <c r="A371" t="s">
        <v>22</v>
      </c>
      <c r="B371" t="s">
        <v>2670</v>
      </c>
      <c r="C371" t="s">
        <v>60</v>
      </c>
      <c r="D371" t="s">
        <v>61</v>
      </c>
      <c r="E371" t="s">
        <v>2671</v>
      </c>
      <c r="F371" s="2" t="n">
        <f>HYPERLINK("https://patents.google.com/patent/US20220110910","Google")</f>
        <v>0.0</v>
      </c>
      <c r="G371" s="2" t="n">
        <f>HYPERLINK("https://patentcenter.uspto.gov/applications/17406035","Patent Center")</f>
        <v>0.0</v>
      </c>
      <c r="H371" s="2" t="n">
        <f>HYPERLINK("https://worldwide.espacenet.com/patent/search?q=US20220110910","Espacenet")</f>
        <v>0.0</v>
      </c>
      <c r="I371" s="2" t="n">
        <f>HYPERLINK("https://ppubs.uspto.gov/pubwebapp/external.html?q=20220110910.pn.","USPTO")</f>
        <v>0.0</v>
      </c>
      <c r="J371" s="2" t="n">
        <f>HYPERLINK("https://image-ppubs.uspto.gov/dirsearch-public/print/downloadPdf/20220110910","USPTO PDF")</f>
        <v>0.0</v>
      </c>
      <c r="K371" s="2" t="n">
        <f>HYPERLINK("https://sectors.patentforecast.com/pmd/US20220110910","PMD")</f>
        <v>0.0</v>
      </c>
      <c r="L371" s="2" t="n">
        <f>HYPERLINK("https://globaldossier.uspto.gov/result/application/US/17406035/1","US20220110910")</f>
        <v>0.0</v>
      </c>
      <c r="M371" t="s">
        <v>2672</v>
      </c>
      <c r="N371" t="s">
        <v>2673</v>
      </c>
      <c r="O371" t="s">
        <v>2674</v>
      </c>
      <c r="P371" t="s">
        <v>2675</v>
      </c>
      <c r="Q371" s="3" t="n">
        <v>44426.0</v>
      </c>
      <c r="R371" s="3" t="n">
        <v>44665.0</v>
      </c>
      <c r="S371" s="3" t="n">
        <v>44666.23050423611</v>
      </c>
      <c r="T371" s="3" t="n">
        <v>44672.37910936343</v>
      </c>
      <c r="U371" t="s">
        <v>31</v>
      </c>
      <c r="V371" t="s">
        <v>2676</v>
      </c>
    </row>
    <row r="372">
      <c r="A372" t="s">
        <v>22</v>
      </c>
      <c r="B372" t="s">
        <v>2677</v>
      </c>
      <c r="C372" t="s">
        <v>132</v>
      </c>
      <c r="D372" t="s">
        <v>142</v>
      </c>
      <c r="E372" t="s">
        <v>2323</v>
      </c>
      <c r="F372" s="2" t="n">
        <f>HYPERLINK("https://patents.google.com/patent/US20220110881","Google")</f>
        <v>0.0</v>
      </c>
      <c r="G372" s="2" t="n">
        <f>HYPERLINK("https://patentcenter.uspto.gov/applications/17523442","Patent Center")</f>
        <v>0.0</v>
      </c>
      <c r="H372" s="2" t="n">
        <f>HYPERLINK("https://worldwide.espacenet.com/patent/search?q=US20220110881","Espacenet")</f>
        <v>0.0</v>
      </c>
      <c r="I372" s="2" t="n">
        <f>HYPERLINK("https://ppubs.uspto.gov/pubwebapp/external.html?q=20220110881.pn.","USPTO")</f>
        <v>0.0</v>
      </c>
      <c r="J372" s="2" t="n">
        <f>HYPERLINK("https://image-ppubs.uspto.gov/dirsearch-public/print/downloadPdf/20220110881","USPTO PDF")</f>
        <v>0.0</v>
      </c>
      <c r="K372" s="2" t="n">
        <f>HYPERLINK("https://sectors.patentforecast.com/pmd/US20220110881","PMD")</f>
        <v>0.0</v>
      </c>
      <c r="L372" s="2" t="n">
        <f>HYPERLINK("https://globaldossier.uspto.gov/result/application/US/17523442/1","US20220110881")</f>
        <v>0.0</v>
      </c>
      <c r="M372" t="s">
        <v>2678</v>
      </c>
      <c r="N372" t="s">
        <v>2325</v>
      </c>
      <c r="O372" t="s">
        <v>2326</v>
      </c>
      <c r="P372" t="s">
        <v>2327</v>
      </c>
      <c r="Q372" s="3" t="n">
        <v>44510.0</v>
      </c>
      <c r="R372" s="3" t="n">
        <v>44665.0</v>
      </c>
      <c r="S372" s="3" t="n">
        <v>44666.23050423611</v>
      </c>
      <c r="T372" s="3" t="n">
        <v>44672.391101180554</v>
      </c>
      <c r="U372" t="s">
        <v>2679</v>
      </c>
      <c r="V372" t="s">
        <v>2328</v>
      </c>
    </row>
    <row r="373">
      <c r="A373" t="s">
        <v>22</v>
      </c>
      <c r="B373" t="s">
        <v>2680</v>
      </c>
      <c r="C373" t="s">
        <v>60</v>
      </c>
      <c r="D373" t="s">
        <v>715</v>
      </c>
      <c r="E373" t="s">
        <v>2681</v>
      </c>
      <c r="F373" s="2" t="n">
        <f>HYPERLINK("https://patents.google.com/patent/US20220110812","Google")</f>
        <v>0.0</v>
      </c>
      <c r="G373" s="2" t="n">
        <f>HYPERLINK("https://patentcenter.uspto.gov/applications/17067216","Patent Center")</f>
        <v>0.0</v>
      </c>
      <c r="H373" s="2" t="n">
        <f>HYPERLINK("https://worldwide.espacenet.com/patent/search?q=US20220110812","Espacenet")</f>
        <v>0.0</v>
      </c>
      <c r="I373" s="2" t="n">
        <f>HYPERLINK("https://ppubs.uspto.gov/pubwebapp/external.html?q=20220110812.pn.","USPTO")</f>
        <v>0.0</v>
      </c>
      <c r="J373" s="2" t="n">
        <f>HYPERLINK("https://image-ppubs.uspto.gov/dirsearch-public/print/downloadPdf/20220110812","USPTO PDF")</f>
        <v>0.0</v>
      </c>
      <c r="K373" s="2" t="n">
        <f>HYPERLINK("https://sectors.patentforecast.com/pmd/US20220110812","PMD")</f>
        <v>0.0</v>
      </c>
      <c r="L373" s="2" t="n">
        <f>HYPERLINK("https://globaldossier.uspto.gov/result/application/US/17067216/1","US20220110812")</f>
        <v>0.0</v>
      </c>
      <c r="M373" t="s">
        <v>2682</v>
      </c>
      <c r="N373" t="s">
        <v>2683</v>
      </c>
      <c r="O373" t="s">
        <v>2684</v>
      </c>
      <c r="P373" t="s">
        <v>2685</v>
      </c>
      <c r="Q373" s="3" t="n">
        <v>44113.0</v>
      </c>
      <c r="R373" s="3" t="n">
        <v>44665.0</v>
      </c>
      <c r="S373" s="3" t="n">
        <v>44666.23050423611</v>
      </c>
      <c r="T373" s="3" t="n">
        <v>44719.559515740744</v>
      </c>
      <c r="U373" t="s">
        <v>2686</v>
      </c>
      <c r="V373" t="s">
        <v>2687</v>
      </c>
    </row>
    <row r="374">
      <c r="A374" t="s">
        <v>22</v>
      </c>
      <c r="B374" t="s">
        <v>2688</v>
      </c>
      <c r="C374" t="s">
        <v>60</v>
      </c>
      <c r="D374" t="s">
        <v>715</v>
      </c>
      <c r="E374" t="s">
        <v>2689</v>
      </c>
      <c r="F374" s="2" t="n">
        <f>HYPERLINK("https://patents.google.com/patent/US20220110807","Google")</f>
        <v>0.0</v>
      </c>
      <c r="G374" s="2" t="n">
        <f>HYPERLINK("https://patentcenter.uspto.gov/applications/17067189","Patent Center")</f>
        <v>0.0</v>
      </c>
      <c r="H374" s="2" t="n">
        <f>HYPERLINK("https://worldwide.espacenet.com/patent/search?q=US20220110807","Espacenet")</f>
        <v>0.0</v>
      </c>
      <c r="I374" s="2" t="n">
        <f>HYPERLINK("https://ppubs.uspto.gov/pubwebapp/external.html?q=20220110807.pn.","USPTO")</f>
        <v>0.0</v>
      </c>
      <c r="J374" s="2" t="n">
        <f>HYPERLINK("https://image-ppubs.uspto.gov/dirsearch-public/print/downloadPdf/20220110807","USPTO PDF")</f>
        <v>0.0</v>
      </c>
      <c r="K374" s="2" t="n">
        <f>HYPERLINK("https://sectors.patentforecast.com/pmd/US20220110807","PMD")</f>
        <v>0.0</v>
      </c>
      <c r="L374" s="2" t="n">
        <f>HYPERLINK("https://globaldossier.uspto.gov/result/application/US/17067189/1","US20220110807")</f>
        <v>0.0</v>
      </c>
      <c r="M374" t="s">
        <v>2690</v>
      </c>
      <c r="N374" t="s">
        <v>2683</v>
      </c>
      <c r="O374" t="s">
        <v>2684</v>
      </c>
      <c r="P374" t="s">
        <v>2685</v>
      </c>
      <c r="Q374" s="3" t="n">
        <v>44113.0</v>
      </c>
      <c r="R374" s="3" t="n">
        <v>44665.0</v>
      </c>
      <c r="S374" s="3" t="n">
        <v>44666.23050423611</v>
      </c>
      <c r="T374" s="3" t="n">
        <v>44719.559565358795</v>
      </c>
      <c r="U374" t="s">
        <v>2691</v>
      </c>
      <c r="V374" t="s">
        <v>2687</v>
      </c>
    </row>
    <row r="375">
      <c r="A375" t="s">
        <v>22</v>
      </c>
      <c r="B375" t="s">
        <v>2692</v>
      </c>
      <c r="C375" t="s">
        <v>60</v>
      </c>
      <c r="D375" t="s">
        <v>715</v>
      </c>
      <c r="E375" t="s">
        <v>2693</v>
      </c>
      <c r="F375" s="2" t="n">
        <f>HYPERLINK("https://patents.google.com/patent/US20220110785","Google")</f>
        <v>0.0</v>
      </c>
      <c r="G375" s="2" t="n">
        <f>HYPERLINK("https://patentcenter.uspto.gov/applications/17499745","Patent Center")</f>
        <v>0.0</v>
      </c>
      <c r="H375" s="2" t="n">
        <f>HYPERLINK("https://worldwide.espacenet.com/patent/search?q=US20220110785","Espacenet")</f>
        <v>0.0</v>
      </c>
      <c r="I375" s="2" t="n">
        <f>HYPERLINK("https://ppubs.uspto.gov/pubwebapp/external.html?q=20220110785.pn.","USPTO")</f>
        <v>0.0</v>
      </c>
      <c r="J375" s="2" t="n">
        <f>HYPERLINK("https://image-ppubs.uspto.gov/dirsearch-public/print/downloadPdf/20220110785","USPTO PDF")</f>
        <v>0.0</v>
      </c>
      <c r="K375" s="2" t="n">
        <f>HYPERLINK("https://sectors.patentforecast.com/pmd/US20220110785","PMD")</f>
        <v>0.0</v>
      </c>
      <c r="L375" s="2" t="n">
        <f>HYPERLINK("https://globaldossier.uspto.gov/result/application/US/17499745/1","US20220110785")</f>
        <v>0.0</v>
      </c>
      <c r="M375" t="s">
        <v>2694</v>
      </c>
      <c r="N375" t="s">
        <v>2695</v>
      </c>
      <c r="O375" t="s">
        <v>2695</v>
      </c>
      <c r="P375" t="s">
        <v>2696</v>
      </c>
      <c r="Q375" s="3" t="n">
        <v>44481.0</v>
      </c>
      <c r="R375" s="3" t="n">
        <v>44665.0</v>
      </c>
      <c r="S375" s="3" t="n">
        <v>44666.23050423611</v>
      </c>
      <c r="T375" s="3" t="n">
        <v>44719.559712685186</v>
      </c>
      <c r="U375" t="s">
        <v>31</v>
      </c>
      <c r="V375" t="s">
        <v>2697</v>
      </c>
    </row>
    <row r="376">
      <c r="A376" t="s">
        <v>22</v>
      </c>
      <c r="B376" t="s">
        <v>2698</v>
      </c>
      <c r="C376" t="s">
        <v>60</v>
      </c>
      <c r="D376" t="s">
        <v>715</v>
      </c>
      <c r="E376" t="s">
        <v>2699</v>
      </c>
      <c r="F376" s="2" t="n">
        <f>HYPERLINK("https://patents.google.com/patent/US20220110711","Google")</f>
        <v>0.0</v>
      </c>
      <c r="G376" s="2" t="n">
        <f>HYPERLINK("https://patentcenter.uspto.gov/applications/17560040","Patent Center")</f>
        <v>0.0</v>
      </c>
      <c r="H376" s="2" t="n">
        <f>HYPERLINK("https://worldwide.espacenet.com/patent/search?q=US20220110711","Espacenet")</f>
        <v>0.0</v>
      </c>
      <c r="I376" s="2" t="n">
        <f>HYPERLINK("https://ppubs.uspto.gov/pubwebapp/external.html?q=20220110711.pn.","USPTO")</f>
        <v>0.0</v>
      </c>
      <c r="J376" s="2" t="n">
        <f>HYPERLINK("https://image-ppubs.uspto.gov/dirsearch-public/print/downloadPdf/20220110711","USPTO PDF")</f>
        <v>0.0</v>
      </c>
      <c r="K376" s="2" t="n">
        <f>HYPERLINK("https://sectors.patentforecast.com/pmd/US20220110711","PMD")</f>
        <v>0.0</v>
      </c>
      <c r="L376" s="2" t="n">
        <f>HYPERLINK("https://globaldossier.uspto.gov/result/application/US/17560040/1","US20220110711")</f>
        <v>0.0</v>
      </c>
      <c r="M376" t="s">
        <v>2700</v>
      </c>
      <c r="N376" t="s">
        <v>2701</v>
      </c>
      <c r="O376" t="s">
        <v>2702</v>
      </c>
      <c r="P376" t="s">
        <v>2703</v>
      </c>
      <c r="Q376" s="3" t="n">
        <v>44552.0</v>
      </c>
      <c r="R376" s="3" t="n">
        <v>44665.0</v>
      </c>
      <c r="S376" s="3" t="n">
        <v>44666.2300372338</v>
      </c>
      <c r="T376" s="3" t="n">
        <v>44719.55975489583</v>
      </c>
      <c r="U376" t="s">
        <v>2704</v>
      </c>
      <c r="V376" t="s">
        <v>2705</v>
      </c>
    </row>
    <row r="377">
      <c r="A377" t="s">
        <v>22</v>
      </c>
      <c r="B377" t="s">
        <v>2706</v>
      </c>
      <c r="C377" t="s">
        <v>24</v>
      </c>
      <c r="D377" t="s">
        <v>51</v>
      </c>
      <c r="E377" t="s">
        <v>2707</v>
      </c>
      <c r="F377" s="2" t="n">
        <f>HYPERLINK("https://patents.google.com/patent/US20220110612","Google")</f>
        <v>0.0</v>
      </c>
      <c r="G377" s="2" t="n">
        <f>HYPERLINK("https://patentcenter.uspto.gov/applications/17156828","Patent Center")</f>
        <v>0.0</v>
      </c>
      <c r="H377" s="2" t="n">
        <f>HYPERLINK("https://worldwide.espacenet.com/patent/search?q=US20220110612","Espacenet")</f>
        <v>0.0</v>
      </c>
      <c r="I377" s="2" t="n">
        <f>HYPERLINK("https://ppubs.uspto.gov/pubwebapp/external.html?q=20220110612.pn.","USPTO")</f>
        <v>0.0</v>
      </c>
      <c r="J377" s="2" t="n">
        <f>HYPERLINK("https://image-ppubs.uspto.gov/dirsearch-public/print/downloadPdf/20220110612","USPTO PDF")</f>
        <v>0.0</v>
      </c>
      <c r="K377" s="2" t="n">
        <f>HYPERLINK("https://sectors.patentforecast.com/pmd/US20220110612","PMD")</f>
        <v>0.0</v>
      </c>
      <c r="L377" s="2" t="n">
        <f>HYPERLINK("https://globaldossier.uspto.gov/result/application/US/17156828/1","US20220110612")</f>
        <v>0.0</v>
      </c>
      <c r="M377" t="s">
        <v>2708</v>
      </c>
      <c r="N377" t="s">
        <v>2709</v>
      </c>
      <c r="O377" t="s">
        <v>2710</v>
      </c>
      <c r="P377" t="s">
        <v>2711</v>
      </c>
      <c r="Q377" s="3" t="n">
        <v>44221.0</v>
      </c>
      <c r="R377" s="3" t="n">
        <v>44665.0</v>
      </c>
      <c r="S377" s="3" t="n">
        <v>44666.229458773145</v>
      </c>
      <c r="T377" s="3" t="n">
        <v>44719.559968842594</v>
      </c>
      <c r="U377" t="s">
        <v>2712</v>
      </c>
      <c r="V377" t="s">
        <v>2713</v>
      </c>
    </row>
    <row r="378">
      <c r="A378" t="s">
        <v>22</v>
      </c>
      <c r="B378" t="s">
        <v>2714</v>
      </c>
      <c r="C378" t="s">
        <v>60</v>
      </c>
      <c r="D378" t="s">
        <v>845</v>
      </c>
      <c r="E378" t="s">
        <v>2715</v>
      </c>
      <c r="F378" s="2" t="n">
        <f>HYPERLINK("https://patents.google.com/patent/US20220110589","Google")</f>
        <v>0.0</v>
      </c>
      <c r="G378" s="2" t="n">
        <f>HYPERLINK("https://patentcenter.uspto.gov/applications/17065545","Patent Center")</f>
        <v>0.0</v>
      </c>
      <c r="H378" s="2" t="n">
        <f>HYPERLINK("https://worldwide.espacenet.com/patent/search?q=US20220110589","Espacenet")</f>
        <v>0.0</v>
      </c>
      <c r="I378" s="2" t="n">
        <f>HYPERLINK("https://ppubs.uspto.gov/pubwebapp/external.html?q=20220110589.pn.","USPTO")</f>
        <v>0.0</v>
      </c>
      <c r="J378" s="2" t="n">
        <f>HYPERLINK("https://image-ppubs.uspto.gov/dirsearch-public/print/downloadPdf/20220110589","USPTO PDF")</f>
        <v>0.0</v>
      </c>
      <c r="K378" s="2" t="n">
        <f>HYPERLINK("https://sectors.patentforecast.com/pmd/US20220110589","PMD")</f>
        <v>0.0</v>
      </c>
      <c r="L378" s="2" t="n">
        <f>HYPERLINK("https://globaldossier.uspto.gov/result/application/US/17065545/1","US20220110589")</f>
        <v>0.0</v>
      </c>
      <c r="M378" t="s">
        <v>2716</v>
      </c>
      <c r="N378" t="s">
        <v>2717</v>
      </c>
      <c r="O378" t="s">
        <v>2718</v>
      </c>
      <c r="P378" t="s">
        <v>2719</v>
      </c>
      <c r="Q378" s="3" t="n">
        <v>44112.0</v>
      </c>
      <c r="R378" s="3" t="n">
        <v>44665.0</v>
      </c>
      <c r="S378" s="3" t="n">
        <v>44666.2300372338</v>
      </c>
      <c r="T378" s="3" t="n">
        <v>44672.435299143515</v>
      </c>
      <c r="U378" t="s">
        <v>2720</v>
      </c>
      <c r="V378" t="s">
        <v>2721</v>
      </c>
    </row>
    <row r="379">
      <c r="A379" t="s">
        <v>22</v>
      </c>
      <c r="B379" t="s">
        <v>2722</v>
      </c>
      <c r="C379" t="s">
        <v>24</v>
      </c>
      <c r="D379" t="s">
        <v>1450</v>
      </c>
      <c r="E379" t="s">
        <v>2723</v>
      </c>
      <c r="F379" s="2" t="n">
        <f>HYPERLINK("https://patents.google.com/patent/US20220110547","Google")</f>
        <v>0.0</v>
      </c>
      <c r="G379" s="2" t="n">
        <f>HYPERLINK("https://patentcenter.uspto.gov/applications/17500023","Patent Center")</f>
        <v>0.0</v>
      </c>
      <c r="H379" s="2" t="n">
        <f>HYPERLINK("https://worldwide.espacenet.com/patent/search?q=US20220110547","Espacenet")</f>
        <v>0.0</v>
      </c>
      <c r="I379" s="2" t="n">
        <f>HYPERLINK("https://ppubs.uspto.gov/pubwebapp/external.html?q=20220110547.pn.","USPTO")</f>
        <v>0.0</v>
      </c>
      <c r="J379" s="2" t="n">
        <f>HYPERLINK("https://image-ppubs.uspto.gov/dirsearch-public/print/downloadPdf/20220110547","USPTO PDF")</f>
        <v>0.0</v>
      </c>
      <c r="K379" s="2" t="n">
        <f>HYPERLINK("https://sectors.patentforecast.com/pmd/US20220110547","PMD")</f>
        <v>0.0</v>
      </c>
      <c r="L379" s="2" t="n">
        <f>HYPERLINK("https://globaldossier.uspto.gov/result/application/US/17500023/1","US20220110547")</f>
        <v>0.0</v>
      </c>
      <c r="M379" t="s">
        <v>2724</v>
      </c>
      <c r="N379" t="s">
        <v>2725</v>
      </c>
      <c r="O379" t="s">
        <v>2726</v>
      </c>
      <c r="P379" t="s">
        <v>2727</v>
      </c>
      <c r="Q379" s="3" t="n">
        <v>44482.0</v>
      </c>
      <c r="R379" s="3" t="n">
        <v>44665.0</v>
      </c>
      <c r="S379" s="3" t="n">
        <v>44666.2300372338</v>
      </c>
      <c r="T379" s="3" t="n">
        <v>44719.56096163194</v>
      </c>
      <c r="U379" t="s">
        <v>31</v>
      </c>
      <c r="V379" t="s">
        <v>2728</v>
      </c>
    </row>
    <row r="380">
      <c r="A380" t="s">
        <v>22</v>
      </c>
      <c r="B380" t="s">
        <v>2729</v>
      </c>
      <c r="C380" t="s">
        <v>24</v>
      </c>
      <c r="D380" t="s">
        <v>69</v>
      </c>
      <c r="E380" t="s">
        <v>2730</v>
      </c>
      <c r="F380" s="2" t="n">
        <f>HYPERLINK("https://patents.google.com/patent/US20220110397","Google")</f>
        <v>0.0</v>
      </c>
      <c r="G380" s="2" t="n">
        <f>HYPERLINK("https://patentcenter.uspto.gov/applications/17500225","Patent Center")</f>
        <v>0.0</v>
      </c>
      <c r="H380" s="2" t="n">
        <f>HYPERLINK("https://worldwide.espacenet.com/patent/search?q=US20220110397","Espacenet")</f>
        <v>0.0</v>
      </c>
      <c r="I380" s="2" t="n">
        <f>HYPERLINK("https://ppubs.uspto.gov/pubwebapp/external.html?q=20220110397.pn.","USPTO")</f>
        <v>0.0</v>
      </c>
      <c r="J380" s="2" t="n">
        <f>HYPERLINK("https://image-ppubs.uspto.gov/dirsearch-public/print/downloadPdf/20220110397","USPTO PDF")</f>
        <v>0.0</v>
      </c>
      <c r="K380" s="2" t="n">
        <f>HYPERLINK("https://sectors.patentforecast.com/pmd/US20220110397","PMD")</f>
        <v>0.0</v>
      </c>
      <c r="L380" s="2" t="n">
        <f>HYPERLINK("https://globaldossier.uspto.gov/result/application/US/17500225/1","US20220110397")</f>
        <v>0.0</v>
      </c>
      <c r="M380" t="s">
        <v>2731</v>
      </c>
      <c r="N380" t="s">
        <v>2732</v>
      </c>
      <c r="O380" t="s">
        <v>2733</v>
      </c>
      <c r="P380" t="s">
        <v>2734</v>
      </c>
      <c r="Q380" s="3" t="n">
        <v>44482.0</v>
      </c>
      <c r="R380" s="3" t="n">
        <v>44665.0</v>
      </c>
      <c r="S380" s="3" t="n">
        <v>44666.2300372338</v>
      </c>
      <c r="T380" s="3" t="n">
        <v>44672.461606516204</v>
      </c>
      <c r="U380" t="s">
        <v>2735</v>
      </c>
      <c r="V380" t="s">
        <v>2736</v>
      </c>
    </row>
    <row r="381">
      <c r="A381" t="s">
        <v>22</v>
      </c>
      <c r="B381" t="s">
        <v>2737</v>
      </c>
      <c r="C381" t="s">
        <v>24</v>
      </c>
      <c r="D381" t="s">
        <v>69</v>
      </c>
      <c r="E381" t="s">
        <v>2738</v>
      </c>
      <c r="F381" s="2" t="n">
        <f>HYPERLINK("https://patents.google.com/patent/US20220110385","Google")</f>
        <v>0.0</v>
      </c>
      <c r="G381" s="2" t="n">
        <f>HYPERLINK("https://patentcenter.uspto.gov/applications/17066426","Patent Center")</f>
        <v>0.0</v>
      </c>
      <c r="H381" s="2" t="n">
        <f>HYPERLINK("https://worldwide.espacenet.com/patent/search?q=US20220110385","Espacenet")</f>
        <v>0.0</v>
      </c>
      <c r="I381" s="2" t="n">
        <f>HYPERLINK("https://ppubs.uspto.gov/pubwebapp/external.html?q=20220110385.pn.","USPTO")</f>
        <v>0.0</v>
      </c>
      <c r="J381" s="2" t="n">
        <f>HYPERLINK("https://image-ppubs.uspto.gov/dirsearch-public/print/downloadPdf/20220110385","USPTO PDF")</f>
        <v>0.0</v>
      </c>
      <c r="K381" s="2" t="n">
        <f>HYPERLINK("https://sectors.patentforecast.com/pmd/US20220110385","PMD")</f>
        <v>0.0</v>
      </c>
      <c r="L381" s="2" t="n">
        <f>HYPERLINK("https://globaldossier.uspto.gov/result/application/US/17066426/1","US20220110385")</f>
        <v>0.0</v>
      </c>
      <c r="M381" t="s">
        <v>2739</v>
      </c>
      <c r="N381" t="s">
        <v>2740</v>
      </c>
      <c r="O381" t="s">
        <v>2741</v>
      </c>
      <c r="P381" t="s">
        <v>2742</v>
      </c>
      <c r="Q381" s="3" t="n">
        <v>44112.0</v>
      </c>
      <c r="R381" s="3" t="n">
        <v>44665.0</v>
      </c>
      <c r="S381" s="3" t="n">
        <v>44666.2300372338</v>
      </c>
      <c r="T381" s="3" t="n">
        <v>44678.642298425926</v>
      </c>
      <c r="U381" t="s">
        <v>2743</v>
      </c>
      <c r="V381" t="s">
        <v>2744</v>
      </c>
    </row>
    <row r="382">
      <c r="A382" t="s">
        <v>22</v>
      </c>
      <c r="B382" t="s">
        <v>2745</v>
      </c>
      <c r="C382" t="s">
        <v>24</v>
      </c>
      <c r="D382" t="s">
        <v>69</v>
      </c>
      <c r="E382" t="s">
        <v>2746</v>
      </c>
      <c r="F382" s="2" t="n">
        <f>HYPERLINK("https://patents.google.com/patent/US20220110384","Google")</f>
        <v>0.0</v>
      </c>
      <c r="G382" s="2" t="n">
        <f>HYPERLINK("https://patentcenter.uspto.gov/applications/17163830","Patent Center")</f>
        <v>0.0</v>
      </c>
      <c r="H382" s="2" t="n">
        <f>HYPERLINK("https://worldwide.espacenet.com/patent/search?q=US20220110384","Espacenet")</f>
        <v>0.0</v>
      </c>
      <c r="I382" s="2" t="n">
        <f>HYPERLINK("https://ppubs.uspto.gov/pubwebapp/external.html?q=20220110384.pn.","USPTO")</f>
        <v>0.0</v>
      </c>
      <c r="J382" s="2" t="n">
        <f>HYPERLINK("https://image-ppubs.uspto.gov/dirsearch-public/print/downloadPdf/20220110384","USPTO PDF")</f>
        <v>0.0</v>
      </c>
      <c r="K382" s="2" t="n">
        <f>HYPERLINK("https://sectors.patentforecast.com/pmd/US20220110384","PMD")</f>
        <v>0.0</v>
      </c>
      <c r="L382" s="2" t="n">
        <f>HYPERLINK("https://globaldossier.uspto.gov/result/application/US/17163830/1","US20220110384")</f>
        <v>0.0</v>
      </c>
      <c r="M382" t="s">
        <v>2747</v>
      </c>
      <c r="N382" t="s">
        <v>2748</v>
      </c>
      <c r="O382" t="s">
        <v>2748</v>
      </c>
      <c r="P382" t="s">
        <v>2749</v>
      </c>
      <c r="Q382" s="3" t="n">
        <v>44228.0</v>
      </c>
      <c r="R382" s="3" t="n">
        <v>44665.0</v>
      </c>
      <c r="S382" s="3" t="n">
        <v>44666.2300372338</v>
      </c>
      <c r="T382" s="3" t="n">
        <v>44719.56102288194</v>
      </c>
      <c r="U382" t="s">
        <v>2750</v>
      </c>
      <c r="V382" t="s">
        <v>2751</v>
      </c>
    </row>
    <row r="383">
      <c r="A383" t="s">
        <v>22</v>
      </c>
      <c r="B383" t="s">
        <v>2752</v>
      </c>
      <c r="C383" t="s">
        <v>24</v>
      </c>
      <c r="D383" t="s">
        <v>69</v>
      </c>
      <c r="E383" t="s">
        <v>2753</v>
      </c>
      <c r="F383" s="2" t="n">
        <f>HYPERLINK("https://patents.google.com/patent/US20220110382","Google")</f>
        <v>0.0</v>
      </c>
      <c r="G383" s="2" t="n">
        <f>HYPERLINK("https://patentcenter.uspto.gov/applications/17067673","Patent Center")</f>
        <v>0.0</v>
      </c>
      <c r="H383" s="2" t="n">
        <f>HYPERLINK("https://worldwide.espacenet.com/patent/search?q=US20220110382","Espacenet")</f>
        <v>0.0</v>
      </c>
      <c r="I383" s="2" t="n">
        <f>HYPERLINK("https://ppubs.uspto.gov/pubwebapp/external.html?q=20220110382.pn.","USPTO")</f>
        <v>0.0</v>
      </c>
      <c r="J383" s="2" t="n">
        <f>HYPERLINK("https://image-ppubs.uspto.gov/dirsearch-public/print/downloadPdf/20220110382","USPTO PDF")</f>
        <v>0.0</v>
      </c>
      <c r="K383" s="2" t="n">
        <f>HYPERLINK("https://sectors.patentforecast.com/pmd/US20220110382","PMD")</f>
        <v>0.0</v>
      </c>
      <c r="L383" s="2" t="n">
        <f>HYPERLINK("https://globaldossier.uspto.gov/result/application/US/17067673/1","US20220110382")</f>
        <v>0.0</v>
      </c>
      <c r="M383" t="s">
        <v>2754</v>
      </c>
      <c r="N383" t="s">
        <v>2755</v>
      </c>
      <c r="O383" t="s">
        <v>2755</v>
      </c>
      <c r="P383" t="s">
        <v>2756</v>
      </c>
      <c r="Q383" s="3" t="n">
        <v>44114.0</v>
      </c>
      <c r="R383" s="3" t="n">
        <v>44665.0</v>
      </c>
      <c r="S383" s="3" t="n">
        <v>44666.2300372338</v>
      </c>
      <c r="T383" s="3" t="n">
        <v>44672.45511261574</v>
      </c>
      <c r="U383" t="s">
        <v>31</v>
      </c>
      <c r="V383" t="s">
        <v>2757</v>
      </c>
    </row>
    <row r="384">
      <c r="A384" t="s">
        <v>22</v>
      </c>
      <c r="B384" t="s">
        <v>2758</v>
      </c>
      <c r="C384" t="s">
        <v>24</v>
      </c>
      <c r="D384" t="s">
        <v>69</v>
      </c>
      <c r="E384" t="s">
        <v>2759</v>
      </c>
      <c r="F384" s="2" t="n">
        <f>HYPERLINK("https://patents.google.com/patent/US20220110378","Google")</f>
        <v>0.0</v>
      </c>
      <c r="G384" s="2" t="n">
        <f>HYPERLINK("https://patentcenter.uspto.gov/applications/17359632","Patent Center")</f>
        <v>0.0</v>
      </c>
      <c r="H384" s="2" t="n">
        <f>HYPERLINK("https://worldwide.espacenet.com/patent/search?q=US20220110378","Espacenet")</f>
        <v>0.0</v>
      </c>
      <c r="I384" s="2" t="n">
        <f>HYPERLINK("https://ppubs.uspto.gov/pubwebapp/external.html?q=20220110378.pn.","USPTO")</f>
        <v>0.0</v>
      </c>
      <c r="J384" s="2" t="n">
        <f>HYPERLINK("https://image-ppubs.uspto.gov/dirsearch-public/print/downloadPdf/20220110378","USPTO PDF")</f>
        <v>0.0</v>
      </c>
      <c r="K384" s="2" t="n">
        <f>HYPERLINK("https://sectors.patentforecast.com/pmd/US20220110378","PMD")</f>
        <v>0.0</v>
      </c>
      <c r="L384" s="2" t="n">
        <f>HYPERLINK("https://globaldossier.uspto.gov/result/application/US/17359632/1","US20220110378")</f>
        <v>0.0</v>
      </c>
      <c r="M384" t="s">
        <v>2760</v>
      </c>
      <c r="N384" t="s">
        <v>2761</v>
      </c>
      <c r="O384" t="s">
        <v>2761</v>
      </c>
      <c r="P384" t="s">
        <v>2762</v>
      </c>
      <c r="Q384" s="3" t="n">
        <v>44374.0</v>
      </c>
      <c r="R384" s="3" t="n">
        <v>44665.0</v>
      </c>
      <c r="S384" s="3" t="n">
        <v>44666.2300372338</v>
      </c>
      <c r="T384" s="3" t="n">
        <v>44678.64215083334</v>
      </c>
      <c r="U384" t="s">
        <v>31</v>
      </c>
      <c r="V384" t="s">
        <v>2763</v>
      </c>
    </row>
    <row r="385">
      <c r="A385" t="s">
        <v>22</v>
      </c>
      <c r="B385" t="s">
        <v>2764</v>
      </c>
      <c r="C385" t="s">
        <v>24</v>
      </c>
      <c r="D385" t="s">
        <v>69</v>
      </c>
      <c r="E385" t="s">
        <v>2765</v>
      </c>
      <c r="F385" s="2" t="n">
        <f>HYPERLINK("https://patents.google.com/patent/US20220110328","Google")</f>
        <v>0.0</v>
      </c>
      <c r="G385" s="2" t="n">
        <f>HYPERLINK("https://patentcenter.uspto.gov/applications/17211068","Patent Center")</f>
        <v>0.0</v>
      </c>
      <c r="H385" s="2" t="n">
        <f>HYPERLINK("https://worldwide.espacenet.com/patent/search?q=US20220110328","Espacenet")</f>
        <v>0.0</v>
      </c>
      <c r="I385" s="2" t="n">
        <f>HYPERLINK("https://ppubs.uspto.gov/pubwebapp/external.html?q=20220110328.pn.","USPTO")</f>
        <v>0.0</v>
      </c>
      <c r="J385" s="2" t="n">
        <f>HYPERLINK("https://image-ppubs.uspto.gov/dirsearch-public/print/downloadPdf/20220110328","USPTO PDF")</f>
        <v>0.0</v>
      </c>
      <c r="K385" s="2" t="n">
        <f>HYPERLINK("https://sectors.patentforecast.com/pmd/US20220110328","PMD")</f>
        <v>0.0</v>
      </c>
      <c r="L385" s="2" t="n">
        <f>HYPERLINK("https://globaldossier.uspto.gov/result/application/US/17211068/1","US20220110328")</f>
        <v>0.0</v>
      </c>
      <c r="M385" t="s">
        <v>2766</v>
      </c>
      <c r="N385" t="s">
        <v>2767</v>
      </c>
      <c r="O385" t="s">
        <v>2768</v>
      </c>
      <c r="P385" t="s">
        <v>2769</v>
      </c>
      <c r="Q385" s="3" t="n">
        <v>44279.0</v>
      </c>
      <c r="R385" s="3" t="n">
        <v>44665.0</v>
      </c>
      <c r="S385" s="3" t="n">
        <v>44666.229458773145</v>
      </c>
      <c r="T385" s="3" t="n">
        <v>44672.347809907405</v>
      </c>
      <c r="U385" t="s">
        <v>2770</v>
      </c>
      <c r="V385" t="s">
        <v>2771</v>
      </c>
    </row>
    <row r="386">
      <c r="A386" t="s">
        <v>22</v>
      </c>
      <c r="B386" t="s">
        <v>2772</v>
      </c>
      <c r="C386" t="s">
        <v>24</v>
      </c>
      <c r="D386" t="s">
        <v>1027</v>
      </c>
      <c r="E386" t="s">
        <v>2773</v>
      </c>
      <c r="F386" s="2" t="n">
        <f>HYPERLINK("https://patents.google.com/patent/US20220109949","Google")</f>
        <v>0.0</v>
      </c>
      <c r="G386" s="2" t="n">
        <f>HYPERLINK("https://patentcenter.uspto.gov/applications/17495340","Patent Center")</f>
        <v>0.0</v>
      </c>
      <c r="H386" s="2" t="n">
        <f>HYPERLINK("https://worldwide.espacenet.com/patent/search?q=US20220109949","Espacenet")</f>
        <v>0.0</v>
      </c>
      <c r="I386" s="2" t="n">
        <f>HYPERLINK("https://ppubs.uspto.gov/pubwebapp/external.html?q=20220109949.pn.","USPTO")</f>
        <v>0.0</v>
      </c>
      <c r="J386" s="2" t="n">
        <f>HYPERLINK("https://image-ppubs.uspto.gov/dirsearch-public/print/downloadPdf/20220109949","USPTO PDF")</f>
        <v>0.0</v>
      </c>
      <c r="K386" s="2" t="n">
        <f>HYPERLINK("https://sectors.patentforecast.com/pmd/US20220109949","PMD")</f>
        <v>0.0</v>
      </c>
      <c r="L386" s="2" t="n">
        <f>HYPERLINK("https://globaldossier.uspto.gov/result/application/US/17495340/1","US20220109949")</f>
        <v>0.0</v>
      </c>
      <c r="M386" t="s">
        <v>2774</v>
      </c>
      <c r="N386" t="s">
        <v>2775</v>
      </c>
      <c r="O386" t="s">
        <v>2776</v>
      </c>
      <c r="P386" t="s">
        <v>2777</v>
      </c>
      <c r="Q386" s="3" t="n">
        <v>44475.0</v>
      </c>
      <c r="R386" s="3" t="n">
        <v>44658.0</v>
      </c>
      <c r="S386" s="3" t="n">
        <v>44659.23052920139</v>
      </c>
      <c r="T386" s="3" t="n">
        <v>44719.56131211806</v>
      </c>
      <c r="U386" t="s">
        <v>31</v>
      </c>
      <c r="V386" t="s">
        <v>2778</v>
      </c>
    </row>
    <row r="387">
      <c r="A387" t="s">
        <v>22</v>
      </c>
      <c r="B387" t="s">
        <v>2779</v>
      </c>
      <c r="C387" t="s">
        <v>24</v>
      </c>
      <c r="D387" t="s">
        <v>25</v>
      </c>
      <c r="E387" t="s">
        <v>2780</v>
      </c>
      <c r="F387" s="2" t="n">
        <f>HYPERLINK("https://patents.google.com/patent/US20220108803","Google")</f>
        <v>0.0</v>
      </c>
      <c r="G387" s="2" t="n">
        <f>HYPERLINK("https://patentcenter.uspto.gov/applications/17551376","Patent Center")</f>
        <v>0.0</v>
      </c>
      <c r="H387" s="2" t="n">
        <f>HYPERLINK("https://worldwide.espacenet.com/patent/search?q=US20220108803","Espacenet")</f>
        <v>0.0</v>
      </c>
      <c r="I387" s="2" t="n">
        <f>HYPERLINK("https://ppubs.uspto.gov/pubwebapp/external.html?q=20220108803.pn.","USPTO")</f>
        <v>0.0</v>
      </c>
      <c r="J387" s="2" t="n">
        <f>HYPERLINK("https://image-ppubs.uspto.gov/dirsearch-public/print/downloadPdf/20220108803","USPTO PDF")</f>
        <v>0.0</v>
      </c>
      <c r="K387" s="2" t="n">
        <f>HYPERLINK("https://sectors.patentforecast.com/pmd/US20220108803","PMD")</f>
        <v>0.0</v>
      </c>
      <c r="L387" s="2" t="n">
        <f>HYPERLINK("https://globaldossier.uspto.gov/result/application/US/17551376/1","US20220108803")</f>
        <v>0.0</v>
      </c>
      <c r="M387" t="s">
        <v>2781</v>
      </c>
      <c r="N387" t="s">
        <v>2782</v>
      </c>
      <c r="O387" t="s">
        <v>2783</v>
      </c>
      <c r="P387" t="s">
        <v>2784</v>
      </c>
      <c r="Q387" s="3" t="n">
        <v>44545.0</v>
      </c>
      <c r="R387" s="3" t="n">
        <v>44658.0</v>
      </c>
      <c r="S387" s="3" t="n">
        <v>44659.23052920139</v>
      </c>
      <c r="T387" s="3" t="n">
        <v>44672.49432201389</v>
      </c>
      <c r="U387" t="s">
        <v>2785</v>
      </c>
      <c r="V387" t="s">
        <v>2786</v>
      </c>
    </row>
    <row r="388">
      <c r="A388" t="s">
        <v>22</v>
      </c>
      <c r="B388" t="s">
        <v>2787</v>
      </c>
      <c r="C388" t="s">
        <v>24</v>
      </c>
      <c r="D388" t="s">
        <v>25</v>
      </c>
      <c r="E388" t="s">
        <v>2788</v>
      </c>
      <c r="F388" s="2" t="n">
        <f>HYPERLINK("https://patents.google.com/patent/US20220108799","Google")</f>
        <v>0.0</v>
      </c>
      <c r="G388" s="2" t="n">
        <f>HYPERLINK("https://patentcenter.uspto.gov/applications/17062779","Patent Center")</f>
        <v>0.0</v>
      </c>
      <c r="H388" s="2" t="n">
        <f>HYPERLINK("https://worldwide.espacenet.com/patent/search?q=US20220108799","Espacenet")</f>
        <v>0.0</v>
      </c>
      <c r="I388" s="2" t="n">
        <f>HYPERLINK("https://ppubs.uspto.gov/pubwebapp/external.html?q=20220108799.pn.","USPTO")</f>
        <v>0.0</v>
      </c>
      <c r="J388" s="2" t="n">
        <f>HYPERLINK("https://image-ppubs.uspto.gov/dirsearch-public/print/downloadPdf/20220108799","USPTO PDF")</f>
        <v>0.0</v>
      </c>
      <c r="K388" s="2" t="n">
        <f>HYPERLINK("https://sectors.patentforecast.com/pmd/US20220108799","PMD")</f>
        <v>0.0</v>
      </c>
      <c r="L388" s="2" t="n">
        <f>HYPERLINK("https://globaldossier.uspto.gov/result/application/US/17062779/1","US20220108799")</f>
        <v>0.0</v>
      </c>
      <c r="M388" t="s">
        <v>2789</v>
      </c>
      <c r="N388" t="s">
        <v>880</v>
      </c>
      <c r="O388" t="s">
        <v>881</v>
      </c>
      <c r="P388" t="s">
        <v>2790</v>
      </c>
      <c r="Q388" s="3" t="n">
        <v>44109.0</v>
      </c>
      <c r="R388" s="3" t="n">
        <v>44658.0</v>
      </c>
      <c r="S388" s="3" t="n">
        <v>44659.23052920139</v>
      </c>
      <c r="T388" s="3" t="n">
        <v>44719.56204380787</v>
      </c>
      <c r="U388" t="s">
        <v>2791</v>
      </c>
      <c r="V388" t="s">
        <v>2792</v>
      </c>
    </row>
    <row r="389">
      <c r="A389" t="s">
        <v>22</v>
      </c>
      <c r="B389" t="s">
        <v>2793</v>
      </c>
      <c r="C389" t="s">
        <v>24</v>
      </c>
      <c r="D389" t="s">
        <v>69</v>
      </c>
      <c r="E389" t="s">
        <v>2794</v>
      </c>
      <c r="F389" s="2" t="n">
        <f>HYPERLINK("https://patents.google.com/patent/US20220108798","Google")</f>
        <v>0.0</v>
      </c>
      <c r="G389" s="2" t="n">
        <f>HYPERLINK("https://patentcenter.uspto.gov/applications/17341167","Patent Center")</f>
        <v>0.0</v>
      </c>
      <c r="H389" s="2" t="n">
        <f>HYPERLINK("https://worldwide.espacenet.com/patent/search?q=US20220108798","Espacenet")</f>
        <v>0.0</v>
      </c>
      <c r="I389" s="2" t="n">
        <f>HYPERLINK("https://ppubs.uspto.gov/pubwebapp/external.html?q=20220108798.pn.","USPTO")</f>
        <v>0.0</v>
      </c>
      <c r="J389" s="2" t="n">
        <f>HYPERLINK("https://image-ppubs.uspto.gov/dirsearch-public/print/downloadPdf/20220108798","USPTO PDF")</f>
        <v>0.0</v>
      </c>
      <c r="K389" s="2" t="n">
        <f>HYPERLINK("https://sectors.patentforecast.com/pmd/US20220108798","PMD")</f>
        <v>0.0</v>
      </c>
      <c r="L389" s="2" t="n">
        <f>HYPERLINK("https://globaldossier.uspto.gov/result/application/US/17341167/1","US20220108798")</f>
        <v>0.0</v>
      </c>
      <c r="M389" t="s">
        <v>2795</v>
      </c>
      <c r="N389" t="s">
        <v>2796</v>
      </c>
      <c r="O389" t="s">
        <v>2797</v>
      </c>
      <c r="P389" t="s">
        <v>2798</v>
      </c>
      <c r="Q389" s="3" t="n">
        <v>44354.0</v>
      </c>
      <c r="R389" s="3" t="n">
        <v>44658.0</v>
      </c>
      <c r="S389" s="3" t="n">
        <v>44659.23052920139</v>
      </c>
      <c r="T389" s="3" t="n">
        <v>44719.562540833336</v>
      </c>
      <c r="U389" t="s">
        <v>31</v>
      </c>
      <c r="V389" t="s">
        <v>2799</v>
      </c>
    </row>
    <row r="390">
      <c r="A390" t="s">
        <v>22</v>
      </c>
      <c r="B390" t="s">
        <v>2800</v>
      </c>
      <c r="C390" t="s">
        <v>24</v>
      </c>
      <c r="D390" t="s">
        <v>25</v>
      </c>
      <c r="E390" t="s">
        <v>2801</v>
      </c>
      <c r="F390" s="2" t="n">
        <f>HYPERLINK("https://patents.google.com/patent/US20220108773","Google")</f>
        <v>0.0</v>
      </c>
      <c r="G390" s="2" t="n">
        <f>HYPERLINK("https://patentcenter.uspto.gov/applications/17065233","Patent Center")</f>
        <v>0.0</v>
      </c>
      <c r="H390" s="2" t="n">
        <f>HYPERLINK("https://worldwide.espacenet.com/patent/search?q=US20220108773","Espacenet")</f>
        <v>0.0</v>
      </c>
      <c r="I390" s="2" t="n">
        <f>HYPERLINK("https://ppubs.uspto.gov/pubwebapp/external.html?q=20220108773.pn.","USPTO")</f>
        <v>0.0</v>
      </c>
      <c r="J390" s="2" t="n">
        <f>HYPERLINK("https://image-ppubs.uspto.gov/dirsearch-public/print/downloadPdf/20220108773","USPTO PDF")</f>
        <v>0.0</v>
      </c>
      <c r="K390" s="2" t="n">
        <f>HYPERLINK("https://sectors.patentforecast.com/pmd/US20220108773","PMD")</f>
        <v>0.0</v>
      </c>
      <c r="L390" s="2" t="n">
        <f>HYPERLINK("https://globaldossier.uspto.gov/result/application/US/17065233/1","US20220108773")</f>
        <v>0.0</v>
      </c>
      <c r="M390" t="s">
        <v>2802</v>
      </c>
      <c r="N390" t="s">
        <v>2803</v>
      </c>
      <c r="O390" t="s">
        <v>2804</v>
      </c>
      <c r="P390" t="s">
        <v>2805</v>
      </c>
      <c r="Q390" s="3" t="n">
        <v>44111.0</v>
      </c>
      <c r="R390" s="3" t="n">
        <v>44658.0</v>
      </c>
      <c r="S390" s="3" t="n">
        <v>44659.23052920139</v>
      </c>
      <c r="T390" s="3" t="n">
        <v>44678.58644076389</v>
      </c>
      <c r="U390" t="s">
        <v>31</v>
      </c>
      <c r="V390" t="s">
        <v>2806</v>
      </c>
    </row>
    <row r="391">
      <c r="A391" t="s">
        <v>22</v>
      </c>
      <c r="B391" t="s">
        <v>2807</v>
      </c>
      <c r="C391" t="s">
        <v>24</v>
      </c>
      <c r="D391" t="s">
        <v>187</v>
      </c>
      <c r="E391" t="s">
        <v>2808</v>
      </c>
      <c r="F391" s="2" t="n">
        <f>HYPERLINK("https://patents.google.com/patent/US20220108772","Google")</f>
        <v>0.0</v>
      </c>
      <c r="G391" s="2" t="n">
        <f>HYPERLINK("https://patentcenter.uspto.gov/applications/17490018","Patent Center")</f>
        <v>0.0</v>
      </c>
      <c r="H391" s="2" t="n">
        <f>HYPERLINK("https://worldwide.espacenet.com/patent/search?q=US20220108772","Espacenet")</f>
        <v>0.0</v>
      </c>
      <c r="I391" s="2" t="n">
        <f>HYPERLINK("https://ppubs.uspto.gov/pubwebapp/external.html?q=20220108772.pn.","USPTO")</f>
        <v>0.0</v>
      </c>
      <c r="J391" s="2" t="n">
        <f>HYPERLINK("https://image-ppubs.uspto.gov/dirsearch-public/print/downloadPdf/20220108772","USPTO PDF")</f>
        <v>0.0</v>
      </c>
      <c r="K391" s="2" t="n">
        <f>HYPERLINK("https://sectors.patentforecast.com/pmd/US20220108772","PMD")</f>
        <v>0.0</v>
      </c>
      <c r="L391" s="2" t="n">
        <f>HYPERLINK("https://globaldossier.uspto.gov/result/application/US/17490018/1","US20220108772")</f>
        <v>0.0</v>
      </c>
      <c r="M391" t="s">
        <v>2809</v>
      </c>
      <c r="N391" t="s">
        <v>2810</v>
      </c>
      <c r="O391" t="s">
        <v>2811</v>
      </c>
      <c r="P391" t="s">
        <v>2812</v>
      </c>
      <c r="Q391" s="3" t="n">
        <v>44469.0</v>
      </c>
      <c r="R391" s="3" t="n">
        <v>44658.0</v>
      </c>
      <c r="S391" s="3" t="n">
        <v>44659.23052920139</v>
      </c>
      <c r="T391" s="3" t="n">
        <v>44672.458792627316</v>
      </c>
      <c r="U391" t="s">
        <v>2813</v>
      </c>
      <c r="V391" t="s">
        <v>2814</v>
      </c>
    </row>
    <row r="392">
      <c r="A392" t="s">
        <v>22</v>
      </c>
      <c r="B392" t="s">
        <v>2815</v>
      </c>
      <c r="C392" t="s">
        <v>24</v>
      </c>
      <c r="D392" t="s">
        <v>187</v>
      </c>
      <c r="E392" t="s">
        <v>2816</v>
      </c>
      <c r="F392" s="2" t="n">
        <f>HYPERLINK("https://patents.google.com/patent/US20220108443","Google")</f>
        <v>0.0</v>
      </c>
      <c r="G392" s="2" t="n">
        <f>HYPERLINK("https://patentcenter.uspto.gov/applications/17452999","Patent Center")</f>
        <v>0.0</v>
      </c>
      <c r="H392" s="2" t="n">
        <f>HYPERLINK("https://worldwide.espacenet.com/patent/search?q=US20220108443","Espacenet")</f>
        <v>0.0</v>
      </c>
      <c r="I392" s="2" t="n">
        <f>HYPERLINK("https://ppubs.uspto.gov/pubwebapp/external.html?q=20220108443.pn.","USPTO")</f>
        <v>0.0</v>
      </c>
      <c r="J392" s="2" t="n">
        <f>HYPERLINK("https://image-ppubs.uspto.gov/dirsearch-public/print/downloadPdf/20220108443","USPTO PDF")</f>
        <v>0.0</v>
      </c>
      <c r="K392" s="2" t="n">
        <f>HYPERLINK("https://sectors.patentforecast.com/pmd/US20220108443","PMD")</f>
        <v>0.0</v>
      </c>
      <c r="L392" s="2" t="n">
        <f>HYPERLINK("https://globaldossier.uspto.gov/result/application/US/17452999/1","US20220108443")</f>
        <v>0.0</v>
      </c>
      <c r="M392" t="s">
        <v>2817</v>
      </c>
      <c r="N392" t="s">
        <v>2818</v>
      </c>
      <c r="O392" t="s">
        <v>2819</v>
      </c>
      <c r="P392" t="s">
        <v>2820</v>
      </c>
      <c r="Q392" s="3" t="n">
        <v>44500.0</v>
      </c>
      <c r="R392" s="3" t="n">
        <v>44658.0</v>
      </c>
      <c r="S392" s="3" t="n">
        <v>44659.23052920139</v>
      </c>
      <c r="T392" s="3" t="n">
        <v>44719.56304923611</v>
      </c>
      <c r="U392" t="s">
        <v>2821</v>
      </c>
      <c r="V392" t="s">
        <v>2822</v>
      </c>
    </row>
    <row r="393">
      <c r="A393" t="s">
        <v>22</v>
      </c>
      <c r="B393" t="s">
        <v>2823</v>
      </c>
      <c r="C393" t="s">
        <v>24</v>
      </c>
      <c r="D393" t="s">
        <v>204</v>
      </c>
      <c r="E393" t="s">
        <v>2824</v>
      </c>
      <c r="F393" s="2" t="n">
        <f>HYPERLINK("https://patents.google.com/patent/US20220108405","Google")</f>
        <v>0.0</v>
      </c>
      <c r="G393" s="2" t="n">
        <f>HYPERLINK("https://patentcenter.uspto.gov/applications/17495777","Patent Center")</f>
        <v>0.0</v>
      </c>
      <c r="H393" s="2" t="n">
        <f>HYPERLINK("https://worldwide.espacenet.com/patent/search?q=US20220108405","Espacenet")</f>
        <v>0.0</v>
      </c>
      <c r="I393" s="2" t="n">
        <f>HYPERLINK("https://ppubs.uspto.gov/pubwebapp/external.html?q=20220108405.pn.","USPTO")</f>
        <v>0.0</v>
      </c>
      <c r="J393" s="2" t="n">
        <f>HYPERLINK("https://image-ppubs.uspto.gov/dirsearch-public/print/downloadPdf/20220108405","USPTO PDF")</f>
        <v>0.0</v>
      </c>
      <c r="K393" s="2" t="n">
        <f>HYPERLINK("https://sectors.patentforecast.com/pmd/US20220108405","PMD")</f>
        <v>0.0</v>
      </c>
      <c r="L393" s="2" t="n">
        <f>HYPERLINK("https://globaldossier.uspto.gov/result/application/US/17495777/1","US20220108405")</f>
        <v>0.0</v>
      </c>
      <c r="M393" t="s">
        <v>2825</v>
      </c>
      <c r="N393" t="s">
        <v>2826</v>
      </c>
      <c r="O393" t="s">
        <v>2826</v>
      </c>
      <c r="P393" t="s">
        <v>2827</v>
      </c>
      <c r="Q393" s="3" t="n">
        <v>44475.0</v>
      </c>
      <c r="R393" s="3" t="n">
        <v>44658.0</v>
      </c>
      <c r="S393" s="3" t="n">
        <v>44659.23052920139</v>
      </c>
      <c r="T393" s="3" t="n">
        <v>44719.563442962964</v>
      </c>
      <c r="U393" t="s">
        <v>31</v>
      </c>
      <c r="V393" t="s">
        <v>2828</v>
      </c>
    </row>
    <row r="394">
      <c r="A394" t="s">
        <v>22</v>
      </c>
      <c r="B394" t="s">
        <v>2829</v>
      </c>
      <c r="C394" t="s">
        <v>24</v>
      </c>
      <c r="D394" t="s">
        <v>204</v>
      </c>
      <c r="E394" t="s">
        <v>2830</v>
      </c>
      <c r="F394" s="2" t="n">
        <f>HYPERLINK("https://patents.google.com/patent/US20220108402","Google")</f>
        <v>0.0</v>
      </c>
      <c r="G394" s="2" t="n">
        <f>HYPERLINK("https://patentcenter.uspto.gov/applications/17495744","Patent Center")</f>
        <v>0.0</v>
      </c>
      <c r="H394" s="2" t="n">
        <f>HYPERLINK("https://worldwide.espacenet.com/patent/search?q=US20220108402","Espacenet")</f>
        <v>0.0</v>
      </c>
      <c r="I394" s="2" t="n">
        <f>HYPERLINK("https://ppubs.uspto.gov/pubwebapp/external.html?q=20220108402.pn.","USPTO")</f>
        <v>0.0</v>
      </c>
      <c r="J394" s="2" t="n">
        <f>HYPERLINK("https://image-ppubs.uspto.gov/dirsearch-public/print/downloadPdf/20220108402","USPTO PDF")</f>
        <v>0.0</v>
      </c>
      <c r="K394" s="2" t="n">
        <f>HYPERLINK("https://sectors.patentforecast.com/pmd/US20220108402","PMD")</f>
        <v>0.0</v>
      </c>
      <c r="L394" s="2" t="n">
        <f>HYPERLINK("https://globaldossier.uspto.gov/result/application/US/17495744/1","US20220108402")</f>
        <v>0.0</v>
      </c>
      <c r="M394" t="s">
        <v>2831</v>
      </c>
      <c r="N394" t="s">
        <v>2832</v>
      </c>
      <c r="O394" t="s">
        <v>2833</v>
      </c>
      <c r="P394" t="s">
        <v>2834</v>
      </c>
      <c r="Q394" s="3" t="n">
        <v>44475.0</v>
      </c>
      <c r="R394" s="3" t="n">
        <v>44658.0</v>
      </c>
      <c r="S394" s="3" t="n">
        <v>44659.23052920139</v>
      </c>
      <c r="T394" s="3" t="n">
        <v>44719.56373711806</v>
      </c>
      <c r="U394" t="s">
        <v>2835</v>
      </c>
      <c r="V394" t="s">
        <v>2836</v>
      </c>
    </row>
    <row r="395">
      <c r="A395" t="s">
        <v>22</v>
      </c>
      <c r="B395" t="s">
        <v>2837</v>
      </c>
      <c r="C395" t="s">
        <v>24</v>
      </c>
      <c r="D395" t="s">
        <v>69</v>
      </c>
      <c r="E395" t="s">
        <v>2838</v>
      </c>
      <c r="F395" s="2" t="n">
        <f>HYPERLINK("https://patents.google.com/patent/US20220108303","Google")</f>
        <v>0.0</v>
      </c>
      <c r="G395" s="2" t="n">
        <f>HYPERLINK("https://patentcenter.uspto.gov/applications/17061740","Patent Center")</f>
        <v>0.0</v>
      </c>
      <c r="H395" s="2" t="n">
        <f>HYPERLINK("https://worldwide.espacenet.com/patent/search?q=US20220108303","Espacenet")</f>
        <v>0.0</v>
      </c>
      <c r="I395" s="2" t="n">
        <f>HYPERLINK("https://ppubs.uspto.gov/pubwebapp/external.html?q=20220108303.pn.","USPTO")</f>
        <v>0.0</v>
      </c>
      <c r="J395" s="2" t="n">
        <f>HYPERLINK("https://image-ppubs.uspto.gov/dirsearch-public/print/downloadPdf/20220108303","USPTO PDF")</f>
        <v>0.0</v>
      </c>
      <c r="K395" s="2" t="n">
        <f>HYPERLINK("https://sectors.patentforecast.com/pmd/US20220108303","PMD")</f>
        <v>0.0</v>
      </c>
      <c r="L395" s="2" t="n">
        <f>HYPERLINK("https://globaldossier.uspto.gov/result/application/US/17061740/1","US20220108303")</f>
        <v>0.0</v>
      </c>
      <c r="M395" t="s">
        <v>2839</v>
      </c>
      <c r="N395" t="s">
        <v>2840</v>
      </c>
      <c r="O395" t="s">
        <v>2841</v>
      </c>
      <c r="P395" t="s">
        <v>2842</v>
      </c>
      <c r="Q395" s="3" t="n">
        <v>44106.0</v>
      </c>
      <c r="R395" s="3" t="n">
        <v>44658.0</v>
      </c>
      <c r="S395" s="3" t="n">
        <v>44659.23052920139</v>
      </c>
      <c r="T395" s="3" t="n">
        <v>44719.56382862268</v>
      </c>
      <c r="U395" t="s">
        <v>31</v>
      </c>
      <c r="V395" t="s">
        <v>2843</v>
      </c>
    </row>
    <row r="396">
      <c r="A396" t="s">
        <v>22</v>
      </c>
      <c r="B396" t="s">
        <v>2844</v>
      </c>
      <c r="C396" t="s">
        <v>24</v>
      </c>
      <c r="D396" t="s">
        <v>204</v>
      </c>
      <c r="E396" t="s">
        <v>2830</v>
      </c>
      <c r="F396" s="2" t="n">
        <f>HYPERLINK("https://patents.google.com/patent/US20220108241","Google")</f>
        <v>0.0</v>
      </c>
      <c r="G396" s="2" t="n">
        <f>HYPERLINK("https://patentcenter.uspto.gov/applications/17495737","Patent Center")</f>
        <v>0.0</v>
      </c>
      <c r="H396" s="2" t="n">
        <f>HYPERLINK("https://worldwide.espacenet.com/patent/search?q=US20220108241","Espacenet")</f>
        <v>0.0</v>
      </c>
      <c r="I396" s="2" t="n">
        <f>HYPERLINK("https://ppubs.uspto.gov/pubwebapp/external.html?q=20220108241.pn.","USPTO")</f>
        <v>0.0</v>
      </c>
      <c r="J396" s="2" t="n">
        <f>HYPERLINK("https://image-ppubs.uspto.gov/dirsearch-public/print/downloadPdf/20220108241","USPTO PDF")</f>
        <v>0.0</v>
      </c>
      <c r="K396" s="2" t="n">
        <f>HYPERLINK("https://sectors.patentforecast.com/pmd/US20220108241","PMD")</f>
        <v>0.0</v>
      </c>
      <c r="L396" s="2" t="n">
        <f>HYPERLINK("https://globaldossier.uspto.gov/result/application/US/17495737/1","US20220108241")</f>
        <v>0.0</v>
      </c>
      <c r="M396" t="s">
        <v>2845</v>
      </c>
      <c r="N396" t="s">
        <v>2832</v>
      </c>
      <c r="O396" t="s">
        <v>2833</v>
      </c>
      <c r="P396" t="s">
        <v>2834</v>
      </c>
      <c r="Q396" s="3" t="n">
        <v>44475.0</v>
      </c>
      <c r="R396" s="3" t="n">
        <v>44658.0</v>
      </c>
      <c r="S396" s="3" t="n">
        <v>44659.23052920139</v>
      </c>
      <c r="T396" s="3" t="n">
        <v>44719.56413917824</v>
      </c>
      <c r="U396" t="s">
        <v>2846</v>
      </c>
      <c r="V396" t="s">
        <v>2847</v>
      </c>
    </row>
    <row r="397">
      <c r="A397" t="s">
        <v>22</v>
      </c>
      <c r="B397" t="s">
        <v>2848</v>
      </c>
      <c r="C397" t="s">
        <v>24</v>
      </c>
      <c r="D397" t="s">
        <v>204</v>
      </c>
      <c r="E397" t="s">
        <v>2830</v>
      </c>
      <c r="F397" s="2" t="n">
        <f>HYPERLINK("https://patents.google.com/patent/US20220108240","Google")</f>
        <v>0.0</v>
      </c>
      <c r="G397" s="2" t="n">
        <f>HYPERLINK("https://patentcenter.uspto.gov/applications/17495729","Patent Center")</f>
        <v>0.0</v>
      </c>
      <c r="H397" s="2" t="n">
        <f>HYPERLINK("https://worldwide.espacenet.com/patent/search?q=US20220108240","Espacenet")</f>
        <v>0.0</v>
      </c>
      <c r="I397" s="2" t="n">
        <f>HYPERLINK("https://ppubs.uspto.gov/pubwebapp/external.html?q=20220108240.pn.","USPTO")</f>
        <v>0.0</v>
      </c>
      <c r="J397" s="2" t="n">
        <f>HYPERLINK("https://image-ppubs.uspto.gov/dirsearch-public/print/downloadPdf/20220108240","USPTO PDF")</f>
        <v>0.0</v>
      </c>
      <c r="K397" s="2" t="n">
        <f>HYPERLINK("https://sectors.patentforecast.com/pmd/US20220108240","PMD")</f>
        <v>0.0</v>
      </c>
      <c r="L397" s="2" t="n">
        <f>HYPERLINK("https://globaldossier.uspto.gov/result/application/US/17495729/1","US20220108240")</f>
        <v>0.0</v>
      </c>
      <c r="M397" t="s">
        <v>2849</v>
      </c>
      <c r="N397" t="s">
        <v>2832</v>
      </c>
      <c r="O397" t="s">
        <v>2833</v>
      </c>
      <c r="P397" t="s">
        <v>2850</v>
      </c>
      <c r="Q397" s="3" t="n">
        <v>44475.0</v>
      </c>
      <c r="R397" s="3" t="n">
        <v>44658.0</v>
      </c>
      <c r="S397" s="3" t="n">
        <v>44659.23052920139</v>
      </c>
      <c r="T397" s="3" t="n">
        <v>44719.56418440972</v>
      </c>
      <c r="U397" t="s">
        <v>2851</v>
      </c>
      <c r="V397" t="s">
        <v>2847</v>
      </c>
    </row>
    <row r="398">
      <c r="A398" t="s">
        <v>22</v>
      </c>
      <c r="B398" t="s">
        <v>2852</v>
      </c>
      <c r="C398" t="s">
        <v>24</v>
      </c>
      <c r="D398" t="s">
        <v>204</v>
      </c>
      <c r="E398" t="s">
        <v>2830</v>
      </c>
      <c r="F398" s="2" t="n">
        <f>HYPERLINK("https://patents.google.com/patent/US20220108239","Google")</f>
        <v>0.0</v>
      </c>
      <c r="G398" s="2" t="n">
        <f>HYPERLINK("https://patentcenter.uspto.gov/applications/17495721","Patent Center")</f>
        <v>0.0</v>
      </c>
      <c r="H398" s="2" t="n">
        <f>HYPERLINK("https://worldwide.espacenet.com/patent/search?q=US20220108239","Espacenet")</f>
        <v>0.0</v>
      </c>
      <c r="I398" s="2" t="n">
        <f>HYPERLINK("https://ppubs.uspto.gov/pubwebapp/external.html?q=20220108239.pn.","USPTO")</f>
        <v>0.0</v>
      </c>
      <c r="J398" s="2" t="n">
        <f>HYPERLINK("https://image-ppubs.uspto.gov/dirsearch-public/print/downloadPdf/20220108239","USPTO PDF")</f>
        <v>0.0</v>
      </c>
      <c r="K398" s="2" t="n">
        <f>HYPERLINK("https://sectors.patentforecast.com/pmd/US20220108239","PMD")</f>
        <v>0.0</v>
      </c>
      <c r="L398" s="2" t="n">
        <f>HYPERLINK("https://globaldossier.uspto.gov/result/application/US/17495721/1","US20220108239")</f>
        <v>0.0</v>
      </c>
      <c r="M398" t="s">
        <v>2853</v>
      </c>
      <c r="N398" t="s">
        <v>2832</v>
      </c>
      <c r="O398" t="s">
        <v>2833</v>
      </c>
      <c r="P398" t="s">
        <v>2850</v>
      </c>
      <c r="Q398" s="3" t="n">
        <v>44475.0</v>
      </c>
      <c r="R398" s="3" t="n">
        <v>44658.0</v>
      </c>
      <c r="S398" s="3" t="n">
        <v>44659.23052920139</v>
      </c>
      <c r="T398" s="3" t="n">
        <v>44719.564382777775</v>
      </c>
      <c r="U398" t="s">
        <v>31</v>
      </c>
      <c r="V398" t="s">
        <v>2847</v>
      </c>
    </row>
    <row r="399">
      <c r="A399" t="s">
        <v>22</v>
      </c>
      <c r="B399" t="s">
        <v>2854</v>
      </c>
      <c r="C399" t="s">
        <v>24</v>
      </c>
      <c r="D399" t="s">
        <v>204</v>
      </c>
      <c r="E399" t="s">
        <v>2830</v>
      </c>
      <c r="F399" s="2" t="n">
        <f>HYPERLINK("https://patents.google.com/patent/US20220108238","Google")</f>
        <v>0.0</v>
      </c>
      <c r="G399" s="2" t="n">
        <f>HYPERLINK("https://patentcenter.uspto.gov/applications/17495716","Patent Center")</f>
        <v>0.0</v>
      </c>
      <c r="H399" s="2" t="n">
        <f>HYPERLINK("https://worldwide.espacenet.com/patent/search?q=US20220108238","Espacenet")</f>
        <v>0.0</v>
      </c>
      <c r="I399" s="2" t="n">
        <f>HYPERLINK("https://ppubs.uspto.gov/pubwebapp/external.html?q=20220108238.pn.","USPTO")</f>
        <v>0.0</v>
      </c>
      <c r="J399" s="2" t="n">
        <f>HYPERLINK("https://image-ppubs.uspto.gov/dirsearch-public/print/downloadPdf/20220108238","USPTO PDF")</f>
        <v>0.0</v>
      </c>
      <c r="K399" s="2" t="n">
        <f>HYPERLINK("https://sectors.patentforecast.com/pmd/US20220108238","PMD")</f>
        <v>0.0</v>
      </c>
      <c r="L399" s="2" t="n">
        <f>HYPERLINK("https://globaldossier.uspto.gov/result/application/US/17495716/1","US20220108238")</f>
        <v>0.0</v>
      </c>
      <c r="M399" t="s">
        <v>2855</v>
      </c>
      <c r="N399" t="s">
        <v>2832</v>
      </c>
      <c r="O399" t="s">
        <v>2833</v>
      </c>
      <c r="P399" t="s">
        <v>2850</v>
      </c>
      <c r="Q399" s="3" t="n">
        <v>44475.0</v>
      </c>
      <c r="R399" s="3" t="n">
        <v>44658.0</v>
      </c>
      <c r="S399" s="3" t="n">
        <v>44659.23052920139</v>
      </c>
      <c r="T399" s="3" t="n">
        <v>44719.56444206018</v>
      </c>
      <c r="U399" t="s">
        <v>2856</v>
      </c>
      <c r="V399" t="s">
        <v>2847</v>
      </c>
    </row>
    <row r="400">
      <c r="A400" t="s">
        <v>22</v>
      </c>
      <c r="B400" t="s">
        <v>2857</v>
      </c>
      <c r="C400" t="s">
        <v>24</v>
      </c>
      <c r="D400" t="s">
        <v>25</v>
      </c>
      <c r="E400" t="s">
        <v>2858</v>
      </c>
      <c r="F400" s="2" t="n">
        <f>HYPERLINK("https://patents.google.com/patent/US20220107942","Google")</f>
        <v>0.0</v>
      </c>
      <c r="G400" s="2" t="n">
        <f>HYPERLINK("https://patentcenter.uspto.gov/applications/17479599","Patent Center")</f>
        <v>0.0</v>
      </c>
      <c r="H400" s="2" t="n">
        <f>HYPERLINK("https://worldwide.espacenet.com/patent/search?q=US20220107942","Espacenet")</f>
        <v>0.0</v>
      </c>
      <c r="I400" s="2" t="n">
        <f>HYPERLINK("https://ppubs.uspto.gov/pubwebapp/external.html?q=20220107942.pn.","USPTO")</f>
        <v>0.0</v>
      </c>
      <c r="J400" s="2" t="n">
        <f>HYPERLINK("https://image-ppubs.uspto.gov/dirsearch-public/print/downloadPdf/20220107942","USPTO PDF")</f>
        <v>0.0</v>
      </c>
      <c r="K400" s="2" t="n">
        <f>HYPERLINK("https://sectors.patentforecast.com/pmd/US20220107942","PMD")</f>
        <v>0.0</v>
      </c>
      <c r="L400" s="2" t="n">
        <f>HYPERLINK("https://globaldossier.uspto.gov/result/application/US/17479599/1","US20220107942")</f>
        <v>0.0</v>
      </c>
      <c r="M400" t="s">
        <v>2859</v>
      </c>
      <c r="N400" t="s">
        <v>2860</v>
      </c>
      <c r="O400" t="s">
        <v>2861</v>
      </c>
      <c r="P400" t="s">
        <v>2862</v>
      </c>
      <c r="Q400" s="3" t="n">
        <v>44459.0</v>
      </c>
      <c r="R400" s="3" t="n">
        <v>44658.0</v>
      </c>
      <c r="S400" s="3" t="n">
        <v>44659.23052920139</v>
      </c>
      <c r="T400" s="3" t="n">
        <v>44719.56547045139</v>
      </c>
      <c r="U400" t="s">
        <v>31</v>
      </c>
      <c r="V400" t="s">
        <v>2863</v>
      </c>
    </row>
    <row r="401">
      <c r="A401" t="s">
        <v>22</v>
      </c>
      <c r="B401" t="s">
        <v>2864</v>
      </c>
      <c r="C401" t="s">
        <v>24</v>
      </c>
      <c r="D401" t="s">
        <v>25</v>
      </c>
      <c r="E401" t="s">
        <v>2865</v>
      </c>
      <c r="F401" s="2" t="n">
        <f>HYPERLINK("https://patents.google.com/patent/US20220107880","Google")</f>
        <v>0.0</v>
      </c>
      <c r="G401" s="2" t="n">
        <f>HYPERLINK("https://patentcenter.uspto.gov/applications/17062710","Patent Center")</f>
        <v>0.0</v>
      </c>
      <c r="H401" s="2" t="n">
        <f>HYPERLINK("https://worldwide.espacenet.com/patent/search?q=US20220107880","Espacenet")</f>
        <v>0.0</v>
      </c>
      <c r="I401" s="2" t="n">
        <f>HYPERLINK("https://ppubs.uspto.gov/pubwebapp/external.html?q=20220107880.pn.","USPTO")</f>
        <v>0.0</v>
      </c>
      <c r="J401" s="2" t="n">
        <f>HYPERLINK("https://image-ppubs.uspto.gov/dirsearch-public/print/downloadPdf/20220107880","USPTO PDF")</f>
        <v>0.0</v>
      </c>
      <c r="K401" s="2" t="n">
        <f>HYPERLINK("https://sectors.patentforecast.com/pmd/US20220107880","PMD")</f>
        <v>0.0</v>
      </c>
      <c r="L401" s="2" t="n">
        <f>HYPERLINK("https://globaldossier.uspto.gov/result/application/US/17062710/1","US20220107880")</f>
        <v>0.0</v>
      </c>
      <c r="M401" t="s">
        <v>2866</v>
      </c>
      <c r="N401" t="s">
        <v>880</v>
      </c>
      <c r="O401" t="s">
        <v>881</v>
      </c>
      <c r="P401" t="s">
        <v>2790</v>
      </c>
      <c r="Q401" s="3" t="n">
        <v>44109.0</v>
      </c>
      <c r="R401" s="3" t="n">
        <v>44658.0</v>
      </c>
      <c r="S401" s="3" t="n">
        <v>44659.23052920139</v>
      </c>
      <c r="T401" s="3" t="n">
        <v>44719.56560966435</v>
      </c>
      <c r="U401" t="s">
        <v>31</v>
      </c>
      <c r="V401" t="s">
        <v>2867</v>
      </c>
    </row>
    <row r="402">
      <c r="A402" t="s">
        <v>22</v>
      </c>
      <c r="B402" t="s">
        <v>2868</v>
      </c>
      <c r="C402" t="s">
        <v>24</v>
      </c>
      <c r="D402" t="s">
        <v>25</v>
      </c>
      <c r="E402" t="s">
        <v>2869</v>
      </c>
      <c r="F402" s="2" t="n">
        <f>HYPERLINK("https://patents.google.com/patent/US20220107815","Google")</f>
        <v>0.0</v>
      </c>
      <c r="G402" s="2" t="n">
        <f>HYPERLINK("https://patentcenter.uspto.gov/applications/17062769","Patent Center")</f>
        <v>0.0</v>
      </c>
      <c r="H402" s="2" t="n">
        <f>HYPERLINK("https://worldwide.espacenet.com/patent/search?q=US20220107815","Espacenet")</f>
        <v>0.0</v>
      </c>
      <c r="I402" s="2" t="n">
        <f>HYPERLINK("https://ppubs.uspto.gov/pubwebapp/external.html?q=20220107815.pn.","USPTO")</f>
        <v>0.0</v>
      </c>
      <c r="J402" s="2" t="n">
        <f>HYPERLINK("https://image-ppubs.uspto.gov/dirsearch-public/print/downloadPdf/20220107815","USPTO PDF")</f>
        <v>0.0</v>
      </c>
      <c r="K402" s="2" t="n">
        <f>HYPERLINK("https://sectors.patentforecast.com/pmd/US20220107815","PMD")</f>
        <v>0.0</v>
      </c>
      <c r="L402" s="2" t="n">
        <f>HYPERLINK("https://globaldossier.uspto.gov/result/application/US/17062769/1","US20220107815")</f>
        <v>0.0</v>
      </c>
      <c r="M402" t="s">
        <v>2870</v>
      </c>
      <c r="N402" t="s">
        <v>880</v>
      </c>
      <c r="O402" t="s">
        <v>881</v>
      </c>
      <c r="P402" t="s">
        <v>2790</v>
      </c>
      <c r="Q402" s="3" t="n">
        <v>44109.0</v>
      </c>
      <c r="R402" s="3" t="n">
        <v>44658.0</v>
      </c>
      <c r="S402" s="3" t="n">
        <v>44659.23052920139</v>
      </c>
      <c r="T402" s="3" t="n">
        <v>44672.329859212965</v>
      </c>
      <c r="U402" t="s">
        <v>31</v>
      </c>
      <c r="V402" t="s">
        <v>2871</v>
      </c>
    </row>
    <row r="403">
      <c r="A403" t="s">
        <v>22</v>
      </c>
      <c r="B403" t="s">
        <v>2872</v>
      </c>
      <c r="C403" t="s">
        <v>24</v>
      </c>
      <c r="D403" t="s">
        <v>204</v>
      </c>
      <c r="E403" t="s">
        <v>2873</v>
      </c>
      <c r="F403" s="2" t="n">
        <f>HYPERLINK("https://patents.google.com/patent/US20220107622","Google")</f>
        <v>0.0</v>
      </c>
      <c r="G403" s="2" t="n">
        <f>HYPERLINK("https://patentcenter.uspto.gov/applications/17061999","Patent Center")</f>
        <v>0.0</v>
      </c>
      <c r="H403" s="2" t="n">
        <f>HYPERLINK("https://worldwide.espacenet.com/patent/search?q=US20220107622","Espacenet")</f>
        <v>0.0</v>
      </c>
      <c r="I403" s="2" t="n">
        <f>HYPERLINK("https://ppubs.uspto.gov/pubwebapp/external.html?q=20220107622.pn.","USPTO")</f>
        <v>0.0</v>
      </c>
      <c r="J403" s="2" t="n">
        <f>HYPERLINK("https://image-ppubs.uspto.gov/dirsearch-public/print/downloadPdf/20220107622","USPTO PDF")</f>
        <v>0.0</v>
      </c>
      <c r="K403" s="2" t="n">
        <f>HYPERLINK("https://sectors.patentforecast.com/pmd/US20220107622","PMD")</f>
        <v>0.0</v>
      </c>
      <c r="L403" s="2" t="n">
        <f>HYPERLINK("https://globaldossier.uspto.gov/result/application/US/17061999/1","US20220107622")</f>
        <v>0.0</v>
      </c>
      <c r="M403" t="s">
        <v>2874</v>
      </c>
      <c r="N403" t="s">
        <v>2875</v>
      </c>
      <c r="O403" t="s">
        <v>2875</v>
      </c>
      <c r="P403" t="s">
        <v>2876</v>
      </c>
      <c r="Q403" s="3" t="n">
        <v>44106.0</v>
      </c>
      <c r="R403" s="3" t="n">
        <v>44658.0</v>
      </c>
      <c r="S403" s="3" t="n">
        <v>44659.23052920139</v>
      </c>
      <c r="T403" s="3" t="n">
        <v>44719.565984340275</v>
      </c>
      <c r="U403" t="s">
        <v>2877</v>
      </c>
      <c r="V403" t="s">
        <v>2878</v>
      </c>
    </row>
    <row r="404">
      <c r="A404" t="s">
        <v>22</v>
      </c>
      <c r="B404" t="s">
        <v>2879</v>
      </c>
      <c r="C404" t="s">
        <v>60</v>
      </c>
      <c r="D404" t="s">
        <v>77</v>
      </c>
      <c r="E404" t="s">
        <v>2880</v>
      </c>
      <c r="F404" s="2" t="n">
        <f>HYPERLINK("https://patents.google.com/patent/US20220107317","Google")</f>
        <v>0.0</v>
      </c>
      <c r="G404" s="2" t="n">
        <f>HYPERLINK("https://patentcenter.uspto.gov/applications/17491568","Patent Center")</f>
        <v>0.0</v>
      </c>
      <c r="H404" s="2" t="n">
        <f>HYPERLINK("https://worldwide.espacenet.com/patent/search?q=US20220107317","Espacenet")</f>
        <v>0.0</v>
      </c>
      <c r="I404" s="2" t="n">
        <f>HYPERLINK("https://ppubs.uspto.gov/pubwebapp/external.html?q=20220107317.pn.","USPTO")</f>
        <v>0.0</v>
      </c>
      <c r="J404" s="2" t="n">
        <f>HYPERLINK("https://image-ppubs.uspto.gov/dirsearch-public/print/downloadPdf/20220107317","USPTO PDF")</f>
        <v>0.0</v>
      </c>
      <c r="K404" s="2" t="n">
        <f>HYPERLINK("https://sectors.patentforecast.com/pmd/US20220107317","PMD")</f>
        <v>0.0</v>
      </c>
      <c r="L404" s="2" t="n">
        <f>HYPERLINK("https://globaldossier.uspto.gov/result/application/US/17491568/1","US20220107317")</f>
        <v>0.0</v>
      </c>
      <c r="M404" t="s">
        <v>2881</v>
      </c>
      <c r="N404" t="s">
        <v>2882</v>
      </c>
      <c r="O404" t="s">
        <v>2883</v>
      </c>
      <c r="P404" t="s">
        <v>2884</v>
      </c>
      <c r="Q404" s="3" t="n">
        <v>44470.0</v>
      </c>
      <c r="R404" s="3" t="n">
        <v>44658.0</v>
      </c>
      <c r="S404" s="3" t="n">
        <v>44659.23052920139</v>
      </c>
      <c r="T404" s="3" t="n">
        <v>44672.39215597222</v>
      </c>
      <c r="U404" t="s">
        <v>31</v>
      </c>
      <c r="V404" t="s">
        <v>2885</v>
      </c>
    </row>
    <row r="405">
      <c r="A405" t="s">
        <v>22</v>
      </c>
      <c r="B405" t="s">
        <v>2886</v>
      </c>
      <c r="C405" t="s">
        <v>24</v>
      </c>
      <c r="D405" t="s">
        <v>25</v>
      </c>
      <c r="E405" t="s">
        <v>2887</v>
      </c>
      <c r="F405" s="2" t="n">
        <f>HYPERLINK("https://patents.google.com/patent/US20220107258","Google")</f>
        <v>0.0</v>
      </c>
      <c r="G405" s="2" t="n">
        <f>HYPERLINK("https://patentcenter.uspto.gov/applications/16974113","Patent Center")</f>
        <v>0.0</v>
      </c>
      <c r="H405" s="2" t="n">
        <f>HYPERLINK("https://worldwide.espacenet.com/patent/search?q=US20220107258","Espacenet")</f>
        <v>0.0</v>
      </c>
      <c r="I405" s="2" t="n">
        <f>HYPERLINK("https://ppubs.uspto.gov/pubwebapp/external.html?q=20220107258.pn.","USPTO")</f>
        <v>0.0</v>
      </c>
      <c r="J405" s="2" t="n">
        <f>HYPERLINK("https://image-ppubs.uspto.gov/dirsearch-public/print/downloadPdf/20220107258","USPTO PDF")</f>
        <v>0.0</v>
      </c>
      <c r="K405" s="2" t="n">
        <f>HYPERLINK("https://sectors.patentforecast.com/pmd/US20220107258","PMD")</f>
        <v>0.0</v>
      </c>
      <c r="L405" s="2" t="n">
        <f>HYPERLINK("https://globaldossier.uspto.gov/result/application/US/16974113/1","US20220107258")</f>
        <v>0.0</v>
      </c>
      <c r="M405" t="s">
        <v>2888</v>
      </c>
      <c r="N405" t="s">
        <v>2889</v>
      </c>
      <c r="O405" t="s">
        <v>2890</v>
      </c>
      <c r="P405" t="s">
        <v>2891</v>
      </c>
      <c r="Q405" s="3" t="n">
        <v>44105.0</v>
      </c>
      <c r="R405" s="3" t="n">
        <v>44658.0</v>
      </c>
      <c r="S405" s="3" t="n">
        <v>44659.23052920139</v>
      </c>
      <c r="T405" s="3" t="n">
        <v>44672.487555520835</v>
      </c>
      <c r="U405" t="s">
        <v>31</v>
      </c>
      <c r="V405" t="s">
        <v>2892</v>
      </c>
    </row>
    <row r="406">
      <c r="A406" t="s">
        <v>22</v>
      </c>
      <c r="B406" t="s">
        <v>2893</v>
      </c>
      <c r="C406" t="s">
        <v>24</v>
      </c>
      <c r="D406" t="s">
        <v>69</v>
      </c>
      <c r="E406" t="s">
        <v>2894</v>
      </c>
      <c r="F406" s="2" t="n">
        <f>HYPERLINK("https://patents.google.com/patent/US20220106735","Google")</f>
        <v>0.0</v>
      </c>
      <c r="G406" s="2" t="n">
        <f>HYPERLINK("https://patentcenter.uspto.gov/applications/17060511","Patent Center")</f>
        <v>0.0</v>
      </c>
      <c r="H406" s="2" t="n">
        <f>HYPERLINK("https://worldwide.espacenet.com/patent/search?q=US20220106735","Espacenet")</f>
        <v>0.0</v>
      </c>
      <c r="I406" s="2" t="n">
        <f>HYPERLINK("https://ppubs.uspto.gov/pubwebapp/external.html?q=20220106735.pn.","USPTO")</f>
        <v>0.0</v>
      </c>
      <c r="J406" s="2" t="n">
        <f>HYPERLINK("https://image-ppubs.uspto.gov/dirsearch-public/print/downloadPdf/20220106735","USPTO PDF")</f>
        <v>0.0</v>
      </c>
      <c r="K406" s="2" t="n">
        <f>HYPERLINK("https://sectors.patentforecast.com/pmd/US20220106735","PMD")</f>
        <v>0.0</v>
      </c>
      <c r="L406" s="2" t="n">
        <f>HYPERLINK("https://globaldossier.uspto.gov/result/application/US/17060511/1","US20220106735")</f>
        <v>0.0</v>
      </c>
      <c r="M406" t="s">
        <v>2895</v>
      </c>
      <c r="N406" t="s">
        <v>2896</v>
      </c>
      <c r="O406" t="s">
        <v>2897</v>
      </c>
      <c r="P406" t="s">
        <v>2898</v>
      </c>
      <c r="Q406" s="3" t="n">
        <v>44105.0</v>
      </c>
      <c r="R406" s="3" t="n">
        <v>44658.0</v>
      </c>
      <c r="S406" s="3" t="n">
        <v>44659.23052920139</v>
      </c>
      <c r="T406" s="3" t="n">
        <v>44719.56675402778</v>
      </c>
      <c r="U406" t="s">
        <v>2899</v>
      </c>
      <c r="V406" t="s">
        <v>2900</v>
      </c>
    </row>
    <row r="407">
      <c r="A407" t="s">
        <v>22</v>
      </c>
      <c r="B407" t="s">
        <v>2901</v>
      </c>
      <c r="C407" t="s">
        <v>24</v>
      </c>
      <c r="D407" t="s">
        <v>25</v>
      </c>
      <c r="E407" t="s">
        <v>2902</v>
      </c>
      <c r="F407" s="2" t="n">
        <f>HYPERLINK("https://patents.google.com/patent/US20220106622","Google")</f>
        <v>0.0</v>
      </c>
      <c r="G407" s="2" t="n">
        <f>HYPERLINK("https://patentcenter.uspto.gov/applications/17380862","Patent Center")</f>
        <v>0.0</v>
      </c>
      <c r="H407" s="2" t="n">
        <f>HYPERLINK("https://worldwide.espacenet.com/patent/search?q=US20220106622","Espacenet")</f>
        <v>0.0</v>
      </c>
      <c r="I407" s="2" t="n">
        <f>HYPERLINK("https://ppubs.uspto.gov/pubwebapp/external.html?q=20220106622.pn.","USPTO")</f>
        <v>0.0</v>
      </c>
      <c r="J407" s="2" t="n">
        <f>HYPERLINK("https://image-ppubs.uspto.gov/dirsearch-public/print/downloadPdf/20220106622","USPTO PDF")</f>
        <v>0.0</v>
      </c>
      <c r="K407" s="2" t="n">
        <f>HYPERLINK("https://sectors.patentforecast.com/pmd/US20220106622","PMD")</f>
        <v>0.0</v>
      </c>
      <c r="L407" s="2" t="n">
        <f>HYPERLINK("https://globaldossier.uspto.gov/result/application/US/17380862/1","US20220106622")</f>
        <v>0.0</v>
      </c>
      <c r="M407" t="s">
        <v>2903</v>
      </c>
      <c r="N407" t="s">
        <v>2904</v>
      </c>
      <c r="O407" t="s">
        <v>2905</v>
      </c>
      <c r="P407" t="s">
        <v>2906</v>
      </c>
      <c r="Q407" s="3" t="n">
        <v>44397.0</v>
      </c>
      <c r="R407" s="3" t="n">
        <v>44658.0</v>
      </c>
      <c r="S407" s="3" t="n">
        <v>44659.23052920139</v>
      </c>
      <c r="T407" s="3" t="n">
        <v>44672.49708422454</v>
      </c>
      <c r="U407" t="s">
        <v>2907</v>
      </c>
      <c r="V407" t="s">
        <v>2908</v>
      </c>
    </row>
    <row r="408">
      <c r="A408" t="s">
        <v>22</v>
      </c>
      <c r="B408" t="s">
        <v>2909</v>
      </c>
      <c r="C408" t="s">
        <v>24</v>
      </c>
      <c r="D408" t="s">
        <v>25</v>
      </c>
      <c r="E408" t="s">
        <v>2910</v>
      </c>
      <c r="F408" s="2" t="n">
        <f>HYPERLINK("https://patents.google.com/patent/US20220106583","Google")</f>
        <v>0.0</v>
      </c>
      <c r="G408" s="2" t="n">
        <f>HYPERLINK("https://patentcenter.uspto.gov/applications/17485824","Patent Center")</f>
        <v>0.0</v>
      </c>
      <c r="H408" s="2" t="n">
        <f>HYPERLINK("https://worldwide.espacenet.com/patent/search?q=US20220106583","Espacenet")</f>
        <v>0.0</v>
      </c>
      <c r="I408" s="2" t="n">
        <f>HYPERLINK("https://ppubs.uspto.gov/pubwebapp/external.html?q=20220106583.pn.","USPTO")</f>
        <v>0.0</v>
      </c>
      <c r="J408" s="2" t="n">
        <f>HYPERLINK("https://image-ppubs.uspto.gov/dirsearch-public/print/downloadPdf/20220106583","USPTO PDF")</f>
        <v>0.0</v>
      </c>
      <c r="K408" s="2" t="n">
        <f>HYPERLINK("https://sectors.patentforecast.com/pmd/US20220106583","PMD")</f>
        <v>0.0</v>
      </c>
      <c r="L408" s="2" t="n">
        <f>HYPERLINK("https://globaldossier.uspto.gov/result/application/US/17485824/1","US20220106583")</f>
        <v>0.0</v>
      </c>
      <c r="M408" t="s">
        <v>2911</v>
      </c>
      <c r="N408" t="s">
        <v>2912</v>
      </c>
      <c r="O408" t="s">
        <v>2913</v>
      </c>
      <c r="P408" t="s">
        <v>2914</v>
      </c>
      <c r="Q408" s="3" t="n">
        <v>44466.0</v>
      </c>
      <c r="R408" s="3" t="n">
        <v>44658.0</v>
      </c>
      <c r="S408" s="3" t="n">
        <v>44659.23052920139</v>
      </c>
      <c r="T408" s="3" t="n">
        <v>44678.61799457176</v>
      </c>
      <c r="U408" t="s">
        <v>2915</v>
      </c>
      <c r="V408" t="s">
        <v>2916</v>
      </c>
    </row>
    <row r="409">
      <c r="A409" t="s">
        <v>22</v>
      </c>
      <c r="B409" t="s">
        <v>2917</v>
      </c>
      <c r="C409" t="s">
        <v>132</v>
      </c>
      <c r="D409" t="s">
        <v>133</v>
      </c>
      <c r="E409" t="s">
        <v>2918</v>
      </c>
      <c r="F409" s="2" t="n">
        <f>HYPERLINK("https://patents.google.com/patent/US20220106363","Google")</f>
        <v>0.0</v>
      </c>
      <c r="G409" s="2" t="n">
        <f>HYPERLINK("https://patentcenter.uspto.gov/applications/17382625","Patent Center")</f>
        <v>0.0</v>
      </c>
      <c r="H409" s="2" t="n">
        <f>HYPERLINK("https://worldwide.espacenet.com/patent/search?q=US20220106363","Espacenet")</f>
        <v>0.0</v>
      </c>
      <c r="I409" s="2" t="n">
        <f>HYPERLINK("https://ppubs.uspto.gov/pubwebapp/external.html?q=20220106363.pn.","USPTO")</f>
        <v>0.0</v>
      </c>
      <c r="J409" s="2" t="n">
        <f>HYPERLINK("https://image-ppubs.uspto.gov/dirsearch-public/print/downloadPdf/20220106363","USPTO PDF")</f>
        <v>0.0</v>
      </c>
      <c r="K409" s="2" t="n">
        <f>HYPERLINK("https://sectors.patentforecast.com/pmd/US20220106363","PMD")</f>
        <v>0.0</v>
      </c>
      <c r="L409" s="2" t="n">
        <f>HYPERLINK("https://globaldossier.uspto.gov/result/application/US/17382625/1","US20220106363")</f>
        <v>0.0</v>
      </c>
      <c r="M409" t="s">
        <v>2919</v>
      </c>
      <c r="N409" t="s">
        <v>2920</v>
      </c>
      <c r="O409" t="s">
        <v>2921</v>
      </c>
      <c r="P409" t="s">
        <v>2922</v>
      </c>
      <c r="Q409" s="3" t="n">
        <v>44399.0</v>
      </c>
      <c r="R409" s="3" t="n">
        <v>44658.0</v>
      </c>
      <c r="S409" s="3" t="n">
        <v>44659.23052920139</v>
      </c>
      <c r="T409" s="3" t="n">
        <v>44672.38541728009</v>
      </c>
      <c r="U409" t="s">
        <v>2923</v>
      </c>
      <c r="V409" t="s">
        <v>2924</v>
      </c>
    </row>
    <row r="410">
      <c r="A410" t="s">
        <v>22</v>
      </c>
      <c r="B410" t="s">
        <v>2925</v>
      </c>
      <c r="C410" t="s">
        <v>60</v>
      </c>
      <c r="D410" t="s">
        <v>61</v>
      </c>
      <c r="E410" t="s">
        <v>2926</v>
      </c>
      <c r="F410" s="2" t="n">
        <f>HYPERLINK("https://patents.google.com/patent/US20220106275","Google")</f>
        <v>0.0</v>
      </c>
      <c r="G410" s="2" t="n">
        <f>HYPERLINK("https://patentcenter.uspto.gov/applications/17553462","Patent Center")</f>
        <v>0.0</v>
      </c>
      <c r="H410" s="2" t="n">
        <f>HYPERLINK("https://worldwide.espacenet.com/patent/search?q=US20220106275","Espacenet")</f>
        <v>0.0</v>
      </c>
      <c r="I410" s="2" t="n">
        <f>HYPERLINK("https://ppubs.uspto.gov/pubwebapp/external.html?q=20220106275.pn.","USPTO")</f>
        <v>0.0</v>
      </c>
      <c r="J410" s="2" t="n">
        <f>HYPERLINK("https://image-ppubs.uspto.gov/dirsearch-public/print/downloadPdf/20220106275","USPTO PDF")</f>
        <v>0.0</v>
      </c>
      <c r="K410" s="2" t="n">
        <f>HYPERLINK("https://sectors.patentforecast.com/pmd/US20220106275","PMD")</f>
        <v>0.0</v>
      </c>
      <c r="L410" s="2" t="n">
        <f>HYPERLINK("https://globaldossier.uspto.gov/result/application/US/17553462/1","US20220106275")</f>
        <v>0.0</v>
      </c>
      <c r="M410" t="s">
        <v>2927</v>
      </c>
      <c r="N410" t="s">
        <v>2928</v>
      </c>
      <c r="O410" t="s">
        <v>2929</v>
      </c>
      <c r="P410" t="s">
        <v>2930</v>
      </c>
      <c r="Q410" s="3" t="n">
        <v>44546.0</v>
      </c>
      <c r="R410" s="3" t="n">
        <v>44658.0</v>
      </c>
      <c r="S410" s="3" t="n">
        <v>44659.23052920139</v>
      </c>
      <c r="T410" s="3" t="n">
        <v>44719.56740965278</v>
      </c>
      <c r="U410" t="s">
        <v>2931</v>
      </c>
      <c r="V410" t="s">
        <v>2932</v>
      </c>
    </row>
    <row r="411">
      <c r="A411" t="s">
        <v>22</v>
      </c>
      <c r="B411" t="s">
        <v>2933</v>
      </c>
      <c r="C411" t="s">
        <v>60</v>
      </c>
      <c r="D411" t="s">
        <v>431</v>
      </c>
      <c r="E411" t="s">
        <v>2934</v>
      </c>
      <c r="F411" s="2" t="n">
        <f>HYPERLINK("https://patents.google.com/patent/US20220106189","Google")</f>
        <v>0.0</v>
      </c>
      <c r="G411" s="2" t="n">
        <f>HYPERLINK("https://patentcenter.uspto.gov/applications/17343649","Patent Center")</f>
        <v>0.0</v>
      </c>
      <c r="H411" s="2" t="n">
        <f>HYPERLINK("https://worldwide.espacenet.com/patent/search?q=US20220106189","Espacenet")</f>
        <v>0.0</v>
      </c>
      <c r="I411" s="2" t="n">
        <f>HYPERLINK("https://ppubs.uspto.gov/pubwebapp/external.html?q=20220106189.pn.","USPTO")</f>
        <v>0.0</v>
      </c>
      <c r="J411" s="2" t="n">
        <f>HYPERLINK("https://image-ppubs.uspto.gov/dirsearch-public/print/downloadPdf/20220106189","USPTO PDF")</f>
        <v>0.0</v>
      </c>
      <c r="K411" s="2" t="n">
        <f>HYPERLINK("https://sectors.patentforecast.com/pmd/US20220106189","PMD")</f>
        <v>0.0</v>
      </c>
      <c r="L411" s="2" t="n">
        <f>HYPERLINK("https://globaldossier.uspto.gov/result/application/US/17343649/1","US20220106189")</f>
        <v>0.0</v>
      </c>
      <c r="M411" t="s">
        <v>2935</v>
      </c>
      <c r="N411" t="s">
        <v>2936</v>
      </c>
      <c r="O411" t="s">
        <v>2937</v>
      </c>
      <c r="P411" t="s">
        <v>2938</v>
      </c>
      <c r="Q411" s="3" t="n">
        <v>44356.0</v>
      </c>
      <c r="R411" s="3" t="n">
        <v>44658.0</v>
      </c>
      <c r="S411" s="3" t="n">
        <v>44659.23052920139</v>
      </c>
      <c r="T411" s="3" t="n">
        <v>44719.56794097222</v>
      </c>
      <c r="U411" t="s">
        <v>2939</v>
      </c>
      <c r="V411" t="s">
        <v>2940</v>
      </c>
    </row>
    <row r="412">
      <c r="A412" t="s">
        <v>22</v>
      </c>
      <c r="B412" t="s">
        <v>2941</v>
      </c>
      <c r="C412" t="s">
        <v>24</v>
      </c>
      <c r="D412" t="s">
        <v>69</v>
      </c>
      <c r="E412" t="s">
        <v>2942</v>
      </c>
      <c r="F412" s="2" t="n">
        <f>HYPERLINK("https://patents.google.com/patent/US20220106159","Google")</f>
        <v>0.0</v>
      </c>
      <c r="G412" s="2" t="n">
        <f>HYPERLINK("https://patentcenter.uspto.gov/applications/17062620","Patent Center")</f>
        <v>0.0</v>
      </c>
      <c r="H412" s="2" t="n">
        <f>HYPERLINK("https://worldwide.espacenet.com/patent/search?q=US20220106159","Espacenet")</f>
        <v>0.0</v>
      </c>
      <c r="I412" s="2" t="n">
        <f>HYPERLINK("https://ppubs.uspto.gov/pubwebapp/external.html?q=20220106159.pn.","USPTO")</f>
        <v>0.0</v>
      </c>
      <c r="J412" s="2" t="n">
        <f>HYPERLINK("https://image-ppubs.uspto.gov/dirsearch-public/print/downloadPdf/20220106159","USPTO PDF")</f>
        <v>0.0</v>
      </c>
      <c r="K412" s="2" t="n">
        <f>HYPERLINK("https://sectors.patentforecast.com/pmd/US20220106159","PMD")</f>
        <v>0.0</v>
      </c>
      <c r="L412" s="2" t="n">
        <f>HYPERLINK("https://globaldossier.uspto.gov/result/application/US/17062620/1","US20220106159")</f>
        <v>0.0</v>
      </c>
      <c r="M412" t="s">
        <v>2943</v>
      </c>
      <c r="N412" t="s">
        <v>2944</v>
      </c>
      <c r="O412" t="s">
        <v>2945</v>
      </c>
      <c r="P412" t="s">
        <v>2946</v>
      </c>
      <c r="Q412" s="3" t="n">
        <v>44108.0</v>
      </c>
      <c r="R412" s="3" t="n">
        <v>44658.0</v>
      </c>
      <c r="S412" s="3" t="n">
        <v>44659.23052920139</v>
      </c>
      <c r="T412" s="3" t="n">
        <v>44719.56801136574</v>
      </c>
      <c r="U412" t="s">
        <v>2947</v>
      </c>
      <c r="V412" t="s">
        <v>2948</v>
      </c>
    </row>
    <row r="413">
      <c r="A413" t="s">
        <v>22</v>
      </c>
      <c r="B413" t="s">
        <v>2949</v>
      </c>
      <c r="C413" t="s">
        <v>24</v>
      </c>
      <c r="D413" t="s">
        <v>69</v>
      </c>
      <c r="E413" t="s">
        <v>2950</v>
      </c>
      <c r="F413" s="2" t="n">
        <f>HYPERLINK("https://patents.google.com/patent/US20220105370","Google")</f>
        <v>0.0</v>
      </c>
      <c r="G413" s="2" t="n">
        <f>HYPERLINK("https://patentcenter.uspto.gov/applications/17495581","Patent Center")</f>
        <v>0.0</v>
      </c>
      <c r="H413" s="2" t="n">
        <f>HYPERLINK("https://worldwide.espacenet.com/patent/search?q=US20220105370","Espacenet")</f>
        <v>0.0</v>
      </c>
      <c r="I413" s="2" t="n">
        <f>HYPERLINK("https://ppubs.uspto.gov/pubwebapp/external.html?q=20220105370.pn.","USPTO")</f>
        <v>0.0</v>
      </c>
      <c r="J413" s="2" t="n">
        <f>HYPERLINK("https://image-ppubs.uspto.gov/dirsearch-public/print/downloadPdf/20220105370","USPTO PDF")</f>
        <v>0.0</v>
      </c>
      <c r="K413" s="2" t="n">
        <f>HYPERLINK("https://sectors.patentforecast.com/pmd/US20220105370","PMD")</f>
        <v>0.0</v>
      </c>
      <c r="L413" s="2" t="n">
        <f>HYPERLINK("https://globaldossier.uspto.gov/result/application/US/17495581/1","US20220105370")</f>
        <v>0.0</v>
      </c>
      <c r="M413" t="s">
        <v>2951</v>
      </c>
      <c r="N413" t="s">
        <v>2952</v>
      </c>
      <c r="O413" t="s">
        <v>2953</v>
      </c>
      <c r="P413" t="s">
        <v>2954</v>
      </c>
      <c r="Q413" s="3" t="n">
        <v>44475.0</v>
      </c>
      <c r="R413" s="3" t="n">
        <v>44658.0</v>
      </c>
      <c r="S413" s="3" t="n">
        <v>44659.23052920139</v>
      </c>
      <c r="T413" s="3" t="n">
        <v>44719.56807849537</v>
      </c>
      <c r="U413" t="s">
        <v>2955</v>
      </c>
      <c r="V413" t="s">
        <v>2956</v>
      </c>
    </row>
    <row r="414">
      <c r="A414" t="s">
        <v>22</v>
      </c>
      <c r="B414" t="s">
        <v>2957</v>
      </c>
      <c r="C414" t="s">
        <v>24</v>
      </c>
      <c r="D414" t="s">
        <v>69</v>
      </c>
      <c r="E414" t="s">
        <v>2958</v>
      </c>
      <c r="F414" s="2" t="n">
        <f>HYPERLINK("https://patents.google.com/patent/US20220105367","Google")</f>
        <v>0.0</v>
      </c>
      <c r="G414" s="2" t="n">
        <f>HYPERLINK("https://patentcenter.uspto.gov/applications/17554892","Patent Center")</f>
        <v>0.0</v>
      </c>
      <c r="H414" s="2" t="n">
        <f>HYPERLINK("https://worldwide.espacenet.com/patent/search?q=US20220105367","Espacenet")</f>
        <v>0.0</v>
      </c>
      <c r="I414" s="2" t="n">
        <f>HYPERLINK("https://ppubs.uspto.gov/pubwebapp/external.html?q=20220105367.pn.","USPTO")</f>
        <v>0.0</v>
      </c>
      <c r="J414" s="2" t="n">
        <f>HYPERLINK("https://image-ppubs.uspto.gov/dirsearch-public/print/downloadPdf/20220105367","USPTO PDF")</f>
        <v>0.0</v>
      </c>
      <c r="K414" s="2" t="n">
        <f>HYPERLINK("https://sectors.patentforecast.com/pmd/US20220105367","PMD")</f>
        <v>0.0</v>
      </c>
      <c r="L414" s="2" t="n">
        <f>HYPERLINK("https://globaldossier.uspto.gov/result/application/US/17554892/1","US20220105367")</f>
        <v>0.0</v>
      </c>
      <c r="M414" t="s">
        <v>2959</v>
      </c>
      <c r="N414" t="s">
        <v>2960</v>
      </c>
      <c r="O414" t="s">
        <v>2961</v>
      </c>
      <c r="P414" t="s">
        <v>2962</v>
      </c>
      <c r="Q414" s="3" t="n">
        <v>44547.0</v>
      </c>
      <c r="R414" s="3" t="n">
        <v>44658.0</v>
      </c>
      <c r="S414" s="3" t="n">
        <v>44659.23052920139</v>
      </c>
      <c r="T414" s="3" t="n">
        <v>44672.34614756944</v>
      </c>
      <c r="U414" t="s">
        <v>31</v>
      </c>
      <c r="V414" t="s">
        <v>2963</v>
      </c>
    </row>
    <row r="415">
      <c r="A415" t="s">
        <v>22</v>
      </c>
      <c r="B415" t="s">
        <v>2964</v>
      </c>
      <c r="C415" t="s">
        <v>24</v>
      </c>
      <c r="D415" t="s">
        <v>69</v>
      </c>
      <c r="E415" t="s">
        <v>2965</v>
      </c>
      <c r="F415" s="2" t="n">
        <f>HYPERLINK("https://patents.google.com/patent/US20220105366","Google")</f>
        <v>0.0</v>
      </c>
      <c r="G415" s="2" t="n">
        <f>HYPERLINK("https://patentcenter.uspto.gov/applications/17488266","Patent Center")</f>
        <v>0.0</v>
      </c>
      <c r="H415" s="2" t="n">
        <f>HYPERLINK("https://worldwide.espacenet.com/patent/search?q=US20220105366","Espacenet")</f>
        <v>0.0</v>
      </c>
      <c r="I415" s="2" t="n">
        <f>HYPERLINK("https://ppubs.uspto.gov/pubwebapp/external.html?q=20220105366.pn.","USPTO")</f>
        <v>0.0</v>
      </c>
      <c r="J415" s="2" t="n">
        <f>HYPERLINK("https://image-ppubs.uspto.gov/dirsearch-public/print/downloadPdf/20220105366","USPTO PDF")</f>
        <v>0.0</v>
      </c>
      <c r="K415" s="2" t="n">
        <f>HYPERLINK("https://sectors.patentforecast.com/pmd/US20220105366","PMD")</f>
        <v>0.0</v>
      </c>
      <c r="L415" s="2" t="n">
        <f>HYPERLINK("https://globaldossier.uspto.gov/result/application/US/17488266/1","US20220105366")</f>
        <v>0.0</v>
      </c>
      <c r="M415" t="s">
        <v>2966</v>
      </c>
      <c r="N415" t="s">
        <v>2967</v>
      </c>
      <c r="O415" t="s">
        <v>2968</v>
      </c>
      <c r="P415" t="s">
        <v>2969</v>
      </c>
      <c r="Q415" s="3" t="n">
        <v>44467.0</v>
      </c>
      <c r="R415" s="3" t="n">
        <v>44658.0</v>
      </c>
      <c r="S415" s="3" t="n">
        <v>44659.23052920139</v>
      </c>
      <c r="T415" s="3" t="n">
        <v>44672.48303505787</v>
      </c>
      <c r="U415" t="s">
        <v>31</v>
      </c>
      <c r="V415" t="s">
        <v>2970</v>
      </c>
    </row>
    <row r="416">
      <c r="A416" t="s">
        <v>22</v>
      </c>
      <c r="B416" t="s">
        <v>2971</v>
      </c>
      <c r="C416" t="s">
        <v>60</v>
      </c>
      <c r="D416" t="s">
        <v>715</v>
      </c>
      <c r="E416" t="s">
        <v>2972</v>
      </c>
      <c r="F416" s="2" t="n">
        <f>HYPERLINK("https://patents.google.com/patent/US20220105289","Google")</f>
        <v>0.0</v>
      </c>
      <c r="G416" s="2" t="n">
        <f>HYPERLINK("https://patentcenter.uspto.gov/applications/17492822","Patent Center")</f>
        <v>0.0</v>
      </c>
      <c r="H416" s="2" t="n">
        <f>HYPERLINK("https://worldwide.espacenet.com/patent/search?q=US20220105289","Espacenet")</f>
        <v>0.0</v>
      </c>
      <c r="I416" s="2" t="n">
        <f>HYPERLINK("https://ppubs.uspto.gov/pubwebapp/external.html?q=20220105289.pn.","USPTO")</f>
        <v>0.0</v>
      </c>
      <c r="J416" s="2" t="n">
        <f>HYPERLINK("https://image-ppubs.uspto.gov/dirsearch-public/print/downloadPdf/20220105289","USPTO PDF")</f>
        <v>0.0</v>
      </c>
      <c r="K416" s="2" t="n">
        <f>HYPERLINK("https://sectors.patentforecast.com/pmd/US20220105289","PMD")</f>
        <v>0.0</v>
      </c>
      <c r="L416" s="2" t="n">
        <f>HYPERLINK("https://globaldossier.uspto.gov/result/application/US/17492822/1","US20220105289")</f>
        <v>0.0</v>
      </c>
      <c r="M416" t="s">
        <v>2973</v>
      </c>
      <c r="N416" t="s">
        <v>2974</v>
      </c>
      <c r="O416" t="s">
        <v>2974</v>
      </c>
      <c r="P416" t="s">
        <v>2975</v>
      </c>
      <c r="Q416" s="3" t="n">
        <v>44473.0</v>
      </c>
      <c r="R416" s="3" t="n">
        <v>44658.0</v>
      </c>
      <c r="S416" s="3" t="n">
        <v>44659.23052920139</v>
      </c>
      <c r="T416" s="3" t="n">
        <v>44672.49086493056</v>
      </c>
      <c r="U416" t="s">
        <v>31</v>
      </c>
      <c r="V416" t="s">
        <v>2976</v>
      </c>
    </row>
    <row r="417">
      <c r="A417" t="s">
        <v>22</v>
      </c>
      <c r="B417" t="s">
        <v>2977</v>
      </c>
      <c r="C417" t="s">
        <v>24</v>
      </c>
      <c r="D417" t="s">
        <v>100</v>
      </c>
      <c r="E417" t="s">
        <v>2978</v>
      </c>
      <c r="F417" s="2" t="n">
        <f>HYPERLINK("https://patents.google.com/patent/US20220105228","Google")</f>
        <v>0.0</v>
      </c>
      <c r="G417" s="2" t="n">
        <f>HYPERLINK("https://patentcenter.uspto.gov/applications/17494126","Patent Center")</f>
        <v>0.0</v>
      </c>
      <c r="H417" s="2" t="n">
        <f>HYPERLINK("https://worldwide.espacenet.com/patent/search?q=US20220105228","Espacenet")</f>
        <v>0.0</v>
      </c>
      <c r="I417" s="2" t="n">
        <f>HYPERLINK("https://ppubs.uspto.gov/pubwebapp/external.html?q=20220105228.pn.","USPTO")</f>
        <v>0.0</v>
      </c>
      <c r="J417" s="2" t="n">
        <f>HYPERLINK("https://image-ppubs.uspto.gov/dirsearch-public/print/downloadPdf/20220105228","USPTO PDF")</f>
        <v>0.0</v>
      </c>
      <c r="K417" s="2" t="n">
        <f>HYPERLINK("https://sectors.patentforecast.com/pmd/US20220105228","PMD")</f>
        <v>0.0</v>
      </c>
      <c r="L417" s="2" t="n">
        <f>HYPERLINK("https://globaldossier.uspto.gov/result/application/US/17494126/1","US20220105228")</f>
        <v>0.0</v>
      </c>
      <c r="M417" t="s">
        <v>2979</v>
      </c>
      <c r="N417" t="s">
        <v>2980</v>
      </c>
      <c r="O417" t="s">
        <v>2981</v>
      </c>
      <c r="P417" t="s">
        <v>2982</v>
      </c>
      <c r="Q417" s="3" t="n">
        <v>44474.0</v>
      </c>
      <c r="R417" s="3" t="n">
        <v>44658.0</v>
      </c>
      <c r="S417" s="3" t="n">
        <v>44659.23052920139</v>
      </c>
      <c r="T417" s="3" t="n">
        <v>44719.56814015046</v>
      </c>
      <c r="U417" t="s">
        <v>2983</v>
      </c>
      <c r="V417" t="s">
        <v>2984</v>
      </c>
    </row>
    <row r="418">
      <c r="A418" t="s">
        <v>22</v>
      </c>
      <c r="B418" t="s">
        <v>2985</v>
      </c>
      <c r="C418" t="s">
        <v>24</v>
      </c>
      <c r="D418" t="s">
        <v>100</v>
      </c>
      <c r="E418" t="s">
        <v>2986</v>
      </c>
      <c r="F418" s="2" t="n">
        <f>HYPERLINK("https://patents.google.com/patent/US20220105227","Google")</f>
        <v>0.0</v>
      </c>
      <c r="G418" s="2" t="n">
        <f>HYPERLINK("https://patentcenter.uspto.gov/applications/17490284","Patent Center")</f>
        <v>0.0</v>
      </c>
      <c r="H418" s="2" t="n">
        <f>HYPERLINK("https://worldwide.espacenet.com/patent/search?q=US20220105227","Espacenet")</f>
        <v>0.0</v>
      </c>
      <c r="I418" s="2" t="n">
        <f>HYPERLINK("https://ppubs.uspto.gov/pubwebapp/external.html?q=20220105227.pn.","USPTO")</f>
        <v>0.0</v>
      </c>
      <c r="J418" s="2" t="n">
        <f>HYPERLINK("https://image-ppubs.uspto.gov/dirsearch-public/print/downloadPdf/20220105227","USPTO PDF")</f>
        <v>0.0</v>
      </c>
      <c r="K418" s="2" t="n">
        <f>HYPERLINK("https://sectors.patentforecast.com/pmd/US20220105227","PMD")</f>
        <v>0.0</v>
      </c>
      <c r="L418" s="2" t="n">
        <f>HYPERLINK("https://globaldossier.uspto.gov/result/application/US/17490284/1","US20220105227")</f>
        <v>0.0</v>
      </c>
      <c r="M418" t="s">
        <v>2987</v>
      </c>
      <c r="N418" t="s">
        <v>573</v>
      </c>
      <c r="O418" t="s">
        <v>574</v>
      </c>
      <c r="P418" t="s">
        <v>575</v>
      </c>
      <c r="Q418" s="3" t="n">
        <v>44469.0</v>
      </c>
      <c r="R418" s="3" t="n">
        <v>44658.0</v>
      </c>
      <c r="S418" s="3" t="n">
        <v>44659.23052920139</v>
      </c>
      <c r="T418" s="3" t="n">
        <v>44672.44141334491</v>
      </c>
      <c r="U418" t="s">
        <v>2988</v>
      </c>
      <c r="V418" t="s">
        <v>2989</v>
      </c>
    </row>
    <row r="419">
      <c r="A419" t="s">
        <v>22</v>
      </c>
      <c r="B419" t="s">
        <v>2990</v>
      </c>
      <c r="C419" t="s">
        <v>24</v>
      </c>
      <c r="D419" t="s">
        <v>100</v>
      </c>
      <c r="E419" t="s">
        <v>2991</v>
      </c>
      <c r="F419" s="2" t="n">
        <f>HYPERLINK("https://patents.google.com/patent/US20220105225","Google")</f>
        <v>0.0</v>
      </c>
      <c r="G419" s="2" t="n">
        <f>HYPERLINK("https://patentcenter.uspto.gov/applications/17062486","Patent Center")</f>
        <v>0.0</v>
      </c>
      <c r="H419" s="2" t="n">
        <f>HYPERLINK("https://worldwide.espacenet.com/patent/search?q=US20220105225","Espacenet")</f>
        <v>0.0</v>
      </c>
      <c r="I419" s="2" t="n">
        <f>HYPERLINK("https://ppubs.uspto.gov/pubwebapp/external.html?q=20220105225.pn.","USPTO")</f>
        <v>0.0</v>
      </c>
      <c r="J419" s="2" t="n">
        <f>HYPERLINK("https://image-ppubs.uspto.gov/dirsearch-public/print/downloadPdf/20220105225","USPTO PDF")</f>
        <v>0.0</v>
      </c>
      <c r="K419" s="2" t="n">
        <f>HYPERLINK("https://sectors.patentforecast.com/pmd/US20220105225","PMD")</f>
        <v>0.0</v>
      </c>
      <c r="L419" s="2" t="n">
        <f>HYPERLINK("https://globaldossier.uspto.gov/result/application/US/17062486/1","US20220105225")</f>
        <v>0.0</v>
      </c>
      <c r="M419" t="s">
        <v>2992</v>
      </c>
      <c r="N419" t="s">
        <v>2464</v>
      </c>
      <c r="O419" t="s">
        <v>2465</v>
      </c>
      <c r="P419" t="s">
        <v>2466</v>
      </c>
      <c r="Q419" s="3" t="n">
        <v>44106.0</v>
      </c>
      <c r="R419" s="3" t="n">
        <v>44658.0</v>
      </c>
      <c r="S419" s="3" t="n">
        <v>44659.23052920139</v>
      </c>
      <c r="T419" s="3" t="n">
        <v>44719.56819140046</v>
      </c>
      <c r="U419" t="s">
        <v>2993</v>
      </c>
      <c r="V419" t="s">
        <v>2994</v>
      </c>
    </row>
    <row r="420">
      <c r="A420" t="s">
        <v>22</v>
      </c>
      <c r="B420" t="s">
        <v>2995</v>
      </c>
      <c r="C420" t="s">
        <v>24</v>
      </c>
      <c r="D420" t="s">
        <v>100</v>
      </c>
      <c r="E420" t="s">
        <v>2996</v>
      </c>
      <c r="F420" s="2" t="n">
        <f>HYPERLINK("https://patents.google.com/patent/US20220105220","Google")</f>
        <v>0.0</v>
      </c>
      <c r="G420" s="2" t="n">
        <f>HYPERLINK("https://patentcenter.uspto.gov/applications/17495658","Patent Center")</f>
        <v>0.0</v>
      </c>
      <c r="H420" s="2" t="n">
        <f>HYPERLINK("https://worldwide.espacenet.com/patent/search?q=US20220105220","Espacenet")</f>
        <v>0.0</v>
      </c>
      <c r="I420" s="2" t="n">
        <f>HYPERLINK("https://ppubs.uspto.gov/pubwebapp/external.html?q=20220105220.pn.","USPTO")</f>
        <v>0.0</v>
      </c>
      <c r="J420" s="2" t="n">
        <f>HYPERLINK("https://image-ppubs.uspto.gov/dirsearch-public/print/downloadPdf/20220105220","USPTO PDF")</f>
        <v>0.0</v>
      </c>
      <c r="K420" s="2" t="n">
        <f>HYPERLINK("https://sectors.patentforecast.com/pmd/US20220105220","PMD")</f>
        <v>0.0</v>
      </c>
      <c r="L420" s="2" t="n">
        <f>HYPERLINK("https://globaldossier.uspto.gov/result/application/US/17495658/1","US20220105220")</f>
        <v>0.0</v>
      </c>
      <c r="M420" t="s">
        <v>2997</v>
      </c>
      <c r="N420" t="s">
        <v>2998</v>
      </c>
      <c r="O420" t="s">
        <v>2999</v>
      </c>
      <c r="P420" t="s">
        <v>3000</v>
      </c>
      <c r="Q420" s="3" t="n">
        <v>44475.0</v>
      </c>
      <c r="R420" s="3" t="n">
        <v>44658.0</v>
      </c>
      <c r="S420" s="3" t="n">
        <v>44659.23052920139</v>
      </c>
      <c r="T420" s="3" t="n">
        <v>44672.363379814815</v>
      </c>
      <c r="U420" t="s">
        <v>31</v>
      </c>
      <c r="V420" t="s">
        <v>3001</v>
      </c>
    </row>
    <row r="421">
      <c r="A421" t="s">
        <v>22</v>
      </c>
      <c r="B421" t="s">
        <v>3002</v>
      </c>
      <c r="C421" t="s">
        <v>24</v>
      </c>
      <c r="D421" t="s">
        <v>100</v>
      </c>
      <c r="E421" t="s">
        <v>3003</v>
      </c>
      <c r="F421" s="2" t="n">
        <f>HYPERLINK("https://patents.google.com/patent/US20220105213","Google")</f>
        <v>0.0</v>
      </c>
      <c r="G421" s="2" t="n">
        <f>HYPERLINK("https://patentcenter.uspto.gov/applications/17489839","Patent Center")</f>
        <v>0.0</v>
      </c>
      <c r="H421" s="2" t="n">
        <f>HYPERLINK("https://worldwide.espacenet.com/patent/search?q=US20220105213","Espacenet")</f>
        <v>0.0</v>
      </c>
      <c r="I421" s="2" t="n">
        <f>HYPERLINK("https://ppubs.uspto.gov/pubwebapp/external.html?q=20220105213.pn.","USPTO")</f>
        <v>0.0</v>
      </c>
      <c r="J421" s="2" t="n">
        <f>HYPERLINK("https://image-ppubs.uspto.gov/dirsearch-public/print/downloadPdf/20220105213","USPTO PDF")</f>
        <v>0.0</v>
      </c>
      <c r="K421" s="2" t="n">
        <f>HYPERLINK("https://sectors.patentforecast.com/pmd/US20220105213","PMD")</f>
        <v>0.0</v>
      </c>
      <c r="L421" s="2" t="n">
        <f>HYPERLINK("https://globaldossier.uspto.gov/result/application/US/17489839/1","US20220105213")</f>
        <v>0.0</v>
      </c>
      <c r="M421" t="s">
        <v>3004</v>
      </c>
      <c r="N421" t="s">
        <v>3005</v>
      </c>
      <c r="O421" t="s">
        <v>3006</v>
      </c>
      <c r="P421" t="s">
        <v>3007</v>
      </c>
      <c r="Q421" s="3" t="n">
        <v>44469.0</v>
      </c>
      <c r="R421" s="3" t="n">
        <v>44658.0</v>
      </c>
      <c r="S421" s="3" t="n">
        <v>44659.23052920139</v>
      </c>
      <c r="T421" s="3" t="n">
        <v>44672.42959046296</v>
      </c>
      <c r="U421" t="s">
        <v>3008</v>
      </c>
      <c r="V421" t="s">
        <v>3009</v>
      </c>
    </row>
    <row r="422">
      <c r="A422" t="s">
        <v>22</v>
      </c>
      <c r="B422" t="s">
        <v>3010</v>
      </c>
      <c r="C422" t="s">
        <v>24</v>
      </c>
      <c r="D422" t="s">
        <v>100</v>
      </c>
      <c r="E422" t="s">
        <v>3011</v>
      </c>
      <c r="F422" s="2" t="n">
        <f>HYPERLINK("https://patents.google.com/patent/US20220105209","Google")</f>
        <v>0.0</v>
      </c>
      <c r="G422" s="2" t="n">
        <f>HYPERLINK("https://patentcenter.uspto.gov/applications/17337425","Patent Center")</f>
        <v>0.0</v>
      </c>
      <c r="H422" s="2" t="n">
        <f>HYPERLINK("https://worldwide.espacenet.com/patent/search?q=US20220105209","Espacenet")</f>
        <v>0.0</v>
      </c>
      <c r="I422" s="2" t="n">
        <f>HYPERLINK("https://ppubs.uspto.gov/pubwebapp/external.html?q=20220105209.pn.","USPTO")</f>
        <v>0.0</v>
      </c>
      <c r="J422" s="2" t="n">
        <f>HYPERLINK("https://image-ppubs.uspto.gov/dirsearch-public/print/downloadPdf/20220105209","USPTO PDF")</f>
        <v>0.0</v>
      </c>
      <c r="K422" s="2" t="n">
        <f>HYPERLINK("https://sectors.patentforecast.com/pmd/US20220105209","PMD")</f>
        <v>0.0</v>
      </c>
      <c r="L422" s="2" t="n">
        <f>HYPERLINK("https://globaldossier.uspto.gov/result/application/US/17337425/1","US20220105209")</f>
        <v>0.0</v>
      </c>
      <c r="M422" t="s">
        <v>3012</v>
      </c>
      <c r="N422" t="s">
        <v>3013</v>
      </c>
      <c r="O422" t="s">
        <v>3014</v>
      </c>
      <c r="P422" t="s">
        <v>3015</v>
      </c>
      <c r="Q422" s="3" t="n">
        <v>44350.0</v>
      </c>
      <c r="R422" s="3" t="n">
        <v>44658.0</v>
      </c>
      <c r="S422" s="3" t="n">
        <v>44659.23052920139</v>
      </c>
      <c r="T422" s="3" t="n">
        <v>44672.433773923614</v>
      </c>
      <c r="U422" t="s">
        <v>3016</v>
      </c>
      <c r="V422" t="s">
        <v>3017</v>
      </c>
    </row>
    <row r="423">
      <c r="A423" t="s">
        <v>22</v>
      </c>
      <c r="B423" t="s">
        <v>3018</v>
      </c>
      <c r="C423" t="s">
        <v>60</v>
      </c>
      <c r="D423" t="s">
        <v>61</v>
      </c>
      <c r="E423" t="s">
        <v>3019</v>
      </c>
      <c r="F423" s="2" t="n">
        <f>HYPERLINK("https://patents.google.com/patent/US20220105135","Google")</f>
        <v>0.0</v>
      </c>
      <c r="G423" s="2" t="n">
        <f>HYPERLINK("https://patentcenter.uspto.gov/applications/17494062","Patent Center")</f>
        <v>0.0</v>
      </c>
      <c r="H423" s="2" t="n">
        <f>HYPERLINK("https://worldwide.espacenet.com/patent/search?q=US20220105135","Espacenet")</f>
        <v>0.0</v>
      </c>
      <c r="I423" s="2" t="n">
        <f>HYPERLINK("https://ppubs.uspto.gov/pubwebapp/external.html?q=20220105135.pn.","USPTO")</f>
        <v>0.0</v>
      </c>
      <c r="J423" s="2" t="n">
        <f>HYPERLINK("https://image-ppubs.uspto.gov/dirsearch-public/print/downloadPdf/20220105135","USPTO PDF")</f>
        <v>0.0</v>
      </c>
      <c r="K423" s="2" t="n">
        <f>HYPERLINK("https://sectors.patentforecast.com/pmd/US20220105135","PMD")</f>
        <v>0.0</v>
      </c>
      <c r="L423" s="2" t="n">
        <f>HYPERLINK("https://globaldossier.uspto.gov/result/application/US/17494062/1","US20220105135")</f>
        <v>0.0</v>
      </c>
      <c r="M423" t="s">
        <v>3020</v>
      </c>
      <c r="N423" t="s">
        <v>3021</v>
      </c>
      <c r="O423" t="s">
        <v>3022</v>
      </c>
      <c r="P423" t="s">
        <v>3023</v>
      </c>
      <c r="Q423" s="3" t="n">
        <v>44474.0</v>
      </c>
      <c r="R423" s="3" t="n">
        <v>44658.0</v>
      </c>
      <c r="S423" s="3" t="n">
        <v>44659.23052920139</v>
      </c>
      <c r="T423" s="3" t="n">
        <v>44719.56867332176</v>
      </c>
      <c r="U423" t="s">
        <v>3024</v>
      </c>
      <c r="V423" t="s">
        <v>3025</v>
      </c>
    </row>
    <row r="424">
      <c r="A424" t="s">
        <v>22</v>
      </c>
      <c r="B424" t="s">
        <v>3026</v>
      </c>
      <c r="C424" t="s">
        <v>60</v>
      </c>
      <c r="D424" t="s">
        <v>61</v>
      </c>
      <c r="E424" t="s">
        <v>3027</v>
      </c>
      <c r="F424" s="2" t="n">
        <f>HYPERLINK("https://patents.google.com/patent/US20220105128","Google")</f>
        <v>0.0</v>
      </c>
      <c r="G424" s="2" t="n">
        <f>HYPERLINK("https://patentcenter.uspto.gov/applications/17494230","Patent Center")</f>
        <v>0.0</v>
      </c>
      <c r="H424" s="2" t="n">
        <f>HYPERLINK("https://worldwide.espacenet.com/patent/search?q=US20220105128","Espacenet")</f>
        <v>0.0</v>
      </c>
      <c r="I424" s="2" t="n">
        <f>HYPERLINK("https://ppubs.uspto.gov/pubwebapp/external.html?q=20220105128.pn.","USPTO")</f>
        <v>0.0</v>
      </c>
      <c r="J424" s="2" t="n">
        <f>HYPERLINK("https://image-ppubs.uspto.gov/dirsearch-public/print/downloadPdf/20220105128","USPTO PDF")</f>
        <v>0.0</v>
      </c>
      <c r="K424" s="2" t="n">
        <f>HYPERLINK("https://sectors.patentforecast.com/pmd/US20220105128","PMD")</f>
        <v>0.0</v>
      </c>
      <c r="L424" s="2" t="n">
        <f>HYPERLINK("https://globaldossier.uspto.gov/result/application/US/17494230/1","US20220105128")</f>
        <v>0.0</v>
      </c>
      <c r="M424" t="s">
        <v>3028</v>
      </c>
      <c r="N424" t="s">
        <v>3029</v>
      </c>
      <c r="O424" t="s">
        <v>3030</v>
      </c>
      <c r="P424" t="s">
        <v>3031</v>
      </c>
      <c r="Q424" s="3" t="n">
        <v>44474.0</v>
      </c>
      <c r="R424" s="3" t="n">
        <v>44658.0</v>
      </c>
      <c r="S424" s="3" t="n">
        <v>44659.23052920139</v>
      </c>
      <c r="T424" s="3" t="n">
        <v>44719.56870444444</v>
      </c>
      <c r="U424" t="s">
        <v>3032</v>
      </c>
      <c r="V424" t="s">
        <v>3033</v>
      </c>
    </row>
    <row r="425">
      <c r="A425" t="s">
        <v>22</v>
      </c>
      <c r="B425" t="s">
        <v>3034</v>
      </c>
      <c r="C425" t="s">
        <v>60</v>
      </c>
      <c r="D425" t="s">
        <v>61</v>
      </c>
      <c r="E425" t="s">
        <v>3035</v>
      </c>
      <c r="F425" s="2" t="n">
        <f>HYPERLINK("https://patents.google.com/patent/US20220105126","Google")</f>
        <v>0.0</v>
      </c>
      <c r="G425" s="2" t="n">
        <f>HYPERLINK("https://patentcenter.uspto.gov/applications/17492451","Patent Center")</f>
        <v>0.0</v>
      </c>
      <c r="H425" s="2" t="n">
        <f>HYPERLINK("https://worldwide.espacenet.com/patent/search?q=US20220105126","Espacenet")</f>
        <v>0.0</v>
      </c>
      <c r="I425" s="2" t="n">
        <f>HYPERLINK("https://ppubs.uspto.gov/pubwebapp/external.html?q=20220105126.pn.","USPTO")</f>
        <v>0.0</v>
      </c>
      <c r="J425" s="2" t="n">
        <f>HYPERLINK("https://image-ppubs.uspto.gov/dirsearch-public/print/downloadPdf/20220105126","USPTO PDF")</f>
        <v>0.0</v>
      </c>
      <c r="K425" s="2" t="n">
        <f>HYPERLINK("https://sectors.patentforecast.com/pmd/US20220105126","PMD")</f>
        <v>0.0</v>
      </c>
      <c r="L425" s="2" t="n">
        <f>HYPERLINK("https://globaldossier.uspto.gov/result/application/US/17492451/1","US20220105126")</f>
        <v>0.0</v>
      </c>
      <c r="M425" t="s">
        <v>3036</v>
      </c>
      <c r="N425" t="s">
        <v>3037</v>
      </c>
      <c r="O425" t="s">
        <v>3038</v>
      </c>
      <c r="P425" t="s">
        <v>3039</v>
      </c>
      <c r="Q425" s="3" t="n">
        <v>44470.0</v>
      </c>
      <c r="R425" s="3" t="n">
        <v>44658.0</v>
      </c>
      <c r="S425" s="3" t="n">
        <v>44659.23052920139</v>
      </c>
      <c r="T425" s="3" t="n">
        <v>44672.389924953706</v>
      </c>
      <c r="U425" t="s">
        <v>3040</v>
      </c>
      <c r="V425" t="s">
        <v>3041</v>
      </c>
    </row>
    <row r="426">
      <c r="A426" t="s">
        <v>22</v>
      </c>
      <c r="B426" t="s">
        <v>3042</v>
      </c>
      <c r="C426" t="s">
        <v>60</v>
      </c>
      <c r="D426" t="s">
        <v>61</v>
      </c>
      <c r="E426" t="s">
        <v>3043</v>
      </c>
      <c r="F426" s="2" t="n">
        <f>HYPERLINK("https://patents.google.com/patent/US20220105119","Google")</f>
        <v>0.0</v>
      </c>
      <c r="G426" s="2" t="n">
        <f>HYPERLINK("https://patentcenter.uspto.gov/applications/17330485","Patent Center")</f>
        <v>0.0</v>
      </c>
      <c r="H426" s="2" t="n">
        <f>HYPERLINK("https://worldwide.espacenet.com/patent/search?q=US20220105119","Espacenet")</f>
        <v>0.0</v>
      </c>
      <c r="I426" s="2" t="n">
        <f>HYPERLINK("https://ppubs.uspto.gov/pubwebapp/external.html?q=20220105119.pn.","USPTO")</f>
        <v>0.0</v>
      </c>
      <c r="J426" s="2" t="n">
        <f>HYPERLINK("https://image-ppubs.uspto.gov/dirsearch-public/print/downloadPdf/20220105119","USPTO PDF")</f>
        <v>0.0</v>
      </c>
      <c r="K426" s="2" t="n">
        <f>HYPERLINK("https://sectors.patentforecast.com/pmd/US20220105119","PMD")</f>
        <v>0.0</v>
      </c>
      <c r="L426" s="2" t="n">
        <f>HYPERLINK("https://globaldossier.uspto.gov/result/application/US/17330485/1","US20220105119")</f>
        <v>0.0</v>
      </c>
      <c r="M426" t="s">
        <v>3044</v>
      </c>
      <c r="N426" t="s">
        <v>3045</v>
      </c>
      <c r="O426" t="s">
        <v>3046</v>
      </c>
      <c r="P426" t="s">
        <v>3047</v>
      </c>
      <c r="Q426" s="3" t="n">
        <v>44342.0</v>
      </c>
      <c r="R426" s="3" t="n">
        <v>44658.0</v>
      </c>
      <c r="S426" s="3" t="n">
        <v>44659.23052920139</v>
      </c>
      <c r="T426" s="3" t="n">
        <v>44672.413144375</v>
      </c>
      <c r="U426" t="s">
        <v>31</v>
      </c>
      <c r="V426" t="s">
        <v>3048</v>
      </c>
    </row>
    <row r="427">
      <c r="A427" t="s">
        <v>22</v>
      </c>
      <c r="B427" t="s">
        <v>3049</v>
      </c>
      <c r="C427" t="s">
        <v>60</v>
      </c>
      <c r="D427" t="s">
        <v>61</v>
      </c>
      <c r="E427" t="s">
        <v>3050</v>
      </c>
      <c r="F427" s="2" t="n">
        <f>HYPERLINK("https://patents.google.com/patent/US20220105110","Google")</f>
        <v>0.0</v>
      </c>
      <c r="G427" s="2" t="n">
        <f>HYPERLINK("https://patentcenter.uspto.gov/applications/17157107","Patent Center")</f>
        <v>0.0</v>
      </c>
      <c r="H427" s="2" t="n">
        <f>HYPERLINK("https://worldwide.espacenet.com/patent/search?q=US20220105110","Espacenet")</f>
        <v>0.0</v>
      </c>
      <c r="I427" s="2" t="n">
        <f>HYPERLINK("https://ppubs.uspto.gov/pubwebapp/external.html?q=20220105110.pn.","USPTO")</f>
        <v>0.0</v>
      </c>
      <c r="J427" s="2" t="n">
        <f>HYPERLINK("https://image-ppubs.uspto.gov/dirsearch-public/print/downloadPdf/20220105110","USPTO PDF")</f>
        <v>0.0</v>
      </c>
      <c r="K427" s="2" t="n">
        <f>HYPERLINK("https://sectors.patentforecast.com/pmd/US20220105110","PMD")</f>
        <v>0.0</v>
      </c>
      <c r="L427" s="2" t="n">
        <f>HYPERLINK("https://globaldossier.uspto.gov/result/application/US/17157107/1","US20220105110")</f>
        <v>0.0</v>
      </c>
      <c r="M427" t="s">
        <v>3051</v>
      </c>
      <c r="N427" t="s">
        <v>3052</v>
      </c>
      <c r="O427" t="s">
        <v>3053</v>
      </c>
      <c r="P427" t="s">
        <v>3054</v>
      </c>
      <c r="Q427" s="3" t="n">
        <v>44221.0</v>
      </c>
      <c r="R427" s="3" t="n">
        <v>44658.0</v>
      </c>
      <c r="S427" s="3" t="n">
        <v>44659.23052920139</v>
      </c>
      <c r="T427" s="3" t="n">
        <v>44672.3901628125</v>
      </c>
      <c r="U427" t="s">
        <v>3055</v>
      </c>
      <c r="V427" t="s">
        <v>3056</v>
      </c>
    </row>
    <row r="428">
      <c r="A428" t="s">
        <v>22</v>
      </c>
      <c r="B428" t="s">
        <v>3057</v>
      </c>
      <c r="C428" t="s">
        <v>60</v>
      </c>
      <c r="D428" t="s">
        <v>61</v>
      </c>
      <c r="E428" t="s">
        <v>3058</v>
      </c>
      <c r="F428" s="2" t="n">
        <f>HYPERLINK("https://patents.google.com/patent/US20220105109","Google")</f>
        <v>0.0</v>
      </c>
      <c r="G428" s="2" t="n">
        <f>HYPERLINK("https://patentcenter.uspto.gov/applications/17113163","Patent Center")</f>
        <v>0.0</v>
      </c>
      <c r="H428" s="2" t="n">
        <f>HYPERLINK("https://worldwide.espacenet.com/patent/search?q=US20220105109","Espacenet")</f>
        <v>0.0</v>
      </c>
      <c r="I428" s="2" t="n">
        <f>HYPERLINK("https://ppubs.uspto.gov/pubwebapp/external.html?q=20220105109.pn.","USPTO")</f>
        <v>0.0</v>
      </c>
      <c r="J428" s="2" t="n">
        <f>HYPERLINK("https://image-ppubs.uspto.gov/dirsearch-public/print/downloadPdf/20220105109","USPTO PDF")</f>
        <v>0.0</v>
      </c>
      <c r="K428" s="2" t="n">
        <f>HYPERLINK("https://sectors.patentforecast.com/pmd/US20220105109","PMD")</f>
        <v>0.0</v>
      </c>
      <c r="L428" s="2" t="n">
        <f>HYPERLINK("https://globaldossier.uspto.gov/result/application/US/17113163/1","US20220105109")</f>
        <v>0.0</v>
      </c>
      <c r="M428" t="s">
        <v>3059</v>
      </c>
      <c r="N428" t="s">
        <v>3060</v>
      </c>
      <c r="O428" t="s">
        <v>3061</v>
      </c>
      <c r="P428" t="s">
        <v>3062</v>
      </c>
      <c r="Q428" s="3" t="n">
        <v>44172.0</v>
      </c>
      <c r="R428" s="3" t="n">
        <v>44658.0</v>
      </c>
      <c r="S428" s="3" t="n">
        <v>44659.23052920139</v>
      </c>
      <c r="T428" s="3" t="n">
        <v>44678.567994537036</v>
      </c>
      <c r="U428" t="s">
        <v>31</v>
      </c>
      <c r="V428" t="s">
        <v>3063</v>
      </c>
    </row>
    <row r="429">
      <c r="A429" t="s">
        <v>22</v>
      </c>
      <c r="B429" t="s">
        <v>3064</v>
      </c>
      <c r="C429" t="s">
        <v>60</v>
      </c>
      <c r="D429" t="s">
        <v>61</v>
      </c>
      <c r="E429" t="s">
        <v>3065</v>
      </c>
      <c r="F429" s="2" t="n">
        <f>HYPERLINK("https://patents.google.com/patent/US20220105108","Google")</f>
        <v>0.0</v>
      </c>
      <c r="G429" s="2" t="n">
        <f>HYPERLINK("https://patentcenter.uspto.gov/applications/17491036","Patent Center")</f>
        <v>0.0</v>
      </c>
      <c r="H429" s="2" t="n">
        <f>HYPERLINK("https://worldwide.espacenet.com/patent/search?q=US20220105108","Espacenet")</f>
        <v>0.0</v>
      </c>
      <c r="I429" s="2" t="n">
        <f>HYPERLINK("https://ppubs.uspto.gov/pubwebapp/external.html?q=20220105108.pn.","USPTO")</f>
        <v>0.0</v>
      </c>
      <c r="J429" s="2" t="n">
        <f>HYPERLINK("https://image-ppubs.uspto.gov/dirsearch-public/print/downloadPdf/20220105108","USPTO PDF")</f>
        <v>0.0</v>
      </c>
      <c r="K429" s="2" t="n">
        <f>HYPERLINK("https://sectors.patentforecast.com/pmd/US20220105108","PMD")</f>
        <v>0.0</v>
      </c>
      <c r="L429" s="2" t="n">
        <f>HYPERLINK("https://globaldossier.uspto.gov/result/application/US/17491036/1","US20220105108")</f>
        <v>0.0</v>
      </c>
      <c r="M429" t="s">
        <v>3066</v>
      </c>
      <c r="N429" t="s">
        <v>3067</v>
      </c>
      <c r="O429" t="s">
        <v>3068</v>
      </c>
      <c r="P429" t="s">
        <v>3069</v>
      </c>
      <c r="Q429" s="3" t="n">
        <v>44469.0</v>
      </c>
      <c r="R429" s="3" t="n">
        <v>44658.0</v>
      </c>
      <c r="S429" s="3" t="n">
        <v>44659.23052920139</v>
      </c>
      <c r="T429" s="3" t="n">
        <v>44719.56885159722</v>
      </c>
      <c r="U429" t="s">
        <v>3070</v>
      </c>
      <c r="V429" t="s">
        <v>3071</v>
      </c>
    </row>
    <row r="430">
      <c r="A430" t="s">
        <v>22</v>
      </c>
      <c r="B430" t="s">
        <v>3072</v>
      </c>
      <c r="C430" t="s">
        <v>60</v>
      </c>
      <c r="D430" t="s">
        <v>61</v>
      </c>
      <c r="E430" t="s">
        <v>151</v>
      </c>
      <c r="F430" s="2" t="n">
        <f>HYPERLINK("https://patents.google.com/patent/US20220105077","Google")</f>
        <v>0.0</v>
      </c>
      <c r="G430" s="2" t="n">
        <f>HYPERLINK("https://patentcenter.uspto.gov/applications/17552609","Patent Center")</f>
        <v>0.0</v>
      </c>
      <c r="H430" s="2" t="n">
        <f>HYPERLINK("https://worldwide.espacenet.com/patent/search?q=US20220105077","Espacenet")</f>
        <v>0.0</v>
      </c>
      <c r="I430" s="2" t="n">
        <f>HYPERLINK("https://ppubs.uspto.gov/pubwebapp/external.html?q=20220105077.pn.","USPTO")</f>
        <v>0.0</v>
      </c>
      <c r="J430" s="2" t="n">
        <f>HYPERLINK("https://image-ppubs.uspto.gov/dirsearch-public/print/downloadPdf/20220105077","USPTO PDF")</f>
        <v>0.0</v>
      </c>
      <c r="K430" s="2" t="n">
        <f>HYPERLINK("https://sectors.patentforecast.com/pmd/US20220105077","PMD")</f>
        <v>0.0</v>
      </c>
      <c r="L430" s="2" t="n">
        <f>HYPERLINK("https://globaldossier.uspto.gov/result/application/US/17552609/1","US20220105077")</f>
        <v>0.0</v>
      </c>
      <c r="M430" t="s">
        <v>3073</v>
      </c>
      <c r="N430" t="s">
        <v>153</v>
      </c>
      <c r="O430" t="s">
        <v>154</v>
      </c>
      <c r="P430" t="s">
        <v>155</v>
      </c>
      <c r="Q430" s="3" t="n">
        <v>44546.0</v>
      </c>
      <c r="R430" s="3" t="n">
        <v>44658.0</v>
      </c>
      <c r="S430" s="3" t="n">
        <v>44659.23018293981</v>
      </c>
      <c r="T430" s="3" t="n">
        <v>44672.363618599535</v>
      </c>
      <c r="U430" t="s">
        <v>31</v>
      </c>
      <c r="V430" t="s">
        <v>156</v>
      </c>
    </row>
    <row r="431">
      <c r="A431" t="s">
        <v>22</v>
      </c>
      <c r="B431" t="s">
        <v>3074</v>
      </c>
      <c r="C431" t="s">
        <v>60</v>
      </c>
      <c r="D431" t="s">
        <v>61</v>
      </c>
      <c r="E431" t="s">
        <v>3075</v>
      </c>
      <c r="F431" s="2" t="n">
        <f>HYPERLINK("https://patents.google.com/patent/US20220105057","Google")</f>
        <v>0.0</v>
      </c>
      <c r="G431" s="2" t="n">
        <f>HYPERLINK("https://patentcenter.uspto.gov/applications/17551922","Patent Center")</f>
        <v>0.0</v>
      </c>
      <c r="H431" s="2" t="n">
        <f>HYPERLINK("https://worldwide.espacenet.com/patent/search?q=US20220105057","Espacenet")</f>
        <v>0.0</v>
      </c>
      <c r="I431" s="2" t="n">
        <f>HYPERLINK("https://ppubs.uspto.gov/pubwebapp/external.html?q=20220105057.pn.","USPTO")</f>
        <v>0.0</v>
      </c>
      <c r="J431" s="2" t="n">
        <f>HYPERLINK("https://image-ppubs.uspto.gov/dirsearch-public/print/downloadPdf/20220105057","USPTO PDF")</f>
        <v>0.0</v>
      </c>
      <c r="K431" s="2" t="n">
        <f>HYPERLINK("https://sectors.patentforecast.com/pmd/US20220105057","PMD")</f>
        <v>0.0</v>
      </c>
      <c r="L431" s="2" t="n">
        <f>HYPERLINK("https://globaldossier.uspto.gov/result/application/US/17551922/1","US20220105057")</f>
        <v>0.0</v>
      </c>
      <c r="M431" t="s">
        <v>3076</v>
      </c>
      <c r="N431" t="s">
        <v>3077</v>
      </c>
      <c r="O431" t="s">
        <v>3078</v>
      </c>
      <c r="P431" t="s">
        <v>3079</v>
      </c>
      <c r="Q431" s="3" t="n">
        <v>44545.0</v>
      </c>
      <c r="R431" s="3" t="n">
        <v>44658.0</v>
      </c>
      <c r="S431" s="3" t="n">
        <v>44659.23018293981</v>
      </c>
      <c r="T431" s="3" t="n">
        <v>44678.57532103009</v>
      </c>
      <c r="U431" t="s">
        <v>3080</v>
      </c>
      <c r="V431" t="s">
        <v>3081</v>
      </c>
    </row>
    <row r="432">
      <c r="A432" t="s">
        <v>22</v>
      </c>
      <c r="B432" t="s">
        <v>3082</v>
      </c>
      <c r="C432" t="s">
        <v>60</v>
      </c>
      <c r="D432" t="s">
        <v>61</v>
      </c>
      <c r="E432" t="s">
        <v>3083</v>
      </c>
      <c r="F432" s="2" t="n">
        <f>HYPERLINK("https://patents.google.com/patent/US20220105044","Google")</f>
        <v>0.0</v>
      </c>
      <c r="G432" s="2" t="n">
        <f>HYPERLINK("https://patentcenter.uspto.gov/applications/17494749","Patent Center")</f>
        <v>0.0</v>
      </c>
      <c r="H432" s="2" t="n">
        <f>HYPERLINK("https://worldwide.espacenet.com/patent/search?q=US20220105044","Espacenet")</f>
        <v>0.0</v>
      </c>
      <c r="I432" s="2" t="n">
        <f>HYPERLINK("https://ppubs.uspto.gov/pubwebapp/external.html?q=20220105044.pn.","USPTO")</f>
        <v>0.0</v>
      </c>
      <c r="J432" s="2" t="n">
        <f>HYPERLINK("https://image-ppubs.uspto.gov/dirsearch-public/print/downloadPdf/20220105044","USPTO PDF")</f>
        <v>0.0</v>
      </c>
      <c r="K432" s="2" t="n">
        <f>HYPERLINK("https://sectors.patentforecast.com/pmd/US20220105044","PMD")</f>
        <v>0.0</v>
      </c>
      <c r="L432" s="2" t="n">
        <f>HYPERLINK("https://globaldossier.uspto.gov/result/application/US/17494749/1","US20220105044")</f>
        <v>0.0</v>
      </c>
      <c r="M432" t="s">
        <v>3084</v>
      </c>
      <c r="N432" t="s">
        <v>3085</v>
      </c>
      <c r="O432" t="s">
        <v>3086</v>
      </c>
      <c r="P432" t="s">
        <v>3087</v>
      </c>
      <c r="Q432" s="3" t="n">
        <v>44474.0</v>
      </c>
      <c r="R432" s="3" t="n">
        <v>44658.0</v>
      </c>
      <c r="S432" s="3" t="n">
        <v>44659.23018293981</v>
      </c>
      <c r="T432" s="3" t="n">
        <v>44719.56891307871</v>
      </c>
      <c r="U432" t="s">
        <v>3088</v>
      </c>
      <c r="V432" t="s">
        <v>3089</v>
      </c>
    </row>
    <row r="433">
      <c r="A433" t="s">
        <v>22</v>
      </c>
      <c r="B433" t="s">
        <v>3090</v>
      </c>
      <c r="C433" t="s">
        <v>24</v>
      </c>
      <c r="D433" t="s">
        <v>69</v>
      </c>
      <c r="E433" t="s">
        <v>3091</v>
      </c>
      <c r="F433" s="2" t="n">
        <f>HYPERLINK("https://patents.google.com/patent/US20220104983","Google")</f>
        <v>0.0</v>
      </c>
      <c r="G433" s="2" t="n">
        <f>HYPERLINK("https://patentcenter.uspto.gov/applications/17117531","Patent Center")</f>
        <v>0.0</v>
      </c>
      <c r="H433" s="2" t="n">
        <f>HYPERLINK("https://worldwide.espacenet.com/patent/search?q=US20220104983","Espacenet")</f>
        <v>0.0</v>
      </c>
      <c r="I433" s="2" t="n">
        <f>HYPERLINK("https://ppubs.uspto.gov/pubwebapp/external.html?q=20220104983.pn.","USPTO")</f>
        <v>0.0</v>
      </c>
      <c r="J433" s="2" t="n">
        <f>HYPERLINK("https://image-ppubs.uspto.gov/dirsearch-public/print/downloadPdf/20220104983","USPTO PDF")</f>
        <v>0.0</v>
      </c>
      <c r="K433" s="2" t="n">
        <f>HYPERLINK("https://sectors.patentforecast.com/pmd/US20220104983","PMD")</f>
        <v>0.0</v>
      </c>
      <c r="L433" s="2" t="n">
        <f>HYPERLINK("https://globaldossier.uspto.gov/result/application/US/17117531/1","US20220104983")</f>
        <v>0.0</v>
      </c>
      <c r="M433" t="s">
        <v>3092</v>
      </c>
      <c r="N433" t="s">
        <v>1792</v>
      </c>
      <c r="O433" t="s">
        <v>1793</v>
      </c>
      <c r="P433" t="s">
        <v>3093</v>
      </c>
      <c r="Q433" s="3" t="n">
        <v>44175.0</v>
      </c>
      <c r="R433" s="3" t="n">
        <v>44658.0</v>
      </c>
      <c r="S433" s="3" t="n">
        <v>44659.23018293981</v>
      </c>
      <c r="T433" s="3" t="n">
        <v>44719.56899616898</v>
      </c>
      <c r="U433" t="s">
        <v>3094</v>
      </c>
      <c r="V433" t="s">
        <v>3095</v>
      </c>
    </row>
    <row r="434">
      <c r="A434" t="s">
        <v>22</v>
      </c>
      <c r="B434" t="s">
        <v>3096</v>
      </c>
      <c r="C434" t="s">
        <v>60</v>
      </c>
      <c r="D434" t="s">
        <v>715</v>
      </c>
      <c r="E434" t="s">
        <v>3097</v>
      </c>
      <c r="F434" s="2" t="n">
        <f>HYPERLINK("https://patents.google.com/patent/US20220104982","Google")</f>
        <v>0.0</v>
      </c>
      <c r="G434" s="2" t="n">
        <f>HYPERLINK("https://patentcenter.uspto.gov/applications/17490880","Patent Center")</f>
        <v>0.0</v>
      </c>
      <c r="H434" s="2" t="n">
        <f>HYPERLINK("https://worldwide.espacenet.com/patent/search?q=US20220104982","Espacenet")</f>
        <v>0.0</v>
      </c>
      <c r="I434" s="2" t="n">
        <f>HYPERLINK("https://ppubs.uspto.gov/pubwebapp/external.html?q=20220104982.pn.","USPTO")</f>
        <v>0.0</v>
      </c>
      <c r="J434" s="2" t="n">
        <f>HYPERLINK("https://image-ppubs.uspto.gov/dirsearch-public/print/downloadPdf/20220104982","USPTO PDF")</f>
        <v>0.0</v>
      </c>
      <c r="K434" s="2" t="n">
        <f>HYPERLINK("https://sectors.patentforecast.com/pmd/US20220104982","PMD")</f>
        <v>0.0</v>
      </c>
      <c r="L434" s="2" t="n">
        <f>HYPERLINK("https://globaldossier.uspto.gov/result/application/US/17490880/1","US20220104982")</f>
        <v>0.0</v>
      </c>
      <c r="M434" t="s">
        <v>3098</v>
      </c>
      <c r="N434" t="s">
        <v>3099</v>
      </c>
      <c r="O434" t="s">
        <v>3100</v>
      </c>
      <c r="P434" t="s">
        <v>3101</v>
      </c>
      <c r="Q434" s="3" t="n">
        <v>44469.0</v>
      </c>
      <c r="R434" s="3" t="n">
        <v>44658.0</v>
      </c>
      <c r="S434" s="3" t="n">
        <v>44659.23018293981</v>
      </c>
      <c r="T434" s="3" t="n">
        <v>44719.56946583333</v>
      </c>
      <c r="U434" t="s">
        <v>31</v>
      </c>
      <c r="V434" t="s">
        <v>3102</v>
      </c>
    </row>
    <row r="435">
      <c r="A435" t="s">
        <v>22</v>
      </c>
      <c r="B435" t="s">
        <v>3103</v>
      </c>
      <c r="C435" t="s">
        <v>24</v>
      </c>
      <c r="D435" t="s">
        <v>34</v>
      </c>
      <c r="E435" t="s">
        <v>3104</v>
      </c>
      <c r="F435" s="2" t="n">
        <f>HYPERLINK("https://patents.google.com/patent/US20220104778","Google")</f>
        <v>0.0</v>
      </c>
      <c r="G435" s="2" t="n">
        <f>HYPERLINK("https://patentcenter.uspto.gov/applications/17450114","Patent Center")</f>
        <v>0.0</v>
      </c>
      <c r="H435" s="2" t="n">
        <f>HYPERLINK("https://worldwide.espacenet.com/patent/search?q=US20220104778","Espacenet")</f>
        <v>0.0</v>
      </c>
      <c r="I435" s="2" t="n">
        <f>HYPERLINK("https://ppubs.uspto.gov/pubwebapp/external.html?q=20220104778.pn.","USPTO")</f>
        <v>0.0</v>
      </c>
      <c r="J435" s="2" t="n">
        <f>HYPERLINK("https://image-ppubs.uspto.gov/dirsearch-public/print/downloadPdf/20220104778","USPTO PDF")</f>
        <v>0.0</v>
      </c>
      <c r="K435" s="2" t="n">
        <f>HYPERLINK("https://sectors.patentforecast.com/pmd/US20220104778","PMD")</f>
        <v>0.0</v>
      </c>
      <c r="L435" s="2" t="n">
        <f>HYPERLINK("https://globaldossier.uspto.gov/result/application/US/17450114/1","US20220104778")</f>
        <v>0.0</v>
      </c>
      <c r="M435" t="s">
        <v>3105</v>
      </c>
      <c r="N435" t="s">
        <v>3106</v>
      </c>
      <c r="O435" t="s">
        <v>3107</v>
      </c>
      <c r="P435" t="s">
        <v>3108</v>
      </c>
      <c r="Q435" s="3" t="n">
        <v>44475.0</v>
      </c>
      <c r="R435" s="3" t="n">
        <v>44658.0</v>
      </c>
      <c r="S435" s="3" t="n">
        <v>44659.23018293981</v>
      </c>
      <c r="T435" s="3" t="n">
        <v>44719.56985728009</v>
      </c>
      <c r="U435" t="s">
        <v>3109</v>
      </c>
      <c r="V435" t="s">
        <v>3110</v>
      </c>
    </row>
    <row r="436">
      <c r="A436" t="s">
        <v>22</v>
      </c>
      <c r="B436" t="s">
        <v>3111</v>
      </c>
      <c r="C436" t="s">
        <v>24</v>
      </c>
      <c r="D436" t="s">
        <v>25</v>
      </c>
      <c r="E436" t="s">
        <v>3112</v>
      </c>
      <c r="F436" s="2" t="n">
        <f>HYPERLINK("https://patents.google.com/patent/US20220104726","Google")</f>
        <v>0.0</v>
      </c>
      <c r="G436" s="2" t="n">
        <f>HYPERLINK("https://patentcenter.uspto.gov/applications/17504421","Patent Center")</f>
        <v>0.0</v>
      </c>
      <c r="H436" s="2" t="n">
        <f>HYPERLINK("https://worldwide.espacenet.com/patent/search?q=US20220104726","Espacenet")</f>
        <v>0.0</v>
      </c>
      <c r="I436" s="2" t="n">
        <f>HYPERLINK("https://ppubs.uspto.gov/pubwebapp/external.html?q=20220104726.pn.","USPTO")</f>
        <v>0.0</v>
      </c>
      <c r="J436" s="2" t="n">
        <f>HYPERLINK("https://image-ppubs.uspto.gov/dirsearch-public/print/downloadPdf/20220104726","USPTO PDF")</f>
        <v>0.0</v>
      </c>
      <c r="K436" s="2" t="n">
        <f>HYPERLINK("https://sectors.patentforecast.com/pmd/US20220104726","PMD")</f>
        <v>0.0</v>
      </c>
      <c r="L436" s="2" t="n">
        <f>HYPERLINK("https://globaldossier.uspto.gov/result/application/US/17504421/1","US20220104726")</f>
        <v>0.0</v>
      </c>
      <c r="M436" t="s">
        <v>3113</v>
      </c>
      <c r="N436" t="s">
        <v>3114</v>
      </c>
      <c r="O436" t="s">
        <v>3115</v>
      </c>
      <c r="P436" t="s">
        <v>3116</v>
      </c>
      <c r="Q436" s="3" t="n">
        <v>44487.0</v>
      </c>
      <c r="R436" s="3" t="n">
        <v>44658.0</v>
      </c>
      <c r="S436" s="3" t="n">
        <v>44659.23018293981</v>
      </c>
      <c r="T436" s="3" t="n">
        <v>44672.48868621528</v>
      </c>
      <c r="U436" t="s">
        <v>31</v>
      </c>
      <c r="V436" t="s">
        <v>3117</v>
      </c>
    </row>
    <row r="437">
      <c r="A437" t="s">
        <v>22</v>
      </c>
      <c r="B437" t="s">
        <v>3118</v>
      </c>
      <c r="C437" t="s">
        <v>24</v>
      </c>
      <c r="D437" t="s">
        <v>34</v>
      </c>
      <c r="E437" t="s">
        <v>3119</v>
      </c>
      <c r="F437" s="2" t="n">
        <f>HYPERLINK("https://patents.google.com/patent/US20220104725","Google")</f>
        <v>0.0</v>
      </c>
      <c r="G437" s="2" t="n">
        <f>HYPERLINK("https://patentcenter.uspto.gov/applications/17374843","Patent Center")</f>
        <v>0.0</v>
      </c>
      <c r="H437" s="2" t="n">
        <f>HYPERLINK("https://worldwide.espacenet.com/patent/search?q=US20220104725","Espacenet")</f>
        <v>0.0</v>
      </c>
      <c r="I437" s="2" t="n">
        <f>HYPERLINK("https://ppubs.uspto.gov/pubwebapp/external.html?q=20220104725.pn.","USPTO")</f>
        <v>0.0</v>
      </c>
      <c r="J437" s="2" t="n">
        <f>HYPERLINK("https://image-ppubs.uspto.gov/dirsearch-public/print/downloadPdf/20220104725","USPTO PDF")</f>
        <v>0.0</v>
      </c>
      <c r="K437" s="2" t="n">
        <f>HYPERLINK("https://sectors.patentforecast.com/pmd/US20220104725","PMD")</f>
        <v>0.0</v>
      </c>
      <c r="L437" s="2" t="n">
        <f>HYPERLINK("https://globaldossier.uspto.gov/result/application/US/17374843/1","US20220104725")</f>
        <v>0.0</v>
      </c>
      <c r="M437" t="s">
        <v>3120</v>
      </c>
      <c r="N437" t="s">
        <v>3121</v>
      </c>
      <c r="O437" t="s">
        <v>3122</v>
      </c>
      <c r="P437" t="s">
        <v>3123</v>
      </c>
      <c r="Q437" s="3" t="n">
        <v>44390.0</v>
      </c>
      <c r="R437" s="3" t="n">
        <v>44658.0</v>
      </c>
      <c r="S437" s="3" t="n">
        <v>44659.23018293981</v>
      </c>
      <c r="T437" s="3" t="n">
        <v>44678.5857125</v>
      </c>
      <c r="U437" t="s">
        <v>31</v>
      </c>
      <c r="V437" t="s">
        <v>3124</v>
      </c>
    </row>
    <row r="438">
      <c r="A438" t="s">
        <v>22</v>
      </c>
      <c r="B438" t="s">
        <v>3125</v>
      </c>
      <c r="C438" t="s">
        <v>24</v>
      </c>
      <c r="D438" t="s">
        <v>69</v>
      </c>
      <c r="E438" t="s">
        <v>3126</v>
      </c>
      <c r="F438" s="2" t="n">
        <f>HYPERLINK("https://patents.google.com/patent/US20220104639","Google")</f>
        <v>0.0</v>
      </c>
      <c r="G438" s="2" t="n">
        <f>HYPERLINK("https://patentcenter.uspto.gov/applications/16948845","Patent Center")</f>
        <v>0.0</v>
      </c>
      <c r="H438" s="2" t="n">
        <f>HYPERLINK("https://worldwide.espacenet.com/patent/search?q=US20220104639","Espacenet")</f>
        <v>0.0</v>
      </c>
      <c r="I438" s="2" t="n">
        <f>HYPERLINK("https://ppubs.uspto.gov/pubwebapp/external.html?q=20220104639.pn.","USPTO")</f>
        <v>0.0</v>
      </c>
      <c r="J438" s="2" t="n">
        <f>HYPERLINK("https://image-ppubs.uspto.gov/dirsearch-public/print/downloadPdf/20220104639","USPTO PDF")</f>
        <v>0.0</v>
      </c>
      <c r="K438" s="2" t="n">
        <f>HYPERLINK("https://sectors.patentforecast.com/pmd/US20220104639","PMD")</f>
        <v>0.0</v>
      </c>
      <c r="L438" s="2" t="n">
        <f>HYPERLINK("https://globaldossier.uspto.gov/result/application/US/16948845/1","US20220104639")</f>
        <v>0.0</v>
      </c>
      <c r="M438" t="s">
        <v>3127</v>
      </c>
      <c r="N438" t="s">
        <v>3128</v>
      </c>
      <c r="O438" t="s">
        <v>3129</v>
      </c>
      <c r="P438" t="s">
        <v>3130</v>
      </c>
      <c r="Q438" s="3" t="n">
        <v>44106.0</v>
      </c>
      <c r="R438" s="3" t="n">
        <v>44658.0</v>
      </c>
      <c r="S438" s="3" t="n">
        <v>44659.23018293981</v>
      </c>
      <c r="T438" s="3" t="n">
        <v>44672.48798109953</v>
      </c>
      <c r="U438" t="s">
        <v>3131</v>
      </c>
      <c r="V438" t="s">
        <v>3132</v>
      </c>
    </row>
    <row r="439">
      <c r="A439" t="s">
        <v>22</v>
      </c>
      <c r="B439" t="s">
        <v>3133</v>
      </c>
      <c r="C439" t="s">
        <v>24</v>
      </c>
      <c r="D439" t="s">
        <v>69</v>
      </c>
      <c r="E439" t="s">
        <v>3134</v>
      </c>
      <c r="F439" s="2" t="n">
        <f>HYPERLINK("https://patents.google.com/patent/US20220104564","Google")</f>
        <v>0.0</v>
      </c>
      <c r="G439" s="2" t="n">
        <f>HYPERLINK("https://patentcenter.uspto.gov/applications/17207709","Patent Center")</f>
        <v>0.0</v>
      </c>
      <c r="H439" s="2" t="n">
        <f>HYPERLINK("https://worldwide.espacenet.com/patent/search?q=US20220104564","Espacenet")</f>
        <v>0.0</v>
      </c>
      <c r="I439" s="2" t="n">
        <f>HYPERLINK("https://ppubs.uspto.gov/pubwebapp/external.html?q=20220104564.pn.","USPTO")</f>
        <v>0.0</v>
      </c>
      <c r="J439" s="2" t="n">
        <f>HYPERLINK("https://image-ppubs.uspto.gov/dirsearch-public/print/downloadPdf/20220104564","USPTO PDF")</f>
        <v>0.0</v>
      </c>
      <c r="K439" s="2" t="n">
        <f>HYPERLINK("https://sectors.patentforecast.com/pmd/US20220104564","PMD")</f>
        <v>0.0</v>
      </c>
      <c r="L439" s="2" t="n">
        <f>HYPERLINK("https://globaldossier.uspto.gov/result/application/US/17207709/1","US20220104564")</f>
        <v>0.0</v>
      </c>
      <c r="M439" t="s">
        <v>3135</v>
      </c>
      <c r="N439" t="s">
        <v>3136</v>
      </c>
      <c r="O439" t="s">
        <v>3137</v>
      </c>
      <c r="P439" t="s">
        <v>3138</v>
      </c>
      <c r="Q439" s="3" t="n">
        <v>44276.0</v>
      </c>
      <c r="R439" s="3" t="n">
        <v>44658.0</v>
      </c>
      <c r="S439" s="3" t="n">
        <v>44659.23018293981</v>
      </c>
      <c r="T439" s="3" t="n">
        <v>44678.64662857639</v>
      </c>
      <c r="U439" t="s">
        <v>3139</v>
      </c>
      <c r="V439" t="s">
        <v>3140</v>
      </c>
    </row>
    <row r="440">
      <c r="A440" t="s">
        <v>22</v>
      </c>
      <c r="B440" t="s">
        <v>3141</v>
      </c>
      <c r="C440" t="s">
        <v>24</v>
      </c>
      <c r="D440" t="s">
        <v>69</v>
      </c>
      <c r="E440" t="s">
        <v>3142</v>
      </c>
      <c r="F440" s="2" t="n">
        <f>HYPERLINK("https://patents.google.com/patent/US20220104563","Google")</f>
        <v>0.0</v>
      </c>
      <c r="G440" s="2" t="n">
        <f>HYPERLINK("https://patentcenter.uspto.gov/applications/17495987","Patent Center")</f>
        <v>0.0</v>
      </c>
      <c r="H440" s="2" t="n">
        <f>HYPERLINK("https://worldwide.espacenet.com/patent/search?q=US20220104563","Espacenet")</f>
        <v>0.0</v>
      </c>
      <c r="I440" s="2" t="n">
        <f>HYPERLINK("https://ppubs.uspto.gov/pubwebapp/external.html?q=20220104563.pn.","USPTO")</f>
        <v>0.0</v>
      </c>
      <c r="J440" s="2" t="n">
        <f>HYPERLINK("https://image-ppubs.uspto.gov/dirsearch-public/print/downloadPdf/20220104563","USPTO PDF")</f>
        <v>0.0</v>
      </c>
      <c r="K440" s="2" t="n">
        <f>HYPERLINK("https://sectors.patentforecast.com/pmd/US20220104563","PMD")</f>
        <v>0.0</v>
      </c>
      <c r="L440" s="2" t="n">
        <f>HYPERLINK("https://globaldossier.uspto.gov/result/application/US/17495987/1","US20220104563")</f>
        <v>0.0</v>
      </c>
      <c r="M440" t="s">
        <v>3143</v>
      </c>
      <c r="N440" t="s">
        <v>3144</v>
      </c>
      <c r="O440" t="s">
        <v>3145</v>
      </c>
      <c r="P440" t="s">
        <v>3146</v>
      </c>
      <c r="Q440" s="3" t="n">
        <v>44476.0</v>
      </c>
      <c r="R440" s="3" t="n">
        <v>44658.0</v>
      </c>
      <c r="S440" s="3" t="n">
        <v>44659.23018293981</v>
      </c>
      <c r="T440" s="3" t="n">
        <v>44672.45494466435</v>
      </c>
      <c r="U440" t="s">
        <v>31</v>
      </c>
      <c r="V440" t="s">
        <v>3147</v>
      </c>
    </row>
    <row r="441">
      <c r="A441" t="s">
        <v>22</v>
      </c>
      <c r="B441" t="s">
        <v>3148</v>
      </c>
      <c r="C441" t="s">
        <v>24</v>
      </c>
      <c r="D441" t="s">
        <v>69</v>
      </c>
      <c r="E441" t="s">
        <v>3149</v>
      </c>
      <c r="F441" s="2" t="n">
        <f>HYPERLINK("https://patents.google.com/patent/US20220104561","Google")</f>
        <v>0.0</v>
      </c>
      <c r="G441" s="2" t="n">
        <f>HYPERLINK("https://patentcenter.uspto.gov/applications/17064278","Patent Center")</f>
        <v>0.0</v>
      </c>
      <c r="H441" s="2" t="n">
        <f>HYPERLINK("https://worldwide.espacenet.com/patent/search?q=US20220104561","Espacenet")</f>
        <v>0.0</v>
      </c>
      <c r="I441" s="2" t="n">
        <f>HYPERLINK("https://ppubs.uspto.gov/pubwebapp/external.html?q=20220104561.pn.","USPTO")</f>
        <v>0.0</v>
      </c>
      <c r="J441" s="2" t="n">
        <f>HYPERLINK("https://image-ppubs.uspto.gov/dirsearch-public/print/downloadPdf/20220104561","USPTO PDF")</f>
        <v>0.0</v>
      </c>
      <c r="K441" s="2" t="n">
        <f>HYPERLINK("https://sectors.patentforecast.com/pmd/US20220104561","PMD")</f>
        <v>0.0</v>
      </c>
      <c r="L441" s="2" t="n">
        <f>HYPERLINK("https://globaldossier.uspto.gov/result/application/US/17064278/1","US20220104561")</f>
        <v>0.0</v>
      </c>
      <c r="M441" t="s">
        <v>3150</v>
      </c>
      <c r="N441" t="s">
        <v>3151</v>
      </c>
      <c r="O441" t="s">
        <v>3152</v>
      </c>
      <c r="P441" t="s">
        <v>3153</v>
      </c>
      <c r="Q441" s="3" t="n">
        <v>44110.0</v>
      </c>
      <c r="R441" s="3" t="n">
        <v>44658.0</v>
      </c>
      <c r="S441" s="3" t="n">
        <v>44659.23018293981</v>
      </c>
      <c r="T441" s="3" t="n">
        <v>44719.569928287034</v>
      </c>
      <c r="U441" t="s">
        <v>31</v>
      </c>
      <c r="V441" t="s">
        <v>3154</v>
      </c>
    </row>
    <row r="442">
      <c r="A442" t="s">
        <v>22</v>
      </c>
      <c r="B442" t="s">
        <v>3155</v>
      </c>
      <c r="C442" t="s">
        <v>24</v>
      </c>
      <c r="D442" t="s">
        <v>100</v>
      </c>
      <c r="E442" t="s">
        <v>3156</v>
      </c>
      <c r="F442" s="2" t="n">
        <f>HYPERLINK("https://patents.google.com/patent/US20220104488","Google")</f>
        <v>0.0</v>
      </c>
      <c r="G442" s="2" t="n">
        <f>HYPERLINK("https://patentcenter.uspto.gov/applications/17494509","Patent Center")</f>
        <v>0.0</v>
      </c>
      <c r="H442" s="2" t="n">
        <f>HYPERLINK("https://worldwide.espacenet.com/patent/search?q=US20220104488","Espacenet")</f>
        <v>0.0</v>
      </c>
      <c r="I442" s="2" t="n">
        <f>HYPERLINK("https://ppubs.uspto.gov/pubwebapp/external.html?q=20220104488.pn.","USPTO")</f>
        <v>0.0</v>
      </c>
      <c r="J442" s="2" t="n">
        <f>HYPERLINK("https://image-ppubs.uspto.gov/dirsearch-public/print/downloadPdf/20220104488","USPTO PDF")</f>
        <v>0.0</v>
      </c>
      <c r="K442" s="2" t="n">
        <f>HYPERLINK("https://sectors.patentforecast.com/pmd/US20220104488","PMD")</f>
        <v>0.0</v>
      </c>
      <c r="L442" s="2" t="n">
        <f>HYPERLINK("https://globaldossier.uspto.gov/result/application/US/17494509/1","US20220104488")</f>
        <v>0.0</v>
      </c>
      <c r="M442" t="s">
        <v>3157</v>
      </c>
      <c r="N442" t="s">
        <v>1251</v>
      </c>
      <c r="O442" t="s">
        <v>1252</v>
      </c>
      <c r="P442" t="s">
        <v>3158</v>
      </c>
      <c r="Q442" s="3" t="n">
        <v>44474.0</v>
      </c>
      <c r="R442" s="3" t="n">
        <v>44658.0</v>
      </c>
      <c r="S442" s="3" t="n">
        <v>44659.23018293981</v>
      </c>
      <c r="T442" s="3" t="n">
        <v>44672.34910811343</v>
      </c>
      <c r="U442" t="s">
        <v>3159</v>
      </c>
      <c r="V442" t="s">
        <v>3160</v>
      </c>
    </row>
    <row r="443">
      <c r="A443" t="s">
        <v>22</v>
      </c>
      <c r="B443" t="s">
        <v>3161</v>
      </c>
      <c r="C443" t="s">
        <v>24</v>
      </c>
      <c r="D443" t="s">
        <v>43</v>
      </c>
      <c r="E443" t="s">
        <v>3162</v>
      </c>
      <c r="F443" s="2" t="n">
        <f>HYPERLINK("https://patents.google.com/patent/US20220104008","Google")</f>
        <v>0.0</v>
      </c>
      <c r="G443" s="2" t="n">
        <f>HYPERLINK("https://patentcenter.uspto.gov/applications/17217775","Patent Center")</f>
        <v>0.0</v>
      </c>
      <c r="H443" s="2" t="n">
        <f>HYPERLINK("https://worldwide.espacenet.com/patent/search?q=US20220104008","Espacenet")</f>
        <v>0.0</v>
      </c>
      <c r="I443" s="2" t="n">
        <f>HYPERLINK("https://ppubs.uspto.gov/pubwebapp/external.html?q=20220104008.pn.","USPTO")</f>
        <v>0.0</v>
      </c>
      <c r="J443" s="2" t="n">
        <f>HYPERLINK("https://image-ppubs.uspto.gov/dirsearch-public/print/downloadPdf/20220104008","USPTO PDF")</f>
        <v>0.0</v>
      </c>
      <c r="K443" s="2" t="n">
        <f>HYPERLINK("https://sectors.patentforecast.com/pmd/US20220104008","PMD")</f>
        <v>0.0</v>
      </c>
      <c r="L443" s="2" t="n">
        <f>HYPERLINK("https://globaldossier.uspto.gov/result/application/US/17217775/1","US20220104008")</f>
        <v>0.0</v>
      </c>
      <c r="M443" t="s">
        <v>3163</v>
      </c>
      <c r="N443" t="s">
        <v>3164</v>
      </c>
      <c r="O443" t="s">
        <v>3165</v>
      </c>
      <c r="P443" t="s">
        <v>3166</v>
      </c>
      <c r="Q443" s="3" t="n">
        <v>44285.0</v>
      </c>
      <c r="R443" s="3" t="n">
        <v>44651.0</v>
      </c>
      <c r="S443" s="3" t="n">
        <v>44652.2316184375</v>
      </c>
      <c r="T443" s="3" t="n">
        <v>44672.430083506944</v>
      </c>
      <c r="U443" t="s">
        <v>3167</v>
      </c>
      <c r="V443" t="s">
        <v>3168</v>
      </c>
    </row>
    <row r="444">
      <c r="A444" t="s">
        <v>22</v>
      </c>
      <c r="B444" t="s">
        <v>3169</v>
      </c>
      <c r="C444" t="s">
        <v>24</v>
      </c>
      <c r="D444" t="s">
        <v>34</v>
      </c>
      <c r="E444" t="s">
        <v>3170</v>
      </c>
      <c r="F444" s="2" t="n">
        <f>HYPERLINK("https://patents.google.com/patent/US20220103922","Google")</f>
        <v>0.0</v>
      </c>
      <c r="G444" s="2" t="n">
        <f>HYPERLINK("https://patentcenter.uspto.gov/applications/17546168","Patent Center")</f>
        <v>0.0</v>
      </c>
      <c r="H444" s="2" t="n">
        <f>HYPERLINK("https://worldwide.espacenet.com/patent/search?q=US20220103922","Espacenet")</f>
        <v>0.0</v>
      </c>
      <c r="I444" s="2" t="n">
        <f>HYPERLINK("https://ppubs.uspto.gov/pubwebapp/external.html?q=20220103922.pn.","USPTO")</f>
        <v>0.0</v>
      </c>
      <c r="J444" s="2" t="n">
        <f>HYPERLINK("https://image-ppubs.uspto.gov/dirsearch-public/print/downloadPdf/20220103922","USPTO PDF")</f>
        <v>0.0</v>
      </c>
      <c r="K444" s="2" t="n">
        <f>HYPERLINK("https://sectors.patentforecast.com/pmd/US20220103922","PMD")</f>
        <v>0.0</v>
      </c>
      <c r="L444" s="2" t="n">
        <f>HYPERLINK("https://globaldossier.uspto.gov/result/application/US/17546168/1","US20220103922")</f>
        <v>0.0</v>
      </c>
      <c r="M444" t="s">
        <v>3171</v>
      </c>
      <c r="N444" t="s">
        <v>3172</v>
      </c>
      <c r="O444" t="s">
        <v>3173</v>
      </c>
      <c r="P444" t="s">
        <v>3174</v>
      </c>
      <c r="Q444" s="3" t="n">
        <v>44539.0</v>
      </c>
      <c r="R444" s="3" t="n">
        <v>44651.0</v>
      </c>
      <c r="S444" s="3" t="n">
        <v>44652.230469236114</v>
      </c>
      <c r="T444" s="3" t="n">
        <v>44719.57001928241</v>
      </c>
      <c r="U444" t="s">
        <v>3175</v>
      </c>
      <c r="V444" t="s">
        <v>3176</v>
      </c>
    </row>
    <row r="445">
      <c r="A445" t="s">
        <v>22</v>
      </c>
      <c r="B445" t="s">
        <v>3177</v>
      </c>
      <c r="C445" t="s">
        <v>24</v>
      </c>
      <c r="D445" t="s">
        <v>204</v>
      </c>
      <c r="E445" t="s">
        <v>3178</v>
      </c>
      <c r="F445" s="2" t="n">
        <f>HYPERLINK("https://patents.google.com/patent/US20220103603","Google")</f>
        <v>0.0</v>
      </c>
      <c r="G445" s="2" t="n">
        <f>HYPERLINK("https://patentcenter.uspto.gov/applications/16948781","Patent Center")</f>
        <v>0.0</v>
      </c>
      <c r="H445" s="2" t="n">
        <f>HYPERLINK("https://worldwide.espacenet.com/patent/search?q=US20220103603","Espacenet")</f>
        <v>0.0</v>
      </c>
      <c r="I445" s="2" t="n">
        <f>HYPERLINK("https://ppubs.uspto.gov/pubwebapp/external.html?q=20220103603.pn.","USPTO")</f>
        <v>0.0</v>
      </c>
      <c r="J445" s="2" t="n">
        <f>HYPERLINK("https://image-ppubs.uspto.gov/dirsearch-public/print/downloadPdf/20220103603","USPTO PDF")</f>
        <v>0.0</v>
      </c>
      <c r="K445" s="2" t="n">
        <f>HYPERLINK("https://sectors.patentforecast.com/pmd/US20220103603","PMD")</f>
        <v>0.0</v>
      </c>
      <c r="L445" s="2" t="n">
        <f>HYPERLINK("https://globaldossier.uspto.gov/result/application/US/16948781/1","US20220103603")</f>
        <v>0.0</v>
      </c>
      <c r="M445" t="s">
        <v>3179</v>
      </c>
      <c r="N445" t="s">
        <v>3180</v>
      </c>
      <c r="O445" t="s">
        <v>3181</v>
      </c>
      <c r="P445" t="s">
        <v>3182</v>
      </c>
      <c r="Q445" s="3" t="n">
        <v>44104.0</v>
      </c>
      <c r="R445" s="3" t="n">
        <v>44651.0</v>
      </c>
      <c r="S445" s="3" t="n">
        <v>44652.230469236114</v>
      </c>
      <c r="T445" s="3" t="n">
        <v>44719.57011936342</v>
      </c>
      <c r="U445" t="s">
        <v>31</v>
      </c>
      <c r="V445" t="s">
        <v>3183</v>
      </c>
    </row>
    <row r="446">
      <c r="A446" t="s">
        <v>22</v>
      </c>
      <c r="B446" t="s">
        <v>3184</v>
      </c>
      <c r="C446" t="s">
        <v>24</v>
      </c>
      <c r="D446" t="s">
        <v>69</v>
      </c>
      <c r="E446" t="s">
        <v>3185</v>
      </c>
      <c r="F446" s="2" t="n">
        <f>HYPERLINK("https://patents.google.com/patent/US20220103200","Google")</f>
        <v>0.0</v>
      </c>
      <c r="G446" s="2" t="n">
        <f>HYPERLINK("https://patentcenter.uspto.gov/applications/17489570","Patent Center")</f>
        <v>0.0</v>
      </c>
      <c r="H446" s="2" t="n">
        <f>HYPERLINK("https://worldwide.espacenet.com/patent/search?q=US20220103200","Espacenet")</f>
        <v>0.0</v>
      </c>
      <c r="I446" s="2" t="n">
        <f>HYPERLINK("https://ppubs.uspto.gov/pubwebapp/external.html?q=20220103200.pn.","USPTO")</f>
        <v>0.0</v>
      </c>
      <c r="J446" s="2" t="n">
        <f>HYPERLINK("https://image-ppubs.uspto.gov/dirsearch-public/print/downloadPdf/20220103200","USPTO PDF")</f>
        <v>0.0</v>
      </c>
      <c r="K446" s="2" t="n">
        <f>HYPERLINK("https://sectors.patentforecast.com/pmd/US20220103200","PMD")</f>
        <v>0.0</v>
      </c>
      <c r="L446" s="2" t="n">
        <f>HYPERLINK("https://globaldossier.uspto.gov/result/application/US/17489570/1","US20220103200")</f>
        <v>0.0</v>
      </c>
      <c r="M446" t="s">
        <v>3186</v>
      </c>
      <c r="N446" t="s">
        <v>3187</v>
      </c>
      <c r="O446" t="s">
        <v>3188</v>
      </c>
      <c r="P446" t="s">
        <v>3189</v>
      </c>
      <c r="Q446" s="3" t="n">
        <v>44468.0</v>
      </c>
      <c r="R446" s="3" t="n">
        <v>44651.0</v>
      </c>
      <c r="S446" s="3" t="n">
        <v>44652.230469236114</v>
      </c>
      <c r="T446" s="3" t="n">
        <v>44658.622062905095</v>
      </c>
      <c r="U446" t="s">
        <v>3190</v>
      </c>
      <c r="V446" t="s">
        <v>3191</v>
      </c>
    </row>
    <row r="447">
      <c r="A447" t="s">
        <v>22</v>
      </c>
      <c r="B447" t="s">
        <v>3192</v>
      </c>
      <c r="C447" t="s">
        <v>24</v>
      </c>
      <c r="D447" t="s">
        <v>3193</v>
      </c>
      <c r="E447" t="s">
        <v>3194</v>
      </c>
      <c r="F447" s="2" t="n">
        <f>HYPERLINK("https://patents.google.com/patent/US20220102012","Google")</f>
        <v>0.0</v>
      </c>
      <c r="G447" s="2" t="n">
        <f>HYPERLINK("https://patentcenter.uspto.gov/applications/17491215","Patent Center")</f>
        <v>0.0</v>
      </c>
      <c r="H447" s="2" t="n">
        <f>HYPERLINK("https://worldwide.espacenet.com/patent/search?q=US20220102012","Espacenet")</f>
        <v>0.0</v>
      </c>
      <c r="I447" s="2" t="n">
        <f>HYPERLINK("https://ppubs.uspto.gov/pubwebapp/external.html?q=20220102012.pn.","USPTO")</f>
        <v>0.0</v>
      </c>
      <c r="J447" s="2" t="n">
        <f>HYPERLINK("https://image-ppubs.uspto.gov/dirsearch-public/print/downloadPdf/20220102012","USPTO PDF")</f>
        <v>0.0</v>
      </c>
      <c r="K447" s="2" t="n">
        <f>HYPERLINK("https://sectors.patentforecast.com/pmd/US20220102012","PMD")</f>
        <v>0.0</v>
      </c>
      <c r="L447" s="2" t="n">
        <f>HYPERLINK("https://globaldossier.uspto.gov/result/application/US/17491215/1","US20220102012")</f>
        <v>0.0</v>
      </c>
      <c r="M447" t="s">
        <v>3195</v>
      </c>
      <c r="N447" t="s">
        <v>3196</v>
      </c>
      <c r="O447" t="s">
        <v>3197</v>
      </c>
      <c r="P447" t="s">
        <v>3198</v>
      </c>
      <c r="Q447" s="3" t="n">
        <v>44469.0</v>
      </c>
      <c r="R447" s="3" t="n">
        <v>44651.0</v>
      </c>
      <c r="S447" s="3" t="n">
        <v>44652.22942013889</v>
      </c>
      <c r="T447" s="3" t="n">
        <v>44658.65402152778</v>
      </c>
      <c r="U447" t="s">
        <v>3199</v>
      </c>
      <c r="V447" t="s">
        <v>3200</v>
      </c>
    </row>
    <row r="448">
      <c r="A448" t="s">
        <v>22</v>
      </c>
      <c r="B448" t="s">
        <v>3201</v>
      </c>
      <c r="C448" t="s">
        <v>312</v>
      </c>
      <c r="D448" t="s">
        <v>3202</v>
      </c>
      <c r="E448" t="s">
        <v>3203</v>
      </c>
      <c r="F448" s="2" t="n">
        <f>HYPERLINK("https://patents.google.com/patent/US20220102011","Google")</f>
        <v>0.0</v>
      </c>
      <c r="G448" s="2" t="n">
        <f>HYPERLINK("https://patentcenter.uspto.gov/applications/17363687","Patent Center")</f>
        <v>0.0</v>
      </c>
      <c r="H448" s="2" t="n">
        <f>HYPERLINK("https://worldwide.espacenet.com/patent/search?q=US20220102011","Espacenet")</f>
        <v>0.0</v>
      </c>
      <c r="I448" s="2" t="n">
        <f>HYPERLINK("https://ppubs.uspto.gov/pubwebapp/external.html?q=20220102011.pn.","USPTO")</f>
        <v>0.0</v>
      </c>
      <c r="J448" s="2" t="n">
        <f>HYPERLINK("https://image-ppubs.uspto.gov/dirsearch-public/print/downloadPdf/20220102011","USPTO PDF")</f>
        <v>0.0</v>
      </c>
      <c r="K448" s="2" t="n">
        <f>HYPERLINK("https://sectors.patentforecast.com/pmd/US20220102011","PMD")</f>
        <v>0.0</v>
      </c>
      <c r="L448" s="2" t="n">
        <f>HYPERLINK("https://globaldossier.uspto.gov/result/application/US/17363687/1","US20220102011")</f>
        <v>0.0</v>
      </c>
      <c r="M448" t="s">
        <v>3204</v>
      </c>
      <c r="N448" t="s">
        <v>3205</v>
      </c>
      <c r="O448" t="s">
        <v>3206</v>
      </c>
      <c r="P448" t="s">
        <v>3207</v>
      </c>
      <c r="Q448" s="3" t="n">
        <v>44377.0</v>
      </c>
      <c r="R448" s="3" t="n">
        <v>44651.0</v>
      </c>
      <c r="S448" s="3" t="n">
        <v>44652.2316184375</v>
      </c>
      <c r="T448" s="3" t="n">
        <v>44658.657938414355</v>
      </c>
      <c r="U448" t="s">
        <v>31</v>
      </c>
      <c r="V448" t="s">
        <v>3208</v>
      </c>
    </row>
    <row r="449">
      <c r="A449" t="s">
        <v>22</v>
      </c>
      <c r="B449" t="s">
        <v>3209</v>
      </c>
      <c r="C449" t="s">
        <v>24</v>
      </c>
      <c r="D449" t="s">
        <v>25</v>
      </c>
      <c r="E449" t="s">
        <v>3210</v>
      </c>
      <c r="F449" s="2" t="n">
        <f>HYPERLINK("https://patents.google.com/patent/US20220101992","Google")</f>
        <v>0.0</v>
      </c>
      <c r="G449" s="2" t="n">
        <f>HYPERLINK("https://patentcenter.uspto.gov/applications/17492657","Patent Center")</f>
        <v>0.0</v>
      </c>
      <c r="H449" s="2" t="n">
        <f>HYPERLINK("https://worldwide.espacenet.com/patent/search?q=US20220101992","Espacenet")</f>
        <v>0.0</v>
      </c>
      <c r="I449" s="2" t="n">
        <f>HYPERLINK("https://ppubs.uspto.gov/pubwebapp/external.html?q=20220101992.pn.","USPTO")</f>
        <v>0.0</v>
      </c>
      <c r="J449" s="2" t="n">
        <f>HYPERLINK("https://image-ppubs.uspto.gov/dirsearch-public/print/downloadPdf/20220101992","USPTO PDF")</f>
        <v>0.0</v>
      </c>
      <c r="K449" s="2" t="n">
        <f>HYPERLINK("https://sectors.patentforecast.com/pmd/US20220101992","PMD")</f>
        <v>0.0</v>
      </c>
      <c r="L449" s="2" t="n">
        <f>HYPERLINK("https://globaldossier.uspto.gov/result/application/US/17492657/1","US20220101992")</f>
        <v>0.0</v>
      </c>
      <c r="M449" t="s">
        <v>3211</v>
      </c>
      <c r="N449" t="s">
        <v>3212</v>
      </c>
      <c r="O449" t="s">
        <v>3213</v>
      </c>
      <c r="P449" t="s">
        <v>3214</v>
      </c>
      <c r="Q449" s="3" t="n">
        <v>44472.0</v>
      </c>
      <c r="R449" s="3" t="n">
        <v>44651.0</v>
      </c>
      <c r="S449" s="3" t="n">
        <v>44652.22942013889</v>
      </c>
      <c r="T449" s="3" t="n">
        <v>44719.57089900463</v>
      </c>
      <c r="U449" t="s">
        <v>31</v>
      </c>
      <c r="V449" t="s">
        <v>3215</v>
      </c>
    </row>
    <row r="450">
      <c r="A450" t="s">
        <v>22</v>
      </c>
      <c r="B450" t="s">
        <v>3216</v>
      </c>
      <c r="C450" t="s">
        <v>24</v>
      </c>
      <c r="D450" t="s">
        <v>25</v>
      </c>
      <c r="E450" t="s">
        <v>3217</v>
      </c>
      <c r="F450" s="2" t="n">
        <f>HYPERLINK("https://patents.google.com/patent/US20220101674","Google")</f>
        <v>0.0</v>
      </c>
      <c r="G450" s="2" t="n">
        <f>HYPERLINK("https://patentcenter.uspto.gov/applications/17430830","Patent Center")</f>
        <v>0.0</v>
      </c>
      <c r="H450" s="2" t="n">
        <f>HYPERLINK("https://worldwide.espacenet.com/patent/search?q=US20220101674","Espacenet")</f>
        <v>0.0</v>
      </c>
      <c r="I450" s="2" t="n">
        <f>HYPERLINK("https://ppubs.uspto.gov/pubwebapp/external.html?q=20220101674.pn.","USPTO")</f>
        <v>0.0</v>
      </c>
      <c r="J450" s="2" t="n">
        <f>HYPERLINK("https://image-ppubs.uspto.gov/dirsearch-public/print/downloadPdf/20220101674","USPTO PDF")</f>
        <v>0.0</v>
      </c>
      <c r="K450" s="2" t="n">
        <f>HYPERLINK("https://sectors.patentforecast.com/pmd/US20220101674","PMD")</f>
        <v>0.0</v>
      </c>
      <c r="L450" s="2" t="n">
        <f>HYPERLINK("https://globaldossier.uspto.gov/result/application/US/17430830/1","US20220101674")</f>
        <v>0.0</v>
      </c>
      <c r="M450" t="s">
        <v>3218</v>
      </c>
      <c r="N450" t="s">
        <v>3219</v>
      </c>
      <c r="O450" t="s">
        <v>3220</v>
      </c>
      <c r="P450" t="s">
        <v>3221</v>
      </c>
      <c r="Q450" s="3" t="n">
        <v>44125.0</v>
      </c>
      <c r="R450" s="3" t="n">
        <v>44651.0</v>
      </c>
      <c r="S450" s="3" t="n">
        <v>44652.230469236114</v>
      </c>
      <c r="T450" s="3" t="n">
        <v>44719.57108570602</v>
      </c>
      <c r="U450" t="s">
        <v>3222</v>
      </c>
      <c r="V450" t="s">
        <v>3223</v>
      </c>
    </row>
    <row r="451">
      <c r="A451" t="s">
        <v>22</v>
      </c>
      <c r="B451" t="s">
        <v>3224</v>
      </c>
      <c r="C451" t="s">
        <v>24</v>
      </c>
      <c r="D451" t="s">
        <v>69</v>
      </c>
      <c r="E451" t="s">
        <v>3225</v>
      </c>
      <c r="F451" s="2" t="n">
        <f>HYPERLINK("https://patents.google.com/patent/US20220101469","Google")</f>
        <v>0.0</v>
      </c>
      <c r="G451" s="2" t="n">
        <f>HYPERLINK("https://patentcenter.uspto.gov/applications/17039152","Patent Center")</f>
        <v>0.0</v>
      </c>
      <c r="H451" s="2" t="n">
        <f>HYPERLINK("https://worldwide.espacenet.com/patent/search?q=US20220101469","Espacenet")</f>
        <v>0.0</v>
      </c>
      <c r="I451" s="2" t="n">
        <f>HYPERLINK("https://ppubs.uspto.gov/pubwebapp/external.html?q=20220101469.pn.","USPTO")</f>
        <v>0.0</v>
      </c>
      <c r="J451" s="2" t="n">
        <f>HYPERLINK("https://image-ppubs.uspto.gov/dirsearch-public/print/downloadPdf/20220101469","USPTO PDF")</f>
        <v>0.0</v>
      </c>
      <c r="K451" s="2" t="n">
        <f>HYPERLINK("https://sectors.patentforecast.com/pmd/US20220101469","PMD")</f>
        <v>0.0</v>
      </c>
      <c r="L451" s="2" t="n">
        <f>HYPERLINK("https://globaldossier.uspto.gov/result/application/US/17039152/1","US20220101469")</f>
        <v>0.0</v>
      </c>
      <c r="M451" t="s">
        <v>3226</v>
      </c>
      <c r="N451" t="s">
        <v>2074</v>
      </c>
      <c r="O451" t="s">
        <v>2075</v>
      </c>
      <c r="P451" t="s">
        <v>3227</v>
      </c>
      <c r="Q451" s="3" t="n">
        <v>44104.0</v>
      </c>
      <c r="R451" s="3" t="n">
        <v>44651.0</v>
      </c>
      <c r="S451" s="3" t="n">
        <v>44652.230469236114</v>
      </c>
      <c r="T451" s="3" t="n">
        <v>44719.57114259259</v>
      </c>
      <c r="U451" t="s">
        <v>3228</v>
      </c>
      <c r="V451" t="s">
        <v>3229</v>
      </c>
    </row>
    <row r="452">
      <c r="A452" t="s">
        <v>22</v>
      </c>
      <c r="B452" t="s">
        <v>3230</v>
      </c>
      <c r="C452" t="s">
        <v>24</v>
      </c>
      <c r="D452" t="s">
        <v>204</v>
      </c>
      <c r="E452" t="s">
        <v>3231</v>
      </c>
      <c r="F452" s="2" t="n">
        <f>HYPERLINK("https://patents.google.com/patent/US20220101413","Google")</f>
        <v>0.0</v>
      </c>
      <c r="G452" s="2" t="n">
        <f>HYPERLINK("https://patentcenter.uspto.gov/applications/17036103","Patent Center")</f>
        <v>0.0</v>
      </c>
      <c r="H452" s="2" t="n">
        <f>HYPERLINK("https://worldwide.espacenet.com/patent/search?q=US20220101413","Espacenet")</f>
        <v>0.0</v>
      </c>
      <c r="I452" s="2" t="n">
        <f>HYPERLINK("https://ppubs.uspto.gov/pubwebapp/external.html?q=20220101413.pn.","USPTO")</f>
        <v>0.0</v>
      </c>
      <c r="J452" s="2" t="n">
        <f>HYPERLINK("https://image-ppubs.uspto.gov/dirsearch-public/print/downloadPdf/20220101413","USPTO PDF")</f>
        <v>0.0</v>
      </c>
      <c r="K452" s="2" t="n">
        <f>HYPERLINK("https://sectors.patentforecast.com/pmd/US20220101413","PMD")</f>
        <v>0.0</v>
      </c>
      <c r="L452" s="2" t="n">
        <f>HYPERLINK("https://globaldossier.uspto.gov/result/application/US/17036103/1","US20220101413")</f>
        <v>0.0</v>
      </c>
      <c r="M452" t="s">
        <v>3232</v>
      </c>
      <c r="N452" t="s">
        <v>207</v>
      </c>
      <c r="O452" t="s">
        <v>208</v>
      </c>
      <c r="P452" t="s">
        <v>3233</v>
      </c>
      <c r="Q452" s="3" t="n">
        <v>44103.0</v>
      </c>
      <c r="R452" s="3" t="n">
        <v>44651.0</v>
      </c>
      <c r="S452" s="3" t="n">
        <v>44652.22942013889</v>
      </c>
      <c r="T452" s="3" t="n">
        <v>44719.57130696759</v>
      </c>
      <c r="U452" t="s">
        <v>3234</v>
      </c>
      <c r="V452" t="s">
        <v>3235</v>
      </c>
    </row>
    <row r="453">
      <c r="A453" t="s">
        <v>22</v>
      </c>
      <c r="B453" t="s">
        <v>3236</v>
      </c>
      <c r="C453" t="s">
        <v>24</v>
      </c>
      <c r="D453" t="s">
        <v>69</v>
      </c>
      <c r="E453" t="s">
        <v>3237</v>
      </c>
      <c r="F453" s="2" t="n">
        <f>HYPERLINK("https://patents.google.com/patent/US20220101305","Google")</f>
        <v>0.0</v>
      </c>
      <c r="G453" s="2" t="n">
        <f>HYPERLINK("https://patentcenter.uspto.gov/applications/17036074","Patent Center")</f>
        <v>0.0</v>
      </c>
      <c r="H453" s="2" t="n">
        <f>HYPERLINK("https://worldwide.espacenet.com/patent/search?q=US20220101305","Espacenet")</f>
        <v>0.0</v>
      </c>
      <c r="I453" s="2" t="n">
        <f>HYPERLINK("https://ppubs.uspto.gov/pubwebapp/external.html?q=20220101305.pn.","USPTO")</f>
        <v>0.0</v>
      </c>
      <c r="J453" s="2" t="n">
        <f>HYPERLINK("https://image-ppubs.uspto.gov/dirsearch-public/print/downloadPdf/20220101305","USPTO PDF")</f>
        <v>0.0</v>
      </c>
      <c r="K453" s="2" t="n">
        <f>HYPERLINK("https://sectors.patentforecast.com/pmd/US20220101305","PMD")</f>
        <v>0.0</v>
      </c>
      <c r="L453" s="2" t="n">
        <f>HYPERLINK("https://globaldossier.uspto.gov/result/application/US/17036074/1","US20220101305")</f>
        <v>0.0</v>
      </c>
      <c r="M453" t="s">
        <v>3238</v>
      </c>
      <c r="N453" t="s">
        <v>207</v>
      </c>
      <c r="O453" t="s">
        <v>208</v>
      </c>
      <c r="P453" t="s">
        <v>3239</v>
      </c>
      <c r="Q453" s="3" t="n">
        <v>44103.0</v>
      </c>
      <c r="R453" s="3" t="n">
        <v>44651.0</v>
      </c>
      <c r="S453" s="3" t="n">
        <v>44652.22942013889</v>
      </c>
      <c r="T453" s="3" t="n">
        <v>44719.57185152778</v>
      </c>
      <c r="U453" t="s">
        <v>3240</v>
      </c>
      <c r="V453" t="s">
        <v>3241</v>
      </c>
    </row>
    <row r="454">
      <c r="A454" t="s">
        <v>22</v>
      </c>
      <c r="B454" t="s">
        <v>3242</v>
      </c>
      <c r="C454" t="s">
        <v>24</v>
      </c>
      <c r="D454" t="s">
        <v>69</v>
      </c>
      <c r="E454" t="s">
        <v>3243</v>
      </c>
      <c r="F454" s="2" t="n">
        <f>HYPERLINK("https://patents.google.com/patent/US20220101290","Google")</f>
        <v>0.0</v>
      </c>
      <c r="G454" s="2" t="n">
        <f>HYPERLINK("https://patentcenter.uspto.gov/applications/17036310","Patent Center")</f>
        <v>0.0</v>
      </c>
      <c r="H454" s="2" t="n">
        <f>HYPERLINK("https://worldwide.espacenet.com/patent/search?q=US20220101290","Espacenet")</f>
        <v>0.0</v>
      </c>
      <c r="I454" s="2" t="n">
        <f>HYPERLINK("https://ppubs.uspto.gov/pubwebapp/external.html?q=20220101290.pn.","USPTO")</f>
        <v>0.0</v>
      </c>
      <c r="J454" s="2" t="n">
        <f>HYPERLINK("https://image-ppubs.uspto.gov/dirsearch-public/print/downloadPdf/20220101290","USPTO PDF")</f>
        <v>0.0</v>
      </c>
      <c r="K454" s="2" t="n">
        <f>HYPERLINK("https://sectors.patentforecast.com/pmd/US20220101290","PMD")</f>
        <v>0.0</v>
      </c>
      <c r="L454" s="2" t="n">
        <f>HYPERLINK("https://globaldossier.uspto.gov/result/application/US/17036310/1","US20220101290")</f>
        <v>0.0</v>
      </c>
      <c r="M454" t="s">
        <v>3244</v>
      </c>
      <c r="N454" t="s">
        <v>3245</v>
      </c>
      <c r="O454" t="s">
        <v>3246</v>
      </c>
      <c r="P454" t="s">
        <v>3247</v>
      </c>
      <c r="Q454" s="3" t="n">
        <v>44103.0</v>
      </c>
      <c r="R454" s="3" t="n">
        <v>44651.0</v>
      </c>
      <c r="S454" s="3" t="n">
        <v>44652.230469236114</v>
      </c>
      <c r="T454" s="3" t="n">
        <v>44719.57199928241</v>
      </c>
      <c r="U454" t="s">
        <v>31</v>
      </c>
      <c r="V454" t="s">
        <v>3248</v>
      </c>
    </row>
    <row r="455">
      <c r="A455" t="s">
        <v>22</v>
      </c>
      <c r="B455" t="s">
        <v>3249</v>
      </c>
      <c r="C455" t="s">
        <v>24</v>
      </c>
      <c r="D455" t="s">
        <v>25</v>
      </c>
      <c r="E455" t="s">
        <v>3250</v>
      </c>
      <c r="F455" s="2" t="n">
        <f>HYPERLINK("https://patents.google.com/patent/US20220101150","Google")</f>
        <v>0.0</v>
      </c>
      <c r="G455" s="2" t="n">
        <f>HYPERLINK("https://patentcenter.uspto.gov/applications/17335260","Patent Center")</f>
        <v>0.0</v>
      </c>
      <c r="H455" s="2" t="n">
        <f>HYPERLINK("https://worldwide.espacenet.com/patent/search?q=US20220101150","Espacenet")</f>
        <v>0.0</v>
      </c>
      <c r="I455" s="2" t="n">
        <f>HYPERLINK("https://ppubs.uspto.gov/pubwebapp/external.html?q=20220101150.pn.","USPTO")</f>
        <v>0.0</v>
      </c>
      <c r="J455" s="2" t="n">
        <f>HYPERLINK("https://image-ppubs.uspto.gov/dirsearch-public/print/downloadPdf/20220101150","USPTO PDF")</f>
        <v>0.0</v>
      </c>
      <c r="K455" s="2" t="n">
        <f>HYPERLINK("https://sectors.patentforecast.com/pmd/US20220101150","PMD")</f>
        <v>0.0</v>
      </c>
      <c r="L455" s="2" t="n">
        <f>HYPERLINK("https://globaldossier.uspto.gov/result/application/US/17335260/1","US20220101150")</f>
        <v>0.0</v>
      </c>
      <c r="M455" t="s">
        <v>3251</v>
      </c>
      <c r="N455" t="s">
        <v>3205</v>
      </c>
      <c r="O455" t="s">
        <v>3206</v>
      </c>
      <c r="P455" t="s">
        <v>3252</v>
      </c>
      <c r="Q455" s="3" t="n">
        <v>44348.0</v>
      </c>
      <c r="R455" s="3" t="n">
        <v>44651.0</v>
      </c>
      <c r="S455" s="3" t="n">
        <v>44652.230469236114</v>
      </c>
      <c r="T455" s="3" t="n">
        <v>44719.57278873843</v>
      </c>
      <c r="U455" t="s">
        <v>31</v>
      </c>
      <c r="V455" t="s">
        <v>3253</v>
      </c>
    </row>
    <row r="456">
      <c r="A456" t="s">
        <v>22</v>
      </c>
      <c r="B456" t="s">
        <v>3254</v>
      </c>
      <c r="C456" t="s">
        <v>24</v>
      </c>
      <c r="D456" t="s">
        <v>25</v>
      </c>
      <c r="E456" t="s">
        <v>3255</v>
      </c>
      <c r="F456" s="2" t="n">
        <f>HYPERLINK("https://patents.google.com/patent/US20220101048","Google")</f>
        <v>0.0</v>
      </c>
      <c r="G456" s="2" t="n">
        <f>HYPERLINK("https://patentcenter.uspto.gov/applications/17093960","Patent Center")</f>
        <v>0.0</v>
      </c>
      <c r="H456" s="2" t="n">
        <f>HYPERLINK("https://worldwide.espacenet.com/patent/search?q=US20220101048","Espacenet")</f>
        <v>0.0</v>
      </c>
      <c r="I456" s="2" t="n">
        <f>HYPERLINK("https://ppubs.uspto.gov/pubwebapp/external.html?q=20220101048.pn.","USPTO")</f>
        <v>0.0</v>
      </c>
      <c r="J456" s="2" t="n">
        <f>HYPERLINK("https://image-ppubs.uspto.gov/dirsearch-public/print/downloadPdf/20220101048","USPTO PDF")</f>
        <v>0.0</v>
      </c>
      <c r="K456" s="2" t="n">
        <f>HYPERLINK("https://sectors.patentforecast.com/pmd/US20220101048","PMD")</f>
        <v>0.0</v>
      </c>
      <c r="L456" s="2" t="n">
        <f>HYPERLINK("https://globaldossier.uspto.gov/result/application/US/17093960/1","US20220101048")</f>
        <v>0.0</v>
      </c>
      <c r="M456" t="s">
        <v>3256</v>
      </c>
      <c r="N456" t="s">
        <v>3257</v>
      </c>
      <c r="O456" t="s">
        <v>3258</v>
      </c>
      <c r="P456" t="s">
        <v>3259</v>
      </c>
      <c r="Q456" s="3" t="n">
        <v>44145.0</v>
      </c>
      <c r="R456" s="3" t="n">
        <v>44651.0</v>
      </c>
      <c r="S456" s="3" t="n">
        <v>44652.230469236114</v>
      </c>
      <c r="T456" s="3" t="n">
        <v>44719.57298429398</v>
      </c>
      <c r="U456" t="s">
        <v>31</v>
      </c>
      <c r="V456" t="s">
        <v>3260</v>
      </c>
    </row>
    <row r="457">
      <c r="A457" t="s">
        <v>22</v>
      </c>
      <c r="B457" t="s">
        <v>3261</v>
      </c>
      <c r="C457" t="s">
        <v>24</v>
      </c>
      <c r="D457" t="s">
        <v>204</v>
      </c>
      <c r="E457" t="s">
        <v>3262</v>
      </c>
      <c r="F457" s="2" t="n">
        <f>HYPERLINK("https://patents.google.com/patent/US20220100990","Google")</f>
        <v>0.0</v>
      </c>
      <c r="G457" s="2" t="n">
        <f>HYPERLINK("https://patentcenter.uspto.gov/applications/16948780","Patent Center")</f>
        <v>0.0</v>
      </c>
      <c r="H457" s="2" t="n">
        <f>HYPERLINK("https://worldwide.espacenet.com/patent/search?q=US20220100990","Espacenet")</f>
        <v>0.0</v>
      </c>
      <c r="I457" s="2" t="n">
        <f>HYPERLINK("https://ppubs.uspto.gov/pubwebapp/external.html?q=20220100990.pn.","USPTO")</f>
        <v>0.0</v>
      </c>
      <c r="J457" s="2" t="n">
        <f>HYPERLINK("https://image-ppubs.uspto.gov/dirsearch-public/print/downloadPdf/20220100990","USPTO PDF")</f>
        <v>0.0</v>
      </c>
      <c r="K457" s="2" t="n">
        <f>HYPERLINK("https://sectors.patentforecast.com/pmd/US20220100990","PMD")</f>
        <v>0.0</v>
      </c>
      <c r="L457" s="2" t="n">
        <f>HYPERLINK("https://globaldossier.uspto.gov/result/application/US/16948780/1","US20220100990")</f>
        <v>0.0</v>
      </c>
      <c r="M457" t="s">
        <v>3263</v>
      </c>
      <c r="N457" t="s">
        <v>3180</v>
      </c>
      <c r="O457" t="s">
        <v>3181</v>
      </c>
      <c r="P457" t="s">
        <v>3264</v>
      </c>
      <c r="Q457" s="3" t="n">
        <v>44104.0</v>
      </c>
      <c r="R457" s="3" t="n">
        <v>44651.0</v>
      </c>
      <c r="S457" s="3" t="n">
        <v>44652.230469236114</v>
      </c>
      <c r="T457" s="3" t="n">
        <v>44719.57376881944</v>
      </c>
      <c r="U457" t="s">
        <v>3265</v>
      </c>
      <c r="V457" t="s">
        <v>3266</v>
      </c>
    </row>
    <row r="458">
      <c r="A458" t="s">
        <v>22</v>
      </c>
      <c r="B458" t="s">
        <v>3267</v>
      </c>
      <c r="C458" t="s">
        <v>24</v>
      </c>
      <c r="D458" t="s">
        <v>100</v>
      </c>
      <c r="E458" t="s">
        <v>3268</v>
      </c>
      <c r="F458" s="2" t="n">
        <f>HYPERLINK("https://patents.google.com/patent/US20220100196","Google")</f>
        <v>0.0</v>
      </c>
      <c r="G458" s="2" t="n">
        <f>HYPERLINK("https://patentcenter.uspto.gov/applications/17138628","Patent Center")</f>
        <v>0.0</v>
      </c>
      <c r="H458" s="2" t="n">
        <f>HYPERLINK("https://worldwide.espacenet.com/patent/search?q=US20220100196","Espacenet")</f>
        <v>0.0</v>
      </c>
      <c r="I458" s="2" t="n">
        <f>HYPERLINK("https://ppubs.uspto.gov/pubwebapp/external.html?q=20220100196.pn.","USPTO")</f>
        <v>0.0</v>
      </c>
      <c r="J458" s="2" t="n">
        <f>HYPERLINK("https://image-ppubs.uspto.gov/dirsearch-public/print/downloadPdf/20220100196","USPTO PDF")</f>
        <v>0.0</v>
      </c>
      <c r="K458" s="2" t="n">
        <f>HYPERLINK("https://sectors.patentforecast.com/pmd/US20220100196","PMD")</f>
        <v>0.0</v>
      </c>
      <c r="L458" s="2" t="n">
        <f>HYPERLINK("https://globaldossier.uspto.gov/result/application/US/17138628/1","US20220100196")</f>
        <v>0.0</v>
      </c>
      <c r="M458" t="s">
        <v>3269</v>
      </c>
      <c r="N458" t="s">
        <v>3270</v>
      </c>
      <c r="O458" t="s">
        <v>3271</v>
      </c>
      <c r="P458" t="s">
        <v>3272</v>
      </c>
      <c r="Q458" s="3" t="n">
        <v>44195.0</v>
      </c>
      <c r="R458" s="3" t="n">
        <v>44651.0</v>
      </c>
      <c r="S458" s="3" t="n">
        <v>44652.230469236114</v>
      </c>
      <c r="T458" s="3" t="n">
        <v>44719.57386079861</v>
      </c>
      <c r="U458" t="s">
        <v>31</v>
      </c>
      <c r="V458" t="s">
        <v>3273</v>
      </c>
    </row>
    <row r="459">
      <c r="A459" t="s">
        <v>22</v>
      </c>
      <c r="B459" t="s">
        <v>3274</v>
      </c>
      <c r="C459" t="s">
        <v>24</v>
      </c>
      <c r="D459" t="s">
        <v>187</v>
      </c>
      <c r="E459" t="s">
        <v>3275</v>
      </c>
      <c r="F459" s="2" t="n">
        <f>HYPERLINK("https://patents.google.com/patent/US20220099679","Google")</f>
        <v>0.0</v>
      </c>
      <c r="G459" s="2" t="n">
        <f>HYPERLINK("https://patentcenter.uspto.gov/applications/17033827","Patent Center")</f>
        <v>0.0</v>
      </c>
      <c r="H459" s="2" t="n">
        <f>HYPERLINK("https://worldwide.espacenet.com/patent/search?q=US20220099679","Espacenet")</f>
        <v>0.0</v>
      </c>
      <c r="I459" s="2" t="n">
        <f>HYPERLINK("https://ppubs.uspto.gov/pubwebapp/external.html?q=20220099679.pn.","USPTO")</f>
        <v>0.0</v>
      </c>
      <c r="J459" s="2" t="n">
        <f>HYPERLINK("https://image-ppubs.uspto.gov/dirsearch-public/print/downloadPdf/20220099679","USPTO PDF")</f>
        <v>0.0</v>
      </c>
      <c r="K459" s="2" t="n">
        <f>HYPERLINK("https://sectors.patentforecast.com/pmd/US20220099679","PMD")</f>
        <v>0.0</v>
      </c>
      <c r="L459" s="2" t="n">
        <f>HYPERLINK("https://globaldossier.uspto.gov/result/application/US/17033827/1","US20220099679")</f>
        <v>0.0</v>
      </c>
      <c r="M459" t="s">
        <v>3276</v>
      </c>
      <c r="N459" t="s">
        <v>3277</v>
      </c>
      <c r="O459" t="s">
        <v>3278</v>
      </c>
      <c r="P459" t="s">
        <v>3279</v>
      </c>
      <c r="Q459" s="3" t="n">
        <v>44101.0</v>
      </c>
      <c r="R459" s="3" t="n">
        <v>44651.0</v>
      </c>
      <c r="S459" s="3" t="n">
        <v>44652.230469236114</v>
      </c>
      <c r="T459" s="3" t="n">
        <v>44719.574264097224</v>
      </c>
      <c r="U459" t="s">
        <v>31</v>
      </c>
      <c r="V459" t="s">
        <v>3280</v>
      </c>
    </row>
    <row r="460">
      <c r="A460" t="s">
        <v>22</v>
      </c>
      <c r="B460" t="s">
        <v>3281</v>
      </c>
      <c r="C460" t="s">
        <v>24</v>
      </c>
      <c r="D460" t="s">
        <v>25</v>
      </c>
      <c r="E460" t="s">
        <v>3282</v>
      </c>
      <c r="F460" s="2" t="n">
        <f>HYPERLINK("https://patents.google.com/patent/US20220099675","Google")</f>
        <v>0.0</v>
      </c>
      <c r="G460" s="2" t="n">
        <f>HYPERLINK("https://patentcenter.uspto.gov/applications/17489273","Patent Center")</f>
        <v>0.0</v>
      </c>
      <c r="H460" s="2" t="n">
        <f>HYPERLINK("https://worldwide.espacenet.com/patent/search?q=US20220099675","Espacenet")</f>
        <v>0.0</v>
      </c>
      <c r="I460" s="2" t="n">
        <f>HYPERLINK("https://ppubs.uspto.gov/pubwebapp/external.html?q=20220099675.pn.","USPTO")</f>
        <v>0.0</v>
      </c>
      <c r="J460" s="2" t="n">
        <f>HYPERLINK("https://image-ppubs.uspto.gov/dirsearch-public/print/downloadPdf/20220099675","USPTO PDF")</f>
        <v>0.0</v>
      </c>
      <c r="K460" s="2" t="n">
        <f>HYPERLINK("https://sectors.patentforecast.com/pmd/US20220099675","PMD")</f>
        <v>0.0</v>
      </c>
      <c r="L460" s="2" t="n">
        <f>HYPERLINK("https://globaldossier.uspto.gov/result/application/US/17489273/1","US20220099675")</f>
        <v>0.0</v>
      </c>
      <c r="M460" t="s">
        <v>3283</v>
      </c>
      <c r="N460" t="s">
        <v>3284</v>
      </c>
      <c r="O460" t="s">
        <v>3285</v>
      </c>
      <c r="P460" t="s">
        <v>3286</v>
      </c>
      <c r="Q460" s="3" t="n">
        <v>44468.0</v>
      </c>
      <c r="R460" s="3" t="n">
        <v>44651.0</v>
      </c>
      <c r="S460" s="3" t="n">
        <v>44652.230469236114</v>
      </c>
      <c r="T460" s="3" t="n">
        <v>44658.65747851852</v>
      </c>
      <c r="U460" t="s">
        <v>31</v>
      </c>
      <c r="V460" t="s">
        <v>3287</v>
      </c>
    </row>
    <row r="461">
      <c r="A461" t="s">
        <v>22</v>
      </c>
      <c r="B461" t="s">
        <v>3288</v>
      </c>
      <c r="C461" t="s">
        <v>24</v>
      </c>
      <c r="D461" t="s">
        <v>51</v>
      </c>
      <c r="E461" t="s">
        <v>3289</v>
      </c>
      <c r="F461" s="2" t="n">
        <f>HYPERLINK("https://patents.google.com/patent/US20220099674","Google")</f>
        <v>0.0</v>
      </c>
      <c r="G461" s="2" t="n">
        <f>HYPERLINK("https://patentcenter.uspto.gov/applications/17488384","Patent Center")</f>
        <v>0.0</v>
      </c>
      <c r="H461" s="2" t="n">
        <f>HYPERLINK("https://worldwide.espacenet.com/patent/search?q=US20220099674","Espacenet")</f>
        <v>0.0</v>
      </c>
      <c r="I461" s="2" t="n">
        <f>HYPERLINK("https://ppubs.uspto.gov/pubwebapp/external.html?q=20220099674.pn.","USPTO")</f>
        <v>0.0</v>
      </c>
      <c r="J461" s="2" t="n">
        <f>HYPERLINK("https://image-ppubs.uspto.gov/dirsearch-public/print/downloadPdf/20220099674","USPTO PDF")</f>
        <v>0.0</v>
      </c>
      <c r="K461" s="2" t="n">
        <f>HYPERLINK("https://sectors.patentforecast.com/pmd/US20220099674","PMD")</f>
        <v>0.0</v>
      </c>
      <c r="L461" s="2" t="n">
        <f>HYPERLINK("https://globaldossier.uspto.gov/result/application/US/17488384/1","US20220099674")</f>
        <v>0.0</v>
      </c>
      <c r="M461" t="s">
        <v>3290</v>
      </c>
      <c r="N461" t="s">
        <v>3291</v>
      </c>
      <c r="O461" t="s">
        <v>3292</v>
      </c>
      <c r="P461" t="s">
        <v>3293</v>
      </c>
      <c r="Q461" s="3" t="n">
        <v>44468.0</v>
      </c>
      <c r="R461" s="3" t="n">
        <v>44651.0</v>
      </c>
      <c r="S461" s="3" t="n">
        <v>44652.230469236114</v>
      </c>
      <c r="T461" s="3" t="n">
        <v>44658.64483193287</v>
      </c>
      <c r="U461" t="s">
        <v>31</v>
      </c>
      <c r="V461" t="s">
        <v>3294</v>
      </c>
    </row>
    <row r="462">
      <c r="A462" t="s">
        <v>22</v>
      </c>
      <c r="B462" t="s">
        <v>3295</v>
      </c>
      <c r="C462" t="s">
        <v>24</v>
      </c>
      <c r="D462" t="s">
        <v>25</v>
      </c>
      <c r="E462" t="s">
        <v>3296</v>
      </c>
      <c r="F462" s="2" t="n">
        <f>HYPERLINK("https://patents.google.com/patent/US20220099649","Google")</f>
        <v>0.0</v>
      </c>
      <c r="G462" s="2" t="n">
        <f>HYPERLINK("https://patentcenter.uspto.gov/applications/17491003","Patent Center")</f>
        <v>0.0</v>
      </c>
      <c r="H462" s="2" t="n">
        <f>HYPERLINK("https://worldwide.espacenet.com/patent/search?q=US20220099649","Espacenet")</f>
        <v>0.0</v>
      </c>
      <c r="I462" s="2" t="n">
        <f>HYPERLINK("https://ppubs.uspto.gov/pubwebapp/external.html?q=20220099649.pn.","USPTO")</f>
        <v>0.0</v>
      </c>
      <c r="J462" s="2" t="n">
        <f>HYPERLINK("https://image-ppubs.uspto.gov/dirsearch-public/print/downloadPdf/20220099649","USPTO PDF")</f>
        <v>0.0</v>
      </c>
      <c r="K462" s="2" t="n">
        <f>HYPERLINK("https://sectors.patentforecast.com/pmd/US20220099649","PMD")</f>
        <v>0.0</v>
      </c>
      <c r="L462" s="2" t="n">
        <f>HYPERLINK("https://globaldossier.uspto.gov/result/application/US/17491003/1","US20220099649")</f>
        <v>0.0</v>
      </c>
      <c r="M462" t="s">
        <v>3297</v>
      </c>
      <c r="N462" t="s">
        <v>3298</v>
      </c>
      <c r="O462" t="s">
        <v>3298</v>
      </c>
      <c r="P462" t="s">
        <v>3299</v>
      </c>
      <c r="Q462" s="3" t="n">
        <v>44469.0</v>
      </c>
      <c r="R462" s="3" t="n">
        <v>44651.0</v>
      </c>
      <c r="S462" s="3" t="n">
        <v>44652.230469236114</v>
      </c>
      <c r="T462" s="3" t="n">
        <v>44719.575146469906</v>
      </c>
      <c r="U462" t="s">
        <v>31</v>
      </c>
      <c r="V462" t="s">
        <v>3300</v>
      </c>
    </row>
    <row r="463">
      <c r="A463" t="s">
        <v>22</v>
      </c>
      <c r="B463" t="s">
        <v>3301</v>
      </c>
      <c r="C463" t="s">
        <v>24</v>
      </c>
      <c r="D463" t="s">
        <v>100</v>
      </c>
      <c r="E463" t="s">
        <v>3302</v>
      </c>
      <c r="F463" s="2" t="n">
        <f>HYPERLINK("https://patents.google.com/patent/US20220099320","Google")</f>
        <v>0.0</v>
      </c>
      <c r="G463" s="2" t="n">
        <f>HYPERLINK("https://patentcenter.uspto.gov/applications/17550247","Patent Center")</f>
        <v>0.0</v>
      </c>
      <c r="H463" s="2" t="n">
        <f>HYPERLINK("https://worldwide.espacenet.com/patent/search?q=US20220099320","Espacenet")</f>
        <v>0.0</v>
      </c>
      <c r="I463" s="2" t="n">
        <f>HYPERLINK("https://ppubs.uspto.gov/pubwebapp/external.html?q=20220099320.pn.","USPTO")</f>
        <v>0.0</v>
      </c>
      <c r="J463" s="2" t="n">
        <f>HYPERLINK("https://image-ppubs.uspto.gov/dirsearch-public/print/downloadPdf/20220099320","USPTO PDF")</f>
        <v>0.0</v>
      </c>
      <c r="K463" s="2" t="n">
        <f>HYPERLINK("https://sectors.patentforecast.com/pmd/US20220099320","PMD")</f>
        <v>0.0</v>
      </c>
      <c r="L463" s="2" t="n">
        <f>HYPERLINK("https://globaldossier.uspto.gov/result/application/US/17550247/1","US20220099320")</f>
        <v>0.0</v>
      </c>
      <c r="M463" t="s">
        <v>3303</v>
      </c>
      <c r="N463" t="s">
        <v>3304</v>
      </c>
      <c r="O463" t="s">
        <v>3305</v>
      </c>
      <c r="P463" t="s">
        <v>3306</v>
      </c>
      <c r="Q463" s="3" t="n">
        <v>44544.0</v>
      </c>
      <c r="R463" s="3" t="n">
        <v>44651.0</v>
      </c>
      <c r="S463" s="3" t="n">
        <v>44652.230469236114</v>
      </c>
      <c r="T463" s="3" t="n">
        <v>44658.6151159838</v>
      </c>
      <c r="U463" t="s">
        <v>3307</v>
      </c>
      <c r="V463" t="s">
        <v>3308</v>
      </c>
    </row>
    <row r="464">
      <c r="A464" t="s">
        <v>22</v>
      </c>
      <c r="B464" t="s">
        <v>3309</v>
      </c>
      <c r="C464" t="s">
        <v>24</v>
      </c>
      <c r="D464" t="s">
        <v>69</v>
      </c>
      <c r="E464" t="s">
        <v>3310</v>
      </c>
      <c r="F464" s="2" t="n">
        <f>HYPERLINK("https://patents.google.com/patent/US20220098418","Google")</f>
        <v>0.0</v>
      </c>
      <c r="G464" s="2" t="n">
        <f>HYPERLINK("https://patentcenter.uspto.gov/applications/17488458","Patent Center")</f>
        <v>0.0</v>
      </c>
      <c r="H464" s="2" t="n">
        <f>HYPERLINK("https://worldwide.espacenet.com/patent/search?q=US20220098418","Espacenet")</f>
        <v>0.0</v>
      </c>
      <c r="I464" s="2" t="n">
        <f>HYPERLINK("https://ppubs.uspto.gov/pubwebapp/external.html?q=20220098418.pn.","USPTO")</f>
        <v>0.0</v>
      </c>
      <c r="J464" s="2" t="n">
        <f>HYPERLINK("https://image-ppubs.uspto.gov/dirsearch-public/print/downloadPdf/20220098418","USPTO PDF")</f>
        <v>0.0</v>
      </c>
      <c r="K464" s="2" t="n">
        <f>HYPERLINK("https://sectors.patentforecast.com/pmd/US20220098418","PMD")</f>
        <v>0.0</v>
      </c>
      <c r="L464" s="2" t="n">
        <f>HYPERLINK("https://globaldossier.uspto.gov/result/application/US/17488458/1","US20220098418")</f>
        <v>0.0</v>
      </c>
      <c r="M464" t="s">
        <v>3311</v>
      </c>
      <c r="N464" t="s">
        <v>3312</v>
      </c>
      <c r="O464" t="s">
        <v>3313</v>
      </c>
      <c r="P464" t="s">
        <v>3314</v>
      </c>
      <c r="Q464" s="3" t="n">
        <v>44468.0</v>
      </c>
      <c r="R464" s="3" t="n">
        <v>44651.0</v>
      </c>
      <c r="S464" s="3" t="n">
        <v>44652.230469236114</v>
      </c>
      <c r="T464" s="3" t="n">
        <v>44658.655145729164</v>
      </c>
      <c r="U464" t="s">
        <v>3315</v>
      </c>
      <c r="V464" t="s">
        <v>3316</v>
      </c>
    </row>
    <row r="465">
      <c r="A465" t="s">
        <v>22</v>
      </c>
      <c r="B465" t="s">
        <v>3317</v>
      </c>
      <c r="C465" t="s">
        <v>60</v>
      </c>
      <c r="D465" t="s">
        <v>61</v>
      </c>
      <c r="E465" t="s">
        <v>3318</v>
      </c>
      <c r="F465" s="2" t="n">
        <f>HYPERLINK("https://patents.google.com/patent/US20220098283","Google")</f>
        <v>0.0</v>
      </c>
      <c r="G465" s="2" t="n">
        <f>HYPERLINK("https://patentcenter.uspto.gov/applications/17499041","Patent Center")</f>
        <v>0.0</v>
      </c>
      <c r="H465" s="2" t="n">
        <f>HYPERLINK("https://worldwide.espacenet.com/patent/search?q=US20220098283","Espacenet")</f>
        <v>0.0</v>
      </c>
      <c r="I465" s="2" t="n">
        <f>HYPERLINK("https://ppubs.uspto.gov/pubwebapp/external.html?q=20220098283.pn.","USPTO")</f>
        <v>0.0</v>
      </c>
      <c r="J465" s="2" t="n">
        <f>HYPERLINK("https://image-ppubs.uspto.gov/dirsearch-public/print/downloadPdf/20220098283","USPTO PDF")</f>
        <v>0.0</v>
      </c>
      <c r="K465" s="2" t="n">
        <f>HYPERLINK("https://sectors.patentforecast.com/pmd/US20220098283","PMD")</f>
        <v>0.0</v>
      </c>
      <c r="L465" s="2" t="n">
        <f>HYPERLINK("https://globaldossier.uspto.gov/result/application/US/17499041/1","US20220098283")</f>
        <v>0.0</v>
      </c>
      <c r="M465" t="s">
        <v>3319</v>
      </c>
      <c r="N465" t="s">
        <v>3320</v>
      </c>
      <c r="O465" t="s">
        <v>3321</v>
      </c>
      <c r="P465" t="s">
        <v>3322</v>
      </c>
      <c r="Q465" s="3" t="n">
        <v>44481.0</v>
      </c>
      <c r="R465" s="3" t="n">
        <v>44651.0</v>
      </c>
      <c r="S465" s="3" t="n">
        <v>44652.230469236114</v>
      </c>
      <c r="T465" s="3" t="n">
        <v>44658.52002429398</v>
      </c>
      <c r="U465" t="s">
        <v>31</v>
      </c>
      <c r="V465" t="s">
        <v>3323</v>
      </c>
    </row>
    <row r="466">
      <c r="A466" t="s">
        <v>22</v>
      </c>
      <c r="B466" t="s">
        <v>3324</v>
      </c>
      <c r="C466" t="s">
        <v>132</v>
      </c>
      <c r="D466" t="s">
        <v>133</v>
      </c>
      <c r="E466" t="s">
        <v>3325</v>
      </c>
      <c r="F466" s="2" t="n">
        <f>HYPERLINK("https://patents.google.com/patent/US20220098245","Google")</f>
        <v>0.0</v>
      </c>
      <c r="G466" s="2" t="n">
        <f>HYPERLINK("https://patentcenter.uspto.gov/applications/17346245","Patent Center")</f>
        <v>0.0</v>
      </c>
      <c r="H466" s="2" t="n">
        <f>HYPERLINK("https://worldwide.espacenet.com/patent/search?q=US20220098245","Espacenet")</f>
        <v>0.0</v>
      </c>
      <c r="I466" s="2" t="n">
        <f>HYPERLINK("https://ppubs.uspto.gov/pubwebapp/external.html?q=20220098245.pn.","USPTO")</f>
        <v>0.0</v>
      </c>
      <c r="J466" s="2" t="n">
        <f>HYPERLINK("https://image-ppubs.uspto.gov/dirsearch-public/print/downloadPdf/20220098245","USPTO PDF")</f>
        <v>0.0</v>
      </c>
      <c r="K466" s="2" t="n">
        <f>HYPERLINK("https://sectors.patentforecast.com/pmd/US20220098245","PMD")</f>
        <v>0.0</v>
      </c>
      <c r="L466" s="2" t="n">
        <f>HYPERLINK("https://globaldossier.uspto.gov/result/application/US/17346245/1","US20220098245")</f>
        <v>0.0</v>
      </c>
      <c r="M466" t="s">
        <v>3326</v>
      </c>
      <c r="N466" t="s">
        <v>3327</v>
      </c>
      <c r="O466" t="s">
        <v>3328</v>
      </c>
      <c r="P466" t="s">
        <v>3329</v>
      </c>
      <c r="Q466" s="3" t="n">
        <v>44360.0</v>
      </c>
      <c r="R466" s="3" t="n">
        <v>44651.0</v>
      </c>
      <c r="S466" s="3" t="n">
        <v>44652.22942013889</v>
      </c>
      <c r="T466" s="3" t="n">
        <v>44658.648366099536</v>
      </c>
      <c r="U466" t="s">
        <v>31</v>
      </c>
      <c r="V466" t="s">
        <v>3330</v>
      </c>
    </row>
    <row r="467">
      <c r="A467" t="s">
        <v>22</v>
      </c>
      <c r="B467" t="s">
        <v>3331</v>
      </c>
      <c r="C467" t="s">
        <v>132</v>
      </c>
      <c r="D467" t="s">
        <v>133</v>
      </c>
      <c r="E467" t="s">
        <v>3332</v>
      </c>
      <c r="F467" s="2" t="n">
        <f>HYPERLINK("https://patents.google.com/patent/US20220098242","Google")</f>
        <v>0.0</v>
      </c>
      <c r="G467" s="2" t="n">
        <f>HYPERLINK("https://patentcenter.uspto.gov/applications/17187214","Patent Center")</f>
        <v>0.0</v>
      </c>
      <c r="H467" s="2" t="n">
        <f>HYPERLINK("https://worldwide.espacenet.com/patent/search?q=US20220098242","Espacenet")</f>
        <v>0.0</v>
      </c>
      <c r="I467" s="2" t="n">
        <f>HYPERLINK("https://ppubs.uspto.gov/pubwebapp/external.html?q=20220098242.pn.","USPTO")</f>
        <v>0.0</v>
      </c>
      <c r="J467" s="2" t="n">
        <f>HYPERLINK("https://image-ppubs.uspto.gov/dirsearch-public/print/downloadPdf/20220098242","USPTO PDF")</f>
        <v>0.0</v>
      </c>
      <c r="K467" s="2" t="n">
        <f>HYPERLINK("https://sectors.patentforecast.com/pmd/US20220098242","PMD")</f>
        <v>0.0</v>
      </c>
      <c r="L467" s="2" t="n">
        <f>HYPERLINK("https://globaldossier.uspto.gov/result/application/US/17187214/1","US20220098242")</f>
        <v>0.0</v>
      </c>
      <c r="M467" t="s">
        <v>3333</v>
      </c>
      <c r="N467" t="s">
        <v>3334</v>
      </c>
      <c r="O467" t="s">
        <v>3335</v>
      </c>
      <c r="P467" t="s">
        <v>3336</v>
      </c>
      <c r="Q467" s="3" t="n">
        <v>44253.0</v>
      </c>
      <c r="R467" s="3" t="n">
        <v>44651.0</v>
      </c>
      <c r="S467" s="3" t="n">
        <v>44652.230469236114</v>
      </c>
      <c r="T467" s="3" t="n">
        <v>44658.63202745371</v>
      </c>
      <c r="U467" t="s">
        <v>31</v>
      </c>
      <c r="V467" t="s">
        <v>3337</v>
      </c>
    </row>
    <row r="468">
      <c r="A468" t="s">
        <v>22</v>
      </c>
      <c r="B468" t="s">
        <v>3338</v>
      </c>
      <c r="C468" t="s">
        <v>60</v>
      </c>
      <c r="D468" t="s">
        <v>61</v>
      </c>
      <c r="E468" t="s">
        <v>3339</v>
      </c>
      <c r="F468" s="2" t="n">
        <f>HYPERLINK("https://patents.google.com/patent/US20220098238","Google")</f>
        <v>0.0</v>
      </c>
      <c r="G468" s="2" t="n">
        <f>HYPERLINK("https://patentcenter.uspto.gov/applications/17486602","Patent Center")</f>
        <v>0.0</v>
      </c>
      <c r="H468" s="2" t="n">
        <f>HYPERLINK("https://worldwide.espacenet.com/patent/search?q=US20220098238","Espacenet")</f>
        <v>0.0</v>
      </c>
      <c r="I468" s="2" t="n">
        <f>HYPERLINK("https://ppubs.uspto.gov/pubwebapp/external.html?q=20220098238.pn.","USPTO")</f>
        <v>0.0</v>
      </c>
      <c r="J468" s="2" t="n">
        <f>HYPERLINK("https://image-ppubs.uspto.gov/dirsearch-public/print/downloadPdf/20220098238","USPTO PDF")</f>
        <v>0.0</v>
      </c>
      <c r="K468" s="2" t="n">
        <f>HYPERLINK("https://sectors.patentforecast.com/pmd/US20220098238","PMD")</f>
        <v>0.0</v>
      </c>
      <c r="L468" s="2" t="n">
        <f>HYPERLINK("https://globaldossier.uspto.gov/result/application/US/17486602/1","US20220098238")</f>
        <v>0.0</v>
      </c>
      <c r="M468" t="s">
        <v>3340</v>
      </c>
      <c r="N468" t="s">
        <v>3341</v>
      </c>
      <c r="O468" t="s">
        <v>3341</v>
      </c>
      <c r="P468" t="s">
        <v>3342</v>
      </c>
      <c r="Q468" s="3" t="n">
        <v>44466.0</v>
      </c>
      <c r="R468" s="3" t="n">
        <v>44651.0</v>
      </c>
      <c r="S468" s="3" t="n">
        <v>44652.230469236114</v>
      </c>
      <c r="T468" s="3" t="n">
        <v>44719.57521697917</v>
      </c>
      <c r="U468" t="s">
        <v>31</v>
      </c>
      <c r="V468" t="s">
        <v>3343</v>
      </c>
    </row>
    <row r="469">
      <c r="A469" t="s">
        <v>22</v>
      </c>
      <c r="B469" t="s">
        <v>3344</v>
      </c>
      <c r="C469" t="s">
        <v>24</v>
      </c>
      <c r="D469" t="s">
        <v>69</v>
      </c>
      <c r="E469" t="s">
        <v>3345</v>
      </c>
      <c r="F469" s="2" t="n">
        <f>HYPERLINK("https://patents.google.com/patent/US20220098022","Google")</f>
        <v>0.0</v>
      </c>
      <c r="G469" s="2" t="n">
        <f>HYPERLINK("https://patentcenter.uspto.gov/applications/17445030","Patent Center")</f>
        <v>0.0</v>
      </c>
      <c r="H469" s="2" t="n">
        <f>HYPERLINK("https://worldwide.espacenet.com/patent/search?q=US20220098022","Espacenet")</f>
        <v>0.0</v>
      </c>
      <c r="I469" s="2" t="n">
        <f>HYPERLINK("https://ppubs.uspto.gov/pubwebapp/external.html?q=20220098022.pn.","USPTO")</f>
        <v>0.0</v>
      </c>
      <c r="J469" s="2" t="n">
        <f>HYPERLINK("https://image-ppubs.uspto.gov/dirsearch-public/print/downloadPdf/20220098022","USPTO PDF")</f>
        <v>0.0</v>
      </c>
      <c r="K469" s="2" t="n">
        <f>HYPERLINK("https://sectors.patentforecast.com/pmd/US20220098022","PMD")</f>
        <v>0.0</v>
      </c>
      <c r="L469" s="2" t="n">
        <f>HYPERLINK("https://globaldossier.uspto.gov/result/application/US/17445030/1","US20220098022")</f>
        <v>0.0</v>
      </c>
      <c r="M469" t="s">
        <v>3346</v>
      </c>
      <c r="N469" t="s">
        <v>3347</v>
      </c>
      <c r="O469" t="s">
        <v>3348</v>
      </c>
      <c r="P469" t="s">
        <v>3349</v>
      </c>
      <c r="Q469" s="3" t="n">
        <v>44421.0</v>
      </c>
      <c r="R469" s="3" t="n">
        <v>44651.0</v>
      </c>
      <c r="S469" s="3" t="n">
        <v>44652.230469236114</v>
      </c>
      <c r="T469" s="3" t="n">
        <v>44672.40030074074</v>
      </c>
      <c r="U469" t="s">
        <v>31</v>
      </c>
      <c r="V469" t="s">
        <v>3350</v>
      </c>
    </row>
    <row r="470">
      <c r="A470" t="s">
        <v>22</v>
      </c>
      <c r="B470" t="s">
        <v>3351</v>
      </c>
      <c r="C470" t="s">
        <v>24</v>
      </c>
      <c r="D470" t="s">
        <v>69</v>
      </c>
      <c r="E470" t="s">
        <v>3352</v>
      </c>
      <c r="F470" s="2" t="n">
        <f>HYPERLINK("https://patents.google.com/patent/US20220097639","Google")</f>
        <v>0.0</v>
      </c>
      <c r="G470" s="2" t="n">
        <f>HYPERLINK("https://patentcenter.uspto.gov/applications/17038926","Patent Center")</f>
        <v>0.0</v>
      </c>
      <c r="H470" s="2" t="n">
        <f>HYPERLINK("https://worldwide.espacenet.com/patent/search?q=US20220097639","Espacenet")</f>
        <v>0.0</v>
      </c>
      <c r="I470" s="2" t="n">
        <f>HYPERLINK("https://ppubs.uspto.gov/pubwebapp/external.html?q=20220097639.pn.","USPTO")</f>
        <v>0.0</v>
      </c>
      <c r="J470" s="2" t="n">
        <f>HYPERLINK("https://image-ppubs.uspto.gov/dirsearch-public/print/downloadPdf/20220097639","USPTO PDF")</f>
        <v>0.0</v>
      </c>
      <c r="K470" s="2" t="n">
        <f>HYPERLINK("https://sectors.patentforecast.com/pmd/US20220097639","PMD")</f>
        <v>0.0</v>
      </c>
      <c r="L470" s="2" t="n">
        <f>HYPERLINK("https://globaldossier.uspto.gov/result/application/US/17038926/1","US20220097639")</f>
        <v>0.0</v>
      </c>
      <c r="M470" t="s">
        <v>3353</v>
      </c>
      <c r="N470" t="s">
        <v>3354</v>
      </c>
      <c r="O470" t="s">
        <v>3354</v>
      </c>
      <c r="P470" t="s">
        <v>3355</v>
      </c>
      <c r="Q470" s="3" t="n">
        <v>44104.0</v>
      </c>
      <c r="R470" s="3" t="n">
        <v>44651.0</v>
      </c>
      <c r="S470" s="3" t="n">
        <v>44652.230469236114</v>
      </c>
      <c r="T470" s="3" t="n">
        <v>44658.622448449074</v>
      </c>
      <c r="U470" t="s">
        <v>31</v>
      </c>
      <c r="V470" t="s">
        <v>3356</v>
      </c>
    </row>
    <row r="471">
      <c r="A471" t="s">
        <v>22</v>
      </c>
      <c r="B471" t="s">
        <v>3357</v>
      </c>
      <c r="C471" t="s">
        <v>24</v>
      </c>
      <c r="D471" t="s">
        <v>51</v>
      </c>
      <c r="E471" t="s">
        <v>3358</v>
      </c>
      <c r="F471" s="2" t="n">
        <f>HYPERLINK("https://patents.google.com/patent/US20220097073","Google")</f>
        <v>0.0</v>
      </c>
      <c r="G471" s="2" t="n">
        <f>HYPERLINK("https://patentcenter.uspto.gov/applications/17240767","Patent Center")</f>
        <v>0.0</v>
      </c>
      <c r="H471" s="2" t="n">
        <f>HYPERLINK("https://worldwide.espacenet.com/patent/search?q=US20220097073","Espacenet")</f>
        <v>0.0</v>
      </c>
      <c r="I471" s="2" t="n">
        <f>HYPERLINK("https://ppubs.uspto.gov/pubwebapp/external.html?q=20220097073.pn.","USPTO")</f>
        <v>0.0</v>
      </c>
      <c r="J471" s="2" t="n">
        <f>HYPERLINK("https://image-ppubs.uspto.gov/dirsearch-public/print/downloadPdf/20220097073","USPTO PDF")</f>
        <v>0.0</v>
      </c>
      <c r="K471" s="2" t="n">
        <f>HYPERLINK("https://sectors.patentforecast.com/pmd/US20220097073","PMD")</f>
        <v>0.0</v>
      </c>
      <c r="L471" s="2" t="n">
        <f>HYPERLINK("https://globaldossier.uspto.gov/result/application/US/17240767/1","US20220097073")</f>
        <v>0.0</v>
      </c>
      <c r="M471" t="s">
        <v>3359</v>
      </c>
      <c r="N471" t="s">
        <v>3360</v>
      </c>
      <c r="O471" t="s">
        <v>3361</v>
      </c>
      <c r="P471" t="s">
        <v>3362</v>
      </c>
      <c r="Q471" s="3" t="n">
        <v>44312.0</v>
      </c>
      <c r="R471" s="3" t="n">
        <v>44651.0</v>
      </c>
      <c r="S471" s="3" t="n">
        <v>44652.22942013889</v>
      </c>
      <c r="T471" s="3" t="n">
        <v>44672.38663104166</v>
      </c>
      <c r="U471" t="s">
        <v>3363</v>
      </c>
      <c r="V471" t="s">
        <v>3364</v>
      </c>
    </row>
    <row r="472">
      <c r="A472" t="s">
        <v>22</v>
      </c>
      <c r="B472" t="s">
        <v>3365</v>
      </c>
      <c r="C472" t="s">
        <v>24</v>
      </c>
      <c r="D472" t="s">
        <v>69</v>
      </c>
      <c r="E472" t="s">
        <v>3366</v>
      </c>
      <c r="F472" s="2" t="n">
        <f>HYPERLINK("https://patents.google.com/patent/US20220096990","Google")</f>
        <v>0.0</v>
      </c>
      <c r="G472" s="2" t="n">
        <f>HYPERLINK("https://patentcenter.uspto.gov/applications/17548548","Patent Center")</f>
        <v>0.0</v>
      </c>
      <c r="H472" s="2" t="n">
        <f>HYPERLINK("https://worldwide.espacenet.com/patent/search?q=US20220096990","Espacenet")</f>
        <v>0.0</v>
      </c>
      <c r="I472" s="2" t="n">
        <f>HYPERLINK("https://ppubs.uspto.gov/pubwebapp/external.html?q=20220096990.pn.","USPTO")</f>
        <v>0.0</v>
      </c>
      <c r="J472" s="2" t="n">
        <f>HYPERLINK("https://image-ppubs.uspto.gov/dirsearch-public/print/downloadPdf/20220096990","USPTO PDF")</f>
        <v>0.0</v>
      </c>
      <c r="K472" s="2" t="n">
        <f>HYPERLINK("https://sectors.patentforecast.com/pmd/US20220096990","PMD")</f>
        <v>0.0</v>
      </c>
      <c r="L472" s="2" t="n">
        <f>HYPERLINK("https://globaldossier.uspto.gov/result/application/US/17548548/1","US20220096990")</f>
        <v>0.0</v>
      </c>
      <c r="M472" t="s">
        <v>3367</v>
      </c>
      <c r="N472" t="s">
        <v>2960</v>
      </c>
      <c r="O472" t="s">
        <v>2961</v>
      </c>
      <c r="P472" t="s">
        <v>3368</v>
      </c>
      <c r="Q472" s="3" t="n">
        <v>44542.0</v>
      </c>
      <c r="R472" s="3" t="n">
        <v>44651.0</v>
      </c>
      <c r="S472" s="3" t="n">
        <v>44652.230469236114</v>
      </c>
      <c r="T472" s="3" t="n">
        <v>44678.640796342595</v>
      </c>
      <c r="U472" t="s">
        <v>31</v>
      </c>
      <c r="V472" t="s">
        <v>3369</v>
      </c>
    </row>
    <row r="473">
      <c r="A473" t="s">
        <v>22</v>
      </c>
      <c r="B473" t="s">
        <v>3370</v>
      </c>
      <c r="C473" t="s">
        <v>24</v>
      </c>
      <c r="D473" t="s">
        <v>69</v>
      </c>
      <c r="E473" t="s">
        <v>3371</v>
      </c>
      <c r="F473" s="2" t="n">
        <f>HYPERLINK("https://patents.google.com/patent/US20220096875","Google")</f>
        <v>0.0</v>
      </c>
      <c r="G473" s="2" t="n">
        <f>HYPERLINK("https://patentcenter.uspto.gov/applications/17488390","Patent Center")</f>
        <v>0.0</v>
      </c>
      <c r="H473" s="2" t="n">
        <f>HYPERLINK("https://worldwide.espacenet.com/patent/search?q=US20220096875","Espacenet")</f>
        <v>0.0</v>
      </c>
      <c r="I473" s="2" t="n">
        <f>HYPERLINK("https://ppubs.uspto.gov/pubwebapp/external.html?q=20220096875.pn.","USPTO")</f>
        <v>0.0</v>
      </c>
      <c r="J473" s="2" t="n">
        <f>HYPERLINK("https://image-ppubs.uspto.gov/dirsearch-public/print/downloadPdf/20220096875","USPTO PDF")</f>
        <v>0.0</v>
      </c>
      <c r="K473" s="2" t="n">
        <f>HYPERLINK("https://sectors.patentforecast.com/pmd/US20220096875","PMD")</f>
        <v>0.0</v>
      </c>
      <c r="L473" s="2" t="n">
        <f>HYPERLINK("https://globaldossier.uspto.gov/result/application/US/17488390/1","US20220096875")</f>
        <v>0.0</v>
      </c>
      <c r="M473" t="s">
        <v>3372</v>
      </c>
      <c r="N473" t="s">
        <v>3373</v>
      </c>
      <c r="O473" t="s">
        <v>3374</v>
      </c>
      <c r="P473" t="s">
        <v>3375</v>
      </c>
      <c r="Q473" s="3" t="n">
        <v>44468.0</v>
      </c>
      <c r="R473" s="3" t="n">
        <v>44651.0</v>
      </c>
      <c r="S473" s="3" t="n">
        <v>44652.230469236114</v>
      </c>
      <c r="T473" s="3" t="n">
        <v>44658.615446875</v>
      </c>
      <c r="U473" t="s">
        <v>31</v>
      </c>
      <c r="V473" t="s">
        <v>3376</v>
      </c>
    </row>
    <row r="474">
      <c r="A474" t="s">
        <v>22</v>
      </c>
      <c r="B474" t="s">
        <v>3377</v>
      </c>
      <c r="C474" t="s">
        <v>24</v>
      </c>
      <c r="D474" t="s">
        <v>69</v>
      </c>
      <c r="E474" t="s">
        <v>3378</v>
      </c>
      <c r="F474" s="2" t="n">
        <f>HYPERLINK("https://patents.google.com/patent/US20220096874","Google")</f>
        <v>0.0</v>
      </c>
      <c r="G474" s="2" t="n">
        <f>HYPERLINK("https://patentcenter.uspto.gov/applications/17547207","Patent Center")</f>
        <v>0.0</v>
      </c>
      <c r="H474" s="2" t="n">
        <f>HYPERLINK("https://worldwide.espacenet.com/patent/search?q=US20220096874","Espacenet")</f>
        <v>0.0</v>
      </c>
      <c r="I474" s="2" t="n">
        <f>HYPERLINK("https://ppubs.uspto.gov/pubwebapp/external.html?q=20220096874.pn.","USPTO")</f>
        <v>0.0</v>
      </c>
      <c r="J474" s="2" t="n">
        <f>HYPERLINK("https://image-ppubs.uspto.gov/dirsearch-public/print/downloadPdf/20220096874","USPTO PDF")</f>
        <v>0.0</v>
      </c>
      <c r="K474" s="2" t="n">
        <f>HYPERLINK("https://sectors.patentforecast.com/pmd/US20220096874","PMD")</f>
        <v>0.0</v>
      </c>
      <c r="L474" s="2" t="n">
        <f>HYPERLINK("https://globaldossier.uspto.gov/result/application/US/17547207/1","US20220096874")</f>
        <v>0.0</v>
      </c>
      <c r="M474" t="s">
        <v>3379</v>
      </c>
      <c r="N474" t="s">
        <v>3380</v>
      </c>
      <c r="O474" t="s">
        <v>3381</v>
      </c>
      <c r="P474" t="s">
        <v>3382</v>
      </c>
      <c r="Q474" s="3" t="n">
        <v>44539.0</v>
      </c>
      <c r="R474" s="3" t="n">
        <v>44651.0</v>
      </c>
      <c r="S474" s="3" t="n">
        <v>44652.230469236114</v>
      </c>
      <c r="T474" s="3" t="n">
        <v>44658.615535185185</v>
      </c>
      <c r="U474" t="s">
        <v>3383</v>
      </c>
      <c r="V474" t="s">
        <v>3384</v>
      </c>
    </row>
    <row r="475">
      <c r="A475" t="s">
        <v>22</v>
      </c>
      <c r="B475" t="s">
        <v>3385</v>
      </c>
      <c r="C475" t="s">
        <v>24</v>
      </c>
      <c r="D475" t="s">
        <v>69</v>
      </c>
      <c r="E475" t="s">
        <v>3386</v>
      </c>
      <c r="F475" s="2" t="n">
        <f>HYPERLINK("https://patents.google.com/patent/US20220096861","Google")</f>
        <v>0.0</v>
      </c>
      <c r="G475" s="2" t="n">
        <f>HYPERLINK("https://patentcenter.uspto.gov/applications/17549571","Patent Center")</f>
        <v>0.0</v>
      </c>
      <c r="H475" s="2" t="n">
        <f>HYPERLINK("https://worldwide.espacenet.com/patent/search?q=US20220096861","Espacenet")</f>
        <v>0.0</v>
      </c>
      <c r="I475" s="2" t="n">
        <f>HYPERLINK("https://ppubs.uspto.gov/pubwebapp/external.html?q=20220096861.pn.","USPTO")</f>
        <v>0.0</v>
      </c>
      <c r="J475" s="2" t="n">
        <f>HYPERLINK("https://image-ppubs.uspto.gov/dirsearch-public/print/downloadPdf/20220096861","USPTO PDF")</f>
        <v>0.0</v>
      </c>
      <c r="K475" s="2" t="n">
        <f>HYPERLINK("https://sectors.patentforecast.com/pmd/US20220096861","PMD")</f>
        <v>0.0</v>
      </c>
      <c r="L475" s="2" t="n">
        <f>HYPERLINK("https://globaldossier.uspto.gov/result/application/US/17549571/1","US20220096861")</f>
        <v>0.0</v>
      </c>
      <c r="M475" t="s">
        <v>3387</v>
      </c>
      <c r="N475" t="s">
        <v>3388</v>
      </c>
      <c r="O475" t="s">
        <v>3389</v>
      </c>
      <c r="P475" t="s">
        <v>3390</v>
      </c>
      <c r="Q475" s="3" t="n">
        <v>44543.0</v>
      </c>
      <c r="R475" s="3" t="n">
        <v>44651.0</v>
      </c>
      <c r="S475" s="3" t="n">
        <v>44652.230469236114</v>
      </c>
      <c r="T475" s="3" t="n">
        <v>44658.645581805555</v>
      </c>
      <c r="U475" t="s">
        <v>31</v>
      </c>
      <c r="V475" t="s">
        <v>3391</v>
      </c>
    </row>
    <row r="476">
      <c r="A476" t="s">
        <v>22</v>
      </c>
      <c r="B476" t="s">
        <v>3392</v>
      </c>
      <c r="C476" t="s">
        <v>24</v>
      </c>
      <c r="D476" t="s">
        <v>100</v>
      </c>
      <c r="E476" t="s">
        <v>3393</v>
      </c>
      <c r="F476" s="2" t="n">
        <f>HYPERLINK("https://patents.google.com/patent/US20220096703","Google")</f>
        <v>0.0</v>
      </c>
      <c r="G476" s="2" t="n">
        <f>HYPERLINK("https://patentcenter.uspto.gov/applications/17090626","Patent Center")</f>
        <v>0.0</v>
      </c>
      <c r="H476" s="2" t="n">
        <f>HYPERLINK("https://worldwide.espacenet.com/patent/search?q=US20220096703","Espacenet")</f>
        <v>0.0</v>
      </c>
      <c r="I476" s="2" t="n">
        <f>HYPERLINK("https://ppubs.uspto.gov/pubwebapp/external.html?q=20220096703.pn.","USPTO")</f>
        <v>0.0</v>
      </c>
      <c r="J476" s="2" t="n">
        <f>HYPERLINK("https://image-ppubs.uspto.gov/dirsearch-public/print/downloadPdf/20220096703","USPTO PDF")</f>
        <v>0.0</v>
      </c>
      <c r="K476" s="2" t="n">
        <f>HYPERLINK("https://sectors.patentforecast.com/pmd/US20220096703","PMD")</f>
        <v>0.0</v>
      </c>
      <c r="L476" s="2" t="n">
        <f>HYPERLINK("https://globaldossier.uspto.gov/result/application/US/17090626/1","US20220096703")</f>
        <v>0.0</v>
      </c>
      <c r="M476" t="s">
        <v>3394</v>
      </c>
      <c r="N476" t="s">
        <v>3395</v>
      </c>
      <c r="O476" t="s">
        <v>3396</v>
      </c>
      <c r="P476" t="s">
        <v>3397</v>
      </c>
      <c r="Q476" s="3" t="n">
        <v>44140.0</v>
      </c>
      <c r="R476" s="3" t="n">
        <v>44651.0</v>
      </c>
      <c r="S476" s="3" t="n">
        <v>44652.230469236114</v>
      </c>
      <c r="T476" s="3" t="n">
        <v>44719.57555090278</v>
      </c>
      <c r="U476" t="s">
        <v>3398</v>
      </c>
      <c r="V476" t="s">
        <v>3399</v>
      </c>
    </row>
    <row r="477">
      <c r="A477" t="s">
        <v>22</v>
      </c>
      <c r="B477" t="s">
        <v>3400</v>
      </c>
      <c r="C477" t="s">
        <v>24</v>
      </c>
      <c r="D477" t="s">
        <v>100</v>
      </c>
      <c r="E477" t="s">
        <v>3401</v>
      </c>
      <c r="F477" s="2" t="n">
        <f>HYPERLINK("https://patents.google.com/patent/US20220096702","Google")</f>
        <v>0.0</v>
      </c>
      <c r="G477" s="2" t="n">
        <f>HYPERLINK("https://patentcenter.uspto.gov/applications/17033646","Patent Center")</f>
        <v>0.0</v>
      </c>
      <c r="H477" s="2" t="n">
        <f>HYPERLINK("https://worldwide.espacenet.com/patent/search?q=US20220096702","Espacenet")</f>
        <v>0.0</v>
      </c>
      <c r="I477" s="2" t="n">
        <f>HYPERLINK("https://ppubs.uspto.gov/pubwebapp/external.html?q=20220096702.pn.","USPTO")</f>
        <v>0.0</v>
      </c>
      <c r="J477" s="2" t="n">
        <f>HYPERLINK("https://image-ppubs.uspto.gov/dirsearch-public/print/downloadPdf/20220096702","USPTO PDF")</f>
        <v>0.0</v>
      </c>
      <c r="K477" s="2" t="n">
        <f>HYPERLINK("https://sectors.patentforecast.com/pmd/US20220096702","PMD")</f>
        <v>0.0</v>
      </c>
      <c r="L477" s="2" t="n">
        <f>HYPERLINK("https://globaldossier.uspto.gov/result/application/US/17033646/1","US20220096702")</f>
        <v>0.0</v>
      </c>
      <c r="M477" t="s">
        <v>3402</v>
      </c>
      <c r="N477" t="s">
        <v>3403</v>
      </c>
      <c r="O477" t="s">
        <v>3404</v>
      </c>
      <c r="P477" t="s">
        <v>3405</v>
      </c>
      <c r="Q477" s="3" t="n">
        <v>44099.0</v>
      </c>
      <c r="R477" s="3" t="n">
        <v>44651.0</v>
      </c>
      <c r="S477" s="3" t="n">
        <v>44652.230469236114</v>
      </c>
      <c r="T477" s="3" t="n">
        <v>44672.492062129626</v>
      </c>
      <c r="U477" t="s">
        <v>3406</v>
      </c>
      <c r="V477" t="s">
        <v>3407</v>
      </c>
    </row>
    <row r="478">
      <c r="A478" t="s">
        <v>22</v>
      </c>
      <c r="B478" t="s">
        <v>3408</v>
      </c>
      <c r="C478" t="s">
        <v>24</v>
      </c>
      <c r="D478" t="s">
        <v>69</v>
      </c>
      <c r="E478" t="s">
        <v>3409</v>
      </c>
      <c r="F478" s="2" t="n">
        <f>HYPERLINK("https://patents.google.com/patent/US20220096701","Google")</f>
        <v>0.0</v>
      </c>
      <c r="G478" s="2" t="n">
        <f>HYPERLINK("https://patentcenter.uspto.gov/applications/17545822","Patent Center")</f>
        <v>0.0</v>
      </c>
      <c r="H478" s="2" t="n">
        <f>HYPERLINK("https://worldwide.espacenet.com/patent/search?q=US20220096701","Espacenet")</f>
        <v>0.0</v>
      </c>
      <c r="I478" s="2" t="n">
        <f>HYPERLINK("https://ppubs.uspto.gov/pubwebapp/external.html?q=20220096701.pn.","USPTO")</f>
        <v>0.0</v>
      </c>
      <c r="J478" s="2" t="n">
        <f>HYPERLINK("https://image-ppubs.uspto.gov/dirsearch-public/print/downloadPdf/20220096701","USPTO PDF")</f>
        <v>0.0</v>
      </c>
      <c r="K478" s="2" t="n">
        <f>HYPERLINK("https://sectors.patentforecast.com/pmd/US20220096701","PMD")</f>
        <v>0.0</v>
      </c>
      <c r="L478" s="2" t="n">
        <f>HYPERLINK("https://globaldossier.uspto.gov/result/application/US/17545822/1","US20220096701")</f>
        <v>0.0</v>
      </c>
      <c r="M478" t="s">
        <v>3410</v>
      </c>
      <c r="N478" t="s">
        <v>3411</v>
      </c>
      <c r="O478" t="s">
        <v>3411</v>
      </c>
      <c r="P478" t="s">
        <v>3412</v>
      </c>
      <c r="Q478" s="3" t="n">
        <v>44538.0</v>
      </c>
      <c r="R478" s="3" t="n">
        <v>44651.0</v>
      </c>
      <c r="S478" s="3" t="n">
        <v>44652.230469236114</v>
      </c>
      <c r="T478" s="3" t="n">
        <v>44658.59165167824</v>
      </c>
      <c r="U478" t="s">
        <v>3413</v>
      </c>
      <c r="V478" t="s">
        <v>3414</v>
      </c>
    </row>
    <row r="479">
      <c r="A479" t="s">
        <v>22</v>
      </c>
      <c r="B479" t="s">
        <v>3415</v>
      </c>
      <c r="C479" t="s">
        <v>24</v>
      </c>
      <c r="D479" t="s">
        <v>100</v>
      </c>
      <c r="E479" t="s">
        <v>3416</v>
      </c>
      <c r="F479" s="2" t="n">
        <f>HYPERLINK("https://patents.google.com/patent/US20220096700","Google")</f>
        <v>0.0</v>
      </c>
      <c r="G479" s="2" t="n">
        <f>HYPERLINK("https://patentcenter.uspto.gov/applications/17112324","Patent Center")</f>
        <v>0.0</v>
      </c>
      <c r="H479" s="2" t="n">
        <f>HYPERLINK("https://worldwide.espacenet.com/patent/search?q=US20220096700","Espacenet")</f>
        <v>0.0</v>
      </c>
      <c r="I479" s="2" t="n">
        <f>HYPERLINK("https://ppubs.uspto.gov/pubwebapp/external.html?q=20220096700.pn.","USPTO")</f>
        <v>0.0</v>
      </c>
      <c r="J479" s="2" t="n">
        <f>HYPERLINK("https://image-ppubs.uspto.gov/dirsearch-public/print/downloadPdf/20220096700","USPTO PDF")</f>
        <v>0.0</v>
      </c>
      <c r="K479" s="2" t="n">
        <f>HYPERLINK("https://sectors.patentforecast.com/pmd/US20220096700","PMD")</f>
        <v>0.0</v>
      </c>
      <c r="L479" s="2" t="n">
        <f>HYPERLINK("https://globaldossier.uspto.gov/result/application/US/17112324/1","US20220096700")</f>
        <v>0.0</v>
      </c>
      <c r="M479" t="s">
        <v>3417</v>
      </c>
      <c r="N479" t="s">
        <v>3418</v>
      </c>
      <c r="O479" t="s">
        <v>3419</v>
      </c>
      <c r="P479" t="s">
        <v>3420</v>
      </c>
      <c r="Q479" s="3" t="n">
        <v>44169.0</v>
      </c>
      <c r="R479" s="3" t="n">
        <v>44651.0</v>
      </c>
      <c r="S479" s="3" t="n">
        <v>44652.24411868056</v>
      </c>
      <c r="T479" s="3" t="n">
        <v>44658.61031743055</v>
      </c>
      <c r="U479" t="s">
        <v>3421</v>
      </c>
      <c r="V479" t="s">
        <v>3422</v>
      </c>
    </row>
    <row r="480">
      <c r="A480" t="s">
        <v>22</v>
      </c>
      <c r="B480" t="s">
        <v>3423</v>
      </c>
      <c r="C480" t="s">
        <v>24</v>
      </c>
      <c r="D480" t="s">
        <v>100</v>
      </c>
      <c r="E480" t="s">
        <v>3424</v>
      </c>
      <c r="F480" s="2" t="n">
        <f>HYPERLINK("https://patents.google.com/patent/US20220096699","Google")</f>
        <v>0.0</v>
      </c>
      <c r="G480" s="2" t="n">
        <f>HYPERLINK("https://patentcenter.uspto.gov/applications/17548477","Patent Center")</f>
        <v>0.0</v>
      </c>
      <c r="H480" s="2" t="n">
        <f>HYPERLINK("https://worldwide.espacenet.com/patent/search?q=US20220096699","Espacenet")</f>
        <v>0.0</v>
      </c>
      <c r="I480" s="2" t="n">
        <f>HYPERLINK("https://ppubs.uspto.gov/pubwebapp/external.html?q=20220096699.pn.","USPTO")</f>
        <v>0.0</v>
      </c>
      <c r="J480" s="2" t="n">
        <f>HYPERLINK("https://image-ppubs.uspto.gov/dirsearch-public/print/downloadPdf/20220096699","USPTO PDF")</f>
        <v>0.0</v>
      </c>
      <c r="K480" s="2" t="n">
        <f>HYPERLINK("https://sectors.patentforecast.com/pmd/US20220096699","PMD")</f>
        <v>0.0</v>
      </c>
      <c r="L480" s="2" t="n">
        <f>HYPERLINK("https://globaldossier.uspto.gov/result/application/US/17548477/1","US20220096699")</f>
        <v>0.0</v>
      </c>
      <c r="M480" t="s">
        <v>3425</v>
      </c>
      <c r="N480" t="s">
        <v>3426</v>
      </c>
      <c r="O480" t="s">
        <v>3427</v>
      </c>
      <c r="P480" t="s">
        <v>3428</v>
      </c>
      <c r="Q480" s="3" t="n">
        <v>44540.0</v>
      </c>
      <c r="R480" s="3" t="n">
        <v>44651.0</v>
      </c>
      <c r="S480" s="3" t="n">
        <v>44652.230469236114</v>
      </c>
      <c r="T480" s="3" t="n">
        <v>44658.65848193287</v>
      </c>
      <c r="U480" t="s">
        <v>3429</v>
      </c>
      <c r="V480" t="s">
        <v>3430</v>
      </c>
    </row>
    <row r="481">
      <c r="A481" t="s">
        <v>22</v>
      </c>
      <c r="B481" t="s">
        <v>3431</v>
      </c>
      <c r="C481" t="s">
        <v>24</v>
      </c>
      <c r="D481" t="s">
        <v>100</v>
      </c>
      <c r="E481" t="s">
        <v>3432</v>
      </c>
      <c r="F481" s="2" t="n">
        <f>HYPERLINK("https://patents.google.com/patent/US20220096696","Google")</f>
        <v>0.0</v>
      </c>
      <c r="G481" s="2" t="n">
        <f>HYPERLINK("https://patentcenter.uspto.gov/applications/17479771","Patent Center")</f>
        <v>0.0</v>
      </c>
      <c r="H481" s="2" t="n">
        <f>HYPERLINK("https://worldwide.espacenet.com/patent/search?q=US20220096696","Espacenet")</f>
        <v>0.0</v>
      </c>
      <c r="I481" s="2" t="n">
        <f>HYPERLINK("https://ppubs.uspto.gov/pubwebapp/external.html?q=20220096696.pn.","USPTO")</f>
        <v>0.0</v>
      </c>
      <c r="J481" s="2" t="n">
        <f>HYPERLINK("https://image-ppubs.uspto.gov/dirsearch-public/print/downloadPdf/20220096696","USPTO PDF")</f>
        <v>0.0</v>
      </c>
      <c r="K481" s="2" t="n">
        <f>HYPERLINK("https://sectors.patentforecast.com/pmd/US20220096696","PMD")</f>
        <v>0.0</v>
      </c>
      <c r="L481" s="2" t="n">
        <f>HYPERLINK("https://globaldossier.uspto.gov/result/application/US/17479771/1","US20220096696")</f>
        <v>0.0</v>
      </c>
      <c r="M481" t="s">
        <v>3433</v>
      </c>
      <c r="N481" t="s">
        <v>3434</v>
      </c>
      <c r="O481" t="s">
        <v>3435</v>
      </c>
      <c r="P481" t="s">
        <v>3436</v>
      </c>
      <c r="Q481" s="3" t="n">
        <v>44459.0</v>
      </c>
      <c r="R481" s="3" t="n">
        <v>44651.0</v>
      </c>
      <c r="S481" s="3" t="n">
        <v>44652.230469236114</v>
      </c>
      <c r="T481" s="3" t="n">
        <v>44658.61031743055</v>
      </c>
      <c r="U481" t="s">
        <v>31</v>
      </c>
      <c r="V481" t="s">
        <v>3437</v>
      </c>
    </row>
    <row r="482">
      <c r="A482" t="s">
        <v>22</v>
      </c>
      <c r="B482" t="s">
        <v>3438</v>
      </c>
      <c r="C482" t="s">
        <v>24</v>
      </c>
      <c r="D482" t="s">
        <v>100</v>
      </c>
      <c r="E482" t="s">
        <v>3439</v>
      </c>
      <c r="F482" s="2" t="n">
        <f>HYPERLINK("https://patents.google.com/patent/US20220096688","Google")</f>
        <v>0.0</v>
      </c>
      <c r="G482" s="2" t="n">
        <f>HYPERLINK("https://patentcenter.uspto.gov/applications/17328017","Patent Center")</f>
        <v>0.0</v>
      </c>
      <c r="H482" s="2" t="n">
        <f>HYPERLINK("https://worldwide.espacenet.com/patent/search?q=US20220096688","Espacenet")</f>
        <v>0.0</v>
      </c>
      <c r="I482" s="2" t="n">
        <f>HYPERLINK("https://ppubs.uspto.gov/pubwebapp/external.html?q=20220096688.pn.","USPTO")</f>
        <v>0.0</v>
      </c>
      <c r="J482" s="2" t="n">
        <f>HYPERLINK("https://image-ppubs.uspto.gov/dirsearch-public/print/downloadPdf/20220096688","USPTO PDF")</f>
        <v>0.0</v>
      </c>
      <c r="K482" s="2" t="n">
        <f>HYPERLINK("https://sectors.patentforecast.com/pmd/US20220096688","PMD")</f>
        <v>0.0</v>
      </c>
      <c r="L482" s="2" t="n">
        <f>HYPERLINK("https://globaldossier.uspto.gov/result/application/US/17328017/1","US20220096688")</f>
        <v>0.0</v>
      </c>
      <c r="M482" t="s">
        <v>3440</v>
      </c>
      <c r="N482" t="s">
        <v>3441</v>
      </c>
      <c r="O482" t="s">
        <v>3441</v>
      </c>
      <c r="P482" t="s">
        <v>3442</v>
      </c>
      <c r="Q482" s="3" t="n">
        <v>44340.0</v>
      </c>
      <c r="R482" s="3" t="n">
        <v>44651.0</v>
      </c>
      <c r="S482" s="3" t="n">
        <v>44652.230469236114</v>
      </c>
      <c r="T482" s="3" t="n">
        <v>44678.57560074074</v>
      </c>
      <c r="U482" t="s">
        <v>31</v>
      </c>
      <c r="V482" t="s">
        <v>3443</v>
      </c>
    </row>
    <row r="483">
      <c r="A483" t="s">
        <v>22</v>
      </c>
      <c r="B483" t="s">
        <v>3444</v>
      </c>
      <c r="C483" t="s">
        <v>24</v>
      </c>
      <c r="D483" t="s">
        <v>100</v>
      </c>
      <c r="E483" t="s">
        <v>3445</v>
      </c>
      <c r="F483" s="2" t="n">
        <f>HYPERLINK("https://patents.google.com/patent/US20220096685","Google")</f>
        <v>0.0</v>
      </c>
      <c r="G483" s="2" t="n">
        <f>HYPERLINK("https://patentcenter.uspto.gov/applications/17441289","Patent Center")</f>
        <v>0.0</v>
      </c>
      <c r="H483" s="2" t="n">
        <f>HYPERLINK("https://worldwide.espacenet.com/patent/search?q=US20220096685","Espacenet")</f>
        <v>0.0</v>
      </c>
      <c r="I483" s="2" t="n">
        <f>HYPERLINK("https://ppubs.uspto.gov/pubwebapp/external.html?q=20220096685.pn.","USPTO")</f>
        <v>0.0</v>
      </c>
      <c r="J483" s="2" t="n">
        <f>HYPERLINK("https://image-ppubs.uspto.gov/dirsearch-public/print/downloadPdf/20220096685","USPTO PDF")</f>
        <v>0.0</v>
      </c>
      <c r="K483" s="2" t="n">
        <f>HYPERLINK("https://sectors.patentforecast.com/pmd/US20220096685","PMD")</f>
        <v>0.0</v>
      </c>
      <c r="L483" s="2" t="n">
        <f>HYPERLINK("https://globaldossier.uspto.gov/result/application/US/17441289/1","US20220096685")</f>
        <v>0.0</v>
      </c>
      <c r="M483" t="s">
        <v>3446</v>
      </c>
      <c r="N483" t="s">
        <v>3447</v>
      </c>
      <c r="O483" t="s">
        <v>3448</v>
      </c>
      <c r="P483" t="s">
        <v>3449</v>
      </c>
      <c r="Q483" s="3" t="n">
        <v>43912.0</v>
      </c>
      <c r="R483" s="3" t="n">
        <v>44651.0</v>
      </c>
      <c r="S483" s="3" t="n">
        <v>44652.230469236114</v>
      </c>
      <c r="T483" s="3" t="n">
        <v>44719.57574303241</v>
      </c>
      <c r="U483" t="s">
        <v>3450</v>
      </c>
      <c r="V483" t="s">
        <v>3451</v>
      </c>
    </row>
    <row r="484">
      <c r="A484" t="s">
        <v>22</v>
      </c>
      <c r="B484" t="s">
        <v>3452</v>
      </c>
      <c r="C484" t="s">
        <v>24</v>
      </c>
      <c r="D484" t="s">
        <v>100</v>
      </c>
      <c r="E484" t="s">
        <v>3453</v>
      </c>
      <c r="F484" s="2" t="n">
        <f>HYPERLINK("https://patents.google.com/patent/US20220096684","Google")</f>
        <v>0.0</v>
      </c>
      <c r="G484" s="2" t="n">
        <f>HYPERLINK("https://patentcenter.uspto.gov/applications/17489523","Patent Center")</f>
        <v>0.0</v>
      </c>
      <c r="H484" s="2" t="n">
        <f>HYPERLINK("https://worldwide.espacenet.com/patent/search?q=US20220096684","Espacenet")</f>
        <v>0.0</v>
      </c>
      <c r="I484" s="2" t="n">
        <f>HYPERLINK("https://ppubs.uspto.gov/pubwebapp/external.html?q=20220096684.pn.","USPTO")</f>
        <v>0.0</v>
      </c>
      <c r="J484" s="2" t="n">
        <f>HYPERLINK("https://image-ppubs.uspto.gov/dirsearch-public/print/downloadPdf/20220096684","USPTO PDF")</f>
        <v>0.0</v>
      </c>
      <c r="K484" s="2" t="n">
        <f>HYPERLINK("https://sectors.patentforecast.com/pmd/US20220096684","PMD")</f>
        <v>0.0</v>
      </c>
      <c r="L484" s="2" t="n">
        <f>HYPERLINK("https://globaldossier.uspto.gov/result/application/US/17489523/1","US20220096684")</f>
        <v>0.0</v>
      </c>
      <c r="M484" t="s">
        <v>3454</v>
      </c>
      <c r="N484" t="s">
        <v>3455</v>
      </c>
      <c r="O484" t="s">
        <v>3456</v>
      </c>
      <c r="P484" t="s">
        <v>3457</v>
      </c>
      <c r="Q484" s="3" t="n">
        <v>44468.0</v>
      </c>
      <c r="R484" s="3" t="n">
        <v>44651.0</v>
      </c>
      <c r="S484" s="3" t="n">
        <v>44652.230469236114</v>
      </c>
      <c r="T484" s="3" t="n">
        <v>44658.62137291667</v>
      </c>
      <c r="U484" t="s">
        <v>31</v>
      </c>
      <c r="V484" t="s">
        <v>3458</v>
      </c>
    </row>
    <row r="485">
      <c r="A485" t="s">
        <v>22</v>
      </c>
      <c r="B485" t="s">
        <v>3459</v>
      </c>
      <c r="C485" t="s">
        <v>24</v>
      </c>
      <c r="D485" t="s">
        <v>100</v>
      </c>
      <c r="E485" t="s">
        <v>3460</v>
      </c>
      <c r="F485" s="2" t="n">
        <f>HYPERLINK("https://patents.google.com/patent/US20220096670","Google")</f>
        <v>0.0</v>
      </c>
      <c r="G485" s="2" t="n">
        <f>HYPERLINK("https://patentcenter.uspto.gov/applications/17477797","Patent Center")</f>
        <v>0.0</v>
      </c>
      <c r="H485" s="2" t="n">
        <f>HYPERLINK("https://worldwide.espacenet.com/patent/search?q=US20220096670","Espacenet")</f>
        <v>0.0</v>
      </c>
      <c r="I485" s="2" t="n">
        <f>HYPERLINK("https://ppubs.uspto.gov/pubwebapp/external.html?q=20220096670.pn.","USPTO")</f>
        <v>0.0</v>
      </c>
      <c r="J485" s="2" t="n">
        <f>HYPERLINK("https://image-ppubs.uspto.gov/dirsearch-public/print/downloadPdf/20220096670","USPTO PDF")</f>
        <v>0.0</v>
      </c>
      <c r="K485" s="2" t="n">
        <f>HYPERLINK("https://sectors.patentforecast.com/pmd/US20220096670","PMD")</f>
        <v>0.0</v>
      </c>
      <c r="L485" s="2" t="n">
        <f>HYPERLINK("https://globaldossier.uspto.gov/result/application/US/17477797/1","US20220096670")</f>
        <v>0.0</v>
      </c>
      <c r="M485" t="s">
        <v>3461</v>
      </c>
      <c r="N485" t="s">
        <v>3462</v>
      </c>
      <c r="O485" t="s">
        <v>3463</v>
      </c>
      <c r="P485" t="s">
        <v>3464</v>
      </c>
      <c r="Q485" s="3" t="n">
        <v>44456.0</v>
      </c>
      <c r="R485" s="3" t="n">
        <v>44651.0</v>
      </c>
      <c r="S485" s="3" t="n">
        <v>44652.230469236114</v>
      </c>
      <c r="T485" s="3" t="n">
        <v>44658.62137291667</v>
      </c>
      <c r="U485" t="s">
        <v>31</v>
      </c>
      <c r="V485" t="s">
        <v>3465</v>
      </c>
    </row>
    <row r="486">
      <c r="A486" t="s">
        <v>22</v>
      </c>
      <c r="B486" t="s">
        <v>3466</v>
      </c>
      <c r="C486" t="s">
        <v>60</v>
      </c>
      <c r="D486" t="s">
        <v>61</v>
      </c>
      <c r="E486" t="s">
        <v>3467</v>
      </c>
      <c r="F486" s="2" t="n">
        <f>HYPERLINK("https://patents.google.com/patent/US20220096657","Google")</f>
        <v>0.0</v>
      </c>
      <c r="G486" s="2" t="n">
        <f>HYPERLINK("https://patentcenter.uspto.gov/applications/17412592","Patent Center")</f>
        <v>0.0</v>
      </c>
      <c r="H486" s="2" t="n">
        <f>HYPERLINK("https://worldwide.espacenet.com/patent/search?q=US20220096657","Espacenet")</f>
        <v>0.0</v>
      </c>
      <c r="I486" s="2" t="n">
        <f>HYPERLINK("https://ppubs.uspto.gov/pubwebapp/external.html?q=20220096657.pn.","USPTO")</f>
        <v>0.0</v>
      </c>
      <c r="J486" s="2" t="n">
        <f>HYPERLINK("https://image-ppubs.uspto.gov/dirsearch-public/print/downloadPdf/20220096657","USPTO PDF")</f>
        <v>0.0</v>
      </c>
      <c r="K486" s="2" t="n">
        <f>HYPERLINK("https://sectors.patentforecast.com/pmd/US20220096657","PMD")</f>
        <v>0.0</v>
      </c>
      <c r="L486" s="2" t="n">
        <f>HYPERLINK("https://globaldossier.uspto.gov/result/application/US/17412592/1","US20220096657")</f>
        <v>0.0</v>
      </c>
      <c r="M486" t="s">
        <v>3468</v>
      </c>
      <c r="N486" t="s">
        <v>3469</v>
      </c>
      <c r="O486" t="s">
        <v>3470</v>
      </c>
      <c r="P486" t="s">
        <v>3471</v>
      </c>
      <c r="Q486" s="3" t="n">
        <v>44434.0</v>
      </c>
      <c r="R486" s="3" t="n">
        <v>44651.0</v>
      </c>
      <c r="S486" s="3" t="n">
        <v>44652.23254961806</v>
      </c>
      <c r="T486" s="3" t="n">
        <v>44658.64339829861</v>
      </c>
      <c r="U486" t="s">
        <v>31</v>
      </c>
      <c r="V486" t="s">
        <v>3472</v>
      </c>
    </row>
    <row r="487">
      <c r="A487" t="s">
        <v>22</v>
      </c>
      <c r="B487" t="s">
        <v>3473</v>
      </c>
      <c r="C487" t="s">
        <v>132</v>
      </c>
      <c r="D487" t="s">
        <v>142</v>
      </c>
      <c r="E487" t="s">
        <v>2323</v>
      </c>
      <c r="F487" s="2" t="n">
        <f>HYPERLINK("https://patents.google.com/patent/US20220096625","Google")</f>
        <v>0.0</v>
      </c>
      <c r="G487" s="2" t="n">
        <f>HYPERLINK("https://patentcenter.uspto.gov/applications/17523568","Patent Center")</f>
        <v>0.0</v>
      </c>
      <c r="H487" s="2" t="n">
        <f>HYPERLINK("https://worldwide.espacenet.com/patent/search?q=US20220096625","Espacenet")</f>
        <v>0.0</v>
      </c>
      <c r="I487" s="2" t="n">
        <f>HYPERLINK("https://ppubs.uspto.gov/pubwebapp/external.html?q=20220096625.pn.","USPTO")</f>
        <v>0.0</v>
      </c>
      <c r="J487" s="2" t="n">
        <f>HYPERLINK("https://image-ppubs.uspto.gov/dirsearch-public/print/downloadPdf/20220096625","USPTO PDF")</f>
        <v>0.0</v>
      </c>
      <c r="K487" s="2" t="n">
        <f>HYPERLINK("https://sectors.patentforecast.com/pmd/US20220096625","PMD")</f>
        <v>0.0</v>
      </c>
      <c r="L487" s="2" t="n">
        <f>HYPERLINK("https://globaldossier.uspto.gov/result/application/US/17523568/1","US20220096625")</f>
        <v>0.0</v>
      </c>
      <c r="M487" t="s">
        <v>3474</v>
      </c>
      <c r="N487" t="s">
        <v>2325</v>
      </c>
      <c r="O487" t="s">
        <v>2326</v>
      </c>
      <c r="P487" t="s">
        <v>2327</v>
      </c>
      <c r="Q487" s="3" t="n">
        <v>44510.0</v>
      </c>
      <c r="R487" s="3" t="n">
        <v>44651.0</v>
      </c>
      <c r="S487" s="3" t="n">
        <v>44652.230469236114</v>
      </c>
      <c r="T487" s="3" t="n">
        <v>44672.391101180554</v>
      </c>
      <c r="U487" t="s">
        <v>3475</v>
      </c>
      <c r="V487" t="s">
        <v>2328</v>
      </c>
    </row>
    <row r="488">
      <c r="A488" t="s">
        <v>22</v>
      </c>
      <c r="B488" t="s">
        <v>3476</v>
      </c>
      <c r="C488" t="s">
        <v>132</v>
      </c>
      <c r="D488" t="s">
        <v>133</v>
      </c>
      <c r="E488" t="s">
        <v>3477</v>
      </c>
      <c r="F488" s="2" t="n">
        <f>HYPERLINK("https://patents.google.com/patent/US20220096624","Google")</f>
        <v>0.0</v>
      </c>
      <c r="G488" s="2" t="n">
        <f>HYPERLINK("https://patentcenter.uspto.gov/applications/17036569","Patent Center")</f>
        <v>0.0</v>
      </c>
      <c r="H488" s="2" t="n">
        <f>HYPERLINK("https://worldwide.espacenet.com/patent/search?q=US20220096624","Espacenet")</f>
        <v>0.0</v>
      </c>
      <c r="I488" s="2" t="n">
        <f>HYPERLINK("https://ppubs.uspto.gov/pubwebapp/external.html?q=20220096624.pn.","USPTO")</f>
        <v>0.0</v>
      </c>
      <c r="J488" s="2" t="n">
        <f>HYPERLINK("https://image-ppubs.uspto.gov/dirsearch-public/print/downloadPdf/20220096624","USPTO PDF")</f>
        <v>0.0</v>
      </c>
      <c r="K488" s="2" t="n">
        <f>HYPERLINK("https://sectors.patentforecast.com/pmd/US20220096624","PMD")</f>
        <v>0.0</v>
      </c>
      <c r="L488" s="2" t="n">
        <f>HYPERLINK("https://globaldossier.uspto.gov/result/application/US/17036569/1","US20220096624")</f>
        <v>0.0</v>
      </c>
      <c r="M488" t="s">
        <v>3478</v>
      </c>
      <c r="N488" t="s">
        <v>3479</v>
      </c>
      <c r="O488" t="s">
        <v>3479</v>
      </c>
      <c r="P488" t="s">
        <v>3480</v>
      </c>
      <c r="Q488" s="3" t="n">
        <v>44103.0</v>
      </c>
      <c r="R488" s="3" t="n">
        <v>44651.0</v>
      </c>
      <c r="S488" s="3" t="n">
        <v>44652.230469236114</v>
      </c>
      <c r="T488" s="3" t="n">
        <v>44658.647641574076</v>
      </c>
      <c r="U488" t="s">
        <v>31</v>
      </c>
      <c r="V488" t="s">
        <v>3481</v>
      </c>
    </row>
    <row r="489">
      <c r="A489" t="s">
        <v>22</v>
      </c>
      <c r="B489" t="s">
        <v>3482</v>
      </c>
      <c r="C489" t="s">
        <v>60</v>
      </c>
      <c r="D489" t="s">
        <v>61</v>
      </c>
      <c r="E489" t="s">
        <v>3483</v>
      </c>
      <c r="F489" s="2" t="n">
        <f>HYPERLINK("https://patents.google.com/patent/US20220096605","Google")</f>
        <v>0.0</v>
      </c>
      <c r="G489" s="2" t="n">
        <f>HYPERLINK("https://patentcenter.uspto.gov/applications/17545178","Patent Center")</f>
        <v>0.0</v>
      </c>
      <c r="H489" s="2" t="n">
        <f>HYPERLINK("https://worldwide.espacenet.com/patent/search?q=US20220096605","Espacenet")</f>
        <v>0.0</v>
      </c>
      <c r="I489" s="2" t="n">
        <f>HYPERLINK("https://ppubs.uspto.gov/pubwebapp/external.html?q=20220096605.pn.","USPTO")</f>
        <v>0.0</v>
      </c>
      <c r="J489" s="2" t="n">
        <f>HYPERLINK("https://image-ppubs.uspto.gov/dirsearch-public/print/downloadPdf/20220096605","USPTO PDF")</f>
        <v>0.0</v>
      </c>
      <c r="K489" s="2" t="n">
        <f>HYPERLINK("https://sectors.patentforecast.com/pmd/US20220096605","PMD")</f>
        <v>0.0</v>
      </c>
      <c r="L489" s="2" t="n">
        <f>HYPERLINK("https://globaldossier.uspto.gov/result/application/US/17545178/1","US20220096605")</f>
        <v>0.0</v>
      </c>
      <c r="M489" t="s">
        <v>3484</v>
      </c>
      <c r="N489" t="s">
        <v>3485</v>
      </c>
      <c r="O489" t="s">
        <v>3486</v>
      </c>
      <c r="P489" t="s">
        <v>3487</v>
      </c>
      <c r="Q489" s="3" t="n">
        <v>44538.0</v>
      </c>
      <c r="R489" s="3" t="n">
        <v>44651.0</v>
      </c>
      <c r="S489" s="3" t="n">
        <v>44652.230469236114</v>
      </c>
      <c r="T489" s="3" t="n">
        <v>44719.57586655093</v>
      </c>
      <c r="U489" t="s">
        <v>3488</v>
      </c>
      <c r="V489" t="s">
        <v>3489</v>
      </c>
    </row>
    <row r="490">
      <c r="A490" t="s">
        <v>22</v>
      </c>
      <c r="B490" t="s">
        <v>3490</v>
      </c>
      <c r="C490" t="s">
        <v>60</v>
      </c>
      <c r="D490" t="s">
        <v>61</v>
      </c>
      <c r="E490" t="s">
        <v>3491</v>
      </c>
      <c r="F490" s="2" t="n">
        <f>HYPERLINK("https://patents.google.com/patent/US20220096542","Google")</f>
        <v>0.0</v>
      </c>
      <c r="G490" s="2" t="n">
        <f>HYPERLINK("https://patentcenter.uspto.gov/applications/17364646","Patent Center")</f>
        <v>0.0</v>
      </c>
      <c r="H490" s="2" t="n">
        <f>HYPERLINK("https://worldwide.espacenet.com/patent/search?q=US20220096542","Espacenet")</f>
        <v>0.0</v>
      </c>
      <c r="I490" s="2" t="n">
        <f>HYPERLINK("https://ppubs.uspto.gov/pubwebapp/external.html?q=20220096542.pn.","USPTO")</f>
        <v>0.0</v>
      </c>
      <c r="J490" s="2" t="n">
        <f>HYPERLINK("https://image-ppubs.uspto.gov/dirsearch-public/print/downloadPdf/20220096542","USPTO PDF")</f>
        <v>0.0</v>
      </c>
      <c r="K490" s="2" t="n">
        <f>HYPERLINK("https://sectors.patentforecast.com/pmd/US20220096542","PMD")</f>
        <v>0.0</v>
      </c>
      <c r="L490" s="2" t="n">
        <f>HYPERLINK("https://globaldossier.uspto.gov/result/application/US/17364646/1","US20220096542")</f>
        <v>0.0</v>
      </c>
      <c r="M490" t="s">
        <v>3492</v>
      </c>
      <c r="N490" t="s">
        <v>619</v>
      </c>
      <c r="O490" t="s">
        <v>620</v>
      </c>
      <c r="P490" t="s">
        <v>3493</v>
      </c>
      <c r="Q490" s="3" t="n">
        <v>44377.0</v>
      </c>
      <c r="R490" s="3" t="n">
        <v>44651.0</v>
      </c>
      <c r="S490" s="3" t="n">
        <v>44652.22942013889</v>
      </c>
      <c r="T490" s="3" t="n">
        <v>44672.36549377315</v>
      </c>
      <c r="U490" t="s">
        <v>31</v>
      </c>
      <c r="V490" t="s">
        <v>3494</v>
      </c>
    </row>
    <row r="491">
      <c r="A491" t="s">
        <v>22</v>
      </c>
      <c r="B491" t="s">
        <v>3495</v>
      </c>
      <c r="C491" t="s">
        <v>60</v>
      </c>
      <c r="D491" t="s">
        <v>61</v>
      </c>
      <c r="E491" t="s">
        <v>3496</v>
      </c>
      <c r="F491" s="2" t="n">
        <f>HYPERLINK("https://patents.google.com/patent/US20220096538","Google")</f>
        <v>0.0</v>
      </c>
      <c r="G491" s="2" t="n">
        <f>HYPERLINK("https://patentcenter.uspto.gov/applications/17490676","Patent Center")</f>
        <v>0.0</v>
      </c>
      <c r="H491" s="2" t="n">
        <f>HYPERLINK("https://worldwide.espacenet.com/patent/search?q=US20220096538","Espacenet")</f>
        <v>0.0</v>
      </c>
      <c r="I491" s="2" t="n">
        <f>HYPERLINK("https://ppubs.uspto.gov/pubwebapp/external.html?q=20220096538.pn.","USPTO")</f>
        <v>0.0</v>
      </c>
      <c r="J491" s="2" t="n">
        <f>HYPERLINK("https://image-ppubs.uspto.gov/dirsearch-public/print/downloadPdf/20220096538","USPTO PDF")</f>
        <v>0.0</v>
      </c>
      <c r="K491" s="2" t="n">
        <f>HYPERLINK("https://sectors.patentforecast.com/pmd/US20220096538","PMD")</f>
        <v>0.0</v>
      </c>
      <c r="L491" s="2" t="n">
        <f>HYPERLINK("https://globaldossier.uspto.gov/result/application/US/17490676/1","US20220096538")</f>
        <v>0.0</v>
      </c>
      <c r="M491" t="s">
        <v>3497</v>
      </c>
      <c r="N491" t="s">
        <v>3498</v>
      </c>
      <c r="O491" t="s">
        <v>3499</v>
      </c>
      <c r="P491" t="s">
        <v>3500</v>
      </c>
      <c r="Q491" s="3" t="n">
        <v>44469.0</v>
      </c>
      <c r="R491" s="3" t="n">
        <v>44651.0</v>
      </c>
      <c r="S491" s="3" t="n">
        <v>44652.230469236114</v>
      </c>
      <c r="T491" s="3" t="n">
        <v>44658.608801863425</v>
      </c>
      <c r="U491" t="s">
        <v>3501</v>
      </c>
      <c r="V491" t="s">
        <v>3502</v>
      </c>
    </row>
    <row r="492">
      <c r="A492" t="s">
        <v>22</v>
      </c>
      <c r="B492" t="s">
        <v>3503</v>
      </c>
      <c r="C492" t="s">
        <v>60</v>
      </c>
      <c r="D492" t="s">
        <v>61</v>
      </c>
      <c r="E492" t="s">
        <v>1306</v>
      </c>
      <c r="F492" s="2" t="n">
        <f>HYPERLINK("https://patents.google.com/patent/US20220096536","Google")</f>
        <v>0.0</v>
      </c>
      <c r="G492" s="2" t="n">
        <f>HYPERLINK("https://patentcenter.uspto.gov/applications/17547624","Patent Center")</f>
        <v>0.0</v>
      </c>
      <c r="H492" s="2" t="n">
        <f>HYPERLINK("https://worldwide.espacenet.com/patent/search?q=US20220096536","Espacenet")</f>
        <v>0.0</v>
      </c>
      <c r="I492" s="2" t="n">
        <f>HYPERLINK("https://ppubs.uspto.gov/pubwebapp/external.html?q=20220096536.pn.","USPTO")</f>
        <v>0.0</v>
      </c>
      <c r="J492" s="2" t="n">
        <f>HYPERLINK("https://image-ppubs.uspto.gov/dirsearch-public/print/downloadPdf/20220096536","USPTO PDF")</f>
        <v>0.0</v>
      </c>
      <c r="K492" s="2" t="n">
        <f>HYPERLINK("https://sectors.patentforecast.com/pmd/US20220096536","PMD")</f>
        <v>0.0</v>
      </c>
      <c r="L492" s="2" t="n">
        <f>HYPERLINK("https://globaldossier.uspto.gov/result/application/US/17547624/1","US20220096536")</f>
        <v>0.0</v>
      </c>
      <c r="M492" t="s">
        <v>3504</v>
      </c>
      <c r="N492" t="s">
        <v>1308</v>
      </c>
      <c r="O492" t="s">
        <v>1309</v>
      </c>
      <c r="P492" t="s">
        <v>1310</v>
      </c>
      <c r="Q492" s="3" t="n">
        <v>44540.0</v>
      </c>
      <c r="R492" s="3" t="n">
        <v>44651.0</v>
      </c>
      <c r="S492" s="3" t="n">
        <v>44652.23011444444</v>
      </c>
      <c r="T492" s="3" t="n">
        <v>44678.58706236111</v>
      </c>
      <c r="U492" t="s">
        <v>3505</v>
      </c>
      <c r="V492" t="s">
        <v>1312</v>
      </c>
    </row>
    <row r="493">
      <c r="A493" t="s">
        <v>22</v>
      </c>
      <c r="B493" t="s">
        <v>3506</v>
      </c>
      <c r="C493" t="s">
        <v>60</v>
      </c>
      <c r="D493" t="s">
        <v>61</v>
      </c>
      <c r="E493" t="s">
        <v>3507</v>
      </c>
      <c r="F493" s="2" t="n">
        <f>HYPERLINK("https://patents.google.com/patent/US20220096481","Google")</f>
        <v>0.0</v>
      </c>
      <c r="G493" s="2" t="n">
        <f>HYPERLINK("https://patentcenter.uspto.gov/applications/17234349","Patent Center")</f>
        <v>0.0</v>
      </c>
      <c r="H493" s="2" t="n">
        <f>HYPERLINK("https://worldwide.espacenet.com/patent/search?q=US20220096481","Espacenet")</f>
        <v>0.0</v>
      </c>
      <c r="I493" s="2" t="n">
        <f>HYPERLINK("https://ppubs.uspto.gov/pubwebapp/external.html?q=20220096481.pn.","USPTO")</f>
        <v>0.0</v>
      </c>
      <c r="J493" s="2" t="n">
        <f>HYPERLINK("https://image-ppubs.uspto.gov/dirsearch-public/print/downloadPdf/20220096481","USPTO PDF")</f>
        <v>0.0</v>
      </c>
      <c r="K493" s="2" t="n">
        <f>HYPERLINK("https://sectors.patentforecast.com/pmd/US20220096481","PMD")</f>
        <v>0.0</v>
      </c>
      <c r="L493" s="2" t="n">
        <f>HYPERLINK("https://globaldossier.uspto.gov/result/application/US/17234349/1","US20220096481")</f>
        <v>0.0</v>
      </c>
      <c r="M493" t="s">
        <v>3508</v>
      </c>
      <c r="N493" t="s">
        <v>3509</v>
      </c>
      <c r="O493" t="s">
        <v>3510</v>
      </c>
      <c r="P493" t="s">
        <v>3511</v>
      </c>
      <c r="Q493" s="3" t="n">
        <v>44305.0</v>
      </c>
      <c r="R493" s="3" t="n">
        <v>44651.0</v>
      </c>
      <c r="S493" s="3" t="n">
        <v>44652.23011444444</v>
      </c>
      <c r="T493" s="3" t="n">
        <v>44658.640931435184</v>
      </c>
      <c r="U493" t="s">
        <v>31</v>
      </c>
      <c r="V493" t="s">
        <v>3512</v>
      </c>
    </row>
    <row r="494">
      <c r="A494" t="s">
        <v>22</v>
      </c>
      <c r="B494" t="s">
        <v>3513</v>
      </c>
      <c r="C494" t="s">
        <v>60</v>
      </c>
      <c r="D494" t="s">
        <v>2262</v>
      </c>
      <c r="E494" t="s">
        <v>3514</v>
      </c>
      <c r="F494" s="2" t="n">
        <f>HYPERLINK("https://patents.google.com/patent/US20220096425","Google")</f>
        <v>0.0</v>
      </c>
      <c r="G494" s="2" t="n">
        <f>HYPERLINK("https://patentcenter.uspto.gov/applications/17465847","Patent Center")</f>
        <v>0.0</v>
      </c>
      <c r="H494" s="2" t="n">
        <f>HYPERLINK("https://worldwide.espacenet.com/patent/search?q=US20220096425","Espacenet")</f>
        <v>0.0</v>
      </c>
      <c r="I494" s="2" t="n">
        <f>HYPERLINK("https://ppubs.uspto.gov/pubwebapp/external.html?q=20220096425.pn.","USPTO")</f>
        <v>0.0</v>
      </c>
      <c r="J494" s="2" t="n">
        <f>HYPERLINK("https://image-ppubs.uspto.gov/dirsearch-public/print/downloadPdf/20220096425","USPTO PDF")</f>
        <v>0.0</v>
      </c>
      <c r="K494" s="2" t="n">
        <f>HYPERLINK("https://sectors.patentforecast.com/pmd/US20220096425","PMD")</f>
        <v>0.0</v>
      </c>
      <c r="L494" s="2" t="n">
        <f>HYPERLINK("https://globaldossier.uspto.gov/result/application/US/17465847/1","US20220096425")</f>
        <v>0.0</v>
      </c>
      <c r="M494" t="s">
        <v>3515</v>
      </c>
      <c r="N494" t="s">
        <v>3516</v>
      </c>
      <c r="O494" t="s">
        <v>3517</v>
      </c>
      <c r="P494" t="s">
        <v>3518</v>
      </c>
      <c r="Q494" s="3" t="n">
        <v>44442.0</v>
      </c>
      <c r="R494" s="3" t="n">
        <v>44651.0</v>
      </c>
      <c r="S494" s="3" t="n">
        <v>44652.23011444444</v>
      </c>
      <c r="T494" s="3" t="n">
        <v>44658.61745751157</v>
      </c>
      <c r="U494" t="s">
        <v>3519</v>
      </c>
      <c r="V494" t="s">
        <v>3520</v>
      </c>
    </row>
    <row r="495">
      <c r="A495" t="s">
        <v>22</v>
      </c>
      <c r="B495" t="s">
        <v>3521</v>
      </c>
      <c r="C495" t="s">
        <v>60</v>
      </c>
      <c r="D495" t="s">
        <v>61</v>
      </c>
      <c r="E495" t="s">
        <v>3522</v>
      </c>
      <c r="F495" s="2" t="n">
        <f>HYPERLINK("https://patents.google.com/patent/US20220096407","Google")</f>
        <v>0.0</v>
      </c>
      <c r="G495" s="2" t="n">
        <f>HYPERLINK("https://patentcenter.uspto.gov/applications/17034787","Patent Center")</f>
        <v>0.0</v>
      </c>
      <c r="H495" s="2" t="n">
        <f>HYPERLINK("https://worldwide.espacenet.com/patent/search?q=US20220096407","Espacenet")</f>
        <v>0.0</v>
      </c>
      <c r="I495" s="2" t="n">
        <f>HYPERLINK("https://ppubs.uspto.gov/pubwebapp/external.html?q=20220096407.pn.","USPTO")</f>
        <v>0.0</v>
      </c>
      <c r="J495" s="2" t="n">
        <f>HYPERLINK("https://image-ppubs.uspto.gov/dirsearch-public/print/downloadPdf/20220096407","USPTO PDF")</f>
        <v>0.0</v>
      </c>
      <c r="K495" s="2" t="n">
        <f>HYPERLINK("https://sectors.patentforecast.com/pmd/US20220096407","PMD")</f>
        <v>0.0</v>
      </c>
      <c r="L495" s="2" t="n">
        <f>HYPERLINK("https://globaldossier.uspto.gov/result/application/US/17034787/1","US20220096407")</f>
        <v>0.0</v>
      </c>
      <c r="M495" t="s">
        <v>3523</v>
      </c>
      <c r="N495" t="s">
        <v>3524</v>
      </c>
      <c r="O495" t="s">
        <v>3525</v>
      </c>
      <c r="P495" t="s">
        <v>3526</v>
      </c>
      <c r="Q495" s="3" t="n">
        <v>44102.0</v>
      </c>
      <c r="R495" s="3" t="n">
        <v>44651.0</v>
      </c>
      <c r="S495" s="3" t="n">
        <v>44652.23011444444</v>
      </c>
      <c r="T495" s="3" t="n">
        <v>44658.60797355324</v>
      </c>
      <c r="U495" t="s">
        <v>31</v>
      </c>
      <c r="V495" t="s">
        <v>3527</v>
      </c>
    </row>
    <row r="496">
      <c r="A496" t="s">
        <v>22</v>
      </c>
      <c r="B496" t="s">
        <v>3528</v>
      </c>
      <c r="C496" t="s">
        <v>24</v>
      </c>
      <c r="D496" t="s">
        <v>25</v>
      </c>
      <c r="E496" t="s">
        <v>3529</v>
      </c>
      <c r="F496" s="2" t="n">
        <f>HYPERLINK("https://patents.google.com/patent/US20220095951","Google")</f>
        <v>0.0</v>
      </c>
      <c r="G496" s="2" t="n">
        <f>HYPERLINK("https://patentcenter.uspto.gov/applications/17036324","Patent Center")</f>
        <v>0.0</v>
      </c>
      <c r="H496" s="2" t="n">
        <f>HYPERLINK("https://worldwide.espacenet.com/patent/search?q=US20220095951","Espacenet")</f>
        <v>0.0</v>
      </c>
      <c r="I496" s="2" t="n">
        <f>HYPERLINK("https://ppubs.uspto.gov/pubwebapp/external.html?q=20220095951.pn.","USPTO")</f>
        <v>0.0</v>
      </c>
      <c r="J496" s="2" t="n">
        <f>HYPERLINK("https://image-ppubs.uspto.gov/dirsearch-public/print/downloadPdf/20220095951","USPTO PDF")</f>
        <v>0.0</v>
      </c>
      <c r="K496" s="2" t="n">
        <f>HYPERLINK("https://sectors.patentforecast.com/pmd/US20220095951","PMD")</f>
        <v>0.0</v>
      </c>
      <c r="L496" s="2" t="n">
        <f>HYPERLINK("https://globaldossier.uspto.gov/result/application/US/17036324/1","US20220095951")</f>
        <v>0.0</v>
      </c>
      <c r="M496" t="s">
        <v>3530</v>
      </c>
      <c r="N496" t="s">
        <v>3245</v>
      </c>
      <c r="O496" t="s">
        <v>3246</v>
      </c>
      <c r="P496" t="s">
        <v>3247</v>
      </c>
      <c r="Q496" s="3" t="n">
        <v>44103.0</v>
      </c>
      <c r="R496" s="3" t="n">
        <v>44651.0</v>
      </c>
      <c r="S496" s="3" t="n">
        <v>44652.23011444444</v>
      </c>
      <c r="T496" s="3" t="n">
        <v>44658.65664577546</v>
      </c>
      <c r="U496" t="s">
        <v>31</v>
      </c>
      <c r="V496" t="s">
        <v>3531</v>
      </c>
    </row>
    <row r="497">
      <c r="A497" t="s">
        <v>22</v>
      </c>
      <c r="B497" t="s">
        <v>3532</v>
      </c>
      <c r="C497" t="s">
        <v>24</v>
      </c>
      <c r="D497" t="s">
        <v>25</v>
      </c>
      <c r="E497" t="s">
        <v>3533</v>
      </c>
      <c r="F497" s="2" t="n">
        <f>HYPERLINK("https://patents.google.com/patent/US20220095948","Google")</f>
        <v>0.0</v>
      </c>
      <c r="G497" s="2" t="n">
        <f>HYPERLINK("https://patentcenter.uspto.gov/applications/17300727","Patent Center")</f>
        <v>0.0</v>
      </c>
      <c r="H497" s="2" t="n">
        <f>HYPERLINK("https://worldwide.espacenet.com/patent/search?q=US20220095948","Espacenet")</f>
        <v>0.0</v>
      </c>
      <c r="I497" s="2" t="n">
        <f>HYPERLINK("https://ppubs.uspto.gov/pubwebapp/external.html?q=20220095948.pn.","USPTO")</f>
        <v>0.0</v>
      </c>
      <c r="J497" s="2" t="n">
        <f>HYPERLINK("https://image-ppubs.uspto.gov/dirsearch-public/print/downloadPdf/20220095948","USPTO PDF")</f>
        <v>0.0</v>
      </c>
      <c r="K497" s="2" t="n">
        <f>HYPERLINK("https://sectors.patentforecast.com/pmd/US20220095948","PMD")</f>
        <v>0.0</v>
      </c>
      <c r="L497" s="2" t="n">
        <f>HYPERLINK("https://globaldossier.uspto.gov/result/application/US/17300727/1","US20220095948")</f>
        <v>0.0</v>
      </c>
      <c r="M497" t="s">
        <v>3534</v>
      </c>
      <c r="N497" t="s">
        <v>3535</v>
      </c>
      <c r="O497" t="s">
        <v>3535</v>
      </c>
      <c r="P497" t="s">
        <v>3536</v>
      </c>
      <c r="Q497" s="3" t="n">
        <v>44474.0</v>
      </c>
      <c r="R497" s="3" t="n">
        <v>44651.0</v>
      </c>
      <c r="S497" s="3" t="n">
        <v>44652.23011444444</v>
      </c>
      <c r="T497" s="3" t="n">
        <v>44658.65677765046</v>
      </c>
      <c r="U497" t="s">
        <v>3537</v>
      </c>
      <c r="V497" t="s">
        <v>3538</v>
      </c>
    </row>
    <row r="498">
      <c r="A498" t="s">
        <v>22</v>
      </c>
      <c r="B498" t="s">
        <v>3539</v>
      </c>
      <c r="C498" t="s">
        <v>24</v>
      </c>
      <c r="D498" t="s">
        <v>25</v>
      </c>
      <c r="E498" t="s">
        <v>3540</v>
      </c>
      <c r="F498" s="2" t="n">
        <f>HYPERLINK("https://patents.google.com/patent/US20220095923","Google")</f>
        <v>0.0</v>
      </c>
      <c r="G498" s="2" t="n">
        <f>HYPERLINK("https://patentcenter.uspto.gov/applications/17489400","Patent Center")</f>
        <v>0.0</v>
      </c>
      <c r="H498" s="2" t="n">
        <f>HYPERLINK("https://worldwide.espacenet.com/patent/search?q=US20220095923","Espacenet")</f>
        <v>0.0</v>
      </c>
      <c r="I498" s="2" t="n">
        <f>HYPERLINK("https://ppubs.uspto.gov/pubwebapp/external.html?q=20220095923.pn.","USPTO")</f>
        <v>0.0</v>
      </c>
      <c r="J498" s="2" t="n">
        <f>HYPERLINK("https://image-ppubs.uspto.gov/dirsearch-public/print/downloadPdf/20220095923","USPTO PDF")</f>
        <v>0.0</v>
      </c>
      <c r="K498" s="2" t="n">
        <f>HYPERLINK("https://sectors.patentforecast.com/pmd/US20220095923","PMD")</f>
        <v>0.0</v>
      </c>
      <c r="L498" s="2" t="n">
        <f>HYPERLINK("https://globaldossier.uspto.gov/result/application/US/17489400/1","US20220095923")</f>
        <v>0.0</v>
      </c>
      <c r="M498" t="s">
        <v>3541</v>
      </c>
      <c r="N498" t="s">
        <v>3542</v>
      </c>
      <c r="O498" t="s">
        <v>3543</v>
      </c>
      <c r="P498" t="s">
        <v>3544</v>
      </c>
      <c r="Q498" s="3" t="n">
        <v>44468.0</v>
      </c>
      <c r="R498" s="3" t="n">
        <v>44651.0</v>
      </c>
      <c r="S498" s="3" t="n">
        <v>44652.23011444444</v>
      </c>
      <c r="T498" s="3" t="n">
        <v>44658.658626122684</v>
      </c>
      <c r="U498" t="s">
        <v>3545</v>
      </c>
      <c r="V498" t="s">
        <v>3546</v>
      </c>
    </row>
    <row r="499">
      <c r="A499" t="s">
        <v>22</v>
      </c>
      <c r="B499" t="s">
        <v>3547</v>
      </c>
      <c r="C499" t="s">
        <v>24</v>
      </c>
      <c r="D499" t="s">
        <v>100</v>
      </c>
      <c r="E499" t="s">
        <v>3548</v>
      </c>
      <c r="F499" s="2" t="n">
        <f>HYPERLINK("https://patents.google.com/patent/US20220095851","Google")</f>
        <v>0.0</v>
      </c>
      <c r="G499" s="2" t="n">
        <f>HYPERLINK("https://patentcenter.uspto.gov/applications/17033566","Patent Center")</f>
        <v>0.0</v>
      </c>
      <c r="H499" s="2" t="n">
        <f>HYPERLINK("https://worldwide.espacenet.com/patent/search?q=US20220095851","Espacenet")</f>
        <v>0.0</v>
      </c>
      <c r="I499" s="2" t="n">
        <f>HYPERLINK("https://ppubs.uspto.gov/pubwebapp/external.html?q=20220095851.pn.","USPTO")</f>
        <v>0.0</v>
      </c>
      <c r="J499" s="2" t="n">
        <f>HYPERLINK("https://image-ppubs.uspto.gov/dirsearch-public/print/downloadPdf/20220095851","USPTO PDF")</f>
        <v>0.0</v>
      </c>
      <c r="K499" s="2" t="n">
        <f>HYPERLINK("https://sectors.patentforecast.com/pmd/US20220095851","PMD")</f>
        <v>0.0</v>
      </c>
      <c r="L499" s="2" t="n">
        <f>HYPERLINK("https://globaldossier.uspto.gov/result/application/US/17033566/1","US20220095851")</f>
        <v>0.0</v>
      </c>
      <c r="M499" t="s">
        <v>3549</v>
      </c>
      <c r="N499" t="s">
        <v>3550</v>
      </c>
      <c r="O499" t="s">
        <v>3551</v>
      </c>
      <c r="P499" t="s">
        <v>3552</v>
      </c>
      <c r="Q499" s="3" t="n">
        <v>44099.0</v>
      </c>
      <c r="R499" s="3" t="n">
        <v>44651.0</v>
      </c>
      <c r="S499" s="3" t="n">
        <v>44652.23011444444</v>
      </c>
      <c r="T499" s="3" t="n">
        <v>44719.57614222222</v>
      </c>
      <c r="U499" t="s">
        <v>31</v>
      </c>
      <c r="V499" t="s">
        <v>3553</v>
      </c>
    </row>
    <row r="500">
      <c r="A500" t="s">
        <v>22</v>
      </c>
      <c r="B500" t="s">
        <v>3554</v>
      </c>
      <c r="C500" t="s">
        <v>24</v>
      </c>
      <c r="D500" t="s">
        <v>69</v>
      </c>
      <c r="E500" t="s">
        <v>3555</v>
      </c>
      <c r="F500" s="2" t="n">
        <f>HYPERLINK("https://patents.google.com/patent/US20220095736","Google")</f>
        <v>0.0</v>
      </c>
      <c r="G500" s="2" t="n">
        <f>HYPERLINK("https://patentcenter.uspto.gov/applications/17489623","Patent Center")</f>
        <v>0.0</v>
      </c>
      <c r="H500" s="2" t="n">
        <f>HYPERLINK("https://worldwide.espacenet.com/patent/search?q=US20220095736","Espacenet")</f>
        <v>0.0</v>
      </c>
      <c r="I500" s="2" t="n">
        <f>HYPERLINK("https://ppubs.uspto.gov/pubwebapp/external.html?q=20220095736.pn.","USPTO")</f>
        <v>0.0</v>
      </c>
      <c r="J500" s="2" t="n">
        <f>HYPERLINK("https://image-ppubs.uspto.gov/dirsearch-public/print/downloadPdf/20220095736","USPTO PDF")</f>
        <v>0.0</v>
      </c>
      <c r="K500" s="2" t="n">
        <f>HYPERLINK("https://sectors.patentforecast.com/pmd/US20220095736","PMD")</f>
        <v>0.0</v>
      </c>
      <c r="L500" s="2" t="n">
        <f>HYPERLINK("https://globaldossier.uspto.gov/result/application/US/17489623/1","US20220095736")</f>
        <v>0.0</v>
      </c>
      <c r="M500" t="s">
        <v>3556</v>
      </c>
      <c r="N500" t="s">
        <v>3557</v>
      </c>
      <c r="O500" t="s">
        <v>3558</v>
      </c>
      <c r="P500" t="s">
        <v>3559</v>
      </c>
      <c r="Q500" s="3" t="n">
        <v>44468.0</v>
      </c>
      <c r="R500" s="3" t="n">
        <v>44651.0</v>
      </c>
      <c r="S500" s="3" t="n">
        <v>44652.23011444444</v>
      </c>
      <c r="T500" s="3" t="n">
        <v>44658.610876122686</v>
      </c>
      <c r="U500" t="s">
        <v>31</v>
      </c>
      <c r="V500" t="s">
        <v>3560</v>
      </c>
    </row>
    <row r="501">
      <c r="A501" t="s">
        <v>22</v>
      </c>
      <c r="B501" t="s">
        <v>3561</v>
      </c>
      <c r="C501" t="s">
        <v>24</v>
      </c>
      <c r="D501" t="s">
        <v>69</v>
      </c>
      <c r="E501" t="s">
        <v>3562</v>
      </c>
      <c r="F501" s="2" t="n">
        <f>HYPERLINK("https://patents.google.com/patent/US20220095719","Google")</f>
        <v>0.0</v>
      </c>
      <c r="G501" s="2" t="n">
        <f>HYPERLINK("https://patentcenter.uspto.gov/applications/17488162","Patent Center")</f>
        <v>0.0</v>
      </c>
      <c r="H501" s="2" t="n">
        <f>HYPERLINK("https://worldwide.espacenet.com/patent/search?q=US20220095719","Espacenet")</f>
        <v>0.0</v>
      </c>
      <c r="I501" s="2" t="n">
        <f>HYPERLINK("https://ppubs.uspto.gov/pubwebapp/external.html?q=20220095719.pn.","USPTO")</f>
        <v>0.0</v>
      </c>
      <c r="J501" s="2" t="n">
        <f>HYPERLINK("https://image-ppubs.uspto.gov/dirsearch-public/print/downloadPdf/20220095719","USPTO PDF")</f>
        <v>0.0</v>
      </c>
      <c r="K501" s="2" t="n">
        <f>HYPERLINK("https://sectors.patentforecast.com/pmd/US20220095719","PMD")</f>
        <v>0.0</v>
      </c>
      <c r="L501" s="2" t="n">
        <f>HYPERLINK("https://globaldossier.uspto.gov/result/application/US/17488162/1","US20220095719")</f>
        <v>0.0</v>
      </c>
      <c r="M501" t="s">
        <v>3563</v>
      </c>
      <c r="N501" t="s">
        <v>3564</v>
      </c>
      <c r="O501" t="s">
        <v>3565</v>
      </c>
      <c r="P501" t="s">
        <v>3566</v>
      </c>
      <c r="Q501" s="3" t="n">
        <v>44467.0</v>
      </c>
      <c r="R501" s="3" t="n">
        <v>44651.0</v>
      </c>
      <c r="S501" s="3" t="n">
        <v>44652.23011444444</v>
      </c>
      <c r="T501" s="3" t="n">
        <v>44658.60826356481</v>
      </c>
      <c r="U501" t="s">
        <v>31</v>
      </c>
      <c r="V501" t="s">
        <v>3567</v>
      </c>
    </row>
    <row r="502">
      <c r="A502" t="s">
        <v>22</v>
      </c>
      <c r="B502" t="s">
        <v>3568</v>
      </c>
      <c r="C502" t="s">
        <v>60</v>
      </c>
      <c r="D502" t="s">
        <v>715</v>
      </c>
      <c r="E502" t="s">
        <v>3569</v>
      </c>
      <c r="F502" s="2" t="n">
        <f>HYPERLINK("https://patents.google.com/patent/US20220095717","Google")</f>
        <v>0.0</v>
      </c>
      <c r="G502" s="2" t="n">
        <f>HYPERLINK("https://patentcenter.uspto.gov/applications/17034967","Patent Center")</f>
        <v>0.0</v>
      </c>
      <c r="H502" s="2" t="n">
        <f>HYPERLINK("https://worldwide.espacenet.com/patent/search?q=US20220095717","Espacenet")</f>
        <v>0.0</v>
      </c>
      <c r="I502" s="2" t="n">
        <f>HYPERLINK("https://ppubs.uspto.gov/pubwebapp/external.html?q=20220095717.pn.","USPTO")</f>
        <v>0.0</v>
      </c>
      <c r="J502" s="2" t="n">
        <f>HYPERLINK("https://image-ppubs.uspto.gov/dirsearch-public/print/downloadPdf/20220095717","USPTO PDF")</f>
        <v>0.0</v>
      </c>
      <c r="K502" s="2" t="n">
        <f>HYPERLINK("https://sectors.patentforecast.com/pmd/US20220095717","PMD")</f>
        <v>0.0</v>
      </c>
      <c r="L502" s="2" t="n">
        <f>HYPERLINK("https://globaldossier.uspto.gov/result/application/US/17034967/1","US20220095717")</f>
        <v>0.0</v>
      </c>
      <c r="M502" t="s">
        <v>3570</v>
      </c>
      <c r="N502" t="s">
        <v>3013</v>
      </c>
      <c r="O502" t="s">
        <v>3014</v>
      </c>
      <c r="P502" t="s">
        <v>3571</v>
      </c>
      <c r="Q502" s="3" t="n">
        <v>44102.0</v>
      </c>
      <c r="R502" s="3" t="n">
        <v>44651.0</v>
      </c>
      <c r="S502" s="3" t="n">
        <v>44652.23011444444</v>
      </c>
      <c r="T502" s="3" t="n">
        <v>44672.4775565625</v>
      </c>
      <c r="U502" t="s">
        <v>31</v>
      </c>
      <c r="V502" t="s">
        <v>3572</v>
      </c>
    </row>
    <row r="503">
      <c r="A503" t="s">
        <v>22</v>
      </c>
      <c r="B503" t="s">
        <v>3573</v>
      </c>
      <c r="C503" t="s">
        <v>24</v>
      </c>
      <c r="D503" t="s">
        <v>69</v>
      </c>
      <c r="E503" t="s">
        <v>3574</v>
      </c>
      <c r="F503" s="2" t="n">
        <f>HYPERLINK("https://patents.google.com/patent/US20220095626","Google")</f>
        <v>0.0</v>
      </c>
      <c r="G503" s="2" t="n">
        <f>HYPERLINK("https://patentcenter.uspto.gov/applications/17405149","Patent Center")</f>
        <v>0.0</v>
      </c>
      <c r="H503" s="2" t="n">
        <f>HYPERLINK("https://worldwide.espacenet.com/patent/search?q=US20220095626","Espacenet")</f>
        <v>0.0</v>
      </c>
      <c r="I503" s="2" t="n">
        <f>HYPERLINK("https://ppubs.uspto.gov/pubwebapp/external.html?q=20220095626.pn.","USPTO")</f>
        <v>0.0</v>
      </c>
      <c r="J503" s="2" t="n">
        <f>HYPERLINK("https://image-ppubs.uspto.gov/dirsearch-public/print/downloadPdf/20220095626","USPTO PDF")</f>
        <v>0.0</v>
      </c>
      <c r="K503" s="2" t="n">
        <f>HYPERLINK("https://sectors.patentforecast.com/pmd/US20220095626","PMD")</f>
        <v>0.0</v>
      </c>
      <c r="L503" s="2" t="n">
        <f>HYPERLINK("https://globaldossier.uspto.gov/result/application/US/17405149/1","US20220095626")</f>
        <v>0.0</v>
      </c>
      <c r="M503" t="s">
        <v>3575</v>
      </c>
      <c r="N503" t="s">
        <v>3576</v>
      </c>
      <c r="O503" t="s">
        <v>3577</v>
      </c>
      <c r="P503" t="s">
        <v>3578</v>
      </c>
      <c r="Q503" s="3" t="n">
        <v>44426.0</v>
      </c>
      <c r="R503" s="3" t="n">
        <v>44651.0</v>
      </c>
      <c r="S503" s="3" t="n">
        <v>44652.23011444444</v>
      </c>
      <c r="T503" s="3" t="n">
        <v>44719.57627680556</v>
      </c>
      <c r="U503" t="s">
        <v>31</v>
      </c>
      <c r="V503" t="s">
        <v>3579</v>
      </c>
    </row>
    <row r="504">
      <c r="A504" t="s">
        <v>22</v>
      </c>
      <c r="B504" t="s">
        <v>3580</v>
      </c>
      <c r="C504" t="s">
        <v>24</v>
      </c>
      <c r="D504" t="s">
        <v>43</v>
      </c>
      <c r="E504" t="s">
        <v>3581</v>
      </c>
      <c r="F504" s="2" t="n">
        <f>HYPERLINK("https://patents.google.com/patent/US20220094774","Google")</f>
        <v>0.0</v>
      </c>
      <c r="G504" s="2" t="n">
        <f>HYPERLINK("https://patentcenter.uspto.gov/applications/17025402","Patent Center")</f>
        <v>0.0</v>
      </c>
      <c r="H504" s="2" t="n">
        <f>HYPERLINK("https://worldwide.espacenet.com/patent/search?q=US20220094774","Espacenet")</f>
        <v>0.0</v>
      </c>
      <c r="I504" s="2" t="n">
        <f>HYPERLINK("https://ppubs.uspto.gov/pubwebapp/external.html?q=20220094774.pn.","USPTO")</f>
        <v>0.0</v>
      </c>
      <c r="J504" s="2" t="n">
        <f>HYPERLINK("https://image-ppubs.uspto.gov/dirsearch-public/print/downloadPdf/20220094774","USPTO PDF")</f>
        <v>0.0</v>
      </c>
      <c r="K504" s="2" t="n">
        <f>HYPERLINK("https://sectors.patentforecast.com/pmd/US20220094774","PMD")</f>
        <v>0.0</v>
      </c>
      <c r="L504" s="2" t="n">
        <f>HYPERLINK("https://globaldossier.uspto.gov/result/application/US/17025402/1","US20220094774")</f>
        <v>0.0</v>
      </c>
      <c r="M504" t="s">
        <v>3582</v>
      </c>
      <c r="N504" t="s">
        <v>3583</v>
      </c>
      <c r="O504" t="s">
        <v>3584</v>
      </c>
      <c r="P504" t="s">
        <v>3585</v>
      </c>
      <c r="Q504" s="3" t="n">
        <v>44092.0</v>
      </c>
      <c r="R504" s="3" t="n">
        <v>44644.0</v>
      </c>
      <c r="S504" s="3" t="n">
        <v>44650.23067125</v>
      </c>
      <c r="T504" s="3" t="n">
        <v>44719.57646318287</v>
      </c>
      <c r="U504" t="s">
        <v>3586</v>
      </c>
      <c r="V504" t="s">
        <v>3587</v>
      </c>
    </row>
    <row r="505">
      <c r="A505" t="s">
        <v>22</v>
      </c>
      <c r="B505" t="s">
        <v>3588</v>
      </c>
      <c r="C505" t="s">
        <v>24</v>
      </c>
      <c r="D505" t="s">
        <v>1356</v>
      </c>
      <c r="E505" t="s">
        <v>3589</v>
      </c>
      <c r="F505" s="2" t="n">
        <f>HYPERLINK("https://patents.google.com/patent/US20220093277","Google")</f>
        <v>0.0</v>
      </c>
      <c r="G505" s="2" t="n">
        <f>HYPERLINK("https://patentcenter.uspto.gov/applications/17544602","Patent Center")</f>
        <v>0.0</v>
      </c>
      <c r="H505" s="2" t="n">
        <f>HYPERLINK("https://worldwide.espacenet.com/patent/search?q=US20220093277","Espacenet")</f>
        <v>0.0</v>
      </c>
      <c r="I505" s="2" t="n">
        <f>HYPERLINK("https://ppubs.uspto.gov/pubwebapp/external.html?q=20220093277.pn.","USPTO")</f>
        <v>0.0</v>
      </c>
      <c r="J505" s="2" t="n">
        <f>HYPERLINK("https://image-ppubs.uspto.gov/dirsearch-public/print/downloadPdf/20220093277","USPTO PDF")</f>
        <v>0.0</v>
      </c>
      <c r="K505" s="2" t="n">
        <f>HYPERLINK("https://sectors.patentforecast.com/pmd/US20220093277","PMD")</f>
        <v>0.0</v>
      </c>
      <c r="L505" s="2" t="n">
        <f>HYPERLINK("https://globaldossier.uspto.gov/result/application/US/17544602/1","US20220093277")</f>
        <v>0.0</v>
      </c>
      <c r="M505" t="s">
        <v>3590</v>
      </c>
      <c r="N505" t="s">
        <v>3591</v>
      </c>
      <c r="O505" t="s">
        <v>3592</v>
      </c>
      <c r="P505" t="s">
        <v>3593</v>
      </c>
      <c r="Q505" s="3" t="n">
        <v>44537.0</v>
      </c>
      <c r="R505" s="3" t="n">
        <v>44644.0</v>
      </c>
      <c r="S505" s="3" t="n">
        <v>44650.23067125</v>
      </c>
      <c r="T505" s="3" t="n">
        <v>44719.57657347222</v>
      </c>
      <c r="U505" t="s">
        <v>31</v>
      </c>
      <c r="V505" t="s">
        <v>3594</v>
      </c>
    </row>
    <row r="506">
      <c r="A506" t="s">
        <v>22</v>
      </c>
      <c r="B506" t="s">
        <v>3595</v>
      </c>
      <c r="C506" t="s">
        <v>24</v>
      </c>
      <c r="D506" t="s">
        <v>3193</v>
      </c>
      <c r="E506" t="s">
        <v>3596</v>
      </c>
      <c r="F506" s="2" t="n">
        <f>HYPERLINK("https://patents.google.com/patent/US20220093276","Google")</f>
        <v>0.0</v>
      </c>
      <c r="G506" s="2" t="n">
        <f>HYPERLINK("https://patentcenter.uspto.gov/applications/17483680","Patent Center")</f>
        <v>0.0</v>
      </c>
      <c r="H506" s="2" t="n">
        <f>HYPERLINK("https://worldwide.espacenet.com/patent/search?q=US20220093276","Espacenet")</f>
        <v>0.0</v>
      </c>
      <c r="I506" s="2" t="n">
        <f>HYPERLINK("https://ppubs.uspto.gov/pubwebapp/external.html?q=20220093276.pn.","USPTO")</f>
        <v>0.0</v>
      </c>
      <c r="J506" s="2" t="n">
        <f>HYPERLINK("https://image-ppubs.uspto.gov/dirsearch-public/print/downloadPdf/20220093276","USPTO PDF")</f>
        <v>0.0</v>
      </c>
      <c r="K506" s="2" t="n">
        <f>HYPERLINK("https://sectors.patentforecast.com/pmd/US20220093276","PMD")</f>
        <v>0.0</v>
      </c>
      <c r="L506" s="2" t="n">
        <f>HYPERLINK("https://globaldossier.uspto.gov/result/application/US/17483680/1","US20220093276")</f>
        <v>0.0</v>
      </c>
      <c r="M506" t="s">
        <v>3597</v>
      </c>
      <c r="N506" t="s">
        <v>3598</v>
      </c>
      <c r="O506" t="s">
        <v>3599</v>
      </c>
      <c r="P506" t="s">
        <v>3600</v>
      </c>
      <c r="Q506" s="3" t="n">
        <v>44462.0</v>
      </c>
      <c r="R506" s="3" t="n">
        <v>44644.0</v>
      </c>
      <c r="S506" s="3" t="n">
        <v>44650.23067125</v>
      </c>
      <c r="T506" s="3" t="n">
        <v>44658.64880430556</v>
      </c>
      <c r="U506" t="s">
        <v>31</v>
      </c>
      <c r="V506" t="s">
        <v>3601</v>
      </c>
    </row>
    <row r="507">
      <c r="A507" t="s">
        <v>22</v>
      </c>
      <c r="B507" t="s">
        <v>3602</v>
      </c>
      <c r="C507" t="s">
        <v>24</v>
      </c>
      <c r="D507" t="s">
        <v>25</v>
      </c>
      <c r="E507" t="s">
        <v>3603</v>
      </c>
      <c r="F507" s="2" t="n">
        <f>HYPERLINK("https://patents.google.com/patent/US20220093275","Google")</f>
        <v>0.0</v>
      </c>
      <c r="G507" s="2" t="n">
        <f>HYPERLINK("https://patentcenter.uspto.gov/applications/17479792","Patent Center")</f>
        <v>0.0</v>
      </c>
      <c r="H507" s="2" t="n">
        <f>HYPERLINK("https://worldwide.espacenet.com/patent/search?q=US20220093275","Espacenet")</f>
        <v>0.0</v>
      </c>
      <c r="I507" s="2" t="n">
        <f>HYPERLINK("https://ppubs.uspto.gov/pubwebapp/external.html?q=20220093275.pn.","USPTO")</f>
        <v>0.0</v>
      </c>
      <c r="J507" s="2" t="n">
        <f>HYPERLINK("https://image-ppubs.uspto.gov/dirsearch-public/print/downloadPdf/20220093275","USPTO PDF")</f>
        <v>0.0</v>
      </c>
      <c r="K507" s="2" t="n">
        <f>HYPERLINK("https://sectors.patentforecast.com/pmd/US20220093275","PMD")</f>
        <v>0.0</v>
      </c>
      <c r="L507" s="2" t="n">
        <f>HYPERLINK("https://globaldossier.uspto.gov/result/application/US/17479792/1","US20220093275")</f>
        <v>0.0</v>
      </c>
      <c r="M507" t="s">
        <v>3604</v>
      </c>
      <c r="N507" t="s">
        <v>3605</v>
      </c>
      <c r="O507" t="s">
        <v>3606</v>
      </c>
      <c r="P507" t="s">
        <v>3607</v>
      </c>
      <c r="Q507" s="3" t="n">
        <v>44459.0</v>
      </c>
      <c r="R507" s="3" t="n">
        <v>44644.0</v>
      </c>
      <c r="S507" s="3" t="n">
        <v>44650.23067125</v>
      </c>
      <c r="T507" s="3" t="n">
        <v>44719.5767609375</v>
      </c>
      <c r="U507" t="s">
        <v>3608</v>
      </c>
      <c r="V507" t="s">
        <v>3609</v>
      </c>
    </row>
    <row r="508">
      <c r="A508" t="s">
        <v>22</v>
      </c>
      <c r="B508" t="s">
        <v>3610</v>
      </c>
      <c r="C508" t="s">
        <v>24</v>
      </c>
      <c r="D508" t="s">
        <v>43</v>
      </c>
      <c r="E508" t="s">
        <v>3611</v>
      </c>
      <c r="F508" s="2" t="n">
        <f>HYPERLINK("https://patents.google.com/patent/US20220093274","Google")</f>
        <v>0.0</v>
      </c>
      <c r="G508" s="2" t="n">
        <f>HYPERLINK("https://patentcenter.uspto.gov/applications/17029972","Patent Center")</f>
        <v>0.0</v>
      </c>
      <c r="H508" s="2" t="n">
        <f>HYPERLINK("https://worldwide.espacenet.com/patent/search?q=US20220093274","Espacenet")</f>
        <v>0.0</v>
      </c>
      <c r="I508" s="2" t="n">
        <f>HYPERLINK("https://ppubs.uspto.gov/pubwebapp/external.html?q=20220093274.pn.","USPTO")</f>
        <v>0.0</v>
      </c>
      <c r="J508" s="2" t="n">
        <f>HYPERLINK("https://image-ppubs.uspto.gov/dirsearch-public/print/downloadPdf/20220093274","USPTO PDF")</f>
        <v>0.0</v>
      </c>
      <c r="K508" s="2" t="n">
        <f>HYPERLINK("https://sectors.patentforecast.com/pmd/US20220093274","PMD")</f>
        <v>0.0</v>
      </c>
      <c r="L508" s="2" t="n">
        <f>HYPERLINK("https://globaldossier.uspto.gov/result/application/US/17029972/1","US20220093274")</f>
        <v>0.0</v>
      </c>
      <c r="M508" t="s">
        <v>3612</v>
      </c>
      <c r="N508" t="s">
        <v>3613</v>
      </c>
      <c r="O508" t="s">
        <v>3614</v>
      </c>
      <c r="P508" t="s">
        <v>3615</v>
      </c>
      <c r="Q508" s="3" t="n">
        <v>44097.0</v>
      </c>
      <c r="R508" s="3" t="n">
        <v>44644.0</v>
      </c>
      <c r="S508" s="3" t="n">
        <v>44650.23067125</v>
      </c>
      <c r="T508" s="3" t="n">
        <v>44672.476621863425</v>
      </c>
      <c r="U508" t="s">
        <v>3616</v>
      </c>
      <c r="V508" t="s">
        <v>3617</v>
      </c>
    </row>
    <row r="509">
      <c r="A509" t="s">
        <v>22</v>
      </c>
      <c r="B509" t="s">
        <v>3618</v>
      </c>
      <c r="C509" t="s">
        <v>312</v>
      </c>
      <c r="D509" t="s">
        <v>313</v>
      </c>
      <c r="E509" t="s">
        <v>3619</v>
      </c>
      <c r="F509" s="2" t="n">
        <f>HYPERLINK("https://patents.google.com/patent/US20220093269","Google")</f>
        <v>0.0</v>
      </c>
      <c r="G509" s="2" t="n">
        <f>HYPERLINK("https://patentcenter.uspto.gov/applications/17543330","Patent Center")</f>
        <v>0.0</v>
      </c>
      <c r="H509" s="2" t="n">
        <f>HYPERLINK("https://worldwide.espacenet.com/patent/search?q=US20220093269","Espacenet")</f>
        <v>0.0</v>
      </c>
      <c r="I509" s="2" t="n">
        <f>HYPERLINK("https://ppubs.uspto.gov/pubwebapp/external.html?q=20220093269.pn.","USPTO")</f>
        <v>0.0</v>
      </c>
      <c r="J509" s="2" t="n">
        <f>HYPERLINK("https://image-ppubs.uspto.gov/dirsearch-public/print/downloadPdf/20220093269","USPTO PDF")</f>
        <v>0.0</v>
      </c>
      <c r="K509" s="2" t="n">
        <f>HYPERLINK("https://sectors.patentforecast.com/pmd/US20220093269","PMD")</f>
        <v>0.0</v>
      </c>
      <c r="L509" s="2" t="n">
        <f>HYPERLINK("https://globaldossier.uspto.gov/result/application/US/17543330/1","US20220093269")</f>
        <v>0.0</v>
      </c>
      <c r="M509" t="s">
        <v>3620</v>
      </c>
      <c r="N509" t="s">
        <v>3621</v>
      </c>
      <c r="O509" t="s">
        <v>3622</v>
      </c>
      <c r="P509" t="s">
        <v>3623</v>
      </c>
      <c r="Q509" s="3" t="n">
        <v>44536.0</v>
      </c>
      <c r="R509" s="3" t="n">
        <v>44644.0</v>
      </c>
      <c r="S509" s="3" t="n">
        <v>44650.232177997685</v>
      </c>
      <c r="T509" s="3" t="n">
        <v>44672.47689734954</v>
      </c>
      <c r="U509" t="s">
        <v>3624</v>
      </c>
      <c r="V509" t="s">
        <v>3625</v>
      </c>
    </row>
    <row r="510">
      <c r="A510" t="s">
        <v>22</v>
      </c>
      <c r="B510" t="s">
        <v>3626</v>
      </c>
      <c r="C510" t="s">
        <v>60</v>
      </c>
      <c r="D510" t="s">
        <v>845</v>
      </c>
      <c r="E510" t="s">
        <v>3627</v>
      </c>
      <c r="F510" s="2" t="n">
        <f>HYPERLINK("https://patents.google.com/patent/US20220093256","Google")</f>
        <v>0.0</v>
      </c>
      <c r="G510" s="2" t="n">
        <f>HYPERLINK("https://patentcenter.uspto.gov/applications/17542637","Patent Center")</f>
        <v>0.0</v>
      </c>
      <c r="H510" s="2" t="n">
        <f>HYPERLINK("https://worldwide.espacenet.com/patent/search?q=US20220093256","Espacenet")</f>
        <v>0.0</v>
      </c>
      <c r="I510" s="2" t="n">
        <f>HYPERLINK("https://ppubs.uspto.gov/pubwebapp/external.html?q=20220093256.pn.","USPTO")</f>
        <v>0.0</v>
      </c>
      <c r="J510" s="2" t="n">
        <f>HYPERLINK("https://image-ppubs.uspto.gov/dirsearch-public/print/downloadPdf/20220093256","USPTO PDF")</f>
        <v>0.0</v>
      </c>
      <c r="K510" s="2" t="n">
        <f>HYPERLINK("https://sectors.patentforecast.com/pmd/US20220093256","PMD")</f>
        <v>0.0</v>
      </c>
      <c r="L510" s="2" t="n">
        <f>HYPERLINK("https://globaldossier.uspto.gov/result/application/US/17542637/1","US20220093256")</f>
        <v>0.0</v>
      </c>
      <c r="M510" t="s">
        <v>3628</v>
      </c>
      <c r="N510" t="s">
        <v>872</v>
      </c>
      <c r="O510" t="s">
        <v>873</v>
      </c>
      <c r="P510" t="s">
        <v>3629</v>
      </c>
      <c r="Q510" s="3" t="n">
        <v>44536.0</v>
      </c>
      <c r="R510" s="3" t="n">
        <v>44644.0</v>
      </c>
      <c r="S510" s="3" t="n">
        <v>44650.23067125</v>
      </c>
      <c r="T510" s="3" t="n">
        <v>44672.48050435185</v>
      </c>
      <c r="U510" t="s">
        <v>3630</v>
      </c>
      <c r="V510" t="s">
        <v>876</v>
      </c>
    </row>
    <row r="511">
      <c r="A511" t="s">
        <v>22</v>
      </c>
      <c r="B511" t="s">
        <v>3631</v>
      </c>
      <c r="C511" t="s">
        <v>24</v>
      </c>
      <c r="D511" t="s">
        <v>204</v>
      </c>
      <c r="E511" t="s">
        <v>3632</v>
      </c>
      <c r="F511" s="2" t="n">
        <f>HYPERLINK("https://patents.google.com/patent/US20220093230","Google")</f>
        <v>0.0</v>
      </c>
      <c r="G511" s="2" t="n">
        <f>HYPERLINK("https://patentcenter.uspto.gov/applications/17464696","Patent Center")</f>
        <v>0.0</v>
      </c>
      <c r="H511" s="2" t="n">
        <f>HYPERLINK("https://worldwide.espacenet.com/patent/search?q=US20220093230","Espacenet")</f>
        <v>0.0</v>
      </c>
      <c r="I511" s="2" t="n">
        <f>HYPERLINK("https://ppubs.uspto.gov/pubwebapp/external.html?q=20220093230.pn.","USPTO")</f>
        <v>0.0</v>
      </c>
      <c r="J511" s="2" t="n">
        <f>HYPERLINK("https://image-ppubs.uspto.gov/dirsearch-public/print/downloadPdf/20220093230","USPTO PDF")</f>
        <v>0.0</v>
      </c>
      <c r="K511" s="2" t="n">
        <f>HYPERLINK("https://sectors.patentforecast.com/pmd/US20220093230","PMD")</f>
        <v>0.0</v>
      </c>
      <c r="L511" s="2" t="n">
        <f>HYPERLINK("https://globaldossier.uspto.gov/result/application/US/17464696/1","US20220093230")</f>
        <v>0.0</v>
      </c>
      <c r="M511" t="s">
        <v>3633</v>
      </c>
      <c r="N511" t="s">
        <v>3634</v>
      </c>
      <c r="O511" t="s">
        <v>3634</v>
      </c>
      <c r="P511" t="s">
        <v>3635</v>
      </c>
      <c r="Q511" s="3" t="n">
        <v>44441.0</v>
      </c>
      <c r="R511" s="3" t="n">
        <v>44644.0</v>
      </c>
      <c r="S511" s="3" t="n">
        <v>44650.23067125</v>
      </c>
      <c r="T511" s="3" t="n">
        <v>44719.57698480324</v>
      </c>
      <c r="U511" t="s">
        <v>31</v>
      </c>
      <c r="V511" t="s">
        <v>3636</v>
      </c>
    </row>
    <row r="512">
      <c r="A512" t="s">
        <v>22</v>
      </c>
      <c r="B512" t="s">
        <v>3637</v>
      </c>
      <c r="C512" t="s">
        <v>24</v>
      </c>
      <c r="D512" t="s">
        <v>100</v>
      </c>
      <c r="E512" t="s">
        <v>3638</v>
      </c>
      <c r="F512" s="2" t="n">
        <f>HYPERLINK("https://patents.google.com/patent/US20220092947","Google")</f>
        <v>0.0</v>
      </c>
      <c r="G512" s="2" t="n">
        <f>HYPERLINK("https://patentcenter.uspto.gov/applications/17029897","Patent Center")</f>
        <v>0.0</v>
      </c>
      <c r="H512" s="2" t="n">
        <f>HYPERLINK("https://worldwide.espacenet.com/patent/search?q=US20220092947","Espacenet")</f>
        <v>0.0</v>
      </c>
      <c r="I512" s="2" t="n">
        <f>HYPERLINK("https://ppubs.uspto.gov/pubwebapp/external.html?q=20220092947.pn.","USPTO")</f>
        <v>0.0</v>
      </c>
      <c r="J512" s="2" t="n">
        <f>HYPERLINK("https://image-ppubs.uspto.gov/dirsearch-public/print/downloadPdf/20220092947","USPTO PDF")</f>
        <v>0.0</v>
      </c>
      <c r="K512" s="2" t="n">
        <f>HYPERLINK("https://sectors.patentforecast.com/pmd/US20220092947","PMD")</f>
        <v>0.0</v>
      </c>
      <c r="L512" s="2" t="n">
        <f>HYPERLINK("https://globaldossier.uspto.gov/result/application/US/17029897/1","US20220092947")</f>
        <v>0.0</v>
      </c>
      <c r="M512" t="s">
        <v>3639</v>
      </c>
      <c r="N512" t="s">
        <v>3640</v>
      </c>
      <c r="O512" t="s">
        <v>3641</v>
      </c>
      <c r="P512" t="s">
        <v>3642</v>
      </c>
      <c r="Q512" s="3" t="n">
        <v>44097.0</v>
      </c>
      <c r="R512" s="3" t="n">
        <v>44644.0</v>
      </c>
      <c r="S512" s="3" t="n">
        <v>44650.240737789354</v>
      </c>
      <c r="T512" s="3" t="n">
        <v>44658.62137291667</v>
      </c>
      <c r="U512" t="s">
        <v>3643</v>
      </c>
      <c r="V512" t="s">
        <v>3644</v>
      </c>
    </row>
    <row r="513">
      <c r="A513" t="s">
        <v>22</v>
      </c>
      <c r="B513" t="s">
        <v>3645</v>
      </c>
      <c r="C513" t="s">
        <v>24</v>
      </c>
      <c r="D513" t="s">
        <v>204</v>
      </c>
      <c r="E513" t="s">
        <v>3646</v>
      </c>
      <c r="F513" s="2" t="n">
        <f>HYPERLINK("https://patents.google.com/patent/US20220092890","Google")</f>
        <v>0.0</v>
      </c>
      <c r="G513" s="2" t="n">
        <f>HYPERLINK("https://patentcenter.uspto.gov/applications/17479857","Patent Center")</f>
        <v>0.0</v>
      </c>
      <c r="H513" s="2" t="n">
        <f>HYPERLINK("https://worldwide.espacenet.com/patent/search?q=US20220092890","Espacenet")</f>
        <v>0.0</v>
      </c>
      <c r="I513" s="2" t="n">
        <f>HYPERLINK("https://ppubs.uspto.gov/pubwebapp/external.html?q=20220092890.pn.","USPTO")</f>
        <v>0.0</v>
      </c>
      <c r="J513" s="2" t="n">
        <f>HYPERLINK("https://image-ppubs.uspto.gov/dirsearch-public/print/downloadPdf/20220092890","USPTO PDF")</f>
        <v>0.0</v>
      </c>
      <c r="K513" s="2" t="n">
        <f>HYPERLINK("https://sectors.patentforecast.com/pmd/US20220092890","PMD")</f>
        <v>0.0</v>
      </c>
      <c r="L513" s="2" t="n">
        <f>HYPERLINK("https://globaldossier.uspto.gov/result/application/US/17479857/1","US20220092890")</f>
        <v>0.0</v>
      </c>
      <c r="M513" t="s">
        <v>3647</v>
      </c>
      <c r="N513" t="s">
        <v>3648</v>
      </c>
      <c r="O513" t="s">
        <v>3648</v>
      </c>
      <c r="P513" t="s">
        <v>3649</v>
      </c>
      <c r="Q513" s="3" t="n">
        <v>44459.0</v>
      </c>
      <c r="R513" s="3" t="n">
        <v>44644.0</v>
      </c>
      <c r="S513" s="3" t="n">
        <v>44650.23067125</v>
      </c>
      <c r="T513" s="3" t="n">
        <v>44719.577277349534</v>
      </c>
      <c r="U513" t="s">
        <v>31</v>
      </c>
      <c r="V513" t="s">
        <v>3650</v>
      </c>
    </row>
    <row r="514">
      <c r="A514" t="s">
        <v>22</v>
      </c>
      <c r="B514" t="s">
        <v>3651</v>
      </c>
      <c r="C514" t="s">
        <v>24</v>
      </c>
      <c r="D514" t="s">
        <v>204</v>
      </c>
      <c r="E514" t="s">
        <v>3652</v>
      </c>
      <c r="F514" s="2" t="n">
        <f>HYPERLINK("https://patents.google.com/patent/US20220092662","Google")</f>
        <v>0.0</v>
      </c>
      <c r="G514" s="2" t="n">
        <f>HYPERLINK("https://patentcenter.uspto.gov/applications/17543723","Patent Center")</f>
        <v>0.0</v>
      </c>
      <c r="H514" s="2" t="n">
        <f>HYPERLINK("https://worldwide.espacenet.com/patent/search?q=US20220092662","Espacenet")</f>
        <v>0.0</v>
      </c>
      <c r="I514" s="2" t="n">
        <f>HYPERLINK("https://ppubs.uspto.gov/pubwebapp/external.html?q=20220092662.pn.","USPTO")</f>
        <v>0.0</v>
      </c>
      <c r="J514" s="2" t="n">
        <f>HYPERLINK("https://image-ppubs.uspto.gov/dirsearch-public/print/downloadPdf/20220092662","USPTO PDF")</f>
        <v>0.0</v>
      </c>
      <c r="K514" s="2" t="n">
        <f>HYPERLINK("https://sectors.patentforecast.com/pmd/US20220092662","PMD")</f>
        <v>0.0</v>
      </c>
      <c r="L514" s="2" t="n">
        <f>HYPERLINK("https://globaldossier.uspto.gov/result/application/US/17543723/1","US20220092662")</f>
        <v>0.0</v>
      </c>
      <c r="M514" t="s">
        <v>3653</v>
      </c>
      <c r="N514" t="s">
        <v>3654</v>
      </c>
      <c r="O514" t="s">
        <v>3655</v>
      </c>
      <c r="P514" t="s">
        <v>3656</v>
      </c>
      <c r="Q514" s="3" t="n">
        <v>44536.0</v>
      </c>
      <c r="R514" s="3" t="n">
        <v>44644.0</v>
      </c>
      <c r="S514" s="3" t="n">
        <v>44650.23067125</v>
      </c>
      <c r="T514" s="3" t="n">
        <v>44719.57734043981</v>
      </c>
      <c r="U514" t="s">
        <v>3657</v>
      </c>
      <c r="V514" t="s">
        <v>3658</v>
      </c>
    </row>
    <row r="515">
      <c r="A515" t="s">
        <v>22</v>
      </c>
      <c r="B515" t="s">
        <v>3659</v>
      </c>
      <c r="C515" t="s">
        <v>24</v>
      </c>
      <c r="D515" t="s">
        <v>204</v>
      </c>
      <c r="E515" t="s">
        <v>3652</v>
      </c>
      <c r="F515" s="2" t="n">
        <f>HYPERLINK("https://patents.google.com/patent/US20220092661","Google")</f>
        <v>0.0</v>
      </c>
      <c r="G515" s="2" t="n">
        <f>HYPERLINK("https://patentcenter.uspto.gov/applications/17543713","Patent Center")</f>
        <v>0.0</v>
      </c>
      <c r="H515" s="2" t="n">
        <f>HYPERLINK("https://worldwide.espacenet.com/patent/search?q=US20220092661","Espacenet")</f>
        <v>0.0</v>
      </c>
      <c r="I515" s="2" t="n">
        <f>HYPERLINK("https://ppubs.uspto.gov/pubwebapp/external.html?q=20220092661.pn.","USPTO")</f>
        <v>0.0</v>
      </c>
      <c r="J515" s="2" t="n">
        <f>HYPERLINK("https://image-ppubs.uspto.gov/dirsearch-public/print/downloadPdf/20220092661","USPTO PDF")</f>
        <v>0.0</v>
      </c>
      <c r="K515" s="2" t="n">
        <f>HYPERLINK("https://sectors.patentforecast.com/pmd/US20220092661","PMD")</f>
        <v>0.0</v>
      </c>
      <c r="L515" s="2" t="n">
        <f>HYPERLINK("https://globaldossier.uspto.gov/result/application/US/17543713/1","US20220092661")</f>
        <v>0.0</v>
      </c>
      <c r="M515" t="s">
        <v>3660</v>
      </c>
      <c r="N515" t="s">
        <v>3661</v>
      </c>
      <c r="O515" t="s">
        <v>3662</v>
      </c>
      <c r="P515" t="s">
        <v>3663</v>
      </c>
      <c r="Q515" s="3" t="n">
        <v>44536.0</v>
      </c>
      <c r="R515" s="3" t="n">
        <v>44644.0</v>
      </c>
      <c r="S515" s="3" t="n">
        <v>44650.23067125</v>
      </c>
      <c r="T515" s="3" t="n">
        <v>44719.57740304398</v>
      </c>
      <c r="U515" t="s">
        <v>3664</v>
      </c>
      <c r="V515" t="s">
        <v>3665</v>
      </c>
    </row>
    <row r="516">
      <c r="A516" t="s">
        <v>22</v>
      </c>
      <c r="B516" t="s">
        <v>3666</v>
      </c>
      <c r="C516" t="s">
        <v>24</v>
      </c>
      <c r="D516" t="s">
        <v>3667</v>
      </c>
      <c r="E516" t="s">
        <v>3668</v>
      </c>
      <c r="F516" s="2" t="n">
        <f>HYPERLINK("https://patents.google.com/patent/US20220092654","Google")</f>
        <v>0.0</v>
      </c>
      <c r="G516" s="2" t="n">
        <f>HYPERLINK("https://patentcenter.uspto.gov/applications/17030577","Patent Center")</f>
        <v>0.0</v>
      </c>
      <c r="H516" s="2" t="n">
        <f>HYPERLINK("https://worldwide.espacenet.com/patent/search?q=US20220092654","Espacenet")</f>
        <v>0.0</v>
      </c>
      <c r="I516" s="2" t="n">
        <f>HYPERLINK("https://ppubs.uspto.gov/pubwebapp/external.html?q=20220092654.pn.","USPTO")</f>
        <v>0.0</v>
      </c>
      <c r="J516" s="2" t="n">
        <f>HYPERLINK("https://image-ppubs.uspto.gov/dirsearch-public/print/downloadPdf/20220092654","USPTO PDF")</f>
        <v>0.0</v>
      </c>
      <c r="K516" s="2" t="n">
        <f>HYPERLINK("https://sectors.patentforecast.com/pmd/US20220092654","PMD")</f>
        <v>0.0</v>
      </c>
      <c r="L516" s="2" t="n">
        <f>HYPERLINK("https://globaldossier.uspto.gov/result/application/US/17030577/1","US20220092654")</f>
        <v>0.0</v>
      </c>
      <c r="M516" t="s">
        <v>3669</v>
      </c>
      <c r="N516" t="s">
        <v>207</v>
      </c>
      <c r="O516" t="s">
        <v>208</v>
      </c>
      <c r="P516" t="s">
        <v>3670</v>
      </c>
      <c r="Q516" s="3" t="n">
        <v>44098.0</v>
      </c>
      <c r="R516" s="3" t="n">
        <v>44644.0</v>
      </c>
      <c r="S516" s="3" t="n">
        <v>44650.2296281713</v>
      </c>
      <c r="T516" s="3" t="n">
        <v>44719.57767792824</v>
      </c>
      <c r="U516" t="s">
        <v>3671</v>
      </c>
      <c r="V516" t="s">
        <v>3672</v>
      </c>
    </row>
    <row r="517">
      <c r="A517" t="s">
        <v>22</v>
      </c>
      <c r="B517" t="s">
        <v>3673</v>
      </c>
      <c r="C517" t="s">
        <v>24</v>
      </c>
      <c r="D517" t="s">
        <v>69</v>
      </c>
      <c r="E517" t="s">
        <v>3674</v>
      </c>
      <c r="F517" s="2" t="n">
        <f>HYPERLINK("https://patents.google.com/patent/US20220092580","Google")</f>
        <v>0.0</v>
      </c>
      <c r="G517" s="2" t="n">
        <f>HYPERLINK("https://patentcenter.uspto.gov/applications/17541734","Patent Center")</f>
        <v>0.0</v>
      </c>
      <c r="H517" s="2" t="n">
        <f>HYPERLINK("https://worldwide.espacenet.com/patent/search?q=US20220092580","Espacenet")</f>
        <v>0.0</v>
      </c>
      <c r="I517" s="2" t="n">
        <f>HYPERLINK("https://ppubs.uspto.gov/pubwebapp/external.html?q=20220092580.pn.","USPTO")</f>
        <v>0.0</v>
      </c>
      <c r="J517" s="2" t="n">
        <f>HYPERLINK("https://image-ppubs.uspto.gov/dirsearch-public/print/downloadPdf/20220092580","USPTO PDF")</f>
        <v>0.0</v>
      </c>
      <c r="K517" s="2" t="n">
        <f>HYPERLINK("https://sectors.patentforecast.com/pmd/US20220092580","PMD")</f>
        <v>0.0</v>
      </c>
      <c r="L517" s="2" t="n">
        <f>HYPERLINK("https://globaldossier.uspto.gov/result/application/US/17541734/1","US20220092580")</f>
        <v>0.0</v>
      </c>
      <c r="M517" t="s">
        <v>3675</v>
      </c>
      <c r="N517" t="s">
        <v>207</v>
      </c>
      <c r="O517" t="s">
        <v>208</v>
      </c>
      <c r="P517" t="s">
        <v>3676</v>
      </c>
      <c r="Q517" s="3" t="n">
        <v>44533.0</v>
      </c>
      <c r="R517" s="3" t="n">
        <v>44644.0</v>
      </c>
      <c r="S517" s="3" t="n">
        <v>44650.23067125</v>
      </c>
      <c r="T517" s="3" t="n">
        <v>44719.57774247685</v>
      </c>
      <c r="U517" t="s">
        <v>31</v>
      </c>
      <c r="V517" t="s">
        <v>3677</v>
      </c>
    </row>
    <row r="518">
      <c r="A518" t="s">
        <v>22</v>
      </c>
      <c r="B518" t="s">
        <v>3678</v>
      </c>
      <c r="C518" t="s">
        <v>24</v>
      </c>
      <c r="D518" t="s">
        <v>69</v>
      </c>
      <c r="E518" t="s">
        <v>3679</v>
      </c>
      <c r="F518" s="2" t="n">
        <f>HYPERLINK("https://patents.google.com/patent/US20220092570","Google")</f>
        <v>0.0</v>
      </c>
      <c r="G518" s="2" t="n">
        <f>HYPERLINK("https://patentcenter.uspto.gov/applications/17541691","Patent Center")</f>
        <v>0.0</v>
      </c>
      <c r="H518" s="2" t="n">
        <f>HYPERLINK("https://worldwide.espacenet.com/patent/search?q=US20220092570","Espacenet")</f>
        <v>0.0</v>
      </c>
      <c r="I518" s="2" t="n">
        <f>HYPERLINK("https://ppubs.uspto.gov/pubwebapp/external.html?q=20220092570.pn.","USPTO")</f>
        <v>0.0</v>
      </c>
      <c r="J518" s="2" t="n">
        <f>HYPERLINK("https://image-ppubs.uspto.gov/dirsearch-public/print/downloadPdf/20220092570","USPTO PDF")</f>
        <v>0.0</v>
      </c>
      <c r="K518" s="2" t="n">
        <f>HYPERLINK("https://sectors.patentforecast.com/pmd/US20220092570","PMD")</f>
        <v>0.0</v>
      </c>
      <c r="L518" s="2" t="n">
        <f>HYPERLINK("https://globaldossier.uspto.gov/result/application/US/17541691/1","US20220092570")</f>
        <v>0.0</v>
      </c>
      <c r="M518" t="s">
        <v>3680</v>
      </c>
      <c r="N518" t="s">
        <v>207</v>
      </c>
      <c r="O518" t="s">
        <v>208</v>
      </c>
      <c r="P518" t="s">
        <v>3681</v>
      </c>
      <c r="Q518" s="3" t="n">
        <v>44533.0</v>
      </c>
      <c r="R518" s="3" t="n">
        <v>44644.0</v>
      </c>
      <c r="S518" s="3" t="n">
        <v>44650.2296281713</v>
      </c>
      <c r="T518" s="3" t="n">
        <v>44719.57778883102</v>
      </c>
      <c r="U518" t="s">
        <v>3682</v>
      </c>
      <c r="V518" t="s">
        <v>3683</v>
      </c>
    </row>
    <row r="519">
      <c r="A519" t="s">
        <v>22</v>
      </c>
      <c r="B519" t="s">
        <v>3684</v>
      </c>
      <c r="C519" t="s">
        <v>24</v>
      </c>
      <c r="D519" t="s">
        <v>69</v>
      </c>
      <c r="E519" t="s">
        <v>3685</v>
      </c>
      <c r="F519" s="2" t="n">
        <f>HYPERLINK("https://patents.google.com/patent/US20220092550","Google")</f>
        <v>0.0</v>
      </c>
      <c r="G519" s="2" t="n">
        <f>HYPERLINK("https://patentcenter.uspto.gov/applications/17029240","Patent Center")</f>
        <v>0.0</v>
      </c>
      <c r="H519" s="2" t="n">
        <f>HYPERLINK("https://worldwide.espacenet.com/patent/search?q=US20220092550","Espacenet")</f>
        <v>0.0</v>
      </c>
      <c r="I519" s="2" t="n">
        <f>HYPERLINK("https://ppubs.uspto.gov/pubwebapp/external.html?q=20220092550.pn.","USPTO")</f>
        <v>0.0</v>
      </c>
      <c r="J519" s="2" t="n">
        <f>HYPERLINK("https://image-ppubs.uspto.gov/dirsearch-public/print/downloadPdf/20220092550","USPTO PDF")</f>
        <v>0.0</v>
      </c>
      <c r="K519" s="2" t="n">
        <f>HYPERLINK("https://sectors.patentforecast.com/pmd/US20220092550","PMD")</f>
        <v>0.0</v>
      </c>
      <c r="L519" s="2" t="n">
        <f>HYPERLINK("https://globaldossier.uspto.gov/result/application/US/17029240/1","US20220092550")</f>
        <v>0.0</v>
      </c>
      <c r="M519" t="s">
        <v>3686</v>
      </c>
      <c r="N519" t="s">
        <v>3687</v>
      </c>
      <c r="O519" t="s">
        <v>3688</v>
      </c>
      <c r="P519" t="s">
        <v>3689</v>
      </c>
      <c r="Q519" s="3" t="n">
        <v>44097.0</v>
      </c>
      <c r="R519" s="3" t="n">
        <v>44644.0</v>
      </c>
      <c r="S519" s="3" t="n">
        <v>44650.23067125</v>
      </c>
      <c r="T519" s="3" t="n">
        <v>44672.40042459491</v>
      </c>
      <c r="U519" t="s">
        <v>3690</v>
      </c>
      <c r="V519" t="s">
        <v>3691</v>
      </c>
    </row>
    <row r="520">
      <c r="A520" t="s">
        <v>22</v>
      </c>
      <c r="B520" t="s">
        <v>3692</v>
      </c>
      <c r="C520" t="s">
        <v>132</v>
      </c>
      <c r="D520" t="s">
        <v>2629</v>
      </c>
      <c r="E520" t="s">
        <v>3693</v>
      </c>
      <c r="F520" s="2" t="n">
        <f>HYPERLINK("https://patents.google.com/patent/US20220092529","Google")</f>
        <v>0.0</v>
      </c>
      <c r="G520" s="2" t="n">
        <f>HYPERLINK("https://patentcenter.uspto.gov/applications/17479476","Patent Center")</f>
        <v>0.0</v>
      </c>
      <c r="H520" s="2" t="n">
        <f>HYPERLINK("https://worldwide.espacenet.com/patent/search?q=US20220092529","Espacenet")</f>
        <v>0.0</v>
      </c>
      <c r="I520" s="2" t="n">
        <f>HYPERLINK("https://ppubs.uspto.gov/pubwebapp/external.html?q=20220092529.pn.","USPTO")</f>
        <v>0.0</v>
      </c>
      <c r="J520" s="2" t="n">
        <f>HYPERLINK("https://image-ppubs.uspto.gov/dirsearch-public/print/downloadPdf/20220092529","USPTO PDF")</f>
        <v>0.0</v>
      </c>
      <c r="K520" s="2" t="n">
        <f>HYPERLINK("https://sectors.patentforecast.com/pmd/US20220092529","PMD")</f>
        <v>0.0</v>
      </c>
      <c r="L520" s="2" t="n">
        <f>HYPERLINK("https://globaldossier.uspto.gov/result/application/US/17479476/1","US20220092529")</f>
        <v>0.0</v>
      </c>
      <c r="M520" t="s">
        <v>3694</v>
      </c>
      <c r="N520" t="s">
        <v>3695</v>
      </c>
      <c r="O520" t="s">
        <v>3695</v>
      </c>
      <c r="P520" t="s">
        <v>3696</v>
      </c>
      <c r="Q520" s="3" t="n">
        <v>44459.0</v>
      </c>
      <c r="R520" s="3" t="n">
        <v>44644.0</v>
      </c>
      <c r="S520" s="3" t="n">
        <v>44650.23067125</v>
      </c>
      <c r="T520" s="3" t="n">
        <v>44658.63231363426</v>
      </c>
      <c r="U520" t="s">
        <v>3697</v>
      </c>
      <c r="V520" t="s">
        <v>3698</v>
      </c>
    </row>
    <row r="521">
      <c r="A521" t="s">
        <v>22</v>
      </c>
      <c r="B521" t="s">
        <v>3699</v>
      </c>
      <c r="C521" t="s">
        <v>1492</v>
      </c>
      <c r="D521" t="s">
        <v>3700</v>
      </c>
      <c r="E521" t="s">
        <v>3701</v>
      </c>
      <c r="F521" s="2" t="n">
        <f>HYPERLINK("https://patents.google.com/patent/US20220092492","Google")</f>
        <v>0.0</v>
      </c>
      <c r="G521" s="2" t="n">
        <f>HYPERLINK("https://patentcenter.uspto.gov/applications/17026745","Patent Center")</f>
        <v>0.0</v>
      </c>
      <c r="H521" s="2" t="n">
        <f>HYPERLINK("https://worldwide.espacenet.com/patent/search?q=US20220092492","Espacenet")</f>
        <v>0.0</v>
      </c>
      <c r="I521" s="2" t="n">
        <f>HYPERLINK("https://ppubs.uspto.gov/pubwebapp/external.html?q=20220092492.pn.","USPTO")</f>
        <v>0.0</v>
      </c>
      <c r="J521" s="2" t="n">
        <f>HYPERLINK("https://image-ppubs.uspto.gov/dirsearch-public/print/downloadPdf/20220092492","USPTO PDF")</f>
        <v>0.0</v>
      </c>
      <c r="K521" s="2" t="n">
        <f>HYPERLINK("https://sectors.patentforecast.com/pmd/US20220092492","PMD")</f>
        <v>0.0</v>
      </c>
      <c r="L521" s="2" t="n">
        <f>HYPERLINK("https://globaldossier.uspto.gov/result/application/US/17026745/1","US20220092492")</f>
        <v>0.0</v>
      </c>
      <c r="M521" t="s">
        <v>3702</v>
      </c>
      <c r="N521" t="s">
        <v>947</v>
      </c>
      <c r="O521" t="s">
        <v>948</v>
      </c>
      <c r="P521" t="s">
        <v>3703</v>
      </c>
      <c r="Q521" s="3" t="n">
        <v>44095.0</v>
      </c>
      <c r="R521" s="3" t="n">
        <v>44644.0</v>
      </c>
      <c r="S521" s="3" t="n">
        <v>44650.232177997685</v>
      </c>
      <c r="T521" s="3" t="n">
        <v>44719.578725011575</v>
      </c>
      <c r="U521" t="s">
        <v>31</v>
      </c>
      <c r="V521" t="s">
        <v>3704</v>
      </c>
    </row>
    <row r="522">
      <c r="A522" t="s">
        <v>22</v>
      </c>
      <c r="B522" t="s">
        <v>3705</v>
      </c>
      <c r="C522" t="s">
        <v>24</v>
      </c>
      <c r="D522" t="s">
        <v>204</v>
      </c>
      <c r="E522" t="s">
        <v>3706</v>
      </c>
      <c r="F522" s="2" t="n">
        <f>HYPERLINK("https://patents.google.com/patent/US20220092255","Google")</f>
        <v>0.0</v>
      </c>
      <c r="G522" s="2" t="n">
        <f>HYPERLINK("https://patentcenter.uspto.gov/applications/17482306","Patent Center")</f>
        <v>0.0</v>
      </c>
      <c r="H522" s="2" t="n">
        <f>HYPERLINK("https://worldwide.espacenet.com/patent/search?q=US20220092255","Espacenet")</f>
        <v>0.0</v>
      </c>
      <c r="I522" s="2" t="n">
        <f>HYPERLINK("https://ppubs.uspto.gov/pubwebapp/external.html?q=20220092255.pn.","USPTO")</f>
        <v>0.0</v>
      </c>
      <c r="J522" s="2" t="n">
        <f>HYPERLINK("https://image-ppubs.uspto.gov/dirsearch-public/print/downloadPdf/20220092255","USPTO PDF")</f>
        <v>0.0</v>
      </c>
      <c r="K522" s="2" t="n">
        <f>HYPERLINK("https://sectors.patentforecast.com/pmd/US20220092255","PMD")</f>
        <v>0.0</v>
      </c>
      <c r="L522" s="2" t="n">
        <f>HYPERLINK("https://globaldossier.uspto.gov/result/application/US/17482306/1","US20220092255")</f>
        <v>0.0</v>
      </c>
      <c r="M522" t="s">
        <v>3707</v>
      </c>
      <c r="N522" t="s">
        <v>3708</v>
      </c>
      <c r="O522" t="s">
        <v>3709</v>
      </c>
      <c r="P522" t="s">
        <v>3710</v>
      </c>
      <c r="Q522" s="3" t="n">
        <v>44461.0</v>
      </c>
      <c r="R522" s="3" t="n">
        <v>44644.0</v>
      </c>
      <c r="S522" s="3" t="n">
        <v>44650.23067125</v>
      </c>
      <c r="T522" s="3" t="n">
        <v>44719.57912732639</v>
      </c>
      <c r="U522" t="s">
        <v>3711</v>
      </c>
      <c r="V522" t="s">
        <v>3712</v>
      </c>
    </row>
    <row r="523">
      <c r="A523" t="s">
        <v>22</v>
      </c>
      <c r="B523" t="s">
        <v>3713</v>
      </c>
      <c r="C523" t="s">
        <v>24</v>
      </c>
      <c r="D523" t="s">
        <v>43</v>
      </c>
      <c r="E523" t="s">
        <v>3714</v>
      </c>
      <c r="F523" s="2" t="n">
        <f>HYPERLINK("https://patents.google.com/patent/US20220092091","Google")</f>
        <v>0.0</v>
      </c>
      <c r="G523" s="2" t="n">
        <f>HYPERLINK("https://patentcenter.uspto.gov/applications/16948515","Patent Center")</f>
        <v>0.0</v>
      </c>
      <c r="H523" s="2" t="n">
        <f>HYPERLINK("https://worldwide.espacenet.com/patent/search?q=US20220092091","Espacenet")</f>
        <v>0.0</v>
      </c>
      <c r="I523" s="2" t="n">
        <f>HYPERLINK("https://ppubs.uspto.gov/pubwebapp/external.html?q=20220092091.pn.","USPTO")</f>
        <v>0.0</v>
      </c>
      <c r="J523" s="2" t="n">
        <f>HYPERLINK("https://image-ppubs.uspto.gov/dirsearch-public/print/downloadPdf/20220092091","USPTO PDF")</f>
        <v>0.0</v>
      </c>
      <c r="K523" s="2" t="n">
        <f>HYPERLINK("https://sectors.patentforecast.com/pmd/US20220092091","PMD")</f>
        <v>0.0</v>
      </c>
      <c r="L523" s="2" t="n">
        <f>HYPERLINK("https://globaldossier.uspto.gov/result/application/US/16948515/1","US20220092091")</f>
        <v>0.0</v>
      </c>
      <c r="M523" t="s">
        <v>3715</v>
      </c>
      <c r="N523" t="s">
        <v>947</v>
      </c>
      <c r="O523" t="s">
        <v>948</v>
      </c>
      <c r="P523" t="s">
        <v>3716</v>
      </c>
      <c r="Q523" s="3" t="n">
        <v>44096.0</v>
      </c>
      <c r="R523" s="3" t="n">
        <v>44644.0</v>
      </c>
      <c r="S523" s="3" t="n">
        <v>44650.23067125</v>
      </c>
      <c r="T523" s="3" t="n">
        <v>44672.46058011574</v>
      </c>
      <c r="U523" t="s">
        <v>31</v>
      </c>
      <c r="V523" t="s">
        <v>3717</v>
      </c>
    </row>
    <row r="524">
      <c r="A524" t="s">
        <v>22</v>
      </c>
      <c r="B524" t="s">
        <v>3718</v>
      </c>
      <c r="C524" t="s">
        <v>60</v>
      </c>
      <c r="D524" t="s">
        <v>61</v>
      </c>
      <c r="E524" t="s">
        <v>3719</v>
      </c>
      <c r="F524" s="2" t="n">
        <f>HYPERLINK("https://patents.google.com/patent/US20220091133","Google")</f>
        <v>0.0</v>
      </c>
      <c r="G524" s="2" t="n">
        <f>HYPERLINK("https://patentcenter.uspto.gov/applications/17479326","Patent Center")</f>
        <v>0.0</v>
      </c>
      <c r="H524" s="2" t="n">
        <f>HYPERLINK("https://worldwide.espacenet.com/patent/search?q=US20220091133","Espacenet")</f>
        <v>0.0</v>
      </c>
      <c r="I524" s="2" t="n">
        <f>HYPERLINK("https://ppubs.uspto.gov/pubwebapp/external.html?q=20220091133.pn.","USPTO")</f>
        <v>0.0</v>
      </c>
      <c r="J524" s="2" t="n">
        <f>HYPERLINK("https://image-ppubs.uspto.gov/dirsearch-public/print/downloadPdf/20220091133","USPTO PDF")</f>
        <v>0.0</v>
      </c>
      <c r="K524" s="2" t="n">
        <f>HYPERLINK("https://sectors.patentforecast.com/pmd/US20220091133","PMD")</f>
        <v>0.0</v>
      </c>
      <c r="L524" s="2" t="n">
        <f>HYPERLINK("https://globaldossier.uspto.gov/result/application/US/17479326/1","US20220091133")</f>
        <v>0.0</v>
      </c>
      <c r="M524" t="s">
        <v>3720</v>
      </c>
      <c r="N524" t="s">
        <v>3284</v>
      </c>
      <c r="O524" t="s">
        <v>3285</v>
      </c>
      <c r="P524" t="s">
        <v>3721</v>
      </c>
      <c r="Q524" s="3" t="n">
        <v>44459.0</v>
      </c>
      <c r="R524" s="3" t="n">
        <v>44644.0</v>
      </c>
      <c r="S524" s="3" t="n">
        <v>44650.2296281713</v>
      </c>
      <c r="T524" s="3" t="n">
        <v>44719.579704282405</v>
      </c>
      <c r="U524" t="s">
        <v>31</v>
      </c>
      <c r="V524" t="s">
        <v>3722</v>
      </c>
    </row>
    <row r="525">
      <c r="A525" t="s">
        <v>22</v>
      </c>
      <c r="B525" t="s">
        <v>3723</v>
      </c>
      <c r="C525" t="s">
        <v>24</v>
      </c>
      <c r="D525" t="s">
        <v>25</v>
      </c>
      <c r="E525" t="s">
        <v>3724</v>
      </c>
      <c r="F525" s="2" t="n">
        <f>HYPERLINK("https://patents.google.com/patent/US20220091132","Google")</f>
        <v>0.0</v>
      </c>
      <c r="G525" s="2" t="n">
        <f>HYPERLINK("https://patentcenter.uspto.gov/applications/17395143","Patent Center")</f>
        <v>0.0</v>
      </c>
      <c r="H525" s="2" t="n">
        <f>HYPERLINK("https://worldwide.espacenet.com/patent/search?q=US20220091132","Espacenet")</f>
        <v>0.0</v>
      </c>
      <c r="I525" s="2" t="n">
        <f>HYPERLINK("https://ppubs.uspto.gov/pubwebapp/external.html?q=20220091132.pn.","USPTO")</f>
        <v>0.0</v>
      </c>
      <c r="J525" s="2" t="n">
        <f>HYPERLINK("https://image-ppubs.uspto.gov/dirsearch-public/print/downloadPdf/20220091132","USPTO PDF")</f>
        <v>0.0</v>
      </c>
      <c r="K525" s="2" t="n">
        <f>HYPERLINK("https://sectors.patentforecast.com/pmd/US20220091132","PMD")</f>
        <v>0.0</v>
      </c>
      <c r="L525" s="2" t="n">
        <f>HYPERLINK("https://globaldossier.uspto.gov/result/application/US/17395143/1","US20220091132")</f>
        <v>0.0</v>
      </c>
      <c r="M525" t="s">
        <v>3725</v>
      </c>
      <c r="N525" t="s">
        <v>2016</v>
      </c>
      <c r="O525" t="s">
        <v>2017</v>
      </c>
      <c r="P525" t="s">
        <v>3726</v>
      </c>
      <c r="Q525" s="3" t="n">
        <v>44413.0</v>
      </c>
      <c r="R525" s="3" t="n">
        <v>44644.0</v>
      </c>
      <c r="S525" s="3" t="n">
        <v>44650.23067125</v>
      </c>
      <c r="T525" s="3" t="n">
        <v>44658.62289366898</v>
      </c>
      <c r="U525" t="s">
        <v>31</v>
      </c>
      <c r="V525" t="s">
        <v>3727</v>
      </c>
    </row>
    <row r="526">
      <c r="A526" t="s">
        <v>22</v>
      </c>
      <c r="B526" t="s">
        <v>3728</v>
      </c>
      <c r="C526" t="s">
        <v>24</v>
      </c>
      <c r="D526" t="s">
        <v>25</v>
      </c>
      <c r="E526" t="s">
        <v>3729</v>
      </c>
      <c r="F526" s="2" t="n">
        <f>HYPERLINK("https://patents.google.com/patent/US20220091119","Google")</f>
        <v>0.0</v>
      </c>
      <c r="G526" s="2" t="n">
        <f>HYPERLINK("https://patentcenter.uspto.gov/applications/17448095","Patent Center")</f>
        <v>0.0</v>
      </c>
      <c r="H526" s="2" t="n">
        <f>HYPERLINK("https://worldwide.espacenet.com/patent/search?q=US20220091119","Espacenet")</f>
        <v>0.0</v>
      </c>
      <c r="I526" s="2" t="n">
        <f>HYPERLINK("https://ppubs.uspto.gov/pubwebapp/external.html?q=20220091119.pn.","USPTO")</f>
        <v>0.0</v>
      </c>
      <c r="J526" s="2" t="n">
        <f>HYPERLINK("https://image-ppubs.uspto.gov/dirsearch-public/print/downloadPdf/20220091119","USPTO PDF")</f>
        <v>0.0</v>
      </c>
      <c r="K526" s="2" t="n">
        <f>HYPERLINK("https://sectors.patentforecast.com/pmd/US20220091119","PMD")</f>
        <v>0.0</v>
      </c>
      <c r="L526" s="2" t="n">
        <f>HYPERLINK("https://globaldossier.uspto.gov/result/application/US/17448095/1","US20220091119")</f>
        <v>0.0</v>
      </c>
      <c r="M526" t="s">
        <v>3730</v>
      </c>
      <c r="N526" t="s">
        <v>3731</v>
      </c>
      <c r="O526" t="s">
        <v>3732</v>
      </c>
      <c r="P526" t="s">
        <v>3733</v>
      </c>
      <c r="Q526" s="3" t="n">
        <v>44459.0</v>
      </c>
      <c r="R526" s="3" t="n">
        <v>44644.0</v>
      </c>
      <c r="S526" s="3" t="n">
        <v>44650.23067125</v>
      </c>
      <c r="T526" s="3" t="n">
        <v>44658.64469929398</v>
      </c>
      <c r="U526" t="s">
        <v>31</v>
      </c>
      <c r="V526" t="s">
        <v>3734</v>
      </c>
    </row>
    <row r="527">
      <c r="A527" t="s">
        <v>22</v>
      </c>
      <c r="B527" t="s">
        <v>3735</v>
      </c>
      <c r="C527" t="s">
        <v>24</v>
      </c>
      <c r="D527" t="s">
        <v>25</v>
      </c>
      <c r="E527" t="s">
        <v>3736</v>
      </c>
      <c r="F527" s="2" t="n">
        <f>HYPERLINK("https://patents.google.com/patent/US20220091011","Google")</f>
        <v>0.0</v>
      </c>
      <c r="G527" s="2" t="n">
        <f>HYPERLINK("https://patentcenter.uspto.gov/applications/17479742","Patent Center")</f>
        <v>0.0</v>
      </c>
      <c r="H527" s="2" t="n">
        <f>HYPERLINK("https://worldwide.espacenet.com/patent/search?q=US20220091011","Espacenet")</f>
        <v>0.0</v>
      </c>
      <c r="I527" s="2" t="n">
        <f>HYPERLINK("https://ppubs.uspto.gov/pubwebapp/external.html?q=20220091011.pn.","USPTO")</f>
        <v>0.0</v>
      </c>
      <c r="J527" s="2" t="n">
        <f>HYPERLINK("https://image-ppubs.uspto.gov/dirsearch-public/print/downloadPdf/20220091011","USPTO PDF")</f>
        <v>0.0</v>
      </c>
      <c r="K527" s="2" t="n">
        <f>HYPERLINK("https://sectors.patentforecast.com/pmd/US20220091011","PMD")</f>
        <v>0.0</v>
      </c>
      <c r="L527" s="2" t="n">
        <f>HYPERLINK("https://globaldossier.uspto.gov/result/application/US/17479742/1","US20220091011")</f>
        <v>0.0</v>
      </c>
      <c r="M527" t="s">
        <v>3737</v>
      </c>
      <c r="N527" t="s">
        <v>3738</v>
      </c>
      <c r="O527" t="s">
        <v>3739</v>
      </c>
      <c r="P527" t="s">
        <v>3740</v>
      </c>
      <c r="Q527" s="3" t="n">
        <v>44459.0</v>
      </c>
      <c r="R527" s="3" t="n">
        <v>44644.0</v>
      </c>
      <c r="S527" s="3" t="n">
        <v>44650.23067125</v>
      </c>
      <c r="T527" s="3" t="n">
        <v>44658.656860752315</v>
      </c>
      <c r="U527" t="s">
        <v>31</v>
      </c>
      <c r="V527" t="s">
        <v>3741</v>
      </c>
    </row>
    <row r="528">
      <c r="A528" t="s">
        <v>22</v>
      </c>
      <c r="B528" t="s">
        <v>3742</v>
      </c>
      <c r="C528" t="s">
        <v>24</v>
      </c>
      <c r="D528" t="s">
        <v>204</v>
      </c>
      <c r="E528" t="s">
        <v>3743</v>
      </c>
      <c r="F528" s="2" t="n">
        <f>HYPERLINK("https://patents.google.com/patent/US20220090927","Google")</f>
        <v>0.0</v>
      </c>
      <c r="G528" s="2" t="n">
        <f>HYPERLINK("https://patentcenter.uspto.gov/applications/17482008","Patent Center")</f>
        <v>0.0</v>
      </c>
      <c r="H528" s="2" t="n">
        <f>HYPERLINK("https://worldwide.espacenet.com/patent/search?q=US20220090927","Espacenet")</f>
        <v>0.0</v>
      </c>
      <c r="I528" s="2" t="n">
        <f>HYPERLINK("https://ppubs.uspto.gov/pubwebapp/external.html?q=20220090927.pn.","USPTO")</f>
        <v>0.0</v>
      </c>
      <c r="J528" s="2" t="n">
        <f>HYPERLINK("https://image-ppubs.uspto.gov/dirsearch-public/print/downloadPdf/20220090927","USPTO PDF")</f>
        <v>0.0</v>
      </c>
      <c r="K528" s="2" t="n">
        <f>HYPERLINK("https://sectors.patentforecast.com/pmd/US20220090927","PMD")</f>
        <v>0.0</v>
      </c>
      <c r="L528" s="2" t="n">
        <f>HYPERLINK("https://globaldossier.uspto.gov/result/application/US/17482008/1","US20220090927")</f>
        <v>0.0</v>
      </c>
      <c r="M528" t="s">
        <v>3744</v>
      </c>
      <c r="N528" t="s">
        <v>3745</v>
      </c>
      <c r="O528" t="s">
        <v>3746</v>
      </c>
      <c r="P528" t="s">
        <v>3747</v>
      </c>
      <c r="Q528" s="3" t="n">
        <v>44461.0</v>
      </c>
      <c r="R528" s="3" t="n">
        <v>44644.0</v>
      </c>
      <c r="S528" s="3" t="n">
        <v>44650.23067125</v>
      </c>
      <c r="T528" s="3" t="n">
        <v>44719.57992938657</v>
      </c>
      <c r="U528" t="s">
        <v>31</v>
      </c>
      <c r="V528" t="s">
        <v>3748</v>
      </c>
    </row>
    <row r="529">
      <c r="A529" t="s">
        <v>22</v>
      </c>
      <c r="B529" t="s">
        <v>3749</v>
      </c>
      <c r="C529" t="s">
        <v>24</v>
      </c>
      <c r="D529" t="s">
        <v>69</v>
      </c>
      <c r="E529" t="s">
        <v>3750</v>
      </c>
      <c r="F529" s="2" t="n">
        <f>HYPERLINK("https://patents.google.com/patent/US20220090408","Google")</f>
        <v>0.0</v>
      </c>
      <c r="G529" s="2" t="n">
        <f>HYPERLINK("https://patentcenter.uspto.gov/applications/17479678","Patent Center")</f>
        <v>0.0</v>
      </c>
      <c r="H529" s="2" t="n">
        <f>HYPERLINK("https://worldwide.espacenet.com/patent/search?q=US20220090408","Espacenet")</f>
        <v>0.0</v>
      </c>
      <c r="I529" s="2" t="n">
        <f>HYPERLINK("https://ppubs.uspto.gov/pubwebapp/external.html?q=20220090408.pn.","USPTO")</f>
        <v>0.0</v>
      </c>
      <c r="J529" s="2" t="n">
        <f>HYPERLINK("https://image-ppubs.uspto.gov/dirsearch-public/print/downloadPdf/20220090408","USPTO PDF")</f>
        <v>0.0</v>
      </c>
      <c r="K529" s="2" t="n">
        <f>HYPERLINK("https://sectors.patentforecast.com/pmd/US20220090408","PMD")</f>
        <v>0.0</v>
      </c>
      <c r="L529" s="2" t="n">
        <f>HYPERLINK("https://globaldossier.uspto.gov/result/application/US/17479678/1","US20220090408")</f>
        <v>0.0</v>
      </c>
      <c r="M529" t="s">
        <v>3751</v>
      </c>
      <c r="N529" t="s">
        <v>3752</v>
      </c>
      <c r="O529" t="s">
        <v>3752</v>
      </c>
      <c r="P529" t="s">
        <v>3753</v>
      </c>
      <c r="Q529" s="3" t="n">
        <v>44459.0</v>
      </c>
      <c r="R529" s="3" t="n">
        <v>44644.0</v>
      </c>
      <c r="S529" s="3" t="n">
        <v>44650.23067125</v>
      </c>
      <c r="T529" s="3" t="n">
        <v>44719.58017825231</v>
      </c>
      <c r="U529" t="s">
        <v>3754</v>
      </c>
      <c r="V529" t="s">
        <v>3755</v>
      </c>
    </row>
    <row r="530">
      <c r="A530" t="s">
        <v>22</v>
      </c>
      <c r="B530" t="s">
        <v>3756</v>
      </c>
      <c r="C530" t="s">
        <v>561</v>
      </c>
      <c r="D530" t="s">
        <v>3757</v>
      </c>
      <c r="E530" t="s">
        <v>3758</v>
      </c>
      <c r="F530" s="2" t="n">
        <f>HYPERLINK("https://patents.google.com/patent/US20220090186","Google")</f>
        <v>0.0</v>
      </c>
      <c r="G530" s="2" t="n">
        <f>HYPERLINK("https://patentcenter.uspto.gov/applications/17478415","Patent Center")</f>
        <v>0.0</v>
      </c>
      <c r="H530" s="2" t="n">
        <f>HYPERLINK("https://worldwide.espacenet.com/patent/search?q=US20220090186","Espacenet")</f>
        <v>0.0</v>
      </c>
      <c r="I530" s="2" t="n">
        <f>HYPERLINK("https://ppubs.uspto.gov/pubwebapp/external.html?q=20220090186.pn.","USPTO")</f>
        <v>0.0</v>
      </c>
      <c r="J530" s="2" t="n">
        <f>HYPERLINK("https://image-ppubs.uspto.gov/dirsearch-public/print/downloadPdf/20220090186","USPTO PDF")</f>
        <v>0.0</v>
      </c>
      <c r="K530" s="2" t="n">
        <f>HYPERLINK("https://sectors.patentforecast.com/pmd/US20220090186","PMD")</f>
        <v>0.0</v>
      </c>
      <c r="L530" s="2" t="n">
        <f>HYPERLINK("https://globaldossier.uspto.gov/result/application/US/17478415/1","US20220090186")</f>
        <v>0.0</v>
      </c>
      <c r="M530" t="s">
        <v>3759</v>
      </c>
      <c r="N530" t="s">
        <v>3760</v>
      </c>
      <c r="O530" t="s">
        <v>3761</v>
      </c>
      <c r="P530" t="s">
        <v>3762</v>
      </c>
      <c r="Q530" s="3" t="n">
        <v>44456.0</v>
      </c>
      <c r="R530" s="3" t="n">
        <v>44644.0</v>
      </c>
      <c r="S530" s="3" t="n">
        <v>44650.2296281713</v>
      </c>
      <c r="T530" s="3" t="n">
        <v>44719.58035373843</v>
      </c>
      <c r="U530" t="s">
        <v>31</v>
      </c>
      <c r="V530" t="s">
        <v>3763</v>
      </c>
    </row>
    <row r="531">
      <c r="A531" t="s">
        <v>22</v>
      </c>
      <c r="B531" t="s">
        <v>3764</v>
      </c>
      <c r="C531" t="s">
        <v>24</v>
      </c>
      <c r="D531" t="s">
        <v>25</v>
      </c>
      <c r="E531" t="s">
        <v>3765</v>
      </c>
      <c r="F531" s="2" t="n">
        <f>HYPERLINK("https://patents.google.com/patent/US20220090185","Google")</f>
        <v>0.0</v>
      </c>
      <c r="G531" s="2" t="n">
        <f>HYPERLINK("https://patentcenter.uspto.gov/applications/17472127","Patent Center")</f>
        <v>0.0</v>
      </c>
      <c r="H531" s="2" t="n">
        <f>HYPERLINK("https://worldwide.espacenet.com/patent/search?q=US20220090185","Espacenet")</f>
        <v>0.0</v>
      </c>
      <c r="I531" s="2" t="n">
        <f>HYPERLINK("https://ppubs.uspto.gov/pubwebapp/external.html?q=20220090185.pn.","USPTO")</f>
        <v>0.0</v>
      </c>
      <c r="J531" s="2" t="n">
        <f>HYPERLINK("https://image-ppubs.uspto.gov/dirsearch-public/print/downloadPdf/20220090185","USPTO PDF")</f>
        <v>0.0</v>
      </c>
      <c r="K531" s="2" t="n">
        <f>HYPERLINK("https://sectors.patentforecast.com/pmd/US20220090185","PMD")</f>
        <v>0.0</v>
      </c>
      <c r="L531" s="2" t="n">
        <f>HYPERLINK("https://globaldossier.uspto.gov/result/application/US/17472127/1","US20220090185")</f>
        <v>0.0</v>
      </c>
      <c r="M531" t="s">
        <v>3766</v>
      </c>
      <c r="N531" t="s">
        <v>3767</v>
      </c>
      <c r="O531" t="s">
        <v>3768</v>
      </c>
      <c r="P531" t="s">
        <v>3769</v>
      </c>
      <c r="Q531" s="3" t="n">
        <v>44449.0</v>
      </c>
      <c r="R531" s="3" t="n">
        <v>44644.0</v>
      </c>
      <c r="S531" s="3" t="n">
        <v>44650.23067125</v>
      </c>
      <c r="T531" s="3" t="n">
        <v>44719.58045164352</v>
      </c>
      <c r="U531" t="s">
        <v>31</v>
      </c>
      <c r="V531" t="s">
        <v>3770</v>
      </c>
    </row>
    <row r="532">
      <c r="A532" t="s">
        <v>22</v>
      </c>
      <c r="B532" t="s">
        <v>3771</v>
      </c>
      <c r="C532" t="s">
        <v>132</v>
      </c>
      <c r="D532" t="s">
        <v>133</v>
      </c>
      <c r="E532" t="s">
        <v>3772</v>
      </c>
      <c r="F532" s="2" t="n">
        <f>HYPERLINK("https://patents.google.com/patent/US20220090134","Google")</f>
        <v>0.0</v>
      </c>
      <c r="G532" s="2" t="n">
        <f>HYPERLINK("https://patentcenter.uspto.gov/applications/17472268","Patent Center")</f>
        <v>0.0</v>
      </c>
      <c r="H532" s="2" t="n">
        <f>HYPERLINK("https://worldwide.espacenet.com/patent/search?q=US20220090134","Espacenet")</f>
        <v>0.0</v>
      </c>
      <c r="I532" s="2" t="n">
        <f>HYPERLINK("https://ppubs.uspto.gov/pubwebapp/external.html?q=20220090134.pn.","USPTO")</f>
        <v>0.0</v>
      </c>
      <c r="J532" s="2" t="n">
        <f>HYPERLINK("https://image-ppubs.uspto.gov/dirsearch-public/print/downloadPdf/20220090134","USPTO PDF")</f>
        <v>0.0</v>
      </c>
      <c r="K532" s="2" t="n">
        <f>HYPERLINK("https://sectors.patentforecast.com/pmd/US20220090134","PMD")</f>
        <v>0.0</v>
      </c>
      <c r="L532" s="2" t="n">
        <f>HYPERLINK("https://globaldossier.uspto.gov/result/application/US/17472268/1","US20220090134")</f>
        <v>0.0</v>
      </c>
      <c r="M532" t="s">
        <v>3773</v>
      </c>
      <c r="N532" t="s">
        <v>3774</v>
      </c>
      <c r="O532" t="s">
        <v>3775</v>
      </c>
      <c r="P532" t="s">
        <v>3776</v>
      </c>
      <c r="Q532" s="3" t="n">
        <v>44449.0</v>
      </c>
      <c r="R532" s="3" t="n">
        <v>44644.0</v>
      </c>
      <c r="S532" s="3" t="n">
        <v>44650.23348122685</v>
      </c>
      <c r="T532" s="3" t="n">
        <v>44658.63257209491</v>
      </c>
      <c r="U532" t="s">
        <v>31</v>
      </c>
      <c r="V532" t="s">
        <v>3777</v>
      </c>
    </row>
    <row r="533">
      <c r="A533" t="s">
        <v>22</v>
      </c>
      <c r="B533" t="s">
        <v>3778</v>
      </c>
      <c r="C533" t="s">
        <v>60</v>
      </c>
      <c r="D533" t="s">
        <v>61</v>
      </c>
      <c r="E533" t="s">
        <v>3779</v>
      </c>
      <c r="F533" s="2" t="n">
        <f>HYPERLINK("https://patents.google.com/patent/US20220090082","Google")</f>
        <v>0.0</v>
      </c>
      <c r="G533" s="2" t="n">
        <f>HYPERLINK("https://patentcenter.uspto.gov/applications/17471719","Patent Center")</f>
        <v>0.0</v>
      </c>
      <c r="H533" s="2" t="n">
        <f>HYPERLINK("https://worldwide.espacenet.com/patent/search?q=US20220090082","Espacenet")</f>
        <v>0.0</v>
      </c>
      <c r="I533" s="2" t="n">
        <f>HYPERLINK("https://ppubs.uspto.gov/pubwebapp/external.html?q=20220090082.pn.","USPTO")</f>
        <v>0.0</v>
      </c>
      <c r="J533" s="2" t="n">
        <f>HYPERLINK("https://image-ppubs.uspto.gov/dirsearch-public/print/downloadPdf/20220090082","USPTO PDF")</f>
        <v>0.0</v>
      </c>
      <c r="K533" s="2" t="n">
        <f>HYPERLINK("https://sectors.patentforecast.com/pmd/US20220090082","PMD")</f>
        <v>0.0</v>
      </c>
      <c r="L533" s="2" t="n">
        <f>HYPERLINK("https://globaldossier.uspto.gov/result/application/US/17471719/1","US20220090082")</f>
        <v>0.0</v>
      </c>
      <c r="M533" t="s">
        <v>3780</v>
      </c>
      <c r="N533" t="s">
        <v>3781</v>
      </c>
      <c r="O533" t="s">
        <v>3782</v>
      </c>
      <c r="P533" t="s">
        <v>3783</v>
      </c>
      <c r="Q533" s="3" t="n">
        <v>44449.0</v>
      </c>
      <c r="R533" s="3" t="n">
        <v>44644.0</v>
      </c>
      <c r="S533" s="3" t="n">
        <v>44650.2296281713</v>
      </c>
      <c r="T533" s="3" t="n">
        <v>44658.642673090275</v>
      </c>
      <c r="U533" t="s">
        <v>3784</v>
      </c>
      <c r="V533" t="s">
        <v>3785</v>
      </c>
    </row>
    <row r="534">
      <c r="A534" t="s">
        <v>22</v>
      </c>
      <c r="B534" t="s">
        <v>3786</v>
      </c>
      <c r="C534" t="s">
        <v>24</v>
      </c>
      <c r="D534" t="s">
        <v>100</v>
      </c>
      <c r="E534" t="s">
        <v>3787</v>
      </c>
      <c r="F534" s="2" t="n">
        <f>HYPERLINK("https://patents.google.com/patent/US20220089912","Google")</f>
        <v>0.0</v>
      </c>
      <c r="G534" s="2" t="n">
        <f>HYPERLINK("https://patentcenter.uspto.gov/applications/17027535","Patent Center")</f>
        <v>0.0</v>
      </c>
      <c r="H534" s="2" t="n">
        <f>HYPERLINK("https://worldwide.espacenet.com/patent/search?q=US20220089912","Espacenet")</f>
        <v>0.0</v>
      </c>
      <c r="I534" s="2" t="n">
        <f>HYPERLINK("https://ppubs.uspto.gov/pubwebapp/external.html?q=20220089912.pn.","USPTO")</f>
        <v>0.0</v>
      </c>
      <c r="J534" s="2" t="n">
        <f>HYPERLINK("https://image-ppubs.uspto.gov/dirsearch-public/print/downloadPdf/20220089912","USPTO PDF")</f>
        <v>0.0</v>
      </c>
      <c r="K534" s="2" t="n">
        <f>HYPERLINK("https://sectors.patentforecast.com/pmd/US20220089912","PMD")</f>
        <v>0.0</v>
      </c>
      <c r="L534" s="2" t="n">
        <f>HYPERLINK("https://globaldossier.uspto.gov/result/application/US/17027535/1","US20220089912")</f>
        <v>0.0</v>
      </c>
      <c r="M534" t="s">
        <v>3788</v>
      </c>
      <c r="N534" t="s">
        <v>3789</v>
      </c>
      <c r="O534" t="s">
        <v>3790</v>
      </c>
      <c r="P534" t="s">
        <v>3791</v>
      </c>
      <c r="Q534" s="3" t="n">
        <v>44095.0</v>
      </c>
      <c r="R534" s="3" t="n">
        <v>44644.0</v>
      </c>
      <c r="S534" s="3" t="n">
        <v>44650.23067125</v>
      </c>
      <c r="T534" s="3" t="n">
        <v>44658.62137291667</v>
      </c>
      <c r="U534" t="s">
        <v>31</v>
      </c>
      <c r="V534" t="s">
        <v>3792</v>
      </c>
    </row>
    <row r="535">
      <c r="A535" t="s">
        <v>22</v>
      </c>
      <c r="B535" t="s">
        <v>3793</v>
      </c>
      <c r="C535" t="s">
        <v>60</v>
      </c>
      <c r="D535" t="s">
        <v>61</v>
      </c>
      <c r="E535" t="s">
        <v>3794</v>
      </c>
      <c r="F535" s="2" t="n">
        <f>HYPERLINK("https://patents.google.com/patent/US20220089782","Google")</f>
        <v>0.0</v>
      </c>
      <c r="G535" s="2" t="n">
        <f>HYPERLINK("https://patentcenter.uspto.gov/applications/17478302","Patent Center")</f>
        <v>0.0</v>
      </c>
      <c r="H535" s="2" t="n">
        <f>HYPERLINK("https://worldwide.espacenet.com/patent/search?q=US20220089782","Espacenet")</f>
        <v>0.0</v>
      </c>
      <c r="I535" s="2" t="n">
        <f>HYPERLINK("https://ppubs.uspto.gov/pubwebapp/external.html?q=20220089782.pn.","USPTO")</f>
        <v>0.0</v>
      </c>
      <c r="J535" s="2" t="n">
        <f>HYPERLINK("https://image-ppubs.uspto.gov/dirsearch-public/print/downloadPdf/20220089782","USPTO PDF")</f>
        <v>0.0</v>
      </c>
      <c r="K535" s="2" t="n">
        <f>HYPERLINK("https://sectors.patentforecast.com/pmd/US20220089782","PMD")</f>
        <v>0.0</v>
      </c>
      <c r="L535" s="2" t="n">
        <f>HYPERLINK("https://globaldossier.uspto.gov/result/application/US/17478302/1","US20220089782")</f>
        <v>0.0</v>
      </c>
      <c r="M535" t="s">
        <v>3795</v>
      </c>
      <c r="N535" t="s">
        <v>555</v>
      </c>
      <c r="O535" t="s">
        <v>556</v>
      </c>
      <c r="P535" t="s">
        <v>557</v>
      </c>
      <c r="Q535" s="3" t="n">
        <v>44456.0</v>
      </c>
      <c r="R535" s="3" t="n">
        <v>44644.0</v>
      </c>
      <c r="S535" s="3" t="n">
        <v>44650.23067125</v>
      </c>
      <c r="T535" s="3" t="n">
        <v>44658.65352627315</v>
      </c>
      <c r="U535" t="s">
        <v>3796</v>
      </c>
      <c r="V535" t="s">
        <v>3797</v>
      </c>
    </row>
    <row r="536">
      <c r="A536" t="s">
        <v>22</v>
      </c>
      <c r="B536" t="s">
        <v>3798</v>
      </c>
      <c r="C536" t="s">
        <v>60</v>
      </c>
      <c r="D536" t="s">
        <v>77</v>
      </c>
      <c r="E536" t="s">
        <v>3799</v>
      </c>
      <c r="F536" s="2" t="n">
        <f>HYPERLINK("https://patents.google.com/patent/US20220089764","Google")</f>
        <v>0.0</v>
      </c>
      <c r="G536" s="2" t="n">
        <f>HYPERLINK("https://patentcenter.uspto.gov/applications/17147842","Patent Center")</f>
        <v>0.0</v>
      </c>
      <c r="H536" s="2" t="n">
        <f>HYPERLINK("https://worldwide.espacenet.com/patent/search?q=US20220089764","Espacenet")</f>
        <v>0.0</v>
      </c>
      <c r="I536" s="2" t="n">
        <f>HYPERLINK("https://ppubs.uspto.gov/pubwebapp/external.html?q=20220089764.pn.","USPTO")</f>
        <v>0.0</v>
      </c>
      <c r="J536" s="2" t="n">
        <f>HYPERLINK("https://image-ppubs.uspto.gov/dirsearch-public/print/downloadPdf/20220089764","USPTO PDF")</f>
        <v>0.0</v>
      </c>
      <c r="K536" s="2" t="n">
        <f>HYPERLINK("https://sectors.patentforecast.com/pmd/US20220089764","PMD")</f>
        <v>0.0</v>
      </c>
      <c r="L536" s="2" t="n">
        <f>HYPERLINK("https://globaldossier.uspto.gov/result/application/US/17147842/1","US20220089764")</f>
        <v>0.0</v>
      </c>
      <c r="M536" t="s">
        <v>3800</v>
      </c>
      <c r="N536" t="s">
        <v>3801</v>
      </c>
      <c r="O536" t="s">
        <v>3802</v>
      </c>
      <c r="P536" t="s">
        <v>3803</v>
      </c>
      <c r="Q536" s="3" t="n">
        <v>44209.0</v>
      </c>
      <c r="R536" s="3" t="n">
        <v>44644.0</v>
      </c>
      <c r="S536" s="3" t="n">
        <v>44650.23067125</v>
      </c>
      <c r="T536" s="3" t="n">
        <v>44658.60086534722</v>
      </c>
      <c r="U536" t="s">
        <v>31</v>
      </c>
      <c r="V536" t="s">
        <v>3804</v>
      </c>
    </row>
    <row r="537">
      <c r="A537" t="s">
        <v>22</v>
      </c>
      <c r="B537" t="s">
        <v>3805</v>
      </c>
      <c r="C537" t="s">
        <v>60</v>
      </c>
      <c r="D537" t="s">
        <v>61</v>
      </c>
      <c r="E537" t="s">
        <v>3806</v>
      </c>
      <c r="F537" s="2" t="n">
        <f>HYPERLINK("https://patents.google.com/patent/US20220089695","Google")</f>
        <v>0.0</v>
      </c>
      <c r="G537" s="2" t="n">
        <f>HYPERLINK("https://patentcenter.uspto.gov/applications/17484483","Patent Center")</f>
        <v>0.0</v>
      </c>
      <c r="H537" s="2" t="n">
        <f>HYPERLINK("https://worldwide.espacenet.com/patent/search?q=US20220089695","Espacenet")</f>
        <v>0.0</v>
      </c>
      <c r="I537" s="2" t="n">
        <f>HYPERLINK("https://ppubs.uspto.gov/pubwebapp/external.html?q=20220089695.pn.","USPTO")</f>
        <v>0.0</v>
      </c>
      <c r="J537" s="2" t="n">
        <f>HYPERLINK("https://image-ppubs.uspto.gov/dirsearch-public/print/downloadPdf/20220089695","USPTO PDF")</f>
        <v>0.0</v>
      </c>
      <c r="K537" s="2" t="n">
        <f>HYPERLINK("https://sectors.patentforecast.com/pmd/US20220089695","PMD")</f>
        <v>0.0</v>
      </c>
      <c r="L537" s="2" t="n">
        <f>HYPERLINK("https://globaldossier.uspto.gov/result/application/US/17484483/1","US20220089695")</f>
        <v>0.0</v>
      </c>
      <c r="M537" t="s">
        <v>3807</v>
      </c>
      <c r="N537" t="s">
        <v>1834</v>
      </c>
      <c r="O537" t="s">
        <v>1835</v>
      </c>
      <c r="P537" t="s">
        <v>3808</v>
      </c>
      <c r="Q537" s="3" t="n">
        <v>44463.0</v>
      </c>
      <c r="R537" s="3" t="n">
        <v>44644.0</v>
      </c>
      <c r="S537" s="3" t="n">
        <v>44650.2296281713</v>
      </c>
      <c r="T537" s="3" t="n">
        <v>44658.64547802084</v>
      </c>
      <c r="U537" t="s">
        <v>31</v>
      </c>
      <c r="V537" t="s">
        <v>3809</v>
      </c>
    </row>
    <row r="538">
      <c r="A538" t="s">
        <v>22</v>
      </c>
      <c r="B538" t="s">
        <v>3810</v>
      </c>
      <c r="C538" t="s">
        <v>60</v>
      </c>
      <c r="D538" t="s">
        <v>77</v>
      </c>
      <c r="E538" t="s">
        <v>3811</v>
      </c>
      <c r="F538" s="2" t="n">
        <f>HYPERLINK("https://patents.google.com/patent/US20220089693","Google")</f>
        <v>0.0</v>
      </c>
      <c r="G538" s="2" t="n">
        <f>HYPERLINK("https://patentcenter.uspto.gov/applications/17371241","Patent Center")</f>
        <v>0.0</v>
      </c>
      <c r="H538" s="2" t="n">
        <f>HYPERLINK("https://worldwide.espacenet.com/patent/search?q=US20220089693","Espacenet")</f>
        <v>0.0</v>
      </c>
      <c r="I538" s="2" t="n">
        <f>HYPERLINK("https://ppubs.uspto.gov/pubwebapp/external.html?q=20220089693.pn.","USPTO")</f>
        <v>0.0</v>
      </c>
      <c r="J538" s="2" t="n">
        <f>HYPERLINK("https://image-ppubs.uspto.gov/dirsearch-public/print/downloadPdf/20220089693","USPTO PDF")</f>
        <v>0.0</v>
      </c>
      <c r="K538" s="2" t="n">
        <f>HYPERLINK("https://sectors.patentforecast.com/pmd/US20220089693","PMD")</f>
        <v>0.0</v>
      </c>
      <c r="L538" s="2" t="n">
        <f>HYPERLINK("https://globaldossier.uspto.gov/result/application/US/17371241/1","US20220089693")</f>
        <v>0.0</v>
      </c>
      <c r="M538" t="s">
        <v>3812</v>
      </c>
      <c r="N538" t="s">
        <v>3813</v>
      </c>
      <c r="O538" t="s">
        <v>3813</v>
      </c>
      <c r="P538" t="s">
        <v>3814</v>
      </c>
      <c r="Q538" s="3" t="n">
        <v>44386.0</v>
      </c>
      <c r="R538" s="3" t="n">
        <v>44644.0</v>
      </c>
      <c r="S538" s="3" t="n">
        <v>44650.23067125</v>
      </c>
      <c r="T538" s="3" t="n">
        <v>44658.62518973379</v>
      </c>
      <c r="U538" t="s">
        <v>31</v>
      </c>
      <c r="V538" t="s">
        <v>3815</v>
      </c>
    </row>
    <row r="539">
      <c r="A539" t="s">
        <v>22</v>
      </c>
      <c r="B539" t="s">
        <v>3816</v>
      </c>
      <c r="C539" t="s">
        <v>60</v>
      </c>
      <c r="D539" t="s">
        <v>77</v>
      </c>
      <c r="E539" t="s">
        <v>3817</v>
      </c>
      <c r="F539" s="2" t="n">
        <f>HYPERLINK("https://patents.google.com/patent/US20220089692","Google")</f>
        <v>0.0</v>
      </c>
      <c r="G539" s="2" t="n">
        <f>HYPERLINK("https://patentcenter.uspto.gov/applications/17371155","Patent Center")</f>
        <v>0.0</v>
      </c>
      <c r="H539" s="2" t="n">
        <f>HYPERLINK("https://worldwide.espacenet.com/patent/search?q=US20220089692","Espacenet")</f>
        <v>0.0</v>
      </c>
      <c r="I539" s="2" t="n">
        <f>HYPERLINK("https://ppubs.uspto.gov/pubwebapp/external.html?q=20220089692.pn.","USPTO")</f>
        <v>0.0</v>
      </c>
      <c r="J539" s="2" t="n">
        <f>HYPERLINK("https://image-ppubs.uspto.gov/dirsearch-public/print/downloadPdf/20220089692","USPTO PDF")</f>
        <v>0.0</v>
      </c>
      <c r="K539" s="2" t="n">
        <f>HYPERLINK("https://sectors.patentforecast.com/pmd/US20220089692","PMD")</f>
        <v>0.0</v>
      </c>
      <c r="L539" s="2" t="n">
        <f>HYPERLINK("https://globaldossier.uspto.gov/result/application/US/17371155/1","US20220089692")</f>
        <v>0.0</v>
      </c>
      <c r="M539" t="s">
        <v>3818</v>
      </c>
      <c r="N539" t="s">
        <v>3813</v>
      </c>
      <c r="O539" t="s">
        <v>3813</v>
      </c>
      <c r="P539" t="s">
        <v>3814</v>
      </c>
      <c r="Q539" s="3" t="n">
        <v>44386.0</v>
      </c>
      <c r="R539" s="3" t="n">
        <v>44644.0</v>
      </c>
      <c r="S539" s="3" t="n">
        <v>44650.23067125</v>
      </c>
      <c r="T539" s="3" t="n">
        <v>44658.62513862269</v>
      </c>
      <c r="U539" t="s">
        <v>31</v>
      </c>
      <c r="V539" t="s">
        <v>3819</v>
      </c>
    </row>
    <row r="540">
      <c r="A540" t="s">
        <v>22</v>
      </c>
      <c r="B540" t="s">
        <v>3820</v>
      </c>
      <c r="C540" t="s">
        <v>60</v>
      </c>
      <c r="D540" t="s">
        <v>77</v>
      </c>
      <c r="E540" t="s">
        <v>3821</v>
      </c>
      <c r="F540" s="2" t="n">
        <f>HYPERLINK("https://patents.google.com/patent/US20220089691","Google")</f>
        <v>0.0</v>
      </c>
      <c r="G540" s="2" t="n">
        <f>HYPERLINK("https://patentcenter.uspto.gov/applications/17021042","Patent Center")</f>
        <v>0.0</v>
      </c>
      <c r="H540" s="2" t="n">
        <f>HYPERLINK("https://worldwide.espacenet.com/patent/search?q=US20220089691","Espacenet")</f>
        <v>0.0</v>
      </c>
      <c r="I540" s="2" t="n">
        <f>HYPERLINK("https://ppubs.uspto.gov/pubwebapp/external.html?q=20220089691.pn.","USPTO")</f>
        <v>0.0</v>
      </c>
      <c r="J540" s="2" t="n">
        <f>HYPERLINK("https://image-ppubs.uspto.gov/dirsearch-public/print/downloadPdf/20220089691","USPTO PDF")</f>
        <v>0.0</v>
      </c>
      <c r="K540" s="2" t="n">
        <f>HYPERLINK("https://sectors.patentforecast.com/pmd/US20220089691","PMD")</f>
        <v>0.0</v>
      </c>
      <c r="L540" s="2" t="n">
        <f>HYPERLINK("https://globaldossier.uspto.gov/result/application/US/17021042/1","US20220089691")</f>
        <v>0.0</v>
      </c>
      <c r="M540" t="s">
        <v>3822</v>
      </c>
      <c r="N540" t="s">
        <v>3823</v>
      </c>
      <c r="O540" t="s">
        <v>3823</v>
      </c>
      <c r="P540" t="s">
        <v>3824</v>
      </c>
      <c r="Q540" s="3" t="n">
        <v>44089.0</v>
      </c>
      <c r="R540" s="3" t="n">
        <v>44644.0</v>
      </c>
      <c r="S540" s="3" t="n">
        <v>44650.23067125</v>
      </c>
      <c r="T540" s="3" t="n">
        <v>44658.597138275465</v>
      </c>
      <c r="U540" t="s">
        <v>3825</v>
      </c>
      <c r="V540" t="s">
        <v>3826</v>
      </c>
    </row>
    <row r="541">
      <c r="A541" t="s">
        <v>22</v>
      </c>
      <c r="B541" t="s">
        <v>3827</v>
      </c>
      <c r="C541" t="s">
        <v>496</v>
      </c>
      <c r="D541" t="s">
        <v>616</v>
      </c>
      <c r="E541" t="s">
        <v>3828</v>
      </c>
      <c r="F541" s="2" t="n">
        <f>HYPERLINK("https://patents.google.com/patent/US20220089656","Google")</f>
        <v>0.0</v>
      </c>
      <c r="G541" s="2" t="n">
        <f>HYPERLINK("https://patentcenter.uspto.gov/applications/17469708","Patent Center")</f>
        <v>0.0</v>
      </c>
      <c r="H541" s="2" t="n">
        <f>HYPERLINK("https://worldwide.espacenet.com/patent/search?q=US20220089656","Espacenet")</f>
        <v>0.0</v>
      </c>
      <c r="I541" s="2" t="n">
        <f>HYPERLINK("https://ppubs.uspto.gov/pubwebapp/external.html?q=20220089656.pn.","USPTO")</f>
        <v>0.0</v>
      </c>
      <c r="J541" s="2" t="n">
        <f>HYPERLINK("https://image-ppubs.uspto.gov/dirsearch-public/print/downloadPdf/20220089656","USPTO PDF")</f>
        <v>0.0</v>
      </c>
      <c r="K541" s="2" t="n">
        <f>HYPERLINK("https://sectors.patentforecast.com/pmd/US20220089656","PMD")</f>
        <v>0.0</v>
      </c>
      <c r="L541" s="2" t="n">
        <f>HYPERLINK("https://globaldossier.uspto.gov/result/application/US/17469708/1","US20220089656")</f>
        <v>0.0</v>
      </c>
      <c r="M541" t="s">
        <v>3829</v>
      </c>
      <c r="N541" t="s">
        <v>3830</v>
      </c>
      <c r="O541" t="s">
        <v>3831</v>
      </c>
      <c r="P541" t="s">
        <v>3832</v>
      </c>
      <c r="Q541" s="3" t="n">
        <v>44447.0</v>
      </c>
      <c r="R541" s="3" t="n">
        <v>44644.0</v>
      </c>
      <c r="S541" s="3" t="n">
        <v>44650.2296281713</v>
      </c>
      <c r="T541" s="3" t="n">
        <v>44719.58088548611</v>
      </c>
      <c r="U541" t="s">
        <v>31</v>
      </c>
      <c r="V541" t="s">
        <v>3833</v>
      </c>
    </row>
    <row r="542">
      <c r="A542" t="s">
        <v>22</v>
      </c>
      <c r="B542" t="s">
        <v>3834</v>
      </c>
      <c r="C542" t="s">
        <v>60</v>
      </c>
      <c r="D542" t="s">
        <v>61</v>
      </c>
      <c r="E542" t="s">
        <v>3835</v>
      </c>
      <c r="F542" s="2" t="n">
        <f>HYPERLINK("https://patents.google.com/patent/US20220089642","Google")</f>
        <v>0.0</v>
      </c>
      <c r="G542" s="2" t="n">
        <f>HYPERLINK("https://patentcenter.uspto.gov/applications/17478824","Patent Center")</f>
        <v>0.0</v>
      </c>
      <c r="H542" s="2" t="n">
        <f>HYPERLINK("https://worldwide.espacenet.com/patent/search?q=US20220089642","Espacenet")</f>
        <v>0.0</v>
      </c>
      <c r="I542" s="2" t="n">
        <f>HYPERLINK("https://ppubs.uspto.gov/pubwebapp/external.html?q=20220089642.pn.","USPTO")</f>
        <v>0.0</v>
      </c>
      <c r="J542" s="2" t="n">
        <f>HYPERLINK("https://image-ppubs.uspto.gov/dirsearch-public/print/downloadPdf/20220089642","USPTO PDF")</f>
        <v>0.0</v>
      </c>
      <c r="K542" s="2" t="n">
        <f>HYPERLINK("https://sectors.patentforecast.com/pmd/US20220089642","PMD")</f>
        <v>0.0</v>
      </c>
      <c r="L542" s="2" t="n">
        <f>HYPERLINK("https://globaldossier.uspto.gov/result/application/US/17478824/1","US20220089642")</f>
        <v>0.0</v>
      </c>
      <c r="M542" t="s">
        <v>3836</v>
      </c>
      <c r="N542" t="s">
        <v>2134</v>
      </c>
      <c r="O542" t="s">
        <v>2135</v>
      </c>
      <c r="P542" t="s">
        <v>3837</v>
      </c>
      <c r="Q542" s="3" t="n">
        <v>44456.0</v>
      </c>
      <c r="R542" s="3" t="n">
        <v>44644.0</v>
      </c>
      <c r="S542" s="3" t="n">
        <v>44650.2296281713</v>
      </c>
      <c r="T542" s="3" t="n">
        <v>44672.455546875</v>
      </c>
      <c r="U542" t="s">
        <v>3838</v>
      </c>
      <c r="V542" t="s">
        <v>3839</v>
      </c>
    </row>
    <row r="543">
      <c r="A543" t="s">
        <v>22</v>
      </c>
      <c r="B543" t="s">
        <v>3840</v>
      </c>
      <c r="C543" t="s">
        <v>60</v>
      </c>
      <c r="D543" t="s">
        <v>61</v>
      </c>
      <c r="E543" t="s">
        <v>3841</v>
      </c>
      <c r="F543" s="2" t="n">
        <f>HYPERLINK("https://patents.google.com/patent/US20220089586","Google")</f>
        <v>0.0</v>
      </c>
      <c r="G543" s="2" t="n">
        <f>HYPERLINK("https://patentcenter.uspto.gov/applications/17479337","Patent Center")</f>
        <v>0.0</v>
      </c>
      <c r="H543" s="2" t="n">
        <f>HYPERLINK("https://worldwide.espacenet.com/patent/search?q=US20220089586","Espacenet")</f>
        <v>0.0</v>
      </c>
      <c r="I543" s="2" t="n">
        <f>HYPERLINK("https://ppubs.uspto.gov/pubwebapp/external.html?q=20220089586.pn.","USPTO")</f>
        <v>0.0</v>
      </c>
      <c r="J543" s="2" t="n">
        <f>HYPERLINK("https://image-ppubs.uspto.gov/dirsearch-public/print/downloadPdf/20220089586","USPTO PDF")</f>
        <v>0.0</v>
      </c>
      <c r="K543" s="2" t="n">
        <f>HYPERLINK("https://sectors.patentforecast.com/pmd/US20220089586","PMD")</f>
        <v>0.0</v>
      </c>
      <c r="L543" s="2" t="n">
        <f>HYPERLINK("https://globaldossier.uspto.gov/result/application/US/17479337/1","US20220089586")</f>
        <v>0.0</v>
      </c>
      <c r="M543" t="s">
        <v>3842</v>
      </c>
      <c r="N543" t="s">
        <v>3843</v>
      </c>
      <c r="O543" t="s">
        <v>3844</v>
      </c>
      <c r="P543" t="s">
        <v>3845</v>
      </c>
      <c r="Q543" s="3" t="n">
        <v>44459.0</v>
      </c>
      <c r="R543" s="3" t="n">
        <v>44644.0</v>
      </c>
      <c r="S543" s="3" t="n">
        <v>44650.23067125</v>
      </c>
      <c r="T543" s="3" t="n">
        <v>44719.581023831015</v>
      </c>
      <c r="U543" t="s">
        <v>31</v>
      </c>
      <c r="V543" t="s">
        <v>3846</v>
      </c>
    </row>
    <row r="544">
      <c r="A544" t="s">
        <v>22</v>
      </c>
      <c r="B544" t="s">
        <v>3847</v>
      </c>
      <c r="C544" t="s">
        <v>60</v>
      </c>
      <c r="D544" t="s">
        <v>61</v>
      </c>
      <c r="E544" t="s">
        <v>3848</v>
      </c>
      <c r="F544" s="2" t="n">
        <f>HYPERLINK("https://patents.google.com/patent/US20220089105","Google")</f>
        <v>0.0</v>
      </c>
      <c r="G544" s="2" t="n">
        <f>HYPERLINK("https://patentcenter.uspto.gov/applications/17411415","Patent Center")</f>
        <v>0.0</v>
      </c>
      <c r="H544" s="2" t="n">
        <f>HYPERLINK("https://worldwide.espacenet.com/patent/search?q=US20220089105","Espacenet")</f>
        <v>0.0</v>
      </c>
      <c r="I544" s="2" t="n">
        <f>HYPERLINK("https://ppubs.uspto.gov/pubwebapp/external.html?q=20220089105.pn.","USPTO")</f>
        <v>0.0</v>
      </c>
      <c r="J544" s="2" t="n">
        <f>HYPERLINK("https://image-ppubs.uspto.gov/dirsearch-public/print/downloadPdf/20220089105","USPTO PDF")</f>
        <v>0.0</v>
      </c>
      <c r="K544" s="2" t="n">
        <f>HYPERLINK("https://sectors.patentforecast.com/pmd/US20220089105","PMD")</f>
        <v>0.0</v>
      </c>
      <c r="L544" s="2" t="n">
        <f>HYPERLINK("https://globaldossier.uspto.gov/result/application/US/17411415/1","US20220089105")</f>
        <v>0.0</v>
      </c>
      <c r="M544" t="s">
        <v>3849</v>
      </c>
      <c r="N544" t="s">
        <v>3850</v>
      </c>
      <c r="O544" t="s">
        <v>3850</v>
      </c>
      <c r="P544" t="s">
        <v>3851</v>
      </c>
      <c r="Q544" s="3" t="n">
        <v>44433.0</v>
      </c>
      <c r="R544" s="3" t="n">
        <v>44644.0</v>
      </c>
      <c r="S544" s="3" t="n">
        <v>44650.23067125</v>
      </c>
      <c r="T544" s="3" t="n">
        <v>44658.61891597222</v>
      </c>
      <c r="U544" t="s">
        <v>31</v>
      </c>
      <c r="V544" t="s">
        <v>3852</v>
      </c>
    </row>
    <row r="545">
      <c r="A545" t="s">
        <v>22</v>
      </c>
      <c r="B545" t="s">
        <v>3853</v>
      </c>
      <c r="C545" t="s">
        <v>24</v>
      </c>
      <c r="D545" t="s">
        <v>25</v>
      </c>
      <c r="E545" t="s">
        <v>3854</v>
      </c>
      <c r="F545" s="2" t="n">
        <f>HYPERLINK("https://patents.google.com/patent/US20220088601","Google")</f>
        <v>0.0</v>
      </c>
      <c r="G545" s="2" t="n">
        <f>HYPERLINK("https://patentcenter.uspto.gov/applications/17412354","Patent Center")</f>
        <v>0.0</v>
      </c>
      <c r="H545" s="2" t="n">
        <f>HYPERLINK("https://worldwide.espacenet.com/patent/search?q=US20220088601","Espacenet")</f>
        <v>0.0</v>
      </c>
      <c r="I545" s="2" t="n">
        <f>HYPERLINK("https://ppubs.uspto.gov/pubwebapp/external.html?q=20220088601.pn.","USPTO")</f>
        <v>0.0</v>
      </c>
      <c r="J545" s="2" t="n">
        <f>HYPERLINK("https://image-ppubs.uspto.gov/dirsearch-public/print/downloadPdf/20220088601","USPTO PDF")</f>
        <v>0.0</v>
      </c>
      <c r="K545" s="2" t="n">
        <f>HYPERLINK("https://sectors.patentforecast.com/pmd/US20220088601","PMD")</f>
        <v>0.0</v>
      </c>
      <c r="L545" s="2" t="n">
        <f>HYPERLINK("https://globaldossier.uspto.gov/result/application/US/17412354/1","US20220088601")</f>
        <v>0.0</v>
      </c>
      <c r="M545" t="s">
        <v>3855</v>
      </c>
      <c r="N545" t="s">
        <v>3856</v>
      </c>
      <c r="O545" t="s">
        <v>3857</v>
      </c>
      <c r="P545" t="s">
        <v>3858</v>
      </c>
      <c r="Q545" s="3" t="n">
        <v>44434.0</v>
      </c>
      <c r="R545" s="3" t="n">
        <v>44644.0</v>
      </c>
      <c r="S545" s="3" t="n">
        <v>44650.23067125</v>
      </c>
      <c r="T545" s="3" t="n">
        <v>44658.65682181713</v>
      </c>
      <c r="U545" t="s">
        <v>3859</v>
      </c>
      <c r="V545" t="s">
        <v>3860</v>
      </c>
    </row>
    <row r="546">
      <c r="A546" t="s">
        <v>22</v>
      </c>
      <c r="B546" t="s">
        <v>3861</v>
      </c>
      <c r="C546" t="s">
        <v>24</v>
      </c>
      <c r="D546" t="s">
        <v>25</v>
      </c>
      <c r="E546" t="s">
        <v>3862</v>
      </c>
      <c r="F546" s="2" t="n">
        <f>HYPERLINK("https://patents.google.com/patent/US20220088584","Google")</f>
        <v>0.0</v>
      </c>
      <c r="G546" s="2" t="n">
        <f>HYPERLINK("https://patentcenter.uspto.gov/applications/17484842","Patent Center")</f>
        <v>0.0</v>
      </c>
      <c r="H546" s="2" t="n">
        <f>HYPERLINK("https://worldwide.espacenet.com/patent/search?q=US20220088584","Espacenet")</f>
        <v>0.0</v>
      </c>
      <c r="I546" s="2" t="n">
        <f>HYPERLINK("https://ppubs.uspto.gov/pubwebapp/external.html?q=20220088584.pn.","USPTO")</f>
        <v>0.0</v>
      </c>
      <c r="J546" s="2" t="n">
        <f>HYPERLINK("https://image-ppubs.uspto.gov/dirsearch-public/print/downloadPdf/20220088584","USPTO PDF")</f>
        <v>0.0</v>
      </c>
      <c r="K546" s="2" t="n">
        <f>HYPERLINK("https://sectors.patentforecast.com/pmd/US20220088584","PMD")</f>
        <v>0.0</v>
      </c>
      <c r="L546" s="2" t="n">
        <f>HYPERLINK("https://globaldossier.uspto.gov/result/application/US/17484842/1","US20220088584")</f>
        <v>0.0</v>
      </c>
      <c r="M546" t="s">
        <v>3863</v>
      </c>
      <c r="N546" t="s">
        <v>3864</v>
      </c>
      <c r="O546" t="s">
        <v>3865</v>
      </c>
      <c r="P546" t="s">
        <v>3866</v>
      </c>
      <c r="Q546" s="3" t="n">
        <v>44463.0</v>
      </c>
      <c r="R546" s="3" t="n">
        <v>44644.0</v>
      </c>
      <c r="S546" s="3" t="n">
        <v>44650.23067125</v>
      </c>
      <c r="T546" s="3" t="n">
        <v>44658.658661747686</v>
      </c>
      <c r="U546" t="s">
        <v>3867</v>
      </c>
      <c r="V546" t="s">
        <v>3868</v>
      </c>
    </row>
    <row r="547">
      <c r="A547" t="s">
        <v>22</v>
      </c>
      <c r="B547" t="s">
        <v>3869</v>
      </c>
      <c r="C547" t="s">
        <v>60</v>
      </c>
      <c r="D547" t="s">
        <v>715</v>
      </c>
      <c r="E547" t="s">
        <v>3870</v>
      </c>
      <c r="F547" s="2" t="n">
        <f>HYPERLINK("https://patents.google.com/patent/US20220088424","Google")</f>
        <v>0.0</v>
      </c>
      <c r="G547" s="2" t="n">
        <f>HYPERLINK("https://patentcenter.uspto.gov/applications/17483159","Patent Center")</f>
        <v>0.0</v>
      </c>
      <c r="H547" s="2" t="n">
        <f>HYPERLINK("https://worldwide.espacenet.com/patent/search?q=US20220088424","Espacenet")</f>
        <v>0.0</v>
      </c>
      <c r="I547" s="2" t="n">
        <f>HYPERLINK("https://ppubs.uspto.gov/pubwebapp/external.html?q=20220088424.pn.","USPTO")</f>
        <v>0.0</v>
      </c>
      <c r="J547" s="2" t="n">
        <f>HYPERLINK("https://image-ppubs.uspto.gov/dirsearch-public/print/downloadPdf/20220088424","USPTO PDF")</f>
        <v>0.0</v>
      </c>
      <c r="K547" s="2" t="n">
        <f>HYPERLINK("https://sectors.patentforecast.com/pmd/US20220088424","PMD")</f>
        <v>0.0</v>
      </c>
      <c r="L547" s="2" t="n">
        <f>HYPERLINK("https://globaldossier.uspto.gov/result/application/US/17483159/1","US20220088424")</f>
        <v>0.0</v>
      </c>
      <c r="M547" t="s">
        <v>3871</v>
      </c>
      <c r="N547" t="s">
        <v>3872</v>
      </c>
      <c r="O547" t="s">
        <v>3873</v>
      </c>
      <c r="P547" t="s">
        <v>3874</v>
      </c>
      <c r="Q547" s="3" t="n">
        <v>44462.0</v>
      </c>
      <c r="R547" s="3" t="n">
        <v>44644.0</v>
      </c>
      <c r="S547" s="3" t="n">
        <v>44650.23067125</v>
      </c>
      <c r="T547" s="3" t="n">
        <v>44678.64606744213</v>
      </c>
      <c r="U547" t="s">
        <v>3875</v>
      </c>
      <c r="V547" t="s">
        <v>3876</v>
      </c>
    </row>
    <row r="548">
      <c r="A548" t="s">
        <v>22</v>
      </c>
      <c r="B548" t="s">
        <v>3877</v>
      </c>
      <c r="C548" t="s">
        <v>24</v>
      </c>
      <c r="D548" t="s">
        <v>69</v>
      </c>
      <c r="E548" t="s">
        <v>3878</v>
      </c>
      <c r="F548" s="2" t="n">
        <f>HYPERLINK("https://patents.google.com/patent/US20220088423","Google")</f>
        <v>0.0</v>
      </c>
      <c r="G548" s="2" t="n">
        <f>HYPERLINK("https://patentcenter.uspto.gov/applications/17462351","Patent Center")</f>
        <v>0.0</v>
      </c>
      <c r="H548" s="2" t="n">
        <f>HYPERLINK("https://worldwide.espacenet.com/patent/search?q=US20220088423","Espacenet")</f>
        <v>0.0</v>
      </c>
      <c r="I548" s="2" t="n">
        <f>HYPERLINK("https://ppubs.uspto.gov/pubwebapp/external.html?q=20220088423.pn.","USPTO")</f>
        <v>0.0</v>
      </c>
      <c r="J548" s="2" t="n">
        <f>HYPERLINK("https://image-ppubs.uspto.gov/dirsearch-public/print/downloadPdf/20220088423","USPTO PDF")</f>
        <v>0.0</v>
      </c>
      <c r="K548" s="2" t="n">
        <f>HYPERLINK("https://sectors.patentforecast.com/pmd/US20220088423","PMD")</f>
        <v>0.0</v>
      </c>
      <c r="L548" s="2" t="n">
        <f>HYPERLINK("https://globaldossier.uspto.gov/result/application/US/17462351/1","US20220088423")</f>
        <v>0.0</v>
      </c>
      <c r="M548" t="s">
        <v>3879</v>
      </c>
      <c r="N548" t="s">
        <v>3872</v>
      </c>
      <c r="O548" t="s">
        <v>3873</v>
      </c>
      <c r="P548" t="s">
        <v>3874</v>
      </c>
      <c r="Q548" s="3" t="n">
        <v>44439.0</v>
      </c>
      <c r="R548" s="3" t="n">
        <v>44644.0</v>
      </c>
      <c r="S548" s="3" t="n">
        <v>44650.231133194444</v>
      </c>
      <c r="T548" s="3" t="n">
        <v>44672.456294166666</v>
      </c>
      <c r="U548" t="s">
        <v>31</v>
      </c>
      <c r="V548" t="s">
        <v>3880</v>
      </c>
    </row>
    <row r="549">
      <c r="A549" t="s">
        <v>22</v>
      </c>
      <c r="B549" t="s">
        <v>3881</v>
      </c>
      <c r="C549" t="s">
        <v>24</v>
      </c>
      <c r="D549" t="s">
        <v>69</v>
      </c>
      <c r="E549" t="s">
        <v>3882</v>
      </c>
      <c r="F549" s="2" t="n">
        <f>HYPERLINK("https://patents.google.com/patent/US20220088421","Google")</f>
        <v>0.0</v>
      </c>
      <c r="G549" s="2" t="n">
        <f>HYPERLINK("https://patentcenter.uspto.gov/applications/17147038","Patent Center")</f>
        <v>0.0</v>
      </c>
      <c r="H549" s="2" t="n">
        <f>HYPERLINK("https://worldwide.espacenet.com/patent/search?q=US20220088421","Espacenet")</f>
        <v>0.0</v>
      </c>
      <c r="I549" s="2" t="n">
        <f>HYPERLINK("https://ppubs.uspto.gov/pubwebapp/external.html?q=20220088421.pn.","USPTO")</f>
        <v>0.0</v>
      </c>
      <c r="J549" s="2" t="n">
        <f>HYPERLINK("https://image-ppubs.uspto.gov/dirsearch-public/print/downloadPdf/20220088421","USPTO PDF")</f>
        <v>0.0</v>
      </c>
      <c r="K549" s="2" t="n">
        <f>HYPERLINK("https://sectors.patentforecast.com/pmd/US20220088421","PMD")</f>
        <v>0.0</v>
      </c>
      <c r="L549" s="2" t="n">
        <f>HYPERLINK("https://globaldossier.uspto.gov/result/application/US/17147038/1","US20220088421")</f>
        <v>0.0</v>
      </c>
      <c r="M549" t="s">
        <v>3883</v>
      </c>
      <c r="N549" t="s">
        <v>3884</v>
      </c>
      <c r="O549" t="s">
        <v>3885</v>
      </c>
      <c r="P549" t="s">
        <v>3886</v>
      </c>
      <c r="Q549" s="3" t="n">
        <v>44208.0</v>
      </c>
      <c r="R549" s="3" t="n">
        <v>44644.0</v>
      </c>
      <c r="S549" s="3" t="n">
        <v>44650.231133194444</v>
      </c>
      <c r="T549" s="3" t="n">
        <v>44658.59364530093</v>
      </c>
      <c r="U549" t="s">
        <v>31</v>
      </c>
      <c r="V549" t="s">
        <v>3887</v>
      </c>
    </row>
    <row r="550">
      <c r="A550" t="s">
        <v>22</v>
      </c>
      <c r="B550" t="s">
        <v>3888</v>
      </c>
      <c r="C550" t="s">
        <v>24</v>
      </c>
      <c r="D550" t="s">
        <v>69</v>
      </c>
      <c r="E550" t="s">
        <v>3889</v>
      </c>
      <c r="F550" s="2" t="n">
        <f>HYPERLINK("https://patents.google.com/patent/US20220088420","Google")</f>
        <v>0.0</v>
      </c>
      <c r="G550" s="2" t="n">
        <f>HYPERLINK("https://patentcenter.uspto.gov/applications/17481283","Patent Center")</f>
        <v>0.0</v>
      </c>
      <c r="H550" s="2" t="n">
        <f>HYPERLINK("https://worldwide.espacenet.com/patent/search?q=US20220088420","Espacenet")</f>
        <v>0.0</v>
      </c>
      <c r="I550" s="2" t="n">
        <f>HYPERLINK("https://ppubs.uspto.gov/pubwebapp/external.html?q=20220088420.pn.","USPTO")</f>
        <v>0.0</v>
      </c>
      <c r="J550" s="2" t="n">
        <f>HYPERLINK("https://image-ppubs.uspto.gov/dirsearch-public/print/downloadPdf/20220088420","USPTO PDF")</f>
        <v>0.0</v>
      </c>
      <c r="K550" s="2" t="n">
        <f>HYPERLINK("https://sectors.patentforecast.com/pmd/US20220088420","PMD")</f>
        <v>0.0</v>
      </c>
      <c r="L550" s="2" t="n">
        <f>HYPERLINK("https://globaldossier.uspto.gov/result/application/US/17481283/1","US20220088420")</f>
        <v>0.0</v>
      </c>
      <c r="M550" t="s">
        <v>3890</v>
      </c>
      <c r="N550" t="s">
        <v>3891</v>
      </c>
      <c r="O550" t="s">
        <v>3892</v>
      </c>
      <c r="P550" t="s">
        <v>3893</v>
      </c>
      <c r="Q550" s="3" t="n">
        <v>44460.0</v>
      </c>
      <c r="R550" s="3" t="n">
        <v>44644.0</v>
      </c>
      <c r="S550" s="3" t="n">
        <v>44650.231133194444</v>
      </c>
      <c r="T550" s="3" t="n">
        <v>44672.45531128472</v>
      </c>
      <c r="U550" t="s">
        <v>3894</v>
      </c>
      <c r="V550" t="s">
        <v>3895</v>
      </c>
    </row>
    <row r="551">
      <c r="A551" t="s">
        <v>22</v>
      </c>
      <c r="B551" t="s">
        <v>3896</v>
      </c>
      <c r="C551" t="s">
        <v>60</v>
      </c>
      <c r="D551" t="s">
        <v>61</v>
      </c>
      <c r="E551" t="s">
        <v>3897</v>
      </c>
      <c r="F551" s="2" t="n">
        <f>HYPERLINK("https://patents.google.com/patent/US20220088403","Google")</f>
        <v>0.0</v>
      </c>
      <c r="G551" s="2" t="n">
        <f>HYPERLINK("https://patentcenter.uspto.gov/applications/17478174","Patent Center")</f>
        <v>0.0</v>
      </c>
      <c r="H551" s="2" t="n">
        <f>HYPERLINK("https://worldwide.espacenet.com/patent/search?q=US20220088403","Espacenet")</f>
        <v>0.0</v>
      </c>
      <c r="I551" s="2" t="n">
        <f>HYPERLINK("https://ppubs.uspto.gov/pubwebapp/external.html?q=20220088403.pn.","USPTO")</f>
        <v>0.0</v>
      </c>
      <c r="J551" s="2" t="n">
        <f>HYPERLINK("https://image-ppubs.uspto.gov/dirsearch-public/print/downloadPdf/20220088403","USPTO PDF")</f>
        <v>0.0</v>
      </c>
      <c r="K551" s="2" t="n">
        <f>HYPERLINK("https://sectors.patentforecast.com/pmd/US20220088403","PMD")</f>
        <v>0.0</v>
      </c>
      <c r="L551" s="2" t="n">
        <f>HYPERLINK("https://globaldossier.uspto.gov/result/application/US/17478174/1","US20220088403")</f>
        <v>0.0</v>
      </c>
      <c r="M551" t="s">
        <v>3898</v>
      </c>
      <c r="N551" t="s">
        <v>3899</v>
      </c>
      <c r="O551" t="s">
        <v>3900</v>
      </c>
      <c r="P551" t="s">
        <v>3901</v>
      </c>
      <c r="Q551" s="3" t="n">
        <v>44456.0</v>
      </c>
      <c r="R551" s="3" t="n">
        <v>44644.0</v>
      </c>
      <c r="S551" s="3" t="n">
        <v>44650.231133194444</v>
      </c>
      <c r="T551" s="3" t="n">
        <v>44658.63731224537</v>
      </c>
      <c r="U551" t="s">
        <v>3902</v>
      </c>
      <c r="V551" t="s">
        <v>3903</v>
      </c>
    </row>
    <row r="552">
      <c r="A552" t="s">
        <v>22</v>
      </c>
      <c r="B552" t="s">
        <v>3904</v>
      </c>
      <c r="C552" t="s">
        <v>24</v>
      </c>
      <c r="D552" t="s">
        <v>69</v>
      </c>
      <c r="E552" t="s">
        <v>3905</v>
      </c>
      <c r="F552" s="2" t="n">
        <f>HYPERLINK("https://patents.google.com/patent/US20220088337","Google")</f>
        <v>0.0</v>
      </c>
      <c r="G552" s="2" t="n">
        <f>HYPERLINK("https://patentcenter.uspto.gov/applications/17468967","Patent Center")</f>
        <v>0.0</v>
      </c>
      <c r="H552" s="2" t="n">
        <f>HYPERLINK("https://worldwide.espacenet.com/patent/search?q=US20220088337","Espacenet")</f>
        <v>0.0</v>
      </c>
      <c r="I552" s="2" t="n">
        <f>HYPERLINK("https://ppubs.uspto.gov/pubwebapp/external.html?q=20220088337.pn.","USPTO")</f>
        <v>0.0</v>
      </c>
      <c r="J552" s="2" t="n">
        <f>HYPERLINK("https://image-ppubs.uspto.gov/dirsearch-public/print/downloadPdf/20220088337","USPTO PDF")</f>
        <v>0.0</v>
      </c>
      <c r="K552" s="2" t="n">
        <f>HYPERLINK("https://sectors.patentforecast.com/pmd/US20220088337","PMD")</f>
        <v>0.0</v>
      </c>
      <c r="L552" s="2" t="n">
        <f>HYPERLINK("https://globaldossier.uspto.gov/result/application/US/17468967/1","US20220088337")</f>
        <v>0.0</v>
      </c>
      <c r="M552" t="s">
        <v>3906</v>
      </c>
      <c r="N552" t="s">
        <v>3907</v>
      </c>
      <c r="O552" t="s">
        <v>3907</v>
      </c>
      <c r="P552" t="s">
        <v>3908</v>
      </c>
      <c r="Q552" s="3" t="n">
        <v>44447.0</v>
      </c>
      <c r="R552" s="3" t="n">
        <v>44644.0</v>
      </c>
      <c r="S552" s="3" t="n">
        <v>44650.231133194444</v>
      </c>
      <c r="T552" s="3" t="n">
        <v>44719.58121041667</v>
      </c>
      <c r="U552" t="s">
        <v>31</v>
      </c>
      <c r="V552" t="s">
        <v>3909</v>
      </c>
    </row>
    <row r="553">
      <c r="A553" t="s">
        <v>22</v>
      </c>
      <c r="B553" t="s">
        <v>3910</v>
      </c>
      <c r="C553" t="s">
        <v>24</v>
      </c>
      <c r="D553" t="s">
        <v>204</v>
      </c>
      <c r="E553" t="s">
        <v>3911</v>
      </c>
      <c r="F553" s="2" t="n">
        <f>HYPERLINK("https://patents.google.com/patent/US20220088332","Google")</f>
        <v>0.0</v>
      </c>
      <c r="G553" s="2" t="n">
        <f>HYPERLINK("https://patentcenter.uspto.gov/applications/17544631","Patent Center")</f>
        <v>0.0</v>
      </c>
      <c r="H553" s="2" t="n">
        <f>HYPERLINK("https://worldwide.espacenet.com/patent/search?q=US20220088332","Espacenet")</f>
        <v>0.0</v>
      </c>
      <c r="I553" s="2" t="n">
        <f>HYPERLINK("https://ppubs.uspto.gov/pubwebapp/external.html?q=20220088332.pn.","USPTO")</f>
        <v>0.0</v>
      </c>
      <c r="J553" s="2" t="n">
        <f>HYPERLINK("https://image-ppubs.uspto.gov/dirsearch-public/print/downloadPdf/20220088332","USPTO PDF")</f>
        <v>0.0</v>
      </c>
      <c r="K553" s="2" t="n">
        <f>HYPERLINK("https://sectors.patentforecast.com/pmd/US20220088332","PMD")</f>
        <v>0.0</v>
      </c>
      <c r="L553" s="2" t="n">
        <f>HYPERLINK("https://globaldossier.uspto.gov/result/application/US/17544631/1","US20220088332")</f>
        <v>0.0</v>
      </c>
      <c r="M553" t="s">
        <v>3912</v>
      </c>
      <c r="N553" t="s">
        <v>1196</v>
      </c>
      <c r="O553" t="s">
        <v>1196</v>
      </c>
      <c r="P553" t="s">
        <v>3913</v>
      </c>
      <c r="Q553" s="3" t="n">
        <v>44537.0</v>
      </c>
      <c r="R553" s="3" t="n">
        <v>44644.0</v>
      </c>
      <c r="S553" s="3" t="n">
        <v>44650.231133194444</v>
      </c>
      <c r="T553" s="3" t="n">
        <v>44719.58136733796</v>
      </c>
      <c r="U553" t="s">
        <v>3914</v>
      </c>
      <c r="V553" t="s">
        <v>3915</v>
      </c>
    </row>
    <row r="554">
      <c r="A554" t="s">
        <v>22</v>
      </c>
      <c r="B554" t="s">
        <v>3916</v>
      </c>
      <c r="C554" t="s">
        <v>24</v>
      </c>
      <c r="D554" t="s">
        <v>69</v>
      </c>
      <c r="E554" t="s">
        <v>3917</v>
      </c>
      <c r="F554" s="2" t="n">
        <f>HYPERLINK("https://patents.google.com/patent/US20220088260","Google")</f>
        <v>0.0</v>
      </c>
      <c r="G554" s="2" t="n">
        <f>HYPERLINK("https://patentcenter.uspto.gov/applications/17025010","Patent Center")</f>
        <v>0.0</v>
      </c>
      <c r="H554" s="2" t="n">
        <f>HYPERLINK("https://worldwide.espacenet.com/patent/search?q=US20220088260","Espacenet")</f>
        <v>0.0</v>
      </c>
      <c r="I554" s="2" t="n">
        <f>HYPERLINK("https://ppubs.uspto.gov/pubwebapp/external.html?q=20220088260.pn.","USPTO")</f>
        <v>0.0</v>
      </c>
      <c r="J554" s="2" t="n">
        <f>HYPERLINK("https://image-ppubs.uspto.gov/dirsearch-public/print/downloadPdf/20220088260","USPTO PDF")</f>
        <v>0.0</v>
      </c>
      <c r="K554" s="2" t="n">
        <f>HYPERLINK("https://sectors.patentforecast.com/pmd/US20220088260","PMD")</f>
        <v>0.0</v>
      </c>
      <c r="L554" s="2" t="n">
        <f>HYPERLINK("https://globaldossier.uspto.gov/result/application/US/17025010/1","US20220088260")</f>
        <v>0.0</v>
      </c>
      <c r="M554" t="s">
        <v>3918</v>
      </c>
      <c r="N554" t="s">
        <v>3919</v>
      </c>
      <c r="O554" t="s">
        <v>3919</v>
      </c>
      <c r="P554" t="s">
        <v>3920</v>
      </c>
      <c r="Q554" s="3" t="n">
        <v>44092.0</v>
      </c>
      <c r="R554" s="3" t="n">
        <v>44644.0</v>
      </c>
      <c r="S554" s="3" t="n">
        <v>44650.231133194444</v>
      </c>
      <c r="T554" s="3" t="n">
        <v>44658.615826967594</v>
      </c>
      <c r="U554" t="s">
        <v>31</v>
      </c>
      <c r="V554" t="s">
        <v>3921</v>
      </c>
    </row>
    <row r="555">
      <c r="A555" t="s">
        <v>22</v>
      </c>
      <c r="B555" t="s">
        <v>3922</v>
      </c>
      <c r="C555" t="s">
        <v>24</v>
      </c>
      <c r="D555" t="s">
        <v>100</v>
      </c>
      <c r="E555" t="s">
        <v>3923</v>
      </c>
      <c r="F555" s="2" t="n">
        <f>HYPERLINK("https://patents.google.com/patent/US20220088259","Google")</f>
        <v>0.0</v>
      </c>
      <c r="G555" s="2" t="n">
        <f>HYPERLINK("https://patentcenter.uspto.gov/applications/17469832","Patent Center")</f>
        <v>0.0</v>
      </c>
      <c r="H555" s="2" t="n">
        <f>HYPERLINK("https://worldwide.espacenet.com/patent/search?q=US20220088259","Espacenet")</f>
        <v>0.0</v>
      </c>
      <c r="I555" s="2" t="n">
        <f>HYPERLINK("https://ppubs.uspto.gov/pubwebapp/external.html?q=20220088259.pn.","USPTO")</f>
        <v>0.0</v>
      </c>
      <c r="J555" s="2" t="n">
        <f>HYPERLINK("https://image-ppubs.uspto.gov/dirsearch-public/print/downloadPdf/20220088259","USPTO PDF")</f>
        <v>0.0</v>
      </c>
      <c r="K555" s="2" t="n">
        <f>HYPERLINK("https://sectors.patentforecast.com/pmd/US20220088259","PMD")</f>
        <v>0.0</v>
      </c>
      <c r="L555" s="2" t="n">
        <f>HYPERLINK("https://globaldossier.uspto.gov/result/application/US/17469832/1","US20220088259")</f>
        <v>0.0</v>
      </c>
      <c r="M555" t="s">
        <v>3924</v>
      </c>
      <c r="N555" t="s">
        <v>3434</v>
      </c>
      <c r="O555" t="s">
        <v>3435</v>
      </c>
      <c r="P555" t="s">
        <v>3925</v>
      </c>
      <c r="Q555" s="3" t="n">
        <v>44447.0</v>
      </c>
      <c r="R555" s="3" t="n">
        <v>44644.0</v>
      </c>
      <c r="S555" s="3" t="n">
        <v>44650.231133194444</v>
      </c>
      <c r="T555" s="3" t="n">
        <v>44658.61031743055</v>
      </c>
      <c r="U555" t="s">
        <v>3926</v>
      </c>
      <c r="V555" t="s">
        <v>3927</v>
      </c>
    </row>
    <row r="556">
      <c r="A556" t="s">
        <v>22</v>
      </c>
      <c r="B556" t="s">
        <v>3928</v>
      </c>
      <c r="C556" t="s">
        <v>24</v>
      </c>
      <c r="D556" t="s">
        <v>100</v>
      </c>
      <c r="E556" t="s">
        <v>3929</v>
      </c>
      <c r="F556" s="2" t="n">
        <f>HYPERLINK("https://patents.google.com/patent/US20220088247","Google")</f>
        <v>0.0</v>
      </c>
      <c r="G556" s="2" t="n">
        <f>HYPERLINK("https://patentcenter.uspto.gov/applications/17467256","Patent Center")</f>
        <v>0.0</v>
      </c>
      <c r="H556" s="2" t="n">
        <f>HYPERLINK("https://worldwide.espacenet.com/patent/search?q=US20220088247","Espacenet")</f>
        <v>0.0</v>
      </c>
      <c r="I556" s="2" t="n">
        <f>HYPERLINK("https://ppubs.uspto.gov/pubwebapp/external.html?q=20220088247.pn.","USPTO")</f>
        <v>0.0</v>
      </c>
      <c r="J556" s="2" t="n">
        <f>HYPERLINK("https://image-ppubs.uspto.gov/dirsearch-public/print/downloadPdf/20220088247","USPTO PDF")</f>
        <v>0.0</v>
      </c>
      <c r="K556" s="2" t="n">
        <f>HYPERLINK("https://sectors.patentforecast.com/pmd/US20220088247","PMD")</f>
        <v>0.0</v>
      </c>
      <c r="L556" s="2" t="n">
        <f>HYPERLINK("https://globaldossier.uspto.gov/result/application/US/17467256/1","US20220088247")</f>
        <v>0.0</v>
      </c>
      <c r="M556" t="s">
        <v>3930</v>
      </c>
      <c r="N556" t="s">
        <v>3931</v>
      </c>
      <c r="O556" t="s">
        <v>3932</v>
      </c>
      <c r="P556" t="s">
        <v>3933</v>
      </c>
      <c r="Q556" s="3" t="n">
        <v>44444.0</v>
      </c>
      <c r="R556" s="3" t="n">
        <v>44644.0</v>
      </c>
      <c r="S556" s="3" t="n">
        <v>44650.231133194444</v>
      </c>
      <c r="T556" s="3" t="n">
        <v>44719.58149280093</v>
      </c>
      <c r="U556" t="s">
        <v>31</v>
      </c>
      <c r="V556" t="s">
        <v>3934</v>
      </c>
    </row>
    <row r="557">
      <c r="A557" t="s">
        <v>22</v>
      </c>
      <c r="B557" t="s">
        <v>3935</v>
      </c>
      <c r="C557" t="s">
        <v>24</v>
      </c>
      <c r="D557" t="s">
        <v>100</v>
      </c>
      <c r="E557" t="s">
        <v>3936</v>
      </c>
      <c r="F557" s="2" t="n">
        <f>HYPERLINK("https://patents.google.com/patent/US20220088244","Google")</f>
        <v>0.0</v>
      </c>
      <c r="G557" s="2" t="n">
        <f>HYPERLINK("https://patentcenter.uspto.gov/applications/17480793","Patent Center")</f>
        <v>0.0</v>
      </c>
      <c r="H557" s="2" t="n">
        <f>HYPERLINK("https://worldwide.espacenet.com/patent/search?q=US20220088244","Espacenet")</f>
        <v>0.0</v>
      </c>
      <c r="I557" s="2" t="n">
        <f>HYPERLINK("https://ppubs.uspto.gov/pubwebapp/external.html?q=20220088244.pn.","USPTO")</f>
        <v>0.0</v>
      </c>
      <c r="J557" s="2" t="n">
        <f>HYPERLINK("https://image-ppubs.uspto.gov/dirsearch-public/print/downloadPdf/20220088244","USPTO PDF")</f>
        <v>0.0</v>
      </c>
      <c r="K557" s="2" t="n">
        <f>HYPERLINK("https://sectors.patentforecast.com/pmd/US20220088244","PMD")</f>
        <v>0.0</v>
      </c>
      <c r="L557" s="2" t="n">
        <f>HYPERLINK("https://globaldossier.uspto.gov/result/application/US/17480793/1","US20220088244")</f>
        <v>0.0</v>
      </c>
      <c r="M557" t="s">
        <v>3937</v>
      </c>
      <c r="N557" t="s">
        <v>3938</v>
      </c>
      <c r="O557" t="s">
        <v>3939</v>
      </c>
      <c r="P557" t="s">
        <v>3940</v>
      </c>
      <c r="Q557" s="3" t="n">
        <v>44460.0</v>
      </c>
      <c r="R557" s="3" t="n">
        <v>44644.0</v>
      </c>
      <c r="S557" s="3" t="n">
        <v>44650.231133194444</v>
      </c>
      <c r="T557" s="3" t="n">
        <v>44719.58154006944</v>
      </c>
      <c r="U557" t="s">
        <v>3941</v>
      </c>
      <c r="V557" t="s">
        <v>3942</v>
      </c>
    </row>
    <row r="558">
      <c r="A558" t="s">
        <v>22</v>
      </c>
      <c r="B558" t="s">
        <v>3943</v>
      </c>
      <c r="C558" t="s">
        <v>24</v>
      </c>
      <c r="D558" t="s">
        <v>100</v>
      </c>
      <c r="E558" t="s">
        <v>3944</v>
      </c>
      <c r="F558" s="2" t="n">
        <f>HYPERLINK("https://patents.google.com/patent/US20220088237","Google")</f>
        <v>0.0</v>
      </c>
      <c r="G558" s="2" t="n">
        <f>HYPERLINK("https://patentcenter.uspto.gov/applications/17085416","Patent Center")</f>
        <v>0.0</v>
      </c>
      <c r="H558" s="2" t="n">
        <f>HYPERLINK("https://worldwide.espacenet.com/patent/search?q=US20220088237","Espacenet")</f>
        <v>0.0</v>
      </c>
      <c r="I558" s="2" t="n">
        <f>HYPERLINK("https://ppubs.uspto.gov/pubwebapp/external.html?q=20220088237.pn.","USPTO")</f>
        <v>0.0</v>
      </c>
      <c r="J558" s="2" t="n">
        <f>HYPERLINK("https://image-ppubs.uspto.gov/dirsearch-public/print/downloadPdf/20220088237","USPTO PDF")</f>
        <v>0.0</v>
      </c>
      <c r="K558" s="2" t="n">
        <f>HYPERLINK("https://sectors.patentforecast.com/pmd/US20220088237","PMD")</f>
        <v>0.0</v>
      </c>
      <c r="L558" s="2" t="n">
        <f>HYPERLINK("https://globaldossier.uspto.gov/result/application/US/17085416/1","US20220088237")</f>
        <v>0.0</v>
      </c>
      <c r="M558" t="s">
        <v>3945</v>
      </c>
      <c r="N558" t="s">
        <v>3946</v>
      </c>
      <c r="O558" t="s">
        <v>3947</v>
      </c>
      <c r="P558" t="s">
        <v>3948</v>
      </c>
      <c r="Q558" s="3" t="n">
        <v>44134.0</v>
      </c>
      <c r="R558" s="3" t="n">
        <v>44644.0</v>
      </c>
      <c r="S558" s="3" t="n">
        <v>44650.240737789354</v>
      </c>
      <c r="T558" s="3" t="n">
        <v>44658.62137291667</v>
      </c>
      <c r="U558" t="s">
        <v>31</v>
      </c>
      <c r="V558" t="s">
        <v>3949</v>
      </c>
    </row>
    <row r="559">
      <c r="A559" t="s">
        <v>22</v>
      </c>
      <c r="B559" t="s">
        <v>3950</v>
      </c>
      <c r="C559" t="s">
        <v>24</v>
      </c>
      <c r="D559" t="s">
        <v>100</v>
      </c>
      <c r="E559" t="s">
        <v>3951</v>
      </c>
      <c r="F559" s="2" t="n">
        <f>HYPERLINK("https://patents.google.com/patent/US20220088236","Google")</f>
        <v>0.0</v>
      </c>
      <c r="G559" s="2" t="n">
        <f>HYPERLINK("https://patentcenter.uspto.gov/applications/17025261","Patent Center")</f>
        <v>0.0</v>
      </c>
      <c r="H559" s="2" t="n">
        <f>HYPERLINK("https://worldwide.espacenet.com/patent/search?q=US20220088236","Espacenet")</f>
        <v>0.0</v>
      </c>
      <c r="I559" s="2" t="n">
        <f>HYPERLINK("https://ppubs.uspto.gov/pubwebapp/external.html?q=20220088236.pn.","USPTO")</f>
        <v>0.0</v>
      </c>
      <c r="J559" s="2" t="n">
        <f>HYPERLINK("https://image-ppubs.uspto.gov/dirsearch-public/print/downloadPdf/20220088236","USPTO PDF")</f>
        <v>0.0</v>
      </c>
      <c r="K559" s="2" t="n">
        <f>HYPERLINK("https://sectors.patentforecast.com/pmd/US20220088236","PMD")</f>
        <v>0.0</v>
      </c>
      <c r="L559" s="2" t="n">
        <f>HYPERLINK("https://globaldossier.uspto.gov/result/application/US/17025261/1","US20220088236")</f>
        <v>0.0</v>
      </c>
      <c r="M559" t="s">
        <v>3952</v>
      </c>
      <c r="N559" t="s">
        <v>207</v>
      </c>
      <c r="O559" t="s">
        <v>208</v>
      </c>
      <c r="P559" t="s">
        <v>3953</v>
      </c>
      <c r="Q559" s="3" t="n">
        <v>44092.0</v>
      </c>
      <c r="R559" s="3" t="n">
        <v>44644.0</v>
      </c>
      <c r="S559" s="3" t="n">
        <v>44650.231133194444</v>
      </c>
      <c r="T559" s="3" t="n">
        <v>44719.581594247684</v>
      </c>
      <c r="U559" t="s">
        <v>31</v>
      </c>
      <c r="V559" t="s">
        <v>3954</v>
      </c>
    </row>
    <row r="560">
      <c r="A560" t="s">
        <v>22</v>
      </c>
      <c r="B560" t="s">
        <v>3955</v>
      </c>
      <c r="C560" t="s">
        <v>24</v>
      </c>
      <c r="D560" t="s">
        <v>100</v>
      </c>
      <c r="E560" t="s">
        <v>3956</v>
      </c>
      <c r="F560" s="2" t="n">
        <f>HYPERLINK("https://patents.google.com/patent/US20220088234","Google")</f>
        <v>0.0</v>
      </c>
      <c r="G560" s="2" t="n">
        <f>HYPERLINK("https://patentcenter.uspto.gov/applications/17482274","Patent Center")</f>
        <v>0.0</v>
      </c>
      <c r="H560" s="2" t="n">
        <f>HYPERLINK("https://worldwide.espacenet.com/patent/search?q=US20220088234","Espacenet")</f>
        <v>0.0</v>
      </c>
      <c r="I560" s="2" t="n">
        <f>HYPERLINK("https://ppubs.uspto.gov/pubwebapp/external.html?q=20220088234.pn.","USPTO")</f>
        <v>0.0</v>
      </c>
      <c r="J560" s="2" t="n">
        <f>HYPERLINK("https://image-ppubs.uspto.gov/dirsearch-public/print/downloadPdf/20220088234","USPTO PDF")</f>
        <v>0.0</v>
      </c>
      <c r="K560" s="2" t="n">
        <f>HYPERLINK("https://sectors.patentforecast.com/pmd/US20220088234","PMD")</f>
        <v>0.0</v>
      </c>
      <c r="L560" s="2" t="n">
        <f>HYPERLINK("https://globaldossier.uspto.gov/result/application/US/17482274/1","US20220088234")</f>
        <v>0.0</v>
      </c>
      <c r="M560" t="s">
        <v>3957</v>
      </c>
      <c r="N560" t="s">
        <v>3958</v>
      </c>
      <c r="O560" t="s">
        <v>3959</v>
      </c>
      <c r="P560" t="s">
        <v>3960</v>
      </c>
      <c r="Q560" s="3" t="n">
        <v>44461.0</v>
      </c>
      <c r="R560" s="3" t="n">
        <v>44644.0</v>
      </c>
      <c r="S560" s="3" t="n">
        <v>44650.231133194444</v>
      </c>
      <c r="T560" s="3" t="n">
        <v>44658.593907511575</v>
      </c>
      <c r="U560" t="s">
        <v>31</v>
      </c>
      <c r="V560" t="s">
        <v>3961</v>
      </c>
    </row>
    <row r="561">
      <c r="A561" t="s">
        <v>22</v>
      </c>
      <c r="B561" t="s">
        <v>3962</v>
      </c>
      <c r="C561" t="s">
        <v>132</v>
      </c>
      <c r="D561" t="s">
        <v>142</v>
      </c>
      <c r="E561" t="s">
        <v>2323</v>
      </c>
      <c r="F561" s="2" t="n">
        <f>HYPERLINK("https://patents.google.com/patent/US20220088217","Google")</f>
        <v>0.0</v>
      </c>
      <c r="G561" s="2" t="n">
        <f>HYPERLINK("https://patentcenter.uspto.gov/applications/17523457","Patent Center")</f>
        <v>0.0</v>
      </c>
      <c r="H561" s="2" t="n">
        <f>HYPERLINK("https://worldwide.espacenet.com/patent/search?q=US20220088217","Espacenet")</f>
        <v>0.0</v>
      </c>
      <c r="I561" s="2" t="n">
        <f>HYPERLINK("https://ppubs.uspto.gov/pubwebapp/external.html?q=20220088217.pn.","USPTO")</f>
        <v>0.0</v>
      </c>
      <c r="J561" s="2" t="n">
        <f>HYPERLINK("https://image-ppubs.uspto.gov/dirsearch-public/print/downloadPdf/20220088217","USPTO PDF")</f>
        <v>0.0</v>
      </c>
      <c r="K561" s="2" t="n">
        <f>HYPERLINK("https://sectors.patentforecast.com/pmd/US20220088217","PMD")</f>
        <v>0.0</v>
      </c>
      <c r="L561" s="2" t="n">
        <f>HYPERLINK("https://globaldossier.uspto.gov/result/application/US/17523457/1","US20220088217")</f>
        <v>0.0</v>
      </c>
      <c r="M561" t="s">
        <v>3963</v>
      </c>
      <c r="N561" t="s">
        <v>2325</v>
      </c>
      <c r="O561" t="s">
        <v>2326</v>
      </c>
      <c r="P561" t="s">
        <v>2327</v>
      </c>
      <c r="Q561" s="3" t="n">
        <v>44510.0</v>
      </c>
      <c r="R561" s="3" t="n">
        <v>44644.0</v>
      </c>
      <c r="S561" s="3" t="n">
        <v>44650.231133194444</v>
      </c>
      <c r="T561" s="3" t="n">
        <v>44672.391831678244</v>
      </c>
      <c r="U561" t="s">
        <v>3964</v>
      </c>
      <c r="V561" t="s">
        <v>2328</v>
      </c>
    </row>
    <row r="562">
      <c r="A562" t="s">
        <v>22</v>
      </c>
      <c r="B562" t="s">
        <v>3965</v>
      </c>
      <c r="C562" t="s">
        <v>132</v>
      </c>
      <c r="D562" t="s">
        <v>142</v>
      </c>
      <c r="E562" t="s">
        <v>3966</v>
      </c>
      <c r="F562" s="2" t="n">
        <f>HYPERLINK("https://patents.google.com/patent/US20220088186","Google")</f>
        <v>0.0</v>
      </c>
      <c r="G562" s="2" t="n">
        <f>HYPERLINK("https://patentcenter.uspto.gov/applications/17420608","Patent Center")</f>
        <v>0.0</v>
      </c>
      <c r="H562" s="2" t="n">
        <f>HYPERLINK("https://worldwide.espacenet.com/patent/search?q=US20220088186","Espacenet")</f>
        <v>0.0</v>
      </c>
      <c r="I562" s="2" t="n">
        <f>HYPERLINK("https://ppubs.uspto.gov/pubwebapp/external.html?q=20220088186.pn.","USPTO")</f>
        <v>0.0</v>
      </c>
      <c r="J562" s="2" t="n">
        <f>HYPERLINK("https://image-ppubs.uspto.gov/dirsearch-public/print/downloadPdf/20220088186","USPTO PDF")</f>
        <v>0.0</v>
      </c>
      <c r="K562" s="2" t="n">
        <f>HYPERLINK("https://sectors.patentforecast.com/pmd/US20220088186","PMD")</f>
        <v>0.0</v>
      </c>
      <c r="L562" s="2" t="n">
        <f>HYPERLINK("https://globaldossier.uspto.gov/result/application/US/17420608/1","US20220088186")</f>
        <v>0.0</v>
      </c>
      <c r="M562" t="s">
        <v>3967</v>
      </c>
      <c r="N562" t="s">
        <v>3968</v>
      </c>
      <c r="O562" t="s">
        <v>3969</v>
      </c>
      <c r="P562" t="s">
        <v>3970</v>
      </c>
      <c r="Q562" s="3" t="n">
        <v>43837.0</v>
      </c>
      <c r="R562" s="3" t="n">
        <v>44644.0</v>
      </c>
      <c r="S562" s="3" t="n">
        <v>44650.23483482639</v>
      </c>
      <c r="T562" s="3" t="n">
        <v>44658.63375650463</v>
      </c>
      <c r="U562" t="s">
        <v>31</v>
      </c>
      <c r="V562" t="s">
        <v>3971</v>
      </c>
    </row>
    <row r="563">
      <c r="A563" t="s">
        <v>22</v>
      </c>
      <c r="B563" t="s">
        <v>3972</v>
      </c>
      <c r="C563" t="s">
        <v>60</v>
      </c>
      <c r="D563" t="s">
        <v>77</v>
      </c>
      <c r="E563" t="s">
        <v>3973</v>
      </c>
      <c r="F563" s="2" t="n">
        <f>HYPERLINK("https://patents.google.com/patent/US20220088182","Google")</f>
        <v>0.0</v>
      </c>
      <c r="G563" s="2" t="n">
        <f>HYPERLINK("https://patentcenter.uspto.gov/applications/17544293","Patent Center")</f>
        <v>0.0</v>
      </c>
      <c r="H563" s="2" t="n">
        <f>HYPERLINK("https://worldwide.espacenet.com/patent/search?q=US20220088182","Espacenet")</f>
        <v>0.0</v>
      </c>
      <c r="I563" s="2" t="n">
        <f>HYPERLINK("https://ppubs.uspto.gov/pubwebapp/external.html?q=20220088182.pn.","USPTO")</f>
        <v>0.0</v>
      </c>
      <c r="J563" s="2" t="n">
        <f>HYPERLINK("https://image-ppubs.uspto.gov/dirsearch-public/print/downloadPdf/20220088182","USPTO PDF")</f>
        <v>0.0</v>
      </c>
      <c r="K563" s="2" t="n">
        <f>HYPERLINK("https://sectors.patentforecast.com/pmd/US20220088182","PMD")</f>
        <v>0.0</v>
      </c>
      <c r="L563" s="2" t="n">
        <f>HYPERLINK("https://globaldossier.uspto.gov/result/application/US/17544293/1","US20220088182")</f>
        <v>0.0</v>
      </c>
      <c r="M563" t="s">
        <v>3974</v>
      </c>
      <c r="N563" t="s">
        <v>3975</v>
      </c>
      <c r="O563" t="s">
        <v>3976</v>
      </c>
      <c r="P563" t="s">
        <v>3977</v>
      </c>
      <c r="Q563" s="3" t="n">
        <v>44537.0</v>
      </c>
      <c r="R563" s="3" t="n">
        <v>44644.0</v>
      </c>
      <c r="S563" s="3" t="n">
        <v>44650.231133194444</v>
      </c>
      <c r="T563" s="3" t="n">
        <v>44658.601775</v>
      </c>
      <c r="U563" t="s">
        <v>3978</v>
      </c>
      <c r="V563" t="s">
        <v>3979</v>
      </c>
    </row>
    <row r="564">
      <c r="A564" t="s">
        <v>22</v>
      </c>
      <c r="B564" t="s">
        <v>3980</v>
      </c>
      <c r="C564" t="s">
        <v>60</v>
      </c>
      <c r="D564" t="s">
        <v>61</v>
      </c>
      <c r="E564" t="s">
        <v>3981</v>
      </c>
      <c r="F564" s="2" t="n">
        <f>HYPERLINK("https://patents.google.com/patent/US20220088181","Google")</f>
        <v>0.0</v>
      </c>
      <c r="G564" s="2" t="n">
        <f>HYPERLINK("https://patentcenter.uspto.gov/applications/17474552","Patent Center")</f>
        <v>0.0</v>
      </c>
      <c r="H564" s="2" t="n">
        <f>HYPERLINK("https://worldwide.espacenet.com/patent/search?q=US20220088181","Espacenet")</f>
        <v>0.0</v>
      </c>
      <c r="I564" s="2" t="n">
        <f>HYPERLINK("https://ppubs.uspto.gov/pubwebapp/external.html?q=20220088181.pn.","USPTO")</f>
        <v>0.0</v>
      </c>
      <c r="J564" s="2" t="n">
        <f>HYPERLINK("https://image-ppubs.uspto.gov/dirsearch-public/print/downloadPdf/20220088181","USPTO PDF")</f>
        <v>0.0</v>
      </c>
      <c r="K564" s="2" t="n">
        <f>HYPERLINK("https://sectors.patentforecast.com/pmd/US20220088181","PMD")</f>
        <v>0.0</v>
      </c>
      <c r="L564" s="2" t="n">
        <f>HYPERLINK("https://globaldossier.uspto.gov/result/application/US/17474552/1","US20220088181")</f>
        <v>0.0</v>
      </c>
      <c r="M564" t="s">
        <v>3982</v>
      </c>
      <c r="N564" t="s">
        <v>3983</v>
      </c>
      <c r="O564" t="s">
        <v>3984</v>
      </c>
      <c r="P564" t="s">
        <v>3985</v>
      </c>
      <c r="Q564" s="3" t="n">
        <v>44453.0</v>
      </c>
      <c r="R564" s="3" t="n">
        <v>44644.0</v>
      </c>
      <c r="S564" s="3" t="n">
        <v>44650.231133194444</v>
      </c>
      <c r="T564" s="3" t="n">
        <v>44719.58167423611</v>
      </c>
      <c r="U564" t="s">
        <v>3986</v>
      </c>
      <c r="V564" t="s">
        <v>3987</v>
      </c>
    </row>
    <row r="565">
      <c r="A565" t="s">
        <v>22</v>
      </c>
      <c r="B565" t="s">
        <v>3988</v>
      </c>
      <c r="C565" t="s">
        <v>132</v>
      </c>
      <c r="D565" t="s">
        <v>133</v>
      </c>
      <c r="E565" t="s">
        <v>3989</v>
      </c>
      <c r="F565" s="2" t="n">
        <f>HYPERLINK("https://patents.google.com/patent/US20220088180","Google")</f>
        <v>0.0</v>
      </c>
      <c r="G565" s="2" t="n">
        <f>HYPERLINK("https://patentcenter.uspto.gov/applications/17463429","Patent Center")</f>
        <v>0.0</v>
      </c>
      <c r="H565" s="2" t="n">
        <f>HYPERLINK("https://worldwide.espacenet.com/patent/search?q=US20220088180","Espacenet")</f>
        <v>0.0</v>
      </c>
      <c r="I565" s="2" t="n">
        <f>HYPERLINK("https://ppubs.uspto.gov/pubwebapp/external.html?q=20220088180.pn.","USPTO")</f>
        <v>0.0</v>
      </c>
      <c r="J565" s="2" t="n">
        <f>HYPERLINK("https://image-ppubs.uspto.gov/dirsearch-public/print/downloadPdf/20220088180","USPTO PDF")</f>
        <v>0.0</v>
      </c>
      <c r="K565" s="2" t="n">
        <f>HYPERLINK("https://sectors.patentforecast.com/pmd/US20220088180","PMD")</f>
        <v>0.0</v>
      </c>
      <c r="L565" s="2" t="n">
        <f>HYPERLINK("https://globaldossier.uspto.gov/result/application/US/17463429/1","US20220088180")</f>
        <v>0.0</v>
      </c>
      <c r="M565" t="s">
        <v>3990</v>
      </c>
      <c r="N565" t="s">
        <v>3991</v>
      </c>
      <c r="O565" t="s">
        <v>3991</v>
      </c>
      <c r="P565" t="s">
        <v>3992</v>
      </c>
      <c r="Q565" s="3" t="n">
        <v>44439.0</v>
      </c>
      <c r="R565" s="3" t="n">
        <v>44644.0</v>
      </c>
      <c r="S565" s="3" t="n">
        <v>44650.2296281713</v>
      </c>
      <c r="T565" s="3" t="n">
        <v>44672.47364521991</v>
      </c>
      <c r="U565" t="s">
        <v>3993</v>
      </c>
      <c r="V565" t="s">
        <v>3994</v>
      </c>
    </row>
    <row r="566">
      <c r="A566" t="s">
        <v>22</v>
      </c>
      <c r="B566" t="s">
        <v>3995</v>
      </c>
      <c r="C566" t="s">
        <v>132</v>
      </c>
      <c r="D566" t="s">
        <v>133</v>
      </c>
      <c r="E566" t="s">
        <v>3996</v>
      </c>
      <c r="F566" s="2" t="n">
        <f>HYPERLINK("https://patents.google.com/patent/US20220088179","Google")</f>
        <v>0.0</v>
      </c>
      <c r="G566" s="2" t="n">
        <f>HYPERLINK("https://patentcenter.uspto.gov/applications/17021261","Patent Center")</f>
        <v>0.0</v>
      </c>
      <c r="H566" s="2" t="n">
        <f>HYPERLINK("https://worldwide.espacenet.com/patent/search?q=US20220088179","Espacenet")</f>
        <v>0.0</v>
      </c>
      <c r="I566" s="2" t="n">
        <f>HYPERLINK("https://ppubs.uspto.gov/pubwebapp/external.html?q=20220088179.pn.","USPTO")</f>
        <v>0.0</v>
      </c>
      <c r="J566" s="2" t="n">
        <f>HYPERLINK("https://image-ppubs.uspto.gov/dirsearch-public/print/downloadPdf/20220088179","USPTO PDF")</f>
        <v>0.0</v>
      </c>
      <c r="K566" s="2" t="n">
        <f>HYPERLINK("https://sectors.patentforecast.com/pmd/US20220088179","PMD")</f>
        <v>0.0</v>
      </c>
      <c r="L566" s="2" t="n">
        <f>HYPERLINK("https://globaldossier.uspto.gov/result/application/US/17021261/1","US20220088179")</f>
        <v>0.0</v>
      </c>
      <c r="M566" t="s">
        <v>3997</v>
      </c>
      <c r="N566" t="s">
        <v>3998</v>
      </c>
      <c r="O566" t="s">
        <v>3999</v>
      </c>
      <c r="P566" t="s">
        <v>4000</v>
      </c>
      <c r="Q566" s="3" t="n">
        <v>44089.0</v>
      </c>
      <c r="R566" s="3" t="n">
        <v>44644.0</v>
      </c>
      <c r="S566" s="3" t="n">
        <v>44650.23749688658</v>
      </c>
      <c r="T566" s="3" t="n">
        <v>44719.58226945602</v>
      </c>
      <c r="U566" t="s">
        <v>31</v>
      </c>
      <c r="V566" t="s">
        <v>4001</v>
      </c>
    </row>
    <row r="567">
      <c r="A567" t="s">
        <v>22</v>
      </c>
      <c r="B567" t="s">
        <v>4002</v>
      </c>
      <c r="C567" t="s">
        <v>132</v>
      </c>
      <c r="D567" t="s">
        <v>142</v>
      </c>
      <c r="E567" t="s">
        <v>4003</v>
      </c>
      <c r="F567" s="2" t="n">
        <f>HYPERLINK("https://patents.google.com/patent/US20220088174","Google")</f>
        <v>0.0</v>
      </c>
      <c r="G567" s="2" t="n">
        <f>HYPERLINK("https://patentcenter.uspto.gov/applications/17288684","Patent Center")</f>
        <v>0.0</v>
      </c>
      <c r="H567" s="2" t="n">
        <f>HYPERLINK("https://worldwide.espacenet.com/patent/search?q=US20220088174","Espacenet")</f>
        <v>0.0</v>
      </c>
      <c r="I567" s="2" t="n">
        <f>HYPERLINK("https://ppubs.uspto.gov/pubwebapp/external.html?q=20220088174.pn.","USPTO")</f>
        <v>0.0</v>
      </c>
      <c r="J567" s="2" t="n">
        <f>HYPERLINK("https://image-ppubs.uspto.gov/dirsearch-public/print/downloadPdf/20220088174","USPTO PDF")</f>
        <v>0.0</v>
      </c>
      <c r="K567" s="2" t="n">
        <f>HYPERLINK("https://sectors.patentforecast.com/pmd/US20220088174","PMD")</f>
        <v>0.0</v>
      </c>
      <c r="L567" s="2" t="n">
        <f>HYPERLINK("https://globaldossier.uspto.gov/result/application/US/17288684/1","US20220088174")</f>
        <v>0.0</v>
      </c>
      <c r="M567" t="s">
        <v>4004</v>
      </c>
      <c r="N567" t="s">
        <v>4005</v>
      </c>
      <c r="O567" t="s">
        <v>4006</v>
      </c>
      <c r="P567" t="s">
        <v>4007</v>
      </c>
      <c r="Q567" s="3" t="n">
        <v>43766.0</v>
      </c>
      <c r="R567" s="3" t="n">
        <v>44644.0</v>
      </c>
      <c r="S567" s="3" t="n">
        <v>44650.23348122685</v>
      </c>
      <c r="T567" s="3" t="n">
        <v>44672.459643483795</v>
      </c>
      <c r="U567" t="s">
        <v>4008</v>
      </c>
      <c r="V567" t="s">
        <v>4009</v>
      </c>
    </row>
    <row r="568">
      <c r="A568" t="s">
        <v>22</v>
      </c>
      <c r="B568" t="s">
        <v>4010</v>
      </c>
      <c r="C568" t="s">
        <v>60</v>
      </c>
      <c r="D568" t="s">
        <v>2262</v>
      </c>
      <c r="E568" t="s">
        <v>4011</v>
      </c>
      <c r="F568" s="2" t="n">
        <f>HYPERLINK("https://patents.google.com/patent/US20220088105","Google")</f>
        <v>0.0</v>
      </c>
      <c r="G568" s="2" t="n">
        <f>HYPERLINK("https://patentcenter.uspto.gov/applications/17217561","Patent Center")</f>
        <v>0.0</v>
      </c>
      <c r="H568" s="2" t="n">
        <f>HYPERLINK("https://worldwide.espacenet.com/patent/search?q=US20220088105","Espacenet")</f>
        <v>0.0</v>
      </c>
      <c r="I568" s="2" t="n">
        <f>HYPERLINK("https://ppubs.uspto.gov/pubwebapp/external.html?q=20220088105.pn.","USPTO")</f>
        <v>0.0</v>
      </c>
      <c r="J568" s="2" t="n">
        <f>HYPERLINK("https://image-ppubs.uspto.gov/dirsearch-public/print/downloadPdf/20220088105","USPTO PDF")</f>
        <v>0.0</v>
      </c>
      <c r="K568" s="2" t="n">
        <f>HYPERLINK("https://sectors.patentforecast.com/pmd/US20220088105","PMD")</f>
        <v>0.0</v>
      </c>
      <c r="L568" s="2" t="n">
        <f>HYPERLINK("https://globaldossier.uspto.gov/result/application/US/17217561/1","US20220088105")</f>
        <v>0.0</v>
      </c>
      <c r="M568" t="s">
        <v>4012</v>
      </c>
      <c r="N568" t="s">
        <v>4013</v>
      </c>
      <c r="O568" t="s">
        <v>4013</v>
      </c>
      <c r="P568" t="s">
        <v>4014</v>
      </c>
      <c r="Q568" s="3" t="n">
        <v>44285.0</v>
      </c>
      <c r="R568" s="3" t="n">
        <v>44644.0</v>
      </c>
      <c r="S568" s="3" t="n">
        <v>44650.231133194444</v>
      </c>
      <c r="T568" s="3" t="n">
        <v>44658.636515590275</v>
      </c>
      <c r="U568" t="s">
        <v>4015</v>
      </c>
      <c r="V568" t="s">
        <v>4016</v>
      </c>
    </row>
    <row r="569">
      <c r="A569" t="s">
        <v>22</v>
      </c>
      <c r="B569" t="s">
        <v>4017</v>
      </c>
      <c r="C569" t="s">
        <v>60</v>
      </c>
      <c r="D569" t="s">
        <v>61</v>
      </c>
      <c r="E569" t="s">
        <v>4018</v>
      </c>
      <c r="F569" s="2" t="n">
        <f>HYPERLINK("https://patents.google.com/patent/US20220088067","Google")</f>
        <v>0.0</v>
      </c>
      <c r="G569" s="2" t="n">
        <f>HYPERLINK("https://patentcenter.uspto.gov/applications/17544931","Patent Center")</f>
        <v>0.0</v>
      </c>
      <c r="H569" s="2" t="n">
        <f>HYPERLINK("https://worldwide.espacenet.com/patent/search?q=US20220088067","Espacenet")</f>
        <v>0.0</v>
      </c>
      <c r="I569" s="2" t="n">
        <f>HYPERLINK("https://ppubs.uspto.gov/pubwebapp/external.html?q=20220088067.pn.","USPTO")</f>
        <v>0.0</v>
      </c>
      <c r="J569" s="2" t="n">
        <f>HYPERLINK("https://image-ppubs.uspto.gov/dirsearch-public/print/downloadPdf/20220088067","USPTO PDF")</f>
        <v>0.0</v>
      </c>
      <c r="K569" s="2" t="n">
        <f>HYPERLINK("https://sectors.patentforecast.com/pmd/US20220088067","PMD")</f>
        <v>0.0</v>
      </c>
      <c r="L569" s="2" t="n">
        <f>HYPERLINK("https://globaldossier.uspto.gov/result/application/US/17544931/1","US20220088067")</f>
        <v>0.0</v>
      </c>
      <c r="M569" t="s">
        <v>4019</v>
      </c>
      <c r="N569" t="s">
        <v>4020</v>
      </c>
      <c r="O569" t="s">
        <v>4021</v>
      </c>
      <c r="P569" t="s">
        <v>4022</v>
      </c>
      <c r="Q569" s="3" t="n">
        <v>44537.0</v>
      </c>
      <c r="R569" s="3" t="n">
        <v>44644.0</v>
      </c>
      <c r="S569" s="3" t="n">
        <v>44650.2296281713</v>
      </c>
      <c r="T569" s="3" t="n">
        <v>44658.60903925926</v>
      </c>
      <c r="U569" t="s">
        <v>4023</v>
      </c>
      <c r="V569" t="s">
        <v>4024</v>
      </c>
    </row>
    <row r="570">
      <c r="A570" t="s">
        <v>22</v>
      </c>
      <c r="B570" t="s">
        <v>4025</v>
      </c>
      <c r="C570" t="s">
        <v>60</v>
      </c>
      <c r="D570" t="s">
        <v>61</v>
      </c>
      <c r="E570" t="s">
        <v>4026</v>
      </c>
      <c r="F570" s="2" t="n">
        <f>HYPERLINK("https://patents.google.com/patent/US20220088044","Google")</f>
        <v>0.0</v>
      </c>
      <c r="G570" s="2" t="n">
        <f>HYPERLINK("https://patentcenter.uspto.gov/applications/17025396","Patent Center")</f>
        <v>0.0</v>
      </c>
      <c r="H570" s="2" t="n">
        <f>HYPERLINK("https://worldwide.espacenet.com/patent/search?q=US20220088044","Espacenet")</f>
        <v>0.0</v>
      </c>
      <c r="I570" s="2" t="n">
        <f>HYPERLINK("https://ppubs.uspto.gov/pubwebapp/external.html?q=20220088044.pn.","USPTO")</f>
        <v>0.0</v>
      </c>
      <c r="J570" s="2" t="n">
        <f>HYPERLINK("https://image-ppubs.uspto.gov/dirsearch-public/print/downloadPdf/20220088044","USPTO PDF")</f>
        <v>0.0</v>
      </c>
      <c r="K570" s="2" t="n">
        <f>HYPERLINK("https://sectors.patentforecast.com/pmd/US20220088044","PMD")</f>
        <v>0.0</v>
      </c>
      <c r="L570" s="2" t="n">
        <f>HYPERLINK("https://globaldossier.uspto.gov/result/application/US/17025396/1","US20220088044")</f>
        <v>0.0</v>
      </c>
      <c r="M570" t="s">
        <v>4027</v>
      </c>
      <c r="N570" t="s">
        <v>4028</v>
      </c>
      <c r="O570" t="s">
        <v>4029</v>
      </c>
      <c r="P570" t="s">
        <v>4030</v>
      </c>
      <c r="Q570" s="3" t="n">
        <v>44092.0</v>
      </c>
      <c r="R570" s="3" t="n">
        <v>44644.0</v>
      </c>
      <c r="S570" s="3" t="n">
        <v>44650.231133194444</v>
      </c>
      <c r="T570" s="3" t="n">
        <v>44658.637648634256</v>
      </c>
      <c r="U570" t="s">
        <v>31</v>
      </c>
      <c r="V570" t="s">
        <v>4031</v>
      </c>
    </row>
    <row r="571">
      <c r="A571" t="s">
        <v>22</v>
      </c>
      <c r="B571" t="s">
        <v>4032</v>
      </c>
      <c r="C571" t="s">
        <v>60</v>
      </c>
      <c r="D571" t="s">
        <v>61</v>
      </c>
      <c r="E571" t="s">
        <v>4033</v>
      </c>
      <c r="F571" s="2" t="n">
        <f>HYPERLINK("https://patents.google.com/patent/US20220088017","Google")</f>
        <v>0.0</v>
      </c>
      <c r="G571" s="2" t="n">
        <f>HYPERLINK("https://patentcenter.uspto.gov/applications/17476560","Patent Center")</f>
        <v>0.0</v>
      </c>
      <c r="H571" s="2" t="n">
        <f>HYPERLINK("https://worldwide.espacenet.com/patent/search?q=US20220088017","Espacenet")</f>
        <v>0.0</v>
      </c>
      <c r="I571" s="2" t="n">
        <f>HYPERLINK("https://ppubs.uspto.gov/pubwebapp/external.html?q=20220088017.pn.","USPTO")</f>
        <v>0.0</v>
      </c>
      <c r="J571" s="2" t="n">
        <f>HYPERLINK("https://image-ppubs.uspto.gov/dirsearch-public/print/downloadPdf/20220088017","USPTO PDF")</f>
        <v>0.0</v>
      </c>
      <c r="K571" s="2" t="n">
        <f>HYPERLINK("https://sectors.patentforecast.com/pmd/US20220088017","PMD")</f>
        <v>0.0</v>
      </c>
      <c r="L571" s="2" t="n">
        <f>HYPERLINK("https://globaldossier.uspto.gov/result/application/US/17476560/1","US20220088017")</f>
        <v>0.0</v>
      </c>
      <c r="M571" t="s">
        <v>4034</v>
      </c>
      <c r="N571" t="s">
        <v>4035</v>
      </c>
      <c r="O571" t="s">
        <v>4036</v>
      </c>
      <c r="P571" t="s">
        <v>4037</v>
      </c>
      <c r="Q571" s="3" t="n">
        <v>44455.0</v>
      </c>
      <c r="R571" s="3" t="n">
        <v>44644.0</v>
      </c>
      <c r="S571" s="3" t="n">
        <v>44650.231133194444</v>
      </c>
      <c r="T571" s="3" t="n">
        <v>44658.63820552083</v>
      </c>
      <c r="U571" t="s">
        <v>4038</v>
      </c>
      <c r="V571" t="s">
        <v>4039</v>
      </c>
    </row>
    <row r="572">
      <c r="A572" t="s">
        <v>22</v>
      </c>
      <c r="B572" t="s">
        <v>4040</v>
      </c>
      <c r="C572" t="s">
        <v>60</v>
      </c>
      <c r="D572" t="s">
        <v>61</v>
      </c>
      <c r="E572" t="s">
        <v>4041</v>
      </c>
      <c r="F572" s="2" t="n">
        <f>HYPERLINK("https://patents.google.com/patent/US20220088002","Google")</f>
        <v>0.0</v>
      </c>
      <c r="G572" s="2" t="n">
        <f>HYPERLINK("https://patentcenter.uspto.gov/applications/17333303","Patent Center")</f>
        <v>0.0</v>
      </c>
      <c r="H572" s="2" t="n">
        <f>HYPERLINK("https://worldwide.espacenet.com/patent/search?q=US20220088002","Espacenet")</f>
        <v>0.0</v>
      </c>
      <c r="I572" s="2" t="n">
        <f>HYPERLINK("https://ppubs.uspto.gov/pubwebapp/external.html?q=20220088002.pn.","USPTO")</f>
        <v>0.0</v>
      </c>
      <c r="J572" s="2" t="n">
        <f>HYPERLINK("https://image-ppubs.uspto.gov/dirsearch-public/print/downloadPdf/20220088002","USPTO PDF")</f>
        <v>0.0</v>
      </c>
      <c r="K572" s="2" t="n">
        <f>HYPERLINK("https://sectors.patentforecast.com/pmd/US20220088002","PMD")</f>
        <v>0.0</v>
      </c>
      <c r="L572" s="2" t="n">
        <f>HYPERLINK("https://globaldossier.uspto.gov/result/application/US/17333303/1","US20220088002")</f>
        <v>0.0</v>
      </c>
      <c r="M572" t="s">
        <v>4042</v>
      </c>
      <c r="N572" t="s">
        <v>3823</v>
      </c>
      <c r="O572" t="s">
        <v>3823</v>
      </c>
      <c r="P572" t="s">
        <v>4043</v>
      </c>
      <c r="Q572" s="3" t="n">
        <v>44344.0</v>
      </c>
      <c r="R572" s="3" t="n">
        <v>44644.0</v>
      </c>
      <c r="S572" s="3" t="n">
        <v>44650.231133194444</v>
      </c>
      <c r="T572" s="3" t="n">
        <v>44658.63645760417</v>
      </c>
      <c r="U572" t="s">
        <v>4044</v>
      </c>
      <c r="V572" t="s">
        <v>4045</v>
      </c>
    </row>
    <row r="573">
      <c r="A573" t="s">
        <v>22</v>
      </c>
      <c r="B573" t="s">
        <v>4046</v>
      </c>
      <c r="C573" t="s">
        <v>60</v>
      </c>
      <c r="D573" t="s">
        <v>61</v>
      </c>
      <c r="E573" t="s">
        <v>4047</v>
      </c>
      <c r="F573" s="2" t="n">
        <f>HYPERLINK("https://patents.google.com/patent/US20220087974","Google")</f>
        <v>0.0</v>
      </c>
      <c r="G573" s="2" t="n">
        <f>HYPERLINK("https://patentcenter.uspto.gov/applications/17333266","Patent Center")</f>
        <v>0.0</v>
      </c>
      <c r="H573" s="2" t="n">
        <f>HYPERLINK("https://worldwide.espacenet.com/patent/search?q=US20220087974","Espacenet")</f>
        <v>0.0</v>
      </c>
      <c r="I573" s="2" t="n">
        <f>HYPERLINK("https://ppubs.uspto.gov/pubwebapp/external.html?q=20220087974.pn.","USPTO")</f>
        <v>0.0</v>
      </c>
      <c r="J573" s="2" t="n">
        <f>HYPERLINK("https://image-ppubs.uspto.gov/dirsearch-public/print/downloadPdf/20220087974","USPTO PDF")</f>
        <v>0.0</v>
      </c>
      <c r="K573" s="2" t="n">
        <f>HYPERLINK("https://sectors.patentforecast.com/pmd/US20220087974","PMD")</f>
        <v>0.0</v>
      </c>
      <c r="L573" s="2" t="n">
        <f>HYPERLINK("https://globaldossier.uspto.gov/result/application/US/17333266/1","US20220087974")</f>
        <v>0.0</v>
      </c>
      <c r="M573" t="s">
        <v>4048</v>
      </c>
      <c r="N573" t="s">
        <v>4013</v>
      </c>
      <c r="O573" t="s">
        <v>4013</v>
      </c>
      <c r="P573" t="s">
        <v>4043</v>
      </c>
      <c r="Q573" s="3" t="n">
        <v>44344.0</v>
      </c>
      <c r="R573" s="3" t="n">
        <v>44644.0</v>
      </c>
      <c r="S573" s="3" t="n">
        <v>44650.231133194444</v>
      </c>
      <c r="T573" s="3" t="n">
        <v>44658.63645760417</v>
      </c>
      <c r="U573" t="s">
        <v>4049</v>
      </c>
      <c r="V573" t="s">
        <v>4050</v>
      </c>
    </row>
    <row r="574">
      <c r="A574" t="s">
        <v>22</v>
      </c>
      <c r="B574" t="s">
        <v>4051</v>
      </c>
      <c r="C574" t="s">
        <v>60</v>
      </c>
      <c r="D574" t="s">
        <v>61</v>
      </c>
      <c r="E574" t="s">
        <v>4052</v>
      </c>
      <c r="F574" s="2" t="n">
        <f>HYPERLINK("https://patents.google.com/patent/US20220087956","Google")</f>
        <v>0.0</v>
      </c>
      <c r="G574" s="2" t="n">
        <f>HYPERLINK("https://patentcenter.uspto.gov/applications/17340684","Patent Center")</f>
        <v>0.0</v>
      </c>
      <c r="H574" s="2" t="n">
        <f>HYPERLINK("https://worldwide.espacenet.com/patent/search?q=US20220087956","Espacenet")</f>
        <v>0.0</v>
      </c>
      <c r="I574" s="2" t="n">
        <f>HYPERLINK("https://ppubs.uspto.gov/pubwebapp/external.html?q=20220087956.pn.","USPTO")</f>
        <v>0.0</v>
      </c>
      <c r="J574" s="2" t="n">
        <f>HYPERLINK("https://image-ppubs.uspto.gov/dirsearch-public/print/downloadPdf/20220087956","USPTO PDF")</f>
        <v>0.0</v>
      </c>
      <c r="K574" s="2" t="n">
        <f>HYPERLINK("https://sectors.patentforecast.com/pmd/US20220087956","PMD")</f>
        <v>0.0</v>
      </c>
      <c r="L574" s="2" t="n">
        <f>HYPERLINK("https://globaldossier.uspto.gov/result/application/US/17340684/1","US20220087956")</f>
        <v>0.0</v>
      </c>
      <c r="M574" t="s">
        <v>4053</v>
      </c>
      <c r="N574" t="s">
        <v>4054</v>
      </c>
      <c r="O574" t="s">
        <v>4055</v>
      </c>
      <c r="P574" t="s">
        <v>4056</v>
      </c>
      <c r="Q574" s="3" t="n">
        <v>44354.0</v>
      </c>
      <c r="R574" s="3" t="n">
        <v>44644.0</v>
      </c>
      <c r="S574" s="3" t="n">
        <v>44650.231133194444</v>
      </c>
      <c r="T574" s="3" t="n">
        <v>44658.660691377314</v>
      </c>
      <c r="U574" t="s">
        <v>31</v>
      </c>
      <c r="V574" t="s">
        <v>4057</v>
      </c>
    </row>
    <row r="575">
      <c r="A575" t="s">
        <v>22</v>
      </c>
      <c r="B575" t="s">
        <v>4058</v>
      </c>
      <c r="C575" t="s">
        <v>60</v>
      </c>
      <c r="D575" t="s">
        <v>61</v>
      </c>
      <c r="E575" t="s">
        <v>4052</v>
      </c>
      <c r="F575" s="2" t="n">
        <f>HYPERLINK("https://patents.google.com/patent/US20220087955","Google")</f>
        <v>0.0</v>
      </c>
      <c r="G575" s="2" t="n">
        <f>HYPERLINK("https://patentcenter.uspto.gov/applications/17198157","Patent Center")</f>
        <v>0.0</v>
      </c>
      <c r="H575" s="2" t="n">
        <f>HYPERLINK("https://worldwide.espacenet.com/patent/search?q=US20220087955","Espacenet")</f>
        <v>0.0</v>
      </c>
      <c r="I575" s="2" t="n">
        <f>HYPERLINK("https://ppubs.uspto.gov/pubwebapp/external.html?q=20220087955.pn.","USPTO")</f>
        <v>0.0</v>
      </c>
      <c r="J575" s="2" t="n">
        <f>HYPERLINK("https://image-ppubs.uspto.gov/dirsearch-public/print/downloadPdf/20220087955","USPTO PDF")</f>
        <v>0.0</v>
      </c>
      <c r="K575" s="2" t="n">
        <f>HYPERLINK("https://sectors.patentforecast.com/pmd/US20220087955","PMD")</f>
        <v>0.0</v>
      </c>
      <c r="L575" s="2" t="n">
        <f>HYPERLINK("https://globaldossier.uspto.gov/result/application/US/17198157/1","US20220087955")</f>
        <v>0.0</v>
      </c>
      <c r="M575" t="s">
        <v>4059</v>
      </c>
      <c r="N575" t="s">
        <v>4054</v>
      </c>
      <c r="O575" t="s">
        <v>4055</v>
      </c>
      <c r="P575" t="s">
        <v>4056</v>
      </c>
      <c r="Q575" s="3" t="n">
        <v>44265.0</v>
      </c>
      <c r="R575" s="3" t="n">
        <v>44644.0</v>
      </c>
      <c r="S575" s="3" t="n">
        <v>44650.231133194444</v>
      </c>
      <c r="T575" s="3" t="n">
        <v>44658.660691377314</v>
      </c>
      <c r="U575" t="s">
        <v>31</v>
      </c>
      <c r="V575" t="s">
        <v>4057</v>
      </c>
    </row>
    <row r="576">
      <c r="A576" t="s">
        <v>22</v>
      </c>
      <c r="B576" t="s">
        <v>4060</v>
      </c>
      <c r="C576" t="s">
        <v>60</v>
      </c>
      <c r="D576" t="s">
        <v>61</v>
      </c>
      <c r="E576" t="s">
        <v>4061</v>
      </c>
      <c r="F576" s="2" t="n">
        <f>HYPERLINK("https://patents.google.com/patent/US20220087950","Google")</f>
        <v>0.0</v>
      </c>
      <c r="G576" s="2" t="n">
        <f>HYPERLINK("https://patentcenter.uspto.gov/applications/17381857","Patent Center")</f>
        <v>0.0</v>
      </c>
      <c r="H576" s="2" t="n">
        <f>HYPERLINK("https://worldwide.espacenet.com/patent/search?q=US20220087950","Espacenet")</f>
        <v>0.0</v>
      </c>
      <c r="I576" s="2" t="n">
        <f>HYPERLINK("https://ppubs.uspto.gov/pubwebapp/external.html?q=20220087950.pn.","USPTO")</f>
        <v>0.0</v>
      </c>
      <c r="J576" s="2" t="n">
        <f>HYPERLINK("https://image-ppubs.uspto.gov/dirsearch-public/print/downloadPdf/20220087950","USPTO PDF")</f>
        <v>0.0</v>
      </c>
      <c r="K576" s="2" t="n">
        <f>HYPERLINK("https://sectors.patentforecast.com/pmd/US20220087950","PMD")</f>
        <v>0.0</v>
      </c>
      <c r="L576" s="2" t="n">
        <f>HYPERLINK("https://globaldossier.uspto.gov/result/application/US/17381857/1","US20220087950")</f>
        <v>0.0</v>
      </c>
      <c r="M576" t="s">
        <v>4062</v>
      </c>
      <c r="N576" t="s">
        <v>1251</v>
      </c>
      <c r="O576" t="s">
        <v>1252</v>
      </c>
      <c r="P576" t="s">
        <v>4063</v>
      </c>
      <c r="Q576" s="3" t="n">
        <v>44398.0</v>
      </c>
      <c r="R576" s="3" t="n">
        <v>44644.0</v>
      </c>
      <c r="S576" s="3" t="n">
        <v>44650.231133194444</v>
      </c>
      <c r="T576" s="3" t="n">
        <v>44672.399468414354</v>
      </c>
      <c r="U576" t="s">
        <v>4064</v>
      </c>
      <c r="V576" t="s">
        <v>4065</v>
      </c>
    </row>
    <row r="577">
      <c r="A577" t="s">
        <v>22</v>
      </c>
      <c r="B577" t="s">
        <v>4066</v>
      </c>
      <c r="C577" t="s">
        <v>132</v>
      </c>
      <c r="D577" t="s">
        <v>133</v>
      </c>
      <c r="E577" t="s">
        <v>4067</v>
      </c>
      <c r="F577" s="2" t="n">
        <f>HYPERLINK("https://patents.google.com/patent/US20220087930","Google")</f>
        <v>0.0</v>
      </c>
      <c r="G577" s="2" t="n">
        <f>HYPERLINK("https://patentcenter.uspto.gov/applications/17538412","Patent Center")</f>
        <v>0.0</v>
      </c>
      <c r="H577" s="2" t="n">
        <f>HYPERLINK("https://worldwide.espacenet.com/patent/search?q=US20220087930","Espacenet")</f>
        <v>0.0</v>
      </c>
      <c r="I577" s="2" t="n">
        <f>HYPERLINK("https://ppubs.uspto.gov/pubwebapp/external.html?q=20220087930.pn.","USPTO")</f>
        <v>0.0</v>
      </c>
      <c r="J577" s="2" t="n">
        <f>HYPERLINK("https://image-ppubs.uspto.gov/dirsearch-public/print/downloadPdf/20220087930","USPTO PDF")</f>
        <v>0.0</v>
      </c>
      <c r="K577" s="2" t="n">
        <f>HYPERLINK("https://sectors.patentforecast.com/pmd/US20220087930","PMD")</f>
        <v>0.0</v>
      </c>
      <c r="L577" s="2" t="n">
        <f>HYPERLINK("https://globaldossier.uspto.gov/result/application/US/17538412/1","US20220087930")</f>
        <v>0.0</v>
      </c>
      <c r="M577" t="s">
        <v>4068</v>
      </c>
      <c r="N577" t="s">
        <v>4069</v>
      </c>
      <c r="O577" t="s">
        <v>4070</v>
      </c>
      <c r="P577" t="s">
        <v>4071</v>
      </c>
      <c r="Q577" s="3" t="n">
        <v>44530.0</v>
      </c>
      <c r="R577" s="3" t="n">
        <v>44644.0</v>
      </c>
      <c r="S577" s="3" t="n">
        <v>44650.231133194444</v>
      </c>
      <c r="T577" s="3" t="n">
        <v>44658.63413875</v>
      </c>
      <c r="U577" t="s">
        <v>31</v>
      </c>
      <c r="V577" t="s">
        <v>4072</v>
      </c>
    </row>
    <row r="578">
      <c r="A578" t="s">
        <v>22</v>
      </c>
      <c r="B578" t="s">
        <v>4073</v>
      </c>
      <c r="C578" t="s">
        <v>24</v>
      </c>
      <c r="D578" t="s">
        <v>69</v>
      </c>
      <c r="E578" t="s">
        <v>4074</v>
      </c>
      <c r="F578" s="2" t="n">
        <f>HYPERLINK("https://patents.google.com/patent/US20220087767","Google")</f>
        <v>0.0</v>
      </c>
      <c r="G578" s="2" t="n">
        <f>HYPERLINK("https://patentcenter.uspto.gov/applications/17488057","Patent Center")</f>
        <v>0.0</v>
      </c>
      <c r="H578" s="2" t="n">
        <f>HYPERLINK("https://worldwide.espacenet.com/patent/search?q=US20220087767","Espacenet")</f>
        <v>0.0</v>
      </c>
      <c r="I578" s="2" t="n">
        <f>HYPERLINK("https://ppubs.uspto.gov/pubwebapp/external.html?q=20220087767.pn.","USPTO")</f>
        <v>0.0</v>
      </c>
      <c r="J578" s="2" t="n">
        <f>HYPERLINK("https://image-ppubs.uspto.gov/dirsearch-public/print/downloadPdf/20220087767","USPTO PDF")</f>
        <v>0.0</v>
      </c>
      <c r="K578" s="2" t="n">
        <f>HYPERLINK("https://sectors.patentforecast.com/pmd/US20220087767","PMD")</f>
        <v>0.0</v>
      </c>
      <c r="L578" s="2" t="n">
        <f>HYPERLINK("https://globaldossier.uspto.gov/result/application/US/17488057/1","US20220087767")</f>
        <v>0.0</v>
      </c>
      <c r="M578" t="s">
        <v>4075</v>
      </c>
      <c r="N578" t="s">
        <v>4076</v>
      </c>
      <c r="O578" t="s">
        <v>4077</v>
      </c>
      <c r="P578" t="s">
        <v>4078</v>
      </c>
      <c r="Q578" s="3" t="n">
        <v>44467.0</v>
      </c>
      <c r="R578" s="3" t="n">
        <v>44644.0</v>
      </c>
      <c r="S578" s="3" t="n">
        <v>44650.240737789354</v>
      </c>
      <c r="T578" s="3" t="n">
        <v>44658.622062905095</v>
      </c>
      <c r="U578" t="s">
        <v>4079</v>
      </c>
      <c r="V578" t="s">
        <v>4080</v>
      </c>
    </row>
    <row r="579">
      <c r="A579" t="s">
        <v>22</v>
      </c>
      <c r="B579" t="s">
        <v>4081</v>
      </c>
      <c r="C579" t="s">
        <v>24</v>
      </c>
      <c r="D579" t="s">
        <v>25</v>
      </c>
      <c r="E579" t="s">
        <v>4082</v>
      </c>
      <c r="F579" s="2" t="n">
        <f>HYPERLINK("https://patents.google.com/patent/US20220087645","Google")</f>
        <v>0.0</v>
      </c>
      <c r="G579" s="2" t="n">
        <f>HYPERLINK("https://patentcenter.uspto.gov/applications/17029858","Patent Center")</f>
        <v>0.0</v>
      </c>
      <c r="H579" s="2" t="n">
        <f>HYPERLINK("https://worldwide.espacenet.com/patent/search?q=US20220087645","Espacenet")</f>
        <v>0.0</v>
      </c>
      <c r="I579" s="2" t="n">
        <f>HYPERLINK("https://ppubs.uspto.gov/pubwebapp/external.html?q=20220087645.pn.","USPTO")</f>
        <v>0.0</v>
      </c>
      <c r="J579" s="2" t="n">
        <f>HYPERLINK("https://image-ppubs.uspto.gov/dirsearch-public/print/downloadPdf/20220087645","USPTO PDF")</f>
        <v>0.0</v>
      </c>
      <c r="K579" s="2" t="n">
        <f>HYPERLINK("https://sectors.patentforecast.com/pmd/US20220087645","PMD")</f>
        <v>0.0</v>
      </c>
      <c r="L579" s="2" t="n">
        <f>HYPERLINK("https://globaldossier.uspto.gov/result/application/US/17029858/1","US20220087645")</f>
        <v>0.0</v>
      </c>
      <c r="M579" t="s">
        <v>4083</v>
      </c>
      <c r="N579" t="s">
        <v>338</v>
      </c>
      <c r="O579" t="s">
        <v>339</v>
      </c>
      <c r="P579" t="s">
        <v>4084</v>
      </c>
      <c r="Q579" s="3" t="n">
        <v>44097.0</v>
      </c>
      <c r="R579" s="3" t="n">
        <v>44644.0</v>
      </c>
      <c r="S579" s="3" t="n">
        <v>44650.2296281713</v>
      </c>
      <c r="T579" s="3" t="n">
        <v>44658.65673083333</v>
      </c>
      <c r="U579" t="s">
        <v>4085</v>
      </c>
      <c r="V579" t="s">
        <v>4086</v>
      </c>
    </row>
    <row r="580">
      <c r="A580" t="s">
        <v>22</v>
      </c>
      <c r="B580" t="s">
        <v>4087</v>
      </c>
      <c r="C580" t="s">
        <v>24</v>
      </c>
      <c r="D580" t="s">
        <v>25</v>
      </c>
      <c r="E580" t="s">
        <v>4088</v>
      </c>
      <c r="F580" s="2" t="n">
        <f>HYPERLINK("https://patents.google.com/patent/US20220087620","Google")</f>
        <v>0.0</v>
      </c>
      <c r="G580" s="2" t="n">
        <f>HYPERLINK("https://patentcenter.uspto.gov/applications/17540737","Patent Center")</f>
        <v>0.0</v>
      </c>
      <c r="H580" s="2" t="n">
        <f>HYPERLINK("https://worldwide.espacenet.com/patent/search?q=US20220087620","Espacenet")</f>
        <v>0.0</v>
      </c>
      <c r="I580" s="2" t="n">
        <f>HYPERLINK("https://ppubs.uspto.gov/pubwebapp/external.html?q=20220087620.pn.","USPTO")</f>
        <v>0.0</v>
      </c>
      <c r="J580" s="2" t="n">
        <f>HYPERLINK("https://image-ppubs.uspto.gov/dirsearch-public/print/downloadPdf/20220087620","USPTO PDF")</f>
        <v>0.0</v>
      </c>
      <c r="K580" s="2" t="n">
        <f>HYPERLINK("https://sectors.patentforecast.com/pmd/US20220087620","PMD")</f>
        <v>0.0</v>
      </c>
      <c r="L580" s="2" t="n">
        <f>HYPERLINK("https://globaldossier.uspto.gov/result/application/US/17540737/1","US20220087620")</f>
        <v>0.0</v>
      </c>
      <c r="M580" t="s">
        <v>4089</v>
      </c>
      <c r="N580" t="s">
        <v>4090</v>
      </c>
      <c r="O580" t="s">
        <v>4090</v>
      </c>
      <c r="P580" t="s">
        <v>4091</v>
      </c>
      <c r="Q580" s="3" t="n">
        <v>44532.0</v>
      </c>
      <c r="R580" s="3" t="n">
        <v>44644.0</v>
      </c>
      <c r="S580" s="3" t="n">
        <v>44650.232177997685</v>
      </c>
      <c r="T580" s="3" t="n">
        <v>44672.495243391204</v>
      </c>
      <c r="U580" t="s">
        <v>4092</v>
      </c>
      <c r="V580" t="s">
        <v>4093</v>
      </c>
    </row>
    <row r="581">
      <c r="A581" t="s">
        <v>22</v>
      </c>
      <c r="B581" t="s">
        <v>4094</v>
      </c>
      <c r="C581" t="s">
        <v>24</v>
      </c>
      <c r="D581" t="s">
        <v>25</v>
      </c>
      <c r="E581" t="s">
        <v>4095</v>
      </c>
      <c r="F581" s="2" t="n">
        <f>HYPERLINK("https://patents.google.com/patent/US20220087570","Google")</f>
        <v>0.0</v>
      </c>
      <c r="G581" s="2" t="n">
        <f>HYPERLINK("https://patentcenter.uspto.gov/applications/17541904","Patent Center")</f>
        <v>0.0</v>
      </c>
      <c r="H581" s="2" t="n">
        <f>HYPERLINK("https://worldwide.espacenet.com/patent/search?q=US20220087570","Espacenet")</f>
        <v>0.0</v>
      </c>
      <c r="I581" s="2" t="n">
        <f>HYPERLINK("https://ppubs.uspto.gov/pubwebapp/external.html?q=20220087570.pn.","USPTO")</f>
        <v>0.0</v>
      </c>
      <c r="J581" s="2" t="n">
        <f>HYPERLINK("https://image-ppubs.uspto.gov/dirsearch-public/print/downloadPdf/20220087570","USPTO PDF")</f>
        <v>0.0</v>
      </c>
      <c r="K581" s="2" t="n">
        <f>HYPERLINK("https://sectors.patentforecast.com/pmd/US20220087570","PMD")</f>
        <v>0.0</v>
      </c>
      <c r="L581" s="2" t="n">
        <f>HYPERLINK("https://globaldossier.uspto.gov/result/application/US/17541904/1","US20220087570")</f>
        <v>0.0</v>
      </c>
      <c r="M581" t="s">
        <v>4096</v>
      </c>
      <c r="N581" t="s">
        <v>4097</v>
      </c>
      <c r="O581" t="s">
        <v>4098</v>
      </c>
      <c r="P581" t="s">
        <v>4099</v>
      </c>
      <c r="Q581" s="3" t="n">
        <v>44533.0</v>
      </c>
      <c r="R581" s="3" t="n">
        <v>44644.0</v>
      </c>
      <c r="S581" s="3" t="n">
        <v>44650.231133194444</v>
      </c>
      <c r="T581" s="3" t="n">
        <v>44658.65658303241</v>
      </c>
      <c r="U581" t="s">
        <v>4100</v>
      </c>
      <c r="V581" t="s">
        <v>4101</v>
      </c>
    </row>
    <row r="582">
      <c r="A582" t="s">
        <v>22</v>
      </c>
      <c r="B582" t="s">
        <v>4102</v>
      </c>
      <c r="C582" t="s">
        <v>24</v>
      </c>
      <c r="D582" t="s">
        <v>25</v>
      </c>
      <c r="E582" t="s">
        <v>4103</v>
      </c>
      <c r="F582" s="2" t="n">
        <f>HYPERLINK("https://patents.google.com/patent/US20220087546","Google")</f>
        <v>0.0</v>
      </c>
      <c r="G582" s="2" t="n">
        <f>HYPERLINK("https://patentcenter.uspto.gov/applications/17479340","Patent Center")</f>
        <v>0.0</v>
      </c>
      <c r="H582" s="2" t="n">
        <f>HYPERLINK("https://worldwide.espacenet.com/patent/search?q=US20220087546","Espacenet")</f>
        <v>0.0</v>
      </c>
      <c r="I582" s="2" t="n">
        <f>HYPERLINK("https://ppubs.uspto.gov/pubwebapp/external.html?q=20220087546.pn.","USPTO")</f>
        <v>0.0</v>
      </c>
      <c r="J582" s="2" t="n">
        <f>HYPERLINK("https://image-ppubs.uspto.gov/dirsearch-public/print/downloadPdf/20220087546","USPTO PDF")</f>
        <v>0.0</v>
      </c>
      <c r="K582" s="2" t="n">
        <f>HYPERLINK("https://sectors.patentforecast.com/pmd/US20220087546","PMD")</f>
        <v>0.0</v>
      </c>
      <c r="L582" s="2" t="n">
        <f>HYPERLINK("https://globaldossier.uspto.gov/result/application/US/17479340/1","US20220087546")</f>
        <v>0.0</v>
      </c>
      <c r="M582" t="s">
        <v>4104</v>
      </c>
      <c r="N582" t="s">
        <v>4105</v>
      </c>
      <c r="O582" t="s">
        <v>4106</v>
      </c>
      <c r="P582" t="s">
        <v>4107</v>
      </c>
      <c r="Q582" s="3" t="n">
        <v>44459.0</v>
      </c>
      <c r="R582" s="3" t="n">
        <v>44644.0</v>
      </c>
      <c r="S582" s="3" t="n">
        <v>44650.231133194444</v>
      </c>
      <c r="T582" s="3" t="n">
        <v>44719.58232657408</v>
      </c>
      <c r="U582" t="s">
        <v>4108</v>
      </c>
      <c r="V582" t="s">
        <v>4109</v>
      </c>
    </row>
    <row r="583">
      <c r="A583" t="s">
        <v>22</v>
      </c>
      <c r="B583" t="s">
        <v>4110</v>
      </c>
      <c r="C583" t="s">
        <v>24</v>
      </c>
      <c r="D583" t="s">
        <v>25</v>
      </c>
      <c r="E583" t="s">
        <v>4111</v>
      </c>
      <c r="F583" s="2" t="n">
        <f>HYPERLINK("https://patents.google.com/patent/US20220087538","Google")</f>
        <v>0.0</v>
      </c>
      <c r="G583" s="2" t="n">
        <f>HYPERLINK("https://patentcenter.uspto.gov/applications/17025075","Patent Center")</f>
        <v>0.0</v>
      </c>
      <c r="H583" s="2" t="n">
        <f>HYPERLINK("https://worldwide.espacenet.com/patent/search?q=US20220087538","Espacenet")</f>
        <v>0.0</v>
      </c>
      <c r="I583" s="2" t="n">
        <f>HYPERLINK("https://ppubs.uspto.gov/pubwebapp/external.html?q=20220087538.pn.","USPTO")</f>
        <v>0.0</v>
      </c>
      <c r="J583" s="2" t="n">
        <f>HYPERLINK("https://image-ppubs.uspto.gov/dirsearch-public/print/downloadPdf/20220087538","USPTO PDF")</f>
        <v>0.0</v>
      </c>
      <c r="K583" s="2" t="n">
        <f>HYPERLINK("https://sectors.patentforecast.com/pmd/US20220087538","PMD")</f>
        <v>0.0</v>
      </c>
      <c r="L583" s="2" t="n">
        <f>HYPERLINK("https://globaldossier.uspto.gov/result/application/US/17025075/1","US20220087538")</f>
        <v>0.0</v>
      </c>
      <c r="M583" t="s">
        <v>4112</v>
      </c>
      <c r="N583" t="s">
        <v>4113</v>
      </c>
      <c r="O583" t="s">
        <v>4114</v>
      </c>
      <c r="P583" t="s">
        <v>4115</v>
      </c>
      <c r="Q583" s="3" t="n">
        <v>44092.0</v>
      </c>
      <c r="R583" s="3" t="n">
        <v>44644.0</v>
      </c>
      <c r="S583" s="3" t="n">
        <v>44650.231133194444</v>
      </c>
      <c r="T583" s="3" t="n">
        <v>44719.58246744213</v>
      </c>
      <c r="U583" t="s">
        <v>31</v>
      </c>
      <c r="V583" t="s">
        <v>4116</v>
      </c>
    </row>
    <row r="584">
      <c r="A584" t="s">
        <v>22</v>
      </c>
      <c r="B584" t="s">
        <v>4117</v>
      </c>
      <c r="C584" t="s">
        <v>24</v>
      </c>
      <c r="D584" t="s">
        <v>25</v>
      </c>
      <c r="E584" t="s">
        <v>4118</v>
      </c>
      <c r="F584" s="2" t="n">
        <f>HYPERLINK("https://patents.google.com/patent/US20220087536","Google")</f>
        <v>0.0</v>
      </c>
      <c r="G584" s="2" t="n">
        <f>HYPERLINK("https://patentcenter.uspto.gov/applications/17027675","Patent Center")</f>
        <v>0.0</v>
      </c>
      <c r="H584" s="2" t="n">
        <f>HYPERLINK("https://worldwide.espacenet.com/patent/search?q=US20220087536","Espacenet")</f>
        <v>0.0</v>
      </c>
      <c r="I584" s="2" t="n">
        <f>HYPERLINK("https://ppubs.uspto.gov/pubwebapp/external.html?q=20220087536.pn.","USPTO")</f>
        <v>0.0</v>
      </c>
      <c r="J584" s="2" t="n">
        <f>HYPERLINK("https://image-ppubs.uspto.gov/dirsearch-public/print/downloadPdf/20220087536","USPTO PDF")</f>
        <v>0.0</v>
      </c>
      <c r="K584" s="2" t="n">
        <f>HYPERLINK("https://sectors.patentforecast.com/pmd/US20220087536","PMD")</f>
        <v>0.0</v>
      </c>
      <c r="L584" s="2" t="n">
        <f>HYPERLINK("https://globaldossier.uspto.gov/result/application/US/17027675/1","US20220087536")</f>
        <v>0.0</v>
      </c>
      <c r="M584" t="s">
        <v>4119</v>
      </c>
      <c r="N584" t="s">
        <v>4120</v>
      </c>
      <c r="O584" t="s">
        <v>4121</v>
      </c>
      <c r="P584" t="s">
        <v>4122</v>
      </c>
      <c r="Q584" s="3" t="n">
        <v>44095.0</v>
      </c>
      <c r="R584" s="3" t="n">
        <v>44644.0</v>
      </c>
      <c r="S584" s="3" t="n">
        <v>44650.231133194444</v>
      </c>
      <c r="T584" s="3" t="n">
        <v>44719.58259386574</v>
      </c>
      <c r="U584" t="s">
        <v>4123</v>
      </c>
      <c r="V584" t="s">
        <v>4124</v>
      </c>
    </row>
    <row r="585">
      <c r="A585" t="s">
        <v>22</v>
      </c>
      <c r="B585" t="s">
        <v>4125</v>
      </c>
      <c r="C585" t="s">
        <v>24</v>
      </c>
      <c r="D585" t="s">
        <v>69</v>
      </c>
      <c r="E585" t="s">
        <v>4126</v>
      </c>
      <c r="F585" s="2" t="n">
        <f>HYPERLINK("https://patents.google.com/patent/US20220087440","Google")</f>
        <v>0.0</v>
      </c>
      <c r="G585" s="2" t="n">
        <f>HYPERLINK("https://patentcenter.uspto.gov/applications/17483794","Patent Center")</f>
        <v>0.0</v>
      </c>
      <c r="H585" s="2" t="n">
        <f>HYPERLINK("https://worldwide.espacenet.com/patent/search?q=US20220087440","Espacenet")</f>
        <v>0.0</v>
      </c>
      <c r="I585" s="2" t="n">
        <f>HYPERLINK("https://ppubs.uspto.gov/pubwebapp/external.html?q=20220087440.pn.","USPTO")</f>
        <v>0.0</v>
      </c>
      <c r="J585" s="2" t="n">
        <f>HYPERLINK("https://image-ppubs.uspto.gov/dirsearch-public/print/downloadPdf/20220087440","USPTO PDF")</f>
        <v>0.0</v>
      </c>
      <c r="K585" s="2" t="n">
        <f>HYPERLINK("https://sectors.patentforecast.com/pmd/US20220087440","PMD")</f>
        <v>0.0</v>
      </c>
      <c r="L585" s="2" t="n">
        <f>HYPERLINK("https://globaldossier.uspto.gov/result/application/US/17483794/1","US20220087440")</f>
        <v>0.0</v>
      </c>
      <c r="M585" t="s">
        <v>4127</v>
      </c>
      <c r="N585" t="s">
        <v>4128</v>
      </c>
      <c r="O585" t="s">
        <v>4129</v>
      </c>
      <c r="P585" t="s">
        <v>4130</v>
      </c>
      <c r="Q585" s="3" t="n">
        <v>44462.0</v>
      </c>
      <c r="R585" s="3" t="n">
        <v>44644.0</v>
      </c>
      <c r="S585" s="3" t="n">
        <v>44650.231133194444</v>
      </c>
      <c r="T585" s="3" t="n">
        <v>44719.58279836806</v>
      </c>
      <c r="U585" t="s">
        <v>4131</v>
      </c>
      <c r="V585" t="s">
        <v>4132</v>
      </c>
    </row>
    <row r="586">
      <c r="A586" t="s">
        <v>22</v>
      </c>
      <c r="B586" t="s">
        <v>4133</v>
      </c>
      <c r="C586" t="s">
        <v>24</v>
      </c>
      <c r="D586" t="s">
        <v>100</v>
      </c>
      <c r="E586" t="s">
        <v>4134</v>
      </c>
      <c r="F586" s="2" t="n">
        <f>HYPERLINK("https://patents.google.com/patent/US20220087341","Google")</f>
        <v>0.0</v>
      </c>
      <c r="G586" s="2" t="n">
        <f>HYPERLINK("https://patentcenter.uspto.gov/applications/17029135","Patent Center")</f>
        <v>0.0</v>
      </c>
      <c r="H586" s="2" t="n">
        <f>HYPERLINK("https://worldwide.espacenet.com/patent/search?q=US20220087341","Espacenet")</f>
        <v>0.0</v>
      </c>
      <c r="I586" s="2" t="n">
        <f>HYPERLINK("https://ppubs.uspto.gov/pubwebapp/external.html?q=20220087341.pn.","USPTO")</f>
        <v>0.0</v>
      </c>
      <c r="J586" s="2" t="n">
        <f>HYPERLINK("https://image-ppubs.uspto.gov/dirsearch-public/print/downloadPdf/20220087341","USPTO PDF")</f>
        <v>0.0</v>
      </c>
      <c r="K586" s="2" t="n">
        <f>HYPERLINK("https://sectors.patentforecast.com/pmd/US20220087341","PMD")</f>
        <v>0.0</v>
      </c>
      <c r="L586" s="2" t="n">
        <f>HYPERLINK("https://globaldossier.uspto.gov/result/application/US/17029135/1","US20220087341")</f>
        <v>0.0</v>
      </c>
      <c r="M586" t="s">
        <v>4135</v>
      </c>
      <c r="N586" t="s">
        <v>4136</v>
      </c>
      <c r="O586" t="s">
        <v>4137</v>
      </c>
      <c r="P586" t="s">
        <v>4138</v>
      </c>
      <c r="Q586" s="3" t="n">
        <v>44097.0</v>
      </c>
      <c r="R586" s="3" t="n">
        <v>44644.0</v>
      </c>
      <c r="S586" s="3" t="n">
        <v>44650.231133194444</v>
      </c>
      <c r="T586" s="3" t="n">
        <v>44658.62137291667</v>
      </c>
      <c r="U586" t="s">
        <v>31</v>
      </c>
      <c r="V586" t="s">
        <v>4139</v>
      </c>
    </row>
    <row r="587">
      <c r="A587" t="s">
        <v>22</v>
      </c>
      <c r="B587" t="s">
        <v>4140</v>
      </c>
      <c r="C587" t="s">
        <v>24</v>
      </c>
      <c r="D587" t="s">
        <v>69</v>
      </c>
      <c r="E587" t="s">
        <v>4141</v>
      </c>
      <c r="F587" s="2" t="n">
        <f>HYPERLINK("https://patents.google.com/patent/US20220087333","Google")</f>
        <v>0.0</v>
      </c>
      <c r="G587" s="2" t="n">
        <f>HYPERLINK("https://patentcenter.uspto.gov/applications/17027197","Patent Center")</f>
        <v>0.0</v>
      </c>
      <c r="H587" s="2" t="n">
        <f>HYPERLINK("https://worldwide.espacenet.com/patent/search?q=US20220087333","Espacenet")</f>
        <v>0.0</v>
      </c>
      <c r="I587" s="2" t="n">
        <f>HYPERLINK("https://ppubs.uspto.gov/pubwebapp/external.html?q=20220087333.pn.","USPTO")</f>
        <v>0.0</v>
      </c>
      <c r="J587" s="2" t="n">
        <f>HYPERLINK("https://image-ppubs.uspto.gov/dirsearch-public/print/downloadPdf/20220087333","USPTO PDF")</f>
        <v>0.0</v>
      </c>
      <c r="K587" s="2" t="n">
        <f>HYPERLINK("https://sectors.patentforecast.com/pmd/US20220087333","PMD")</f>
        <v>0.0</v>
      </c>
      <c r="L587" s="2" t="n">
        <f>HYPERLINK("https://globaldossier.uspto.gov/result/application/US/17027197/1","US20220087333")</f>
        <v>0.0</v>
      </c>
      <c r="M587" t="s">
        <v>4142</v>
      </c>
      <c r="N587" t="s">
        <v>4143</v>
      </c>
      <c r="O587" t="s">
        <v>4143</v>
      </c>
      <c r="P587" t="s">
        <v>4144</v>
      </c>
      <c r="Q587" s="3" t="n">
        <v>44095.0</v>
      </c>
      <c r="R587" s="3" t="n">
        <v>44644.0</v>
      </c>
      <c r="S587" s="3" t="n">
        <v>44650.231133194444</v>
      </c>
      <c r="T587" s="3" t="n">
        <v>44658.61965958333</v>
      </c>
      <c r="U587" t="s">
        <v>4145</v>
      </c>
      <c r="V587" t="s">
        <v>4146</v>
      </c>
    </row>
    <row r="588">
      <c r="A588" t="s">
        <v>22</v>
      </c>
      <c r="B588" t="s">
        <v>4147</v>
      </c>
      <c r="C588" t="s">
        <v>24</v>
      </c>
      <c r="D588" t="s">
        <v>100</v>
      </c>
      <c r="E588" t="s">
        <v>4148</v>
      </c>
      <c r="F588" s="2" t="n">
        <f>HYPERLINK("https://patents.google.com/patent/US20220087257","Google")</f>
        <v>0.0</v>
      </c>
      <c r="G588" s="2" t="n">
        <f>HYPERLINK("https://patentcenter.uspto.gov/applications/17481651","Patent Center")</f>
        <v>0.0</v>
      </c>
      <c r="H588" s="2" t="n">
        <f>HYPERLINK("https://worldwide.espacenet.com/patent/search?q=US20220087257","Espacenet")</f>
        <v>0.0</v>
      </c>
      <c r="I588" s="2" t="n">
        <f>HYPERLINK("https://ppubs.uspto.gov/pubwebapp/external.html?q=20220087257.pn.","USPTO")</f>
        <v>0.0</v>
      </c>
      <c r="J588" s="2" t="n">
        <f>HYPERLINK("https://image-ppubs.uspto.gov/dirsearch-public/print/downloadPdf/20220087257","USPTO PDF")</f>
        <v>0.0</v>
      </c>
      <c r="K588" s="2" t="n">
        <f>HYPERLINK("https://sectors.patentforecast.com/pmd/US20220087257","PMD")</f>
        <v>0.0</v>
      </c>
      <c r="L588" s="2" t="n">
        <f>HYPERLINK("https://globaldossier.uspto.gov/result/application/US/17481651/1","US20220087257")</f>
        <v>0.0</v>
      </c>
      <c r="M588" t="s">
        <v>4149</v>
      </c>
      <c r="N588" t="s">
        <v>4150</v>
      </c>
      <c r="O588" t="s">
        <v>4151</v>
      </c>
      <c r="P588" t="s">
        <v>4152</v>
      </c>
      <c r="Q588" s="3" t="n">
        <v>44461.0</v>
      </c>
      <c r="R588" s="3" t="n">
        <v>44644.0</v>
      </c>
      <c r="S588" s="3" t="n">
        <v>44650.2296281713</v>
      </c>
      <c r="T588" s="3" t="n">
        <v>44658.595439756944</v>
      </c>
      <c r="U588" t="s">
        <v>4153</v>
      </c>
      <c r="V588" t="s">
        <v>4154</v>
      </c>
    </row>
    <row r="589">
      <c r="A589" t="s">
        <v>22</v>
      </c>
      <c r="B589" t="s">
        <v>4155</v>
      </c>
      <c r="C589" t="s">
        <v>24</v>
      </c>
      <c r="D589" t="s">
        <v>25</v>
      </c>
      <c r="E589" t="s">
        <v>4156</v>
      </c>
      <c r="F589" s="2" t="n">
        <f>HYPERLINK("https://patents.google.com/patent/US20220087220","Google")</f>
        <v>0.0</v>
      </c>
      <c r="G589" s="2" t="n">
        <f>HYPERLINK("https://patentcenter.uspto.gov/applications/17314816","Patent Center")</f>
        <v>0.0</v>
      </c>
      <c r="H589" s="2" t="n">
        <f>HYPERLINK("https://worldwide.espacenet.com/patent/search?q=US20220087220","Espacenet")</f>
        <v>0.0</v>
      </c>
      <c r="I589" s="2" t="n">
        <f>HYPERLINK("https://ppubs.uspto.gov/pubwebapp/external.html?q=20220087220.pn.","USPTO")</f>
        <v>0.0</v>
      </c>
      <c r="J589" s="2" t="n">
        <f>HYPERLINK("https://image-ppubs.uspto.gov/dirsearch-public/print/downloadPdf/20220087220","USPTO PDF")</f>
        <v>0.0</v>
      </c>
      <c r="K589" s="2" t="n">
        <f>HYPERLINK("https://sectors.patentforecast.com/pmd/US20220087220","PMD")</f>
        <v>0.0</v>
      </c>
      <c r="L589" s="2" t="n">
        <f>HYPERLINK("https://globaldossier.uspto.gov/result/application/US/17314816/1","US20220087220")</f>
        <v>0.0</v>
      </c>
      <c r="M589" t="s">
        <v>4157</v>
      </c>
      <c r="N589" t="s">
        <v>4158</v>
      </c>
      <c r="O589" t="s">
        <v>4159</v>
      </c>
      <c r="P589" t="s">
        <v>4160</v>
      </c>
      <c r="Q589" s="3" t="n">
        <v>44323.0</v>
      </c>
      <c r="R589" s="3" t="n">
        <v>44644.0</v>
      </c>
      <c r="S589" s="3" t="n">
        <v>44650.231133194444</v>
      </c>
      <c r="T589" s="3" t="n">
        <v>44658.65364211806</v>
      </c>
      <c r="U589" t="s">
        <v>31</v>
      </c>
      <c r="V589" t="s">
        <v>4161</v>
      </c>
    </row>
    <row r="590">
      <c r="A590" t="s">
        <v>22</v>
      </c>
      <c r="B590" t="s">
        <v>4162</v>
      </c>
      <c r="C590" t="s">
        <v>24</v>
      </c>
      <c r="D590" t="s">
        <v>25</v>
      </c>
      <c r="E590" t="s">
        <v>4163</v>
      </c>
      <c r="F590" s="2" t="n">
        <f>HYPERLINK("https://patents.google.com/patent/US20220086597","Google")</f>
        <v>0.0</v>
      </c>
      <c r="G590" s="2" t="n">
        <f>HYPERLINK("https://patentcenter.uspto.gov/applications/17178081","Patent Center")</f>
        <v>0.0</v>
      </c>
      <c r="H590" s="2" t="n">
        <f>HYPERLINK("https://worldwide.espacenet.com/patent/search?q=US20220086597","Espacenet")</f>
        <v>0.0</v>
      </c>
      <c r="I590" s="2" t="n">
        <f>HYPERLINK("https://ppubs.uspto.gov/pubwebapp/external.html?q=20220086597.pn.","USPTO")</f>
        <v>0.0</v>
      </c>
      <c r="J590" s="2" t="n">
        <f>HYPERLINK("https://image-ppubs.uspto.gov/dirsearch-public/print/downloadPdf/20220086597","USPTO PDF")</f>
        <v>0.0</v>
      </c>
      <c r="K590" s="2" t="n">
        <f>HYPERLINK("https://sectors.patentforecast.com/pmd/US20220086597","PMD")</f>
        <v>0.0</v>
      </c>
      <c r="L590" s="2" t="n">
        <f>HYPERLINK("https://globaldossier.uspto.gov/result/application/US/17178081/1","US20220086597")</f>
        <v>0.0</v>
      </c>
      <c r="M590" t="s">
        <v>4164</v>
      </c>
      <c r="N590" t="s">
        <v>299</v>
      </c>
      <c r="O590" t="s">
        <v>300</v>
      </c>
      <c r="P590" t="s">
        <v>4165</v>
      </c>
      <c r="Q590" s="3" t="n">
        <v>44244.0</v>
      </c>
      <c r="R590" s="3" t="n">
        <v>44637.0</v>
      </c>
      <c r="S590" s="3" t="n">
        <v>44638.23047966435</v>
      </c>
      <c r="T590" s="3" t="n">
        <v>44719.582867094905</v>
      </c>
      <c r="U590" t="s">
        <v>31</v>
      </c>
      <c r="V590" t="s">
        <v>4166</v>
      </c>
    </row>
    <row r="591">
      <c r="A591" t="s">
        <v>22</v>
      </c>
      <c r="B591" t="s">
        <v>4167</v>
      </c>
      <c r="C591" t="s">
        <v>24</v>
      </c>
      <c r="D591" t="s">
        <v>69</v>
      </c>
      <c r="E591" t="s">
        <v>4168</v>
      </c>
      <c r="F591" s="2" t="n">
        <f>HYPERLINK("https://patents.google.com/patent/US20220086370","Google")</f>
        <v>0.0</v>
      </c>
      <c r="G591" s="2" t="n">
        <f>HYPERLINK("https://patentcenter.uspto.gov/applications/17024057","Patent Center")</f>
        <v>0.0</v>
      </c>
      <c r="H591" s="2" t="n">
        <f>HYPERLINK("https://worldwide.espacenet.com/patent/search?q=US20220086370","Espacenet")</f>
        <v>0.0</v>
      </c>
      <c r="I591" s="2" t="n">
        <f>HYPERLINK("https://ppubs.uspto.gov/pubwebapp/external.html?q=20220086370.pn.","USPTO")</f>
        <v>0.0</v>
      </c>
      <c r="J591" s="2" t="n">
        <f>HYPERLINK("https://image-ppubs.uspto.gov/dirsearch-public/print/downloadPdf/20220086370","USPTO PDF")</f>
        <v>0.0</v>
      </c>
      <c r="K591" s="2" t="n">
        <f>HYPERLINK("https://sectors.patentforecast.com/pmd/US20220086370","PMD")</f>
        <v>0.0</v>
      </c>
      <c r="L591" s="2" t="n">
        <f>HYPERLINK("https://globaldossier.uspto.gov/result/application/US/17024057/1","US20220086370")</f>
        <v>0.0</v>
      </c>
      <c r="M591" t="s">
        <v>4169</v>
      </c>
      <c r="N591" t="s">
        <v>4170</v>
      </c>
      <c r="O591" t="s">
        <v>4171</v>
      </c>
      <c r="P591" t="s">
        <v>4172</v>
      </c>
      <c r="Q591" s="3" t="n">
        <v>44091.0</v>
      </c>
      <c r="R591" s="3" t="n">
        <v>44637.0</v>
      </c>
      <c r="S591" s="3" t="n">
        <v>44638.23047966435</v>
      </c>
      <c r="T591" s="3" t="n">
        <v>44719.58298399305</v>
      </c>
      <c r="U591" t="s">
        <v>4173</v>
      </c>
      <c r="V591" t="s">
        <v>4174</v>
      </c>
    </row>
    <row r="592">
      <c r="A592" t="s">
        <v>22</v>
      </c>
      <c r="B592" t="s">
        <v>4175</v>
      </c>
      <c r="C592" t="s">
        <v>24</v>
      </c>
      <c r="D592" t="s">
        <v>204</v>
      </c>
      <c r="E592" t="s">
        <v>4176</v>
      </c>
      <c r="F592" s="2" t="n">
        <f>HYPERLINK("https://patents.google.com/patent/US20220086011","Google")</f>
        <v>0.0</v>
      </c>
      <c r="G592" s="2" t="n">
        <f>HYPERLINK("https://patentcenter.uspto.gov/applications/17412095","Patent Center")</f>
        <v>0.0</v>
      </c>
      <c r="H592" s="2" t="n">
        <f>HYPERLINK("https://worldwide.espacenet.com/patent/search?q=US20220086011","Espacenet")</f>
        <v>0.0</v>
      </c>
      <c r="I592" s="2" t="n">
        <f>HYPERLINK("https://ppubs.uspto.gov/pubwebapp/external.html?q=20220086011.pn.","USPTO")</f>
        <v>0.0</v>
      </c>
      <c r="J592" s="2" t="n">
        <f>HYPERLINK("https://image-ppubs.uspto.gov/dirsearch-public/print/downloadPdf/20220086011","USPTO PDF")</f>
        <v>0.0</v>
      </c>
      <c r="K592" s="2" t="n">
        <f>HYPERLINK("https://sectors.patentforecast.com/pmd/US20220086011","PMD")</f>
        <v>0.0</v>
      </c>
      <c r="L592" s="2" t="n">
        <f>HYPERLINK("https://globaldossier.uspto.gov/result/application/US/17412095/1","US20220086011")</f>
        <v>0.0</v>
      </c>
      <c r="M592" t="s">
        <v>4177</v>
      </c>
      <c r="N592" t="s">
        <v>4178</v>
      </c>
      <c r="O592" t="s">
        <v>4179</v>
      </c>
      <c r="P592" t="s">
        <v>4180</v>
      </c>
      <c r="Q592" s="3" t="n">
        <v>44433.0</v>
      </c>
      <c r="R592" s="3" t="n">
        <v>44637.0</v>
      </c>
      <c r="S592" s="3" t="n">
        <v>44638.23047966435</v>
      </c>
      <c r="T592" s="3" t="n">
        <v>44719.58312077546</v>
      </c>
      <c r="U592" t="s">
        <v>4181</v>
      </c>
      <c r="V592" t="s">
        <v>4182</v>
      </c>
    </row>
    <row r="593">
      <c r="A593" t="s">
        <v>22</v>
      </c>
      <c r="B593" t="s">
        <v>4183</v>
      </c>
      <c r="C593" t="s">
        <v>24</v>
      </c>
      <c r="D593" t="s">
        <v>204</v>
      </c>
      <c r="E593" t="s">
        <v>4184</v>
      </c>
      <c r="F593" s="2" t="n">
        <f>HYPERLINK("https://patents.google.com/patent/US20220085666","Google")</f>
        <v>0.0</v>
      </c>
      <c r="G593" s="2" t="n">
        <f>HYPERLINK("https://patentcenter.uspto.gov/applications/17408683","Patent Center")</f>
        <v>0.0</v>
      </c>
      <c r="H593" s="2" t="n">
        <f>HYPERLINK("https://worldwide.espacenet.com/patent/search?q=US20220085666","Espacenet")</f>
        <v>0.0</v>
      </c>
      <c r="I593" s="2" t="n">
        <f>HYPERLINK("https://ppubs.uspto.gov/pubwebapp/external.html?q=20220085666.pn.","USPTO")</f>
        <v>0.0</v>
      </c>
      <c r="J593" s="2" t="n">
        <f>HYPERLINK("https://image-ppubs.uspto.gov/dirsearch-public/print/downloadPdf/20220085666","USPTO PDF")</f>
        <v>0.0</v>
      </c>
      <c r="K593" s="2" t="n">
        <f>HYPERLINK("https://sectors.patentforecast.com/pmd/US20220085666","PMD")</f>
        <v>0.0</v>
      </c>
      <c r="L593" s="2" t="n">
        <f>HYPERLINK("https://globaldossier.uspto.gov/result/application/US/17408683/1","US20220085666")</f>
        <v>0.0</v>
      </c>
      <c r="M593" t="s">
        <v>4185</v>
      </c>
      <c r="N593" t="s">
        <v>4186</v>
      </c>
      <c r="O593" t="s">
        <v>4187</v>
      </c>
      <c r="P593" t="s">
        <v>4188</v>
      </c>
      <c r="Q593" s="3" t="n">
        <v>44431.0</v>
      </c>
      <c r="R593" s="3" t="n">
        <v>44637.0</v>
      </c>
      <c r="S593" s="3" t="n">
        <v>44638.23047966435</v>
      </c>
      <c r="T593" s="3" t="n">
        <v>44719.58324173611</v>
      </c>
      <c r="U593" t="s">
        <v>31</v>
      </c>
      <c r="V593" t="s">
        <v>4189</v>
      </c>
    </row>
    <row r="594">
      <c r="A594" t="s">
        <v>22</v>
      </c>
      <c r="B594" t="s">
        <v>4190</v>
      </c>
      <c r="C594" t="s">
        <v>24</v>
      </c>
      <c r="D594" t="s">
        <v>1356</v>
      </c>
      <c r="E594" t="s">
        <v>4191</v>
      </c>
      <c r="F594" s="2" t="n">
        <f>HYPERLINK("https://patents.google.com/patent/US20220084688","Google")</f>
        <v>0.0</v>
      </c>
      <c r="G594" s="2" t="n">
        <f>HYPERLINK("https://patentcenter.uspto.gov/applications/17474850","Patent Center")</f>
        <v>0.0</v>
      </c>
      <c r="H594" s="2" t="n">
        <f>HYPERLINK("https://worldwide.espacenet.com/patent/search?q=US20220084688","Espacenet")</f>
        <v>0.0</v>
      </c>
      <c r="I594" s="2" t="n">
        <f>HYPERLINK("https://ppubs.uspto.gov/pubwebapp/external.html?q=20220084688.pn.","USPTO")</f>
        <v>0.0</v>
      </c>
      <c r="J594" s="2" t="n">
        <f>HYPERLINK("https://image-ppubs.uspto.gov/dirsearch-public/print/downloadPdf/20220084688","USPTO PDF")</f>
        <v>0.0</v>
      </c>
      <c r="K594" s="2" t="n">
        <f>HYPERLINK("https://sectors.patentforecast.com/pmd/US20220084688","PMD")</f>
        <v>0.0</v>
      </c>
      <c r="L594" s="2" t="n">
        <f>HYPERLINK("https://globaldossier.uspto.gov/result/application/US/17474850/1","US20220084688")</f>
        <v>0.0</v>
      </c>
      <c r="M594" t="s">
        <v>4192</v>
      </c>
      <c r="N594" t="s">
        <v>4193</v>
      </c>
      <c r="O594" t="s">
        <v>4194</v>
      </c>
      <c r="P594" t="s">
        <v>4195</v>
      </c>
      <c r="Q594" s="3" t="n">
        <v>44453.0</v>
      </c>
      <c r="R594" s="3" t="n">
        <v>44637.0</v>
      </c>
      <c r="S594" s="3" t="n">
        <v>44638.23047966435</v>
      </c>
      <c r="T594" s="3" t="n">
        <v>44672.47586032408</v>
      </c>
      <c r="U594" t="s">
        <v>31</v>
      </c>
      <c r="V594" t="s">
        <v>4196</v>
      </c>
    </row>
    <row r="595">
      <c r="A595" t="s">
        <v>22</v>
      </c>
      <c r="B595" t="s">
        <v>4197</v>
      </c>
      <c r="C595" t="s">
        <v>24</v>
      </c>
      <c r="D595" t="s">
        <v>204</v>
      </c>
      <c r="E595" t="s">
        <v>4198</v>
      </c>
      <c r="F595" s="2" t="n">
        <f>HYPERLINK("https://patents.google.com/patent/US20220084685","Google")</f>
        <v>0.0</v>
      </c>
      <c r="G595" s="2" t="n">
        <f>HYPERLINK("https://patentcenter.uspto.gov/applications/17535613","Patent Center")</f>
        <v>0.0</v>
      </c>
      <c r="H595" s="2" t="n">
        <f>HYPERLINK("https://worldwide.espacenet.com/patent/search?q=US20220084685","Espacenet")</f>
        <v>0.0</v>
      </c>
      <c r="I595" s="2" t="n">
        <f>HYPERLINK("https://ppubs.uspto.gov/pubwebapp/external.html?q=20220084685.pn.","USPTO")</f>
        <v>0.0</v>
      </c>
      <c r="J595" s="2" t="n">
        <f>HYPERLINK("https://image-ppubs.uspto.gov/dirsearch-public/print/downloadPdf/20220084685","USPTO PDF")</f>
        <v>0.0</v>
      </c>
      <c r="K595" s="2" t="n">
        <f>HYPERLINK("https://sectors.patentforecast.com/pmd/US20220084685","PMD")</f>
        <v>0.0</v>
      </c>
      <c r="L595" s="2" t="n">
        <f>HYPERLINK("https://globaldossier.uspto.gov/result/application/US/17535613/1","US20220084685")</f>
        <v>0.0</v>
      </c>
      <c r="M595" t="s">
        <v>4199</v>
      </c>
      <c r="N595" t="s">
        <v>1792</v>
      </c>
      <c r="O595" t="s">
        <v>1793</v>
      </c>
      <c r="P595" t="s">
        <v>4200</v>
      </c>
      <c r="Q595" s="3" t="n">
        <v>44525.0</v>
      </c>
      <c r="R595" s="3" t="n">
        <v>44637.0</v>
      </c>
      <c r="S595" s="3" t="n">
        <v>44638.23267655093</v>
      </c>
      <c r="T595" s="3" t="n">
        <v>44643.38405898148</v>
      </c>
      <c r="U595" t="s">
        <v>31</v>
      </c>
      <c r="V595" t="s">
        <v>4201</v>
      </c>
    </row>
    <row r="596">
      <c r="A596" t="s">
        <v>22</v>
      </c>
      <c r="B596" t="s">
        <v>4202</v>
      </c>
      <c r="C596" t="s">
        <v>24</v>
      </c>
      <c r="D596" t="s">
        <v>25</v>
      </c>
      <c r="E596" t="s">
        <v>4203</v>
      </c>
      <c r="F596" s="2" t="n">
        <f>HYPERLINK("https://patents.google.com/patent/US20220084672","Google")</f>
        <v>0.0</v>
      </c>
      <c r="G596" s="2" t="n">
        <f>HYPERLINK("https://patentcenter.uspto.gov/applications/17478322","Patent Center")</f>
        <v>0.0</v>
      </c>
      <c r="H596" s="2" t="n">
        <f>HYPERLINK("https://worldwide.espacenet.com/patent/search?q=US20220084672","Espacenet")</f>
        <v>0.0</v>
      </c>
      <c r="I596" s="2" t="n">
        <f>HYPERLINK("https://ppubs.uspto.gov/pubwebapp/external.html?q=20220084672.pn.","USPTO")</f>
        <v>0.0</v>
      </c>
      <c r="J596" s="2" t="n">
        <f>HYPERLINK("https://image-ppubs.uspto.gov/dirsearch-public/print/downloadPdf/20220084672","USPTO PDF")</f>
        <v>0.0</v>
      </c>
      <c r="K596" s="2" t="n">
        <f>HYPERLINK("https://sectors.patentforecast.com/pmd/US20220084672","PMD")</f>
        <v>0.0</v>
      </c>
      <c r="L596" s="2" t="n">
        <f>HYPERLINK("https://globaldossier.uspto.gov/result/application/US/17478322/1","US20220084672")</f>
        <v>0.0</v>
      </c>
      <c r="M596" t="s">
        <v>4204</v>
      </c>
      <c r="N596" t="s">
        <v>4205</v>
      </c>
      <c r="O596" t="s">
        <v>4206</v>
      </c>
      <c r="P596" t="s">
        <v>4207</v>
      </c>
      <c r="Q596" s="3" t="n">
        <v>44456.0</v>
      </c>
      <c r="R596" s="3" t="n">
        <v>44637.0</v>
      </c>
      <c r="S596" s="3" t="n">
        <v>44638.23047966435</v>
      </c>
      <c r="T596" s="3" t="n">
        <v>44719.58337741898</v>
      </c>
      <c r="U596" t="s">
        <v>31</v>
      </c>
      <c r="V596" t="s">
        <v>4208</v>
      </c>
    </row>
    <row r="597">
      <c r="A597" t="s">
        <v>22</v>
      </c>
      <c r="B597" t="s">
        <v>4209</v>
      </c>
      <c r="C597" t="s">
        <v>24</v>
      </c>
      <c r="D597" t="s">
        <v>51</v>
      </c>
      <c r="E597" t="s">
        <v>4210</v>
      </c>
      <c r="F597" s="2" t="n">
        <f>HYPERLINK("https://patents.google.com/patent/US20220084659","Google")</f>
        <v>0.0</v>
      </c>
      <c r="G597" s="2" t="n">
        <f>HYPERLINK("https://patentcenter.uspto.gov/applications/17222819","Patent Center")</f>
        <v>0.0</v>
      </c>
      <c r="H597" s="2" t="n">
        <f>HYPERLINK("https://worldwide.espacenet.com/patent/search?q=US20220084659","Espacenet")</f>
        <v>0.0</v>
      </c>
      <c r="I597" s="2" t="n">
        <f>HYPERLINK("https://ppubs.uspto.gov/pubwebapp/external.html?q=20220084659.pn.","USPTO")</f>
        <v>0.0</v>
      </c>
      <c r="J597" s="2" t="n">
        <f>HYPERLINK("https://image-ppubs.uspto.gov/dirsearch-public/print/downloadPdf/20220084659","USPTO PDF")</f>
        <v>0.0</v>
      </c>
      <c r="K597" s="2" t="n">
        <f>HYPERLINK("https://sectors.patentforecast.com/pmd/US20220084659","PMD")</f>
        <v>0.0</v>
      </c>
      <c r="L597" s="2" t="n">
        <f>HYPERLINK("https://globaldossier.uspto.gov/result/application/US/17222819/1","US20220084659")</f>
        <v>0.0</v>
      </c>
      <c r="M597" t="s">
        <v>4211</v>
      </c>
      <c r="N597" t="s">
        <v>4212</v>
      </c>
      <c r="O597" t="s">
        <v>4213</v>
      </c>
      <c r="P597" t="s">
        <v>4214</v>
      </c>
      <c r="Q597" s="3" t="n">
        <v>44291.0</v>
      </c>
      <c r="R597" s="3" t="n">
        <v>44637.0</v>
      </c>
      <c r="S597" s="3" t="n">
        <v>44638.23047966435</v>
      </c>
      <c r="T597" s="3" t="n">
        <v>44672.43043579861</v>
      </c>
      <c r="U597" t="s">
        <v>4215</v>
      </c>
      <c r="V597" t="s">
        <v>4216</v>
      </c>
    </row>
    <row r="598">
      <c r="A598" t="s">
        <v>22</v>
      </c>
      <c r="B598" t="s">
        <v>4217</v>
      </c>
      <c r="C598" t="s">
        <v>24</v>
      </c>
      <c r="D598" t="s">
        <v>25</v>
      </c>
      <c r="E598" t="s">
        <v>4218</v>
      </c>
      <c r="F598" s="2" t="n">
        <f>HYPERLINK("https://patents.google.com/patent/US20220084638","Google")</f>
        <v>0.0</v>
      </c>
      <c r="G598" s="2" t="n">
        <f>HYPERLINK("https://patentcenter.uspto.gov/applications/17535266","Patent Center")</f>
        <v>0.0</v>
      </c>
      <c r="H598" s="2" t="n">
        <f>HYPERLINK("https://worldwide.espacenet.com/patent/search?q=US20220084638","Espacenet")</f>
        <v>0.0</v>
      </c>
      <c r="I598" s="2" t="n">
        <f>HYPERLINK("https://ppubs.uspto.gov/pubwebapp/external.html?q=20220084638.pn.","USPTO")</f>
        <v>0.0</v>
      </c>
      <c r="J598" s="2" t="n">
        <f>HYPERLINK("https://image-ppubs.uspto.gov/dirsearch-public/print/downloadPdf/20220084638","USPTO PDF")</f>
        <v>0.0</v>
      </c>
      <c r="K598" s="2" t="n">
        <f>HYPERLINK("https://sectors.patentforecast.com/pmd/US20220084638","PMD")</f>
        <v>0.0</v>
      </c>
      <c r="L598" s="2" t="n">
        <f>HYPERLINK("https://globaldossier.uspto.gov/result/application/US/17535266/1","US20220084638")</f>
        <v>0.0</v>
      </c>
      <c r="M598" t="s">
        <v>4219</v>
      </c>
      <c r="N598" t="s">
        <v>4220</v>
      </c>
      <c r="O598" t="s">
        <v>4221</v>
      </c>
      <c r="P598" t="s">
        <v>4222</v>
      </c>
      <c r="Q598" s="3" t="n">
        <v>44524.0</v>
      </c>
      <c r="R598" s="3" t="n">
        <v>44637.0</v>
      </c>
      <c r="S598" s="3" t="n">
        <v>44666.234903310185</v>
      </c>
      <c r="T598" s="3" t="n">
        <v>44719.583654988426</v>
      </c>
      <c r="U598" t="s">
        <v>4223</v>
      </c>
      <c r="V598" t="s">
        <v>4224</v>
      </c>
    </row>
    <row r="599">
      <c r="A599" t="s">
        <v>22</v>
      </c>
      <c r="B599" t="s">
        <v>4225</v>
      </c>
      <c r="C599" t="s">
        <v>24</v>
      </c>
      <c r="D599" t="s">
        <v>51</v>
      </c>
      <c r="E599" t="s">
        <v>4226</v>
      </c>
      <c r="F599" s="2" t="n">
        <f>HYPERLINK("https://patents.google.com/patent/US20220084634","Google")</f>
        <v>0.0</v>
      </c>
      <c r="G599" s="2" t="n">
        <f>HYPERLINK("https://patentcenter.uspto.gov/applications/17021818","Patent Center")</f>
        <v>0.0</v>
      </c>
      <c r="H599" s="2" t="n">
        <f>HYPERLINK("https://worldwide.espacenet.com/patent/search?q=US20220084634","Espacenet")</f>
        <v>0.0</v>
      </c>
      <c r="I599" s="2" t="n">
        <f>HYPERLINK("https://ppubs.uspto.gov/pubwebapp/external.html?q=20220084634.pn.","USPTO")</f>
        <v>0.0</v>
      </c>
      <c r="J599" s="2" t="n">
        <f>HYPERLINK("https://image-ppubs.uspto.gov/dirsearch-public/print/downloadPdf/20220084634","USPTO PDF")</f>
        <v>0.0</v>
      </c>
      <c r="K599" s="2" t="n">
        <f>HYPERLINK("https://sectors.patentforecast.com/pmd/US20220084634","PMD")</f>
        <v>0.0</v>
      </c>
      <c r="L599" s="2" t="n">
        <f>HYPERLINK("https://globaldossier.uspto.gov/result/application/US/17021818/1","US20220084634")</f>
        <v>0.0</v>
      </c>
      <c r="M599" t="s">
        <v>4227</v>
      </c>
      <c r="N599" t="s">
        <v>4228</v>
      </c>
      <c r="O599" t="s">
        <v>4229</v>
      </c>
      <c r="P599" t="s">
        <v>4230</v>
      </c>
      <c r="Q599" s="3" t="n">
        <v>44089.0</v>
      </c>
      <c r="R599" s="3" t="n">
        <v>44637.0</v>
      </c>
      <c r="S599" s="3" t="n">
        <v>44638.23047966435</v>
      </c>
      <c r="T599" s="3" t="n">
        <v>44719.583909305555</v>
      </c>
      <c r="U599" t="s">
        <v>4231</v>
      </c>
      <c r="V599" t="s">
        <v>4232</v>
      </c>
    </row>
    <row r="600">
      <c r="A600" t="s">
        <v>22</v>
      </c>
      <c r="B600" t="s">
        <v>4233</v>
      </c>
      <c r="C600" t="s">
        <v>24</v>
      </c>
      <c r="D600" t="s">
        <v>25</v>
      </c>
      <c r="E600" t="s">
        <v>4234</v>
      </c>
      <c r="F600" s="2" t="n">
        <f>HYPERLINK("https://patents.google.com/patent/US20220084207","Google")</f>
        <v>0.0</v>
      </c>
      <c r="G600" s="2" t="n">
        <f>HYPERLINK("https://patentcenter.uspto.gov/applications/17477867","Patent Center")</f>
        <v>0.0</v>
      </c>
      <c r="H600" s="2" t="n">
        <f>HYPERLINK("https://worldwide.espacenet.com/patent/search?q=US20220084207","Espacenet")</f>
        <v>0.0</v>
      </c>
      <c r="I600" s="2" t="n">
        <f>HYPERLINK("https://ppubs.uspto.gov/pubwebapp/external.html?q=20220084207.pn.","USPTO")</f>
        <v>0.0</v>
      </c>
      <c r="J600" s="2" t="n">
        <f>HYPERLINK("https://image-ppubs.uspto.gov/dirsearch-public/print/downloadPdf/20220084207","USPTO PDF")</f>
        <v>0.0</v>
      </c>
      <c r="K600" s="2" t="n">
        <f>HYPERLINK("https://sectors.patentforecast.com/pmd/US20220084207","PMD")</f>
        <v>0.0</v>
      </c>
      <c r="L600" s="2" t="n">
        <f>HYPERLINK("https://globaldossier.uspto.gov/result/application/US/17477867/1","US20220084207")</f>
        <v>0.0</v>
      </c>
      <c r="M600" t="s">
        <v>4235</v>
      </c>
      <c r="N600" t="s">
        <v>4236</v>
      </c>
      <c r="O600" t="s">
        <v>4237</v>
      </c>
      <c r="P600" t="s">
        <v>4238</v>
      </c>
      <c r="Q600" s="3" t="n">
        <v>44456.0</v>
      </c>
      <c r="R600" s="3" t="n">
        <v>44637.0</v>
      </c>
      <c r="S600" s="3" t="n">
        <v>44638.23047966435</v>
      </c>
      <c r="T600" s="3" t="n">
        <v>44719.58420626158</v>
      </c>
      <c r="U600" t="s">
        <v>4239</v>
      </c>
      <c r="V600" t="s">
        <v>4240</v>
      </c>
    </row>
    <row r="601">
      <c r="A601" t="s">
        <v>22</v>
      </c>
      <c r="B601" t="s">
        <v>4241</v>
      </c>
      <c r="C601" t="s">
        <v>24</v>
      </c>
      <c r="D601" t="s">
        <v>204</v>
      </c>
      <c r="E601" t="s">
        <v>4242</v>
      </c>
      <c r="F601" s="2" t="n">
        <f>HYPERLINK("https://patents.google.com/patent/US20220084143","Google")</f>
        <v>0.0</v>
      </c>
      <c r="G601" s="2" t="n">
        <f>HYPERLINK("https://patentcenter.uspto.gov/applications/17446582","Patent Center")</f>
        <v>0.0</v>
      </c>
      <c r="H601" s="2" t="n">
        <f>HYPERLINK("https://worldwide.espacenet.com/patent/search?q=US20220084143","Espacenet")</f>
        <v>0.0</v>
      </c>
      <c r="I601" s="2" t="n">
        <f>HYPERLINK("https://ppubs.uspto.gov/pubwebapp/external.html?q=20220084143.pn.","USPTO")</f>
        <v>0.0</v>
      </c>
      <c r="J601" s="2" t="n">
        <f>HYPERLINK("https://image-ppubs.uspto.gov/dirsearch-public/print/downloadPdf/20220084143","USPTO PDF")</f>
        <v>0.0</v>
      </c>
      <c r="K601" s="2" t="n">
        <f>HYPERLINK("https://sectors.patentforecast.com/pmd/US20220084143","PMD")</f>
        <v>0.0</v>
      </c>
      <c r="L601" s="2" t="n">
        <f>HYPERLINK("https://globaldossier.uspto.gov/result/application/US/17446582/1","US20220084143")</f>
        <v>0.0</v>
      </c>
      <c r="M601" t="s">
        <v>4243</v>
      </c>
      <c r="N601" t="s">
        <v>4244</v>
      </c>
      <c r="O601" t="s">
        <v>4245</v>
      </c>
      <c r="P601" t="s">
        <v>4246</v>
      </c>
      <c r="Q601" s="3" t="n">
        <v>44439.0</v>
      </c>
      <c r="R601" s="3" t="n">
        <v>44637.0</v>
      </c>
      <c r="S601" s="3" t="n">
        <v>44638.23047966435</v>
      </c>
      <c r="T601" s="3" t="n">
        <v>44719.58426189815</v>
      </c>
      <c r="U601" t="s">
        <v>4247</v>
      </c>
      <c r="V601" t="s">
        <v>4248</v>
      </c>
    </row>
    <row r="602">
      <c r="A602" t="s">
        <v>22</v>
      </c>
      <c r="B602" t="s">
        <v>4249</v>
      </c>
      <c r="C602" t="s">
        <v>24</v>
      </c>
      <c r="D602" t="s">
        <v>204</v>
      </c>
      <c r="E602" t="s">
        <v>4250</v>
      </c>
      <c r="F602" s="2" t="n">
        <f>HYPERLINK("https://patents.google.com/patent/US20220084141","Google")</f>
        <v>0.0</v>
      </c>
      <c r="G602" s="2" t="n">
        <f>HYPERLINK("https://patentcenter.uspto.gov/applications/17420349","Patent Center")</f>
        <v>0.0</v>
      </c>
      <c r="H602" s="2" t="n">
        <f>HYPERLINK("https://worldwide.espacenet.com/patent/search?q=US20220084141","Espacenet")</f>
        <v>0.0</v>
      </c>
      <c r="I602" s="2" t="n">
        <f>HYPERLINK("https://ppubs.uspto.gov/pubwebapp/external.html?q=20220084141.pn.","USPTO")</f>
        <v>0.0</v>
      </c>
      <c r="J602" s="2" t="n">
        <f>HYPERLINK("https://image-ppubs.uspto.gov/dirsearch-public/print/downloadPdf/20220084141","USPTO PDF")</f>
        <v>0.0</v>
      </c>
      <c r="K602" s="2" t="n">
        <f>HYPERLINK("https://sectors.patentforecast.com/pmd/US20220084141","PMD")</f>
        <v>0.0</v>
      </c>
      <c r="L602" s="2" t="n">
        <f>HYPERLINK("https://globaldossier.uspto.gov/result/application/US/17420349/1","US20220084141")</f>
        <v>0.0</v>
      </c>
      <c r="M602" t="s">
        <v>4251</v>
      </c>
      <c r="N602" t="s">
        <v>4252</v>
      </c>
      <c r="O602" t="s">
        <v>4253</v>
      </c>
      <c r="P602" t="s">
        <v>4254</v>
      </c>
      <c r="Q602" s="3" t="n">
        <v>44230.0</v>
      </c>
      <c r="R602" s="3" t="n">
        <v>44637.0</v>
      </c>
      <c r="S602" s="3" t="n">
        <v>44638.23047966435</v>
      </c>
      <c r="T602" s="3" t="n">
        <v>44719.584312673614</v>
      </c>
      <c r="U602" t="s">
        <v>31</v>
      </c>
      <c r="V602" t="s">
        <v>4255</v>
      </c>
    </row>
    <row r="603">
      <c r="A603" t="s">
        <v>22</v>
      </c>
      <c r="B603" t="s">
        <v>4256</v>
      </c>
      <c r="C603" t="s">
        <v>24</v>
      </c>
      <c r="D603" t="s">
        <v>69</v>
      </c>
      <c r="E603" t="s">
        <v>4257</v>
      </c>
      <c r="F603" s="2" t="n">
        <f>HYPERLINK("https://patents.google.com/patent/US20220083978","Google")</f>
        <v>0.0</v>
      </c>
      <c r="G603" s="2" t="n">
        <f>HYPERLINK("https://patentcenter.uspto.gov/applications/17535610","Patent Center")</f>
        <v>0.0</v>
      </c>
      <c r="H603" s="2" t="n">
        <f>HYPERLINK("https://worldwide.espacenet.com/patent/search?q=US20220083978","Espacenet")</f>
        <v>0.0</v>
      </c>
      <c r="I603" s="2" t="n">
        <f>HYPERLINK("https://ppubs.uspto.gov/pubwebapp/external.html?q=20220083978.pn.","USPTO")</f>
        <v>0.0</v>
      </c>
      <c r="J603" s="2" t="n">
        <f>HYPERLINK("https://image-ppubs.uspto.gov/dirsearch-public/print/downloadPdf/20220083978","USPTO PDF")</f>
        <v>0.0</v>
      </c>
      <c r="K603" s="2" t="n">
        <f>HYPERLINK("https://sectors.patentforecast.com/pmd/US20220083978","PMD")</f>
        <v>0.0</v>
      </c>
      <c r="L603" s="2" t="n">
        <f>HYPERLINK("https://globaldossier.uspto.gov/result/application/US/17535610/1","US20220083978")</f>
        <v>0.0</v>
      </c>
      <c r="M603" t="s">
        <v>4258</v>
      </c>
      <c r="N603" t="s">
        <v>4259</v>
      </c>
      <c r="O603" t="s">
        <v>4260</v>
      </c>
      <c r="P603" t="s">
        <v>4261</v>
      </c>
      <c r="Q603" s="3" t="n">
        <v>44525.0</v>
      </c>
      <c r="R603" s="3" t="n">
        <v>44637.0</v>
      </c>
      <c r="S603" s="3" t="n">
        <v>44638.23047966435</v>
      </c>
      <c r="T603" s="3" t="n">
        <v>44719.584432592594</v>
      </c>
      <c r="U603" t="s">
        <v>4262</v>
      </c>
      <c r="V603" t="s">
        <v>4263</v>
      </c>
    </row>
    <row r="604">
      <c r="A604" t="s">
        <v>22</v>
      </c>
      <c r="B604" t="s">
        <v>4264</v>
      </c>
      <c r="C604" t="s">
        <v>24</v>
      </c>
      <c r="D604" t="s">
        <v>69</v>
      </c>
      <c r="E604" t="s">
        <v>4265</v>
      </c>
      <c r="F604" s="2" t="n">
        <f>HYPERLINK("https://patents.google.com/patent/US20220083932","Google")</f>
        <v>0.0</v>
      </c>
      <c r="G604" s="2" t="n">
        <f>HYPERLINK("https://patentcenter.uspto.gov/applications/17022171","Patent Center")</f>
        <v>0.0</v>
      </c>
      <c r="H604" s="2" t="n">
        <f>HYPERLINK("https://worldwide.espacenet.com/patent/search?q=US20220083932","Espacenet")</f>
        <v>0.0</v>
      </c>
      <c r="I604" s="2" t="n">
        <f>HYPERLINK("https://ppubs.uspto.gov/pubwebapp/external.html?q=20220083932.pn.","USPTO")</f>
        <v>0.0</v>
      </c>
      <c r="J604" s="2" t="n">
        <f>HYPERLINK("https://image-ppubs.uspto.gov/dirsearch-public/print/downloadPdf/20220083932","USPTO PDF")</f>
        <v>0.0</v>
      </c>
      <c r="K604" s="2" t="n">
        <f>HYPERLINK("https://sectors.patentforecast.com/pmd/US20220083932","PMD")</f>
        <v>0.0</v>
      </c>
      <c r="L604" s="2" t="n">
        <f>HYPERLINK("https://globaldossier.uspto.gov/result/application/US/17022171/1","US20220083932")</f>
        <v>0.0</v>
      </c>
      <c r="M604" t="s">
        <v>4266</v>
      </c>
      <c r="N604" t="s">
        <v>947</v>
      </c>
      <c r="O604" t="s">
        <v>948</v>
      </c>
      <c r="P604" t="s">
        <v>4267</v>
      </c>
      <c r="Q604" s="3" t="n">
        <v>44090.0</v>
      </c>
      <c r="R604" s="3" t="n">
        <v>44637.0</v>
      </c>
      <c r="S604" s="3" t="n">
        <v>44638.23267655093</v>
      </c>
      <c r="T604" s="3" t="n">
        <v>44672.48017819445</v>
      </c>
      <c r="U604" t="s">
        <v>31</v>
      </c>
      <c r="V604" t="s">
        <v>4268</v>
      </c>
    </row>
    <row r="605">
      <c r="A605" t="s">
        <v>22</v>
      </c>
      <c r="B605" t="s">
        <v>4269</v>
      </c>
      <c r="C605" t="s">
        <v>24</v>
      </c>
      <c r="D605" t="s">
        <v>204</v>
      </c>
      <c r="E605" t="s">
        <v>4270</v>
      </c>
      <c r="F605" s="2" t="n">
        <f>HYPERLINK("https://patents.google.com/patent/US20220083760","Google")</f>
        <v>0.0</v>
      </c>
      <c r="G605" s="2" t="n">
        <f>HYPERLINK("https://patentcenter.uspto.gov/applications/17477245","Patent Center")</f>
        <v>0.0</v>
      </c>
      <c r="H605" s="2" t="n">
        <f>HYPERLINK("https://worldwide.espacenet.com/patent/search?q=US20220083760","Espacenet")</f>
        <v>0.0</v>
      </c>
      <c r="I605" s="2" t="n">
        <f>HYPERLINK("https://ppubs.uspto.gov/pubwebapp/external.html?q=20220083760.pn.","USPTO")</f>
        <v>0.0</v>
      </c>
      <c r="J605" s="2" t="n">
        <f>HYPERLINK("https://image-ppubs.uspto.gov/dirsearch-public/print/downloadPdf/20220083760","USPTO PDF")</f>
        <v>0.0</v>
      </c>
      <c r="K605" s="2" t="n">
        <f>HYPERLINK("https://sectors.patentforecast.com/pmd/US20220083760","PMD")</f>
        <v>0.0</v>
      </c>
      <c r="L605" s="2" t="n">
        <f>HYPERLINK("https://globaldossier.uspto.gov/result/application/US/17477245/1","US20220083760")</f>
        <v>0.0</v>
      </c>
      <c r="M605" t="s">
        <v>4271</v>
      </c>
      <c r="N605" t="s">
        <v>4272</v>
      </c>
      <c r="O605" t="s">
        <v>4273</v>
      </c>
      <c r="P605" t="s">
        <v>4274</v>
      </c>
      <c r="Q605" s="3" t="n">
        <v>44455.0</v>
      </c>
      <c r="R605" s="3" t="n">
        <v>44637.0</v>
      </c>
      <c r="S605" s="3" t="n">
        <v>44638.23047966435</v>
      </c>
      <c r="T605" s="3" t="n">
        <v>44719.58474702546</v>
      </c>
      <c r="U605" t="s">
        <v>4275</v>
      </c>
      <c r="V605" t="s">
        <v>4276</v>
      </c>
    </row>
    <row r="606">
      <c r="A606" t="s">
        <v>22</v>
      </c>
      <c r="B606" t="s">
        <v>4277</v>
      </c>
      <c r="C606" t="s">
        <v>24</v>
      </c>
      <c r="D606" t="s">
        <v>204</v>
      </c>
      <c r="E606" t="s">
        <v>4278</v>
      </c>
      <c r="F606" s="2" t="n">
        <f>HYPERLINK("https://patents.google.com/patent/US20220083142","Google")</f>
        <v>0.0</v>
      </c>
      <c r="G606" s="2" t="n">
        <f>HYPERLINK("https://patentcenter.uspto.gov/applications/17477536","Patent Center")</f>
        <v>0.0</v>
      </c>
      <c r="H606" s="2" t="n">
        <f>HYPERLINK("https://worldwide.espacenet.com/patent/search?q=US20220083142","Espacenet")</f>
        <v>0.0</v>
      </c>
      <c r="I606" s="2" t="n">
        <f>HYPERLINK("https://ppubs.uspto.gov/pubwebapp/external.html?q=20220083142.pn.","USPTO")</f>
        <v>0.0</v>
      </c>
      <c r="J606" s="2" t="n">
        <f>HYPERLINK("https://image-ppubs.uspto.gov/dirsearch-public/print/downloadPdf/20220083142","USPTO PDF")</f>
        <v>0.0</v>
      </c>
      <c r="K606" s="2" t="n">
        <f>HYPERLINK("https://sectors.patentforecast.com/pmd/US20220083142","PMD")</f>
        <v>0.0</v>
      </c>
      <c r="L606" s="2" t="n">
        <f>HYPERLINK("https://globaldossier.uspto.gov/result/application/US/17477536/1","US20220083142")</f>
        <v>0.0</v>
      </c>
      <c r="M606" t="s">
        <v>4279</v>
      </c>
      <c r="N606" t="s">
        <v>4280</v>
      </c>
      <c r="O606" t="s">
        <v>4281</v>
      </c>
      <c r="P606" t="s">
        <v>4282</v>
      </c>
      <c r="Q606" s="3" t="n">
        <v>44456.0</v>
      </c>
      <c r="R606" s="3" t="n">
        <v>44637.0</v>
      </c>
      <c r="S606" s="3" t="n">
        <v>44638.23047966435</v>
      </c>
      <c r="T606" s="3" t="n">
        <v>44719.5854081713</v>
      </c>
      <c r="U606" t="s">
        <v>31</v>
      </c>
      <c r="V606" t="s">
        <v>4283</v>
      </c>
    </row>
    <row r="607">
      <c r="A607" t="s">
        <v>22</v>
      </c>
      <c r="B607" t="s">
        <v>4284</v>
      </c>
      <c r="C607" t="s">
        <v>24</v>
      </c>
      <c r="D607" t="s">
        <v>69</v>
      </c>
      <c r="E607" t="s">
        <v>4285</v>
      </c>
      <c r="F607" s="2" t="n">
        <f>HYPERLINK("https://patents.google.com/patent/US20220082280","Google")</f>
        <v>0.0</v>
      </c>
      <c r="G607" s="2" t="n">
        <f>HYPERLINK("https://patentcenter.uspto.gov/applications/17476351","Patent Center")</f>
        <v>0.0</v>
      </c>
      <c r="H607" s="2" t="n">
        <f>HYPERLINK("https://worldwide.espacenet.com/patent/search?q=US20220082280","Espacenet")</f>
        <v>0.0</v>
      </c>
      <c r="I607" s="2" t="n">
        <f>HYPERLINK("https://ppubs.uspto.gov/pubwebapp/external.html?q=20220082280.pn.","USPTO")</f>
        <v>0.0</v>
      </c>
      <c r="J607" s="2" t="n">
        <f>HYPERLINK("https://image-ppubs.uspto.gov/dirsearch-public/print/downloadPdf/20220082280","USPTO PDF")</f>
        <v>0.0</v>
      </c>
      <c r="K607" s="2" t="n">
        <f>HYPERLINK("https://sectors.patentforecast.com/pmd/US20220082280","PMD")</f>
        <v>0.0</v>
      </c>
      <c r="L607" s="2" t="n">
        <f>HYPERLINK("https://globaldossier.uspto.gov/result/application/US/17476351/1","US20220082280")</f>
        <v>0.0</v>
      </c>
      <c r="M607" t="s">
        <v>4286</v>
      </c>
      <c r="N607" t="s">
        <v>1520</v>
      </c>
      <c r="O607" t="s">
        <v>1521</v>
      </c>
      <c r="P607" t="s">
        <v>4287</v>
      </c>
      <c r="Q607" s="3" t="n">
        <v>44454.0</v>
      </c>
      <c r="R607" s="3" t="n">
        <v>44637.0</v>
      </c>
      <c r="S607" s="3" t="n">
        <v>44638.23047966435</v>
      </c>
      <c r="T607" s="3" t="n">
        <v>44658.61418924769</v>
      </c>
      <c r="U607" t="s">
        <v>31</v>
      </c>
      <c r="V607" t="s">
        <v>4288</v>
      </c>
    </row>
    <row r="608">
      <c r="A608" t="s">
        <v>22</v>
      </c>
      <c r="B608" t="s">
        <v>4289</v>
      </c>
      <c r="C608" t="s">
        <v>24</v>
      </c>
      <c r="D608" t="s">
        <v>69</v>
      </c>
      <c r="E608" t="s">
        <v>4290</v>
      </c>
      <c r="F608" s="2" t="n">
        <f>HYPERLINK("https://patents.google.com/patent/US20220082277","Google")</f>
        <v>0.0</v>
      </c>
      <c r="G608" s="2" t="n">
        <f>HYPERLINK("https://patentcenter.uspto.gov/applications/17019198","Patent Center")</f>
        <v>0.0</v>
      </c>
      <c r="H608" s="2" t="n">
        <f>HYPERLINK("https://worldwide.espacenet.com/patent/search?q=US20220082277","Espacenet")</f>
        <v>0.0</v>
      </c>
      <c r="I608" s="2" t="n">
        <f>HYPERLINK("https://ppubs.uspto.gov/pubwebapp/external.html?q=20220082277.pn.","USPTO")</f>
        <v>0.0</v>
      </c>
      <c r="J608" s="2" t="n">
        <f>HYPERLINK("https://image-ppubs.uspto.gov/dirsearch-public/print/downloadPdf/20220082277","USPTO PDF")</f>
        <v>0.0</v>
      </c>
      <c r="K608" s="2" t="n">
        <f>HYPERLINK("https://sectors.patentforecast.com/pmd/US20220082277","PMD")</f>
        <v>0.0</v>
      </c>
      <c r="L608" s="2" t="n">
        <f>HYPERLINK("https://globaldossier.uspto.gov/result/application/US/17019198/1","US20220082277")</f>
        <v>0.0</v>
      </c>
      <c r="M608" t="s">
        <v>4291</v>
      </c>
      <c r="N608" t="s">
        <v>4292</v>
      </c>
      <c r="O608" t="s">
        <v>4292</v>
      </c>
      <c r="P608" t="s">
        <v>4293</v>
      </c>
      <c r="Q608" s="3" t="n">
        <v>44086.0</v>
      </c>
      <c r="R608" s="3" t="n">
        <v>44637.0</v>
      </c>
      <c r="S608" s="3" t="n">
        <v>44638.23047966435</v>
      </c>
      <c r="T608" s="3" t="n">
        <v>44658.59364530093</v>
      </c>
      <c r="U608" t="s">
        <v>31</v>
      </c>
      <c r="V608" t="s">
        <v>4294</v>
      </c>
    </row>
    <row r="609">
      <c r="A609" t="s">
        <v>22</v>
      </c>
      <c r="B609" t="s">
        <v>4295</v>
      </c>
      <c r="C609" t="s">
        <v>24</v>
      </c>
      <c r="D609" t="s">
        <v>69</v>
      </c>
      <c r="E609" t="s">
        <v>4296</v>
      </c>
      <c r="F609" s="2" t="n">
        <f>HYPERLINK("https://patents.google.com/patent/US20220081885","Google")</f>
        <v>0.0</v>
      </c>
      <c r="G609" s="2" t="n">
        <f>HYPERLINK("https://patentcenter.uspto.gov/applications/17021538","Patent Center")</f>
        <v>0.0</v>
      </c>
      <c r="H609" s="2" t="n">
        <f>HYPERLINK("https://worldwide.espacenet.com/patent/search?q=US20220081885","Espacenet")</f>
        <v>0.0</v>
      </c>
      <c r="I609" s="2" t="n">
        <f>HYPERLINK("https://ppubs.uspto.gov/pubwebapp/external.html?q=20220081885.pn.","USPTO")</f>
        <v>0.0</v>
      </c>
      <c r="J609" s="2" t="n">
        <f>HYPERLINK("https://image-ppubs.uspto.gov/dirsearch-public/print/downloadPdf/20220081885","USPTO PDF")</f>
        <v>0.0</v>
      </c>
      <c r="K609" s="2" t="n">
        <f>HYPERLINK("https://sectors.patentforecast.com/pmd/US20220081885","PMD")</f>
        <v>0.0</v>
      </c>
      <c r="L609" s="2" t="n">
        <f>HYPERLINK("https://globaldossier.uspto.gov/result/application/US/17021538/1","US20220081885")</f>
        <v>0.0</v>
      </c>
      <c r="M609" t="s">
        <v>4297</v>
      </c>
      <c r="N609" t="s">
        <v>4298</v>
      </c>
      <c r="O609" t="s">
        <v>4299</v>
      </c>
      <c r="P609" t="s">
        <v>4300</v>
      </c>
      <c r="Q609" s="3" t="n">
        <v>44089.0</v>
      </c>
      <c r="R609" s="3" t="n">
        <v>44637.0</v>
      </c>
      <c r="S609" s="3" t="n">
        <v>44638.23047966435</v>
      </c>
      <c r="T609" s="3" t="n">
        <v>44672.36699717592</v>
      </c>
      <c r="U609" t="s">
        <v>4301</v>
      </c>
      <c r="V609" t="s">
        <v>4302</v>
      </c>
    </row>
    <row r="610">
      <c r="A610" t="s">
        <v>22</v>
      </c>
      <c r="B610" t="s">
        <v>4303</v>
      </c>
      <c r="C610" t="s">
        <v>24</v>
      </c>
      <c r="D610" t="s">
        <v>51</v>
      </c>
      <c r="E610" t="s">
        <v>4304</v>
      </c>
      <c r="F610" s="2" t="n">
        <f>HYPERLINK("https://patents.google.com/patent/US20220081730","Google")</f>
        <v>0.0</v>
      </c>
      <c r="G610" s="2" t="n">
        <f>HYPERLINK("https://patentcenter.uspto.gov/applications/17533829","Patent Center")</f>
        <v>0.0</v>
      </c>
      <c r="H610" s="2" t="n">
        <f>HYPERLINK("https://worldwide.espacenet.com/patent/search?q=US20220081730","Espacenet")</f>
        <v>0.0</v>
      </c>
      <c r="I610" s="2" t="n">
        <f>HYPERLINK("https://ppubs.uspto.gov/pubwebapp/external.html?q=20220081730.pn.","USPTO")</f>
        <v>0.0</v>
      </c>
      <c r="J610" s="2" t="n">
        <f>HYPERLINK("https://image-ppubs.uspto.gov/dirsearch-public/print/downloadPdf/20220081730","USPTO PDF")</f>
        <v>0.0</v>
      </c>
      <c r="K610" s="2" t="n">
        <f>HYPERLINK("https://sectors.patentforecast.com/pmd/US20220081730","PMD")</f>
        <v>0.0</v>
      </c>
      <c r="L610" s="2" t="n">
        <f>HYPERLINK("https://globaldossier.uspto.gov/result/application/US/17533829/1","US20220081730")</f>
        <v>0.0</v>
      </c>
      <c r="M610" t="s">
        <v>4305</v>
      </c>
      <c r="N610" t="s">
        <v>4306</v>
      </c>
      <c r="O610" t="s">
        <v>4307</v>
      </c>
      <c r="P610" t="s">
        <v>4308</v>
      </c>
      <c r="Q610" s="3" t="n">
        <v>44523.0</v>
      </c>
      <c r="R610" s="3" t="n">
        <v>44637.0</v>
      </c>
      <c r="S610" s="3" t="n">
        <v>44638.23047966435</v>
      </c>
      <c r="T610" s="3" t="n">
        <v>44719.58550631945</v>
      </c>
      <c r="U610" t="s">
        <v>31</v>
      </c>
      <c r="V610" t="s">
        <v>4309</v>
      </c>
    </row>
    <row r="611">
      <c r="A611" t="s">
        <v>22</v>
      </c>
      <c r="B611" t="s">
        <v>4310</v>
      </c>
      <c r="C611" t="s">
        <v>60</v>
      </c>
      <c r="D611" t="s">
        <v>61</v>
      </c>
      <c r="E611" t="s">
        <v>4311</v>
      </c>
      <c r="F611" s="2" t="n">
        <f>HYPERLINK("https://patents.google.com/patent/US20220081678","Google")</f>
        <v>0.0</v>
      </c>
      <c r="G611" s="2" t="n">
        <f>HYPERLINK("https://patentcenter.uspto.gov/applications/17154117","Patent Center")</f>
        <v>0.0</v>
      </c>
      <c r="H611" s="2" t="n">
        <f>HYPERLINK("https://worldwide.espacenet.com/patent/search?q=US20220081678","Espacenet")</f>
        <v>0.0</v>
      </c>
      <c r="I611" s="2" t="n">
        <f>HYPERLINK("https://ppubs.uspto.gov/pubwebapp/external.html?q=20220081678.pn.","USPTO")</f>
        <v>0.0</v>
      </c>
      <c r="J611" s="2" t="n">
        <f>HYPERLINK("https://image-ppubs.uspto.gov/dirsearch-public/print/downloadPdf/20220081678","USPTO PDF")</f>
        <v>0.0</v>
      </c>
      <c r="K611" s="2" t="n">
        <f>HYPERLINK("https://sectors.patentforecast.com/pmd/US20220081678","PMD")</f>
        <v>0.0</v>
      </c>
      <c r="L611" s="2" t="n">
        <f>HYPERLINK("https://globaldossier.uspto.gov/result/application/US/17154117/1","US20220081678")</f>
        <v>0.0</v>
      </c>
      <c r="M611" t="s">
        <v>4312</v>
      </c>
      <c r="N611" t="s">
        <v>4313</v>
      </c>
      <c r="O611" t="s">
        <v>4314</v>
      </c>
      <c r="P611" t="s">
        <v>4315</v>
      </c>
      <c r="Q611" s="3" t="n">
        <v>44217.0</v>
      </c>
      <c r="R611" s="3" t="n">
        <v>44637.0</v>
      </c>
      <c r="S611" s="3" t="n">
        <v>44638.23047966435</v>
      </c>
      <c r="T611" s="3" t="n">
        <v>44658.63989225694</v>
      </c>
      <c r="U611" t="s">
        <v>4316</v>
      </c>
      <c r="V611" t="s">
        <v>4317</v>
      </c>
    </row>
    <row r="612">
      <c r="A612" t="s">
        <v>22</v>
      </c>
      <c r="B612" t="s">
        <v>4318</v>
      </c>
      <c r="C612" t="s">
        <v>60</v>
      </c>
      <c r="D612" t="s">
        <v>77</v>
      </c>
      <c r="E612" t="s">
        <v>4319</v>
      </c>
      <c r="F612" s="2" t="n">
        <f>HYPERLINK("https://patents.google.com/patent/US20220081489","Google")</f>
        <v>0.0</v>
      </c>
      <c r="G612" s="2" t="n">
        <f>HYPERLINK("https://patentcenter.uspto.gov/applications/17153684","Patent Center")</f>
        <v>0.0</v>
      </c>
      <c r="H612" s="2" t="n">
        <f>HYPERLINK("https://worldwide.espacenet.com/patent/search?q=US20220081489","Espacenet")</f>
        <v>0.0</v>
      </c>
      <c r="I612" s="2" t="n">
        <f>HYPERLINK("https://ppubs.uspto.gov/pubwebapp/external.html?q=20220081489.pn.","USPTO")</f>
        <v>0.0</v>
      </c>
      <c r="J612" s="2" t="n">
        <f>HYPERLINK("https://image-ppubs.uspto.gov/dirsearch-public/print/downloadPdf/20220081489","USPTO PDF")</f>
        <v>0.0</v>
      </c>
      <c r="K612" s="2" t="n">
        <f>HYPERLINK("https://sectors.patentforecast.com/pmd/US20220081489","PMD")</f>
        <v>0.0</v>
      </c>
      <c r="L612" s="2" t="n">
        <f>HYPERLINK("https://globaldossier.uspto.gov/result/application/US/17153684/1","US20220081489")</f>
        <v>0.0</v>
      </c>
      <c r="M612" t="s">
        <v>4320</v>
      </c>
      <c r="N612" t="s">
        <v>4321</v>
      </c>
      <c r="O612" t="s">
        <v>4322</v>
      </c>
      <c r="P612" t="s">
        <v>4323</v>
      </c>
      <c r="Q612" s="3" t="n">
        <v>44216.0</v>
      </c>
      <c r="R612" s="3" t="n">
        <v>44637.0</v>
      </c>
      <c r="S612" s="3" t="n">
        <v>44643.23275070602</v>
      </c>
      <c r="T612" s="3" t="n">
        <v>44643.40233375</v>
      </c>
      <c r="U612" t="s">
        <v>4324</v>
      </c>
      <c r="V612" t="s">
        <v>4325</v>
      </c>
    </row>
    <row r="613">
      <c r="A613" t="s">
        <v>22</v>
      </c>
      <c r="B613" t="s">
        <v>4326</v>
      </c>
      <c r="C613" t="s">
        <v>60</v>
      </c>
      <c r="D613" t="s">
        <v>61</v>
      </c>
      <c r="E613" t="s">
        <v>4327</v>
      </c>
      <c r="F613" s="2" t="n">
        <f>HYPERLINK("https://patents.google.com/patent/US20220081462","Google")</f>
        <v>0.0</v>
      </c>
      <c r="G613" s="2" t="n">
        <f>HYPERLINK("https://patentcenter.uspto.gov/applications/17458023","Patent Center")</f>
        <v>0.0</v>
      </c>
      <c r="H613" s="2" t="n">
        <f>HYPERLINK("https://worldwide.espacenet.com/patent/search?q=US20220081462","Espacenet")</f>
        <v>0.0</v>
      </c>
      <c r="I613" s="2" t="n">
        <f>HYPERLINK("https://ppubs.uspto.gov/pubwebapp/external.html?q=20220081462.pn.","USPTO")</f>
        <v>0.0</v>
      </c>
      <c r="J613" s="2" t="n">
        <f>HYPERLINK("https://image-ppubs.uspto.gov/dirsearch-public/print/downloadPdf/20220081462","USPTO PDF")</f>
        <v>0.0</v>
      </c>
      <c r="K613" s="2" t="n">
        <f>HYPERLINK("https://sectors.patentforecast.com/pmd/US20220081462","PMD")</f>
        <v>0.0</v>
      </c>
      <c r="L613" s="2" t="n">
        <f>HYPERLINK("https://globaldossier.uspto.gov/result/application/US/17458023/1","US20220081462")</f>
        <v>0.0</v>
      </c>
      <c r="M613" t="s">
        <v>4328</v>
      </c>
      <c r="N613" t="s">
        <v>664</v>
      </c>
      <c r="O613" t="s">
        <v>665</v>
      </c>
      <c r="P613" t="s">
        <v>4329</v>
      </c>
      <c r="Q613" s="3" t="n">
        <v>44434.0</v>
      </c>
      <c r="R613" s="3" t="n">
        <v>44637.0</v>
      </c>
      <c r="S613" s="3" t="n">
        <v>44638.23047966435</v>
      </c>
      <c r="T613" s="3" t="n">
        <v>44638.665386319444</v>
      </c>
      <c r="U613" t="s">
        <v>31</v>
      </c>
      <c r="V613" t="s">
        <v>4330</v>
      </c>
    </row>
    <row r="614">
      <c r="A614" t="s">
        <v>22</v>
      </c>
      <c r="B614" t="s">
        <v>4331</v>
      </c>
      <c r="C614" t="s">
        <v>60</v>
      </c>
      <c r="D614" t="s">
        <v>61</v>
      </c>
      <c r="E614" t="s">
        <v>662</v>
      </c>
      <c r="F614" s="2" t="n">
        <f>HYPERLINK("https://patents.google.com/patent/US20220081455","Google")</f>
        <v>0.0</v>
      </c>
      <c r="G614" s="2" t="n">
        <f>HYPERLINK("https://patentcenter.uspto.gov/applications/17409261","Patent Center")</f>
        <v>0.0</v>
      </c>
      <c r="H614" s="2" t="n">
        <f>HYPERLINK("https://worldwide.espacenet.com/patent/search?q=US20220081455","Espacenet")</f>
        <v>0.0</v>
      </c>
      <c r="I614" s="2" t="n">
        <f>HYPERLINK("https://ppubs.uspto.gov/pubwebapp/external.html?q=20220081455.pn.","USPTO")</f>
        <v>0.0</v>
      </c>
      <c r="J614" s="2" t="n">
        <f>HYPERLINK("https://image-ppubs.uspto.gov/dirsearch-public/print/downloadPdf/20220081455","USPTO PDF")</f>
        <v>0.0</v>
      </c>
      <c r="K614" s="2" t="n">
        <f>HYPERLINK("https://sectors.patentforecast.com/pmd/US20220081455","PMD")</f>
        <v>0.0</v>
      </c>
      <c r="L614" s="2" t="n">
        <f>HYPERLINK("https://globaldossier.uspto.gov/result/application/US/17409261/1","US20220081455")</f>
        <v>0.0</v>
      </c>
      <c r="M614" t="s">
        <v>4332</v>
      </c>
      <c r="N614" t="s">
        <v>664</v>
      </c>
      <c r="O614" t="s">
        <v>665</v>
      </c>
      <c r="P614" t="s">
        <v>4333</v>
      </c>
      <c r="Q614" s="3" t="n">
        <v>44431.0</v>
      </c>
      <c r="R614" s="3" t="n">
        <v>44637.0</v>
      </c>
      <c r="S614" s="3" t="n">
        <v>44638.23047966435</v>
      </c>
      <c r="T614" s="3" t="n">
        <v>44638.66561023148</v>
      </c>
      <c r="U614" t="s">
        <v>4334</v>
      </c>
      <c r="V614" t="s">
        <v>4335</v>
      </c>
    </row>
    <row r="615">
      <c r="A615" t="s">
        <v>22</v>
      </c>
      <c r="B615" t="s">
        <v>4336</v>
      </c>
      <c r="C615" t="s">
        <v>24</v>
      </c>
      <c r="D615" t="s">
        <v>69</v>
      </c>
      <c r="E615" t="s">
        <v>4337</v>
      </c>
      <c r="F615" s="2" t="n">
        <f>HYPERLINK("https://patents.google.com/patent/US20220081274","Google")</f>
        <v>0.0</v>
      </c>
      <c r="G615" s="2" t="n">
        <f>HYPERLINK("https://patentcenter.uspto.gov/applications/17020306","Patent Center")</f>
        <v>0.0</v>
      </c>
      <c r="H615" s="2" t="n">
        <f>HYPERLINK("https://worldwide.espacenet.com/patent/search?q=US20220081274","Espacenet")</f>
        <v>0.0</v>
      </c>
      <c r="I615" s="2" t="n">
        <f>HYPERLINK("https://ppubs.uspto.gov/pubwebapp/external.html?q=20220081274.pn.","USPTO")</f>
        <v>0.0</v>
      </c>
      <c r="J615" s="2" t="n">
        <f>HYPERLINK("https://image-ppubs.uspto.gov/dirsearch-public/print/downloadPdf/20220081274","USPTO PDF")</f>
        <v>0.0</v>
      </c>
      <c r="K615" s="2" t="n">
        <f>HYPERLINK("https://sectors.patentforecast.com/pmd/US20220081274","PMD")</f>
        <v>0.0</v>
      </c>
      <c r="L615" s="2" t="n">
        <f>HYPERLINK("https://globaldossier.uspto.gov/result/application/US/17020306/1","US20220081274")</f>
        <v>0.0</v>
      </c>
      <c r="M615" t="s">
        <v>4338</v>
      </c>
      <c r="N615" t="s">
        <v>4339</v>
      </c>
      <c r="O615" t="s">
        <v>4339</v>
      </c>
      <c r="P615" t="s">
        <v>4340</v>
      </c>
      <c r="Q615" s="3" t="n">
        <v>44088.0</v>
      </c>
      <c r="R615" s="3" t="n">
        <v>44637.0</v>
      </c>
      <c r="S615" s="3" t="n">
        <v>44638.23047966435</v>
      </c>
      <c r="T615" s="3" t="n">
        <v>44719.5856105787</v>
      </c>
      <c r="U615" t="s">
        <v>31</v>
      </c>
      <c r="V615" t="s">
        <v>4341</v>
      </c>
    </row>
    <row r="616">
      <c r="A616" t="s">
        <v>22</v>
      </c>
      <c r="B616" t="s">
        <v>4342</v>
      </c>
      <c r="C616" t="s">
        <v>24</v>
      </c>
      <c r="D616" t="s">
        <v>69</v>
      </c>
      <c r="E616" t="s">
        <v>4343</v>
      </c>
      <c r="F616" s="2" t="n">
        <f>HYPERLINK("https://patents.google.com/patent/US20220080811","Google")</f>
        <v>0.0</v>
      </c>
      <c r="G616" s="2" t="n">
        <f>HYPERLINK("https://patentcenter.uspto.gov/applications/17246158","Patent Center")</f>
        <v>0.0</v>
      </c>
      <c r="H616" s="2" t="n">
        <f>HYPERLINK("https://worldwide.espacenet.com/patent/search?q=US20220080811","Espacenet")</f>
        <v>0.0</v>
      </c>
      <c r="I616" s="2" t="n">
        <f>HYPERLINK("https://ppubs.uspto.gov/pubwebapp/external.html?q=20220080811.pn.","USPTO")</f>
        <v>0.0</v>
      </c>
      <c r="J616" s="2" t="n">
        <f>HYPERLINK("https://image-ppubs.uspto.gov/dirsearch-public/print/downloadPdf/20220080811","USPTO PDF")</f>
        <v>0.0</v>
      </c>
      <c r="K616" s="2" t="n">
        <f>HYPERLINK("https://sectors.patentforecast.com/pmd/US20220080811","PMD")</f>
        <v>0.0</v>
      </c>
      <c r="L616" s="2" t="n">
        <f>HYPERLINK("https://globaldossier.uspto.gov/result/application/US/17246158/1","US20220080811")</f>
        <v>0.0</v>
      </c>
      <c r="M616" t="s">
        <v>4344</v>
      </c>
      <c r="N616" t="s">
        <v>4345</v>
      </c>
      <c r="O616" t="s">
        <v>4346</v>
      </c>
      <c r="P616" t="s">
        <v>4347</v>
      </c>
      <c r="Q616" s="3" t="n">
        <v>44316.0</v>
      </c>
      <c r="R616" s="3" t="n">
        <v>44637.0</v>
      </c>
      <c r="S616" s="3" t="n">
        <v>44638.23047966435</v>
      </c>
      <c r="T616" s="3" t="n">
        <v>44658.610876122686</v>
      </c>
      <c r="U616" t="s">
        <v>4348</v>
      </c>
      <c r="V616" t="s">
        <v>4349</v>
      </c>
    </row>
    <row r="617">
      <c r="A617" t="s">
        <v>22</v>
      </c>
      <c r="B617" t="s">
        <v>4350</v>
      </c>
      <c r="C617" t="s">
        <v>24</v>
      </c>
      <c r="D617" t="s">
        <v>69</v>
      </c>
      <c r="E617" t="s">
        <v>4351</v>
      </c>
      <c r="F617" s="2" t="n">
        <f>HYPERLINK("https://patents.google.com/patent/US20220080705","Google")</f>
        <v>0.0</v>
      </c>
      <c r="G617" s="2" t="n">
        <f>HYPERLINK("https://patentcenter.uspto.gov/applications/17022913","Patent Center")</f>
        <v>0.0</v>
      </c>
      <c r="H617" s="2" t="n">
        <f>HYPERLINK("https://worldwide.espacenet.com/patent/search?q=US20220080705","Espacenet")</f>
        <v>0.0</v>
      </c>
      <c r="I617" s="2" t="n">
        <f>HYPERLINK("https://ppubs.uspto.gov/pubwebapp/external.html?q=20220080705.pn.","USPTO")</f>
        <v>0.0</v>
      </c>
      <c r="J617" s="2" t="n">
        <f>HYPERLINK("https://image-ppubs.uspto.gov/dirsearch-public/print/downloadPdf/20220080705","USPTO PDF")</f>
        <v>0.0</v>
      </c>
      <c r="K617" s="2" t="n">
        <f>HYPERLINK("https://sectors.patentforecast.com/pmd/US20220080705","PMD")</f>
        <v>0.0</v>
      </c>
      <c r="L617" s="2" t="n">
        <f>HYPERLINK("https://globaldossier.uspto.gov/result/application/US/17022913/1","US20220080705")</f>
        <v>0.0</v>
      </c>
      <c r="M617" t="s">
        <v>4352</v>
      </c>
      <c r="N617" t="s">
        <v>4353</v>
      </c>
      <c r="O617" t="s">
        <v>4354</v>
      </c>
      <c r="P617" t="s">
        <v>4355</v>
      </c>
      <c r="Q617" s="3" t="n">
        <v>44090.0</v>
      </c>
      <c r="R617" s="3" t="n">
        <v>44637.0</v>
      </c>
      <c r="S617" s="3" t="n">
        <v>44638.23047966435</v>
      </c>
      <c r="T617" s="3" t="n">
        <v>44658.61915760417</v>
      </c>
      <c r="U617" t="s">
        <v>31</v>
      </c>
      <c r="V617" t="s">
        <v>4356</v>
      </c>
    </row>
    <row r="618">
      <c r="A618" t="s">
        <v>22</v>
      </c>
      <c r="B618" t="s">
        <v>4357</v>
      </c>
      <c r="C618" t="s">
        <v>24</v>
      </c>
      <c r="D618" t="s">
        <v>69</v>
      </c>
      <c r="E618" t="s">
        <v>4358</v>
      </c>
      <c r="F618" s="2" t="n">
        <f>HYPERLINK("https://patents.google.com/patent/US20220080450","Google")</f>
        <v>0.0</v>
      </c>
      <c r="G618" s="2" t="n">
        <f>HYPERLINK("https://patentcenter.uspto.gov/applications/17476289","Patent Center")</f>
        <v>0.0</v>
      </c>
      <c r="H618" s="2" t="n">
        <f>HYPERLINK("https://worldwide.espacenet.com/patent/search?q=US20220080450","Espacenet")</f>
        <v>0.0</v>
      </c>
      <c r="I618" s="2" t="n">
        <f>HYPERLINK("https://ppubs.uspto.gov/pubwebapp/external.html?q=20220080450.pn.","USPTO")</f>
        <v>0.0</v>
      </c>
      <c r="J618" s="2" t="n">
        <f>HYPERLINK("https://image-ppubs.uspto.gov/dirsearch-public/print/downloadPdf/20220080450","USPTO PDF")</f>
        <v>0.0</v>
      </c>
      <c r="K618" s="2" t="n">
        <f>HYPERLINK("https://sectors.patentforecast.com/pmd/US20220080450","PMD")</f>
        <v>0.0</v>
      </c>
      <c r="L618" s="2" t="n">
        <f>HYPERLINK("https://globaldossier.uspto.gov/result/application/US/17476289/1","US20220080450")</f>
        <v>0.0</v>
      </c>
      <c r="M618" t="s">
        <v>4359</v>
      </c>
      <c r="N618" t="s">
        <v>3284</v>
      </c>
      <c r="O618" t="s">
        <v>3285</v>
      </c>
      <c r="P618" t="s">
        <v>4360</v>
      </c>
      <c r="Q618" s="3" t="n">
        <v>44454.0</v>
      </c>
      <c r="R618" s="3" t="n">
        <v>44637.0</v>
      </c>
      <c r="S618" s="3" t="n">
        <v>44638.23047966435</v>
      </c>
      <c r="T618" s="3" t="n">
        <v>44719.586022800926</v>
      </c>
      <c r="U618" t="s">
        <v>31</v>
      </c>
      <c r="V618" t="s">
        <v>4361</v>
      </c>
    </row>
    <row r="619">
      <c r="A619" t="s">
        <v>22</v>
      </c>
      <c r="B619" t="s">
        <v>4362</v>
      </c>
      <c r="C619" t="s">
        <v>24</v>
      </c>
      <c r="D619" t="s">
        <v>69</v>
      </c>
      <c r="E619" t="s">
        <v>4363</v>
      </c>
      <c r="F619" s="2" t="n">
        <f>HYPERLINK("https://patents.google.com/patent/US20220080439","Google")</f>
        <v>0.0</v>
      </c>
      <c r="G619" s="2" t="n">
        <f>HYPERLINK("https://patentcenter.uspto.gov/applications/17469521","Patent Center")</f>
        <v>0.0</v>
      </c>
      <c r="H619" s="2" t="n">
        <f>HYPERLINK("https://worldwide.espacenet.com/patent/search?q=US20220080439","Espacenet")</f>
        <v>0.0</v>
      </c>
      <c r="I619" s="2" t="n">
        <f>HYPERLINK("https://ppubs.uspto.gov/pubwebapp/external.html?q=20220080439.pn.","USPTO")</f>
        <v>0.0</v>
      </c>
      <c r="J619" s="2" t="n">
        <f>HYPERLINK("https://image-ppubs.uspto.gov/dirsearch-public/print/downloadPdf/20220080439","USPTO PDF")</f>
        <v>0.0</v>
      </c>
      <c r="K619" s="2" t="n">
        <f>HYPERLINK("https://sectors.patentforecast.com/pmd/US20220080439","PMD")</f>
        <v>0.0</v>
      </c>
      <c r="L619" s="2" t="n">
        <f>HYPERLINK("https://globaldossier.uspto.gov/result/application/US/17469521/1","US20220080439")</f>
        <v>0.0</v>
      </c>
      <c r="M619" t="s">
        <v>4364</v>
      </c>
      <c r="N619" t="s">
        <v>4365</v>
      </c>
      <c r="O619" t="s">
        <v>4366</v>
      </c>
      <c r="P619" t="s">
        <v>4367</v>
      </c>
      <c r="Q619" s="3" t="n">
        <v>44447.0</v>
      </c>
      <c r="R619" s="3" t="n">
        <v>44637.0</v>
      </c>
      <c r="S619" s="3" t="n">
        <v>44638.23047966435</v>
      </c>
      <c r="T619" s="3" t="n">
        <v>44719.58633039352</v>
      </c>
      <c r="U619" t="s">
        <v>4368</v>
      </c>
      <c r="V619" t="s">
        <v>4369</v>
      </c>
    </row>
    <row r="620">
      <c r="A620" t="s">
        <v>22</v>
      </c>
      <c r="B620" t="s">
        <v>4370</v>
      </c>
      <c r="C620" t="s">
        <v>24</v>
      </c>
      <c r="D620" t="s">
        <v>51</v>
      </c>
      <c r="E620" t="s">
        <v>4371</v>
      </c>
      <c r="F620" s="2" t="n">
        <f>HYPERLINK("https://patents.google.com/patent/US20220080408","Google")</f>
        <v>0.0</v>
      </c>
      <c r="G620" s="2" t="n">
        <f>HYPERLINK("https://patentcenter.uspto.gov/applications/17476329","Patent Center")</f>
        <v>0.0</v>
      </c>
      <c r="H620" s="2" t="n">
        <f>HYPERLINK("https://worldwide.espacenet.com/patent/search?q=US20220080408","Espacenet")</f>
        <v>0.0</v>
      </c>
      <c r="I620" s="2" t="n">
        <f>HYPERLINK("https://ppubs.uspto.gov/pubwebapp/external.html?q=20220080408.pn.","USPTO")</f>
        <v>0.0</v>
      </c>
      <c r="J620" s="2" t="n">
        <f>HYPERLINK("https://image-ppubs.uspto.gov/dirsearch-public/print/downloadPdf/20220080408","USPTO PDF")</f>
        <v>0.0</v>
      </c>
      <c r="K620" s="2" t="n">
        <f>HYPERLINK("https://sectors.patentforecast.com/pmd/US20220080408","PMD")</f>
        <v>0.0</v>
      </c>
      <c r="L620" s="2" t="n">
        <f>HYPERLINK("https://globaldossier.uspto.gov/result/application/US/17476329/1","US20220080408")</f>
        <v>0.0</v>
      </c>
      <c r="M620" t="s">
        <v>4372</v>
      </c>
      <c r="N620" t="s">
        <v>4373</v>
      </c>
      <c r="O620" t="s">
        <v>4374</v>
      </c>
      <c r="P620" t="s">
        <v>4375</v>
      </c>
      <c r="Q620" s="3" t="n">
        <v>44454.0</v>
      </c>
      <c r="R620" s="3" t="n">
        <v>44637.0</v>
      </c>
      <c r="S620" s="3" t="n">
        <v>44638.23047966435</v>
      </c>
      <c r="T620" s="3" t="n">
        <v>44672.47877297454</v>
      </c>
      <c r="U620" t="s">
        <v>31</v>
      </c>
      <c r="V620" t="s">
        <v>4376</v>
      </c>
    </row>
    <row r="621">
      <c r="A621" t="s">
        <v>22</v>
      </c>
      <c r="B621" t="s">
        <v>4377</v>
      </c>
      <c r="C621" t="s">
        <v>24</v>
      </c>
      <c r="D621" t="s">
        <v>69</v>
      </c>
      <c r="E621" t="s">
        <v>4378</v>
      </c>
      <c r="F621" s="2" t="n">
        <f>HYPERLINK("https://patents.google.com/patent/US20220080341","Google")</f>
        <v>0.0</v>
      </c>
      <c r="G621" s="2" t="n">
        <f>HYPERLINK("https://patentcenter.uspto.gov/applications/17533952","Patent Center")</f>
        <v>0.0</v>
      </c>
      <c r="H621" s="2" t="n">
        <f>HYPERLINK("https://worldwide.espacenet.com/patent/search?q=US20220080341","Espacenet")</f>
        <v>0.0</v>
      </c>
      <c r="I621" s="2" t="n">
        <f>HYPERLINK("https://ppubs.uspto.gov/pubwebapp/external.html?q=20220080341.pn.","USPTO")</f>
        <v>0.0</v>
      </c>
      <c r="J621" s="2" t="n">
        <f>HYPERLINK("https://image-ppubs.uspto.gov/dirsearch-public/print/downloadPdf/20220080341","USPTO PDF")</f>
        <v>0.0</v>
      </c>
      <c r="K621" s="2" t="n">
        <f>HYPERLINK("https://sectors.patentforecast.com/pmd/US20220080341","PMD")</f>
        <v>0.0</v>
      </c>
      <c r="L621" s="2" t="n">
        <f>HYPERLINK("https://globaldossier.uspto.gov/result/application/US/17533952/1","US20220080341")</f>
        <v>0.0</v>
      </c>
      <c r="M621" t="s">
        <v>4379</v>
      </c>
      <c r="N621" t="s">
        <v>4380</v>
      </c>
      <c r="O621" t="s">
        <v>4381</v>
      </c>
      <c r="P621" t="s">
        <v>4382</v>
      </c>
      <c r="Q621" s="3" t="n">
        <v>44523.0</v>
      </c>
      <c r="R621" s="3" t="n">
        <v>44637.0</v>
      </c>
      <c r="S621" s="3" t="n">
        <v>44638.23047966435</v>
      </c>
      <c r="T621" s="3" t="n">
        <v>44658.619287395835</v>
      </c>
      <c r="U621" t="s">
        <v>31</v>
      </c>
      <c r="V621" t="s">
        <v>4383</v>
      </c>
    </row>
    <row r="622">
      <c r="A622" t="s">
        <v>22</v>
      </c>
      <c r="B622" t="s">
        <v>4384</v>
      </c>
      <c r="C622" t="s">
        <v>24</v>
      </c>
      <c r="D622" t="s">
        <v>69</v>
      </c>
      <c r="E622" t="s">
        <v>4385</v>
      </c>
      <c r="F622" s="2" t="n">
        <f>HYPERLINK("https://patents.google.com/patent/US20220080227","Google")</f>
        <v>0.0</v>
      </c>
      <c r="G622" s="2" t="n">
        <f>HYPERLINK("https://patentcenter.uspto.gov/applications/17475729","Patent Center")</f>
        <v>0.0</v>
      </c>
      <c r="H622" s="2" t="n">
        <f>HYPERLINK("https://worldwide.espacenet.com/patent/search?q=US20220080227","Espacenet")</f>
        <v>0.0</v>
      </c>
      <c r="I622" s="2" t="n">
        <f>HYPERLINK("https://ppubs.uspto.gov/pubwebapp/external.html?q=20220080227.pn.","USPTO")</f>
        <v>0.0</v>
      </c>
      <c r="J622" s="2" t="n">
        <f>HYPERLINK("https://image-ppubs.uspto.gov/dirsearch-public/print/downloadPdf/20220080227","USPTO PDF")</f>
        <v>0.0</v>
      </c>
      <c r="K622" s="2" t="n">
        <f>HYPERLINK("https://sectors.patentforecast.com/pmd/US20220080227","PMD")</f>
        <v>0.0</v>
      </c>
      <c r="L622" s="2" t="n">
        <f>HYPERLINK("https://globaldossier.uspto.gov/result/application/US/17475729/1","US20220080227")</f>
        <v>0.0</v>
      </c>
      <c r="M622" t="s">
        <v>4386</v>
      </c>
      <c r="N622" t="s">
        <v>4387</v>
      </c>
      <c r="O622" t="s">
        <v>4388</v>
      </c>
      <c r="P622" t="s">
        <v>4389</v>
      </c>
      <c r="Q622" s="3" t="n">
        <v>44454.0</v>
      </c>
      <c r="R622" s="3" t="n">
        <v>44637.0</v>
      </c>
      <c r="S622" s="3" t="n">
        <v>44638.23047966435</v>
      </c>
      <c r="T622" s="3" t="n">
        <v>44658.61965958333</v>
      </c>
      <c r="U622" t="s">
        <v>31</v>
      </c>
      <c r="V622" t="s">
        <v>4390</v>
      </c>
    </row>
    <row r="623">
      <c r="A623" t="s">
        <v>22</v>
      </c>
      <c r="B623" t="s">
        <v>4391</v>
      </c>
      <c r="C623" t="s">
        <v>24</v>
      </c>
      <c r="D623" t="s">
        <v>100</v>
      </c>
      <c r="E623" t="s">
        <v>4392</v>
      </c>
      <c r="F623" s="2" t="n">
        <f>HYPERLINK("https://patents.google.com/patent/US20220080142","Google")</f>
        <v>0.0</v>
      </c>
      <c r="G623" s="2" t="n">
        <f>HYPERLINK("https://patentcenter.uspto.gov/applications/17475967","Patent Center")</f>
        <v>0.0</v>
      </c>
      <c r="H623" s="2" t="n">
        <f>HYPERLINK("https://worldwide.espacenet.com/patent/search?q=US20220080142","Espacenet")</f>
        <v>0.0</v>
      </c>
      <c r="I623" s="2" t="n">
        <f>HYPERLINK("https://ppubs.uspto.gov/pubwebapp/external.html?q=20220080142.pn.","USPTO")</f>
        <v>0.0</v>
      </c>
      <c r="J623" s="2" t="n">
        <f>HYPERLINK("https://image-ppubs.uspto.gov/dirsearch-public/print/downloadPdf/20220080142","USPTO PDF")</f>
        <v>0.0</v>
      </c>
      <c r="K623" s="2" t="n">
        <f>HYPERLINK("https://sectors.patentforecast.com/pmd/US20220080142","PMD")</f>
        <v>0.0</v>
      </c>
      <c r="L623" s="2" t="n">
        <f>HYPERLINK("https://globaldossier.uspto.gov/result/application/US/17475967/1","US20220080142")</f>
        <v>0.0</v>
      </c>
      <c r="M623" t="s">
        <v>4393</v>
      </c>
      <c r="N623" t="s">
        <v>4394</v>
      </c>
      <c r="O623" t="s">
        <v>4395</v>
      </c>
      <c r="P623" t="s">
        <v>4396</v>
      </c>
      <c r="Q623" s="3" t="n">
        <v>44454.0</v>
      </c>
      <c r="R623" s="3" t="n">
        <v>44637.0</v>
      </c>
      <c r="S623" s="3" t="n">
        <v>44638.23047966435</v>
      </c>
      <c r="T623" s="3" t="n">
        <v>44672.46491890046</v>
      </c>
      <c r="U623" t="s">
        <v>4397</v>
      </c>
      <c r="V623" t="s">
        <v>4398</v>
      </c>
    </row>
    <row r="624">
      <c r="A624" t="s">
        <v>22</v>
      </c>
      <c r="B624" t="s">
        <v>4399</v>
      </c>
      <c r="C624" t="s">
        <v>60</v>
      </c>
      <c r="D624" t="s">
        <v>715</v>
      </c>
      <c r="E624" t="s">
        <v>4400</v>
      </c>
      <c r="F624" s="2" t="n">
        <f>HYPERLINK("https://patents.google.com/patent/US20220080106","Google")</f>
        <v>0.0</v>
      </c>
      <c r="G624" s="2" t="n">
        <f>HYPERLINK("https://patentcenter.uspto.gov/applications/17464258","Patent Center")</f>
        <v>0.0</v>
      </c>
      <c r="H624" s="2" t="n">
        <f>HYPERLINK("https://worldwide.espacenet.com/patent/search?q=US20220080106","Espacenet")</f>
        <v>0.0</v>
      </c>
      <c r="I624" s="2" t="n">
        <f>HYPERLINK("https://ppubs.uspto.gov/pubwebapp/external.html?q=20220080106.pn.","USPTO")</f>
        <v>0.0</v>
      </c>
      <c r="J624" s="2" t="n">
        <f>HYPERLINK("https://image-ppubs.uspto.gov/dirsearch-public/print/downloadPdf/20220080106","USPTO PDF")</f>
        <v>0.0</v>
      </c>
      <c r="K624" s="2" t="n">
        <f>HYPERLINK("https://sectors.patentforecast.com/pmd/US20220080106","PMD")</f>
        <v>0.0</v>
      </c>
      <c r="L624" s="2" t="n">
        <f>HYPERLINK("https://globaldossier.uspto.gov/result/application/US/17464258/1","US20220080106")</f>
        <v>0.0</v>
      </c>
      <c r="M624" t="s">
        <v>4401</v>
      </c>
      <c r="N624" t="s">
        <v>4402</v>
      </c>
      <c r="O624" t="s">
        <v>4403</v>
      </c>
      <c r="P624" t="s">
        <v>4404</v>
      </c>
      <c r="Q624" s="3" t="n">
        <v>44440.0</v>
      </c>
      <c r="R624" s="3" t="n">
        <v>44637.0</v>
      </c>
      <c r="S624" s="3" t="n">
        <v>44638.23047966435</v>
      </c>
      <c r="T624" s="3" t="n">
        <v>44672.47726799769</v>
      </c>
      <c r="U624" t="s">
        <v>4405</v>
      </c>
      <c r="V624" t="s">
        <v>4406</v>
      </c>
    </row>
    <row r="625">
      <c r="A625" t="s">
        <v>22</v>
      </c>
      <c r="B625" t="s">
        <v>4407</v>
      </c>
      <c r="C625" t="s">
        <v>24</v>
      </c>
      <c r="D625" t="s">
        <v>100</v>
      </c>
      <c r="E625" t="s">
        <v>4408</v>
      </c>
      <c r="F625" s="2" t="n">
        <f>HYPERLINK("https://patents.google.com/patent/US20220080073","Google")</f>
        <v>0.0</v>
      </c>
      <c r="G625" s="2" t="n">
        <f>HYPERLINK("https://patentcenter.uspto.gov/applications/17411162","Patent Center")</f>
        <v>0.0</v>
      </c>
      <c r="H625" s="2" t="n">
        <f>HYPERLINK("https://worldwide.espacenet.com/patent/search?q=US20220080073","Espacenet")</f>
        <v>0.0</v>
      </c>
      <c r="I625" s="2" t="n">
        <f>HYPERLINK("https://ppubs.uspto.gov/pubwebapp/external.html?q=20220080073.pn.","USPTO")</f>
        <v>0.0</v>
      </c>
      <c r="J625" s="2" t="n">
        <f>HYPERLINK("https://image-ppubs.uspto.gov/dirsearch-public/print/downloadPdf/20220080073","USPTO PDF")</f>
        <v>0.0</v>
      </c>
      <c r="K625" s="2" t="n">
        <f>HYPERLINK("https://sectors.patentforecast.com/pmd/US20220080073","PMD")</f>
        <v>0.0</v>
      </c>
      <c r="L625" s="2" t="n">
        <f>HYPERLINK("https://globaldossier.uspto.gov/result/application/US/17411162/1","US20220080073")</f>
        <v>0.0</v>
      </c>
      <c r="M625" t="s">
        <v>4409</v>
      </c>
      <c r="N625" t="s">
        <v>4410</v>
      </c>
      <c r="O625" t="s">
        <v>4410</v>
      </c>
      <c r="P625" t="s">
        <v>4411</v>
      </c>
      <c r="Q625" s="3" t="n">
        <v>44433.0</v>
      </c>
      <c r="R625" s="3" t="n">
        <v>44637.0</v>
      </c>
      <c r="S625" s="3" t="n">
        <v>44638.23047966435</v>
      </c>
      <c r="T625" s="3" t="n">
        <v>44658.62137291667</v>
      </c>
      <c r="U625" t="s">
        <v>31</v>
      </c>
      <c r="V625" t="s">
        <v>4412</v>
      </c>
    </row>
    <row r="626">
      <c r="A626" t="s">
        <v>22</v>
      </c>
      <c r="B626" t="s">
        <v>4413</v>
      </c>
      <c r="C626" t="s">
        <v>24</v>
      </c>
      <c r="D626" t="s">
        <v>100</v>
      </c>
      <c r="E626" t="s">
        <v>4414</v>
      </c>
      <c r="F626" s="2" t="n">
        <f>HYPERLINK("https://patents.google.com/patent/US20220080070","Google")</f>
        <v>0.0</v>
      </c>
      <c r="G626" s="2" t="n">
        <f>HYPERLINK("https://patentcenter.uspto.gov/applications/17474748","Patent Center")</f>
        <v>0.0</v>
      </c>
      <c r="H626" s="2" t="n">
        <f>HYPERLINK("https://worldwide.espacenet.com/patent/search?q=US20220080070","Espacenet")</f>
        <v>0.0</v>
      </c>
      <c r="I626" s="2" t="n">
        <f>HYPERLINK("https://ppubs.uspto.gov/pubwebapp/external.html?q=20220080070.pn.","USPTO")</f>
        <v>0.0</v>
      </c>
      <c r="J626" s="2" t="n">
        <f>HYPERLINK("https://image-ppubs.uspto.gov/dirsearch-public/print/downloadPdf/20220080070","USPTO PDF")</f>
        <v>0.0</v>
      </c>
      <c r="K626" s="2" t="n">
        <f>HYPERLINK("https://sectors.patentforecast.com/pmd/US20220080070","PMD")</f>
        <v>0.0</v>
      </c>
      <c r="L626" s="2" t="n">
        <f>HYPERLINK("https://globaldossier.uspto.gov/result/application/US/17474748/1","US20220080070")</f>
        <v>0.0</v>
      </c>
      <c r="M626" t="s">
        <v>4415</v>
      </c>
      <c r="N626" t="s">
        <v>4416</v>
      </c>
      <c r="O626" t="s">
        <v>4417</v>
      </c>
      <c r="P626" t="s">
        <v>4418</v>
      </c>
      <c r="Q626" s="3" t="n">
        <v>44453.0</v>
      </c>
      <c r="R626" s="3" t="n">
        <v>44637.0</v>
      </c>
      <c r="S626" s="3" t="n">
        <v>44638.23047966435</v>
      </c>
      <c r="T626" s="3" t="n">
        <v>44658.62137291667</v>
      </c>
      <c r="U626" t="s">
        <v>4419</v>
      </c>
      <c r="V626" t="s">
        <v>4420</v>
      </c>
    </row>
    <row r="627">
      <c r="A627" t="s">
        <v>22</v>
      </c>
      <c r="B627" t="s">
        <v>4421</v>
      </c>
      <c r="C627" t="s">
        <v>24</v>
      </c>
      <c r="D627" t="s">
        <v>100</v>
      </c>
      <c r="E627" t="s">
        <v>4408</v>
      </c>
      <c r="F627" s="2" t="n">
        <f>HYPERLINK("https://patents.google.com/patent/US20220080067","Google")</f>
        <v>0.0</v>
      </c>
      <c r="G627" s="2" t="n">
        <f>HYPERLINK("https://patentcenter.uspto.gov/applications/17527820","Patent Center")</f>
        <v>0.0</v>
      </c>
      <c r="H627" s="2" t="n">
        <f>HYPERLINK("https://worldwide.espacenet.com/patent/search?q=US20220080067","Espacenet")</f>
        <v>0.0</v>
      </c>
      <c r="I627" s="2" t="n">
        <f>HYPERLINK("https://ppubs.uspto.gov/pubwebapp/external.html?q=20220080067.pn.","USPTO")</f>
        <v>0.0</v>
      </c>
      <c r="J627" s="2" t="n">
        <f>HYPERLINK("https://image-ppubs.uspto.gov/dirsearch-public/print/downloadPdf/20220080067","USPTO PDF")</f>
        <v>0.0</v>
      </c>
      <c r="K627" s="2" t="n">
        <f>HYPERLINK("https://sectors.patentforecast.com/pmd/US20220080067","PMD")</f>
        <v>0.0</v>
      </c>
      <c r="L627" s="2" t="n">
        <f>HYPERLINK("https://globaldossier.uspto.gov/result/application/US/17527820/1","US20220080067")</f>
        <v>0.0</v>
      </c>
      <c r="M627" t="s">
        <v>4422</v>
      </c>
      <c r="N627" t="s">
        <v>4410</v>
      </c>
      <c r="O627" t="s">
        <v>4410</v>
      </c>
      <c r="P627" t="s">
        <v>4411</v>
      </c>
      <c r="Q627" s="3" t="n">
        <v>44516.0</v>
      </c>
      <c r="R627" s="3" t="n">
        <v>44637.0</v>
      </c>
      <c r="S627" s="3" t="n">
        <v>44638.23047966435</v>
      </c>
      <c r="T627" s="3" t="n">
        <v>44658.62137291667</v>
      </c>
      <c r="U627" t="s">
        <v>4423</v>
      </c>
      <c r="V627" t="s">
        <v>4424</v>
      </c>
    </row>
    <row r="628">
      <c r="A628" t="s">
        <v>22</v>
      </c>
      <c r="B628" t="s">
        <v>4425</v>
      </c>
      <c r="C628" t="s">
        <v>24</v>
      </c>
      <c r="D628" t="s">
        <v>100</v>
      </c>
      <c r="E628" t="s">
        <v>4426</v>
      </c>
      <c r="F628" s="2" t="n">
        <f>HYPERLINK("https://patents.google.com/patent/US20220080062","Google")</f>
        <v>0.0</v>
      </c>
      <c r="G628" s="2" t="n">
        <f>HYPERLINK("https://patentcenter.uspto.gov/applications/17018249","Patent Center")</f>
        <v>0.0</v>
      </c>
      <c r="H628" s="2" t="n">
        <f>HYPERLINK("https://worldwide.espacenet.com/patent/search?q=US20220080062","Espacenet")</f>
        <v>0.0</v>
      </c>
      <c r="I628" s="2" t="n">
        <f>HYPERLINK("https://ppubs.uspto.gov/pubwebapp/external.html?q=20220080062.pn.","USPTO")</f>
        <v>0.0</v>
      </c>
      <c r="J628" s="2" t="n">
        <f>HYPERLINK("https://image-ppubs.uspto.gov/dirsearch-public/print/downloadPdf/20220080062","USPTO PDF")</f>
        <v>0.0</v>
      </c>
      <c r="K628" s="2" t="n">
        <f>HYPERLINK("https://sectors.patentforecast.com/pmd/US20220080062","PMD")</f>
        <v>0.0</v>
      </c>
      <c r="L628" s="2" t="n">
        <f>HYPERLINK("https://globaldossier.uspto.gov/result/application/US/17018249/1","US20220080062")</f>
        <v>0.0</v>
      </c>
      <c r="M628" t="s">
        <v>4427</v>
      </c>
      <c r="N628" t="s">
        <v>4428</v>
      </c>
      <c r="O628" t="s">
        <v>4428</v>
      </c>
      <c r="P628" t="s">
        <v>4429</v>
      </c>
      <c r="Q628" s="3" t="n">
        <v>44085.0</v>
      </c>
      <c r="R628" s="3" t="n">
        <v>44637.0</v>
      </c>
      <c r="S628" s="3" t="n">
        <v>44638.23047966435</v>
      </c>
      <c r="T628" s="3" t="n">
        <v>44719.58661103009</v>
      </c>
      <c r="U628" t="s">
        <v>31</v>
      </c>
      <c r="V628" t="s">
        <v>4430</v>
      </c>
    </row>
    <row r="629">
      <c r="A629" t="s">
        <v>22</v>
      </c>
      <c r="B629" t="s">
        <v>4431</v>
      </c>
      <c r="C629" t="s">
        <v>132</v>
      </c>
      <c r="D629" t="s">
        <v>1265</v>
      </c>
      <c r="E629" t="s">
        <v>4432</v>
      </c>
      <c r="F629" s="2" t="n">
        <f>HYPERLINK("https://patents.google.com/patent/US20220080039","Google")</f>
        <v>0.0</v>
      </c>
      <c r="G629" s="2" t="n">
        <f>HYPERLINK("https://patentcenter.uspto.gov/applications/17534659","Patent Center")</f>
        <v>0.0</v>
      </c>
      <c r="H629" s="2" t="n">
        <f>HYPERLINK("https://worldwide.espacenet.com/patent/search?q=US20220080039","Espacenet")</f>
        <v>0.0</v>
      </c>
      <c r="I629" s="2" t="n">
        <f>HYPERLINK("https://ppubs.uspto.gov/pubwebapp/external.html?q=20220080039.pn.","USPTO")</f>
        <v>0.0</v>
      </c>
      <c r="J629" s="2" t="n">
        <f>HYPERLINK("https://image-ppubs.uspto.gov/dirsearch-public/print/downloadPdf/20220080039","USPTO PDF")</f>
        <v>0.0</v>
      </c>
      <c r="K629" s="2" t="n">
        <f>HYPERLINK("https://sectors.patentforecast.com/pmd/US20220080039","PMD")</f>
        <v>0.0</v>
      </c>
      <c r="L629" s="2" t="n">
        <f>HYPERLINK("https://globaldossier.uspto.gov/result/application/US/17534659/1","US20220080039")</f>
        <v>0.0</v>
      </c>
      <c r="M629" t="s">
        <v>4433</v>
      </c>
      <c r="N629" t="s">
        <v>1275</v>
      </c>
      <c r="O629" t="s">
        <v>1275</v>
      </c>
      <c r="P629" t="s">
        <v>4434</v>
      </c>
      <c r="Q629" s="3" t="n">
        <v>44524.0</v>
      </c>
      <c r="R629" s="3" t="n">
        <v>44637.0</v>
      </c>
      <c r="S629" s="3" t="n">
        <v>44643.23506462963</v>
      </c>
      <c r="T629" s="3" t="n">
        <v>44658.63268027778</v>
      </c>
      <c r="U629" t="s">
        <v>4435</v>
      </c>
      <c r="V629" t="s">
        <v>4436</v>
      </c>
    </row>
    <row r="630">
      <c r="A630" t="s">
        <v>22</v>
      </c>
      <c r="B630" t="s">
        <v>4437</v>
      </c>
      <c r="C630" t="s">
        <v>60</v>
      </c>
      <c r="D630" t="s">
        <v>61</v>
      </c>
      <c r="E630" t="s">
        <v>4438</v>
      </c>
      <c r="F630" s="2" t="n">
        <f>HYPERLINK("https://patents.google.com/patent/US20220080020","Google")</f>
        <v>0.0</v>
      </c>
      <c r="G630" s="2" t="n">
        <f>HYPERLINK("https://patentcenter.uspto.gov/applications/17409669","Patent Center")</f>
        <v>0.0</v>
      </c>
      <c r="H630" s="2" t="n">
        <f>HYPERLINK("https://worldwide.espacenet.com/patent/search?q=US20220080020","Espacenet")</f>
        <v>0.0</v>
      </c>
      <c r="I630" s="2" t="n">
        <f>HYPERLINK("https://ppubs.uspto.gov/pubwebapp/external.html?q=20220080020.pn.","USPTO")</f>
        <v>0.0</v>
      </c>
      <c r="J630" s="2" t="n">
        <f>HYPERLINK("https://image-ppubs.uspto.gov/dirsearch-public/print/downloadPdf/20220080020","USPTO PDF")</f>
        <v>0.0</v>
      </c>
      <c r="K630" s="2" t="n">
        <f>HYPERLINK("https://sectors.patentforecast.com/pmd/US20220080020","PMD")</f>
        <v>0.0</v>
      </c>
      <c r="L630" s="2" t="n">
        <f>HYPERLINK("https://globaldossier.uspto.gov/result/application/US/17409669/1","US20220080020")</f>
        <v>0.0</v>
      </c>
      <c r="M630" t="s">
        <v>4439</v>
      </c>
      <c r="N630" t="s">
        <v>4440</v>
      </c>
      <c r="O630" t="s">
        <v>4441</v>
      </c>
      <c r="P630" t="s">
        <v>4442</v>
      </c>
      <c r="Q630" s="3" t="n">
        <v>44431.0</v>
      </c>
      <c r="R630" s="3" t="n">
        <v>44637.0</v>
      </c>
      <c r="S630" s="3" t="n">
        <v>44638.23047966435</v>
      </c>
      <c r="T630" s="3" t="n">
        <v>44672.392496203705</v>
      </c>
      <c r="U630" t="s">
        <v>4443</v>
      </c>
      <c r="V630" t="s">
        <v>4444</v>
      </c>
    </row>
    <row r="631">
      <c r="A631" t="s">
        <v>22</v>
      </c>
      <c r="B631" t="s">
        <v>4445</v>
      </c>
      <c r="C631" t="s">
        <v>24</v>
      </c>
      <c r="D631" t="s">
        <v>100</v>
      </c>
      <c r="E631" t="s">
        <v>4446</v>
      </c>
      <c r="F631" s="2" t="n">
        <f>HYPERLINK("https://patents.google.com/patent/US20220079981","Google")</f>
        <v>0.0</v>
      </c>
      <c r="G631" s="2" t="n">
        <f>HYPERLINK("https://patentcenter.uspto.gov/applications/17475741","Patent Center")</f>
        <v>0.0</v>
      </c>
      <c r="H631" s="2" t="n">
        <f>HYPERLINK("https://worldwide.espacenet.com/patent/search?q=US20220079981","Espacenet")</f>
        <v>0.0</v>
      </c>
      <c r="I631" s="2" t="n">
        <f>HYPERLINK("https://ppubs.uspto.gov/pubwebapp/external.html?q=20220079981.pn.","USPTO")</f>
        <v>0.0</v>
      </c>
      <c r="J631" s="2" t="n">
        <f>HYPERLINK("https://image-ppubs.uspto.gov/dirsearch-public/print/downloadPdf/20220079981","USPTO PDF")</f>
        <v>0.0</v>
      </c>
      <c r="K631" s="2" t="n">
        <f>HYPERLINK("https://sectors.patentforecast.com/pmd/US20220079981","PMD")</f>
        <v>0.0</v>
      </c>
      <c r="L631" s="2" t="n">
        <f>HYPERLINK("https://globaldossier.uspto.gov/result/application/US/17475741/1","US20220079981")</f>
        <v>0.0</v>
      </c>
      <c r="M631" t="s">
        <v>4447</v>
      </c>
      <c r="N631" t="s">
        <v>4448</v>
      </c>
      <c r="O631" t="s">
        <v>4449</v>
      </c>
      <c r="P631" t="s">
        <v>4450</v>
      </c>
      <c r="Q631" s="3" t="n">
        <v>44454.0</v>
      </c>
      <c r="R631" s="3" t="n">
        <v>44637.0</v>
      </c>
      <c r="S631" s="3" t="n">
        <v>44638.23047966435</v>
      </c>
      <c r="T631" s="3" t="n">
        <v>44672.478921319445</v>
      </c>
      <c r="U631" t="s">
        <v>4451</v>
      </c>
      <c r="V631" t="s">
        <v>4452</v>
      </c>
    </row>
    <row r="632">
      <c r="A632" t="s">
        <v>22</v>
      </c>
      <c r="B632" t="s">
        <v>4453</v>
      </c>
      <c r="C632" t="s">
        <v>60</v>
      </c>
      <c r="D632" t="s">
        <v>61</v>
      </c>
      <c r="E632" t="s">
        <v>4454</v>
      </c>
      <c r="F632" s="2" t="n">
        <f>HYPERLINK("https://patents.google.com/patent/US20220079961","Google")</f>
        <v>0.0</v>
      </c>
      <c r="G632" s="2" t="n">
        <f>HYPERLINK("https://patentcenter.uspto.gov/applications/17476768","Patent Center")</f>
        <v>0.0</v>
      </c>
      <c r="H632" s="2" t="n">
        <f>HYPERLINK("https://worldwide.espacenet.com/patent/search?q=US20220079961","Espacenet")</f>
        <v>0.0</v>
      </c>
      <c r="I632" s="2" t="n">
        <f>HYPERLINK("https://ppubs.uspto.gov/pubwebapp/external.html?q=20220079961.pn.","USPTO")</f>
        <v>0.0</v>
      </c>
      <c r="J632" s="2" t="n">
        <f>HYPERLINK("https://image-ppubs.uspto.gov/dirsearch-public/print/downloadPdf/20220079961","USPTO PDF")</f>
        <v>0.0</v>
      </c>
      <c r="K632" s="2" t="n">
        <f>HYPERLINK("https://sectors.patentforecast.com/pmd/US20220079961","PMD")</f>
        <v>0.0</v>
      </c>
      <c r="L632" s="2" t="n">
        <f>HYPERLINK("https://globaldossier.uspto.gov/result/application/US/17476768/1","US20220079961")</f>
        <v>0.0</v>
      </c>
      <c r="M632" t="s">
        <v>4455</v>
      </c>
      <c r="N632" t="s">
        <v>4456</v>
      </c>
      <c r="O632" t="s">
        <v>4457</v>
      </c>
      <c r="P632" t="s">
        <v>4458</v>
      </c>
      <c r="Q632" s="3" t="n">
        <v>44455.0</v>
      </c>
      <c r="R632" s="3" t="n">
        <v>44637.0</v>
      </c>
      <c r="S632" s="3" t="n">
        <v>44638.23047966435</v>
      </c>
      <c r="T632" s="3" t="n">
        <v>44658.61572991898</v>
      </c>
      <c r="U632" t="s">
        <v>4459</v>
      </c>
      <c r="V632" t="s">
        <v>4460</v>
      </c>
    </row>
    <row r="633">
      <c r="A633" t="s">
        <v>22</v>
      </c>
      <c r="B633" t="s">
        <v>4461</v>
      </c>
      <c r="C633" t="s">
        <v>60</v>
      </c>
      <c r="D633" t="s">
        <v>61</v>
      </c>
      <c r="E633" t="s">
        <v>3075</v>
      </c>
      <c r="F633" s="2" t="n">
        <f>HYPERLINK("https://patents.google.com/patent/US20220079897","Google")</f>
        <v>0.0</v>
      </c>
      <c r="G633" s="2" t="n">
        <f>HYPERLINK("https://patentcenter.uspto.gov/applications/17231716","Patent Center")</f>
        <v>0.0</v>
      </c>
      <c r="H633" s="2" t="n">
        <f>HYPERLINK("https://worldwide.espacenet.com/patent/search?q=US20220079897","Espacenet")</f>
        <v>0.0</v>
      </c>
      <c r="I633" s="2" t="n">
        <f>HYPERLINK("https://ppubs.uspto.gov/pubwebapp/external.html?q=20220079897.pn.","USPTO")</f>
        <v>0.0</v>
      </c>
      <c r="J633" s="2" t="n">
        <f>HYPERLINK("https://image-ppubs.uspto.gov/dirsearch-public/print/downloadPdf/20220079897","USPTO PDF")</f>
        <v>0.0</v>
      </c>
      <c r="K633" s="2" t="n">
        <f>HYPERLINK("https://sectors.patentforecast.com/pmd/US20220079897","PMD")</f>
        <v>0.0</v>
      </c>
      <c r="L633" s="2" t="n">
        <f>HYPERLINK("https://globaldossier.uspto.gov/result/application/US/17231716/1","US20220079897")</f>
        <v>0.0</v>
      </c>
      <c r="M633" t="s">
        <v>4462</v>
      </c>
      <c r="N633" t="s">
        <v>3077</v>
      </c>
      <c r="O633" t="s">
        <v>3078</v>
      </c>
      <c r="P633" t="s">
        <v>3079</v>
      </c>
      <c r="Q633" s="3" t="n">
        <v>44301.0</v>
      </c>
      <c r="R633" s="3" t="n">
        <v>44637.0</v>
      </c>
      <c r="S633" s="3" t="n">
        <v>44638.23047966435</v>
      </c>
      <c r="T633" s="3" t="n">
        <v>44638.697727175924</v>
      </c>
      <c r="U633" t="s">
        <v>4463</v>
      </c>
      <c r="V633" t="s">
        <v>4464</v>
      </c>
    </row>
    <row r="634">
      <c r="A634" t="s">
        <v>22</v>
      </c>
      <c r="B634" t="s">
        <v>4465</v>
      </c>
      <c r="C634" t="s">
        <v>60</v>
      </c>
      <c r="D634" t="s">
        <v>61</v>
      </c>
      <c r="E634" t="s">
        <v>4466</v>
      </c>
      <c r="F634" s="2" t="n">
        <f>HYPERLINK("https://patents.google.com/patent/US20220079876","Google")</f>
        <v>0.0</v>
      </c>
      <c r="G634" s="2" t="n">
        <f>HYPERLINK("https://patentcenter.uspto.gov/applications/17210719","Patent Center")</f>
        <v>0.0</v>
      </c>
      <c r="H634" s="2" t="n">
        <f>HYPERLINK("https://worldwide.espacenet.com/patent/search?q=US20220079876","Espacenet")</f>
        <v>0.0</v>
      </c>
      <c r="I634" s="2" t="n">
        <f>HYPERLINK("https://ppubs.uspto.gov/pubwebapp/external.html?q=20220079876.pn.","USPTO")</f>
        <v>0.0</v>
      </c>
      <c r="J634" s="2" t="n">
        <f>HYPERLINK("https://image-ppubs.uspto.gov/dirsearch-public/print/downloadPdf/20220079876","USPTO PDF")</f>
        <v>0.0</v>
      </c>
      <c r="K634" s="2" t="n">
        <f>HYPERLINK("https://sectors.patentforecast.com/pmd/US20220079876","PMD")</f>
        <v>0.0</v>
      </c>
      <c r="L634" s="2" t="n">
        <f>HYPERLINK("https://globaldossier.uspto.gov/result/application/US/17210719/1","US20220079876")</f>
        <v>0.0</v>
      </c>
      <c r="M634" t="s">
        <v>4467</v>
      </c>
      <c r="N634" t="s">
        <v>4468</v>
      </c>
      <c r="O634" t="s">
        <v>4469</v>
      </c>
      <c r="P634" t="s">
        <v>4470</v>
      </c>
      <c r="Q634" s="3" t="n">
        <v>44279.0</v>
      </c>
      <c r="R634" s="3" t="n">
        <v>44637.0</v>
      </c>
      <c r="S634" s="3" t="n">
        <v>44638.23013550926</v>
      </c>
      <c r="T634" s="3" t="n">
        <v>44719.58768037037</v>
      </c>
      <c r="U634" t="s">
        <v>31</v>
      </c>
      <c r="V634" t="s">
        <v>4471</v>
      </c>
    </row>
    <row r="635">
      <c r="A635" t="s">
        <v>22</v>
      </c>
      <c r="B635" t="s">
        <v>4472</v>
      </c>
      <c r="C635" t="s">
        <v>24</v>
      </c>
      <c r="D635" t="s">
        <v>69</v>
      </c>
      <c r="E635" t="s">
        <v>4473</v>
      </c>
      <c r="F635" s="2" t="n">
        <f>HYPERLINK("https://patents.google.com/patent/US20220079830","Google")</f>
        <v>0.0</v>
      </c>
      <c r="G635" s="2" t="n">
        <f>HYPERLINK("https://patentcenter.uspto.gov/applications/17474361","Patent Center")</f>
        <v>0.0</v>
      </c>
      <c r="H635" s="2" t="n">
        <f>HYPERLINK("https://worldwide.espacenet.com/patent/search?q=US20220079830","Espacenet")</f>
        <v>0.0</v>
      </c>
      <c r="I635" s="2" t="n">
        <f>HYPERLINK("https://ppubs.uspto.gov/pubwebapp/external.html?q=20220079830.pn.","USPTO")</f>
        <v>0.0</v>
      </c>
      <c r="J635" s="2" t="n">
        <f>HYPERLINK("https://image-ppubs.uspto.gov/dirsearch-public/print/downloadPdf/20220079830","USPTO PDF")</f>
        <v>0.0</v>
      </c>
      <c r="K635" s="2" t="n">
        <f>HYPERLINK("https://sectors.patentforecast.com/pmd/US20220079830","PMD")</f>
        <v>0.0</v>
      </c>
      <c r="L635" s="2" t="n">
        <f>HYPERLINK("https://globaldossier.uspto.gov/result/application/US/17474361/1","US20220079830")</f>
        <v>0.0</v>
      </c>
      <c r="M635" t="s">
        <v>4474</v>
      </c>
      <c r="N635" t="s">
        <v>4475</v>
      </c>
      <c r="O635" t="s">
        <v>4476</v>
      </c>
      <c r="P635" t="s">
        <v>4477</v>
      </c>
      <c r="Q635" s="3" t="n">
        <v>44453.0</v>
      </c>
      <c r="R635" s="3" t="n">
        <v>44637.0</v>
      </c>
      <c r="S635" s="3" t="n">
        <v>44638.23013550926</v>
      </c>
      <c r="T635" s="3" t="n">
        <v>44658.622062905095</v>
      </c>
      <c r="U635" t="s">
        <v>31</v>
      </c>
      <c r="V635" t="s">
        <v>4478</v>
      </c>
    </row>
    <row r="636">
      <c r="A636" t="s">
        <v>22</v>
      </c>
      <c r="B636" t="s">
        <v>4479</v>
      </c>
      <c r="C636" t="s">
        <v>60</v>
      </c>
      <c r="D636" t="s">
        <v>715</v>
      </c>
      <c r="E636" t="s">
        <v>4480</v>
      </c>
      <c r="F636" s="2" t="n">
        <f>HYPERLINK("https://patents.google.com/patent/US20220079656","Google")</f>
        <v>0.0</v>
      </c>
      <c r="G636" s="2" t="n">
        <f>HYPERLINK("https://patentcenter.uspto.gov/applications/17477714","Patent Center")</f>
        <v>0.0</v>
      </c>
      <c r="H636" s="2" t="n">
        <f>HYPERLINK("https://worldwide.espacenet.com/patent/search?q=US20220079656","Espacenet")</f>
        <v>0.0</v>
      </c>
      <c r="I636" s="2" t="n">
        <f>HYPERLINK("https://ppubs.uspto.gov/pubwebapp/external.html?q=20220079656.pn.","USPTO")</f>
        <v>0.0</v>
      </c>
      <c r="J636" s="2" t="n">
        <f>HYPERLINK("https://image-ppubs.uspto.gov/dirsearch-public/print/downloadPdf/20220079656","USPTO PDF")</f>
        <v>0.0</v>
      </c>
      <c r="K636" s="2" t="n">
        <f>HYPERLINK("https://sectors.patentforecast.com/pmd/US20220079656","PMD")</f>
        <v>0.0</v>
      </c>
      <c r="L636" s="2" t="n">
        <f>HYPERLINK("https://globaldossier.uspto.gov/result/application/US/17477714/1","US20220079656")</f>
        <v>0.0</v>
      </c>
      <c r="M636" t="s">
        <v>4481</v>
      </c>
      <c r="N636" t="s">
        <v>4482</v>
      </c>
      <c r="O636" t="s">
        <v>4483</v>
      </c>
      <c r="P636" t="s">
        <v>4484</v>
      </c>
      <c r="Q636" s="3" t="n">
        <v>44456.0</v>
      </c>
      <c r="R636" s="3" t="n">
        <v>44637.0</v>
      </c>
      <c r="S636" s="3" t="n">
        <v>44638.23013550926</v>
      </c>
      <c r="T636" s="3" t="n">
        <v>44658.640674664355</v>
      </c>
      <c r="U636" t="s">
        <v>31</v>
      </c>
      <c r="V636" t="s">
        <v>4485</v>
      </c>
    </row>
    <row r="637">
      <c r="A637" t="s">
        <v>22</v>
      </c>
      <c r="B637" t="s">
        <v>4486</v>
      </c>
      <c r="C637" t="s">
        <v>24</v>
      </c>
      <c r="D637" t="s">
        <v>25</v>
      </c>
      <c r="E637" t="s">
        <v>4487</v>
      </c>
      <c r="F637" s="2" t="n">
        <f>HYPERLINK("https://patents.google.com/patent/US20220079519","Google")</f>
        <v>0.0</v>
      </c>
      <c r="G637" s="2" t="n">
        <f>HYPERLINK("https://patentcenter.uspto.gov/applications/17384912","Patent Center")</f>
        <v>0.0</v>
      </c>
      <c r="H637" s="2" t="n">
        <f>HYPERLINK("https://worldwide.espacenet.com/patent/search?q=US20220079519","Espacenet")</f>
        <v>0.0</v>
      </c>
      <c r="I637" s="2" t="n">
        <f>HYPERLINK("https://ppubs.uspto.gov/pubwebapp/external.html?q=20220079519.pn.","USPTO")</f>
        <v>0.0</v>
      </c>
      <c r="J637" s="2" t="n">
        <f>HYPERLINK("https://image-ppubs.uspto.gov/dirsearch-public/print/downloadPdf/20220079519","USPTO PDF")</f>
        <v>0.0</v>
      </c>
      <c r="K637" s="2" t="n">
        <f>HYPERLINK("https://sectors.patentforecast.com/pmd/US20220079519","PMD")</f>
        <v>0.0</v>
      </c>
      <c r="L637" s="2" t="n">
        <f>HYPERLINK("https://globaldossier.uspto.gov/result/application/US/17384912/1","US20220079519")</f>
        <v>0.0</v>
      </c>
      <c r="M637" t="s">
        <v>4488</v>
      </c>
      <c r="N637" t="s">
        <v>4489</v>
      </c>
      <c r="O637" t="s">
        <v>4489</v>
      </c>
      <c r="P637" t="s">
        <v>4490</v>
      </c>
      <c r="Q637" s="3" t="n">
        <v>44403.0</v>
      </c>
      <c r="R637" s="3" t="n">
        <v>44637.0</v>
      </c>
      <c r="S637" s="3" t="n">
        <v>44638.23013550926</v>
      </c>
      <c r="T637" s="3" t="n">
        <v>44719.58774552083</v>
      </c>
      <c r="U637" t="s">
        <v>4491</v>
      </c>
      <c r="V637" t="s">
        <v>4492</v>
      </c>
    </row>
    <row r="638">
      <c r="A638" t="s">
        <v>22</v>
      </c>
      <c r="B638" t="s">
        <v>4493</v>
      </c>
      <c r="C638" t="s">
        <v>24</v>
      </c>
      <c r="D638" t="s">
        <v>25</v>
      </c>
      <c r="E638" t="s">
        <v>4494</v>
      </c>
      <c r="F638" s="2" t="n">
        <f>HYPERLINK("https://patents.google.com/patent/US20220079503","Google")</f>
        <v>0.0</v>
      </c>
      <c r="G638" s="2" t="n">
        <f>HYPERLINK("https://patentcenter.uspto.gov/applications/17473144","Patent Center")</f>
        <v>0.0</v>
      </c>
      <c r="H638" s="2" t="n">
        <f>HYPERLINK("https://worldwide.espacenet.com/patent/search?q=US20220079503","Espacenet")</f>
        <v>0.0</v>
      </c>
      <c r="I638" s="2" t="n">
        <f>HYPERLINK("https://ppubs.uspto.gov/pubwebapp/external.html?q=20220079503.pn.","USPTO")</f>
        <v>0.0</v>
      </c>
      <c r="J638" s="2" t="n">
        <f>HYPERLINK("https://image-ppubs.uspto.gov/dirsearch-public/print/downloadPdf/20220079503","USPTO PDF")</f>
        <v>0.0</v>
      </c>
      <c r="K638" s="2" t="n">
        <f>HYPERLINK("https://sectors.patentforecast.com/pmd/US20220079503","PMD")</f>
        <v>0.0</v>
      </c>
      <c r="L638" s="2" t="n">
        <f>HYPERLINK("https://globaldossier.uspto.gov/result/application/US/17473144/1","US20220079503")</f>
        <v>0.0</v>
      </c>
      <c r="M638" t="s">
        <v>4495</v>
      </c>
      <c r="N638" t="s">
        <v>4496</v>
      </c>
      <c r="O638" t="s">
        <v>4497</v>
      </c>
      <c r="P638" t="s">
        <v>4498</v>
      </c>
      <c r="Q638" s="3" t="n">
        <v>44452.0</v>
      </c>
      <c r="R638" s="3" t="n">
        <v>44637.0</v>
      </c>
      <c r="S638" s="3" t="n">
        <v>44638.23013550926</v>
      </c>
      <c r="T638" s="3" t="n">
        <v>44719.58820111111</v>
      </c>
      <c r="U638" t="s">
        <v>31</v>
      </c>
      <c r="V638" t="s">
        <v>4499</v>
      </c>
    </row>
    <row r="639">
      <c r="A639" t="s">
        <v>22</v>
      </c>
      <c r="B639" t="s">
        <v>4500</v>
      </c>
      <c r="C639" t="s">
        <v>24</v>
      </c>
      <c r="D639" t="s">
        <v>25</v>
      </c>
      <c r="E639" t="s">
        <v>4501</v>
      </c>
      <c r="F639" s="2" t="n">
        <f>HYPERLINK("https://patents.google.com/patent/US20220079439","Google")</f>
        <v>0.0</v>
      </c>
      <c r="G639" s="2" t="n">
        <f>HYPERLINK("https://patentcenter.uspto.gov/applications/17338866","Patent Center")</f>
        <v>0.0</v>
      </c>
      <c r="H639" s="2" t="n">
        <f>HYPERLINK("https://worldwide.espacenet.com/patent/search?q=US20220079439","Espacenet")</f>
        <v>0.0</v>
      </c>
      <c r="I639" s="2" t="n">
        <f>HYPERLINK("https://ppubs.uspto.gov/pubwebapp/external.html?q=20220079439.pn.","USPTO")</f>
        <v>0.0</v>
      </c>
      <c r="J639" s="2" t="n">
        <f>HYPERLINK("https://image-ppubs.uspto.gov/dirsearch-public/print/downloadPdf/20220079439","USPTO PDF")</f>
        <v>0.0</v>
      </c>
      <c r="K639" s="2" t="n">
        <f>HYPERLINK("https://sectors.patentforecast.com/pmd/US20220079439","PMD")</f>
        <v>0.0</v>
      </c>
      <c r="L639" s="2" t="n">
        <f>HYPERLINK("https://globaldossier.uspto.gov/result/application/US/17338866/1","US20220079439")</f>
        <v>0.0</v>
      </c>
      <c r="M639" t="s">
        <v>4502</v>
      </c>
      <c r="N639" t="s">
        <v>4503</v>
      </c>
      <c r="O639" t="s">
        <v>4503</v>
      </c>
      <c r="P639" t="s">
        <v>4504</v>
      </c>
      <c r="Q639" s="3" t="n">
        <v>44351.0</v>
      </c>
      <c r="R639" s="3" t="n">
        <v>44637.0</v>
      </c>
      <c r="S639" s="3" t="n">
        <v>44638.23013550926</v>
      </c>
      <c r="T639" s="3" t="n">
        <v>44672.3704130787</v>
      </c>
      <c r="U639" t="s">
        <v>4505</v>
      </c>
      <c r="V639" t="s">
        <v>4506</v>
      </c>
    </row>
    <row r="640">
      <c r="A640" t="s">
        <v>22</v>
      </c>
      <c r="B640" t="s">
        <v>4507</v>
      </c>
      <c r="C640" t="s">
        <v>24</v>
      </c>
      <c r="D640" t="s">
        <v>3667</v>
      </c>
      <c r="E640" t="s">
        <v>4508</v>
      </c>
      <c r="F640" s="2" t="n">
        <f>HYPERLINK("https://patents.google.com/patent/US20220079366","Google")</f>
        <v>0.0</v>
      </c>
      <c r="G640" s="2" t="n">
        <f>HYPERLINK("https://patentcenter.uspto.gov/applications/17020551","Patent Center")</f>
        <v>0.0</v>
      </c>
      <c r="H640" s="2" t="n">
        <f>HYPERLINK("https://worldwide.espacenet.com/patent/search?q=US20220079366","Espacenet")</f>
        <v>0.0</v>
      </c>
      <c r="I640" s="2" t="n">
        <f>HYPERLINK("https://ppubs.uspto.gov/pubwebapp/external.html?q=20220079366.pn.","USPTO")</f>
        <v>0.0</v>
      </c>
      <c r="J640" s="2" t="n">
        <f>HYPERLINK("https://image-ppubs.uspto.gov/dirsearch-public/print/downloadPdf/20220079366","USPTO PDF")</f>
        <v>0.0</v>
      </c>
      <c r="K640" s="2" t="n">
        <f>HYPERLINK("https://sectors.patentforecast.com/pmd/US20220079366","PMD")</f>
        <v>0.0</v>
      </c>
      <c r="L640" s="2" t="n">
        <f>HYPERLINK("https://globaldossier.uspto.gov/result/application/US/17020551/1","US20220079366")</f>
        <v>0.0</v>
      </c>
      <c r="M640" t="s">
        <v>4509</v>
      </c>
      <c r="N640" t="s">
        <v>4510</v>
      </c>
      <c r="O640" t="s">
        <v>4511</v>
      </c>
      <c r="P640" t="s">
        <v>4512</v>
      </c>
      <c r="Q640" s="3" t="n">
        <v>44088.0</v>
      </c>
      <c r="R640" s="3" t="n">
        <v>44637.0</v>
      </c>
      <c r="S640" s="3" t="n">
        <v>44638.23013550926</v>
      </c>
      <c r="T640" s="3" t="n">
        <v>44719.58841701389</v>
      </c>
      <c r="U640" t="s">
        <v>31</v>
      </c>
      <c r="V640" t="s">
        <v>4513</v>
      </c>
    </row>
    <row r="641">
      <c r="A641" t="s">
        <v>22</v>
      </c>
      <c r="B641" t="s">
        <v>4514</v>
      </c>
      <c r="C641" t="s">
        <v>24</v>
      </c>
      <c r="D641" t="s">
        <v>69</v>
      </c>
      <c r="E641" t="s">
        <v>4515</v>
      </c>
      <c r="F641" s="2" t="n">
        <f>HYPERLINK("https://patents.google.com/patent/US20220079272","Google")</f>
        <v>0.0</v>
      </c>
      <c r="G641" s="2" t="n">
        <f>HYPERLINK("https://patentcenter.uspto.gov/applications/17017691","Patent Center")</f>
        <v>0.0</v>
      </c>
      <c r="H641" s="2" t="n">
        <f>HYPERLINK("https://worldwide.espacenet.com/patent/search?q=US20220079272","Espacenet")</f>
        <v>0.0</v>
      </c>
      <c r="I641" s="2" t="n">
        <f>HYPERLINK("https://ppubs.uspto.gov/pubwebapp/external.html?q=20220079272.pn.","USPTO")</f>
        <v>0.0</v>
      </c>
      <c r="J641" s="2" t="n">
        <f>HYPERLINK("https://image-ppubs.uspto.gov/dirsearch-public/print/downloadPdf/20220079272","USPTO PDF")</f>
        <v>0.0</v>
      </c>
      <c r="K641" s="2" t="n">
        <f>HYPERLINK("https://sectors.patentforecast.com/pmd/US20220079272","PMD")</f>
        <v>0.0</v>
      </c>
      <c r="L641" s="2" t="n">
        <f>HYPERLINK("https://globaldossier.uspto.gov/result/application/US/17017691/1","US20220079272")</f>
        <v>0.0</v>
      </c>
      <c r="M641" t="s">
        <v>4516</v>
      </c>
      <c r="N641" t="s">
        <v>4517</v>
      </c>
      <c r="O641" t="s">
        <v>4518</v>
      </c>
      <c r="P641" t="s">
        <v>4519</v>
      </c>
      <c r="Q641" s="3" t="n">
        <v>44085.0</v>
      </c>
      <c r="R641" s="3" t="n">
        <v>44637.0</v>
      </c>
      <c r="S641" s="3" t="n">
        <v>44638.23013550926</v>
      </c>
      <c r="T641" s="3" t="n">
        <v>44658.600599224534</v>
      </c>
      <c r="U641" t="s">
        <v>4520</v>
      </c>
      <c r="V641" t="s">
        <v>4521</v>
      </c>
    </row>
    <row r="642">
      <c r="A642" t="s">
        <v>22</v>
      </c>
      <c r="B642" t="s">
        <v>4522</v>
      </c>
      <c r="C642" t="s">
        <v>24</v>
      </c>
      <c r="D642" t="s">
        <v>69</v>
      </c>
      <c r="E642" t="s">
        <v>4523</v>
      </c>
      <c r="F642" s="2" t="n">
        <f>HYPERLINK("https://patents.google.com/patent/US20220079271","Google")</f>
        <v>0.0</v>
      </c>
      <c r="G642" s="2" t="n">
        <f>HYPERLINK("https://patentcenter.uspto.gov/applications/17539009","Patent Center")</f>
        <v>0.0</v>
      </c>
      <c r="H642" s="2" t="n">
        <f>HYPERLINK("https://worldwide.espacenet.com/patent/search?q=US20220079271","Espacenet")</f>
        <v>0.0</v>
      </c>
      <c r="I642" s="2" t="n">
        <f>HYPERLINK("https://ppubs.uspto.gov/pubwebapp/external.html?q=20220079271.pn.","USPTO")</f>
        <v>0.0</v>
      </c>
      <c r="J642" s="2" t="n">
        <f>HYPERLINK("https://image-ppubs.uspto.gov/dirsearch-public/print/downloadPdf/20220079271","USPTO PDF")</f>
        <v>0.0</v>
      </c>
      <c r="K642" s="2" t="n">
        <f>HYPERLINK("https://sectors.patentforecast.com/pmd/US20220079271","PMD")</f>
        <v>0.0</v>
      </c>
      <c r="L642" s="2" t="n">
        <f>HYPERLINK("https://globaldossier.uspto.gov/result/application/US/17539009/1","US20220079271")</f>
        <v>0.0</v>
      </c>
      <c r="M642" t="s">
        <v>4524</v>
      </c>
      <c r="N642" t="s">
        <v>4525</v>
      </c>
      <c r="O642" t="s">
        <v>4526</v>
      </c>
      <c r="P642" t="s">
        <v>4527</v>
      </c>
      <c r="Q642" s="3" t="n">
        <v>44530.0</v>
      </c>
      <c r="R642" s="3" t="n">
        <v>44637.0</v>
      </c>
      <c r="S642" s="3" t="n">
        <v>44638.23013550926</v>
      </c>
      <c r="T642" s="3" t="n">
        <v>44719.58847392361</v>
      </c>
      <c r="U642" t="s">
        <v>4528</v>
      </c>
      <c r="V642" t="s">
        <v>4529</v>
      </c>
    </row>
    <row r="643">
      <c r="A643" t="s">
        <v>22</v>
      </c>
      <c r="B643" t="s">
        <v>4530</v>
      </c>
      <c r="C643" t="s">
        <v>24</v>
      </c>
      <c r="D643" t="s">
        <v>69</v>
      </c>
      <c r="E643" t="s">
        <v>4531</v>
      </c>
      <c r="F643" s="2" t="n">
        <f>HYPERLINK("https://patents.google.com/patent/US20220079269","Google")</f>
        <v>0.0</v>
      </c>
      <c r="G643" s="2" t="n">
        <f>HYPERLINK("https://patentcenter.uspto.gov/applications/17187268","Patent Center")</f>
        <v>0.0</v>
      </c>
      <c r="H643" s="2" t="n">
        <f>HYPERLINK("https://worldwide.espacenet.com/patent/search?q=US20220079269","Espacenet")</f>
        <v>0.0</v>
      </c>
      <c r="I643" s="2" t="n">
        <f>HYPERLINK("https://ppubs.uspto.gov/pubwebapp/external.html?q=20220079269.pn.","USPTO")</f>
        <v>0.0</v>
      </c>
      <c r="J643" s="2" t="n">
        <f>HYPERLINK("https://image-ppubs.uspto.gov/dirsearch-public/print/downloadPdf/20220079269","USPTO PDF")</f>
        <v>0.0</v>
      </c>
      <c r="K643" s="2" t="n">
        <f>HYPERLINK("https://sectors.patentforecast.com/pmd/US20220079269","PMD")</f>
        <v>0.0</v>
      </c>
      <c r="L643" s="2" t="n">
        <f>HYPERLINK("https://globaldossier.uspto.gov/result/application/US/17187268/1","US20220079269")</f>
        <v>0.0</v>
      </c>
      <c r="M643" t="s">
        <v>4532</v>
      </c>
      <c r="N643" t="s">
        <v>3029</v>
      </c>
      <c r="O643" t="s">
        <v>3030</v>
      </c>
      <c r="P643" t="s">
        <v>4533</v>
      </c>
      <c r="Q643" s="3" t="n">
        <v>44253.0</v>
      </c>
      <c r="R643" s="3" t="n">
        <v>44637.0</v>
      </c>
      <c r="S643" s="3" t="n">
        <v>44638.23013550926</v>
      </c>
      <c r="T643" s="3" t="n">
        <v>44658.61965958333</v>
      </c>
      <c r="U643" t="s">
        <v>4534</v>
      </c>
      <c r="V643" t="s">
        <v>4535</v>
      </c>
    </row>
    <row r="644">
      <c r="A644" t="s">
        <v>22</v>
      </c>
      <c r="B644" t="s">
        <v>4536</v>
      </c>
      <c r="C644" t="s">
        <v>24</v>
      </c>
      <c r="D644" t="s">
        <v>69</v>
      </c>
      <c r="E644" t="s">
        <v>4537</v>
      </c>
      <c r="F644" s="2" t="n">
        <f>HYPERLINK("https://patents.google.com/patent/US20220079267","Google")</f>
        <v>0.0</v>
      </c>
      <c r="G644" s="2" t="n">
        <f>HYPERLINK("https://patentcenter.uspto.gov/applications/17018377","Patent Center")</f>
        <v>0.0</v>
      </c>
      <c r="H644" s="2" t="n">
        <f>HYPERLINK("https://worldwide.espacenet.com/patent/search?q=US20220079267","Espacenet")</f>
        <v>0.0</v>
      </c>
      <c r="I644" s="2" t="n">
        <f>HYPERLINK("https://ppubs.uspto.gov/pubwebapp/external.html?q=20220079267.pn.","USPTO")</f>
        <v>0.0</v>
      </c>
      <c r="J644" s="2" t="n">
        <f>HYPERLINK("https://image-ppubs.uspto.gov/dirsearch-public/print/downloadPdf/20220079267","USPTO PDF")</f>
        <v>0.0</v>
      </c>
      <c r="K644" s="2" t="n">
        <f>HYPERLINK("https://sectors.patentforecast.com/pmd/US20220079267","PMD")</f>
        <v>0.0</v>
      </c>
      <c r="L644" s="2" t="n">
        <f>HYPERLINK("https://globaldossier.uspto.gov/result/application/US/17018377/1","US20220079267")</f>
        <v>0.0</v>
      </c>
      <c r="M644" t="s">
        <v>4538</v>
      </c>
      <c r="N644" t="s">
        <v>4539</v>
      </c>
      <c r="O644" t="s">
        <v>4539</v>
      </c>
      <c r="P644" t="s">
        <v>4540</v>
      </c>
      <c r="Q644" s="3" t="n">
        <v>44085.0</v>
      </c>
      <c r="R644" s="3" t="n">
        <v>44637.0</v>
      </c>
      <c r="S644" s="3" t="n">
        <v>44638.23013550926</v>
      </c>
      <c r="T644" s="3" t="n">
        <v>44658.61965958333</v>
      </c>
      <c r="U644" t="s">
        <v>4541</v>
      </c>
      <c r="V644" t="s">
        <v>4542</v>
      </c>
    </row>
    <row r="645">
      <c r="A645" t="s">
        <v>22</v>
      </c>
      <c r="B645" t="s">
        <v>4543</v>
      </c>
      <c r="C645" t="s">
        <v>24</v>
      </c>
      <c r="D645" t="s">
        <v>69</v>
      </c>
      <c r="E645" t="s">
        <v>4537</v>
      </c>
      <c r="F645" s="2" t="n">
        <f>HYPERLINK("https://patents.google.com/patent/US20220079266","Google")</f>
        <v>0.0</v>
      </c>
      <c r="G645" s="2" t="n">
        <f>HYPERLINK("https://patentcenter.uspto.gov/applications/17018203","Patent Center")</f>
        <v>0.0</v>
      </c>
      <c r="H645" s="2" t="n">
        <f>HYPERLINK("https://worldwide.espacenet.com/patent/search?q=US20220079266","Espacenet")</f>
        <v>0.0</v>
      </c>
      <c r="I645" s="2" t="n">
        <f>HYPERLINK("https://ppubs.uspto.gov/pubwebapp/external.html?q=20220079266.pn.","USPTO")</f>
        <v>0.0</v>
      </c>
      <c r="J645" s="2" t="n">
        <f>HYPERLINK("https://image-ppubs.uspto.gov/dirsearch-public/print/downloadPdf/20220079266","USPTO PDF")</f>
        <v>0.0</v>
      </c>
      <c r="K645" s="2" t="n">
        <f>HYPERLINK("https://sectors.patentforecast.com/pmd/US20220079266","PMD")</f>
        <v>0.0</v>
      </c>
      <c r="L645" s="2" t="n">
        <f>HYPERLINK("https://globaldossier.uspto.gov/result/application/US/17018203/1","US20220079266")</f>
        <v>0.0</v>
      </c>
      <c r="M645" t="s">
        <v>4544</v>
      </c>
      <c r="N645" t="s">
        <v>4539</v>
      </c>
      <c r="O645" t="s">
        <v>4539</v>
      </c>
      <c r="P645" t="s">
        <v>4540</v>
      </c>
      <c r="Q645" s="3" t="n">
        <v>44085.0</v>
      </c>
      <c r="R645" s="3" t="n">
        <v>44637.0</v>
      </c>
      <c r="S645" s="3" t="n">
        <v>44638.23013550926</v>
      </c>
      <c r="T645" s="3" t="n">
        <v>44658.61965958333</v>
      </c>
      <c r="U645" t="s">
        <v>4541</v>
      </c>
      <c r="V645" t="s">
        <v>4542</v>
      </c>
    </row>
    <row r="646">
      <c r="A646" t="s">
        <v>22</v>
      </c>
      <c r="B646" t="s">
        <v>4545</v>
      </c>
      <c r="C646" t="s">
        <v>60</v>
      </c>
      <c r="D646" t="s">
        <v>2262</v>
      </c>
      <c r="E646" t="s">
        <v>4546</v>
      </c>
      <c r="F646" s="2" t="n">
        <f>HYPERLINK("https://patents.google.com/patent/US20220079190","Google")</f>
        <v>0.0</v>
      </c>
      <c r="G646" s="2" t="n">
        <f>HYPERLINK("https://patentcenter.uspto.gov/applications/17475232","Patent Center")</f>
        <v>0.0</v>
      </c>
      <c r="H646" s="2" t="n">
        <f>HYPERLINK("https://worldwide.espacenet.com/patent/search?q=US20220079190","Espacenet")</f>
        <v>0.0</v>
      </c>
      <c r="I646" s="2" t="n">
        <f>HYPERLINK("https://ppubs.uspto.gov/pubwebapp/external.html?q=20220079190.pn.","USPTO")</f>
        <v>0.0</v>
      </c>
      <c r="J646" s="2" t="n">
        <f>HYPERLINK("https://image-ppubs.uspto.gov/dirsearch-public/print/downloadPdf/20220079190","USPTO PDF")</f>
        <v>0.0</v>
      </c>
      <c r="K646" s="2" t="n">
        <f>HYPERLINK("https://sectors.patentforecast.com/pmd/US20220079190","PMD")</f>
        <v>0.0</v>
      </c>
      <c r="L646" s="2" t="n">
        <f>HYPERLINK("https://globaldossier.uspto.gov/result/application/US/17475232/1","US20220079190")</f>
        <v>0.0</v>
      </c>
      <c r="M646" t="s">
        <v>4547</v>
      </c>
      <c r="N646" t="s">
        <v>4548</v>
      </c>
      <c r="O646" t="s">
        <v>4549</v>
      </c>
      <c r="P646" t="s">
        <v>4550</v>
      </c>
      <c r="Q646" s="3" t="n">
        <v>44453.0</v>
      </c>
      <c r="R646" s="3" t="n">
        <v>44637.0</v>
      </c>
      <c r="S646" s="3" t="n">
        <v>44638.23013550926</v>
      </c>
      <c r="T646" s="3" t="n">
        <v>44672.36960158565</v>
      </c>
      <c r="U646" t="s">
        <v>4551</v>
      </c>
      <c r="V646" t="s">
        <v>4552</v>
      </c>
    </row>
    <row r="647">
      <c r="A647" t="s">
        <v>22</v>
      </c>
      <c r="B647" t="s">
        <v>4553</v>
      </c>
      <c r="C647" t="s">
        <v>24</v>
      </c>
      <c r="D647" t="s">
        <v>69</v>
      </c>
      <c r="E647" t="s">
        <v>4554</v>
      </c>
      <c r="F647" s="2" t="n">
        <f>HYPERLINK("https://patents.google.com/patent/US20220079159","Google")</f>
        <v>0.0</v>
      </c>
      <c r="G647" s="2" t="n">
        <f>HYPERLINK("https://patentcenter.uspto.gov/applications/17212609","Patent Center")</f>
        <v>0.0</v>
      </c>
      <c r="H647" s="2" t="n">
        <f>HYPERLINK("https://worldwide.espacenet.com/patent/search?q=US20220079159","Espacenet")</f>
        <v>0.0</v>
      </c>
      <c r="I647" s="2" t="n">
        <f>HYPERLINK("https://ppubs.uspto.gov/pubwebapp/external.html?q=20220079159.pn.","USPTO")</f>
        <v>0.0</v>
      </c>
      <c r="J647" s="2" t="n">
        <f>HYPERLINK("https://image-ppubs.uspto.gov/dirsearch-public/print/downloadPdf/20220079159","USPTO PDF")</f>
        <v>0.0</v>
      </c>
      <c r="K647" s="2" t="n">
        <f>HYPERLINK("https://sectors.patentforecast.com/pmd/US20220079159","PMD")</f>
        <v>0.0</v>
      </c>
      <c r="L647" s="2" t="n">
        <f>HYPERLINK("https://globaldossier.uspto.gov/result/application/US/17212609/1","US20220079159")</f>
        <v>0.0</v>
      </c>
      <c r="M647" t="s">
        <v>4555</v>
      </c>
      <c r="N647" t="s">
        <v>4556</v>
      </c>
      <c r="O647" t="s">
        <v>4557</v>
      </c>
      <c r="P647" t="s">
        <v>4558</v>
      </c>
      <c r="Q647" s="3" t="n">
        <v>44280.0</v>
      </c>
      <c r="R647" s="3" t="n">
        <v>44637.0</v>
      </c>
      <c r="S647" s="3" t="n">
        <v>44638.23013550926</v>
      </c>
      <c r="T647" s="3" t="n">
        <v>44672.41146859954</v>
      </c>
      <c r="U647" t="s">
        <v>31</v>
      </c>
      <c r="V647" t="s">
        <v>4559</v>
      </c>
    </row>
    <row r="648">
      <c r="A648" t="s">
        <v>22</v>
      </c>
      <c r="B648" t="s">
        <v>4560</v>
      </c>
      <c r="C648" t="s">
        <v>24</v>
      </c>
      <c r="D648" t="s">
        <v>100</v>
      </c>
      <c r="E648" t="s">
        <v>4561</v>
      </c>
      <c r="F648" s="2" t="n">
        <f>HYPERLINK("https://patents.google.com/patent/US20220079149","Google")</f>
        <v>0.0</v>
      </c>
      <c r="G648" s="2" t="n">
        <f>HYPERLINK("https://patentcenter.uspto.gov/applications/17462664","Patent Center")</f>
        <v>0.0</v>
      </c>
      <c r="H648" s="2" t="n">
        <f>HYPERLINK("https://worldwide.espacenet.com/patent/search?q=US20220079149","Espacenet")</f>
        <v>0.0</v>
      </c>
      <c r="I648" s="2" t="n">
        <f>HYPERLINK("https://ppubs.uspto.gov/pubwebapp/external.html?q=20220079149.pn.","USPTO")</f>
        <v>0.0</v>
      </c>
      <c r="J648" s="2" t="n">
        <f>HYPERLINK("https://image-ppubs.uspto.gov/dirsearch-public/print/downloadPdf/20220079149","USPTO PDF")</f>
        <v>0.0</v>
      </c>
      <c r="K648" s="2" t="n">
        <f>HYPERLINK("https://sectors.patentforecast.com/pmd/US20220079149","PMD")</f>
        <v>0.0</v>
      </c>
      <c r="L648" s="2" t="n">
        <f>HYPERLINK("https://globaldossier.uspto.gov/result/application/US/17462664/1","US20220079149")</f>
        <v>0.0</v>
      </c>
      <c r="M648" t="s">
        <v>4562</v>
      </c>
      <c r="N648" t="s">
        <v>4563</v>
      </c>
      <c r="O648" t="s">
        <v>4564</v>
      </c>
      <c r="P648" t="s">
        <v>4565</v>
      </c>
      <c r="Q648" s="3" t="n">
        <v>44439.0</v>
      </c>
      <c r="R648" s="3" t="n">
        <v>44637.0</v>
      </c>
      <c r="S648" s="3" t="n">
        <v>44638.23013550926</v>
      </c>
      <c r="T648" s="3" t="n">
        <v>44672.45784769676</v>
      </c>
      <c r="U648" t="s">
        <v>31</v>
      </c>
      <c r="V648" t="s">
        <v>4566</v>
      </c>
    </row>
    <row r="649">
      <c r="A649" t="s">
        <v>22</v>
      </c>
      <c r="B649" t="s">
        <v>4567</v>
      </c>
      <c r="C649" t="s">
        <v>24</v>
      </c>
      <c r="D649" t="s">
        <v>69</v>
      </c>
      <c r="E649" t="s">
        <v>4568</v>
      </c>
      <c r="F649" s="2" t="n">
        <f>HYPERLINK("https://patents.google.com/patent/US20220078575","Google")</f>
        <v>0.0</v>
      </c>
      <c r="G649" s="2" t="n">
        <f>HYPERLINK("https://patentcenter.uspto.gov/applications/17462168","Patent Center")</f>
        <v>0.0</v>
      </c>
      <c r="H649" s="2" t="n">
        <f>HYPERLINK("https://worldwide.espacenet.com/patent/search?q=US20220078575","Espacenet")</f>
        <v>0.0</v>
      </c>
      <c r="I649" s="2" t="n">
        <f>HYPERLINK("https://ppubs.uspto.gov/pubwebapp/external.html?q=20220078575.pn.","USPTO")</f>
        <v>0.0</v>
      </c>
      <c r="J649" s="2" t="n">
        <f>HYPERLINK("https://image-ppubs.uspto.gov/dirsearch-public/print/downloadPdf/20220078575","USPTO PDF")</f>
        <v>0.0</v>
      </c>
      <c r="K649" s="2" t="n">
        <f>HYPERLINK("https://sectors.patentforecast.com/pmd/US20220078575","PMD")</f>
        <v>0.0</v>
      </c>
      <c r="L649" s="2" t="n">
        <f>HYPERLINK("https://globaldossier.uspto.gov/result/application/US/17462168/1","US20220078575")</f>
        <v>0.0</v>
      </c>
      <c r="M649" t="s">
        <v>4569</v>
      </c>
      <c r="N649" t="s">
        <v>4570</v>
      </c>
      <c r="O649" t="s">
        <v>4571</v>
      </c>
      <c r="P649" t="s">
        <v>4572</v>
      </c>
      <c r="Q649" s="3" t="n">
        <v>44439.0</v>
      </c>
      <c r="R649" s="3" t="n">
        <v>44630.0</v>
      </c>
      <c r="S649" s="3" t="n">
        <v>44631.18881644676</v>
      </c>
      <c r="T649" s="3" t="n">
        <v>44658.622062905095</v>
      </c>
      <c r="U649" t="s">
        <v>31</v>
      </c>
      <c r="V649" t="s">
        <v>4573</v>
      </c>
    </row>
    <row r="650">
      <c r="A650" t="s">
        <v>22</v>
      </c>
      <c r="B650" t="s">
        <v>4574</v>
      </c>
      <c r="C650" t="s">
        <v>24</v>
      </c>
      <c r="D650" t="s">
        <v>204</v>
      </c>
      <c r="E650" t="s">
        <v>4575</v>
      </c>
      <c r="F650" s="2" t="n">
        <f>HYPERLINK("https://patents.google.com/patent/US20220078503","Google")</f>
        <v>0.0</v>
      </c>
      <c r="G650" s="2" t="n">
        <f>HYPERLINK("https://patentcenter.uspto.gov/applications/17151987","Patent Center")</f>
        <v>0.0</v>
      </c>
      <c r="H650" s="2" t="n">
        <f>HYPERLINK("https://worldwide.espacenet.com/patent/search?q=US20220078503","Espacenet")</f>
        <v>0.0</v>
      </c>
      <c r="I650" s="2" t="n">
        <f>HYPERLINK("https://ppubs.uspto.gov/pubwebapp/external.html?q=20220078503.pn.","USPTO")</f>
        <v>0.0</v>
      </c>
      <c r="J650" s="2" t="n">
        <f>HYPERLINK("https://image-ppubs.uspto.gov/dirsearch-public/print/downloadPdf/20220078503","USPTO PDF")</f>
        <v>0.0</v>
      </c>
      <c r="K650" s="2" t="n">
        <f>HYPERLINK("https://sectors.patentforecast.com/pmd/US20220078503","PMD")</f>
        <v>0.0</v>
      </c>
      <c r="L650" s="2" t="n">
        <f>HYPERLINK("https://globaldossier.uspto.gov/result/application/US/17151987/1","US20220078503")</f>
        <v>0.0</v>
      </c>
      <c r="M650" t="s">
        <v>4576</v>
      </c>
      <c r="N650" t="s">
        <v>4577</v>
      </c>
      <c r="O650" t="s">
        <v>4578</v>
      </c>
      <c r="P650" t="s">
        <v>4579</v>
      </c>
      <c r="Q650" s="3" t="n">
        <v>44215.0</v>
      </c>
      <c r="R650" s="3" t="n">
        <v>44630.0</v>
      </c>
      <c r="S650" s="3" t="n">
        <v>44631.18881644676</v>
      </c>
      <c r="T650" s="3" t="n">
        <v>44719.58862371528</v>
      </c>
      <c r="U650" t="s">
        <v>4580</v>
      </c>
      <c r="V650" t="s">
        <v>4581</v>
      </c>
    </row>
    <row r="651">
      <c r="A651" t="s">
        <v>22</v>
      </c>
      <c r="B651" t="s">
        <v>4582</v>
      </c>
      <c r="C651" t="s">
        <v>24</v>
      </c>
      <c r="D651" t="s">
        <v>25</v>
      </c>
      <c r="E651" t="s">
        <v>4583</v>
      </c>
      <c r="F651" s="2" t="n">
        <f>HYPERLINK("https://patents.google.com/patent/US20220076850","Google")</f>
        <v>0.0</v>
      </c>
      <c r="G651" s="2" t="n">
        <f>HYPERLINK("https://patentcenter.uspto.gov/applications/17527261","Patent Center")</f>
        <v>0.0</v>
      </c>
      <c r="H651" s="2" t="n">
        <f>HYPERLINK("https://worldwide.espacenet.com/patent/search?q=US20220076850","Espacenet")</f>
        <v>0.0</v>
      </c>
      <c r="I651" s="2" t="n">
        <f>HYPERLINK("https://ppubs.uspto.gov/pubwebapp/external.html?q=20220076850.pn.","USPTO")</f>
        <v>0.0</v>
      </c>
      <c r="J651" s="2" t="n">
        <f>HYPERLINK("https://image-ppubs.uspto.gov/dirsearch-public/print/downloadPdf/20220076850","USPTO PDF")</f>
        <v>0.0</v>
      </c>
      <c r="K651" s="2" t="n">
        <f>HYPERLINK("https://sectors.patentforecast.com/pmd/US20220076850","PMD")</f>
        <v>0.0</v>
      </c>
      <c r="L651" s="2" t="n">
        <f>HYPERLINK("https://globaldossier.uspto.gov/result/application/US/17527261/1","US20220076850")</f>
        <v>0.0</v>
      </c>
      <c r="M651" t="s">
        <v>4584</v>
      </c>
      <c r="N651" t="s">
        <v>4585</v>
      </c>
      <c r="O651" t="s">
        <v>4586</v>
      </c>
      <c r="P651" t="s">
        <v>4587</v>
      </c>
      <c r="Q651" s="3" t="n">
        <v>44516.0</v>
      </c>
      <c r="R651" s="3" t="n">
        <v>44630.0</v>
      </c>
      <c r="S651" s="3" t="n">
        <v>44631.18881644676</v>
      </c>
      <c r="T651" s="3" t="n">
        <v>44658.60840498842</v>
      </c>
      <c r="U651" t="s">
        <v>4588</v>
      </c>
      <c r="V651" t="s">
        <v>4589</v>
      </c>
    </row>
    <row r="652">
      <c r="A652" t="s">
        <v>22</v>
      </c>
      <c r="B652" t="s">
        <v>4590</v>
      </c>
      <c r="C652" t="s">
        <v>24</v>
      </c>
      <c r="D652" t="s">
        <v>25</v>
      </c>
      <c r="E652" t="s">
        <v>4591</v>
      </c>
      <c r="F652" s="2" t="n">
        <f>HYPERLINK("https://patents.google.com/patent/US20220076849","Google")</f>
        <v>0.0</v>
      </c>
      <c r="G652" s="2" t="n">
        <f>HYPERLINK("https://patentcenter.uspto.gov/applications/17478560","Patent Center")</f>
        <v>0.0</v>
      </c>
      <c r="H652" s="2" t="n">
        <f>HYPERLINK("https://worldwide.espacenet.com/patent/search?q=US20220076849","Espacenet")</f>
        <v>0.0</v>
      </c>
      <c r="I652" s="2" t="n">
        <f>HYPERLINK("https://ppubs.uspto.gov/pubwebapp/external.html?q=20220076849.pn.","USPTO")</f>
        <v>0.0</v>
      </c>
      <c r="J652" s="2" t="n">
        <f>HYPERLINK("https://image-ppubs.uspto.gov/dirsearch-public/print/downloadPdf/20220076849","USPTO PDF")</f>
        <v>0.0</v>
      </c>
      <c r="K652" s="2" t="n">
        <f>HYPERLINK("https://sectors.patentforecast.com/pmd/US20220076849","PMD")</f>
        <v>0.0</v>
      </c>
      <c r="L652" s="2" t="n">
        <f>HYPERLINK("https://globaldossier.uspto.gov/result/application/US/17478560/1","US20220076849")</f>
        <v>0.0</v>
      </c>
      <c r="M652" t="s">
        <v>4592</v>
      </c>
      <c r="N652" t="s">
        <v>4593</v>
      </c>
      <c r="O652" t="s">
        <v>4594</v>
      </c>
      <c r="P652" t="s">
        <v>4595</v>
      </c>
      <c r="Q652" s="3" t="n">
        <v>44456.0</v>
      </c>
      <c r="R652" s="3" t="n">
        <v>44630.0</v>
      </c>
      <c r="S652" s="3" t="n">
        <v>44631.19448780092</v>
      </c>
      <c r="T652" s="3" t="n">
        <v>44719.58866638889</v>
      </c>
      <c r="U652" t="s">
        <v>31</v>
      </c>
      <c r="V652" t="s">
        <v>4596</v>
      </c>
    </row>
    <row r="653">
      <c r="A653" t="s">
        <v>22</v>
      </c>
      <c r="B653" t="s">
        <v>4597</v>
      </c>
      <c r="C653" t="s">
        <v>24</v>
      </c>
      <c r="D653" t="s">
        <v>25</v>
      </c>
      <c r="E653" t="s">
        <v>4598</v>
      </c>
      <c r="F653" s="2" t="n">
        <f>HYPERLINK("https://patents.google.com/patent/US20220076848","Google")</f>
        <v>0.0</v>
      </c>
      <c r="G653" s="2" t="n">
        <f>HYPERLINK("https://patentcenter.uspto.gov/applications/17015531","Patent Center")</f>
        <v>0.0</v>
      </c>
      <c r="H653" s="2" t="n">
        <f>HYPERLINK("https://worldwide.espacenet.com/patent/search?q=US20220076848","Espacenet")</f>
        <v>0.0</v>
      </c>
      <c r="I653" s="2" t="n">
        <f>HYPERLINK("https://ppubs.uspto.gov/pubwebapp/external.html?q=20220076848.pn.","USPTO")</f>
        <v>0.0</v>
      </c>
      <c r="J653" s="2" t="n">
        <f>HYPERLINK("https://image-ppubs.uspto.gov/dirsearch-public/print/downloadPdf/20220076848","USPTO PDF")</f>
        <v>0.0</v>
      </c>
      <c r="K653" s="2" t="n">
        <f>HYPERLINK("https://sectors.patentforecast.com/pmd/US20220076848","PMD")</f>
        <v>0.0</v>
      </c>
      <c r="L653" s="2" t="n">
        <f>HYPERLINK("https://globaldossier.uspto.gov/result/application/US/17015531/1","US20220076848")</f>
        <v>0.0</v>
      </c>
      <c r="M653" t="s">
        <v>4599</v>
      </c>
      <c r="N653" t="s">
        <v>2398</v>
      </c>
      <c r="O653" t="s">
        <v>2399</v>
      </c>
      <c r="P653" t="s">
        <v>4600</v>
      </c>
      <c r="Q653" s="3" t="n">
        <v>44083.0</v>
      </c>
      <c r="R653" s="3" t="n">
        <v>44630.0</v>
      </c>
      <c r="S653" s="3" t="n">
        <v>44631.19448780092</v>
      </c>
      <c r="T653" s="3" t="n">
        <v>44719.58873152778</v>
      </c>
      <c r="U653" t="s">
        <v>4601</v>
      </c>
      <c r="V653" t="s">
        <v>4602</v>
      </c>
    </row>
    <row r="654">
      <c r="A654" t="s">
        <v>22</v>
      </c>
      <c r="B654" t="s">
        <v>4603</v>
      </c>
      <c r="C654" t="s">
        <v>24</v>
      </c>
      <c r="D654" t="s">
        <v>43</v>
      </c>
      <c r="E654" t="s">
        <v>4604</v>
      </c>
      <c r="F654" s="2" t="n">
        <f>HYPERLINK("https://patents.google.com/patent/US20220076842","Google")</f>
        <v>0.0</v>
      </c>
      <c r="G654" s="2" t="n">
        <f>HYPERLINK("https://patentcenter.uspto.gov/applications/17466304","Patent Center")</f>
        <v>0.0</v>
      </c>
      <c r="H654" s="2" t="n">
        <f>HYPERLINK("https://worldwide.espacenet.com/patent/search?q=US20220076842","Espacenet")</f>
        <v>0.0</v>
      </c>
      <c r="I654" s="2" t="n">
        <f>HYPERLINK("https://ppubs.uspto.gov/pubwebapp/external.html?q=20220076842.pn.","USPTO")</f>
        <v>0.0</v>
      </c>
      <c r="J654" s="2" t="n">
        <f>HYPERLINK("https://image-ppubs.uspto.gov/dirsearch-public/print/downloadPdf/20220076842","USPTO PDF")</f>
        <v>0.0</v>
      </c>
      <c r="K654" s="2" t="n">
        <f>HYPERLINK("https://sectors.patentforecast.com/pmd/US20220076842","PMD")</f>
        <v>0.0</v>
      </c>
      <c r="L654" s="2" t="n">
        <f>HYPERLINK("https://globaldossier.uspto.gov/result/application/US/17466304/1","US20220076842")</f>
        <v>0.0</v>
      </c>
      <c r="M654" t="s">
        <v>4605</v>
      </c>
      <c r="N654" t="s">
        <v>1467</v>
      </c>
      <c r="O654" t="s">
        <v>1468</v>
      </c>
      <c r="P654" t="s">
        <v>4606</v>
      </c>
      <c r="Q654" s="3" t="n">
        <v>44442.0</v>
      </c>
      <c r="R654" s="3" t="n">
        <v>44630.0</v>
      </c>
      <c r="S654" s="3" t="n">
        <v>44643.2380796412</v>
      </c>
      <c r="T654" s="3" t="n">
        <v>44672.48534115741</v>
      </c>
      <c r="U654" t="s">
        <v>31</v>
      </c>
      <c r="V654" t="s">
        <v>4607</v>
      </c>
    </row>
    <row r="655">
      <c r="A655" t="s">
        <v>22</v>
      </c>
      <c r="B655" t="s">
        <v>4608</v>
      </c>
      <c r="C655" t="s">
        <v>24</v>
      </c>
      <c r="D655" t="s">
        <v>25</v>
      </c>
      <c r="E655" t="s">
        <v>4609</v>
      </c>
      <c r="F655" s="2" t="n">
        <f>HYPERLINK("https://patents.google.com/patent/US20220076841","Google")</f>
        <v>0.0</v>
      </c>
      <c r="G655" s="2" t="n">
        <f>HYPERLINK("https://patentcenter.uspto.gov/applications/17447252","Patent Center")</f>
        <v>0.0</v>
      </c>
      <c r="H655" s="2" t="n">
        <f>HYPERLINK("https://worldwide.espacenet.com/patent/search?q=US20220076841","Espacenet")</f>
        <v>0.0</v>
      </c>
      <c r="I655" s="2" t="n">
        <f>HYPERLINK("https://ppubs.uspto.gov/pubwebapp/external.html?q=20220076841.pn.","USPTO")</f>
        <v>0.0</v>
      </c>
      <c r="J655" s="2" t="n">
        <f>HYPERLINK("https://image-ppubs.uspto.gov/dirsearch-public/print/downloadPdf/20220076841","USPTO PDF")</f>
        <v>0.0</v>
      </c>
      <c r="K655" s="2" t="n">
        <f>HYPERLINK("https://sectors.patentforecast.com/pmd/US20220076841","PMD")</f>
        <v>0.0</v>
      </c>
      <c r="L655" s="2" t="n">
        <f>HYPERLINK("https://globaldossier.uspto.gov/result/application/US/17447252/1","US20220076841")</f>
        <v>0.0</v>
      </c>
      <c r="M655" t="s">
        <v>4610</v>
      </c>
      <c r="N655" t="s">
        <v>4611</v>
      </c>
      <c r="O655" t="s">
        <v>4612</v>
      </c>
      <c r="P655" t="s">
        <v>4613</v>
      </c>
      <c r="Q655" s="3" t="n">
        <v>44448.0</v>
      </c>
      <c r="R655" s="3" t="n">
        <v>44630.0</v>
      </c>
      <c r="S655" s="3" t="n">
        <v>44631.18881644676</v>
      </c>
      <c r="T655" s="3" t="n">
        <v>44719.58908521991</v>
      </c>
      <c r="U655" t="s">
        <v>4614</v>
      </c>
      <c r="V655" t="s">
        <v>4615</v>
      </c>
    </row>
    <row r="656">
      <c r="A656" t="s">
        <v>22</v>
      </c>
      <c r="B656" t="s">
        <v>4616</v>
      </c>
      <c r="C656" t="s">
        <v>312</v>
      </c>
      <c r="D656" t="s">
        <v>313</v>
      </c>
      <c r="E656" t="s">
        <v>4617</v>
      </c>
      <c r="F656" s="2" t="n">
        <f>HYPERLINK("https://patents.google.com/patent/US20220076813","Google")</f>
        <v>0.0</v>
      </c>
      <c r="G656" s="2" t="n">
        <f>HYPERLINK("https://patentcenter.uspto.gov/applications/17228113","Patent Center")</f>
        <v>0.0</v>
      </c>
      <c r="H656" s="2" t="n">
        <f>HYPERLINK("https://worldwide.espacenet.com/patent/search?q=US20220076813","Espacenet")</f>
        <v>0.0</v>
      </c>
      <c r="I656" s="2" t="n">
        <f>HYPERLINK("https://ppubs.uspto.gov/pubwebapp/external.html?q=20220076813.pn.","USPTO")</f>
        <v>0.0</v>
      </c>
      <c r="J656" s="2" t="n">
        <f>HYPERLINK("https://image-ppubs.uspto.gov/dirsearch-public/print/downloadPdf/20220076813","USPTO PDF")</f>
        <v>0.0</v>
      </c>
      <c r="K656" s="2" t="n">
        <f>HYPERLINK("https://sectors.patentforecast.com/pmd/US20220076813","PMD")</f>
        <v>0.0</v>
      </c>
      <c r="L656" s="2" t="n">
        <f>HYPERLINK("https://globaldossier.uspto.gov/result/application/US/17228113/1","US20220076813")</f>
        <v>0.0</v>
      </c>
      <c r="M656" t="s">
        <v>4618</v>
      </c>
      <c r="N656" t="s">
        <v>4619</v>
      </c>
      <c r="O656" t="s">
        <v>4620</v>
      </c>
      <c r="P656" t="s">
        <v>4621</v>
      </c>
      <c r="Q656" s="3" t="n">
        <v>44298.0</v>
      </c>
      <c r="R656" s="3" t="n">
        <v>44630.0</v>
      </c>
      <c r="S656" s="3" t="n">
        <v>44631.18881644676</v>
      </c>
      <c r="T656" s="3" t="n">
        <v>44672.47317048611</v>
      </c>
      <c r="U656" t="s">
        <v>31</v>
      </c>
      <c r="V656" t="s">
        <v>4622</v>
      </c>
    </row>
    <row r="657">
      <c r="A657" t="s">
        <v>22</v>
      </c>
      <c r="B657" t="s">
        <v>4623</v>
      </c>
      <c r="C657" t="s">
        <v>24</v>
      </c>
      <c r="D657" t="s">
        <v>43</v>
      </c>
      <c r="E657" t="s">
        <v>4624</v>
      </c>
      <c r="F657" s="2" t="n">
        <f>HYPERLINK("https://patents.google.com/patent/US20220076554","Google")</f>
        <v>0.0</v>
      </c>
      <c r="G657" s="2" t="n">
        <f>HYPERLINK("https://patentcenter.uspto.gov/applications/17013944","Patent Center")</f>
        <v>0.0</v>
      </c>
      <c r="H657" s="2" t="n">
        <f>HYPERLINK("https://worldwide.espacenet.com/patent/search?q=US20220076554","Espacenet")</f>
        <v>0.0</v>
      </c>
      <c r="I657" s="2" t="n">
        <f>HYPERLINK("https://ppubs.uspto.gov/pubwebapp/external.html?q=20220076554.pn.","USPTO")</f>
        <v>0.0</v>
      </c>
      <c r="J657" s="2" t="n">
        <f>HYPERLINK("https://image-ppubs.uspto.gov/dirsearch-public/print/downloadPdf/20220076554","USPTO PDF")</f>
        <v>0.0</v>
      </c>
      <c r="K657" s="2" t="n">
        <f>HYPERLINK("https://sectors.patentforecast.com/pmd/US20220076554","PMD")</f>
        <v>0.0</v>
      </c>
      <c r="L657" s="2" t="n">
        <f>HYPERLINK("https://globaldossier.uspto.gov/result/application/US/17013944/1","US20220076554")</f>
        <v>0.0</v>
      </c>
      <c r="M657" t="s">
        <v>4625</v>
      </c>
      <c r="N657" t="s">
        <v>4272</v>
      </c>
      <c r="O657" t="s">
        <v>4273</v>
      </c>
      <c r="P657" t="s">
        <v>4626</v>
      </c>
      <c r="Q657" s="3" t="n">
        <v>44082.0</v>
      </c>
      <c r="R657" s="3" t="n">
        <v>44630.0</v>
      </c>
      <c r="S657" s="3" t="n">
        <v>44631.18881644676</v>
      </c>
      <c r="T657" s="3" t="n">
        <v>44678.58588417824</v>
      </c>
      <c r="U657" t="s">
        <v>4627</v>
      </c>
      <c r="V657" t="s">
        <v>4628</v>
      </c>
    </row>
    <row r="658">
      <c r="A658" t="s">
        <v>22</v>
      </c>
      <c r="B658" t="s">
        <v>4629</v>
      </c>
      <c r="C658" t="s">
        <v>24</v>
      </c>
      <c r="D658" t="s">
        <v>258</v>
      </c>
      <c r="E658" t="s">
        <v>4630</v>
      </c>
      <c r="F658" s="2" t="n">
        <f>HYPERLINK("https://patents.google.com/patent/US20220076522","Google")</f>
        <v>0.0</v>
      </c>
      <c r="G658" s="2" t="n">
        <f>HYPERLINK("https://patentcenter.uspto.gov/applications/17525911","Patent Center")</f>
        <v>0.0</v>
      </c>
      <c r="H658" s="2" t="n">
        <f>HYPERLINK("https://worldwide.espacenet.com/patent/search?q=US20220076522","Espacenet")</f>
        <v>0.0</v>
      </c>
      <c r="I658" s="2" t="n">
        <f>HYPERLINK("https://ppubs.uspto.gov/pubwebapp/external.html?q=20220076522.pn.","USPTO")</f>
        <v>0.0</v>
      </c>
      <c r="J658" s="2" t="n">
        <f>HYPERLINK("https://image-ppubs.uspto.gov/dirsearch-public/print/downloadPdf/20220076522","USPTO PDF")</f>
        <v>0.0</v>
      </c>
      <c r="K658" s="2" t="n">
        <f>HYPERLINK("https://sectors.patentforecast.com/pmd/US20220076522","PMD")</f>
        <v>0.0</v>
      </c>
      <c r="L658" s="2" t="n">
        <f>HYPERLINK("https://globaldossier.uspto.gov/result/application/US/17525911/1","US20220076522")</f>
        <v>0.0</v>
      </c>
      <c r="M658" t="s">
        <v>4631</v>
      </c>
      <c r="N658" t="s">
        <v>4632</v>
      </c>
      <c r="O658" t="s">
        <v>4633</v>
      </c>
      <c r="P658" t="s">
        <v>4634</v>
      </c>
      <c r="Q658" s="3" t="n">
        <v>44514.0</v>
      </c>
      <c r="R658" s="3" t="n">
        <v>44630.0</v>
      </c>
      <c r="S658" s="3" t="n">
        <v>44631.18881644676</v>
      </c>
      <c r="T658" s="3" t="n">
        <v>44719.58916783565</v>
      </c>
      <c r="U658" t="s">
        <v>4635</v>
      </c>
      <c r="V658" t="s">
        <v>4636</v>
      </c>
    </row>
    <row r="659">
      <c r="A659" t="s">
        <v>22</v>
      </c>
      <c r="B659" t="s">
        <v>4637</v>
      </c>
      <c r="C659" t="s">
        <v>24</v>
      </c>
      <c r="D659" t="s">
        <v>25</v>
      </c>
      <c r="E659" t="s">
        <v>4638</v>
      </c>
      <c r="F659" s="2" t="n">
        <f>HYPERLINK("https://patents.google.com/patent/US20220076512","Google")</f>
        <v>0.0</v>
      </c>
      <c r="G659" s="2" t="n">
        <f>HYPERLINK("https://patentcenter.uspto.gov/applications/17529086","Patent Center")</f>
        <v>0.0</v>
      </c>
      <c r="H659" s="2" t="n">
        <f>HYPERLINK("https://worldwide.espacenet.com/patent/search?q=US20220076512","Espacenet")</f>
        <v>0.0</v>
      </c>
      <c r="I659" s="2" t="n">
        <f>HYPERLINK("https://ppubs.uspto.gov/pubwebapp/external.html?q=20220076512.pn.","USPTO")</f>
        <v>0.0</v>
      </c>
      <c r="J659" s="2" t="n">
        <f>HYPERLINK("https://image-ppubs.uspto.gov/dirsearch-public/print/downloadPdf/20220076512","USPTO PDF")</f>
        <v>0.0</v>
      </c>
      <c r="K659" s="2" t="n">
        <f>HYPERLINK("https://sectors.patentforecast.com/pmd/US20220076512","PMD")</f>
        <v>0.0</v>
      </c>
      <c r="L659" s="2" t="n">
        <f>HYPERLINK("https://globaldossier.uspto.gov/result/application/US/17529086/1","US20220076512")</f>
        <v>0.0</v>
      </c>
      <c r="M659" t="s">
        <v>4639</v>
      </c>
      <c r="N659" t="s">
        <v>911</v>
      </c>
      <c r="O659" t="s">
        <v>912</v>
      </c>
      <c r="P659" t="s">
        <v>4640</v>
      </c>
      <c r="Q659" s="3" t="n">
        <v>44517.0</v>
      </c>
      <c r="R659" s="3" t="n">
        <v>44630.0</v>
      </c>
      <c r="S659" s="3" t="n">
        <v>44631.18881644676</v>
      </c>
      <c r="T659" s="3" t="n">
        <v>44672.487257291665</v>
      </c>
      <c r="U659" t="s">
        <v>4641</v>
      </c>
      <c r="V659" t="s">
        <v>4642</v>
      </c>
    </row>
    <row r="660">
      <c r="A660" t="s">
        <v>22</v>
      </c>
      <c r="B660" t="s">
        <v>4643</v>
      </c>
      <c r="C660" t="s">
        <v>24</v>
      </c>
      <c r="D660" t="s">
        <v>69</v>
      </c>
      <c r="E660" t="s">
        <v>4644</v>
      </c>
      <c r="F660" s="2" t="n">
        <f>HYPERLINK("https://patents.google.com/patent/US20220076511","Google")</f>
        <v>0.0</v>
      </c>
      <c r="G660" s="2" t="n">
        <f>HYPERLINK("https://patentcenter.uspto.gov/applications/17528530","Patent Center")</f>
        <v>0.0</v>
      </c>
      <c r="H660" s="2" t="n">
        <f>HYPERLINK("https://worldwide.espacenet.com/patent/search?q=US20220076511","Espacenet")</f>
        <v>0.0</v>
      </c>
      <c r="I660" s="2" t="n">
        <f>HYPERLINK("https://ppubs.uspto.gov/pubwebapp/external.html?q=20220076511.pn.","USPTO")</f>
        <v>0.0</v>
      </c>
      <c r="J660" s="2" t="n">
        <f>HYPERLINK("https://image-ppubs.uspto.gov/dirsearch-public/print/downloadPdf/20220076511","USPTO PDF")</f>
        <v>0.0</v>
      </c>
      <c r="K660" s="2" t="n">
        <f>HYPERLINK("https://sectors.patentforecast.com/pmd/US20220076511","PMD")</f>
        <v>0.0</v>
      </c>
      <c r="L660" s="2" t="n">
        <f>HYPERLINK("https://globaldossier.uspto.gov/result/application/US/17528530/1","US20220076511")</f>
        <v>0.0</v>
      </c>
      <c r="M660" t="s">
        <v>4645</v>
      </c>
      <c r="N660" t="s">
        <v>4646</v>
      </c>
      <c r="O660" t="s">
        <v>4647</v>
      </c>
      <c r="P660" t="s">
        <v>4648</v>
      </c>
      <c r="Q660" s="3" t="n">
        <v>44517.0</v>
      </c>
      <c r="R660" s="3" t="n">
        <v>44630.0</v>
      </c>
      <c r="S660" s="3" t="n">
        <v>44631.18881644676</v>
      </c>
      <c r="T660" s="3" t="n">
        <v>44672.438255</v>
      </c>
      <c r="U660" t="s">
        <v>4649</v>
      </c>
      <c r="V660" t="s">
        <v>4650</v>
      </c>
    </row>
    <row r="661">
      <c r="A661" t="s">
        <v>22</v>
      </c>
      <c r="B661" t="s">
        <v>4651</v>
      </c>
      <c r="C661" t="s">
        <v>24</v>
      </c>
      <c r="D661" t="s">
        <v>204</v>
      </c>
      <c r="E661" t="s">
        <v>4652</v>
      </c>
      <c r="F661" s="2" t="n">
        <f>HYPERLINK("https://patents.google.com/patent/US20220076506","Google")</f>
        <v>0.0</v>
      </c>
      <c r="G661" s="2" t="n">
        <f>HYPERLINK("https://patentcenter.uspto.gov/applications/17013261","Patent Center")</f>
        <v>0.0</v>
      </c>
      <c r="H661" s="2" t="n">
        <f>HYPERLINK("https://worldwide.espacenet.com/patent/search?q=US20220076506","Espacenet")</f>
        <v>0.0</v>
      </c>
      <c r="I661" s="2" t="n">
        <f>HYPERLINK("https://ppubs.uspto.gov/pubwebapp/external.html?q=20220076506.pn.","USPTO")</f>
        <v>0.0</v>
      </c>
      <c r="J661" s="2" t="n">
        <f>HYPERLINK("https://image-ppubs.uspto.gov/dirsearch-public/print/downloadPdf/20220076506","USPTO PDF")</f>
        <v>0.0</v>
      </c>
      <c r="K661" s="2" t="n">
        <f>HYPERLINK("https://sectors.patentforecast.com/pmd/US20220076506","PMD")</f>
        <v>0.0</v>
      </c>
      <c r="L661" s="2" t="n">
        <f>HYPERLINK("https://globaldossier.uspto.gov/result/application/US/17013261/1","US20220076506")</f>
        <v>0.0</v>
      </c>
      <c r="M661" t="s">
        <v>4653</v>
      </c>
      <c r="N661" t="s">
        <v>4654</v>
      </c>
      <c r="O661" t="s">
        <v>4655</v>
      </c>
      <c r="P661" t="s">
        <v>4656</v>
      </c>
      <c r="Q661" s="3" t="n">
        <v>44078.0</v>
      </c>
      <c r="R661" s="3" t="n">
        <v>44630.0</v>
      </c>
      <c r="S661" s="3" t="n">
        <v>44631.18881644676</v>
      </c>
      <c r="T661" s="3" t="n">
        <v>44719.58922136574</v>
      </c>
      <c r="U661" t="s">
        <v>31</v>
      </c>
      <c r="V661" t="s">
        <v>4657</v>
      </c>
    </row>
    <row r="662">
      <c r="A662" t="s">
        <v>22</v>
      </c>
      <c r="B662" t="s">
        <v>4658</v>
      </c>
      <c r="C662" t="s">
        <v>24</v>
      </c>
      <c r="D662" t="s">
        <v>69</v>
      </c>
      <c r="E662" t="s">
        <v>4659</v>
      </c>
      <c r="F662" s="2" t="n">
        <f>HYPERLINK("https://patents.google.com/patent/US20220076225","Google")</f>
        <v>0.0</v>
      </c>
      <c r="G662" s="2" t="n">
        <f>HYPERLINK("https://patentcenter.uspto.gov/applications/17220696","Patent Center")</f>
        <v>0.0</v>
      </c>
      <c r="H662" s="2" t="n">
        <f>HYPERLINK("https://worldwide.espacenet.com/patent/search?q=US20220076225","Espacenet")</f>
        <v>0.0</v>
      </c>
      <c r="I662" s="2" t="n">
        <f>HYPERLINK("https://ppubs.uspto.gov/pubwebapp/external.html?q=20220076225.pn.","USPTO")</f>
        <v>0.0</v>
      </c>
      <c r="J662" s="2" t="n">
        <f>HYPERLINK("https://image-ppubs.uspto.gov/dirsearch-public/print/downloadPdf/20220076225","USPTO PDF")</f>
        <v>0.0</v>
      </c>
      <c r="K662" s="2" t="n">
        <f>HYPERLINK("https://sectors.patentforecast.com/pmd/US20220076225","PMD")</f>
        <v>0.0</v>
      </c>
      <c r="L662" s="2" t="n">
        <f>HYPERLINK("https://globaldossier.uspto.gov/result/application/US/17220696/1","US20220076225")</f>
        <v>0.0</v>
      </c>
      <c r="M662" t="s">
        <v>4660</v>
      </c>
      <c r="N662" t="s">
        <v>4661</v>
      </c>
      <c r="O662" t="s">
        <v>4662</v>
      </c>
      <c r="P662" t="s">
        <v>4663</v>
      </c>
      <c r="Q662" s="3" t="n">
        <v>44287.0</v>
      </c>
      <c r="R662" s="3" t="n">
        <v>44630.0</v>
      </c>
      <c r="S662" s="3" t="n">
        <v>44631.18881644676</v>
      </c>
      <c r="T662" s="3" t="n">
        <v>44719.589252881946</v>
      </c>
      <c r="U662" t="s">
        <v>31</v>
      </c>
      <c r="V662" t="s">
        <v>4664</v>
      </c>
    </row>
    <row r="663">
      <c r="A663" t="s">
        <v>22</v>
      </c>
      <c r="B663" t="s">
        <v>4665</v>
      </c>
      <c r="C663" t="s">
        <v>24</v>
      </c>
      <c r="D663" t="s">
        <v>69</v>
      </c>
      <c r="E663" t="s">
        <v>4666</v>
      </c>
      <c r="F663" s="2" t="n">
        <f>HYPERLINK("https://patents.google.com/patent/US20220076172","Google")</f>
        <v>0.0</v>
      </c>
      <c r="G663" s="2" t="n">
        <f>HYPERLINK("https://patentcenter.uspto.gov/applications/17471792","Patent Center")</f>
        <v>0.0</v>
      </c>
      <c r="H663" s="2" t="n">
        <f>HYPERLINK("https://worldwide.espacenet.com/patent/search?q=US20220076172","Espacenet")</f>
        <v>0.0</v>
      </c>
      <c r="I663" s="2" t="n">
        <f>HYPERLINK("https://ppubs.uspto.gov/pubwebapp/external.html?q=20220076172.pn.","USPTO")</f>
        <v>0.0</v>
      </c>
      <c r="J663" s="2" t="n">
        <f>HYPERLINK("https://image-ppubs.uspto.gov/dirsearch-public/print/downloadPdf/20220076172","USPTO PDF")</f>
        <v>0.0</v>
      </c>
      <c r="K663" s="2" t="n">
        <f>HYPERLINK("https://sectors.patentforecast.com/pmd/US20220076172","PMD")</f>
        <v>0.0</v>
      </c>
      <c r="L663" s="2" t="n">
        <f>HYPERLINK("https://globaldossier.uspto.gov/result/application/US/17471792/1","US20220076172")</f>
        <v>0.0</v>
      </c>
      <c r="M663" t="s">
        <v>4667</v>
      </c>
      <c r="N663" t="s">
        <v>4661</v>
      </c>
      <c r="O663" t="s">
        <v>4662</v>
      </c>
      <c r="P663" t="s">
        <v>4668</v>
      </c>
      <c r="Q663" s="3" t="n">
        <v>44449.0</v>
      </c>
      <c r="R663" s="3" t="n">
        <v>44630.0</v>
      </c>
      <c r="S663" s="3" t="n">
        <v>44631.18881644676</v>
      </c>
      <c r="T663" s="3" t="n">
        <v>44672.45655520834</v>
      </c>
      <c r="U663" t="s">
        <v>4669</v>
      </c>
      <c r="V663" t="s">
        <v>4670</v>
      </c>
    </row>
    <row r="664">
      <c r="A664" t="s">
        <v>22</v>
      </c>
      <c r="B664" t="s">
        <v>4671</v>
      </c>
      <c r="C664" t="s">
        <v>60</v>
      </c>
      <c r="D664" t="s">
        <v>61</v>
      </c>
      <c r="E664" t="s">
        <v>4672</v>
      </c>
      <c r="F664" s="2" t="n">
        <f>HYPERLINK("https://patents.google.com/patent/US20220076137","Google")</f>
        <v>0.0</v>
      </c>
      <c r="G664" s="2" t="n">
        <f>HYPERLINK("https://patentcenter.uspto.gov/applications/17016640","Patent Center")</f>
        <v>0.0</v>
      </c>
      <c r="H664" s="2" t="n">
        <f>HYPERLINK("https://worldwide.espacenet.com/patent/search?q=US20220076137","Espacenet")</f>
        <v>0.0</v>
      </c>
      <c r="I664" s="2" t="n">
        <f>HYPERLINK("https://ppubs.uspto.gov/pubwebapp/external.html?q=20220076137.pn.","USPTO")</f>
        <v>0.0</v>
      </c>
      <c r="J664" s="2" t="n">
        <f>HYPERLINK("https://image-ppubs.uspto.gov/dirsearch-public/print/downloadPdf/20220076137","USPTO PDF")</f>
        <v>0.0</v>
      </c>
      <c r="K664" s="2" t="n">
        <f>HYPERLINK("https://sectors.patentforecast.com/pmd/US20220076137","PMD")</f>
        <v>0.0</v>
      </c>
      <c r="L664" s="2" t="n">
        <f>HYPERLINK("https://globaldossier.uspto.gov/result/application/US/17016640/1","US20220076137")</f>
        <v>0.0</v>
      </c>
      <c r="M664" t="s">
        <v>4673</v>
      </c>
      <c r="N664" t="s">
        <v>947</v>
      </c>
      <c r="O664" t="s">
        <v>948</v>
      </c>
      <c r="P664" t="s">
        <v>4674</v>
      </c>
      <c r="Q664" s="3" t="n">
        <v>44084.0</v>
      </c>
      <c r="R664" s="3" t="n">
        <v>44630.0</v>
      </c>
      <c r="S664" s="3" t="n">
        <v>44631.18881644676</v>
      </c>
      <c r="T664" s="3" t="n">
        <v>44719.59016883102</v>
      </c>
      <c r="U664" t="s">
        <v>31</v>
      </c>
      <c r="V664" t="s">
        <v>4675</v>
      </c>
    </row>
    <row r="665">
      <c r="A665" t="s">
        <v>22</v>
      </c>
      <c r="B665" t="s">
        <v>4676</v>
      </c>
      <c r="C665" t="s">
        <v>24</v>
      </c>
      <c r="D665" t="s">
        <v>69</v>
      </c>
      <c r="E665" t="s">
        <v>4677</v>
      </c>
      <c r="F665" s="2" t="n">
        <f>HYPERLINK("https://patents.google.com/patent/US20220075446","Google")</f>
        <v>0.0</v>
      </c>
      <c r="G665" s="2" t="n">
        <f>HYPERLINK("https://patentcenter.uspto.gov/applications/17458567","Patent Center")</f>
        <v>0.0</v>
      </c>
      <c r="H665" s="2" t="n">
        <f>HYPERLINK("https://worldwide.espacenet.com/patent/search?q=US20220075446","Espacenet")</f>
        <v>0.0</v>
      </c>
      <c r="I665" s="2" t="n">
        <f>HYPERLINK("https://ppubs.uspto.gov/pubwebapp/external.html?q=20220075446.pn.","USPTO")</f>
        <v>0.0</v>
      </c>
      <c r="J665" s="2" t="n">
        <f>HYPERLINK("https://image-ppubs.uspto.gov/dirsearch-public/print/downloadPdf/20220075446","USPTO PDF")</f>
        <v>0.0</v>
      </c>
      <c r="K665" s="2" t="n">
        <f>HYPERLINK("https://sectors.patentforecast.com/pmd/US20220075446","PMD")</f>
        <v>0.0</v>
      </c>
      <c r="L665" s="2" t="n">
        <f>HYPERLINK("https://globaldossier.uspto.gov/result/application/US/17458567/1","US20220075446")</f>
        <v>0.0</v>
      </c>
      <c r="M665" t="s">
        <v>4678</v>
      </c>
      <c r="N665" t="s">
        <v>4679</v>
      </c>
      <c r="O665" t="s">
        <v>4680</v>
      </c>
      <c r="P665" t="s">
        <v>4681</v>
      </c>
      <c r="Q665" s="3" t="n">
        <v>44435.0</v>
      </c>
      <c r="R665" s="3" t="n">
        <v>44630.0</v>
      </c>
      <c r="S665" s="3" t="n">
        <v>44631.18881644676</v>
      </c>
      <c r="T665" s="3" t="n">
        <v>44719.59063506944</v>
      </c>
      <c r="U665" t="s">
        <v>4682</v>
      </c>
      <c r="V665" t="s">
        <v>4683</v>
      </c>
    </row>
    <row r="666">
      <c r="A666" t="s">
        <v>22</v>
      </c>
      <c r="B666" t="s">
        <v>4684</v>
      </c>
      <c r="C666" t="s">
        <v>24</v>
      </c>
      <c r="D666" t="s">
        <v>51</v>
      </c>
      <c r="E666" t="s">
        <v>4685</v>
      </c>
      <c r="F666" s="2" t="n">
        <f>HYPERLINK("https://patents.google.com/patent/US20220074939","Google")</f>
        <v>0.0</v>
      </c>
      <c r="G666" s="2" t="n">
        <f>HYPERLINK("https://patentcenter.uspto.gov/applications/17470283","Patent Center")</f>
        <v>0.0</v>
      </c>
      <c r="H666" s="2" t="n">
        <f>HYPERLINK("https://worldwide.espacenet.com/patent/search?q=US20220074939","Espacenet")</f>
        <v>0.0</v>
      </c>
      <c r="I666" s="2" t="n">
        <f>HYPERLINK("https://ppubs.uspto.gov/pubwebapp/external.html?q=20220074939.pn.","USPTO")</f>
        <v>0.0</v>
      </c>
      <c r="J666" s="2" t="n">
        <f>HYPERLINK("https://image-ppubs.uspto.gov/dirsearch-public/print/downloadPdf/20220074939","USPTO PDF")</f>
        <v>0.0</v>
      </c>
      <c r="K666" s="2" t="n">
        <f>HYPERLINK("https://sectors.patentforecast.com/pmd/US20220074939","PMD")</f>
        <v>0.0</v>
      </c>
      <c r="L666" s="2" t="n">
        <f>HYPERLINK("https://globaldossier.uspto.gov/result/application/US/17470283/1","US20220074939")</f>
        <v>0.0</v>
      </c>
      <c r="M666" t="s">
        <v>4686</v>
      </c>
      <c r="N666" t="s">
        <v>4013</v>
      </c>
      <c r="O666" t="s">
        <v>4013</v>
      </c>
      <c r="P666" t="s">
        <v>4687</v>
      </c>
      <c r="Q666" s="3" t="n">
        <v>44448.0</v>
      </c>
      <c r="R666" s="3" t="n">
        <v>44630.0</v>
      </c>
      <c r="S666" s="3" t="n">
        <v>44631.18881644676</v>
      </c>
      <c r="T666" s="3" t="n">
        <v>44658.6372416088</v>
      </c>
      <c r="U666" t="s">
        <v>4688</v>
      </c>
      <c r="V666" t="s">
        <v>4689</v>
      </c>
    </row>
    <row r="667">
      <c r="A667" t="s">
        <v>22</v>
      </c>
      <c r="B667" t="s">
        <v>4690</v>
      </c>
      <c r="C667" t="s">
        <v>24</v>
      </c>
      <c r="D667" t="s">
        <v>25</v>
      </c>
      <c r="E667" t="s">
        <v>4691</v>
      </c>
      <c r="F667" s="2" t="n">
        <f>HYPERLINK("https://patents.google.com/patent/US20220074938","Google")</f>
        <v>0.0</v>
      </c>
      <c r="G667" s="2" t="n">
        <f>HYPERLINK("https://patentcenter.uspto.gov/applications/17314983","Patent Center")</f>
        <v>0.0</v>
      </c>
      <c r="H667" s="2" t="n">
        <f>HYPERLINK("https://worldwide.espacenet.com/patent/search?q=US20220074938","Espacenet")</f>
        <v>0.0</v>
      </c>
      <c r="I667" s="2" t="n">
        <f>HYPERLINK("https://ppubs.uspto.gov/pubwebapp/external.html?q=20220074938.pn.","USPTO")</f>
        <v>0.0</v>
      </c>
      <c r="J667" s="2" t="n">
        <f>HYPERLINK("https://image-ppubs.uspto.gov/dirsearch-public/print/downloadPdf/20220074938","USPTO PDF")</f>
        <v>0.0</v>
      </c>
      <c r="K667" s="2" t="n">
        <f>HYPERLINK("https://sectors.patentforecast.com/pmd/US20220074938","PMD")</f>
        <v>0.0</v>
      </c>
      <c r="L667" s="2" t="n">
        <f>HYPERLINK("https://globaldossier.uspto.gov/result/application/US/17314983/1","US20220074938")</f>
        <v>0.0</v>
      </c>
      <c r="M667" t="s">
        <v>4692</v>
      </c>
      <c r="N667" t="s">
        <v>4693</v>
      </c>
      <c r="O667" t="s">
        <v>4694</v>
      </c>
      <c r="P667" t="s">
        <v>4695</v>
      </c>
      <c r="Q667" s="3" t="n">
        <v>44323.0</v>
      </c>
      <c r="R667" s="3" t="n">
        <v>44630.0</v>
      </c>
      <c r="S667" s="3" t="n">
        <v>44631.18881644676</v>
      </c>
      <c r="T667" s="3" t="n">
        <v>44658.65697646991</v>
      </c>
      <c r="U667" t="s">
        <v>31</v>
      </c>
      <c r="V667" t="s">
        <v>4696</v>
      </c>
    </row>
    <row r="668">
      <c r="A668" t="s">
        <v>22</v>
      </c>
      <c r="B668" t="s">
        <v>4697</v>
      </c>
      <c r="C668" t="s">
        <v>24</v>
      </c>
      <c r="D668" t="s">
        <v>25</v>
      </c>
      <c r="E668" t="s">
        <v>4698</v>
      </c>
      <c r="F668" s="2" t="n">
        <f>HYPERLINK("https://patents.google.com/patent/US20220074917","Google")</f>
        <v>0.0</v>
      </c>
      <c r="G668" s="2" t="n">
        <f>HYPERLINK("https://patentcenter.uspto.gov/applications/17468627","Patent Center")</f>
        <v>0.0</v>
      </c>
      <c r="H668" s="2" t="n">
        <f>HYPERLINK("https://worldwide.espacenet.com/patent/search?q=US20220074917","Espacenet")</f>
        <v>0.0</v>
      </c>
      <c r="I668" s="2" t="n">
        <f>HYPERLINK("https://ppubs.uspto.gov/pubwebapp/external.html?q=20220074917.pn.","USPTO")</f>
        <v>0.0</v>
      </c>
      <c r="J668" s="2" t="n">
        <f>HYPERLINK("https://image-ppubs.uspto.gov/dirsearch-public/print/downloadPdf/20220074917","USPTO PDF")</f>
        <v>0.0</v>
      </c>
      <c r="K668" s="2" t="n">
        <f>HYPERLINK("https://sectors.patentforecast.com/pmd/US20220074917","PMD")</f>
        <v>0.0</v>
      </c>
      <c r="L668" s="2" t="n">
        <f>HYPERLINK("https://globaldossier.uspto.gov/result/application/US/17468627/1","US20220074917")</f>
        <v>0.0</v>
      </c>
      <c r="M668" t="s">
        <v>4699</v>
      </c>
      <c r="N668" t="s">
        <v>4700</v>
      </c>
      <c r="O668" t="s">
        <v>4701</v>
      </c>
      <c r="P668" t="s">
        <v>4702</v>
      </c>
      <c r="Q668" s="3" t="n">
        <v>44446.0</v>
      </c>
      <c r="R668" s="3" t="n">
        <v>44630.0</v>
      </c>
      <c r="S668" s="3" t="n">
        <v>44631.18881644676</v>
      </c>
      <c r="T668" s="3" t="n">
        <v>44638.70047755787</v>
      </c>
      <c r="U668" t="s">
        <v>31</v>
      </c>
      <c r="V668" t="s">
        <v>4703</v>
      </c>
    </row>
    <row r="669">
      <c r="A669" t="s">
        <v>22</v>
      </c>
      <c r="B669" t="s">
        <v>4704</v>
      </c>
      <c r="C669" t="s">
        <v>24</v>
      </c>
      <c r="D669" t="s">
        <v>25</v>
      </c>
      <c r="E669" t="s">
        <v>4705</v>
      </c>
      <c r="F669" s="2" t="n">
        <f>HYPERLINK("https://patents.google.com/patent/US20220074894","Google")</f>
        <v>0.0</v>
      </c>
      <c r="G669" s="2" t="n">
        <f>HYPERLINK("https://patentcenter.uspto.gov/applications/17017398","Patent Center")</f>
        <v>0.0</v>
      </c>
      <c r="H669" s="2" t="n">
        <f>HYPERLINK("https://worldwide.espacenet.com/patent/search?q=US20220074894","Espacenet")</f>
        <v>0.0</v>
      </c>
      <c r="I669" s="2" t="n">
        <f>HYPERLINK("https://ppubs.uspto.gov/pubwebapp/external.html?q=20220074894.pn.","USPTO")</f>
        <v>0.0</v>
      </c>
      <c r="J669" s="2" t="n">
        <f>HYPERLINK("https://image-ppubs.uspto.gov/dirsearch-public/print/downloadPdf/20220074894","USPTO PDF")</f>
        <v>0.0</v>
      </c>
      <c r="K669" s="2" t="n">
        <f>HYPERLINK("https://sectors.patentforecast.com/pmd/US20220074894","PMD")</f>
        <v>0.0</v>
      </c>
      <c r="L669" s="2" t="n">
        <f>HYPERLINK("https://globaldossier.uspto.gov/result/application/US/17017398/1","US20220074894")</f>
        <v>0.0</v>
      </c>
      <c r="M669" t="s">
        <v>4706</v>
      </c>
      <c r="N669" t="s">
        <v>1227</v>
      </c>
      <c r="O669" t="s">
        <v>1228</v>
      </c>
      <c r="P669" t="s">
        <v>4707</v>
      </c>
      <c r="Q669" s="3" t="n">
        <v>44084.0</v>
      </c>
      <c r="R669" s="3" t="n">
        <v>44630.0</v>
      </c>
      <c r="S669" s="3" t="n">
        <v>44631.18881644676</v>
      </c>
      <c r="T669" s="3" t="n">
        <v>44658.65854829861</v>
      </c>
      <c r="U669" t="s">
        <v>4708</v>
      </c>
      <c r="V669" t="s">
        <v>4709</v>
      </c>
    </row>
    <row r="670">
      <c r="A670" t="s">
        <v>22</v>
      </c>
      <c r="B670" t="s">
        <v>4710</v>
      </c>
      <c r="C670" t="s">
        <v>24</v>
      </c>
      <c r="D670" t="s">
        <v>25</v>
      </c>
      <c r="E670" t="s">
        <v>4711</v>
      </c>
      <c r="F670" s="2" t="n">
        <f>HYPERLINK("https://patents.google.com/patent/US20220074882","Google")</f>
        <v>0.0</v>
      </c>
      <c r="G670" s="2" t="n">
        <f>HYPERLINK("https://patentcenter.uspto.gov/applications/17466998","Patent Center")</f>
        <v>0.0</v>
      </c>
      <c r="H670" s="2" t="n">
        <f>HYPERLINK("https://worldwide.espacenet.com/patent/search?q=US20220074882","Espacenet")</f>
        <v>0.0</v>
      </c>
      <c r="I670" s="2" t="n">
        <f>HYPERLINK("https://ppubs.uspto.gov/pubwebapp/external.html?q=20220074882.pn.","USPTO")</f>
        <v>0.0</v>
      </c>
      <c r="J670" s="2" t="n">
        <f>HYPERLINK("https://image-ppubs.uspto.gov/dirsearch-public/print/downloadPdf/20220074882","USPTO PDF")</f>
        <v>0.0</v>
      </c>
      <c r="K670" s="2" t="n">
        <f>HYPERLINK("https://sectors.patentforecast.com/pmd/US20220074882","PMD")</f>
        <v>0.0</v>
      </c>
      <c r="L670" s="2" t="n">
        <f>HYPERLINK("https://globaldossier.uspto.gov/result/application/US/17466998/1","US20220074882")</f>
        <v>0.0</v>
      </c>
      <c r="M670" t="s">
        <v>4712</v>
      </c>
      <c r="N670" t="s">
        <v>4713</v>
      </c>
      <c r="O670" t="s">
        <v>4714</v>
      </c>
      <c r="P670" t="s">
        <v>4715</v>
      </c>
      <c r="Q670" s="3" t="n">
        <v>44442.0</v>
      </c>
      <c r="R670" s="3" t="n">
        <v>44630.0</v>
      </c>
      <c r="S670" s="3" t="n">
        <v>44631.18881644676</v>
      </c>
      <c r="T670" s="3" t="n">
        <v>44658.64748165509</v>
      </c>
      <c r="U670" t="s">
        <v>31</v>
      </c>
      <c r="V670" t="s">
        <v>4716</v>
      </c>
    </row>
    <row r="671">
      <c r="A671" t="s">
        <v>22</v>
      </c>
      <c r="B671" t="s">
        <v>4717</v>
      </c>
      <c r="C671" t="s">
        <v>24</v>
      </c>
      <c r="D671" t="s">
        <v>25</v>
      </c>
      <c r="E671" t="s">
        <v>4718</v>
      </c>
      <c r="F671" s="2" t="n">
        <f>HYPERLINK("https://patents.google.com/patent/US20220074857","Google")</f>
        <v>0.0</v>
      </c>
      <c r="G671" s="2" t="n">
        <f>HYPERLINK("https://patentcenter.uspto.gov/applications/17472277","Patent Center")</f>
        <v>0.0</v>
      </c>
      <c r="H671" s="2" t="n">
        <f>HYPERLINK("https://worldwide.espacenet.com/patent/search?q=US20220074857","Espacenet")</f>
        <v>0.0</v>
      </c>
      <c r="I671" s="2" t="n">
        <f>HYPERLINK("https://ppubs.uspto.gov/pubwebapp/external.html?q=20220074857.pn.","USPTO")</f>
        <v>0.0</v>
      </c>
      <c r="J671" s="2" t="n">
        <f>HYPERLINK("https://image-ppubs.uspto.gov/dirsearch-public/print/downloadPdf/20220074857","USPTO PDF")</f>
        <v>0.0</v>
      </c>
      <c r="K671" s="2" t="n">
        <f>HYPERLINK("https://sectors.patentforecast.com/pmd/US20220074857","PMD")</f>
        <v>0.0</v>
      </c>
      <c r="L671" s="2" t="n">
        <f>HYPERLINK("https://globaldossier.uspto.gov/result/application/US/17472277/1","US20220074857")</f>
        <v>0.0</v>
      </c>
      <c r="M671" t="s">
        <v>4719</v>
      </c>
      <c r="N671" t="s">
        <v>4720</v>
      </c>
      <c r="O671" t="s">
        <v>4721</v>
      </c>
      <c r="P671" t="s">
        <v>4722</v>
      </c>
      <c r="Q671" s="3" t="n">
        <v>44449.0</v>
      </c>
      <c r="R671" s="3" t="n">
        <v>44630.0</v>
      </c>
      <c r="S671" s="3" t="n">
        <v>44631.18881644676</v>
      </c>
      <c r="T671" s="3" t="n">
        <v>44658.65410630787</v>
      </c>
      <c r="U671" t="s">
        <v>4723</v>
      </c>
      <c r="V671" t="s">
        <v>4724</v>
      </c>
    </row>
    <row r="672">
      <c r="A672" t="s">
        <v>22</v>
      </c>
      <c r="B672" t="s">
        <v>4725</v>
      </c>
      <c r="C672" t="s">
        <v>24</v>
      </c>
      <c r="D672" t="s">
        <v>187</v>
      </c>
      <c r="E672" t="s">
        <v>4726</v>
      </c>
      <c r="F672" s="2" t="n">
        <f>HYPERLINK("https://patents.google.com/patent/US20220074847","Google")</f>
        <v>0.0</v>
      </c>
      <c r="G672" s="2" t="n">
        <f>HYPERLINK("https://patentcenter.uspto.gov/applications/17479391","Patent Center")</f>
        <v>0.0</v>
      </c>
      <c r="H672" s="2" t="n">
        <f>HYPERLINK("https://worldwide.espacenet.com/patent/search?q=US20220074847","Espacenet")</f>
        <v>0.0</v>
      </c>
      <c r="I672" s="2" t="n">
        <f>HYPERLINK("https://ppubs.uspto.gov/pubwebapp/external.html?q=20220074847.pn.","USPTO")</f>
        <v>0.0</v>
      </c>
      <c r="J672" s="2" t="n">
        <f>HYPERLINK("https://image-ppubs.uspto.gov/dirsearch-public/print/downloadPdf/20220074847","USPTO PDF")</f>
        <v>0.0</v>
      </c>
      <c r="K672" s="2" t="n">
        <f>HYPERLINK("https://sectors.patentforecast.com/pmd/US20220074847","PMD")</f>
        <v>0.0</v>
      </c>
      <c r="L672" s="2" t="n">
        <f>HYPERLINK("https://globaldossier.uspto.gov/result/application/US/17479391/1","US20220074847")</f>
        <v>0.0</v>
      </c>
      <c r="M672" t="s">
        <v>4727</v>
      </c>
      <c r="N672" t="s">
        <v>4728</v>
      </c>
      <c r="O672" t="s">
        <v>4729</v>
      </c>
      <c r="P672" t="s">
        <v>4730</v>
      </c>
      <c r="Q672" s="3" t="n">
        <v>44459.0</v>
      </c>
      <c r="R672" s="3" t="n">
        <v>44630.0</v>
      </c>
      <c r="S672" s="3" t="n">
        <v>44631.193910381946</v>
      </c>
      <c r="T672" s="3" t="n">
        <v>44719.59165555555</v>
      </c>
      <c r="U672" t="s">
        <v>31</v>
      </c>
      <c r="V672" t="s">
        <v>4731</v>
      </c>
    </row>
    <row r="673">
      <c r="A673" t="s">
        <v>22</v>
      </c>
      <c r="B673" t="s">
        <v>4732</v>
      </c>
      <c r="C673" t="s">
        <v>24</v>
      </c>
      <c r="D673" t="s">
        <v>69</v>
      </c>
      <c r="E673" t="s">
        <v>4733</v>
      </c>
      <c r="F673" s="2" t="n">
        <f>HYPERLINK("https://patents.google.com/patent/US20220074613","Google")</f>
        <v>0.0</v>
      </c>
      <c r="G673" s="2" t="n">
        <f>HYPERLINK("https://patentcenter.uspto.gov/applications/17016652","Patent Center")</f>
        <v>0.0</v>
      </c>
      <c r="H673" s="2" t="n">
        <f>HYPERLINK("https://worldwide.espacenet.com/patent/search?q=US20220074613","Espacenet")</f>
        <v>0.0</v>
      </c>
      <c r="I673" s="2" t="n">
        <f>HYPERLINK("https://ppubs.uspto.gov/pubwebapp/external.html?q=20220074613.pn.","USPTO")</f>
        <v>0.0</v>
      </c>
      <c r="J673" s="2" t="n">
        <f>HYPERLINK("https://image-ppubs.uspto.gov/dirsearch-public/print/downloadPdf/20220074613","USPTO PDF")</f>
        <v>0.0</v>
      </c>
      <c r="K673" s="2" t="n">
        <f>HYPERLINK("https://sectors.patentforecast.com/pmd/US20220074613","PMD")</f>
        <v>0.0</v>
      </c>
      <c r="L673" s="2" t="n">
        <f>HYPERLINK("https://globaldossier.uspto.gov/result/application/US/17016652/1","US20220074613")</f>
        <v>0.0</v>
      </c>
      <c r="M673" t="s">
        <v>4734</v>
      </c>
      <c r="N673" t="s">
        <v>4735</v>
      </c>
      <c r="O673" t="s">
        <v>4736</v>
      </c>
      <c r="P673" t="s">
        <v>4737</v>
      </c>
      <c r="Q673" s="3" t="n">
        <v>44084.0</v>
      </c>
      <c r="R673" s="3" t="n">
        <v>44630.0</v>
      </c>
      <c r="S673" s="3" t="n">
        <v>44631.18881644676</v>
      </c>
      <c r="T673" s="3" t="n">
        <v>44658.637581759256</v>
      </c>
      <c r="U673" t="s">
        <v>31</v>
      </c>
      <c r="V673" t="s">
        <v>4738</v>
      </c>
    </row>
    <row r="674">
      <c r="A674" t="s">
        <v>22</v>
      </c>
      <c r="B674" t="s">
        <v>4739</v>
      </c>
      <c r="C674" t="s">
        <v>24</v>
      </c>
      <c r="D674" t="s">
        <v>69</v>
      </c>
      <c r="E674" t="s">
        <v>4740</v>
      </c>
      <c r="F674" s="2" t="n">
        <f>HYPERLINK("https://patents.google.com/patent/US20220074224","Google")</f>
        <v>0.0</v>
      </c>
      <c r="G674" s="2" t="n">
        <f>HYPERLINK("https://patentcenter.uspto.gov/applications/17106292","Patent Center")</f>
        <v>0.0</v>
      </c>
      <c r="H674" s="2" t="n">
        <f>HYPERLINK("https://worldwide.espacenet.com/patent/search?q=US20220074224","Espacenet")</f>
        <v>0.0</v>
      </c>
      <c r="I674" s="2" t="n">
        <f>HYPERLINK("https://ppubs.uspto.gov/pubwebapp/external.html?q=20220074224.pn.","USPTO")</f>
        <v>0.0</v>
      </c>
      <c r="J674" s="2" t="n">
        <f>HYPERLINK("https://image-ppubs.uspto.gov/dirsearch-public/print/downloadPdf/20220074224","USPTO PDF")</f>
        <v>0.0</v>
      </c>
      <c r="K674" s="2" t="n">
        <f>HYPERLINK("https://sectors.patentforecast.com/pmd/US20220074224","PMD")</f>
        <v>0.0</v>
      </c>
      <c r="L674" s="2" t="n">
        <f>HYPERLINK("https://globaldossier.uspto.gov/result/application/US/17106292/1","US20220074224")</f>
        <v>0.0</v>
      </c>
      <c r="M674" t="s">
        <v>4741</v>
      </c>
      <c r="N674" t="s">
        <v>4742</v>
      </c>
      <c r="O674" t="s">
        <v>4742</v>
      </c>
      <c r="P674" t="s">
        <v>4743</v>
      </c>
      <c r="Q674" s="3" t="n">
        <v>44165.0</v>
      </c>
      <c r="R674" s="3" t="n">
        <v>44630.0</v>
      </c>
      <c r="S674" s="3" t="n">
        <v>44631.18881644676</v>
      </c>
      <c r="T674" s="3" t="n">
        <v>44658.622062905095</v>
      </c>
      <c r="U674" t="s">
        <v>31</v>
      </c>
      <c r="V674" t="s">
        <v>4744</v>
      </c>
    </row>
    <row r="675">
      <c r="A675" t="s">
        <v>22</v>
      </c>
      <c r="B675" t="s">
        <v>4745</v>
      </c>
      <c r="C675" t="s">
        <v>24</v>
      </c>
      <c r="D675" t="s">
        <v>69</v>
      </c>
      <c r="E675" t="s">
        <v>4746</v>
      </c>
      <c r="F675" s="2" t="n">
        <f>HYPERLINK("https://patents.google.com/patent/US20220074132","Google")</f>
        <v>0.0</v>
      </c>
      <c r="G675" s="2" t="n">
        <f>HYPERLINK("https://patentcenter.uspto.gov/applications/17467318","Patent Center")</f>
        <v>0.0</v>
      </c>
      <c r="H675" s="2" t="n">
        <f>HYPERLINK("https://worldwide.espacenet.com/patent/search?q=US20220074132","Espacenet")</f>
        <v>0.0</v>
      </c>
      <c r="I675" s="2" t="n">
        <f>HYPERLINK("https://ppubs.uspto.gov/pubwebapp/external.html?q=20220074132.pn.","USPTO")</f>
        <v>0.0</v>
      </c>
      <c r="J675" s="2" t="n">
        <f>HYPERLINK("https://image-ppubs.uspto.gov/dirsearch-public/print/downloadPdf/20220074132","USPTO PDF")</f>
        <v>0.0</v>
      </c>
      <c r="K675" s="2" t="n">
        <f>HYPERLINK("https://sectors.patentforecast.com/pmd/US20220074132","PMD")</f>
        <v>0.0</v>
      </c>
      <c r="L675" s="2" t="n">
        <f>HYPERLINK("https://globaldossier.uspto.gov/result/application/US/17467318/1","US20220074132")</f>
        <v>0.0</v>
      </c>
      <c r="M675" t="s">
        <v>4747</v>
      </c>
      <c r="N675" t="s">
        <v>4748</v>
      </c>
      <c r="O675" t="s">
        <v>4749</v>
      </c>
      <c r="P675" t="s">
        <v>4750</v>
      </c>
      <c r="Q675" s="3" t="n">
        <v>44445.0</v>
      </c>
      <c r="R675" s="3" t="n">
        <v>44630.0</v>
      </c>
      <c r="S675" s="3" t="n">
        <v>44631.18788760417</v>
      </c>
      <c r="T675" s="3" t="n">
        <v>44658.64494702547</v>
      </c>
      <c r="U675" t="s">
        <v>31</v>
      </c>
      <c r="V675" t="s">
        <v>4751</v>
      </c>
    </row>
    <row r="676">
      <c r="A676" t="s">
        <v>22</v>
      </c>
      <c r="B676" t="s">
        <v>4752</v>
      </c>
      <c r="C676" t="s">
        <v>24</v>
      </c>
      <c r="D676" t="s">
        <v>51</v>
      </c>
      <c r="E676" t="s">
        <v>4753</v>
      </c>
      <c r="F676" s="2" t="n">
        <f>HYPERLINK("https://patents.google.com/patent/US20220074000","Google")</f>
        <v>0.0</v>
      </c>
      <c r="G676" s="2" t="n">
        <f>HYPERLINK("https://patentcenter.uspto.gov/applications/17017643","Patent Center")</f>
        <v>0.0</v>
      </c>
      <c r="H676" s="2" t="n">
        <f>HYPERLINK("https://worldwide.espacenet.com/patent/search?q=US20220074000","Espacenet")</f>
        <v>0.0</v>
      </c>
      <c r="I676" s="2" t="n">
        <f>HYPERLINK("https://ppubs.uspto.gov/pubwebapp/external.html?q=20220074000.pn.","USPTO")</f>
        <v>0.0</v>
      </c>
      <c r="J676" s="2" t="n">
        <f>HYPERLINK("https://image-ppubs.uspto.gov/dirsearch-public/print/downloadPdf/20220074000","USPTO PDF")</f>
        <v>0.0</v>
      </c>
      <c r="K676" s="2" t="n">
        <f>HYPERLINK("https://sectors.patentforecast.com/pmd/US20220074000","PMD")</f>
        <v>0.0</v>
      </c>
      <c r="L676" s="2" t="n">
        <f>HYPERLINK("https://globaldossier.uspto.gov/result/application/US/17017643/1","US20220074000")</f>
        <v>0.0</v>
      </c>
      <c r="M676" t="s">
        <v>4754</v>
      </c>
      <c r="N676" t="s">
        <v>4755</v>
      </c>
      <c r="O676" t="s">
        <v>4756</v>
      </c>
      <c r="P676" t="s">
        <v>4757</v>
      </c>
      <c r="Q676" s="3" t="n">
        <v>44084.0</v>
      </c>
      <c r="R676" s="3" t="n">
        <v>44630.0</v>
      </c>
      <c r="S676" s="3" t="n">
        <v>44631.18881644676</v>
      </c>
      <c r="T676" s="3" t="n">
        <v>44719.598451342594</v>
      </c>
      <c r="U676" t="s">
        <v>31</v>
      </c>
      <c r="V676" t="s">
        <v>4758</v>
      </c>
    </row>
    <row r="677">
      <c r="A677" t="s">
        <v>22</v>
      </c>
      <c r="B677" t="s">
        <v>4759</v>
      </c>
      <c r="C677" t="s">
        <v>60</v>
      </c>
      <c r="D677" t="s">
        <v>61</v>
      </c>
      <c r="E677" t="s">
        <v>4760</v>
      </c>
      <c r="F677" s="2" t="n">
        <f>HYPERLINK("https://patents.google.com/patent/US20220073891","Google")</f>
        <v>0.0</v>
      </c>
      <c r="G677" s="2" t="n">
        <f>HYPERLINK("https://patentcenter.uspto.gov/applications/17365777","Patent Center")</f>
        <v>0.0</v>
      </c>
      <c r="H677" s="2" t="n">
        <f>HYPERLINK("https://worldwide.espacenet.com/patent/search?q=US20220073891","Espacenet")</f>
        <v>0.0</v>
      </c>
      <c r="I677" s="2" t="n">
        <f>HYPERLINK("https://ppubs.uspto.gov/pubwebapp/external.html?q=20220073891.pn.","USPTO")</f>
        <v>0.0</v>
      </c>
      <c r="J677" s="2" t="n">
        <f>HYPERLINK("https://image-ppubs.uspto.gov/dirsearch-public/print/downloadPdf/20220073891","USPTO PDF")</f>
        <v>0.0</v>
      </c>
      <c r="K677" s="2" t="n">
        <f>HYPERLINK("https://sectors.patentforecast.com/pmd/US20220073891","PMD")</f>
        <v>0.0</v>
      </c>
      <c r="L677" s="2" t="n">
        <f>HYPERLINK("https://globaldossier.uspto.gov/result/application/US/17365777/1","US20220073891")</f>
        <v>0.0</v>
      </c>
      <c r="M677" t="s">
        <v>4761</v>
      </c>
      <c r="N677" t="s">
        <v>1251</v>
      </c>
      <c r="O677" t="s">
        <v>1252</v>
      </c>
      <c r="P677" t="s">
        <v>4762</v>
      </c>
      <c r="Q677" s="3" t="n">
        <v>44378.0</v>
      </c>
      <c r="R677" s="3" t="n">
        <v>44630.0</v>
      </c>
      <c r="S677" s="3" t="n">
        <v>44631.18881644676</v>
      </c>
      <c r="T677" s="3" t="n">
        <v>44719.59248961806</v>
      </c>
      <c r="U677" t="s">
        <v>31</v>
      </c>
      <c r="V677" t="s">
        <v>4763</v>
      </c>
    </row>
    <row r="678">
      <c r="A678" t="s">
        <v>22</v>
      </c>
      <c r="B678" t="s">
        <v>4764</v>
      </c>
      <c r="C678" t="s">
        <v>60</v>
      </c>
      <c r="D678" t="s">
        <v>77</v>
      </c>
      <c r="E678" t="s">
        <v>4765</v>
      </c>
      <c r="F678" s="2" t="n">
        <f>HYPERLINK("https://patents.google.com/patent/US20220073594","Google")</f>
        <v>0.0</v>
      </c>
      <c r="G678" s="2" t="n">
        <f>HYPERLINK("https://patentcenter.uspto.gov/applications/17391161","Patent Center")</f>
        <v>0.0</v>
      </c>
      <c r="H678" s="2" t="n">
        <f>HYPERLINK("https://worldwide.espacenet.com/patent/search?q=US20220073594","Espacenet")</f>
        <v>0.0</v>
      </c>
      <c r="I678" s="2" t="n">
        <f>HYPERLINK("https://ppubs.uspto.gov/pubwebapp/external.html?q=20220073594.pn.","USPTO")</f>
        <v>0.0</v>
      </c>
      <c r="J678" s="2" t="n">
        <f>HYPERLINK("https://image-ppubs.uspto.gov/dirsearch-public/print/downloadPdf/20220073594","USPTO PDF")</f>
        <v>0.0</v>
      </c>
      <c r="K678" s="2" t="n">
        <f>HYPERLINK("https://sectors.patentforecast.com/pmd/US20220073594","PMD")</f>
        <v>0.0</v>
      </c>
      <c r="L678" s="2" t="n">
        <f>HYPERLINK("https://globaldossier.uspto.gov/result/application/US/17391161/1","US20220073594")</f>
        <v>0.0</v>
      </c>
      <c r="M678" t="s">
        <v>4766</v>
      </c>
      <c r="N678" t="s">
        <v>4767</v>
      </c>
      <c r="O678" t="s">
        <v>4768</v>
      </c>
      <c r="P678" t="s">
        <v>4769</v>
      </c>
      <c r="Q678" s="3" t="n">
        <v>44410.0</v>
      </c>
      <c r="R678" s="3" t="n">
        <v>44630.0</v>
      </c>
      <c r="S678" s="3" t="n">
        <v>44631.18881644676</v>
      </c>
      <c r="T678" s="3" t="n">
        <v>44658.59991467593</v>
      </c>
      <c r="U678" t="s">
        <v>4770</v>
      </c>
      <c r="V678" t="s">
        <v>4771</v>
      </c>
    </row>
    <row r="679">
      <c r="A679" t="s">
        <v>22</v>
      </c>
      <c r="B679" t="s">
        <v>4772</v>
      </c>
      <c r="C679" t="s">
        <v>132</v>
      </c>
      <c r="D679" t="s">
        <v>133</v>
      </c>
      <c r="E679" t="s">
        <v>4773</v>
      </c>
      <c r="F679" s="2" t="n">
        <f>HYPERLINK("https://patents.google.com/patent/US20220073569","Google")</f>
        <v>0.0</v>
      </c>
      <c r="G679" s="2" t="n">
        <f>HYPERLINK("https://patentcenter.uspto.gov/applications/17535309","Patent Center")</f>
        <v>0.0</v>
      </c>
      <c r="H679" s="2" t="n">
        <f>HYPERLINK("https://worldwide.espacenet.com/patent/search?q=US20220073569","Espacenet")</f>
        <v>0.0</v>
      </c>
      <c r="I679" s="2" t="n">
        <f>HYPERLINK("https://ppubs.uspto.gov/pubwebapp/external.html?q=20220073569.pn.","USPTO")</f>
        <v>0.0</v>
      </c>
      <c r="J679" s="2" t="n">
        <f>HYPERLINK("https://image-ppubs.uspto.gov/dirsearch-public/print/downloadPdf/20220073569","USPTO PDF")</f>
        <v>0.0</v>
      </c>
      <c r="K679" s="2" t="n">
        <f>HYPERLINK("https://sectors.patentforecast.com/pmd/US20220073569","PMD")</f>
        <v>0.0</v>
      </c>
      <c r="L679" s="2" t="n">
        <f>HYPERLINK("https://globaldossier.uspto.gov/result/application/US/17535309/1","US20220073569")</f>
        <v>0.0</v>
      </c>
      <c r="M679" t="s">
        <v>4774</v>
      </c>
      <c r="N679" t="s">
        <v>4775</v>
      </c>
      <c r="O679" t="s">
        <v>4776</v>
      </c>
      <c r="P679" t="s">
        <v>4777</v>
      </c>
      <c r="Q679" s="3" t="n">
        <v>44524.0</v>
      </c>
      <c r="R679" s="3" t="n">
        <v>44630.0</v>
      </c>
      <c r="S679" s="3" t="n">
        <v>44631.18881644676</v>
      </c>
      <c r="T679" s="3" t="n">
        <v>44658.62492126157</v>
      </c>
      <c r="U679" t="s">
        <v>4778</v>
      </c>
      <c r="V679" t="s">
        <v>4779</v>
      </c>
    </row>
    <row r="680">
      <c r="A680" t="s">
        <v>22</v>
      </c>
      <c r="B680" t="s">
        <v>4780</v>
      </c>
      <c r="C680" t="s">
        <v>60</v>
      </c>
      <c r="D680" t="s">
        <v>61</v>
      </c>
      <c r="E680" t="s">
        <v>4781</v>
      </c>
      <c r="F680" s="2" t="n">
        <f>HYPERLINK("https://patents.google.com/patent/US20220073543","Google")</f>
        <v>0.0</v>
      </c>
      <c r="G680" s="2" t="n">
        <f>HYPERLINK("https://patentcenter.uspto.gov/applications/17464301","Patent Center")</f>
        <v>0.0</v>
      </c>
      <c r="H680" s="2" t="n">
        <f>HYPERLINK("https://worldwide.espacenet.com/patent/search?q=US20220073543","Espacenet")</f>
        <v>0.0</v>
      </c>
      <c r="I680" s="2" t="n">
        <f>HYPERLINK("https://ppubs.uspto.gov/pubwebapp/external.html?q=20220073543.pn.","USPTO")</f>
        <v>0.0</v>
      </c>
      <c r="J680" s="2" t="n">
        <f>HYPERLINK("https://image-ppubs.uspto.gov/dirsearch-public/print/downloadPdf/20220073543","USPTO PDF")</f>
        <v>0.0</v>
      </c>
      <c r="K680" s="2" t="n">
        <f>HYPERLINK("https://sectors.patentforecast.com/pmd/US20220073543","PMD")</f>
        <v>0.0</v>
      </c>
      <c r="L680" s="2" t="n">
        <f>HYPERLINK("https://globaldossier.uspto.gov/result/application/US/17464301/1","US20220073543")</f>
        <v>0.0</v>
      </c>
      <c r="M680" t="s">
        <v>4782</v>
      </c>
      <c r="N680" t="s">
        <v>4783</v>
      </c>
      <c r="O680" t="s">
        <v>4784</v>
      </c>
      <c r="P680" t="s">
        <v>4785</v>
      </c>
      <c r="Q680" s="3" t="n">
        <v>44440.0</v>
      </c>
      <c r="R680" s="3" t="n">
        <v>44630.0</v>
      </c>
      <c r="S680" s="3" t="n">
        <v>44631.18881644676</v>
      </c>
      <c r="T680" s="3" t="n">
        <v>44719.59255824074</v>
      </c>
      <c r="U680" t="s">
        <v>31</v>
      </c>
      <c r="V680" t="s">
        <v>4786</v>
      </c>
    </row>
    <row r="681">
      <c r="A681" t="s">
        <v>22</v>
      </c>
      <c r="B681" t="s">
        <v>4787</v>
      </c>
      <c r="C681" t="s">
        <v>24</v>
      </c>
      <c r="D681" t="s">
        <v>69</v>
      </c>
      <c r="E681" t="s">
        <v>4788</v>
      </c>
      <c r="F681" s="2" t="n">
        <f>HYPERLINK("https://patents.google.com/patent/US20220072990","Google")</f>
        <v>0.0</v>
      </c>
      <c r="G681" s="2" t="n">
        <f>HYPERLINK("https://patentcenter.uspto.gov/applications/17378664","Patent Center")</f>
        <v>0.0</v>
      </c>
      <c r="H681" s="2" t="n">
        <f>HYPERLINK("https://worldwide.espacenet.com/patent/search?q=US20220072990","Espacenet")</f>
        <v>0.0</v>
      </c>
      <c r="I681" s="2" t="n">
        <f>HYPERLINK("https://ppubs.uspto.gov/pubwebapp/external.html?q=20220072990.pn.","USPTO")</f>
        <v>0.0</v>
      </c>
      <c r="J681" s="2" t="n">
        <f>HYPERLINK("https://image-ppubs.uspto.gov/dirsearch-public/print/downloadPdf/20220072990","USPTO PDF")</f>
        <v>0.0</v>
      </c>
      <c r="K681" s="2" t="n">
        <f>HYPERLINK("https://sectors.patentforecast.com/pmd/US20220072990","PMD")</f>
        <v>0.0</v>
      </c>
      <c r="L681" s="2" t="n">
        <f>HYPERLINK("https://globaldossier.uspto.gov/result/application/US/17378664/1","US20220072990")</f>
        <v>0.0</v>
      </c>
      <c r="M681" t="s">
        <v>4789</v>
      </c>
      <c r="N681" t="s">
        <v>4790</v>
      </c>
      <c r="O681" t="s">
        <v>4790</v>
      </c>
      <c r="P681" t="s">
        <v>4791</v>
      </c>
      <c r="Q681" s="3" t="n">
        <v>44394.0</v>
      </c>
      <c r="R681" s="3" t="n">
        <v>44630.0</v>
      </c>
      <c r="S681" s="3" t="n">
        <v>44631.18881644676</v>
      </c>
      <c r="T681" s="3" t="n">
        <v>44678.56821704861</v>
      </c>
      <c r="U681" t="s">
        <v>4792</v>
      </c>
      <c r="V681" t="s">
        <v>4793</v>
      </c>
    </row>
    <row r="682">
      <c r="A682" t="s">
        <v>22</v>
      </c>
      <c r="B682" t="s">
        <v>4794</v>
      </c>
      <c r="C682" t="s">
        <v>24</v>
      </c>
      <c r="D682" t="s">
        <v>69</v>
      </c>
      <c r="E682" t="s">
        <v>4795</v>
      </c>
      <c r="F682" s="2" t="n">
        <f>HYPERLINK("https://patents.google.com/patent/US20220072935","Google")</f>
        <v>0.0</v>
      </c>
      <c r="G682" s="2" t="n">
        <f>HYPERLINK("https://patentcenter.uspto.gov/applications/17012822","Patent Center")</f>
        <v>0.0</v>
      </c>
      <c r="H682" s="2" t="n">
        <f>HYPERLINK("https://worldwide.espacenet.com/patent/search?q=US20220072935","Espacenet")</f>
        <v>0.0</v>
      </c>
      <c r="I682" s="2" t="n">
        <f>HYPERLINK("https://ppubs.uspto.gov/pubwebapp/external.html?q=20220072935.pn.","USPTO")</f>
        <v>0.0</v>
      </c>
      <c r="J682" s="2" t="n">
        <f>HYPERLINK("https://image-ppubs.uspto.gov/dirsearch-public/print/downloadPdf/20220072935","USPTO PDF")</f>
        <v>0.0</v>
      </c>
      <c r="K682" s="2" t="n">
        <f>HYPERLINK("https://sectors.patentforecast.com/pmd/US20220072935","PMD")</f>
        <v>0.0</v>
      </c>
      <c r="L682" s="2" t="n">
        <f>HYPERLINK("https://globaldossier.uspto.gov/result/application/US/17012822/1","US20220072935")</f>
        <v>0.0</v>
      </c>
      <c r="M682" t="s">
        <v>4796</v>
      </c>
      <c r="N682" t="s">
        <v>4797</v>
      </c>
      <c r="O682" t="s">
        <v>4798</v>
      </c>
      <c r="P682" t="s">
        <v>4799</v>
      </c>
      <c r="Q682" s="3" t="n">
        <v>44078.0</v>
      </c>
      <c r="R682" s="3" t="n">
        <v>44630.0</v>
      </c>
      <c r="S682" s="3" t="n">
        <v>44631.18881644676</v>
      </c>
      <c r="T682" s="3" t="n">
        <v>44658.61003613426</v>
      </c>
      <c r="U682" t="s">
        <v>31</v>
      </c>
      <c r="V682" t="s">
        <v>4800</v>
      </c>
    </row>
    <row r="683">
      <c r="A683" t="s">
        <v>22</v>
      </c>
      <c r="B683" t="s">
        <v>4801</v>
      </c>
      <c r="C683" t="s">
        <v>24</v>
      </c>
      <c r="D683" t="s">
        <v>69</v>
      </c>
      <c r="E683" t="s">
        <v>4802</v>
      </c>
      <c r="F683" s="2" t="n">
        <f>HYPERLINK("https://patents.google.com/patent/US20220072934","Google")</f>
        <v>0.0</v>
      </c>
      <c r="G683" s="2" t="n">
        <f>HYPERLINK("https://patentcenter.uspto.gov/applications/17012786","Patent Center")</f>
        <v>0.0</v>
      </c>
      <c r="H683" s="2" t="n">
        <f>HYPERLINK("https://worldwide.espacenet.com/patent/search?q=US20220072934","Espacenet")</f>
        <v>0.0</v>
      </c>
      <c r="I683" s="2" t="n">
        <f>HYPERLINK("https://ppubs.uspto.gov/pubwebapp/external.html?q=20220072934.pn.","USPTO")</f>
        <v>0.0</v>
      </c>
      <c r="J683" s="2" t="n">
        <f>HYPERLINK("https://image-ppubs.uspto.gov/dirsearch-public/print/downloadPdf/20220072934","USPTO PDF")</f>
        <v>0.0</v>
      </c>
      <c r="K683" s="2" t="n">
        <f>HYPERLINK("https://sectors.patentforecast.com/pmd/US20220072934","PMD")</f>
        <v>0.0</v>
      </c>
      <c r="L683" s="2" t="n">
        <f>HYPERLINK("https://globaldossier.uspto.gov/result/application/US/17012786/1","US20220072934")</f>
        <v>0.0</v>
      </c>
      <c r="M683" t="s">
        <v>4803</v>
      </c>
      <c r="N683" t="s">
        <v>4797</v>
      </c>
      <c r="O683" t="s">
        <v>4798</v>
      </c>
      <c r="P683" t="s">
        <v>4799</v>
      </c>
      <c r="Q683" s="3" t="n">
        <v>44078.0</v>
      </c>
      <c r="R683" s="3" t="n">
        <v>44630.0</v>
      </c>
      <c r="S683" s="3" t="n">
        <v>44631.18881644676</v>
      </c>
      <c r="T683" s="3" t="n">
        <v>44658.61003613426</v>
      </c>
      <c r="U683" t="s">
        <v>31</v>
      </c>
      <c r="V683" t="s">
        <v>4804</v>
      </c>
    </row>
    <row r="684">
      <c r="A684" t="s">
        <v>22</v>
      </c>
      <c r="B684" t="s">
        <v>4805</v>
      </c>
      <c r="C684" t="s">
        <v>132</v>
      </c>
      <c r="D684" t="s">
        <v>1265</v>
      </c>
      <c r="E684" t="s">
        <v>4806</v>
      </c>
      <c r="F684" s="2" t="n">
        <f>HYPERLINK("https://patents.google.com/patent/US20220072697","Google")</f>
        <v>0.0</v>
      </c>
      <c r="G684" s="2" t="n">
        <f>HYPERLINK("https://patentcenter.uspto.gov/applications/17307066","Patent Center")</f>
        <v>0.0</v>
      </c>
      <c r="H684" s="2" t="n">
        <f>HYPERLINK("https://worldwide.espacenet.com/patent/search?q=US20220072697","Espacenet")</f>
        <v>0.0</v>
      </c>
      <c r="I684" s="2" t="n">
        <f>HYPERLINK("https://ppubs.uspto.gov/pubwebapp/external.html?q=20220072697.pn.","USPTO")</f>
        <v>0.0</v>
      </c>
      <c r="J684" s="2" t="n">
        <f>HYPERLINK("https://image-ppubs.uspto.gov/dirsearch-public/print/downloadPdf/20220072697","USPTO PDF")</f>
        <v>0.0</v>
      </c>
      <c r="K684" s="2" t="n">
        <f>HYPERLINK("https://sectors.patentforecast.com/pmd/US20220072697","PMD")</f>
        <v>0.0</v>
      </c>
      <c r="L684" s="2" t="n">
        <f>HYPERLINK("https://globaldossier.uspto.gov/result/application/US/17307066/1","US20220072697")</f>
        <v>0.0</v>
      </c>
      <c r="M684" t="s">
        <v>4807</v>
      </c>
      <c r="N684" t="s">
        <v>1792</v>
      </c>
      <c r="O684" t="s">
        <v>1793</v>
      </c>
      <c r="P684" t="s">
        <v>4808</v>
      </c>
      <c r="Q684" s="3" t="n">
        <v>44320.0</v>
      </c>
      <c r="R684" s="3" t="n">
        <v>44630.0</v>
      </c>
      <c r="S684" s="3" t="n">
        <v>44643.23275070602</v>
      </c>
      <c r="T684" s="3" t="n">
        <v>44658.63270021991</v>
      </c>
      <c r="U684" t="s">
        <v>31</v>
      </c>
      <c r="V684" t="s">
        <v>4809</v>
      </c>
    </row>
    <row r="685">
      <c r="A685" t="s">
        <v>22</v>
      </c>
      <c r="B685" t="s">
        <v>4810</v>
      </c>
      <c r="C685" t="s">
        <v>24</v>
      </c>
      <c r="D685" t="s">
        <v>100</v>
      </c>
      <c r="E685" t="s">
        <v>4811</v>
      </c>
      <c r="F685" s="2" t="n">
        <f>HYPERLINK("https://patents.google.com/patent/US20220072469","Google")</f>
        <v>0.0</v>
      </c>
      <c r="G685" s="2" t="n">
        <f>HYPERLINK("https://patentcenter.uspto.gov/applications/17525848","Patent Center")</f>
        <v>0.0</v>
      </c>
      <c r="H685" s="2" t="n">
        <f>HYPERLINK("https://worldwide.espacenet.com/patent/search?q=US20220072469","Espacenet")</f>
        <v>0.0</v>
      </c>
      <c r="I685" s="2" t="n">
        <f>HYPERLINK("https://ppubs.uspto.gov/pubwebapp/external.html?q=20220072469.pn.","USPTO")</f>
        <v>0.0</v>
      </c>
      <c r="J685" s="2" t="n">
        <f>HYPERLINK("https://image-ppubs.uspto.gov/dirsearch-public/print/downloadPdf/20220072469","USPTO PDF")</f>
        <v>0.0</v>
      </c>
      <c r="K685" s="2" t="n">
        <f>HYPERLINK("https://sectors.patentforecast.com/pmd/US20220072469","PMD")</f>
        <v>0.0</v>
      </c>
      <c r="L685" s="2" t="n">
        <f>HYPERLINK("https://globaldossier.uspto.gov/result/application/US/17525848/1","US20220072469")</f>
        <v>0.0</v>
      </c>
      <c r="M685" t="s">
        <v>4812</v>
      </c>
      <c r="N685" t="s">
        <v>4813</v>
      </c>
      <c r="O685" t="s">
        <v>4814</v>
      </c>
      <c r="P685" t="s">
        <v>4815</v>
      </c>
      <c r="Q685" s="3" t="n">
        <v>44512.0</v>
      </c>
      <c r="R685" s="3" t="n">
        <v>44630.0</v>
      </c>
      <c r="S685" s="3" t="n">
        <v>44643.24305162037</v>
      </c>
      <c r="T685" s="3" t="n">
        <v>44658.62137291667</v>
      </c>
      <c r="U685" t="s">
        <v>4816</v>
      </c>
      <c r="V685" t="s">
        <v>4817</v>
      </c>
    </row>
    <row r="686">
      <c r="A686" t="s">
        <v>22</v>
      </c>
      <c r="B686" t="s">
        <v>4818</v>
      </c>
      <c r="C686" t="s">
        <v>24</v>
      </c>
      <c r="D686" t="s">
        <v>204</v>
      </c>
      <c r="E686" t="s">
        <v>4819</v>
      </c>
      <c r="F686" s="2" t="n">
        <f>HYPERLINK("https://patents.google.com/patent/US20220072379","Google")</f>
        <v>0.0</v>
      </c>
      <c r="G686" s="2" t="n">
        <f>HYPERLINK("https://patentcenter.uspto.gov/applications/17464960","Patent Center")</f>
        <v>0.0</v>
      </c>
      <c r="H686" s="2" t="n">
        <f>HYPERLINK("https://worldwide.espacenet.com/patent/search?q=US20220072379","Espacenet")</f>
        <v>0.0</v>
      </c>
      <c r="I686" s="2" t="n">
        <f>HYPERLINK("https://ppubs.uspto.gov/pubwebapp/external.html?q=20220072379.pn.","USPTO")</f>
        <v>0.0</v>
      </c>
      <c r="J686" s="2" t="n">
        <f>HYPERLINK("https://image-ppubs.uspto.gov/dirsearch-public/print/downloadPdf/20220072379","USPTO PDF")</f>
        <v>0.0</v>
      </c>
      <c r="K686" s="2" t="n">
        <f>HYPERLINK("https://sectors.patentforecast.com/pmd/US20220072379","PMD")</f>
        <v>0.0</v>
      </c>
      <c r="L686" s="2" t="n">
        <f>HYPERLINK("https://globaldossier.uspto.gov/result/application/US/17464960/1","US20220072379")</f>
        <v>0.0</v>
      </c>
      <c r="M686" t="s">
        <v>4820</v>
      </c>
      <c r="N686" t="s">
        <v>4577</v>
      </c>
      <c r="O686" t="s">
        <v>4578</v>
      </c>
      <c r="P686" t="s">
        <v>4821</v>
      </c>
      <c r="Q686" s="3" t="n">
        <v>44441.0</v>
      </c>
      <c r="R686" s="3" t="n">
        <v>44630.0</v>
      </c>
      <c r="S686" s="3" t="n">
        <v>44631.18881644676</v>
      </c>
      <c r="T686" s="3" t="n">
        <v>44719.59272480324</v>
      </c>
      <c r="U686" t="s">
        <v>4822</v>
      </c>
      <c r="V686" t="s">
        <v>4823</v>
      </c>
    </row>
    <row r="687">
      <c r="A687" t="s">
        <v>22</v>
      </c>
      <c r="B687" t="s">
        <v>4824</v>
      </c>
      <c r="C687" t="s">
        <v>24</v>
      </c>
      <c r="D687" t="s">
        <v>204</v>
      </c>
      <c r="E687" t="s">
        <v>4575</v>
      </c>
      <c r="F687" s="2" t="n">
        <f>HYPERLINK("https://patents.google.com/patent/US20220072376","Google")</f>
        <v>0.0</v>
      </c>
      <c r="G687" s="2" t="n">
        <f>HYPERLINK("https://patentcenter.uspto.gov/applications/17339365","Patent Center")</f>
        <v>0.0</v>
      </c>
      <c r="H687" s="2" t="n">
        <f>HYPERLINK("https://worldwide.espacenet.com/patent/search?q=US20220072376","Espacenet")</f>
        <v>0.0</v>
      </c>
      <c r="I687" s="2" t="n">
        <f>HYPERLINK("https://ppubs.uspto.gov/pubwebapp/external.html?q=20220072376.pn.","USPTO")</f>
        <v>0.0</v>
      </c>
      <c r="J687" s="2" t="n">
        <f>HYPERLINK("https://image-ppubs.uspto.gov/dirsearch-public/print/downloadPdf/20220072376","USPTO PDF")</f>
        <v>0.0</v>
      </c>
      <c r="K687" s="2" t="n">
        <f>HYPERLINK("https://sectors.patentforecast.com/pmd/US20220072376","PMD")</f>
        <v>0.0</v>
      </c>
      <c r="L687" s="2" t="n">
        <f>HYPERLINK("https://globaldossier.uspto.gov/result/application/US/17339365/1","US20220072376")</f>
        <v>0.0</v>
      </c>
      <c r="M687" t="s">
        <v>4825</v>
      </c>
      <c r="N687" t="s">
        <v>4577</v>
      </c>
      <c r="O687" t="s">
        <v>4578</v>
      </c>
      <c r="P687" t="s">
        <v>4821</v>
      </c>
      <c r="Q687" s="3" t="n">
        <v>44351.0</v>
      </c>
      <c r="R687" s="3" t="n">
        <v>44630.0</v>
      </c>
      <c r="S687" s="3" t="n">
        <v>44631.18881644676</v>
      </c>
      <c r="T687" s="3" t="n">
        <v>44719.59287846065</v>
      </c>
      <c r="U687" t="s">
        <v>4826</v>
      </c>
      <c r="V687" t="s">
        <v>4827</v>
      </c>
    </row>
    <row r="688">
      <c r="A688" t="s">
        <v>22</v>
      </c>
      <c r="B688" t="s">
        <v>4828</v>
      </c>
      <c r="C688" t="s">
        <v>24</v>
      </c>
      <c r="D688" t="s">
        <v>204</v>
      </c>
      <c r="E688" t="s">
        <v>4575</v>
      </c>
      <c r="F688" s="2" t="n">
        <f>HYPERLINK("https://patents.google.com/patent/US20220072375","Google")</f>
        <v>0.0</v>
      </c>
      <c r="G688" s="2" t="n">
        <f>HYPERLINK("https://patentcenter.uspto.gov/applications/17339337","Patent Center")</f>
        <v>0.0</v>
      </c>
      <c r="H688" s="2" t="n">
        <f>HYPERLINK("https://worldwide.espacenet.com/patent/search?q=US20220072375","Espacenet")</f>
        <v>0.0</v>
      </c>
      <c r="I688" s="2" t="n">
        <f>HYPERLINK("https://ppubs.uspto.gov/pubwebapp/external.html?q=20220072375.pn.","USPTO")</f>
        <v>0.0</v>
      </c>
      <c r="J688" s="2" t="n">
        <f>HYPERLINK("https://image-ppubs.uspto.gov/dirsearch-public/print/downloadPdf/20220072375","USPTO PDF")</f>
        <v>0.0</v>
      </c>
      <c r="K688" s="2" t="n">
        <f>HYPERLINK("https://sectors.patentforecast.com/pmd/US20220072375","PMD")</f>
        <v>0.0</v>
      </c>
      <c r="L688" s="2" t="n">
        <f>HYPERLINK("https://globaldossier.uspto.gov/result/application/US/17339337/1","US20220072375")</f>
        <v>0.0</v>
      </c>
      <c r="M688" t="s">
        <v>4829</v>
      </c>
      <c r="N688" t="s">
        <v>4577</v>
      </c>
      <c r="O688" t="s">
        <v>4578</v>
      </c>
      <c r="P688" t="s">
        <v>4821</v>
      </c>
      <c r="Q688" s="3" t="n">
        <v>44351.0</v>
      </c>
      <c r="R688" s="3" t="n">
        <v>44630.0</v>
      </c>
      <c r="S688" s="3" t="n">
        <v>44631.18881644676</v>
      </c>
      <c r="T688" s="3" t="n">
        <v>44719.59291663195</v>
      </c>
      <c r="U688" t="s">
        <v>4826</v>
      </c>
      <c r="V688" t="s">
        <v>4827</v>
      </c>
    </row>
    <row r="689">
      <c r="A689" t="s">
        <v>22</v>
      </c>
      <c r="B689" t="s">
        <v>4830</v>
      </c>
      <c r="C689" t="s">
        <v>24</v>
      </c>
      <c r="D689" t="s">
        <v>69</v>
      </c>
      <c r="E689" t="s">
        <v>4831</v>
      </c>
      <c r="F689" s="2" t="n">
        <f>HYPERLINK("https://patents.google.com/patent/US20220072347","Google")</f>
        <v>0.0</v>
      </c>
      <c r="G689" s="2" t="n">
        <f>HYPERLINK("https://patentcenter.uspto.gov/applications/17446629","Patent Center")</f>
        <v>0.0</v>
      </c>
      <c r="H689" s="2" t="n">
        <f>HYPERLINK("https://worldwide.espacenet.com/patent/search?q=US20220072347","Espacenet")</f>
        <v>0.0</v>
      </c>
      <c r="I689" s="2" t="n">
        <f>HYPERLINK("https://ppubs.uspto.gov/pubwebapp/external.html?q=20220072347.pn.","USPTO")</f>
        <v>0.0</v>
      </c>
      <c r="J689" s="2" t="n">
        <f>HYPERLINK("https://image-ppubs.uspto.gov/dirsearch-public/print/downloadPdf/20220072347","USPTO PDF")</f>
        <v>0.0</v>
      </c>
      <c r="K689" s="2" t="n">
        <f>HYPERLINK("https://sectors.patentforecast.com/pmd/US20220072347","PMD")</f>
        <v>0.0</v>
      </c>
      <c r="L689" s="2" t="n">
        <f>HYPERLINK("https://globaldossier.uspto.gov/result/application/US/17446629/1","US20220072347")</f>
        <v>0.0</v>
      </c>
      <c r="M689" t="s">
        <v>4832</v>
      </c>
      <c r="N689" t="s">
        <v>4833</v>
      </c>
      <c r="O689" t="s">
        <v>4834</v>
      </c>
      <c r="P689" t="s">
        <v>4835</v>
      </c>
      <c r="Q689" s="3" t="n">
        <v>44440.0</v>
      </c>
      <c r="R689" s="3" t="n">
        <v>44630.0</v>
      </c>
      <c r="S689" s="3" t="n">
        <v>44631.18881644676</v>
      </c>
      <c r="T689" s="3" t="n">
        <v>44719.59295320602</v>
      </c>
      <c r="U689" t="s">
        <v>31</v>
      </c>
      <c r="V689" t="s">
        <v>4836</v>
      </c>
    </row>
    <row r="690">
      <c r="A690" t="s">
        <v>22</v>
      </c>
      <c r="B690" t="s">
        <v>4837</v>
      </c>
      <c r="C690" t="s">
        <v>24</v>
      </c>
      <c r="D690" t="s">
        <v>69</v>
      </c>
      <c r="E690" t="s">
        <v>4838</v>
      </c>
      <c r="F690" s="2" t="n">
        <f>HYPERLINK("https://patents.google.com/patent/US20220072342","Google")</f>
        <v>0.0</v>
      </c>
      <c r="G690" s="2" t="n">
        <f>HYPERLINK("https://patentcenter.uspto.gov/applications/17391264","Patent Center")</f>
        <v>0.0</v>
      </c>
      <c r="H690" s="2" t="n">
        <f>HYPERLINK("https://worldwide.espacenet.com/patent/search?q=US20220072342","Espacenet")</f>
        <v>0.0</v>
      </c>
      <c r="I690" s="2" t="n">
        <f>HYPERLINK("https://ppubs.uspto.gov/pubwebapp/external.html?q=20220072342.pn.","USPTO")</f>
        <v>0.0</v>
      </c>
      <c r="J690" s="2" t="n">
        <f>HYPERLINK("https://image-ppubs.uspto.gov/dirsearch-public/print/downloadPdf/20220072342","USPTO PDF")</f>
        <v>0.0</v>
      </c>
      <c r="K690" s="2" t="n">
        <f>HYPERLINK("https://sectors.patentforecast.com/pmd/US20220072342","PMD")</f>
        <v>0.0</v>
      </c>
      <c r="L690" s="2" t="n">
        <f>HYPERLINK("https://globaldossier.uspto.gov/result/application/US/17391264/1","US20220072342")</f>
        <v>0.0</v>
      </c>
      <c r="M690" t="s">
        <v>4839</v>
      </c>
      <c r="N690" t="s">
        <v>4840</v>
      </c>
      <c r="O690" t="s">
        <v>4841</v>
      </c>
      <c r="P690" t="s">
        <v>4842</v>
      </c>
      <c r="Q690" s="3" t="n">
        <v>44410.0</v>
      </c>
      <c r="R690" s="3" t="n">
        <v>44630.0</v>
      </c>
      <c r="S690" s="3" t="n">
        <v>44631.18881644676</v>
      </c>
      <c r="T690" s="3" t="n">
        <v>44658.61965958333</v>
      </c>
      <c r="U690" t="s">
        <v>31</v>
      </c>
      <c r="V690" t="s">
        <v>4843</v>
      </c>
    </row>
    <row r="691">
      <c r="A691" t="s">
        <v>22</v>
      </c>
      <c r="B691" t="s">
        <v>4844</v>
      </c>
      <c r="C691" t="s">
        <v>24</v>
      </c>
      <c r="D691" t="s">
        <v>69</v>
      </c>
      <c r="E691" t="s">
        <v>4845</v>
      </c>
      <c r="F691" s="2" t="n">
        <f>HYPERLINK("https://patents.google.com/patent/US20220072251","Google")</f>
        <v>0.0</v>
      </c>
      <c r="G691" s="2" t="n">
        <f>HYPERLINK("https://patentcenter.uspto.gov/applications/17177432","Patent Center")</f>
        <v>0.0</v>
      </c>
      <c r="H691" s="2" t="n">
        <f>HYPERLINK("https://worldwide.espacenet.com/patent/search?q=US20220072251","Espacenet")</f>
        <v>0.0</v>
      </c>
      <c r="I691" s="2" t="n">
        <f>HYPERLINK("https://ppubs.uspto.gov/pubwebapp/external.html?q=20220072251.pn.","USPTO")</f>
        <v>0.0</v>
      </c>
      <c r="J691" s="2" t="n">
        <f>HYPERLINK("https://image-ppubs.uspto.gov/dirsearch-public/print/downloadPdf/20220072251","USPTO PDF")</f>
        <v>0.0</v>
      </c>
      <c r="K691" s="2" t="n">
        <f>HYPERLINK("https://sectors.patentforecast.com/pmd/US20220072251","PMD")</f>
        <v>0.0</v>
      </c>
      <c r="L691" s="2" t="n">
        <f>HYPERLINK("https://globaldossier.uspto.gov/result/application/US/17177432/1","US20220072251")</f>
        <v>0.0</v>
      </c>
      <c r="M691" t="s">
        <v>4846</v>
      </c>
      <c r="N691" t="s">
        <v>4847</v>
      </c>
      <c r="O691" t="s">
        <v>4848</v>
      </c>
      <c r="P691" t="s">
        <v>4849</v>
      </c>
      <c r="Q691" s="3" t="n">
        <v>44244.0</v>
      </c>
      <c r="R691" s="3" t="n">
        <v>44630.0</v>
      </c>
      <c r="S691" s="3" t="n">
        <v>44631.18881644676</v>
      </c>
      <c r="T691" s="3" t="n">
        <v>44658.610876122686</v>
      </c>
      <c r="U691" t="s">
        <v>31</v>
      </c>
      <c r="V691" t="s">
        <v>4850</v>
      </c>
    </row>
    <row r="692">
      <c r="A692" t="s">
        <v>22</v>
      </c>
      <c r="B692" t="s">
        <v>4851</v>
      </c>
      <c r="C692" t="s">
        <v>60</v>
      </c>
      <c r="D692" t="s">
        <v>715</v>
      </c>
      <c r="E692" t="s">
        <v>4852</v>
      </c>
      <c r="F692" s="2" t="n">
        <f>HYPERLINK("https://patents.google.com/patent/US20220072250","Google")</f>
        <v>0.0</v>
      </c>
      <c r="G692" s="2" t="n">
        <f>HYPERLINK("https://patentcenter.uspto.gov/applications/17345994","Patent Center")</f>
        <v>0.0</v>
      </c>
      <c r="H692" s="2" t="n">
        <f>HYPERLINK("https://worldwide.espacenet.com/patent/search?q=US20220072250","Espacenet")</f>
        <v>0.0</v>
      </c>
      <c r="I692" s="2" t="n">
        <f>HYPERLINK("https://ppubs.uspto.gov/pubwebapp/external.html?q=20220072250.pn.","USPTO")</f>
        <v>0.0</v>
      </c>
      <c r="J692" s="2" t="n">
        <f>HYPERLINK("https://image-ppubs.uspto.gov/dirsearch-public/print/downloadPdf/20220072250","USPTO PDF")</f>
        <v>0.0</v>
      </c>
      <c r="K692" s="2" t="n">
        <f>HYPERLINK("https://sectors.patentforecast.com/pmd/US20220072250","PMD")</f>
        <v>0.0</v>
      </c>
      <c r="L692" s="2" t="n">
        <f>HYPERLINK("https://globaldossier.uspto.gov/result/application/US/17345994/1","US20220072250")</f>
        <v>0.0</v>
      </c>
      <c r="M692" t="s">
        <v>4853</v>
      </c>
      <c r="N692" t="s">
        <v>4854</v>
      </c>
      <c r="O692" t="s">
        <v>4855</v>
      </c>
      <c r="P692" t="s">
        <v>4856</v>
      </c>
      <c r="Q692" s="3" t="n">
        <v>44358.0</v>
      </c>
      <c r="R692" s="3" t="n">
        <v>44630.0</v>
      </c>
      <c r="S692" s="3" t="n">
        <v>44631.18881644676</v>
      </c>
      <c r="T692" s="3" t="n">
        <v>44658.61409540509</v>
      </c>
      <c r="U692" t="s">
        <v>4857</v>
      </c>
      <c r="V692" t="s">
        <v>4858</v>
      </c>
    </row>
    <row r="693">
      <c r="A693" t="s">
        <v>22</v>
      </c>
      <c r="B693" t="s">
        <v>4859</v>
      </c>
      <c r="C693" t="s">
        <v>24</v>
      </c>
      <c r="D693" t="s">
        <v>69</v>
      </c>
      <c r="E693" t="s">
        <v>4860</v>
      </c>
      <c r="F693" s="2" t="n">
        <f>HYPERLINK("https://patents.google.com/patent/US20220072245","Google")</f>
        <v>0.0</v>
      </c>
      <c r="G693" s="2" t="n">
        <f>HYPERLINK("https://patentcenter.uspto.gov/applications/17191823","Patent Center")</f>
        <v>0.0</v>
      </c>
      <c r="H693" s="2" t="n">
        <f>HYPERLINK("https://worldwide.espacenet.com/patent/search?q=US20220072245","Espacenet")</f>
        <v>0.0</v>
      </c>
      <c r="I693" s="2" t="n">
        <f>HYPERLINK("https://ppubs.uspto.gov/pubwebapp/external.html?q=20220072245.pn.","USPTO")</f>
        <v>0.0</v>
      </c>
      <c r="J693" s="2" t="n">
        <f>HYPERLINK("https://image-ppubs.uspto.gov/dirsearch-public/print/downloadPdf/20220072245","USPTO PDF")</f>
        <v>0.0</v>
      </c>
      <c r="K693" s="2" t="n">
        <f>HYPERLINK("https://sectors.patentforecast.com/pmd/US20220072245","PMD")</f>
        <v>0.0</v>
      </c>
      <c r="L693" s="2" t="n">
        <f>HYPERLINK("https://globaldossier.uspto.gov/result/application/US/17191823/1","US20220072245")</f>
        <v>0.0</v>
      </c>
      <c r="M693" t="s">
        <v>4861</v>
      </c>
      <c r="N693" t="s">
        <v>4847</v>
      </c>
      <c r="O693" t="s">
        <v>4848</v>
      </c>
      <c r="P693" t="s">
        <v>4862</v>
      </c>
      <c r="Q693" s="3" t="n">
        <v>44259.0</v>
      </c>
      <c r="R693" s="3" t="n">
        <v>44630.0</v>
      </c>
      <c r="S693" s="3" t="n">
        <v>44631.18881644676</v>
      </c>
      <c r="T693" s="3" t="n">
        <v>44658.61965958333</v>
      </c>
      <c r="U693" t="s">
        <v>4863</v>
      </c>
      <c r="V693" t="s">
        <v>4864</v>
      </c>
    </row>
    <row r="694">
      <c r="A694" t="s">
        <v>22</v>
      </c>
      <c r="B694" t="s">
        <v>4865</v>
      </c>
      <c r="C694" t="s">
        <v>60</v>
      </c>
      <c r="D694" t="s">
        <v>715</v>
      </c>
      <c r="E694" t="s">
        <v>4866</v>
      </c>
      <c r="F694" s="2" t="n">
        <f>HYPERLINK("https://patents.google.com/patent/US20220072210","Google")</f>
        <v>0.0</v>
      </c>
      <c r="G694" s="2" t="n">
        <f>HYPERLINK("https://patentcenter.uspto.gov/applications/17017502","Patent Center")</f>
        <v>0.0</v>
      </c>
      <c r="H694" s="2" t="n">
        <f>HYPERLINK("https://worldwide.espacenet.com/patent/search?q=US20220072210","Espacenet")</f>
        <v>0.0</v>
      </c>
      <c r="I694" s="2" t="n">
        <f>HYPERLINK("https://ppubs.uspto.gov/pubwebapp/external.html?q=20220072210.pn.","USPTO")</f>
        <v>0.0</v>
      </c>
      <c r="J694" s="2" t="n">
        <f>HYPERLINK("https://image-ppubs.uspto.gov/dirsearch-public/print/downloadPdf/20220072210","USPTO PDF")</f>
        <v>0.0</v>
      </c>
      <c r="K694" s="2" t="n">
        <f>HYPERLINK("https://sectors.patentforecast.com/pmd/US20220072210","PMD")</f>
        <v>0.0</v>
      </c>
      <c r="L694" s="2" t="n">
        <f>HYPERLINK("https://globaldossier.uspto.gov/result/application/US/17017502/1","US20220072210")</f>
        <v>0.0</v>
      </c>
      <c r="M694" t="s">
        <v>4867</v>
      </c>
      <c r="N694" t="s">
        <v>4868</v>
      </c>
      <c r="O694" t="s">
        <v>4869</v>
      </c>
      <c r="P694" t="s">
        <v>4870</v>
      </c>
      <c r="Q694" s="3" t="n">
        <v>44084.0</v>
      </c>
      <c r="R694" s="3" t="n">
        <v>44630.0</v>
      </c>
      <c r="S694" s="3" t="n">
        <v>44631.18881644676</v>
      </c>
      <c r="T694" s="3" t="n">
        <v>44658.64012418981</v>
      </c>
      <c r="U694" t="s">
        <v>4871</v>
      </c>
      <c r="V694" t="s">
        <v>4872</v>
      </c>
    </row>
    <row r="695">
      <c r="A695" t="s">
        <v>22</v>
      </c>
      <c r="B695" t="s">
        <v>4873</v>
      </c>
      <c r="C695" t="s">
        <v>24</v>
      </c>
      <c r="D695" t="s">
        <v>69</v>
      </c>
      <c r="E695" t="s">
        <v>4874</v>
      </c>
      <c r="F695" s="2" t="n">
        <f>HYPERLINK("https://patents.google.com/patent/US20220072187","Google")</f>
        <v>0.0</v>
      </c>
      <c r="G695" s="2" t="n">
        <f>HYPERLINK("https://patentcenter.uspto.gov/applications/17410710","Patent Center")</f>
        <v>0.0</v>
      </c>
      <c r="H695" s="2" t="n">
        <f>HYPERLINK("https://worldwide.espacenet.com/patent/search?q=US20220072187","Espacenet")</f>
        <v>0.0</v>
      </c>
      <c r="I695" s="2" t="n">
        <f>HYPERLINK("https://ppubs.uspto.gov/pubwebapp/external.html?q=20220072187.pn.","USPTO")</f>
        <v>0.0</v>
      </c>
      <c r="J695" s="2" t="n">
        <f>HYPERLINK("https://image-ppubs.uspto.gov/dirsearch-public/print/downloadPdf/20220072187","USPTO PDF")</f>
        <v>0.0</v>
      </c>
      <c r="K695" s="2" t="n">
        <f>HYPERLINK("https://sectors.patentforecast.com/pmd/US20220072187","PMD")</f>
        <v>0.0</v>
      </c>
      <c r="L695" s="2" t="n">
        <f>HYPERLINK("https://globaldossier.uspto.gov/result/application/US/17410710/1","US20220072187")</f>
        <v>0.0</v>
      </c>
      <c r="M695" t="s">
        <v>4875</v>
      </c>
      <c r="N695" t="s">
        <v>4876</v>
      </c>
      <c r="O695" t="s">
        <v>4877</v>
      </c>
      <c r="P695" t="s">
        <v>4878</v>
      </c>
      <c r="Q695" s="3" t="n">
        <v>44432.0</v>
      </c>
      <c r="R695" s="3" t="n">
        <v>44630.0</v>
      </c>
      <c r="S695" s="3" t="n">
        <v>44631.18881644676</v>
      </c>
      <c r="T695" s="3" t="n">
        <v>44658.59364530093</v>
      </c>
      <c r="U695" t="s">
        <v>31</v>
      </c>
      <c r="V695" t="s">
        <v>4879</v>
      </c>
    </row>
    <row r="696">
      <c r="A696" t="s">
        <v>22</v>
      </c>
      <c r="B696" t="s">
        <v>4880</v>
      </c>
      <c r="C696" t="s">
        <v>24</v>
      </c>
      <c r="D696" t="s">
        <v>100</v>
      </c>
      <c r="E696" t="s">
        <v>4881</v>
      </c>
      <c r="F696" s="2" t="n">
        <f>HYPERLINK("https://patents.google.com/patent/US20220072184","Google")</f>
        <v>0.0</v>
      </c>
      <c r="G696" s="2" t="n">
        <f>HYPERLINK("https://patentcenter.uspto.gov/applications/17332947","Patent Center")</f>
        <v>0.0</v>
      </c>
      <c r="H696" s="2" t="n">
        <f>HYPERLINK("https://worldwide.espacenet.com/patent/search?q=US20220072184","Espacenet")</f>
        <v>0.0</v>
      </c>
      <c r="I696" s="2" t="n">
        <f>HYPERLINK("https://ppubs.uspto.gov/pubwebapp/external.html?q=20220072184.pn.","USPTO")</f>
        <v>0.0</v>
      </c>
      <c r="J696" s="2" t="n">
        <f>HYPERLINK("https://image-ppubs.uspto.gov/dirsearch-public/print/downloadPdf/20220072184","USPTO PDF")</f>
        <v>0.0</v>
      </c>
      <c r="K696" s="2" t="n">
        <f>HYPERLINK("https://sectors.patentforecast.com/pmd/US20220072184","PMD")</f>
        <v>0.0</v>
      </c>
      <c r="L696" s="2" t="n">
        <f>HYPERLINK("https://globaldossier.uspto.gov/result/application/US/17332947/1","US20220072184")</f>
        <v>0.0</v>
      </c>
      <c r="M696" t="s">
        <v>4882</v>
      </c>
      <c r="N696" t="s">
        <v>3426</v>
      </c>
      <c r="O696" t="s">
        <v>3427</v>
      </c>
      <c r="P696" t="s">
        <v>3428</v>
      </c>
      <c r="Q696" s="3" t="n">
        <v>44343.0</v>
      </c>
      <c r="R696" s="3" t="n">
        <v>44630.0</v>
      </c>
      <c r="S696" s="3" t="n">
        <v>44631.18858642361</v>
      </c>
      <c r="T696" s="3" t="n">
        <v>44719.59333880787</v>
      </c>
      <c r="U696" t="s">
        <v>31</v>
      </c>
      <c r="V696" t="s">
        <v>3430</v>
      </c>
    </row>
    <row r="697">
      <c r="A697" t="s">
        <v>22</v>
      </c>
      <c r="B697" t="s">
        <v>4883</v>
      </c>
      <c r="C697" t="s">
        <v>132</v>
      </c>
      <c r="D697" t="s">
        <v>133</v>
      </c>
      <c r="E697" t="s">
        <v>4884</v>
      </c>
      <c r="F697" s="2" t="n">
        <f>HYPERLINK("https://patents.google.com/patent/US20220072121","Google")</f>
        <v>0.0</v>
      </c>
      <c r="G697" s="2" t="n">
        <f>HYPERLINK("https://patentcenter.uspto.gov/applications/17342769","Patent Center")</f>
        <v>0.0</v>
      </c>
      <c r="H697" s="2" t="n">
        <f>HYPERLINK("https://worldwide.espacenet.com/patent/search?q=US20220072121","Espacenet")</f>
        <v>0.0</v>
      </c>
      <c r="I697" s="2" t="n">
        <f>HYPERLINK("https://ppubs.uspto.gov/pubwebapp/external.html?q=20220072121.pn.","USPTO")</f>
        <v>0.0</v>
      </c>
      <c r="J697" s="2" t="n">
        <f>HYPERLINK("https://image-ppubs.uspto.gov/dirsearch-public/print/downloadPdf/20220072121","USPTO PDF")</f>
        <v>0.0</v>
      </c>
      <c r="K697" s="2" t="n">
        <f>HYPERLINK("https://sectors.patentforecast.com/pmd/US20220072121","PMD")</f>
        <v>0.0</v>
      </c>
      <c r="L697" s="2" t="n">
        <f>HYPERLINK("https://globaldossier.uspto.gov/result/application/US/17342769/1","US20220072121")</f>
        <v>0.0</v>
      </c>
      <c r="M697" t="s">
        <v>4885</v>
      </c>
      <c r="N697" t="s">
        <v>4886</v>
      </c>
      <c r="O697" t="s">
        <v>4887</v>
      </c>
      <c r="P697" t="s">
        <v>4888</v>
      </c>
      <c r="Q697" s="3" t="n">
        <v>44356.0</v>
      </c>
      <c r="R697" s="3" t="n">
        <v>44630.0</v>
      </c>
      <c r="S697" s="3" t="n">
        <v>44631.18858642361</v>
      </c>
      <c r="T697" s="3" t="n">
        <v>44638.674005636574</v>
      </c>
      <c r="U697" t="s">
        <v>31</v>
      </c>
      <c r="V697" t="s">
        <v>4889</v>
      </c>
    </row>
    <row r="698">
      <c r="A698" t="s">
        <v>22</v>
      </c>
      <c r="B698" t="s">
        <v>4890</v>
      </c>
      <c r="C698" t="s">
        <v>60</v>
      </c>
      <c r="D698" t="s">
        <v>61</v>
      </c>
      <c r="E698" t="s">
        <v>4891</v>
      </c>
      <c r="F698" s="2" t="n">
        <f>HYPERLINK("https://patents.google.com/patent/US20220072037","Google")</f>
        <v>0.0</v>
      </c>
      <c r="G698" s="2" t="n">
        <f>HYPERLINK("https://patentcenter.uspto.gov/applications/17466974","Patent Center")</f>
        <v>0.0</v>
      </c>
      <c r="H698" s="2" t="n">
        <f>HYPERLINK("https://worldwide.espacenet.com/patent/search?q=US20220072037","Espacenet")</f>
        <v>0.0</v>
      </c>
      <c r="I698" s="2" t="n">
        <f>HYPERLINK("https://ppubs.uspto.gov/pubwebapp/external.html?q=20220072037.pn.","USPTO")</f>
        <v>0.0</v>
      </c>
      <c r="J698" s="2" t="n">
        <f>HYPERLINK("https://image-ppubs.uspto.gov/dirsearch-public/print/downloadPdf/20220072037","USPTO PDF")</f>
        <v>0.0</v>
      </c>
      <c r="K698" s="2" t="n">
        <f>HYPERLINK("https://sectors.patentforecast.com/pmd/US20220072037","PMD")</f>
        <v>0.0</v>
      </c>
      <c r="L698" s="2" t="n">
        <f>HYPERLINK("https://globaldossier.uspto.gov/result/application/US/17466974/1","US20220072037")</f>
        <v>0.0</v>
      </c>
      <c r="M698" t="s">
        <v>4892</v>
      </c>
      <c r="N698" t="s">
        <v>4893</v>
      </c>
      <c r="O698" t="s">
        <v>4893</v>
      </c>
      <c r="P698" t="s">
        <v>4894</v>
      </c>
      <c r="Q698" s="3" t="n">
        <v>44442.0</v>
      </c>
      <c r="R698" s="3" t="n">
        <v>44630.0</v>
      </c>
      <c r="S698" s="3" t="n">
        <v>44631.18858642361</v>
      </c>
      <c r="T698" s="3" t="n">
        <v>44719.5934165625</v>
      </c>
      <c r="U698" t="s">
        <v>4895</v>
      </c>
      <c r="V698" t="s">
        <v>4896</v>
      </c>
    </row>
    <row r="699">
      <c r="A699" t="s">
        <v>22</v>
      </c>
      <c r="B699" t="s">
        <v>4897</v>
      </c>
      <c r="C699" t="s">
        <v>60</v>
      </c>
      <c r="D699" t="s">
        <v>61</v>
      </c>
      <c r="E699" t="s">
        <v>4898</v>
      </c>
      <c r="F699" s="2" t="n">
        <f>HYPERLINK("https://patents.google.com/patent/US20220072036","Google")</f>
        <v>0.0</v>
      </c>
      <c r="G699" s="2" t="n">
        <f>HYPERLINK("https://patentcenter.uspto.gov/applications/17468293","Patent Center")</f>
        <v>0.0</v>
      </c>
      <c r="H699" s="2" t="n">
        <f>HYPERLINK("https://worldwide.espacenet.com/patent/search?q=US20220072036","Espacenet")</f>
        <v>0.0</v>
      </c>
      <c r="I699" s="2" t="n">
        <f>HYPERLINK("https://ppubs.uspto.gov/pubwebapp/external.html?q=20220072036.pn.","USPTO")</f>
        <v>0.0</v>
      </c>
      <c r="J699" s="2" t="n">
        <f>HYPERLINK("https://image-ppubs.uspto.gov/dirsearch-public/print/downloadPdf/20220072036","USPTO PDF")</f>
        <v>0.0</v>
      </c>
      <c r="K699" s="2" t="n">
        <f>HYPERLINK("https://sectors.patentforecast.com/pmd/US20220072036","PMD")</f>
        <v>0.0</v>
      </c>
      <c r="L699" s="2" t="n">
        <f>HYPERLINK("https://globaldossier.uspto.gov/result/application/US/17468293/1","US20220072036")</f>
        <v>0.0</v>
      </c>
      <c r="M699" t="s">
        <v>4899</v>
      </c>
      <c r="N699" t="s">
        <v>4900</v>
      </c>
      <c r="O699" t="s">
        <v>4901</v>
      </c>
      <c r="P699" t="s">
        <v>4902</v>
      </c>
      <c r="Q699" s="3" t="n">
        <v>44446.0</v>
      </c>
      <c r="R699" s="3" t="n">
        <v>44630.0</v>
      </c>
      <c r="S699" s="3" t="n">
        <v>44631.18858642361</v>
      </c>
      <c r="T699" s="3" t="n">
        <v>44638.708227372685</v>
      </c>
      <c r="U699" t="s">
        <v>4903</v>
      </c>
      <c r="V699" t="s">
        <v>4904</v>
      </c>
    </row>
    <row r="700">
      <c r="A700" t="s">
        <v>22</v>
      </c>
      <c r="B700" t="s">
        <v>4905</v>
      </c>
      <c r="C700" t="s">
        <v>60</v>
      </c>
      <c r="D700" t="s">
        <v>2262</v>
      </c>
      <c r="E700" t="s">
        <v>4906</v>
      </c>
      <c r="F700" s="2" t="n">
        <f>HYPERLINK("https://patents.google.com/patent/US20220072031","Google")</f>
        <v>0.0</v>
      </c>
      <c r="G700" s="2" t="n">
        <f>HYPERLINK("https://patentcenter.uspto.gov/applications/17063505","Patent Center")</f>
        <v>0.0</v>
      </c>
      <c r="H700" s="2" t="n">
        <f>HYPERLINK("https://worldwide.espacenet.com/patent/search?q=US20220072031","Espacenet")</f>
        <v>0.0</v>
      </c>
      <c r="I700" s="2" t="n">
        <f>HYPERLINK("https://ppubs.uspto.gov/pubwebapp/external.html?q=20220072031.pn.","USPTO")</f>
        <v>0.0</v>
      </c>
      <c r="J700" s="2" t="n">
        <f>HYPERLINK("https://image-ppubs.uspto.gov/dirsearch-public/print/downloadPdf/20220072031","USPTO PDF")</f>
        <v>0.0</v>
      </c>
      <c r="K700" s="2" t="n">
        <f>HYPERLINK("https://sectors.patentforecast.com/pmd/US20220072031","PMD")</f>
        <v>0.0</v>
      </c>
      <c r="L700" s="2" t="n">
        <f>HYPERLINK("https://globaldossier.uspto.gov/result/application/US/17063505/1","US20220072031")</f>
        <v>0.0</v>
      </c>
      <c r="M700" t="s">
        <v>4907</v>
      </c>
      <c r="N700" t="s">
        <v>4908</v>
      </c>
      <c r="O700" t="s">
        <v>4909</v>
      </c>
      <c r="P700" t="s">
        <v>4910</v>
      </c>
      <c r="Q700" s="3" t="n">
        <v>44109.0</v>
      </c>
      <c r="R700" s="3" t="n">
        <v>44630.0</v>
      </c>
      <c r="S700" s="3" t="n">
        <v>44631.18858642361</v>
      </c>
      <c r="T700" s="3" t="n">
        <v>44658.640481296294</v>
      </c>
      <c r="U700" t="s">
        <v>31</v>
      </c>
      <c r="V700" t="s">
        <v>4911</v>
      </c>
    </row>
    <row r="701">
      <c r="A701" t="s">
        <v>22</v>
      </c>
      <c r="B701" t="s">
        <v>4912</v>
      </c>
      <c r="C701" t="s">
        <v>60</v>
      </c>
      <c r="D701" t="s">
        <v>61</v>
      </c>
      <c r="E701" t="s">
        <v>4913</v>
      </c>
      <c r="F701" s="2" t="n">
        <f>HYPERLINK("https://patents.google.com/patent/US20220072016","Google")</f>
        <v>0.0</v>
      </c>
      <c r="G701" s="2" t="n">
        <f>HYPERLINK("https://patentcenter.uspto.gov/applications/17471070","Patent Center")</f>
        <v>0.0</v>
      </c>
      <c r="H701" s="2" t="n">
        <f>HYPERLINK("https://worldwide.espacenet.com/patent/search?q=US20220072016","Espacenet")</f>
        <v>0.0</v>
      </c>
      <c r="I701" s="2" t="n">
        <f>HYPERLINK("https://ppubs.uspto.gov/pubwebapp/external.html?q=20220072016.pn.","USPTO")</f>
        <v>0.0</v>
      </c>
      <c r="J701" s="2" t="n">
        <f>HYPERLINK("https://image-ppubs.uspto.gov/dirsearch-public/print/downloadPdf/20220072016","USPTO PDF")</f>
        <v>0.0</v>
      </c>
      <c r="K701" s="2" t="n">
        <f>HYPERLINK("https://sectors.patentforecast.com/pmd/US20220072016","PMD")</f>
        <v>0.0</v>
      </c>
      <c r="L701" s="2" t="n">
        <f>HYPERLINK("https://globaldossier.uspto.gov/result/application/US/17471070/1","US20220072016")</f>
        <v>0.0</v>
      </c>
      <c r="M701" t="s">
        <v>4914</v>
      </c>
      <c r="N701" t="s">
        <v>4915</v>
      </c>
      <c r="O701" t="s">
        <v>4916</v>
      </c>
      <c r="P701" t="s">
        <v>4917</v>
      </c>
      <c r="Q701" s="3" t="n">
        <v>44448.0</v>
      </c>
      <c r="R701" s="3" t="n">
        <v>44630.0</v>
      </c>
      <c r="S701" s="3" t="n">
        <v>44631.18858642361</v>
      </c>
      <c r="T701" s="3" t="n">
        <v>44638.69369314815</v>
      </c>
      <c r="U701" t="s">
        <v>4918</v>
      </c>
      <c r="V701" t="s">
        <v>4919</v>
      </c>
    </row>
    <row r="702">
      <c r="A702" t="s">
        <v>22</v>
      </c>
      <c r="B702" t="s">
        <v>4920</v>
      </c>
      <c r="C702" t="s">
        <v>60</v>
      </c>
      <c r="D702" t="s">
        <v>61</v>
      </c>
      <c r="E702" t="s">
        <v>4921</v>
      </c>
      <c r="F702" s="2" t="n">
        <f>HYPERLINK("https://patents.google.com/patent/US20220072008","Google")</f>
        <v>0.0</v>
      </c>
      <c r="G702" s="2" t="n">
        <f>HYPERLINK("https://patentcenter.uspto.gov/applications/17469089","Patent Center")</f>
        <v>0.0</v>
      </c>
      <c r="H702" s="2" t="n">
        <f>HYPERLINK("https://worldwide.espacenet.com/patent/search?q=US20220072008","Espacenet")</f>
        <v>0.0</v>
      </c>
      <c r="I702" s="2" t="n">
        <f>HYPERLINK("https://ppubs.uspto.gov/pubwebapp/external.html?q=20220072008.pn.","USPTO")</f>
        <v>0.0</v>
      </c>
      <c r="J702" s="2" t="n">
        <f>HYPERLINK("https://image-ppubs.uspto.gov/dirsearch-public/print/downloadPdf/20220072008","USPTO PDF")</f>
        <v>0.0</v>
      </c>
      <c r="K702" s="2" t="n">
        <f>HYPERLINK("https://sectors.patentforecast.com/pmd/US20220072008","PMD")</f>
        <v>0.0</v>
      </c>
      <c r="L702" s="2" t="n">
        <f>HYPERLINK("https://globaldossier.uspto.gov/result/application/US/17469089/1","US20220072008")</f>
        <v>0.0</v>
      </c>
      <c r="M702" t="s">
        <v>4922</v>
      </c>
      <c r="N702" t="s">
        <v>4923</v>
      </c>
      <c r="O702" t="s">
        <v>4923</v>
      </c>
      <c r="P702" t="s">
        <v>4924</v>
      </c>
      <c r="Q702" s="3" t="n">
        <v>44447.0</v>
      </c>
      <c r="R702" s="3" t="n">
        <v>44630.0</v>
      </c>
      <c r="S702" s="3" t="n">
        <v>44631.18858642361</v>
      </c>
      <c r="T702" s="3" t="n">
        <v>44658.6435950463</v>
      </c>
      <c r="U702" t="s">
        <v>31</v>
      </c>
      <c r="V702" t="s">
        <v>4925</v>
      </c>
    </row>
    <row r="703">
      <c r="A703" t="s">
        <v>22</v>
      </c>
      <c r="B703" t="s">
        <v>4926</v>
      </c>
      <c r="C703" t="s">
        <v>60</v>
      </c>
      <c r="D703" t="s">
        <v>61</v>
      </c>
      <c r="E703" t="s">
        <v>4927</v>
      </c>
      <c r="F703" s="2" t="n">
        <f>HYPERLINK("https://patents.google.com/patent/US20220071928","Google")</f>
        <v>0.0</v>
      </c>
      <c r="G703" s="2" t="n">
        <f>HYPERLINK("https://patentcenter.uspto.gov/applications/17469827","Patent Center")</f>
        <v>0.0</v>
      </c>
      <c r="H703" s="2" t="n">
        <f>HYPERLINK("https://worldwide.espacenet.com/patent/search?q=US20220071928","Espacenet")</f>
        <v>0.0</v>
      </c>
      <c r="I703" s="2" t="n">
        <f>HYPERLINK("https://ppubs.uspto.gov/pubwebapp/external.html?q=20220071928.pn.","USPTO")</f>
        <v>0.0</v>
      </c>
      <c r="J703" s="2" t="n">
        <f>HYPERLINK("https://image-ppubs.uspto.gov/dirsearch-public/print/downloadPdf/20220071928","USPTO PDF")</f>
        <v>0.0</v>
      </c>
      <c r="K703" s="2" t="n">
        <f>HYPERLINK("https://sectors.patentforecast.com/pmd/US20220071928","PMD")</f>
        <v>0.0</v>
      </c>
      <c r="L703" s="2" t="n">
        <f>HYPERLINK("https://globaldossier.uspto.gov/result/application/US/17469827/1","US20220071928")</f>
        <v>0.0</v>
      </c>
      <c r="M703" t="s">
        <v>4928</v>
      </c>
      <c r="N703" t="s">
        <v>4929</v>
      </c>
      <c r="O703" t="s">
        <v>4930</v>
      </c>
      <c r="P703" t="s">
        <v>4931</v>
      </c>
      <c r="Q703" s="3" t="n">
        <v>44447.0</v>
      </c>
      <c r="R703" s="3" t="n">
        <v>44630.0</v>
      </c>
      <c r="S703" s="3" t="n">
        <v>44631.18788760417</v>
      </c>
      <c r="T703" s="3" t="n">
        <v>44658.61931126157</v>
      </c>
      <c r="U703" t="s">
        <v>31</v>
      </c>
      <c r="V703" t="s">
        <v>4932</v>
      </c>
    </row>
    <row r="704">
      <c r="A704" t="s">
        <v>22</v>
      </c>
      <c r="B704" t="s">
        <v>4933</v>
      </c>
      <c r="C704" t="s">
        <v>60</v>
      </c>
      <c r="D704" t="s">
        <v>61</v>
      </c>
      <c r="E704" t="s">
        <v>4934</v>
      </c>
      <c r="F704" s="2" t="n">
        <f>HYPERLINK("https://patents.google.com/patent/US20220071904","Google")</f>
        <v>0.0</v>
      </c>
      <c r="G704" s="2" t="n">
        <f>HYPERLINK("https://patentcenter.uspto.gov/applications/17410743","Patent Center")</f>
        <v>0.0</v>
      </c>
      <c r="H704" s="2" t="n">
        <f>HYPERLINK("https://worldwide.espacenet.com/patent/search?q=US20220071904","Espacenet")</f>
        <v>0.0</v>
      </c>
      <c r="I704" s="2" t="n">
        <f>HYPERLINK("https://ppubs.uspto.gov/pubwebapp/external.html?q=20220071904.pn.","USPTO")</f>
        <v>0.0</v>
      </c>
      <c r="J704" s="2" t="n">
        <f>HYPERLINK("https://image-ppubs.uspto.gov/dirsearch-public/print/downloadPdf/20220071904","USPTO PDF")</f>
        <v>0.0</v>
      </c>
      <c r="K704" s="2" t="n">
        <f>HYPERLINK("https://sectors.patentforecast.com/pmd/US20220071904","PMD")</f>
        <v>0.0</v>
      </c>
      <c r="L704" s="2" t="n">
        <f>HYPERLINK("https://globaldossier.uspto.gov/result/application/US/17410743/1","US20220071904")</f>
        <v>0.0</v>
      </c>
      <c r="M704" t="s">
        <v>4935</v>
      </c>
      <c r="N704" t="s">
        <v>4936</v>
      </c>
      <c r="O704" t="s">
        <v>4937</v>
      </c>
      <c r="P704" t="s">
        <v>4938</v>
      </c>
      <c r="Q704" s="3" t="n">
        <v>44432.0</v>
      </c>
      <c r="R704" s="3" t="n">
        <v>44630.0</v>
      </c>
      <c r="S704" s="3" t="n">
        <v>44631.18858642361</v>
      </c>
      <c r="T704" s="3" t="n">
        <v>44658.63747115741</v>
      </c>
      <c r="U704" t="s">
        <v>4939</v>
      </c>
      <c r="V704" t="s">
        <v>4940</v>
      </c>
    </row>
    <row r="705">
      <c r="A705" t="s">
        <v>22</v>
      </c>
      <c r="B705" t="s">
        <v>4941</v>
      </c>
      <c r="C705" t="s">
        <v>60</v>
      </c>
      <c r="D705" t="s">
        <v>4942</v>
      </c>
      <c r="E705" t="s">
        <v>4943</v>
      </c>
      <c r="F705" s="2" t="n">
        <f>HYPERLINK("https://patents.google.com/patent/US20220071902","Google")</f>
        <v>0.0</v>
      </c>
      <c r="G705" s="2" t="n">
        <f>HYPERLINK("https://patentcenter.uspto.gov/applications/17530439","Patent Center")</f>
        <v>0.0</v>
      </c>
      <c r="H705" s="2" t="n">
        <f>HYPERLINK("https://worldwide.espacenet.com/patent/search?q=US20220071902","Espacenet")</f>
        <v>0.0</v>
      </c>
      <c r="I705" s="2" t="n">
        <f>HYPERLINK("https://ppubs.uspto.gov/pubwebapp/external.html?q=20220071902.pn.","USPTO")</f>
        <v>0.0</v>
      </c>
      <c r="J705" s="2" t="n">
        <f>HYPERLINK("https://image-ppubs.uspto.gov/dirsearch-public/print/downloadPdf/20220071902","USPTO PDF")</f>
        <v>0.0</v>
      </c>
      <c r="K705" s="2" t="n">
        <f>HYPERLINK("https://sectors.patentforecast.com/pmd/US20220071902","PMD")</f>
        <v>0.0</v>
      </c>
      <c r="L705" s="2" t="n">
        <f>HYPERLINK("https://globaldossier.uspto.gov/result/application/US/17530439/1","US20220071902")</f>
        <v>0.0</v>
      </c>
      <c r="M705" t="s">
        <v>4944</v>
      </c>
      <c r="N705" t="s">
        <v>4945</v>
      </c>
      <c r="O705" t="s">
        <v>4946</v>
      </c>
      <c r="P705" t="s">
        <v>4947</v>
      </c>
      <c r="Q705" s="3" t="n">
        <v>44518.0</v>
      </c>
      <c r="R705" s="3" t="n">
        <v>44630.0</v>
      </c>
      <c r="S705" s="3" t="n">
        <v>44631.18858642361</v>
      </c>
      <c r="T705" s="3" t="n">
        <v>44719.593563483795</v>
      </c>
      <c r="U705" t="s">
        <v>31</v>
      </c>
      <c r="V705" t="s">
        <v>4948</v>
      </c>
    </row>
    <row r="706">
      <c r="A706" t="s">
        <v>22</v>
      </c>
      <c r="B706" t="s">
        <v>4949</v>
      </c>
      <c r="C706" t="s">
        <v>60</v>
      </c>
      <c r="D706" t="s">
        <v>61</v>
      </c>
      <c r="E706" t="s">
        <v>4950</v>
      </c>
      <c r="F706" s="2" t="n">
        <f>HYPERLINK("https://patents.google.com/patent/US20220071893","Google")</f>
        <v>0.0</v>
      </c>
      <c r="G706" s="2" t="n">
        <f>HYPERLINK("https://patentcenter.uspto.gov/applications/17466142","Patent Center")</f>
        <v>0.0</v>
      </c>
      <c r="H706" s="2" t="n">
        <f>HYPERLINK("https://worldwide.espacenet.com/patent/search?q=US20220071893","Espacenet")</f>
        <v>0.0</v>
      </c>
      <c r="I706" s="2" t="n">
        <f>HYPERLINK("https://ppubs.uspto.gov/pubwebapp/external.html?q=20220071893.pn.","USPTO")</f>
        <v>0.0</v>
      </c>
      <c r="J706" s="2" t="n">
        <f>HYPERLINK("https://image-ppubs.uspto.gov/dirsearch-public/print/downloadPdf/20220071893","USPTO PDF")</f>
        <v>0.0</v>
      </c>
      <c r="K706" s="2" t="n">
        <f>HYPERLINK("https://sectors.patentforecast.com/pmd/US20220071893","PMD")</f>
        <v>0.0</v>
      </c>
      <c r="L706" s="2" t="n">
        <f>HYPERLINK("https://globaldossier.uspto.gov/result/application/US/17466142/1","US20220071893")</f>
        <v>0.0</v>
      </c>
      <c r="M706" t="s">
        <v>4951</v>
      </c>
      <c r="N706" t="s">
        <v>4952</v>
      </c>
      <c r="O706" t="s">
        <v>4953</v>
      </c>
      <c r="P706" t="s">
        <v>4954</v>
      </c>
      <c r="Q706" s="3" t="n">
        <v>44442.0</v>
      </c>
      <c r="R706" s="3" t="n">
        <v>44630.0</v>
      </c>
      <c r="S706" s="3" t="n">
        <v>44631.18858642361</v>
      </c>
      <c r="T706" s="3" t="n">
        <v>44658.60799332176</v>
      </c>
      <c r="U706" t="s">
        <v>4955</v>
      </c>
      <c r="V706" t="s">
        <v>4956</v>
      </c>
    </row>
    <row r="707">
      <c r="A707" t="s">
        <v>22</v>
      </c>
      <c r="B707" t="s">
        <v>4957</v>
      </c>
      <c r="C707" t="s">
        <v>24</v>
      </c>
      <c r="D707" t="s">
        <v>69</v>
      </c>
      <c r="E707" t="s">
        <v>4958</v>
      </c>
      <c r="F707" s="2" t="n">
        <f>HYPERLINK("https://patents.google.com/patent/US20220071825","Google")</f>
        <v>0.0</v>
      </c>
      <c r="G707" s="2" t="n">
        <f>HYPERLINK("https://patentcenter.uspto.gov/applications/17017577","Patent Center")</f>
        <v>0.0</v>
      </c>
      <c r="H707" s="2" t="n">
        <f>HYPERLINK("https://worldwide.espacenet.com/patent/search?q=US20220071825","Espacenet")</f>
        <v>0.0</v>
      </c>
      <c r="I707" s="2" t="n">
        <f>HYPERLINK("https://ppubs.uspto.gov/pubwebapp/external.html?q=20220071825.pn.","USPTO")</f>
        <v>0.0</v>
      </c>
      <c r="J707" s="2" t="n">
        <f>HYPERLINK("https://image-ppubs.uspto.gov/dirsearch-public/print/downloadPdf/20220071825","USPTO PDF")</f>
        <v>0.0</v>
      </c>
      <c r="K707" s="2" t="n">
        <f>HYPERLINK("https://sectors.patentforecast.com/pmd/US20220071825","PMD")</f>
        <v>0.0</v>
      </c>
      <c r="L707" s="2" t="n">
        <f>HYPERLINK("https://globaldossier.uspto.gov/result/application/US/17017577/1","US20220071825")</f>
        <v>0.0</v>
      </c>
      <c r="M707" t="s">
        <v>4959</v>
      </c>
      <c r="N707" t="s">
        <v>4960</v>
      </c>
      <c r="O707" t="s">
        <v>4961</v>
      </c>
      <c r="P707" t="s">
        <v>4962</v>
      </c>
      <c r="Q707" s="3" t="n">
        <v>44084.0</v>
      </c>
      <c r="R707" s="3" t="n">
        <v>44630.0</v>
      </c>
      <c r="S707" s="3" t="n">
        <v>44631.18858642361</v>
      </c>
      <c r="T707" s="3" t="n">
        <v>44719.59373678241</v>
      </c>
      <c r="U707" t="s">
        <v>31</v>
      </c>
      <c r="V707" t="s">
        <v>4963</v>
      </c>
    </row>
    <row r="708">
      <c r="A708" t="s">
        <v>22</v>
      </c>
      <c r="B708" t="s">
        <v>4964</v>
      </c>
      <c r="C708" t="s">
        <v>24</v>
      </c>
      <c r="D708" t="s">
        <v>51</v>
      </c>
      <c r="E708" t="s">
        <v>4965</v>
      </c>
      <c r="F708" s="2" t="n">
        <f>HYPERLINK("https://patents.google.com/patent/US20220071604","Google")</f>
        <v>0.0</v>
      </c>
      <c r="G708" s="2" t="n">
        <f>HYPERLINK("https://patentcenter.uspto.gov/applications/17116584","Patent Center")</f>
        <v>0.0</v>
      </c>
      <c r="H708" s="2" t="n">
        <f>HYPERLINK("https://worldwide.espacenet.com/patent/search?q=US20220071604","Espacenet")</f>
        <v>0.0</v>
      </c>
      <c r="I708" s="2" t="n">
        <f>HYPERLINK("https://ppubs.uspto.gov/pubwebapp/external.html?q=20220071604.pn.","USPTO")</f>
        <v>0.0</v>
      </c>
      <c r="J708" s="2" t="n">
        <f>HYPERLINK("https://image-ppubs.uspto.gov/dirsearch-public/print/downloadPdf/20220071604","USPTO PDF")</f>
        <v>0.0</v>
      </c>
      <c r="K708" s="2" t="n">
        <f>HYPERLINK("https://sectors.patentforecast.com/pmd/US20220071604","PMD")</f>
        <v>0.0</v>
      </c>
      <c r="L708" s="2" t="n">
        <f>HYPERLINK("https://globaldossier.uspto.gov/result/application/US/17116584/1","US20220071604")</f>
        <v>0.0</v>
      </c>
      <c r="M708" t="s">
        <v>4966</v>
      </c>
      <c r="N708" t="s">
        <v>4967</v>
      </c>
      <c r="O708" t="s">
        <v>4968</v>
      </c>
      <c r="P708" t="s">
        <v>4969</v>
      </c>
      <c r="Q708" s="3" t="n">
        <v>44174.0</v>
      </c>
      <c r="R708" s="3" t="n">
        <v>44630.0</v>
      </c>
      <c r="S708" s="3" t="n">
        <v>44631.18858642361</v>
      </c>
      <c r="T708" s="3" t="n">
        <v>44719.593850717596</v>
      </c>
      <c r="U708" t="s">
        <v>4970</v>
      </c>
      <c r="V708" t="s">
        <v>4971</v>
      </c>
    </row>
    <row r="709">
      <c r="A709" t="s">
        <v>22</v>
      </c>
      <c r="B709" t="s">
        <v>4972</v>
      </c>
      <c r="C709" t="s">
        <v>24</v>
      </c>
      <c r="D709" t="s">
        <v>25</v>
      </c>
      <c r="E709" t="s">
        <v>4973</v>
      </c>
      <c r="F709" s="2" t="n">
        <f>HYPERLINK("https://patents.google.com/patent/US20220071507","Google")</f>
        <v>0.0</v>
      </c>
      <c r="G709" s="2" t="n">
        <f>HYPERLINK("https://patentcenter.uspto.gov/applications/17468969","Patent Center")</f>
        <v>0.0</v>
      </c>
      <c r="H709" s="2" t="n">
        <f>HYPERLINK("https://worldwide.espacenet.com/patent/search?q=US20220071507","Espacenet")</f>
        <v>0.0</v>
      </c>
      <c r="I709" s="2" t="n">
        <f>HYPERLINK("https://ppubs.uspto.gov/pubwebapp/external.html?q=20220071507.pn.","USPTO")</f>
        <v>0.0</v>
      </c>
      <c r="J709" s="2" t="n">
        <f>HYPERLINK("https://image-ppubs.uspto.gov/dirsearch-public/print/downloadPdf/20220071507","USPTO PDF")</f>
        <v>0.0</v>
      </c>
      <c r="K709" s="2" t="n">
        <f>HYPERLINK("https://sectors.patentforecast.com/pmd/US20220071507","PMD")</f>
        <v>0.0</v>
      </c>
      <c r="L709" s="2" t="n">
        <f>HYPERLINK("https://globaldossier.uspto.gov/result/application/US/17468969/1","US20220071507")</f>
        <v>0.0</v>
      </c>
      <c r="M709" t="s">
        <v>4974</v>
      </c>
      <c r="N709" t="s">
        <v>4975</v>
      </c>
      <c r="O709" t="s">
        <v>4976</v>
      </c>
      <c r="P709" t="s">
        <v>4977</v>
      </c>
      <c r="Q709" s="3" t="n">
        <v>44447.0</v>
      </c>
      <c r="R709" s="3" t="n">
        <v>44630.0</v>
      </c>
      <c r="S709" s="3" t="n">
        <v>44631.18858642361</v>
      </c>
      <c r="T709" s="3" t="n">
        <v>44658.64859751157</v>
      </c>
      <c r="U709" t="s">
        <v>31</v>
      </c>
      <c r="V709" t="s">
        <v>4978</v>
      </c>
    </row>
    <row r="710">
      <c r="A710" t="s">
        <v>22</v>
      </c>
      <c r="B710" t="s">
        <v>4979</v>
      </c>
      <c r="C710" t="s">
        <v>24</v>
      </c>
      <c r="D710" t="s">
        <v>69</v>
      </c>
      <c r="E710" t="s">
        <v>4980</v>
      </c>
      <c r="F710" s="2" t="n">
        <f>HYPERLINK("https://patents.google.com/patent/US20220071442","Google")</f>
        <v>0.0</v>
      </c>
      <c r="G710" s="2" t="n">
        <f>HYPERLINK("https://patentcenter.uspto.gov/applications/17470782","Patent Center")</f>
        <v>0.0</v>
      </c>
      <c r="H710" s="2" t="n">
        <f>HYPERLINK("https://worldwide.espacenet.com/patent/search?q=US20220071442","Espacenet")</f>
        <v>0.0</v>
      </c>
      <c r="I710" s="2" t="n">
        <f>HYPERLINK("https://ppubs.uspto.gov/pubwebapp/external.html?q=20220071442.pn.","USPTO")</f>
        <v>0.0</v>
      </c>
      <c r="J710" s="2" t="n">
        <f>HYPERLINK("https://image-ppubs.uspto.gov/dirsearch-public/print/downloadPdf/20220071442","USPTO PDF")</f>
        <v>0.0</v>
      </c>
      <c r="K710" s="2" t="n">
        <f>HYPERLINK("https://sectors.patentforecast.com/pmd/US20220071442","PMD")</f>
        <v>0.0</v>
      </c>
      <c r="L710" s="2" t="n">
        <f>HYPERLINK("https://globaldossier.uspto.gov/result/application/US/17470782/1","US20220071442")</f>
        <v>0.0</v>
      </c>
      <c r="M710" t="s">
        <v>4981</v>
      </c>
      <c r="N710" t="s">
        <v>4982</v>
      </c>
      <c r="O710" t="s">
        <v>4983</v>
      </c>
      <c r="P710" t="s">
        <v>4984</v>
      </c>
      <c r="Q710" s="3" t="n">
        <v>44448.0</v>
      </c>
      <c r="R710" s="3" t="n">
        <v>44630.0</v>
      </c>
      <c r="S710" s="3" t="n">
        <v>44631.18858642361</v>
      </c>
      <c r="T710" s="3" t="n">
        <v>44719.59401037037</v>
      </c>
      <c r="U710" t="s">
        <v>31</v>
      </c>
      <c r="V710" t="s">
        <v>4985</v>
      </c>
    </row>
    <row r="711">
      <c r="A711" t="s">
        <v>22</v>
      </c>
      <c r="B711" t="s">
        <v>4986</v>
      </c>
      <c r="C711" t="s">
        <v>24</v>
      </c>
      <c r="D711" t="s">
        <v>69</v>
      </c>
      <c r="E711" t="s">
        <v>4987</v>
      </c>
      <c r="F711" s="2" t="n">
        <f>HYPERLINK("https://patents.google.com/patent/US20220071428","Google")</f>
        <v>0.0</v>
      </c>
      <c r="G711" s="2" t="n">
        <f>HYPERLINK("https://patentcenter.uspto.gov/applications/17017158","Patent Center")</f>
        <v>0.0</v>
      </c>
      <c r="H711" s="2" t="n">
        <f>HYPERLINK("https://worldwide.espacenet.com/patent/search?q=US20220071428","Espacenet")</f>
        <v>0.0</v>
      </c>
      <c r="I711" s="2" t="n">
        <f>HYPERLINK("https://ppubs.uspto.gov/pubwebapp/external.html?q=20220071428.pn.","USPTO")</f>
        <v>0.0</v>
      </c>
      <c r="J711" s="2" t="n">
        <f>HYPERLINK("https://image-ppubs.uspto.gov/dirsearch-public/print/downloadPdf/20220071428","USPTO PDF")</f>
        <v>0.0</v>
      </c>
      <c r="K711" s="2" t="n">
        <f>HYPERLINK("https://sectors.patentforecast.com/pmd/US20220071428","PMD")</f>
        <v>0.0</v>
      </c>
      <c r="L711" s="2" t="n">
        <f>HYPERLINK("https://globaldossier.uspto.gov/result/application/US/17017158/1","US20220071428")</f>
        <v>0.0</v>
      </c>
      <c r="M711" t="s">
        <v>4988</v>
      </c>
      <c r="N711" t="s">
        <v>4989</v>
      </c>
      <c r="O711" t="s">
        <v>4990</v>
      </c>
      <c r="P711" t="s">
        <v>4991</v>
      </c>
      <c r="Q711" s="3" t="n">
        <v>44084.0</v>
      </c>
      <c r="R711" s="3" t="n">
        <v>44630.0</v>
      </c>
      <c r="S711" s="3" t="n">
        <v>44631.18858642361</v>
      </c>
      <c r="T711" s="3" t="n">
        <v>44719.5940633912</v>
      </c>
      <c r="U711" t="s">
        <v>4992</v>
      </c>
      <c r="V711" t="s">
        <v>4993</v>
      </c>
    </row>
    <row r="712">
      <c r="A712" t="s">
        <v>22</v>
      </c>
      <c r="B712" t="s">
        <v>4994</v>
      </c>
      <c r="C712" t="s">
        <v>24</v>
      </c>
      <c r="D712" t="s">
        <v>204</v>
      </c>
      <c r="E712" t="s">
        <v>4995</v>
      </c>
      <c r="F712" s="2" t="n">
        <f>HYPERLINK("https://patents.google.com/patent/US20220071415","Google")</f>
        <v>0.0</v>
      </c>
      <c r="G712" s="2" t="n">
        <f>HYPERLINK("https://patentcenter.uspto.gov/applications/17315558","Patent Center")</f>
        <v>0.0</v>
      </c>
      <c r="H712" s="2" t="n">
        <f>HYPERLINK("https://worldwide.espacenet.com/patent/search?q=US20220071415","Espacenet")</f>
        <v>0.0</v>
      </c>
      <c r="I712" s="2" t="n">
        <f>HYPERLINK("https://ppubs.uspto.gov/pubwebapp/external.html?q=20220071415.pn.","USPTO")</f>
        <v>0.0</v>
      </c>
      <c r="J712" s="2" t="n">
        <f>HYPERLINK("https://image-ppubs.uspto.gov/dirsearch-public/print/downloadPdf/20220071415","USPTO PDF")</f>
        <v>0.0</v>
      </c>
      <c r="K712" s="2" t="n">
        <f>HYPERLINK("https://sectors.patentforecast.com/pmd/US20220071415","PMD")</f>
        <v>0.0</v>
      </c>
      <c r="L712" s="2" t="n">
        <f>HYPERLINK("https://globaldossier.uspto.gov/result/application/US/17315558/1","US20220071415")</f>
        <v>0.0</v>
      </c>
      <c r="M712" t="s">
        <v>4996</v>
      </c>
      <c r="N712" t="s">
        <v>4577</v>
      </c>
      <c r="O712" t="s">
        <v>4578</v>
      </c>
      <c r="P712" t="s">
        <v>4821</v>
      </c>
      <c r="Q712" s="3" t="n">
        <v>44326.0</v>
      </c>
      <c r="R712" s="3" t="n">
        <v>44630.0</v>
      </c>
      <c r="S712" s="3" t="n">
        <v>44631.18858642361</v>
      </c>
      <c r="T712" s="3" t="n">
        <v>44719.594184444446</v>
      </c>
      <c r="U712" t="s">
        <v>31</v>
      </c>
      <c r="V712" t="s">
        <v>4997</v>
      </c>
    </row>
    <row r="713">
      <c r="A713" t="s">
        <v>22</v>
      </c>
      <c r="B713" t="s">
        <v>4998</v>
      </c>
      <c r="C713" t="s">
        <v>24</v>
      </c>
      <c r="D713" t="s">
        <v>100</v>
      </c>
      <c r="E713" t="s">
        <v>4999</v>
      </c>
      <c r="F713" s="2" t="n">
        <f>HYPERLINK("https://patents.google.com/patent/US20220071325","Google")</f>
        <v>0.0</v>
      </c>
      <c r="G713" s="2" t="n">
        <f>HYPERLINK("https://patentcenter.uspto.gov/applications/17190299","Patent Center")</f>
        <v>0.0</v>
      </c>
      <c r="H713" s="2" t="n">
        <f>HYPERLINK("https://worldwide.espacenet.com/patent/search?q=US20220071325","Espacenet")</f>
        <v>0.0</v>
      </c>
      <c r="I713" s="2" t="n">
        <f>HYPERLINK("https://ppubs.uspto.gov/pubwebapp/external.html?q=20220071325.pn.","USPTO")</f>
        <v>0.0</v>
      </c>
      <c r="J713" s="2" t="n">
        <f>HYPERLINK("https://image-ppubs.uspto.gov/dirsearch-public/print/downloadPdf/20220071325","USPTO PDF")</f>
        <v>0.0</v>
      </c>
      <c r="K713" s="2" t="n">
        <f>HYPERLINK("https://sectors.patentforecast.com/pmd/US20220071325","PMD")</f>
        <v>0.0</v>
      </c>
      <c r="L713" s="2" t="n">
        <f>HYPERLINK("https://globaldossier.uspto.gov/result/application/US/17190299/1","US20220071325")</f>
        <v>0.0</v>
      </c>
      <c r="M713" t="s">
        <v>5000</v>
      </c>
      <c r="N713" t="s">
        <v>5001</v>
      </c>
      <c r="O713" t="s">
        <v>5001</v>
      </c>
      <c r="P713" t="s">
        <v>5002</v>
      </c>
      <c r="Q713" s="3" t="n">
        <v>44257.0</v>
      </c>
      <c r="R713" s="3" t="n">
        <v>44630.0</v>
      </c>
      <c r="S713" s="3" t="n">
        <v>44631.18788760417</v>
      </c>
      <c r="T713" s="3" t="n">
        <v>44672.44467265046</v>
      </c>
      <c r="U713" t="s">
        <v>31</v>
      </c>
      <c r="V713" t="s">
        <v>5003</v>
      </c>
    </row>
    <row r="714">
      <c r="A714" t="s">
        <v>22</v>
      </c>
      <c r="B714" t="s">
        <v>5004</v>
      </c>
      <c r="C714" t="s">
        <v>24</v>
      </c>
      <c r="D714" t="s">
        <v>69</v>
      </c>
      <c r="E714" t="s">
        <v>5005</v>
      </c>
      <c r="F714" s="2" t="n">
        <f>HYPERLINK("https://patents.google.com/patent/US20220071320","Google")</f>
        <v>0.0</v>
      </c>
      <c r="G714" s="2" t="n">
        <f>HYPERLINK("https://patentcenter.uspto.gov/applications/17208334","Patent Center")</f>
        <v>0.0</v>
      </c>
      <c r="H714" s="2" t="n">
        <f>HYPERLINK("https://worldwide.espacenet.com/patent/search?q=US20220071320","Espacenet")</f>
        <v>0.0</v>
      </c>
      <c r="I714" s="2" t="n">
        <f>HYPERLINK("https://ppubs.uspto.gov/pubwebapp/external.html?q=20220071320.pn.","USPTO")</f>
        <v>0.0</v>
      </c>
      <c r="J714" s="2" t="n">
        <f>HYPERLINK("https://image-ppubs.uspto.gov/dirsearch-public/print/downloadPdf/20220071320","USPTO PDF")</f>
        <v>0.0</v>
      </c>
      <c r="K714" s="2" t="n">
        <f>HYPERLINK("https://sectors.patentforecast.com/pmd/US20220071320","PMD")</f>
        <v>0.0</v>
      </c>
      <c r="L714" s="2" t="n">
        <f>HYPERLINK("https://globaldossier.uspto.gov/result/application/US/17208334/1","US20220071320")</f>
        <v>0.0</v>
      </c>
      <c r="M714" t="s">
        <v>5006</v>
      </c>
      <c r="N714" t="s">
        <v>5007</v>
      </c>
      <c r="O714" t="s">
        <v>5007</v>
      </c>
      <c r="P714" t="s">
        <v>5008</v>
      </c>
      <c r="Q714" s="3" t="n">
        <v>44277.0</v>
      </c>
      <c r="R714" s="3" t="n">
        <v>44630.0</v>
      </c>
      <c r="S714" s="3" t="n">
        <v>44631.18858642361</v>
      </c>
      <c r="T714" s="3" t="n">
        <v>44658.61965958333</v>
      </c>
      <c r="U714" t="s">
        <v>5009</v>
      </c>
      <c r="V714" t="s">
        <v>5010</v>
      </c>
    </row>
    <row r="715">
      <c r="A715" t="s">
        <v>22</v>
      </c>
      <c r="B715" t="s">
        <v>5011</v>
      </c>
      <c r="C715" t="s">
        <v>24</v>
      </c>
      <c r="D715" t="s">
        <v>69</v>
      </c>
      <c r="E715" t="s">
        <v>5012</v>
      </c>
      <c r="F715" s="2" t="n">
        <f>HYPERLINK("https://patents.google.com/patent/US20220071319","Google")</f>
        <v>0.0</v>
      </c>
      <c r="G715" s="2" t="n">
        <f>HYPERLINK("https://patentcenter.uspto.gov/applications/17159303","Patent Center")</f>
        <v>0.0</v>
      </c>
      <c r="H715" s="2" t="n">
        <f>HYPERLINK("https://worldwide.espacenet.com/patent/search?q=US20220071319","Espacenet")</f>
        <v>0.0</v>
      </c>
      <c r="I715" s="2" t="n">
        <f>HYPERLINK("https://ppubs.uspto.gov/pubwebapp/external.html?q=20220071319.pn.","USPTO")</f>
        <v>0.0</v>
      </c>
      <c r="J715" s="2" t="n">
        <f>HYPERLINK("https://image-ppubs.uspto.gov/dirsearch-public/print/downloadPdf/20220071319","USPTO PDF")</f>
        <v>0.0</v>
      </c>
      <c r="K715" s="2" t="n">
        <f>HYPERLINK("https://sectors.patentforecast.com/pmd/US20220071319","PMD")</f>
        <v>0.0</v>
      </c>
      <c r="L715" s="2" t="n">
        <f>HYPERLINK("https://globaldossier.uspto.gov/result/application/US/17159303/1","US20220071319")</f>
        <v>0.0</v>
      </c>
      <c r="M715" t="s">
        <v>5013</v>
      </c>
      <c r="N715" t="s">
        <v>5014</v>
      </c>
      <c r="O715" t="s">
        <v>5014</v>
      </c>
      <c r="P715" t="s">
        <v>5015</v>
      </c>
      <c r="Q715" s="3" t="n">
        <v>44223.0</v>
      </c>
      <c r="R715" s="3" t="n">
        <v>44630.0</v>
      </c>
      <c r="S715" s="3" t="n">
        <v>44631.18858642361</v>
      </c>
      <c r="T715" s="3" t="n">
        <v>44658.61537637732</v>
      </c>
      <c r="U715" t="s">
        <v>31</v>
      </c>
      <c r="V715" t="s">
        <v>5016</v>
      </c>
    </row>
    <row r="716">
      <c r="A716" t="s">
        <v>22</v>
      </c>
      <c r="B716" t="s">
        <v>5017</v>
      </c>
      <c r="C716" t="s">
        <v>24</v>
      </c>
      <c r="D716" t="s">
        <v>69</v>
      </c>
      <c r="E716" t="s">
        <v>5018</v>
      </c>
      <c r="F716" s="2" t="n">
        <f>HYPERLINK("https://patents.google.com/patent/US20220070676","Google")</f>
        <v>0.0</v>
      </c>
      <c r="G716" s="2" t="n">
        <f>HYPERLINK("https://patentcenter.uspto.gov/applications/17458628","Patent Center")</f>
        <v>0.0</v>
      </c>
      <c r="H716" s="2" t="n">
        <f>HYPERLINK("https://worldwide.espacenet.com/patent/search?q=US20220070676","Espacenet")</f>
        <v>0.0</v>
      </c>
      <c r="I716" s="2" t="n">
        <f>HYPERLINK("https://ppubs.uspto.gov/pubwebapp/external.html?q=20220070676.pn.","USPTO")</f>
        <v>0.0</v>
      </c>
      <c r="J716" s="2" t="n">
        <f>HYPERLINK("https://image-ppubs.uspto.gov/dirsearch-public/print/downloadPdf/20220070676","USPTO PDF")</f>
        <v>0.0</v>
      </c>
      <c r="K716" s="2" t="n">
        <f>HYPERLINK("https://sectors.patentforecast.com/pmd/US20220070676","PMD")</f>
        <v>0.0</v>
      </c>
      <c r="L716" s="2" t="n">
        <f>HYPERLINK("https://globaldossier.uspto.gov/result/application/US/17458628/1","US20220070676")</f>
        <v>0.0</v>
      </c>
      <c r="M716" t="s">
        <v>5019</v>
      </c>
      <c r="N716" t="s">
        <v>5020</v>
      </c>
      <c r="O716" t="s">
        <v>5021</v>
      </c>
      <c r="P716" t="s">
        <v>5022</v>
      </c>
      <c r="Q716" s="3" t="n">
        <v>44435.0</v>
      </c>
      <c r="R716" s="3" t="n">
        <v>44623.0</v>
      </c>
      <c r="S716" s="3" t="n">
        <v>44643.23911607639</v>
      </c>
      <c r="T716" s="3" t="n">
        <v>44672.470537719906</v>
      </c>
      <c r="U716" t="s">
        <v>5023</v>
      </c>
      <c r="V716" t="s">
        <v>5024</v>
      </c>
    </row>
    <row r="717">
      <c r="A717" t="s">
        <v>22</v>
      </c>
      <c r="B717" t="s">
        <v>5025</v>
      </c>
      <c r="C717" t="s">
        <v>24</v>
      </c>
      <c r="D717" t="s">
        <v>100</v>
      </c>
      <c r="E717" t="s">
        <v>5026</v>
      </c>
      <c r="F717" s="2" t="n">
        <f>HYPERLINK("https://patents.google.com/patent/US20220068625","Google")</f>
        <v>0.0</v>
      </c>
      <c r="G717" s="2" t="n">
        <f>HYPERLINK("https://patentcenter.uspto.gov/applications/17195438","Patent Center")</f>
        <v>0.0</v>
      </c>
      <c r="H717" s="2" t="n">
        <f>HYPERLINK("https://worldwide.espacenet.com/patent/search?q=US20220068625","Espacenet")</f>
        <v>0.0</v>
      </c>
      <c r="I717" s="2" t="n">
        <f>HYPERLINK("https://ppubs.uspto.gov/pubwebapp/external.html?q=20220068625.pn.","USPTO")</f>
        <v>0.0</v>
      </c>
      <c r="J717" s="2" t="n">
        <f>HYPERLINK("https://image-ppubs.uspto.gov/dirsearch-public/print/downloadPdf/20220068625","USPTO PDF")</f>
        <v>0.0</v>
      </c>
      <c r="K717" s="2" t="n">
        <f>HYPERLINK("https://sectors.patentforecast.com/pmd/US20220068625","PMD")</f>
        <v>0.0</v>
      </c>
      <c r="L717" s="2" t="n">
        <f>HYPERLINK("https://globaldossier.uspto.gov/result/application/US/17195438/1","US20220068625")</f>
        <v>0.0</v>
      </c>
      <c r="M717" t="s">
        <v>5027</v>
      </c>
      <c r="N717" t="s">
        <v>5028</v>
      </c>
      <c r="O717" t="s">
        <v>5029</v>
      </c>
      <c r="P717" t="s">
        <v>5030</v>
      </c>
      <c r="Q717" s="3" t="n">
        <v>44263.0</v>
      </c>
      <c r="R717" s="3" t="n">
        <v>44623.0</v>
      </c>
      <c r="S717" s="3" t="n">
        <v>44624.18880285879</v>
      </c>
      <c r="T717" s="3" t="n">
        <v>44719.59423376157</v>
      </c>
      <c r="U717" t="s">
        <v>31</v>
      </c>
      <c r="V717" t="s">
        <v>5031</v>
      </c>
    </row>
    <row r="718">
      <c r="A718" t="s">
        <v>22</v>
      </c>
      <c r="B718" t="s">
        <v>5032</v>
      </c>
      <c r="C718" t="s">
        <v>24</v>
      </c>
      <c r="D718" t="s">
        <v>43</v>
      </c>
      <c r="E718" t="s">
        <v>5033</v>
      </c>
      <c r="F718" s="2" t="n">
        <f>HYPERLINK("https://patents.google.com/patent/US20220068500","Google")</f>
        <v>0.0</v>
      </c>
      <c r="G718" s="2" t="n">
        <f>HYPERLINK("https://patentcenter.uspto.gov/applications/17463545","Patent Center")</f>
        <v>0.0</v>
      </c>
      <c r="H718" s="2" t="n">
        <f>HYPERLINK("https://worldwide.espacenet.com/patent/search?q=US20220068500","Espacenet")</f>
        <v>0.0</v>
      </c>
      <c r="I718" s="2" t="n">
        <f>HYPERLINK("https://ppubs.uspto.gov/pubwebapp/external.html?q=20220068500.pn.","USPTO")</f>
        <v>0.0</v>
      </c>
      <c r="J718" s="2" t="n">
        <f>HYPERLINK("https://image-ppubs.uspto.gov/dirsearch-public/print/downloadPdf/20220068500","USPTO PDF")</f>
        <v>0.0</v>
      </c>
      <c r="K718" s="2" t="n">
        <f>HYPERLINK("https://sectors.patentforecast.com/pmd/US20220068500","PMD")</f>
        <v>0.0</v>
      </c>
      <c r="L718" s="2" t="n">
        <f>HYPERLINK("https://globaldossier.uspto.gov/result/application/US/17463545/1","US20220068500")</f>
        <v>0.0</v>
      </c>
      <c r="M718" t="s">
        <v>5034</v>
      </c>
      <c r="N718" t="s">
        <v>5035</v>
      </c>
      <c r="O718" t="s">
        <v>5036</v>
      </c>
      <c r="P718" t="s">
        <v>5037</v>
      </c>
      <c r="Q718" s="3" t="n">
        <v>44439.0</v>
      </c>
      <c r="R718" s="3" t="n">
        <v>44623.0</v>
      </c>
      <c r="S718" s="3" t="n">
        <v>44629.19235972222</v>
      </c>
      <c r="T718" s="3" t="n">
        <v>44719.594359131945</v>
      </c>
      <c r="U718" t="s">
        <v>5038</v>
      </c>
      <c r="V718" t="s">
        <v>5039</v>
      </c>
    </row>
    <row r="719">
      <c r="A719" t="s">
        <v>22</v>
      </c>
      <c r="B719" t="s">
        <v>5040</v>
      </c>
      <c r="C719" t="s">
        <v>312</v>
      </c>
      <c r="D719" t="s">
        <v>976</v>
      </c>
      <c r="E719" t="s">
        <v>5041</v>
      </c>
      <c r="F719" s="2" t="n">
        <f>HYPERLINK("https://patents.google.com/patent/US20220068499","Google")</f>
        <v>0.0</v>
      </c>
      <c r="G719" s="2" t="n">
        <f>HYPERLINK("https://patentcenter.uspto.gov/applications/17009043","Patent Center")</f>
        <v>0.0</v>
      </c>
      <c r="H719" s="2" t="n">
        <f>HYPERLINK("https://worldwide.espacenet.com/patent/search?q=US20220068499","Espacenet")</f>
        <v>0.0</v>
      </c>
      <c r="I719" s="2" t="n">
        <f>HYPERLINK("https://ppubs.uspto.gov/pubwebapp/external.html?q=20220068499.pn.","USPTO")</f>
        <v>0.0</v>
      </c>
      <c r="J719" s="2" t="n">
        <f>HYPERLINK("https://image-ppubs.uspto.gov/dirsearch-public/print/downloadPdf/20220068499","USPTO PDF")</f>
        <v>0.0</v>
      </c>
      <c r="K719" s="2" t="n">
        <f>HYPERLINK("https://sectors.patentforecast.com/pmd/US20220068499","PMD")</f>
        <v>0.0</v>
      </c>
      <c r="L719" s="2" t="n">
        <f>HYPERLINK("https://globaldossier.uspto.gov/result/application/US/17009043/1","US20220068499")</f>
        <v>0.0</v>
      </c>
      <c r="M719" t="s">
        <v>5042</v>
      </c>
      <c r="N719" t="s">
        <v>947</v>
      </c>
      <c r="O719" t="s">
        <v>948</v>
      </c>
      <c r="P719" t="s">
        <v>5043</v>
      </c>
      <c r="Q719" s="3" t="n">
        <v>44075.0</v>
      </c>
      <c r="R719" s="3" t="n">
        <v>44623.0</v>
      </c>
      <c r="S719" s="3" t="n">
        <v>44629.19235972222</v>
      </c>
      <c r="T719" s="3" t="n">
        <v>44719.59472601852</v>
      </c>
      <c r="U719" t="s">
        <v>31</v>
      </c>
      <c r="V719" t="s">
        <v>5044</v>
      </c>
    </row>
    <row r="720">
      <c r="A720" t="s">
        <v>22</v>
      </c>
      <c r="B720" t="s">
        <v>5045</v>
      </c>
      <c r="C720" t="s">
        <v>24</v>
      </c>
      <c r="D720" t="s">
        <v>25</v>
      </c>
      <c r="E720" t="s">
        <v>5046</v>
      </c>
      <c r="F720" s="2" t="n">
        <f>HYPERLINK("https://patents.google.com/patent/US20220068490","Google")</f>
        <v>0.0</v>
      </c>
      <c r="G720" s="2" t="n">
        <f>HYPERLINK("https://patentcenter.uspto.gov/applications/17409808","Patent Center")</f>
        <v>0.0</v>
      </c>
      <c r="H720" s="2" t="n">
        <f>HYPERLINK("https://worldwide.espacenet.com/patent/search?q=US20220068490","Espacenet")</f>
        <v>0.0</v>
      </c>
      <c r="I720" s="2" t="n">
        <f>HYPERLINK("https://ppubs.uspto.gov/pubwebapp/external.html?q=20220068490.pn.","USPTO")</f>
        <v>0.0</v>
      </c>
      <c r="J720" s="2" t="n">
        <f>HYPERLINK("https://image-ppubs.uspto.gov/dirsearch-public/print/downloadPdf/20220068490","USPTO PDF")</f>
        <v>0.0</v>
      </c>
      <c r="K720" s="2" t="n">
        <f>HYPERLINK("https://sectors.patentforecast.com/pmd/US20220068490","PMD")</f>
        <v>0.0</v>
      </c>
      <c r="L720" s="2" t="n">
        <f>HYPERLINK("https://globaldossier.uspto.gov/result/application/US/17409808/1","US20220068490")</f>
        <v>0.0</v>
      </c>
      <c r="M720" t="s">
        <v>5047</v>
      </c>
      <c r="N720" t="s">
        <v>5048</v>
      </c>
      <c r="O720" t="s">
        <v>5049</v>
      </c>
      <c r="P720" t="s">
        <v>5050</v>
      </c>
      <c r="Q720" s="3" t="n">
        <v>44432.0</v>
      </c>
      <c r="R720" s="3" t="n">
        <v>44623.0</v>
      </c>
      <c r="S720" s="3" t="n">
        <v>44624.18880285879</v>
      </c>
      <c r="T720" s="3" t="n">
        <v>44719.59502479167</v>
      </c>
      <c r="U720" t="s">
        <v>5051</v>
      </c>
      <c r="V720" t="s">
        <v>5052</v>
      </c>
    </row>
    <row r="721">
      <c r="A721" t="s">
        <v>22</v>
      </c>
      <c r="B721" t="s">
        <v>5053</v>
      </c>
      <c r="C721" t="s">
        <v>24</v>
      </c>
      <c r="D721" t="s">
        <v>25</v>
      </c>
      <c r="E721" t="s">
        <v>5054</v>
      </c>
      <c r="F721" s="2" t="n">
        <f>HYPERLINK("https://patents.google.com/patent/US20220068480","Google")</f>
        <v>0.0</v>
      </c>
      <c r="G721" s="2" t="n">
        <f>HYPERLINK("https://patentcenter.uspto.gov/applications/17411102","Patent Center")</f>
        <v>0.0</v>
      </c>
      <c r="H721" s="2" t="n">
        <f>HYPERLINK("https://worldwide.espacenet.com/patent/search?q=US20220068480","Espacenet")</f>
        <v>0.0</v>
      </c>
      <c r="I721" s="2" t="n">
        <f>HYPERLINK("https://ppubs.uspto.gov/pubwebapp/external.html?q=20220068480.pn.","USPTO")</f>
        <v>0.0</v>
      </c>
      <c r="J721" s="2" t="n">
        <f>HYPERLINK("https://image-ppubs.uspto.gov/dirsearch-public/print/downloadPdf/20220068480","USPTO PDF")</f>
        <v>0.0</v>
      </c>
      <c r="K721" s="2" t="n">
        <f>HYPERLINK("https://sectors.patentforecast.com/pmd/US20220068480","PMD")</f>
        <v>0.0</v>
      </c>
      <c r="L721" s="2" t="n">
        <f>HYPERLINK("https://globaldossier.uspto.gov/result/application/US/17411102/1","US20220068480")</f>
        <v>0.0</v>
      </c>
      <c r="M721" t="s">
        <v>5055</v>
      </c>
      <c r="N721" t="s">
        <v>5056</v>
      </c>
      <c r="O721" t="s">
        <v>5057</v>
      </c>
      <c r="P721" t="s">
        <v>5058</v>
      </c>
      <c r="Q721" s="3" t="n">
        <v>44433.0</v>
      </c>
      <c r="R721" s="3" t="n">
        <v>44623.0</v>
      </c>
      <c r="S721" s="3" t="n">
        <v>44624.18880285879</v>
      </c>
      <c r="T721" s="3" t="n">
        <v>44719.59533966435</v>
      </c>
      <c r="U721" t="s">
        <v>5059</v>
      </c>
      <c r="V721" t="s">
        <v>5060</v>
      </c>
    </row>
    <row r="722">
      <c r="A722" t="s">
        <v>22</v>
      </c>
      <c r="B722" t="s">
        <v>5061</v>
      </c>
      <c r="C722" t="s">
        <v>24</v>
      </c>
      <c r="D722" t="s">
        <v>69</v>
      </c>
      <c r="E722" t="s">
        <v>5062</v>
      </c>
      <c r="F722" s="2" t="n">
        <f>HYPERLINK("https://patents.google.com/patent/US20220068241","Google")</f>
        <v>0.0</v>
      </c>
      <c r="G722" s="2" t="n">
        <f>HYPERLINK("https://patentcenter.uspto.gov/applications/17515898","Patent Center")</f>
        <v>0.0</v>
      </c>
      <c r="H722" s="2" t="n">
        <f>HYPERLINK("https://worldwide.espacenet.com/patent/search?q=US20220068241","Espacenet")</f>
        <v>0.0</v>
      </c>
      <c r="I722" s="2" t="n">
        <f>HYPERLINK("https://ppubs.uspto.gov/pubwebapp/external.html?q=20220068241.pn.","USPTO")</f>
        <v>0.0</v>
      </c>
      <c r="J722" s="2" t="n">
        <f>HYPERLINK("https://image-ppubs.uspto.gov/dirsearch-public/print/downloadPdf/20220068241","USPTO PDF")</f>
        <v>0.0</v>
      </c>
      <c r="K722" s="2" t="n">
        <f>HYPERLINK("https://sectors.patentforecast.com/pmd/US20220068241","PMD")</f>
        <v>0.0</v>
      </c>
      <c r="L722" s="2" t="n">
        <f>HYPERLINK("https://globaldossier.uspto.gov/result/application/US/17515898/1","US20220068241")</f>
        <v>0.0</v>
      </c>
      <c r="M722" t="s">
        <v>5063</v>
      </c>
      <c r="N722" t="s">
        <v>5064</v>
      </c>
      <c r="O722" t="s">
        <v>5064</v>
      </c>
      <c r="P722" t="s">
        <v>5065</v>
      </c>
      <c r="Q722" s="3" t="n">
        <v>44501.0</v>
      </c>
      <c r="R722" s="3" t="n">
        <v>44623.0</v>
      </c>
      <c r="S722" s="3" t="n">
        <v>44624.18880285879</v>
      </c>
      <c r="T722" s="3" t="n">
        <v>44719.59547862269</v>
      </c>
      <c r="U722" t="s">
        <v>5066</v>
      </c>
      <c r="V722" t="s">
        <v>5067</v>
      </c>
    </row>
    <row r="723">
      <c r="A723" t="s">
        <v>22</v>
      </c>
      <c r="B723" t="s">
        <v>5068</v>
      </c>
      <c r="C723" t="s">
        <v>24</v>
      </c>
      <c r="D723" t="s">
        <v>69</v>
      </c>
      <c r="E723" t="s">
        <v>5069</v>
      </c>
      <c r="F723" s="2" t="n">
        <f>HYPERLINK("https://patents.google.com/patent/US20220068078","Google")</f>
        <v>0.0</v>
      </c>
      <c r="G723" s="2" t="n">
        <f>HYPERLINK("https://patentcenter.uspto.gov/applications/17399080","Patent Center")</f>
        <v>0.0</v>
      </c>
      <c r="H723" s="2" t="n">
        <f>HYPERLINK("https://worldwide.espacenet.com/patent/search?q=US20220068078","Espacenet")</f>
        <v>0.0</v>
      </c>
      <c r="I723" s="2" t="n">
        <f>HYPERLINK("https://ppubs.uspto.gov/pubwebapp/external.html?q=20220068078.pn.","USPTO")</f>
        <v>0.0</v>
      </c>
      <c r="J723" s="2" t="n">
        <f>HYPERLINK("https://image-ppubs.uspto.gov/dirsearch-public/print/downloadPdf/20220068078","USPTO PDF")</f>
        <v>0.0</v>
      </c>
      <c r="K723" s="2" t="n">
        <f>HYPERLINK("https://sectors.patentforecast.com/pmd/US20220068078","PMD")</f>
        <v>0.0</v>
      </c>
      <c r="L723" s="2" t="n">
        <f>HYPERLINK("https://globaldossier.uspto.gov/result/application/US/17399080/1","US20220068078")</f>
        <v>0.0</v>
      </c>
      <c r="M723" t="s">
        <v>5070</v>
      </c>
      <c r="N723" t="s">
        <v>5071</v>
      </c>
      <c r="O723" t="s">
        <v>5072</v>
      </c>
      <c r="P723" t="s">
        <v>5073</v>
      </c>
      <c r="Q723" s="3" t="n">
        <v>44419.0</v>
      </c>
      <c r="R723" s="3" t="n">
        <v>44623.0</v>
      </c>
      <c r="S723" s="3" t="n">
        <v>44624.18880285879</v>
      </c>
      <c r="T723" s="3" t="n">
        <v>44719.59557707176</v>
      </c>
      <c r="U723" t="s">
        <v>5074</v>
      </c>
      <c r="V723" t="s">
        <v>5075</v>
      </c>
    </row>
    <row r="724">
      <c r="A724" t="s">
        <v>22</v>
      </c>
      <c r="B724" t="s">
        <v>5076</v>
      </c>
      <c r="C724" t="s">
        <v>24</v>
      </c>
      <c r="D724" t="s">
        <v>69</v>
      </c>
      <c r="E724" t="s">
        <v>5077</v>
      </c>
      <c r="F724" s="2" t="n">
        <f>HYPERLINK("https://patents.google.com/patent/US20220068077","Google")</f>
        <v>0.0</v>
      </c>
      <c r="G724" s="2" t="n">
        <f>HYPERLINK("https://patentcenter.uspto.gov/applications/17412245","Patent Center")</f>
        <v>0.0</v>
      </c>
      <c r="H724" s="2" t="n">
        <f>HYPERLINK("https://worldwide.espacenet.com/patent/search?q=US20220068077","Espacenet")</f>
        <v>0.0</v>
      </c>
      <c r="I724" s="2" t="n">
        <f>HYPERLINK("https://ppubs.uspto.gov/pubwebapp/external.html?q=20220068077.pn.","USPTO")</f>
        <v>0.0</v>
      </c>
      <c r="J724" s="2" t="n">
        <f>HYPERLINK("https://image-ppubs.uspto.gov/dirsearch-public/print/downloadPdf/20220068077","USPTO PDF")</f>
        <v>0.0</v>
      </c>
      <c r="K724" s="2" t="n">
        <f>HYPERLINK("https://sectors.patentforecast.com/pmd/US20220068077","PMD")</f>
        <v>0.0</v>
      </c>
      <c r="L724" s="2" t="n">
        <f>HYPERLINK("https://globaldossier.uspto.gov/result/application/US/17412245/1","US20220068077")</f>
        <v>0.0</v>
      </c>
      <c r="M724" t="s">
        <v>5078</v>
      </c>
      <c r="N724" t="s">
        <v>5079</v>
      </c>
      <c r="O724" t="s">
        <v>5080</v>
      </c>
      <c r="P724" t="s">
        <v>5081</v>
      </c>
      <c r="Q724" s="3" t="n">
        <v>44433.0</v>
      </c>
      <c r="R724" s="3" t="n">
        <v>44623.0</v>
      </c>
      <c r="S724" s="3" t="n">
        <v>44624.187757708336</v>
      </c>
      <c r="T724" s="3" t="n">
        <v>44672.365994513886</v>
      </c>
      <c r="U724" t="s">
        <v>5082</v>
      </c>
      <c r="V724" t="s">
        <v>5083</v>
      </c>
    </row>
    <row r="725">
      <c r="A725" t="s">
        <v>22</v>
      </c>
      <c r="B725" t="s">
        <v>5084</v>
      </c>
      <c r="C725" t="s">
        <v>24</v>
      </c>
      <c r="D725" t="s">
        <v>25</v>
      </c>
      <c r="E725" t="s">
        <v>5085</v>
      </c>
      <c r="F725" s="2" t="n">
        <f>HYPERLINK("https://patents.google.com/patent/US20220067921","Google")</f>
        <v>0.0</v>
      </c>
      <c r="G725" s="2" t="n">
        <f>HYPERLINK("https://patentcenter.uspto.gov/applications/17006944","Patent Center")</f>
        <v>0.0</v>
      </c>
      <c r="H725" s="2" t="n">
        <f>HYPERLINK("https://worldwide.espacenet.com/patent/search?q=US20220067921","Espacenet")</f>
        <v>0.0</v>
      </c>
      <c r="I725" s="2" t="n">
        <f>HYPERLINK("https://ppubs.uspto.gov/pubwebapp/external.html?q=20220067921.pn.","USPTO")</f>
        <v>0.0</v>
      </c>
      <c r="J725" s="2" t="n">
        <f>HYPERLINK("https://image-ppubs.uspto.gov/dirsearch-public/print/downloadPdf/20220067921","USPTO PDF")</f>
        <v>0.0</v>
      </c>
      <c r="K725" s="2" t="n">
        <f>HYPERLINK("https://sectors.patentforecast.com/pmd/US20220067921","PMD")</f>
        <v>0.0</v>
      </c>
      <c r="L725" s="2" t="n">
        <f>HYPERLINK("https://globaldossier.uspto.gov/result/application/US/17006944/1","US20220067921")</f>
        <v>0.0</v>
      </c>
      <c r="M725" t="s">
        <v>5086</v>
      </c>
      <c r="N725" t="s">
        <v>1384</v>
      </c>
      <c r="O725" t="s">
        <v>1385</v>
      </c>
      <c r="P725" t="s">
        <v>5087</v>
      </c>
      <c r="Q725" s="3" t="n">
        <v>44074.0</v>
      </c>
      <c r="R725" s="3" t="n">
        <v>44623.0</v>
      </c>
      <c r="S725" s="3" t="n">
        <v>44624.18880285879</v>
      </c>
      <c r="T725" s="3" t="n">
        <v>44672.48336493056</v>
      </c>
      <c r="U725" t="s">
        <v>31</v>
      </c>
      <c r="V725" t="s">
        <v>5088</v>
      </c>
    </row>
    <row r="726">
      <c r="A726" t="s">
        <v>22</v>
      </c>
      <c r="B726" t="s">
        <v>5089</v>
      </c>
      <c r="C726" t="s">
        <v>24</v>
      </c>
      <c r="D726" t="s">
        <v>204</v>
      </c>
      <c r="E726" t="s">
        <v>5090</v>
      </c>
      <c r="F726" s="2" t="n">
        <f>HYPERLINK("https://patents.google.com/patent/US20220067756","Google")</f>
        <v>0.0</v>
      </c>
      <c r="G726" s="2" t="n">
        <f>HYPERLINK("https://patentcenter.uspto.gov/applications/17401538","Patent Center")</f>
        <v>0.0</v>
      </c>
      <c r="H726" s="2" t="n">
        <f>HYPERLINK("https://worldwide.espacenet.com/patent/search?q=US20220067756","Espacenet")</f>
        <v>0.0</v>
      </c>
      <c r="I726" s="2" t="n">
        <f>HYPERLINK("https://ppubs.uspto.gov/pubwebapp/external.html?q=20220067756.pn.","USPTO")</f>
        <v>0.0</v>
      </c>
      <c r="J726" s="2" t="n">
        <f>HYPERLINK("https://image-ppubs.uspto.gov/dirsearch-public/print/downloadPdf/20220067756","USPTO PDF")</f>
        <v>0.0</v>
      </c>
      <c r="K726" s="2" t="n">
        <f>HYPERLINK("https://sectors.patentforecast.com/pmd/US20220067756","PMD")</f>
        <v>0.0</v>
      </c>
      <c r="L726" s="2" t="n">
        <f>HYPERLINK("https://globaldossier.uspto.gov/result/application/US/17401538/1","US20220067756")</f>
        <v>0.0</v>
      </c>
      <c r="M726" t="s">
        <v>5091</v>
      </c>
      <c r="N726" t="s">
        <v>5092</v>
      </c>
      <c r="O726" t="s">
        <v>5093</v>
      </c>
      <c r="P726" t="s">
        <v>5094</v>
      </c>
      <c r="Q726" s="3" t="n">
        <v>44421.0</v>
      </c>
      <c r="R726" s="3" t="n">
        <v>44623.0</v>
      </c>
      <c r="S726" s="3" t="n">
        <v>44624.18880285879</v>
      </c>
      <c r="T726" s="3" t="n">
        <v>44719.59567018518</v>
      </c>
      <c r="U726" t="s">
        <v>31</v>
      </c>
      <c r="V726" t="s">
        <v>5095</v>
      </c>
    </row>
    <row r="727">
      <c r="A727" t="s">
        <v>22</v>
      </c>
      <c r="B727" t="s">
        <v>5096</v>
      </c>
      <c r="C727" t="s">
        <v>24</v>
      </c>
      <c r="D727" t="s">
        <v>204</v>
      </c>
      <c r="E727" t="s">
        <v>5097</v>
      </c>
      <c r="F727" s="2" t="n">
        <f>HYPERLINK("https://patents.google.com/patent/US20220067666","Google")</f>
        <v>0.0</v>
      </c>
      <c r="G727" s="2" t="n">
        <f>HYPERLINK("https://patentcenter.uspto.gov/applications/17404565","Patent Center")</f>
        <v>0.0</v>
      </c>
      <c r="H727" s="2" t="n">
        <f>HYPERLINK("https://worldwide.espacenet.com/patent/search?q=US20220067666","Espacenet")</f>
        <v>0.0</v>
      </c>
      <c r="I727" s="2" t="n">
        <f>HYPERLINK("https://ppubs.uspto.gov/pubwebapp/external.html?q=20220067666.pn.","USPTO")</f>
        <v>0.0</v>
      </c>
      <c r="J727" s="2" t="n">
        <f>HYPERLINK("https://image-ppubs.uspto.gov/dirsearch-public/print/downloadPdf/20220067666","USPTO PDF")</f>
        <v>0.0</v>
      </c>
      <c r="K727" s="2" t="n">
        <f>HYPERLINK("https://sectors.patentforecast.com/pmd/US20220067666","PMD")</f>
        <v>0.0</v>
      </c>
      <c r="L727" s="2" t="n">
        <f>HYPERLINK("https://globaldossier.uspto.gov/result/application/US/17404565/1","US20220067666")</f>
        <v>0.0</v>
      </c>
      <c r="M727" t="s">
        <v>5098</v>
      </c>
      <c r="N727" t="s">
        <v>5099</v>
      </c>
      <c r="O727" t="s">
        <v>5100</v>
      </c>
      <c r="P727" t="s">
        <v>5101</v>
      </c>
      <c r="Q727" s="3" t="n">
        <v>44425.0</v>
      </c>
      <c r="R727" s="3" t="n">
        <v>44623.0</v>
      </c>
      <c r="S727" s="3" t="n">
        <v>44624.18880285879</v>
      </c>
      <c r="T727" s="3" t="n">
        <v>44719.59572138889</v>
      </c>
      <c r="U727" t="s">
        <v>5102</v>
      </c>
      <c r="V727" t="s">
        <v>5103</v>
      </c>
    </row>
    <row r="728">
      <c r="A728" t="s">
        <v>22</v>
      </c>
      <c r="B728" t="s">
        <v>5104</v>
      </c>
      <c r="C728" t="s">
        <v>24</v>
      </c>
      <c r="D728" t="s">
        <v>204</v>
      </c>
      <c r="E728" t="s">
        <v>5105</v>
      </c>
      <c r="F728" s="2" t="n">
        <f>HYPERLINK("https://patents.google.com/patent/US20220067662","Google")</f>
        <v>0.0</v>
      </c>
      <c r="G728" s="2" t="n">
        <f>HYPERLINK("https://patentcenter.uspto.gov/applications/17464188","Patent Center")</f>
        <v>0.0</v>
      </c>
      <c r="H728" s="2" t="n">
        <f>HYPERLINK("https://worldwide.espacenet.com/patent/search?q=US20220067662","Espacenet")</f>
        <v>0.0</v>
      </c>
      <c r="I728" s="2" t="n">
        <f>HYPERLINK("https://ppubs.uspto.gov/pubwebapp/external.html?q=20220067662.pn.","USPTO")</f>
        <v>0.0</v>
      </c>
      <c r="J728" s="2" t="n">
        <f>HYPERLINK("https://image-ppubs.uspto.gov/dirsearch-public/print/downloadPdf/20220067662","USPTO PDF")</f>
        <v>0.0</v>
      </c>
      <c r="K728" s="2" t="n">
        <f>HYPERLINK("https://sectors.patentforecast.com/pmd/US20220067662","PMD")</f>
        <v>0.0</v>
      </c>
      <c r="L728" s="2" t="n">
        <f>HYPERLINK("https://globaldossier.uspto.gov/result/application/US/17464188/1","US20220067662")</f>
        <v>0.0</v>
      </c>
      <c r="M728" t="s">
        <v>5106</v>
      </c>
      <c r="N728" t="s">
        <v>5107</v>
      </c>
      <c r="O728" t="s">
        <v>5108</v>
      </c>
      <c r="P728" t="s">
        <v>5109</v>
      </c>
      <c r="Q728" s="3" t="n">
        <v>44440.0</v>
      </c>
      <c r="R728" s="3" t="n">
        <v>44623.0</v>
      </c>
      <c r="S728" s="3" t="n">
        <v>44629.19235972222</v>
      </c>
      <c r="T728" s="3" t="n">
        <v>44719.595764178244</v>
      </c>
      <c r="U728" t="s">
        <v>5110</v>
      </c>
      <c r="V728" t="s">
        <v>5111</v>
      </c>
    </row>
    <row r="729">
      <c r="A729" t="s">
        <v>22</v>
      </c>
      <c r="B729" t="s">
        <v>5112</v>
      </c>
      <c r="C729" t="s">
        <v>24</v>
      </c>
      <c r="D729" t="s">
        <v>204</v>
      </c>
      <c r="E729" t="s">
        <v>5113</v>
      </c>
      <c r="F729" s="2" t="n">
        <f>HYPERLINK("https://patents.google.com/patent/US20220067445","Google")</f>
        <v>0.0</v>
      </c>
      <c r="G729" s="2" t="n">
        <f>HYPERLINK("https://patentcenter.uspto.gov/applications/17465399","Patent Center")</f>
        <v>0.0</v>
      </c>
      <c r="H729" s="2" t="n">
        <f>HYPERLINK("https://worldwide.espacenet.com/patent/search?q=US20220067445","Espacenet")</f>
        <v>0.0</v>
      </c>
      <c r="I729" s="2" t="n">
        <f>HYPERLINK("https://ppubs.uspto.gov/pubwebapp/external.html?q=20220067445.pn.","USPTO")</f>
        <v>0.0</v>
      </c>
      <c r="J729" s="2" t="n">
        <f>HYPERLINK("https://image-ppubs.uspto.gov/dirsearch-public/print/downloadPdf/20220067445","USPTO PDF")</f>
        <v>0.0</v>
      </c>
      <c r="K729" s="2" t="n">
        <f>HYPERLINK("https://sectors.patentforecast.com/pmd/US20220067445","PMD")</f>
        <v>0.0</v>
      </c>
      <c r="L729" s="2" t="n">
        <f>HYPERLINK("https://globaldossier.uspto.gov/result/application/US/17465399/1","US20220067445")</f>
        <v>0.0</v>
      </c>
      <c r="M729" t="s">
        <v>5114</v>
      </c>
      <c r="N729" t="s">
        <v>5115</v>
      </c>
      <c r="O729" t="s">
        <v>5116</v>
      </c>
      <c r="P729" t="s">
        <v>5117</v>
      </c>
      <c r="Q729" s="3" t="n">
        <v>44441.0</v>
      </c>
      <c r="R729" s="3" t="n">
        <v>44623.0</v>
      </c>
      <c r="S729" s="3" t="n">
        <v>44624.18880285879</v>
      </c>
      <c r="T729" s="3" t="n">
        <v>44719.59602293981</v>
      </c>
      <c r="U729" t="s">
        <v>5118</v>
      </c>
      <c r="V729" t="s">
        <v>5119</v>
      </c>
    </row>
    <row r="730">
      <c r="A730" t="s">
        <v>22</v>
      </c>
      <c r="B730" t="s">
        <v>5120</v>
      </c>
      <c r="C730" t="s">
        <v>312</v>
      </c>
      <c r="D730" t="s">
        <v>976</v>
      </c>
      <c r="E730" t="s">
        <v>5121</v>
      </c>
      <c r="F730" s="2" t="n">
        <f>HYPERLINK("https://patents.google.com/patent/US20220067313","Google")</f>
        <v>0.0</v>
      </c>
      <c r="G730" s="2" t="n">
        <f>HYPERLINK("https://patentcenter.uspto.gov/applications/17463799","Patent Center")</f>
        <v>0.0</v>
      </c>
      <c r="H730" s="2" t="n">
        <f>HYPERLINK("https://worldwide.espacenet.com/patent/search?q=US20220067313","Espacenet")</f>
        <v>0.0</v>
      </c>
      <c r="I730" s="2" t="n">
        <f>HYPERLINK("https://ppubs.uspto.gov/pubwebapp/external.html?q=20220067313.pn.","USPTO")</f>
        <v>0.0</v>
      </c>
      <c r="J730" s="2" t="n">
        <f>HYPERLINK("https://image-ppubs.uspto.gov/dirsearch-public/print/downloadPdf/20220067313","USPTO PDF")</f>
        <v>0.0</v>
      </c>
      <c r="K730" s="2" t="n">
        <f>HYPERLINK("https://sectors.patentforecast.com/pmd/US20220067313","PMD")</f>
        <v>0.0</v>
      </c>
      <c r="L730" s="2" t="n">
        <f>HYPERLINK("https://globaldossier.uspto.gov/result/application/US/17463799/1","US20220067313")</f>
        <v>0.0</v>
      </c>
      <c r="M730" t="s">
        <v>5122</v>
      </c>
      <c r="N730" t="s">
        <v>5123</v>
      </c>
      <c r="O730" t="s">
        <v>5124</v>
      </c>
      <c r="P730" t="s">
        <v>5125</v>
      </c>
      <c r="Q730" s="3" t="n">
        <v>44440.0</v>
      </c>
      <c r="R730" s="3" t="n">
        <v>44623.0</v>
      </c>
      <c r="S730" s="3" t="n">
        <v>44624.18880285879</v>
      </c>
      <c r="T730" s="3" t="n">
        <v>44719.596145069445</v>
      </c>
      <c r="U730" t="s">
        <v>5126</v>
      </c>
      <c r="V730" t="s">
        <v>5127</v>
      </c>
    </row>
    <row r="731">
      <c r="A731" t="s">
        <v>22</v>
      </c>
      <c r="B731" t="s">
        <v>5128</v>
      </c>
      <c r="C731" t="s">
        <v>24</v>
      </c>
      <c r="D731" t="s">
        <v>204</v>
      </c>
      <c r="E731" t="s">
        <v>5129</v>
      </c>
      <c r="F731" s="2" t="n">
        <f>HYPERLINK("https://patents.google.com/patent/US20220067302","Google")</f>
        <v>0.0</v>
      </c>
      <c r="G731" s="2" t="n">
        <f>HYPERLINK("https://patentcenter.uspto.gov/applications/17161327","Patent Center")</f>
        <v>0.0</v>
      </c>
      <c r="H731" s="2" t="n">
        <f>HYPERLINK("https://worldwide.espacenet.com/patent/search?q=US20220067302","Espacenet")</f>
        <v>0.0</v>
      </c>
      <c r="I731" s="2" t="n">
        <f>HYPERLINK("https://ppubs.uspto.gov/pubwebapp/external.html?q=20220067302.pn.","USPTO")</f>
        <v>0.0</v>
      </c>
      <c r="J731" s="2" t="n">
        <f>HYPERLINK("https://image-ppubs.uspto.gov/dirsearch-public/print/downloadPdf/20220067302","USPTO PDF")</f>
        <v>0.0</v>
      </c>
      <c r="K731" s="2" t="n">
        <f>HYPERLINK("https://sectors.patentforecast.com/pmd/US20220067302","PMD")</f>
        <v>0.0</v>
      </c>
      <c r="L731" s="2" t="n">
        <f>HYPERLINK("https://globaldossier.uspto.gov/result/application/US/17161327/1","US20220067302")</f>
        <v>0.0</v>
      </c>
      <c r="M731" t="s">
        <v>5130</v>
      </c>
      <c r="N731" t="s">
        <v>5131</v>
      </c>
      <c r="O731" t="s">
        <v>5132</v>
      </c>
      <c r="P731" t="s">
        <v>5133</v>
      </c>
      <c r="Q731" s="3" t="n">
        <v>44224.0</v>
      </c>
      <c r="R731" s="3" t="n">
        <v>44623.0</v>
      </c>
      <c r="S731" s="3" t="n">
        <v>44624.18880285879</v>
      </c>
      <c r="T731" s="3" t="n">
        <v>44719.59627260417</v>
      </c>
      <c r="U731" t="s">
        <v>31</v>
      </c>
      <c r="V731" t="s">
        <v>5134</v>
      </c>
    </row>
    <row r="732">
      <c r="A732" t="s">
        <v>22</v>
      </c>
      <c r="B732" t="s">
        <v>5135</v>
      </c>
      <c r="C732" t="s">
        <v>24</v>
      </c>
      <c r="D732" t="s">
        <v>204</v>
      </c>
      <c r="E732" t="s">
        <v>5136</v>
      </c>
      <c r="F732" s="2" t="n">
        <f>HYPERLINK("https://patents.google.com/patent/US20220067204","Google")</f>
        <v>0.0</v>
      </c>
      <c r="G732" s="2" t="n">
        <f>HYPERLINK("https://patentcenter.uspto.gov/applications/17459464","Patent Center")</f>
        <v>0.0</v>
      </c>
      <c r="H732" s="2" t="n">
        <f>HYPERLINK("https://worldwide.espacenet.com/patent/search?q=US20220067204","Espacenet")</f>
        <v>0.0</v>
      </c>
      <c r="I732" s="2" t="n">
        <f>HYPERLINK("https://ppubs.uspto.gov/pubwebapp/external.html?q=20220067204.pn.","USPTO")</f>
        <v>0.0</v>
      </c>
      <c r="J732" s="2" t="n">
        <f>HYPERLINK("https://image-ppubs.uspto.gov/dirsearch-public/print/downloadPdf/20220067204","USPTO PDF")</f>
        <v>0.0</v>
      </c>
      <c r="K732" s="2" t="n">
        <f>HYPERLINK("https://sectors.patentforecast.com/pmd/US20220067204","PMD")</f>
        <v>0.0</v>
      </c>
      <c r="L732" s="2" t="n">
        <f>HYPERLINK("https://globaldossier.uspto.gov/result/application/US/17459464/1","US20220067204")</f>
        <v>0.0</v>
      </c>
      <c r="M732" t="s">
        <v>5137</v>
      </c>
      <c r="N732" t="s">
        <v>5138</v>
      </c>
      <c r="O732" t="s">
        <v>5139</v>
      </c>
      <c r="P732" t="s">
        <v>5140</v>
      </c>
      <c r="Q732" s="3" t="n">
        <v>44435.0</v>
      </c>
      <c r="R732" s="3" t="n">
        <v>44623.0</v>
      </c>
      <c r="S732" s="3" t="n">
        <v>44624.18880285879</v>
      </c>
      <c r="T732" s="3" t="n">
        <v>44719.59668234954</v>
      </c>
      <c r="U732" t="s">
        <v>5141</v>
      </c>
      <c r="V732" t="s">
        <v>5142</v>
      </c>
    </row>
    <row r="733">
      <c r="A733" t="s">
        <v>22</v>
      </c>
      <c r="B733" t="s">
        <v>5143</v>
      </c>
      <c r="C733" t="s">
        <v>24</v>
      </c>
      <c r="D733" t="s">
        <v>34</v>
      </c>
      <c r="E733" t="s">
        <v>5144</v>
      </c>
      <c r="F733" s="2" t="n">
        <f>HYPERLINK("https://patents.google.com/patent/US20220067093","Google")</f>
        <v>0.0</v>
      </c>
      <c r="G733" s="2" t="n">
        <f>HYPERLINK("https://patentcenter.uspto.gov/applications/17007292","Patent Center")</f>
        <v>0.0</v>
      </c>
      <c r="H733" s="2" t="n">
        <f>HYPERLINK("https://worldwide.espacenet.com/patent/search?q=US20220067093","Espacenet")</f>
        <v>0.0</v>
      </c>
      <c r="I733" s="2" t="n">
        <f>HYPERLINK("https://ppubs.uspto.gov/pubwebapp/external.html?q=20220067093.pn.","USPTO")</f>
        <v>0.0</v>
      </c>
      <c r="J733" s="2" t="n">
        <f>HYPERLINK("https://image-ppubs.uspto.gov/dirsearch-public/print/downloadPdf/20220067093","USPTO PDF")</f>
        <v>0.0</v>
      </c>
      <c r="K733" s="2" t="n">
        <f>HYPERLINK("https://sectors.patentforecast.com/pmd/US20220067093","PMD")</f>
        <v>0.0</v>
      </c>
      <c r="L733" s="2" t="n">
        <f>HYPERLINK("https://globaldossier.uspto.gov/result/application/US/17007292/1","US20220067093")</f>
        <v>0.0</v>
      </c>
      <c r="M733" t="s">
        <v>5145</v>
      </c>
      <c r="N733" t="s">
        <v>5146</v>
      </c>
      <c r="O733" t="s">
        <v>5147</v>
      </c>
      <c r="P733" t="s">
        <v>5148</v>
      </c>
      <c r="Q733" s="3" t="n">
        <v>44074.0</v>
      </c>
      <c r="R733" s="3" t="n">
        <v>44623.0</v>
      </c>
      <c r="S733" s="3" t="n">
        <v>44624.18880285879</v>
      </c>
      <c r="T733" s="3" t="n">
        <v>44678.564344502316</v>
      </c>
      <c r="U733" t="s">
        <v>5149</v>
      </c>
      <c r="V733" t="s">
        <v>5150</v>
      </c>
    </row>
    <row r="734">
      <c r="A734" t="s">
        <v>22</v>
      </c>
      <c r="B734" t="s">
        <v>5151</v>
      </c>
      <c r="C734" t="s">
        <v>24</v>
      </c>
      <c r="D734" t="s">
        <v>204</v>
      </c>
      <c r="E734" t="s">
        <v>5152</v>
      </c>
      <c r="F734" s="2" t="n">
        <f>HYPERLINK("https://patents.google.com/patent/US20220066456","Google")</f>
        <v>0.0</v>
      </c>
      <c r="G734" s="2" t="n">
        <f>HYPERLINK("https://patentcenter.uspto.gov/applications/17403292","Patent Center")</f>
        <v>0.0</v>
      </c>
      <c r="H734" s="2" t="n">
        <f>HYPERLINK("https://worldwide.espacenet.com/patent/search?q=US20220066456","Espacenet")</f>
        <v>0.0</v>
      </c>
      <c r="I734" s="2" t="n">
        <f>HYPERLINK("https://ppubs.uspto.gov/pubwebapp/external.html?q=20220066456.pn.","USPTO")</f>
        <v>0.0</v>
      </c>
      <c r="J734" s="2" t="n">
        <f>HYPERLINK("https://image-ppubs.uspto.gov/dirsearch-public/print/downloadPdf/20220066456","USPTO PDF")</f>
        <v>0.0</v>
      </c>
      <c r="K734" s="2" t="n">
        <f>HYPERLINK("https://sectors.patentforecast.com/pmd/US20220066456","PMD")</f>
        <v>0.0</v>
      </c>
      <c r="L734" s="2" t="n">
        <f>HYPERLINK("https://globaldossier.uspto.gov/result/application/US/17403292/1","US20220066456")</f>
        <v>0.0</v>
      </c>
      <c r="M734" t="s">
        <v>5153</v>
      </c>
      <c r="N734" t="s">
        <v>5154</v>
      </c>
      <c r="O734" t="s">
        <v>5155</v>
      </c>
      <c r="P734" t="s">
        <v>5156</v>
      </c>
      <c r="Q734" s="3" t="n">
        <v>44424.0</v>
      </c>
      <c r="R734" s="3" t="n">
        <v>44623.0</v>
      </c>
      <c r="S734" s="3" t="n">
        <v>44624.18880285879</v>
      </c>
      <c r="T734" s="3" t="n">
        <v>44719.59832815972</v>
      </c>
      <c r="U734" t="s">
        <v>5157</v>
      </c>
      <c r="V734" t="s">
        <v>5158</v>
      </c>
    </row>
    <row r="735">
      <c r="A735" t="s">
        <v>22</v>
      </c>
      <c r="B735" t="s">
        <v>5159</v>
      </c>
      <c r="C735" t="s">
        <v>24</v>
      </c>
      <c r="D735" t="s">
        <v>100</v>
      </c>
      <c r="E735" t="s">
        <v>5160</v>
      </c>
      <c r="F735" s="2" t="n">
        <f>HYPERLINK("https://patents.google.com/patent/US20220066189","Google")</f>
        <v>0.0</v>
      </c>
      <c r="G735" s="2" t="n">
        <f>HYPERLINK("https://patentcenter.uspto.gov/applications/17326576","Patent Center")</f>
        <v>0.0</v>
      </c>
      <c r="H735" s="2" t="n">
        <f>HYPERLINK("https://worldwide.espacenet.com/patent/search?q=US20220066189","Espacenet")</f>
        <v>0.0</v>
      </c>
      <c r="I735" s="2" t="n">
        <f>HYPERLINK("https://ppubs.uspto.gov/pubwebapp/external.html?q=20220066189.pn.","USPTO")</f>
        <v>0.0</v>
      </c>
      <c r="J735" s="2" t="n">
        <f>HYPERLINK("https://image-ppubs.uspto.gov/dirsearch-public/print/downloadPdf/20220066189","USPTO PDF")</f>
        <v>0.0</v>
      </c>
      <c r="K735" s="2" t="n">
        <f>HYPERLINK("https://sectors.patentforecast.com/pmd/US20220066189","PMD")</f>
        <v>0.0</v>
      </c>
      <c r="L735" s="2" t="n">
        <f>HYPERLINK("https://globaldossier.uspto.gov/result/application/US/17326576/1","US20220066189")</f>
        <v>0.0</v>
      </c>
      <c r="M735" t="s">
        <v>5161</v>
      </c>
      <c r="N735" t="s">
        <v>5162</v>
      </c>
      <c r="O735" t="s">
        <v>5163</v>
      </c>
      <c r="P735" t="s">
        <v>5164</v>
      </c>
      <c r="Q735" s="3" t="n">
        <v>44337.0</v>
      </c>
      <c r="R735" s="3" t="n">
        <v>44623.0</v>
      </c>
      <c r="S735" s="3" t="n">
        <v>44624.18880285879</v>
      </c>
      <c r="T735" s="3" t="n">
        <v>44719.59807219907</v>
      </c>
      <c r="U735" t="s">
        <v>31</v>
      </c>
      <c r="V735" t="s">
        <v>5165</v>
      </c>
    </row>
    <row r="736">
      <c r="A736" t="s">
        <v>22</v>
      </c>
      <c r="B736" t="s">
        <v>5166</v>
      </c>
      <c r="C736" t="s">
        <v>24</v>
      </c>
      <c r="D736" t="s">
        <v>34</v>
      </c>
      <c r="E736" t="s">
        <v>5167</v>
      </c>
      <c r="F736" s="2" t="n">
        <f>HYPERLINK("https://patents.google.com/patent/US20220065869","Google")</f>
        <v>0.0</v>
      </c>
      <c r="G736" s="2" t="n">
        <f>HYPERLINK("https://patentcenter.uspto.gov/applications/17359064","Patent Center")</f>
        <v>0.0</v>
      </c>
      <c r="H736" s="2" t="n">
        <f>HYPERLINK("https://worldwide.espacenet.com/patent/search?q=US20220065869","Espacenet")</f>
        <v>0.0</v>
      </c>
      <c r="I736" s="2" t="n">
        <f>HYPERLINK("https://ppubs.uspto.gov/pubwebapp/external.html?q=20220065869.pn.","USPTO")</f>
        <v>0.0</v>
      </c>
      <c r="J736" s="2" t="n">
        <f>HYPERLINK("https://image-ppubs.uspto.gov/dirsearch-public/print/downloadPdf/20220065869","USPTO PDF")</f>
        <v>0.0</v>
      </c>
      <c r="K736" s="2" t="n">
        <f>HYPERLINK("https://sectors.patentforecast.com/pmd/US20220065869","PMD")</f>
        <v>0.0</v>
      </c>
      <c r="L736" s="2" t="n">
        <f>HYPERLINK("https://globaldossier.uspto.gov/result/application/US/17359064/1","US20220065869")</f>
        <v>0.0</v>
      </c>
      <c r="M736" t="s">
        <v>5168</v>
      </c>
      <c r="N736" t="s">
        <v>5169</v>
      </c>
      <c r="O736" t="s">
        <v>5170</v>
      </c>
      <c r="P736" t="s">
        <v>5171</v>
      </c>
      <c r="Q736" s="3" t="n">
        <v>44372.0</v>
      </c>
      <c r="R736" s="3" t="n">
        <v>44623.0</v>
      </c>
      <c r="S736" s="3" t="n">
        <v>44624.18880285879</v>
      </c>
      <c r="T736" s="3" t="n">
        <v>44658.62530674769</v>
      </c>
      <c r="U736" t="s">
        <v>31</v>
      </c>
      <c r="V736" t="s">
        <v>5172</v>
      </c>
    </row>
    <row r="737">
      <c r="A737" t="s">
        <v>22</v>
      </c>
      <c r="B737" t="s">
        <v>5173</v>
      </c>
      <c r="C737" t="s">
        <v>24</v>
      </c>
      <c r="D737" t="s">
        <v>25</v>
      </c>
      <c r="E737" t="s">
        <v>5174</v>
      </c>
      <c r="F737" s="2" t="n">
        <f>HYPERLINK("https://patents.google.com/patent/US20220065852","Google")</f>
        <v>0.0</v>
      </c>
      <c r="G737" s="2" t="n">
        <f>HYPERLINK("https://patentcenter.uspto.gov/applications/17461264","Patent Center")</f>
        <v>0.0</v>
      </c>
      <c r="H737" s="2" t="n">
        <f>HYPERLINK("https://worldwide.espacenet.com/patent/search?q=US20220065852","Espacenet")</f>
        <v>0.0</v>
      </c>
      <c r="I737" s="2" t="n">
        <f>HYPERLINK("https://ppubs.uspto.gov/pubwebapp/external.html?q=20220065852.pn.","USPTO")</f>
        <v>0.0</v>
      </c>
      <c r="J737" s="2" t="n">
        <f>HYPERLINK("https://image-ppubs.uspto.gov/dirsearch-public/print/downloadPdf/20220065852","USPTO PDF")</f>
        <v>0.0</v>
      </c>
      <c r="K737" s="2" t="n">
        <f>HYPERLINK("https://sectors.patentforecast.com/pmd/US20220065852","PMD")</f>
        <v>0.0</v>
      </c>
      <c r="L737" s="2" t="n">
        <f>HYPERLINK("https://globaldossier.uspto.gov/result/application/US/17461264/1","US20220065852")</f>
        <v>0.0</v>
      </c>
      <c r="M737" t="s">
        <v>5175</v>
      </c>
      <c r="N737" t="s">
        <v>5176</v>
      </c>
      <c r="O737" t="s">
        <v>5177</v>
      </c>
      <c r="P737" t="s">
        <v>5178</v>
      </c>
      <c r="Q737" s="3" t="n">
        <v>44438.0</v>
      </c>
      <c r="R737" s="3" t="n">
        <v>44623.0</v>
      </c>
      <c r="S737" s="3" t="n">
        <v>44624.18880285879</v>
      </c>
      <c r="T737" s="3" t="n">
        <v>44658.64462693287</v>
      </c>
      <c r="U737" t="s">
        <v>31</v>
      </c>
      <c r="V737" t="s">
        <v>5179</v>
      </c>
    </row>
    <row r="738">
      <c r="A738" t="s">
        <v>22</v>
      </c>
      <c r="B738" t="s">
        <v>5180</v>
      </c>
      <c r="C738" t="s">
        <v>24</v>
      </c>
      <c r="D738" t="s">
        <v>51</v>
      </c>
      <c r="E738" t="s">
        <v>5181</v>
      </c>
      <c r="F738" s="2" t="n">
        <f>HYPERLINK("https://patents.google.com/patent/US20220065842","Google")</f>
        <v>0.0</v>
      </c>
      <c r="G738" s="2" t="n">
        <f>HYPERLINK("https://patentcenter.uspto.gov/applications/17006827","Patent Center")</f>
        <v>0.0</v>
      </c>
      <c r="H738" s="2" t="n">
        <f>HYPERLINK("https://worldwide.espacenet.com/patent/search?q=US20220065842","Espacenet")</f>
        <v>0.0</v>
      </c>
      <c r="I738" s="2" t="n">
        <f>HYPERLINK("https://ppubs.uspto.gov/pubwebapp/external.html?q=20220065842.pn.","USPTO")</f>
        <v>0.0</v>
      </c>
      <c r="J738" s="2" t="n">
        <f>HYPERLINK("https://image-ppubs.uspto.gov/dirsearch-public/print/downloadPdf/20220065842","USPTO PDF")</f>
        <v>0.0</v>
      </c>
      <c r="K738" s="2" t="n">
        <f>HYPERLINK("https://sectors.patentforecast.com/pmd/US20220065842","PMD")</f>
        <v>0.0</v>
      </c>
      <c r="L738" s="2" t="n">
        <f>HYPERLINK("https://globaldossier.uspto.gov/result/application/US/17006827/1","US20220065842")</f>
        <v>0.0</v>
      </c>
      <c r="M738" t="s">
        <v>5182</v>
      </c>
      <c r="N738" t="s">
        <v>5183</v>
      </c>
      <c r="O738" t="s">
        <v>5183</v>
      </c>
      <c r="P738" t="s">
        <v>5184</v>
      </c>
      <c r="Q738" s="3" t="n">
        <v>44072.0</v>
      </c>
      <c r="R738" s="3" t="n">
        <v>44623.0</v>
      </c>
      <c r="S738" s="3" t="n">
        <v>44624.18880285879</v>
      </c>
      <c r="T738" s="3" t="n">
        <v>44719.59782527778</v>
      </c>
      <c r="U738" t="s">
        <v>5185</v>
      </c>
      <c r="V738" t="s">
        <v>5186</v>
      </c>
    </row>
    <row r="739">
      <c r="A739" t="s">
        <v>22</v>
      </c>
      <c r="B739" t="s">
        <v>5187</v>
      </c>
      <c r="C739" t="s">
        <v>24</v>
      </c>
      <c r="D739" t="s">
        <v>25</v>
      </c>
      <c r="E739" t="s">
        <v>5188</v>
      </c>
      <c r="F739" s="2" t="n">
        <f>HYPERLINK("https://patents.google.com/patent/US20220065807","Google")</f>
        <v>0.0</v>
      </c>
      <c r="G739" s="2" t="n">
        <f>HYPERLINK("https://patentcenter.uspto.gov/applications/17465709","Patent Center")</f>
        <v>0.0</v>
      </c>
      <c r="H739" s="2" t="n">
        <f>HYPERLINK("https://worldwide.espacenet.com/patent/search?q=US20220065807","Espacenet")</f>
        <v>0.0</v>
      </c>
      <c r="I739" s="2" t="n">
        <f>HYPERLINK("https://ppubs.uspto.gov/pubwebapp/external.html?q=20220065807.pn.","USPTO")</f>
        <v>0.0</v>
      </c>
      <c r="J739" s="2" t="n">
        <f>HYPERLINK("https://image-ppubs.uspto.gov/dirsearch-public/print/downloadPdf/20220065807","USPTO PDF")</f>
        <v>0.0</v>
      </c>
      <c r="K739" s="2" t="n">
        <f>HYPERLINK("https://sectors.patentforecast.com/pmd/US20220065807","PMD")</f>
        <v>0.0</v>
      </c>
      <c r="L739" s="2" t="n">
        <f>HYPERLINK("https://globaldossier.uspto.gov/result/application/US/17465709/1","US20220065807")</f>
        <v>0.0</v>
      </c>
      <c r="M739" t="s">
        <v>5189</v>
      </c>
      <c r="N739" t="s">
        <v>5190</v>
      </c>
      <c r="O739" t="s">
        <v>5191</v>
      </c>
      <c r="P739" t="s">
        <v>5192</v>
      </c>
      <c r="Q739" s="3" t="n">
        <v>44441.0</v>
      </c>
      <c r="R739" s="3" t="n">
        <v>44623.0</v>
      </c>
      <c r="S739" s="3" t="n">
        <v>44624.18880285879</v>
      </c>
      <c r="T739" s="3" t="n">
        <v>44658.64887395834</v>
      </c>
      <c r="U739" t="s">
        <v>5193</v>
      </c>
      <c r="V739" t="s">
        <v>5194</v>
      </c>
    </row>
    <row r="740">
      <c r="A740" t="s">
        <v>22</v>
      </c>
      <c r="B740" t="s">
        <v>5195</v>
      </c>
      <c r="C740" t="s">
        <v>24</v>
      </c>
      <c r="D740" t="s">
        <v>69</v>
      </c>
      <c r="E740" t="s">
        <v>5196</v>
      </c>
      <c r="F740" s="2" t="n">
        <f>HYPERLINK("https://patents.google.com/patent/US20220065789","Google")</f>
        <v>0.0</v>
      </c>
      <c r="G740" s="2" t="n">
        <f>HYPERLINK("https://patentcenter.uspto.gov/applications/17008290","Patent Center")</f>
        <v>0.0</v>
      </c>
      <c r="H740" s="2" t="n">
        <f>HYPERLINK("https://worldwide.espacenet.com/patent/search?q=US20220065789","Espacenet")</f>
        <v>0.0</v>
      </c>
      <c r="I740" s="2" t="n">
        <f>HYPERLINK("https://ppubs.uspto.gov/pubwebapp/external.html?q=20220065789.pn.","USPTO")</f>
        <v>0.0</v>
      </c>
      <c r="J740" s="2" t="n">
        <f>HYPERLINK("https://image-ppubs.uspto.gov/dirsearch-public/print/downloadPdf/20220065789","USPTO PDF")</f>
        <v>0.0</v>
      </c>
      <c r="K740" s="2" t="n">
        <f>HYPERLINK("https://sectors.patentforecast.com/pmd/US20220065789","PMD")</f>
        <v>0.0</v>
      </c>
      <c r="L740" s="2" t="n">
        <f>HYPERLINK("https://globaldossier.uspto.gov/result/application/US/17008290/1","US20220065789")</f>
        <v>0.0</v>
      </c>
      <c r="M740" t="s">
        <v>5197</v>
      </c>
      <c r="N740" t="s">
        <v>2232</v>
      </c>
      <c r="O740" t="s">
        <v>2232</v>
      </c>
      <c r="P740" t="s">
        <v>5198</v>
      </c>
      <c r="Q740" s="3" t="n">
        <v>44074.0</v>
      </c>
      <c r="R740" s="3" t="n">
        <v>44623.0</v>
      </c>
      <c r="S740" s="3" t="n">
        <v>44624.18880285879</v>
      </c>
      <c r="T740" s="3" t="n">
        <v>44672.456164027775</v>
      </c>
      <c r="U740" t="s">
        <v>5199</v>
      </c>
      <c r="V740" t="s">
        <v>5200</v>
      </c>
    </row>
    <row r="741">
      <c r="A741" t="s">
        <v>22</v>
      </c>
      <c r="B741" t="s">
        <v>5201</v>
      </c>
      <c r="C741" t="s">
        <v>24</v>
      </c>
      <c r="D741" t="s">
        <v>25</v>
      </c>
      <c r="E741" t="s">
        <v>5202</v>
      </c>
      <c r="F741" s="2" t="n">
        <f>HYPERLINK("https://patents.google.com/patent/US20220065782","Google")</f>
        <v>0.0</v>
      </c>
      <c r="G741" s="2" t="n">
        <f>HYPERLINK("https://patentcenter.uspto.gov/applications/16948041","Patent Center")</f>
        <v>0.0</v>
      </c>
      <c r="H741" s="2" t="n">
        <f>HYPERLINK("https://worldwide.espacenet.com/patent/search?q=US20220065782","Espacenet")</f>
        <v>0.0</v>
      </c>
      <c r="I741" s="2" t="n">
        <f>HYPERLINK("https://ppubs.uspto.gov/pubwebapp/external.html?q=20220065782.pn.","USPTO")</f>
        <v>0.0</v>
      </c>
      <c r="J741" s="2" t="n">
        <f>HYPERLINK("https://image-ppubs.uspto.gov/dirsearch-public/print/downloadPdf/20220065782","USPTO PDF")</f>
        <v>0.0</v>
      </c>
      <c r="K741" s="2" t="n">
        <f>HYPERLINK("https://sectors.patentforecast.com/pmd/US20220065782","PMD")</f>
        <v>0.0</v>
      </c>
      <c r="L741" s="2" t="n">
        <f>HYPERLINK("https://globaldossier.uspto.gov/result/application/US/16948041/1","US20220065782")</f>
        <v>0.0</v>
      </c>
      <c r="M741" t="s">
        <v>5203</v>
      </c>
      <c r="N741" t="s">
        <v>5204</v>
      </c>
      <c r="O741" t="s">
        <v>5205</v>
      </c>
      <c r="P741" t="s">
        <v>5206</v>
      </c>
      <c r="Q741" s="3" t="n">
        <v>44071.0</v>
      </c>
      <c r="R741" s="3" t="n">
        <v>44623.0</v>
      </c>
      <c r="S741" s="3" t="n">
        <v>44624.18880285879</v>
      </c>
      <c r="T741" s="3" t="n">
        <v>44658.656688333336</v>
      </c>
      <c r="U741" t="s">
        <v>5207</v>
      </c>
      <c r="V741" t="s">
        <v>5208</v>
      </c>
    </row>
    <row r="742">
      <c r="A742" t="s">
        <v>22</v>
      </c>
      <c r="B742" t="s">
        <v>5209</v>
      </c>
      <c r="C742" t="s">
        <v>24</v>
      </c>
      <c r="D742" t="s">
        <v>69</v>
      </c>
      <c r="E742" t="s">
        <v>5210</v>
      </c>
      <c r="F742" s="2" t="n">
        <f>HYPERLINK("https://patents.google.com/patent/US20220065479","Google")</f>
        <v>0.0</v>
      </c>
      <c r="G742" s="2" t="n">
        <f>HYPERLINK("https://patentcenter.uspto.gov/applications/17459963","Patent Center")</f>
        <v>0.0</v>
      </c>
      <c r="H742" s="2" t="n">
        <f>HYPERLINK("https://worldwide.espacenet.com/patent/search?q=US20220065479","Espacenet")</f>
        <v>0.0</v>
      </c>
      <c r="I742" s="2" t="n">
        <f>HYPERLINK("https://ppubs.uspto.gov/pubwebapp/external.html?q=20220065479.pn.","USPTO")</f>
        <v>0.0</v>
      </c>
      <c r="J742" s="2" t="n">
        <f>HYPERLINK("https://image-ppubs.uspto.gov/dirsearch-public/print/downloadPdf/20220065479","USPTO PDF")</f>
        <v>0.0</v>
      </c>
      <c r="K742" s="2" t="n">
        <f>HYPERLINK("https://sectors.patentforecast.com/pmd/US20220065479","PMD")</f>
        <v>0.0</v>
      </c>
      <c r="L742" s="2" t="n">
        <f>HYPERLINK("https://globaldossier.uspto.gov/result/application/US/17459963/1","US20220065479")</f>
        <v>0.0</v>
      </c>
      <c r="M742" t="s">
        <v>5211</v>
      </c>
      <c r="N742" t="s">
        <v>1520</v>
      </c>
      <c r="O742" t="s">
        <v>1521</v>
      </c>
      <c r="P742" t="s">
        <v>5212</v>
      </c>
      <c r="Q742" s="3" t="n">
        <v>44435.0</v>
      </c>
      <c r="R742" s="3" t="n">
        <v>44623.0</v>
      </c>
      <c r="S742" s="3" t="n">
        <v>44624.18880285879</v>
      </c>
      <c r="T742" s="3" t="n">
        <v>44672.47512579861</v>
      </c>
      <c r="U742" t="s">
        <v>31</v>
      </c>
      <c r="V742" t="s">
        <v>5213</v>
      </c>
    </row>
    <row r="743">
      <c r="A743" t="s">
        <v>22</v>
      </c>
      <c r="B743" t="s">
        <v>5214</v>
      </c>
      <c r="C743" t="s">
        <v>24</v>
      </c>
      <c r="D743" t="s">
        <v>69</v>
      </c>
      <c r="E743" t="s">
        <v>5215</v>
      </c>
      <c r="F743" s="2" t="n">
        <f>HYPERLINK("https://patents.google.com/patent/US20220065466","Google")</f>
        <v>0.0</v>
      </c>
      <c r="G743" s="2" t="n">
        <f>HYPERLINK("https://patentcenter.uspto.gov/applications/17458563","Patent Center")</f>
        <v>0.0</v>
      </c>
      <c r="H743" s="2" t="n">
        <f>HYPERLINK("https://worldwide.espacenet.com/patent/search?q=US20220065466","Espacenet")</f>
        <v>0.0</v>
      </c>
      <c r="I743" s="2" t="n">
        <f>HYPERLINK("https://ppubs.uspto.gov/pubwebapp/external.html?q=20220065466.pn.","USPTO")</f>
        <v>0.0</v>
      </c>
      <c r="J743" s="2" t="n">
        <f>HYPERLINK("https://image-ppubs.uspto.gov/dirsearch-public/print/downloadPdf/20220065466","USPTO PDF")</f>
        <v>0.0</v>
      </c>
      <c r="K743" s="2" t="n">
        <f>HYPERLINK("https://sectors.patentforecast.com/pmd/US20220065466","PMD")</f>
        <v>0.0</v>
      </c>
      <c r="L743" s="2" t="n">
        <f>HYPERLINK("https://globaldossier.uspto.gov/result/application/US/17458563/1","US20220065466")</f>
        <v>0.0</v>
      </c>
      <c r="M743" t="s">
        <v>5216</v>
      </c>
      <c r="N743" t="s">
        <v>5217</v>
      </c>
      <c r="O743" t="s">
        <v>5218</v>
      </c>
      <c r="P743" t="s">
        <v>5219</v>
      </c>
      <c r="Q743" s="3" t="n">
        <v>44435.0</v>
      </c>
      <c r="R743" s="3" t="n">
        <v>44623.0</v>
      </c>
      <c r="S743" s="3" t="n">
        <v>44624.18880285879</v>
      </c>
      <c r="T743" s="3" t="n">
        <v>44672.385796180555</v>
      </c>
      <c r="U743" t="s">
        <v>31</v>
      </c>
      <c r="V743" t="s">
        <v>5220</v>
      </c>
    </row>
    <row r="744">
      <c r="A744" t="s">
        <v>22</v>
      </c>
      <c r="B744" t="s">
        <v>5221</v>
      </c>
      <c r="C744" t="s">
        <v>24</v>
      </c>
      <c r="D744" t="s">
        <v>69</v>
      </c>
      <c r="E744" t="s">
        <v>5222</v>
      </c>
      <c r="F744" s="2" t="n">
        <f>HYPERLINK("https://patents.google.com/patent/US20220065021","Google")</f>
        <v>0.0</v>
      </c>
      <c r="G744" s="2" t="n">
        <f>HYPERLINK("https://patentcenter.uspto.gov/applications/17461786","Patent Center")</f>
        <v>0.0</v>
      </c>
      <c r="H744" s="2" t="n">
        <f>HYPERLINK("https://worldwide.espacenet.com/patent/search?q=US20220065021","Espacenet")</f>
        <v>0.0</v>
      </c>
      <c r="I744" s="2" t="n">
        <f>HYPERLINK("https://ppubs.uspto.gov/pubwebapp/external.html?q=20220065021.pn.","USPTO")</f>
        <v>0.0</v>
      </c>
      <c r="J744" s="2" t="n">
        <f>HYPERLINK("https://image-ppubs.uspto.gov/dirsearch-public/print/downloadPdf/20220065021","USPTO PDF")</f>
        <v>0.0</v>
      </c>
      <c r="K744" s="2" t="n">
        <f>HYPERLINK("https://sectors.patentforecast.com/pmd/US20220065021","PMD")</f>
        <v>0.0</v>
      </c>
      <c r="L744" s="2" t="n">
        <f>HYPERLINK("https://globaldossier.uspto.gov/result/application/US/17461786/1","US20220065021")</f>
        <v>0.0</v>
      </c>
      <c r="M744" t="s">
        <v>5223</v>
      </c>
      <c r="N744" t="s">
        <v>5224</v>
      </c>
      <c r="O744" t="s">
        <v>5225</v>
      </c>
      <c r="P744" t="s">
        <v>5226</v>
      </c>
      <c r="Q744" s="3" t="n">
        <v>44438.0</v>
      </c>
      <c r="R744" s="3" t="n">
        <v>44623.0</v>
      </c>
      <c r="S744" s="3" t="n">
        <v>44624.18880285879</v>
      </c>
      <c r="T744" s="3" t="n">
        <v>44672.40822103009</v>
      </c>
      <c r="U744" t="s">
        <v>31</v>
      </c>
      <c r="V744" t="s">
        <v>5227</v>
      </c>
    </row>
    <row r="745">
      <c r="A745" t="s">
        <v>22</v>
      </c>
      <c r="B745" t="s">
        <v>5228</v>
      </c>
      <c r="C745" t="s">
        <v>24</v>
      </c>
      <c r="D745" t="s">
        <v>100</v>
      </c>
      <c r="E745" t="s">
        <v>5229</v>
      </c>
      <c r="F745" s="2" t="n">
        <f>HYPERLINK("https://patents.google.com/patent/US20220064861","Google")</f>
        <v>0.0</v>
      </c>
      <c r="G745" s="2" t="n">
        <f>HYPERLINK("https://patentcenter.uspto.gov/applications/17310125","Patent Center")</f>
        <v>0.0</v>
      </c>
      <c r="H745" s="2" t="n">
        <f>HYPERLINK("https://worldwide.espacenet.com/patent/search?q=US20220064861","Espacenet")</f>
        <v>0.0</v>
      </c>
      <c r="I745" s="2" t="n">
        <f>HYPERLINK("https://ppubs.uspto.gov/pubwebapp/external.html?q=20220064861.pn.","USPTO")</f>
        <v>0.0</v>
      </c>
      <c r="J745" s="2" t="n">
        <f>HYPERLINK("https://image-ppubs.uspto.gov/dirsearch-public/print/downloadPdf/20220064861","USPTO PDF")</f>
        <v>0.0</v>
      </c>
      <c r="K745" s="2" t="n">
        <f>HYPERLINK("https://sectors.patentforecast.com/pmd/US20220064861","PMD")</f>
        <v>0.0</v>
      </c>
      <c r="L745" s="2" t="n">
        <f>HYPERLINK("https://globaldossier.uspto.gov/result/application/US/17310125/1","US20220064861")</f>
        <v>0.0</v>
      </c>
      <c r="M745" t="s">
        <v>5230</v>
      </c>
      <c r="N745" t="s">
        <v>5231</v>
      </c>
      <c r="O745" t="s">
        <v>5232</v>
      </c>
      <c r="P745" t="s">
        <v>5233</v>
      </c>
      <c r="Q745" s="3" t="n">
        <v>43928.0</v>
      </c>
      <c r="R745" s="3" t="n">
        <v>44623.0</v>
      </c>
      <c r="S745" s="3" t="n">
        <v>44624.18880285879</v>
      </c>
      <c r="T745" s="3" t="n">
        <v>44672.46025150463</v>
      </c>
      <c r="U745" t="s">
        <v>31</v>
      </c>
      <c r="V745" t="s">
        <v>5234</v>
      </c>
    </row>
    <row r="746">
      <c r="A746" t="s">
        <v>22</v>
      </c>
      <c r="B746" t="s">
        <v>5235</v>
      </c>
      <c r="C746" t="s">
        <v>24</v>
      </c>
      <c r="D746" t="s">
        <v>51</v>
      </c>
      <c r="E746" t="s">
        <v>5236</v>
      </c>
      <c r="F746" s="2" t="n">
        <f>HYPERLINK("https://patents.google.com/patent/US20220064709","Google")</f>
        <v>0.0</v>
      </c>
      <c r="G746" s="2" t="n">
        <f>HYPERLINK("https://patentcenter.uspto.gov/applications/17464247","Patent Center")</f>
        <v>0.0</v>
      </c>
      <c r="H746" s="2" t="n">
        <f>HYPERLINK("https://worldwide.espacenet.com/patent/search?q=US20220064709","Espacenet")</f>
        <v>0.0</v>
      </c>
      <c r="I746" s="2" t="n">
        <f>HYPERLINK("https://ppubs.uspto.gov/pubwebapp/external.html?q=20220064709.pn.","USPTO")</f>
        <v>0.0</v>
      </c>
      <c r="J746" s="2" t="n">
        <f>HYPERLINK("https://image-ppubs.uspto.gov/dirsearch-public/print/downloadPdf/20220064709","USPTO PDF")</f>
        <v>0.0</v>
      </c>
      <c r="K746" s="2" t="n">
        <f>HYPERLINK("https://sectors.patentforecast.com/pmd/US20220064709","PMD")</f>
        <v>0.0</v>
      </c>
      <c r="L746" s="2" t="n">
        <f>HYPERLINK("https://globaldossier.uspto.gov/result/application/US/17464247/1","US20220064709")</f>
        <v>0.0</v>
      </c>
      <c r="M746" t="s">
        <v>5237</v>
      </c>
      <c r="N746" t="s">
        <v>5238</v>
      </c>
      <c r="O746" t="s">
        <v>5239</v>
      </c>
      <c r="P746" t="s">
        <v>5240</v>
      </c>
      <c r="Q746" s="3" t="n">
        <v>44440.0</v>
      </c>
      <c r="R746" s="3" t="n">
        <v>44623.0</v>
      </c>
      <c r="S746" s="3" t="n">
        <v>44624.18880285879</v>
      </c>
      <c r="T746" s="3" t="n">
        <v>44672.39447399305</v>
      </c>
      <c r="U746" t="s">
        <v>5241</v>
      </c>
      <c r="V746" t="s">
        <v>5242</v>
      </c>
    </row>
    <row r="747">
      <c r="A747" t="s">
        <v>22</v>
      </c>
      <c r="B747" t="s">
        <v>5243</v>
      </c>
      <c r="C747" t="s">
        <v>60</v>
      </c>
      <c r="D747" t="s">
        <v>61</v>
      </c>
      <c r="E747" t="s">
        <v>5244</v>
      </c>
      <c r="F747" s="2" t="n">
        <f>HYPERLINK("https://patents.google.com/patent/US20220064618","Google")</f>
        <v>0.0</v>
      </c>
      <c r="G747" s="2" t="n">
        <f>HYPERLINK("https://patentcenter.uspto.gov/applications/17368755","Patent Center")</f>
        <v>0.0</v>
      </c>
      <c r="H747" s="2" t="n">
        <f>HYPERLINK("https://worldwide.espacenet.com/patent/search?q=US20220064618","Espacenet")</f>
        <v>0.0</v>
      </c>
      <c r="I747" s="2" t="n">
        <f>HYPERLINK("https://ppubs.uspto.gov/pubwebapp/external.html?q=20220064618.pn.","USPTO")</f>
        <v>0.0</v>
      </c>
      <c r="J747" s="2" t="n">
        <f>HYPERLINK("https://image-ppubs.uspto.gov/dirsearch-public/print/downloadPdf/20220064618","USPTO PDF")</f>
        <v>0.0</v>
      </c>
      <c r="K747" s="2" t="n">
        <f>HYPERLINK("https://sectors.patentforecast.com/pmd/US20220064618","PMD")</f>
        <v>0.0</v>
      </c>
      <c r="L747" s="2" t="n">
        <f>HYPERLINK("https://globaldossier.uspto.gov/result/application/US/17368755/1","US20220064618")</f>
        <v>0.0</v>
      </c>
      <c r="M747" t="s">
        <v>5245</v>
      </c>
      <c r="N747" t="s">
        <v>5246</v>
      </c>
      <c r="O747" t="s">
        <v>5247</v>
      </c>
      <c r="P747" t="s">
        <v>5248</v>
      </c>
      <c r="Q747" s="3" t="n">
        <v>44383.0</v>
      </c>
      <c r="R747" s="3" t="n">
        <v>44623.0</v>
      </c>
      <c r="S747" s="3" t="n">
        <v>44624.18880285879</v>
      </c>
      <c r="T747" s="3" t="n">
        <v>44638.69519071759</v>
      </c>
      <c r="U747" t="s">
        <v>31</v>
      </c>
      <c r="V747" t="s">
        <v>5249</v>
      </c>
    </row>
    <row r="748">
      <c r="A748" t="s">
        <v>22</v>
      </c>
      <c r="B748" t="s">
        <v>5250</v>
      </c>
      <c r="C748" t="s">
        <v>60</v>
      </c>
      <c r="D748" t="s">
        <v>61</v>
      </c>
      <c r="E748" t="s">
        <v>5251</v>
      </c>
      <c r="F748" s="2" t="n">
        <f>HYPERLINK("https://patents.google.com/patent/US20220064268","Google")</f>
        <v>0.0</v>
      </c>
      <c r="G748" s="2" t="n">
        <f>HYPERLINK("https://patentcenter.uspto.gov/applications/17469493","Patent Center")</f>
        <v>0.0</v>
      </c>
      <c r="H748" s="2" t="n">
        <f>HYPERLINK("https://worldwide.espacenet.com/patent/search?q=US20220064268","Espacenet")</f>
        <v>0.0</v>
      </c>
      <c r="I748" s="2" t="n">
        <f>HYPERLINK("https://ppubs.uspto.gov/pubwebapp/external.html?q=20220064268.pn.","USPTO")</f>
        <v>0.0</v>
      </c>
      <c r="J748" s="2" t="n">
        <f>HYPERLINK("https://image-ppubs.uspto.gov/dirsearch-public/print/downloadPdf/20220064268","USPTO PDF")</f>
        <v>0.0</v>
      </c>
      <c r="K748" s="2" t="n">
        <f>HYPERLINK("https://sectors.patentforecast.com/pmd/US20220064268","PMD")</f>
        <v>0.0</v>
      </c>
      <c r="L748" s="2" t="n">
        <f>HYPERLINK("https://globaldossier.uspto.gov/result/application/US/17469493/1","US20220064268")</f>
        <v>0.0</v>
      </c>
      <c r="M748" t="s">
        <v>5252</v>
      </c>
      <c r="N748" t="s">
        <v>5253</v>
      </c>
      <c r="O748" t="s">
        <v>5254</v>
      </c>
      <c r="P748" t="s">
        <v>5255</v>
      </c>
      <c r="Q748" s="3" t="n">
        <v>44447.0</v>
      </c>
      <c r="R748" s="3" t="n">
        <v>44623.0</v>
      </c>
      <c r="S748" s="3" t="n">
        <v>44624.18880285879</v>
      </c>
      <c r="T748" s="3" t="n">
        <v>44719.59790739584</v>
      </c>
      <c r="U748" t="s">
        <v>31</v>
      </c>
      <c r="V748" t="s">
        <v>5256</v>
      </c>
    </row>
    <row r="749">
      <c r="A749" t="s">
        <v>22</v>
      </c>
      <c r="B749" t="s">
        <v>5257</v>
      </c>
      <c r="C749" t="s">
        <v>60</v>
      </c>
      <c r="D749" t="s">
        <v>77</v>
      </c>
      <c r="E749" t="s">
        <v>5258</v>
      </c>
      <c r="F749" s="2" t="n">
        <f>HYPERLINK("https://patents.google.com/patent/US20220064266","Google")</f>
        <v>0.0</v>
      </c>
      <c r="G749" s="2" t="n">
        <f>HYPERLINK("https://patentcenter.uspto.gov/applications/17242364","Patent Center")</f>
        <v>0.0</v>
      </c>
      <c r="H749" s="2" t="n">
        <f>HYPERLINK("https://worldwide.espacenet.com/patent/search?q=US20220064266","Espacenet")</f>
        <v>0.0</v>
      </c>
      <c r="I749" s="2" t="n">
        <f>HYPERLINK("https://ppubs.uspto.gov/pubwebapp/external.html?q=20220064266.pn.","USPTO")</f>
        <v>0.0</v>
      </c>
      <c r="J749" s="2" t="n">
        <f>HYPERLINK("https://image-ppubs.uspto.gov/dirsearch-public/print/downloadPdf/20220064266","USPTO PDF")</f>
        <v>0.0</v>
      </c>
      <c r="K749" s="2" t="n">
        <f>HYPERLINK("https://sectors.patentforecast.com/pmd/US20220064266","PMD")</f>
        <v>0.0</v>
      </c>
      <c r="L749" s="2" t="n">
        <f>HYPERLINK("https://globaldossier.uspto.gov/result/application/US/17242364/1","US20220064266")</f>
        <v>0.0</v>
      </c>
      <c r="M749" t="s">
        <v>5259</v>
      </c>
      <c r="N749" t="s">
        <v>5260</v>
      </c>
      <c r="O749" t="s">
        <v>5261</v>
      </c>
      <c r="P749" t="s">
        <v>5262</v>
      </c>
      <c r="Q749" s="3" t="n">
        <v>44314.0</v>
      </c>
      <c r="R749" s="3" t="n">
        <v>44623.0</v>
      </c>
      <c r="S749" s="3" t="n">
        <v>44624.18880285879</v>
      </c>
      <c r="T749" s="3" t="n">
        <v>44658.64722871528</v>
      </c>
      <c r="U749" t="s">
        <v>31</v>
      </c>
      <c r="V749" t="s">
        <v>5263</v>
      </c>
    </row>
    <row r="750">
      <c r="A750" t="s">
        <v>22</v>
      </c>
      <c r="B750" t="s">
        <v>5264</v>
      </c>
      <c r="C750" t="s">
        <v>132</v>
      </c>
      <c r="D750" t="s">
        <v>133</v>
      </c>
      <c r="E750" t="s">
        <v>5265</v>
      </c>
      <c r="F750" s="2" t="n">
        <f>HYPERLINK("https://patents.google.com/patent/US20220064265","Google")</f>
        <v>0.0</v>
      </c>
      <c r="G750" s="2" t="n">
        <f>HYPERLINK("https://patentcenter.uspto.gov/applications/16995829","Patent Center")</f>
        <v>0.0</v>
      </c>
      <c r="H750" s="2" t="n">
        <f>HYPERLINK("https://worldwide.espacenet.com/patent/search?q=US20220064265","Espacenet")</f>
        <v>0.0</v>
      </c>
      <c r="I750" s="2" t="n">
        <f>HYPERLINK("https://ppubs.uspto.gov/pubwebapp/external.html?q=20220064265.pn.","USPTO")</f>
        <v>0.0</v>
      </c>
      <c r="J750" s="2" t="n">
        <f>HYPERLINK("https://image-ppubs.uspto.gov/dirsearch-public/print/downloadPdf/20220064265","USPTO PDF")</f>
        <v>0.0</v>
      </c>
      <c r="K750" s="2" t="n">
        <f>HYPERLINK("https://sectors.patentforecast.com/pmd/US20220064265","PMD")</f>
        <v>0.0</v>
      </c>
      <c r="L750" s="2" t="n">
        <f>HYPERLINK("https://globaldossier.uspto.gov/result/application/US/16995829/1","US20220064265")</f>
        <v>0.0</v>
      </c>
      <c r="M750" t="s">
        <v>5266</v>
      </c>
      <c r="N750" t="s">
        <v>5267</v>
      </c>
      <c r="O750" t="s">
        <v>5268</v>
      </c>
      <c r="P750" t="s">
        <v>5269</v>
      </c>
      <c r="Q750" s="3" t="n">
        <v>44061.0</v>
      </c>
      <c r="R750" s="3" t="n">
        <v>44623.0</v>
      </c>
      <c r="S750" s="3" t="n">
        <v>44624.187757708336</v>
      </c>
      <c r="T750" s="3" t="n">
        <v>44638.68962553241</v>
      </c>
      <c r="U750" t="s">
        <v>31</v>
      </c>
      <c r="V750" t="s">
        <v>5270</v>
      </c>
    </row>
    <row r="751">
      <c r="A751" t="s">
        <v>22</v>
      </c>
      <c r="B751" t="s">
        <v>5271</v>
      </c>
      <c r="C751" t="s">
        <v>60</v>
      </c>
      <c r="D751" t="s">
        <v>61</v>
      </c>
      <c r="E751" t="s">
        <v>5272</v>
      </c>
      <c r="F751" s="2" t="n">
        <f>HYPERLINK("https://patents.google.com/patent/US20220064128","Google")</f>
        <v>0.0</v>
      </c>
      <c r="G751" s="2" t="n">
        <f>HYPERLINK("https://patentcenter.uspto.gov/applications/17445989","Patent Center")</f>
        <v>0.0</v>
      </c>
      <c r="H751" s="2" t="n">
        <f>HYPERLINK("https://worldwide.espacenet.com/patent/search?q=US20220064128","Espacenet")</f>
        <v>0.0</v>
      </c>
      <c r="I751" s="2" t="n">
        <f>HYPERLINK("https://ppubs.uspto.gov/pubwebapp/external.html?q=20220064128.pn.","USPTO")</f>
        <v>0.0</v>
      </c>
      <c r="J751" s="2" t="n">
        <f>HYPERLINK("https://image-ppubs.uspto.gov/dirsearch-public/print/downloadPdf/20220064128","USPTO PDF")</f>
        <v>0.0</v>
      </c>
      <c r="K751" s="2" t="n">
        <f>HYPERLINK("https://sectors.patentforecast.com/pmd/US20220064128","PMD")</f>
        <v>0.0</v>
      </c>
      <c r="L751" s="2" t="n">
        <f>HYPERLINK("https://globaldossier.uspto.gov/result/application/US/17445989/1","US20220064128")</f>
        <v>0.0</v>
      </c>
      <c r="M751" t="s">
        <v>5273</v>
      </c>
      <c r="N751" t="s">
        <v>5274</v>
      </c>
      <c r="O751" t="s">
        <v>5275</v>
      </c>
      <c r="P751" t="s">
        <v>5276</v>
      </c>
      <c r="Q751" s="3" t="n">
        <v>44434.0</v>
      </c>
      <c r="R751" s="3" t="n">
        <v>44623.0</v>
      </c>
      <c r="S751" s="3" t="n">
        <v>44624.18880285879</v>
      </c>
      <c r="T751" s="3" t="n">
        <v>44658.59430898148</v>
      </c>
      <c r="U751" t="s">
        <v>5277</v>
      </c>
      <c r="V751" t="s">
        <v>5278</v>
      </c>
    </row>
    <row r="752">
      <c r="A752" t="s">
        <v>22</v>
      </c>
      <c r="B752" t="s">
        <v>5279</v>
      </c>
      <c r="C752" t="s">
        <v>24</v>
      </c>
      <c r="D752" t="s">
        <v>100</v>
      </c>
      <c r="E752" t="s">
        <v>5280</v>
      </c>
      <c r="F752" s="2" t="n">
        <f>HYPERLINK("https://patents.google.com/patent/US20220064001","Google")</f>
        <v>0.0</v>
      </c>
      <c r="G752" s="2" t="n">
        <f>HYPERLINK("https://patentcenter.uspto.gov/applications/17009621","Patent Center")</f>
        <v>0.0</v>
      </c>
      <c r="H752" s="2" t="n">
        <f>HYPERLINK("https://worldwide.espacenet.com/patent/search?q=US20220064001","Espacenet")</f>
        <v>0.0</v>
      </c>
      <c r="I752" s="2" t="n">
        <f>HYPERLINK("https://ppubs.uspto.gov/pubwebapp/external.html?q=20220064001.pn.","USPTO")</f>
        <v>0.0</v>
      </c>
      <c r="J752" s="2" t="n">
        <f>HYPERLINK("https://image-ppubs.uspto.gov/dirsearch-public/print/downloadPdf/20220064001","USPTO PDF")</f>
        <v>0.0</v>
      </c>
      <c r="K752" s="2" t="n">
        <f>HYPERLINK("https://sectors.patentforecast.com/pmd/US20220064001","PMD")</f>
        <v>0.0</v>
      </c>
      <c r="L752" s="2" t="n">
        <f>HYPERLINK("https://globaldossier.uspto.gov/result/application/US/17009621/1","US20220064001")</f>
        <v>0.0</v>
      </c>
      <c r="M752" t="s">
        <v>5281</v>
      </c>
      <c r="N752" t="s">
        <v>5028</v>
      </c>
      <c r="O752" t="s">
        <v>5029</v>
      </c>
      <c r="P752" t="s">
        <v>5030</v>
      </c>
      <c r="Q752" s="3" t="n">
        <v>44075.0</v>
      </c>
      <c r="R752" s="3" t="n">
        <v>44623.0</v>
      </c>
      <c r="S752" s="3" t="n">
        <v>44624.18880285879</v>
      </c>
      <c r="T752" s="3" t="n">
        <v>44719.598613344904</v>
      </c>
      <c r="U752" t="s">
        <v>5282</v>
      </c>
      <c r="V752" t="s">
        <v>5283</v>
      </c>
    </row>
    <row r="753">
      <c r="A753" t="s">
        <v>22</v>
      </c>
      <c r="B753" t="s">
        <v>5284</v>
      </c>
      <c r="C753" t="s">
        <v>24</v>
      </c>
      <c r="D753" t="s">
        <v>69</v>
      </c>
      <c r="E753" t="s">
        <v>5285</v>
      </c>
      <c r="F753" s="2" t="n">
        <f>HYPERLINK("https://patents.google.com/patent/US20220063983","Google")</f>
        <v>0.0</v>
      </c>
      <c r="G753" s="2" t="n">
        <f>HYPERLINK("https://patentcenter.uspto.gov/applications/17411623","Patent Center")</f>
        <v>0.0</v>
      </c>
      <c r="H753" s="2" t="n">
        <f>HYPERLINK("https://worldwide.espacenet.com/patent/search?q=US20220063983","Espacenet")</f>
        <v>0.0</v>
      </c>
      <c r="I753" s="2" t="n">
        <f>HYPERLINK("https://ppubs.uspto.gov/pubwebapp/external.html?q=20220063983.pn.","USPTO")</f>
        <v>0.0</v>
      </c>
      <c r="J753" s="2" t="n">
        <f>HYPERLINK("https://image-ppubs.uspto.gov/dirsearch-public/print/downloadPdf/20220063983","USPTO PDF")</f>
        <v>0.0</v>
      </c>
      <c r="K753" s="2" t="n">
        <f>HYPERLINK("https://sectors.patentforecast.com/pmd/US20220063983","PMD")</f>
        <v>0.0</v>
      </c>
      <c r="L753" s="2" t="n">
        <f>HYPERLINK("https://globaldossier.uspto.gov/result/application/US/17411623/1","US20220063983")</f>
        <v>0.0</v>
      </c>
      <c r="M753" t="s">
        <v>5286</v>
      </c>
      <c r="N753" t="s">
        <v>5287</v>
      </c>
      <c r="O753" t="s">
        <v>5287</v>
      </c>
      <c r="P753" t="s">
        <v>5288</v>
      </c>
      <c r="Q753" s="3" t="n">
        <v>44433.0</v>
      </c>
      <c r="R753" s="3" t="n">
        <v>44623.0</v>
      </c>
      <c r="S753" s="3" t="n">
        <v>44624.18880285879</v>
      </c>
      <c r="T753" s="3" t="n">
        <v>44719.59873929398</v>
      </c>
      <c r="U753" t="s">
        <v>5289</v>
      </c>
      <c r="V753" t="s">
        <v>5290</v>
      </c>
    </row>
    <row r="754">
      <c r="A754" t="s">
        <v>22</v>
      </c>
      <c r="B754" t="s">
        <v>5291</v>
      </c>
      <c r="C754" t="s">
        <v>24</v>
      </c>
      <c r="D754" t="s">
        <v>69</v>
      </c>
      <c r="E754" t="s">
        <v>5292</v>
      </c>
      <c r="F754" s="2" t="n">
        <f>HYPERLINK("https://patents.google.com/patent/US20220063812","Google")</f>
        <v>0.0</v>
      </c>
      <c r="G754" s="2" t="n">
        <f>HYPERLINK("https://patentcenter.uspto.gov/applications/17463599","Patent Center")</f>
        <v>0.0</v>
      </c>
      <c r="H754" s="2" t="n">
        <f>HYPERLINK("https://worldwide.espacenet.com/patent/search?q=US20220063812","Espacenet")</f>
        <v>0.0</v>
      </c>
      <c r="I754" s="2" t="n">
        <f>HYPERLINK("https://ppubs.uspto.gov/pubwebapp/external.html?q=20220063812.pn.","USPTO")</f>
        <v>0.0</v>
      </c>
      <c r="J754" s="2" t="n">
        <f>HYPERLINK("https://image-ppubs.uspto.gov/dirsearch-public/print/downloadPdf/20220063812","USPTO PDF")</f>
        <v>0.0</v>
      </c>
      <c r="K754" s="2" t="n">
        <f>HYPERLINK("https://sectors.patentforecast.com/pmd/US20220063812","PMD")</f>
        <v>0.0</v>
      </c>
      <c r="L754" s="2" t="n">
        <f>HYPERLINK("https://globaldossier.uspto.gov/result/application/US/17463599/1","US20220063812")</f>
        <v>0.0</v>
      </c>
      <c r="M754" t="s">
        <v>5293</v>
      </c>
      <c r="N754" t="s">
        <v>5294</v>
      </c>
      <c r="O754" t="s">
        <v>5295</v>
      </c>
      <c r="P754" t="s">
        <v>5296</v>
      </c>
      <c r="Q754" s="3" t="n">
        <v>44440.0</v>
      </c>
      <c r="R754" s="3" t="n">
        <v>44623.0</v>
      </c>
      <c r="S754" s="3" t="n">
        <v>44624.18880285879</v>
      </c>
      <c r="T754" s="3" t="n">
        <v>44658.622448449074</v>
      </c>
      <c r="U754" t="s">
        <v>5297</v>
      </c>
      <c r="V754" t="s">
        <v>5298</v>
      </c>
    </row>
    <row r="755">
      <c r="A755" t="s">
        <v>22</v>
      </c>
      <c r="B755" t="s">
        <v>5299</v>
      </c>
      <c r="C755" t="s">
        <v>24</v>
      </c>
      <c r="D755" t="s">
        <v>100</v>
      </c>
      <c r="E755" t="s">
        <v>5300</v>
      </c>
      <c r="F755" s="2" t="n">
        <f>HYPERLINK("https://patents.google.com/patent/US20220062819","Google")</f>
        <v>0.0</v>
      </c>
      <c r="G755" s="2" t="n">
        <f>HYPERLINK("https://patentcenter.uspto.gov/applications/17458601","Patent Center")</f>
        <v>0.0</v>
      </c>
      <c r="H755" s="2" t="n">
        <f>HYPERLINK("https://worldwide.espacenet.com/patent/search?q=US20220062819","Espacenet")</f>
        <v>0.0</v>
      </c>
      <c r="I755" s="2" t="n">
        <f>HYPERLINK("https://ppubs.uspto.gov/pubwebapp/external.html?q=20220062819.pn.","USPTO")</f>
        <v>0.0</v>
      </c>
      <c r="J755" s="2" t="n">
        <f>HYPERLINK("https://image-ppubs.uspto.gov/dirsearch-public/print/downloadPdf/20220062819","USPTO PDF")</f>
        <v>0.0</v>
      </c>
      <c r="K755" s="2" t="n">
        <f>HYPERLINK("https://sectors.patentforecast.com/pmd/US20220062819","PMD")</f>
        <v>0.0</v>
      </c>
      <c r="L755" s="2" t="n">
        <f>HYPERLINK("https://globaldossier.uspto.gov/result/application/US/17458601/1","US20220062819")</f>
        <v>0.0</v>
      </c>
      <c r="M755" t="s">
        <v>5301</v>
      </c>
      <c r="N755" t="s">
        <v>5302</v>
      </c>
      <c r="O755" t="s">
        <v>5303</v>
      </c>
      <c r="P755" t="s">
        <v>5304</v>
      </c>
      <c r="Q755" s="3" t="n">
        <v>44435.0</v>
      </c>
      <c r="R755" s="3" t="n">
        <v>44623.0</v>
      </c>
      <c r="S755" s="3" t="n">
        <v>44624.18880285879</v>
      </c>
      <c r="T755" s="3" t="n">
        <v>44672.46506670139</v>
      </c>
      <c r="U755" t="s">
        <v>5305</v>
      </c>
      <c r="V755" t="s">
        <v>5306</v>
      </c>
    </row>
    <row r="756">
      <c r="A756" t="s">
        <v>22</v>
      </c>
      <c r="B756" t="s">
        <v>5307</v>
      </c>
      <c r="C756" t="s">
        <v>24</v>
      </c>
      <c r="D756" t="s">
        <v>100</v>
      </c>
      <c r="E756" t="s">
        <v>5308</v>
      </c>
      <c r="F756" s="2" t="n">
        <f>HYPERLINK("https://patents.google.com/patent/US20220062807","Google")</f>
        <v>0.0</v>
      </c>
      <c r="G756" s="2" t="n">
        <f>HYPERLINK("https://patentcenter.uspto.gov/applications/17412557","Patent Center")</f>
        <v>0.0</v>
      </c>
      <c r="H756" s="2" t="n">
        <f>HYPERLINK("https://worldwide.espacenet.com/patent/search?q=US20220062807","Espacenet")</f>
        <v>0.0</v>
      </c>
      <c r="I756" s="2" t="n">
        <f>HYPERLINK("https://ppubs.uspto.gov/pubwebapp/external.html?q=20220062807.pn.","USPTO")</f>
        <v>0.0</v>
      </c>
      <c r="J756" s="2" t="n">
        <f>HYPERLINK("https://image-ppubs.uspto.gov/dirsearch-public/print/downloadPdf/20220062807","USPTO PDF")</f>
        <v>0.0</v>
      </c>
      <c r="K756" s="2" t="n">
        <f>HYPERLINK("https://sectors.patentforecast.com/pmd/US20220062807","PMD")</f>
        <v>0.0</v>
      </c>
      <c r="L756" s="2" t="n">
        <f>HYPERLINK("https://globaldossier.uspto.gov/result/application/US/17412557/1","US20220062807")</f>
        <v>0.0</v>
      </c>
      <c r="M756" t="s">
        <v>5309</v>
      </c>
      <c r="N756" t="s">
        <v>2232</v>
      </c>
      <c r="O756" t="s">
        <v>2232</v>
      </c>
      <c r="P756" t="s">
        <v>5310</v>
      </c>
      <c r="Q756" s="3" t="n">
        <v>44434.0</v>
      </c>
      <c r="R756" s="3" t="n">
        <v>44623.0</v>
      </c>
      <c r="S756" s="3" t="n">
        <v>44624.18880285879</v>
      </c>
      <c r="T756" s="3" t="n">
        <v>44643.447062060186</v>
      </c>
      <c r="U756" t="s">
        <v>5311</v>
      </c>
      <c r="V756" t="s">
        <v>5312</v>
      </c>
    </row>
    <row r="757">
      <c r="A757" t="s">
        <v>22</v>
      </c>
      <c r="B757" t="s">
        <v>5313</v>
      </c>
      <c r="C757" t="s">
        <v>24</v>
      </c>
      <c r="D757" t="s">
        <v>69</v>
      </c>
      <c r="E757" t="s">
        <v>5314</v>
      </c>
      <c r="F757" s="2" t="n">
        <f>HYPERLINK("https://patents.google.com/patent/US20220062670","Google")</f>
        <v>0.0</v>
      </c>
      <c r="G757" s="2" t="n">
        <f>HYPERLINK("https://patentcenter.uspto.gov/applications/17083640","Patent Center")</f>
        <v>0.0</v>
      </c>
      <c r="H757" s="2" t="n">
        <f>HYPERLINK("https://worldwide.espacenet.com/patent/search?q=US20220062670","Espacenet")</f>
        <v>0.0</v>
      </c>
      <c r="I757" s="2" t="n">
        <f>HYPERLINK("https://ppubs.uspto.gov/pubwebapp/external.html?q=20220062670.pn.","USPTO")</f>
        <v>0.0</v>
      </c>
      <c r="J757" s="2" t="n">
        <f>HYPERLINK("https://image-ppubs.uspto.gov/dirsearch-public/print/downloadPdf/20220062670","USPTO PDF")</f>
        <v>0.0</v>
      </c>
      <c r="K757" s="2" t="n">
        <f>HYPERLINK("https://sectors.patentforecast.com/pmd/US20220062670","PMD")</f>
        <v>0.0</v>
      </c>
      <c r="L757" s="2" t="n">
        <f>HYPERLINK("https://globaldossier.uspto.gov/result/application/US/17083640/1","US20220062670")</f>
        <v>0.0</v>
      </c>
      <c r="M757" t="s">
        <v>5315</v>
      </c>
      <c r="N757" t="s">
        <v>5316</v>
      </c>
      <c r="O757" t="s">
        <v>5316</v>
      </c>
      <c r="P757" t="s">
        <v>5317</v>
      </c>
      <c r="Q757" s="3" t="n">
        <v>44133.0</v>
      </c>
      <c r="R757" s="3" t="n">
        <v>44623.0</v>
      </c>
      <c r="S757" s="3" t="n">
        <v>44624.18880285879</v>
      </c>
      <c r="T757" s="3" t="n">
        <v>44658.61965958333</v>
      </c>
      <c r="U757" t="s">
        <v>31</v>
      </c>
      <c r="V757" t="s">
        <v>5318</v>
      </c>
    </row>
    <row r="758">
      <c r="A758" t="s">
        <v>22</v>
      </c>
      <c r="B758" t="s">
        <v>5319</v>
      </c>
      <c r="C758" t="s">
        <v>561</v>
      </c>
      <c r="D758" t="s">
        <v>562</v>
      </c>
      <c r="E758" t="s">
        <v>5320</v>
      </c>
      <c r="F758" s="2" t="n">
        <f>HYPERLINK("https://patents.google.com/patent/US20220062622","Google")</f>
        <v>0.0</v>
      </c>
      <c r="G758" s="2" t="n">
        <f>HYPERLINK("https://patentcenter.uspto.gov/applications/17491313","Patent Center")</f>
        <v>0.0</v>
      </c>
      <c r="H758" s="2" t="n">
        <f>HYPERLINK("https://worldwide.espacenet.com/patent/search?q=US20220062622","Espacenet")</f>
        <v>0.0</v>
      </c>
      <c r="I758" s="2" t="n">
        <f>HYPERLINK("https://ppubs.uspto.gov/pubwebapp/external.html?q=20220062622.pn.","USPTO")</f>
        <v>0.0</v>
      </c>
      <c r="J758" s="2" t="n">
        <f>HYPERLINK("https://image-ppubs.uspto.gov/dirsearch-public/print/downloadPdf/20220062622","USPTO PDF")</f>
        <v>0.0</v>
      </c>
      <c r="K758" s="2" t="n">
        <f>HYPERLINK("https://sectors.patentforecast.com/pmd/US20220062622","PMD")</f>
        <v>0.0</v>
      </c>
      <c r="L758" s="2" t="n">
        <f>HYPERLINK("https://globaldossier.uspto.gov/result/application/US/17491313/1","US20220062622")</f>
        <v>0.0</v>
      </c>
      <c r="M758" t="s">
        <v>5321</v>
      </c>
      <c r="N758" t="s">
        <v>5322</v>
      </c>
      <c r="O758" t="s">
        <v>5323</v>
      </c>
      <c r="P758" t="s">
        <v>5324</v>
      </c>
      <c r="Q758" s="3" t="n">
        <v>44469.0</v>
      </c>
      <c r="R758" s="3" t="n">
        <v>44623.0</v>
      </c>
      <c r="S758" s="3" t="n">
        <v>44624.18880285879</v>
      </c>
      <c r="T758" s="3" t="n">
        <v>44719.599695902776</v>
      </c>
      <c r="U758" t="s">
        <v>5325</v>
      </c>
      <c r="V758" t="s">
        <v>5326</v>
      </c>
    </row>
    <row r="759">
      <c r="A759" t="s">
        <v>22</v>
      </c>
      <c r="B759" t="s">
        <v>5327</v>
      </c>
      <c r="C759" t="s">
        <v>60</v>
      </c>
      <c r="D759" t="s">
        <v>715</v>
      </c>
      <c r="E759" t="s">
        <v>5328</v>
      </c>
      <c r="F759" s="2" t="n">
        <f>HYPERLINK("https://patents.google.com/patent/US20220062571","Google")</f>
        <v>0.0</v>
      </c>
      <c r="G759" s="2" t="n">
        <f>HYPERLINK("https://patentcenter.uspto.gov/applications/17412712","Patent Center")</f>
        <v>0.0</v>
      </c>
      <c r="H759" s="2" t="n">
        <f>HYPERLINK("https://worldwide.espacenet.com/patent/search?q=US20220062571","Espacenet")</f>
        <v>0.0</v>
      </c>
      <c r="I759" s="2" t="n">
        <f>HYPERLINK("https://ppubs.uspto.gov/pubwebapp/external.html?q=20220062571.pn.","USPTO")</f>
        <v>0.0</v>
      </c>
      <c r="J759" s="2" t="n">
        <f>HYPERLINK("https://image-ppubs.uspto.gov/dirsearch-public/print/downloadPdf/20220062571","USPTO PDF")</f>
        <v>0.0</v>
      </c>
      <c r="K759" s="2" t="n">
        <f>HYPERLINK("https://sectors.patentforecast.com/pmd/US20220062571","PMD")</f>
        <v>0.0</v>
      </c>
      <c r="L759" s="2" t="n">
        <f>HYPERLINK("https://globaldossier.uspto.gov/result/application/US/17412712/1","US20220062571")</f>
        <v>0.0</v>
      </c>
      <c r="M759" t="s">
        <v>5329</v>
      </c>
      <c r="N759" t="s">
        <v>5330</v>
      </c>
      <c r="O759" t="s">
        <v>5330</v>
      </c>
      <c r="P759" t="s">
        <v>5331</v>
      </c>
      <c r="Q759" s="3" t="n">
        <v>44434.0</v>
      </c>
      <c r="R759" s="3" t="n">
        <v>44623.0</v>
      </c>
      <c r="S759" s="3" t="n">
        <v>44624.18880285879</v>
      </c>
      <c r="T759" s="3" t="n">
        <v>44672.4839965162</v>
      </c>
      <c r="U759" t="s">
        <v>31</v>
      </c>
      <c r="V759" t="s">
        <v>5332</v>
      </c>
    </row>
    <row r="760">
      <c r="A760" t="s">
        <v>22</v>
      </c>
      <c r="B760" t="s">
        <v>5333</v>
      </c>
      <c r="C760" t="s">
        <v>60</v>
      </c>
      <c r="D760" t="s">
        <v>715</v>
      </c>
      <c r="E760" t="s">
        <v>5334</v>
      </c>
      <c r="F760" s="2" t="n">
        <f>HYPERLINK("https://patents.google.com/patent/US20220062524","Google")</f>
        <v>0.0</v>
      </c>
      <c r="G760" s="2" t="n">
        <f>HYPERLINK("https://patentcenter.uspto.gov/applications/17392482","Patent Center")</f>
        <v>0.0</v>
      </c>
      <c r="H760" s="2" t="n">
        <f>HYPERLINK("https://worldwide.espacenet.com/patent/search?q=US20220062524","Espacenet")</f>
        <v>0.0</v>
      </c>
      <c r="I760" s="2" t="n">
        <f>HYPERLINK("https://ppubs.uspto.gov/pubwebapp/external.html?q=20220062524.pn.","USPTO")</f>
        <v>0.0</v>
      </c>
      <c r="J760" s="2" t="n">
        <f>HYPERLINK("https://image-ppubs.uspto.gov/dirsearch-public/print/downloadPdf/20220062524","USPTO PDF")</f>
        <v>0.0</v>
      </c>
      <c r="K760" s="2" t="n">
        <f>HYPERLINK("https://sectors.patentforecast.com/pmd/US20220062524","PMD")</f>
        <v>0.0</v>
      </c>
      <c r="L760" s="2" t="n">
        <f>HYPERLINK("https://globaldossier.uspto.gov/result/application/US/17392482/1","US20220062524")</f>
        <v>0.0</v>
      </c>
      <c r="M760" t="s">
        <v>5335</v>
      </c>
      <c r="N760" t="s">
        <v>5336</v>
      </c>
      <c r="O760" t="s">
        <v>5337</v>
      </c>
      <c r="P760" t="s">
        <v>5338</v>
      </c>
      <c r="Q760" s="3" t="n">
        <v>44411.0</v>
      </c>
      <c r="R760" s="3" t="n">
        <v>44623.0</v>
      </c>
      <c r="S760" s="3" t="n">
        <v>44624.18880285879</v>
      </c>
      <c r="T760" s="3" t="n">
        <v>44672.37957722222</v>
      </c>
      <c r="U760" t="s">
        <v>5339</v>
      </c>
      <c r="V760" t="s">
        <v>5340</v>
      </c>
    </row>
    <row r="761">
      <c r="A761" t="s">
        <v>22</v>
      </c>
      <c r="B761" t="s">
        <v>5341</v>
      </c>
      <c r="C761" t="s">
        <v>24</v>
      </c>
      <c r="D761" t="s">
        <v>100</v>
      </c>
      <c r="E761" t="s">
        <v>5342</v>
      </c>
      <c r="F761" s="2" t="n">
        <f>HYPERLINK("https://patents.google.com/patent/US20220062479","Google")</f>
        <v>0.0</v>
      </c>
      <c r="G761" s="2" t="n">
        <f>HYPERLINK("https://patentcenter.uspto.gov/applications/17073867","Patent Center")</f>
        <v>0.0</v>
      </c>
      <c r="H761" s="2" t="n">
        <f>HYPERLINK("https://worldwide.espacenet.com/patent/search?q=US20220062479","Espacenet")</f>
        <v>0.0</v>
      </c>
      <c r="I761" s="2" t="n">
        <f>HYPERLINK("https://ppubs.uspto.gov/pubwebapp/external.html?q=20220062479.pn.","USPTO")</f>
        <v>0.0</v>
      </c>
      <c r="J761" s="2" t="n">
        <f>HYPERLINK("https://image-ppubs.uspto.gov/dirsearch-public/print/downloadPdf/20220062479","USPTO PDF")</f>
        <v>0.0</v>
      </c>
      <c r="K761" s="2" t="n">
        <f>HYPERLINK("https://sectors.patentforecast.com/pmd/US20220062479","PMD")</f>
        <v>0.0</v>
      </c>
      <c r="L761" s="2" t="n">
        <f>HYPERLINK("https://globaldossier.uspto.gov/result/application/US/17073867/1","US20220062479")</f>
        <v>0.0</v>
      </c>
      <c r="M761" t="s">
        <v>5343</v>
      </c>
      <c r="N761" t="s">
        <v>5344</v>
      </c>
      <c r="O761" t="s">
        <v>5345</v>
      </c>
      <c r="P761" t="s">
        <v>5346</v>
      </c>
      <c r="Q761" s="3" t="n">
        <v>44123.0</v>
      </c>
      <c r="R761" s="3" t="n">
        <v>44623.0</v>
      </c>
      <c r="S761" s="3" t="n">
        <v>44624.18880285879</v>
      </c>
      <c r="T761" s="3" t="n">
        <v>44658.62137291667</v>
      </c>
      <c r="U761" t="s">
        <v>5347</v>
      </c>
      <c r="V761" t="s">
        <v>5348</v>
      </c>
    </row>
    <row r="762">
      <c r="A762" t="s">
        <v>22</v>
      </c>
      <c r="B762" t="s">
        <v>5349</v>
      </c>
      <c r="C762" t="s">
        <v>24</v>
      </c>
      <c r="D762" t="s">
        <v>100</v>
      </c>
      <c r="E762" t="s">
        <v>5350</v>
      </c>
      <c r="F762" s="2" t="n">
        <f>HYPERLINK("https://patents.google.com/patent/US20220062475","Google")</f>
        <v>0.0</v>
      </c>
      <c r="G762" s="2" t="n">
        <f>HYPERLINK("https://patentcenter.uspto.gov/applications/17410144","Patent Center")</f>
        <v>0.0</v>
      </c>
      <c r="H762" s="2" t="n">
        <f>HYPERLINK("https://worldwide.espacenet.com/patent/search?q=US20220062475","Espacenet")</f>
        <v>0.0</v>
      </c>
      <c r="I762" s="2" t="n">
        <f>HYPERLINK("https://ppubs.uspto.gov/pubwebapp/external.html?q=20220062475.pn.","USPTO")</f>
        <v>0.0</v>
      </c>
      <c r="J762" s="2" t="n">
        <f>HYPERLINK("https://image-ppubs.uspto.gov/dirsearch-public/print/downloadPdf/20220062475","USPTO PDF")</f>
        <v>0.0</v>
      </c>
      <c r="K762" s="2" t="n">
        <f>HYPERLINK("https://sectors.patentforecast.com/pmd/US20220062475","PMD")</f>
        <v>0.0</v>
      </c>
      <c r="L762" s="2" t="n">
        <f>HYPERLINK("https://globaldossier.uspto.gov/result/application/US/17410144/1","US20220062475")</f>
        <v>0.0</v>
      </c>
      <c r="M762" t="s">
        <v>5351</v>
      </c>
      <c r="N762" t="s">
        <v>5352</v>
      </c>
      <c r="O762" t="s">
        <v>5352</v>
      </c>
      <c r="P762" t="s">
        <v>5353</v>
      </c>
      <c r="Q762" s="3" t="n">
        <v>44432.0</v>
      </c>
      <c r="R762" s="3" t="n">
        <v>44623.0</v>
      </c>
      <c r="S762" s="3" t="n">
        <v>44624.18868424769</v>
      </c>
      <c r="T762" s="3" t="n">
        <v>44672.438093310186</v>
      </c>
      <c r="U762" t="s">
        <v>5354</v>
      </c>
      <c r="V762" t="s">
        <v>5355</v>
      </c>
    </row>
    <row r="763">
      <c r="A763" t="s">
        <v>22</v>
      </c>
      <c r="B763" t="s">
        <v>5356</v>
      </c>
      <c r="C763" t="s">
        <v>24</v>
      </c>
      <c r="D763" t="s">
        <v>100</v>
      </c>
      <c r="E763" t="s">
        <v>5357</v>
      </c>
      <c r="F763" s="2" t="n">
        <f>HYPERLINK("https://patents.google.com/patent/US20220062474","Google")</f>
        <v>0.0</v>
      </c>
      <c r="G763" s="2" t="n">
        <f>HYPERLINK("https://patentcenter.uspto.gov/applications/17405178","Patent Center")</f>
        <v>0.0</v>
      </c>
      <c r="H763" s="2" t="n">
        <f>HYPERLINK("https://worldwide.espacenet.com/patent/search?q=US20220062474","Espacenet")</f>
        <v>0.0</v>
      </c>
      <c r="I763" s="2" t="n">
        <f>HYPERLINK("https://ppubs.uspto.gov/pubwebapp/external.html?q=20220062474.pn.","USPTO")</f>
        <v>0.0</v>
      </c>
      <c r="J763" s="2" t="n">
        <f>HYPERLINK("https://image-ppubs.uspto.gov/dirsearch-public/print/downloadPdf/20220062474","USPTO PDF")</f>
        <v>0.0</v>
      </c>
      <c r="K763" s="2" t="n">
        <f>HYPERLINK("https://sectors.patentforecast.com/pmd/US20220062474","PMD")</f>
        <v>0.0</v>
      </c>
      <c r="L763" s="2" t="n">
        <f>HYPERLINK("https://globaldossier.uspto.gov/result/application/US/17405178/1","US20220062474")</f>
        <v>0.0</v>
      </c>
      <c r="M763" t="s">
        <v>5358</v>
      </c>
      <c r="N763" t="s">
        <v>1467</v>
      </c>
      <c r="O763" t="s">
        <v>1468</v>
      </c>
      <c r="P763" t="s">
        <v>5359</v>
      </c>
      <c r="Q763" s="3" t="n">
        <v>44426.0</v>
      </c>
      <c r="R763" s="3" t="n">
        <v>44623.0</v>
      </c>
      <c r="S763" s="3" t="n">
        <v>44624.18868424769</v>
      </c>
      <c r="T763" s="3" t="n">
        <v>44658.62137291667</v>
      </c>
      <c r="U763" t="s">
        <v>5360</v>
      </c>
      <c r="V763" t="s">
        <v>5361</v>
      </c>
    </row>
    <row r="764">
      <c r="A764" t="s">
        <v>22</v>
      </c>
      <c r="B764" t="s">
        <v>5362</v>
      </c>
      <c r="C764" t="s">
        <v>24</v>
      </c>
      <c r="D764" t="s">
        <v>69</v>
      </c>
      <c r="E764" t="s">
        <v>5363</v>
      </c>
      <c r="F764" s="2" t="n">
        <f>HYPERLINK("https://patents.google.com/patent/US20220062472","Google")</f>
        <v>0.0</v>
      </c>
      <c r="G764" s="2" t="n">
        <f>HYPERLINK("https://patentcenter.uspto.gov/applications/17381977","Patent Center")</f>
        <v>0.0</v>
      </c>
      <c r="H764" s="2" t="n">
        <f>HYPERLINK("https://worldwide.espacenet.com/patent/search?q=US20220062472","Espacenet")</f>
        <v>0.0</v>
      </c>
      <c r="I764" s="2" t="n">
        <f>HYPERLINK("https://ppubs.uspto.gov/pubwebapp/external.html?q=20220062472.pn.","USPTO")</f>
        <v>0.0</v>
      </c>
      <c r="J764" s="2" t="n">
        <f>HYPERLINK("https://image-ppubs.uspto.gov/dirsearch-public/print/downloadPdf/20220062472","USPTO PDF")</f>
        <v>0.0</v>
      </c>
      <c r="K764" s="2" t="n">
        <f>HYPERLINK("https://sectors.patentforecast.com/pmd/US20220062472","PMD")</f>
        <v>0.0</v>
      </c>
      <c r="L764" s="2" t="n">
        <f>HYPERLINK("https://globaldossier.uspto.gov/result/application/US/17381977/1","US20220062472")</f>
        <v>0.0</v>
      </c>
      <c r="M764" t="s">
        <v>5364</v>
      </c>
      <c r="N764" t="s">
        <v>5365</v>
      </c>
      <c r="O764" t="s">
        <v>5366</v>
      </c>
      <c r="P764" t="s">
        <v>5367</v>
      </c>
      <c r="Q764" s="3" t="n">
        <v>44398.0</v>
      </c>
      <c r="R764" s="3" t="n">
        <v>44623.0</v>
      </c>
      <c r="S764" s="3" t="n">
        <v>44624.18868424769</v>
      </c>
      <c r="T764" s="3" t="n">
        <v>44672.41180775463</v>
      </c>
      <c r="U764" t="s">
        <v>31</v>
      </c>
      <c r="V764" t="s">
        <v>5368</v>
      </c>
    </row>
    <row r="765">
      <c r="A765" t="s">
        <v>22</v>
      </c>
      <c r="B765" t="s">
        <v>5369</v>
      </c>
      <c r="C765" t="s">
        <v>24</v>
      </c>
      <c r="D765" t="s">
        <v>69</v>
      </c>
      <c r="E765" t="s">
        <v>5363</v>
      </c>
      <c r="F765" s="2" t="n">
        <f>HYPERLINK("https://patents.google.com/patent/US20220062470","Google")</f>
        <v>0.0</v>
      </c>
      <c r="G765" s="2" t="n">
        <f>HYPERLINK("https://patentcenter.uspto.gov/applications/17319990","Patent Center")</f>
        <v>0.0</v>
      </c>
      <c r="H765" s="2" t="n">
        <f>HYPERLINK("https://worldwide.espacenet.com/patent/search?q=US20220062470","Espacenet")</f>
        <v>0.0</v>
      </c>
      <c r="I765" s="2" t="n">
        <f>HYPERLINK("https://ppubs.uspto.gov/pubwebapp/external.html?q=20220062470.pn.","USPTO")</f>
        <v>0.0</v>
      </c>
      <c r="J765" s="2" t="n">
        <f>HYPERLINK("https://image-ppubs.uspto.gov/dirsearch-public/print/downloadPdf/20220062470","USPTO PDF")</f>
        <v>0.0</v>
      </c>
      <c r="K765" s="2" t="n">
        <f>HYPERLINK("https://sectors.patentforecast.com/pmd/US20220062470","PMD")</f>
        <v>0.0</v>
      </c>
      <c r="L765" s="2" t="n">
        <f>HYPERLINK("https://globaldossier.uspto.gov/result/application/US/17319990/1","US20220062470")</f>
        <v>0.0</v>
      </c>
      <c r="M765" t="s">
        <v>5370</v>
      </c>
      <c r="N765" t="s">
        <v>5365</v>
      </c>
      <c r="O765" t="s">
        <v>5366</v>
      </c>
      <c r="P765" t="s">
        <v>5367</v>
      </c>
      <c r="Q765" s="3" t="n">
        <v>44329.0</v>
      </c>
      <c r="R765" s="3" t="n">
        <v>44623.0</v>
      </c>
      <c r="S765" s="3" t="n">
        <v>44624.18868424769</v>
      </c>
      <c r="T765" s="3" t="n">
        <v>44672.41180775463</v>
      </c>
      <c r="U765" t="s">
        <v>31</v>
      </c>
      <c r="V765" t="s">
        <v>5371</v>
      </c>
    </row>
    <row r="766">
      <c r="A766" t="s">
        <v>22</v>
      </c>
      <c r="B766" t="s">
        <v>5372</v>
      </c>
      <c r="C766" t="s">
        <v>24</v>
      </c>
      <c r="D766" t="s">
        <v>69</v>
      </c>
      <c r="E766" t="s">
        <v>5373</v>
      </c>
      <c r="F766" s="2" t="n">
        <f>HYPERLINK("https://patents.google.com/patent/US20220062468","Google")</f>
        <v>0.0</v>
      </c>
      <c r="G766" s="2" t="n">
        <f>HYPERLINK("https://patentcenter.uspto.gov/applications/17186832","Patent Center")</f>
        <v>0.0</v>
      </c>
      <c r="H766" s="2" t="n">
        <f>HYPERLINK("https://worldwide.espacenet.com/patent/search?q=US20220062468","Espacenet")</f>
        <v>0.0</v>
      </c>
      <c r="I766" s="2" t="n">
        <f>HYPERLINK("https://ppubs.uspto.gov/pubwebapp/external.html?q=20220062468.pn.","USPTO")</f>
        <v>0.0</v>
      </c>
      <c r="J766" s="2" t="n">
        <f>HYPERLINK("https://image-ppubs.uspto.gov/dirsearch-public/print/downloadPdf/20220062468","USPTO PDF")</f>
        <v>0.0</v>
      </c>
      <c r="K766" s="2" t="n">
        <f>HYPERLINK("https://sectors.patentforecast.com/pmd/US20220062468","PMD")</f>
        <v>0.0</v>
      </c>
      <c r="L766" s="2" t="n">
        <f>HYPERLINK("https://globaldossier.uspto.gov/result/application/US/17186832/1","US20220062468")</f>
        <v>0.0</v>
      </c>
      <c r="M766" t="s">
        <v>5374</v>
      </c>
      <c r="N766" t="s">
        <v>5375</v>
      </c>
      <c r="O766" t="s">
        <v>5376</v>
      </c>
      <c r="P766" t="s">
        <v>5377</v>
      </c>
      <c r="Q766" s="3" t="n">
        <v>44253.0</v>
      </c>
      <c r="R766" s="3" t="n">
        <v>44623.0</v>
      </c>
      <c r="S766" s="3" t="n">
        <v>44643.24305162037</v>
      </c>
      <c r="T766" s="3" t="n">
        <v>44658.61663806713</v>
      </c>
      <c r="U766" t="s">
        <v>5378</v>
      </c>
      <c r="V766" t="s">
        <v>5379</v>
      </c>
    </row>
    <row r="767">
      <c r="A767" t="s">
        <v>22</v>
      </c>
      <c r="B767" t="s">
        <v>5380</v>
      </c>
      <c r="C767" t="s">
        <v>24</v>
      </c>
      <c r="D767" t="s">
        <v>100</v>
      </c>
      <c r="E767" t="s">
        <v>5381</v>
      </c>
      <c r="F767" s="2" t="n">
        <f>HYPERLINK("https://patents.google.com/patent/US20220062467","Google")</f>
        <v>0.0</v>
      </c>
      <c r="G767" s="2" t="n">
        <f>HYPERLINK("https://patentcenter.uspto.gov/applications/17184913","Patent Center")</f>
        <v>0.0</v>
      </c>
      <c r="H767" s="2" t="n">
        <f>HYPERLINK("https://worldwide.espacenet.com/patent/search?q=US20220062467","Espacenet")</f>
        <v>0.0</v>
      </c>
      <c r="I767" s="2" t="n">
        <f>HYPERLINK("https://ppubs.uspto.gov/pubwebapp/external.html?q=20220062467.pn.","USPTO")</f>
        <v>0.0</v>
      </c>
      <c r="J767" s="2" t="n">
        <f>HYPERLINK("https://image-ppubs.uspto.gov/dirsearch-public/print/downloadPdf/20220062467","USPTO PDF")</f>
        <v>0.0</v>
      </c>
      <c r="K767" s="2" t="n">
        <f>HYPERLINK("https://sectors.patentforecast.com/pmd/US20220062467","PMD")</f>
        <v>0.0</v>
      </c>
      <c r="L767" s="2" t="n">
        <f>HYPERLINK("https://globaldossier.uspto.gov/result/application/US/17184913/1","US20220062467")</f>
        <v>0.0</v>
      </c>
      <c r="M767" t="s">
        <v>5382</v>
      </c>
      <c r="N767" t="s">
        <v>5383</v>
      </c>
      <c r="O767" t="s">
        <v>5384</v>
      </c>
      <c r="P767" t="s">
        <v>5385</v>
      </c>
      <c r="Q767" s="3" t="n">
        <v>44252.0</v>
      </c>
      <c r="R767" s="3" t="n">
        <v>44623.0</v>
      </c>
      <c r="S767" s="3" t="n">
        <v>44643.24305162037</v>
      </c>
      <c r="T767" s="3" t="n">
        <v>44719.59976571759</v>
      </c>
      <c r="U767" t="s">
        <v>5386</v>
      </c>
      <c r="V767" t="s">
        <v>5387</v>
      </c>
    </row>
    <row r="768">
      <c r="A768" t="s">
        <v>22</v>
      </c>
      <c r="B768" t="s">
        <v>5388</v>
      </c>
      <c r="C768" t="s">
        <v>24</v>
      </c>
      <c r="D768" t="s">
        <v>100</v>
      </c>
      <c r="E768" t="s">
        <v>5389</v>
      </c>
      <c r="F768" s="2" t="n">
        <f>HYPERLINK("https://patents.google.com/patent/US20220062465","Google")</f>
        <v>0.0</v>
      </c>
      <c r="G768" s="2" t="n">
        <f>HYPERLINK("https://patentcenter.uspto.gov/applications/17012043","Patent Center")</f>
        <v>0.0</v>
      </c>
      <c r="H768" s="2" t="n">
        <f>HYPERLINK("https://worldwide.espacenet.com/patent/search?q=US20220062465","Espacenet")</f>
        <v>0.0</v>
      </c>
      <c r="I768" s="2" t="n">
        <f>HYPERLINK("https://ppubs.uspto.gov/pubwebapp/external.html?q=20220062465.pn.","USPTO")</f>
        <v>0.0</v>
      </c>
      <c r="J768" s="2" t="n">
        <f>HYPERLINK("https://image-ppubs.uspto.gov/dirsearch-public/print/downloadPdf/20220062465","USPTO PDF")</f>
        <v>0.0</v>
      </c>
      <c r="K768" s="2" t="n">
        <f>HYPERLINK("https://sectors.patentforecast.com/pmd/US20220062465","PMD")</f>
        <v>0.0</v>
      </c>
      <c r="L768" s="2" t="n">
        <f>HYPERLINK("https://globaldossier.uspto.gov/result/application/US/17012043/1","US20220062465")</f>
        <v>0.0</v>
      </c>
      <c r="M768" t="s">
        <v>5390</v>
      </c>
      <c r="N768" t="s">
        <v>5391</v>
      </c>
      <c r="O768" t="s">
        <v>5392</v>
      </c>
      <c r="P768" t="s">
        <v>5393</v>
      </c>
      <c r="Q768" s="3" t="n">
        <v>44077.0</v>
      </c>
      <c r="R768" s="3" t="n">
        <v>44623.0</v>
      </c>
      <c r="S768" s="3" t="n">
        <v>44624.18868424769</v>
      </c>
      <c r="T768" s="3" t="n">
        <v>44719.599802847224</v>
      </c>
      <c r="U768" t="s">
        <v>31</v>
      </c>
      <c r="V768" t="s">
        <v>5394</v>
      </c>
    </row>
    <row r="769">
      <c r="A769" t="s">
        <v>22</v>
      </c>
      <c r="B769" t="s">
        <v>5395</v>
      </c>
      <c r="C769" t="s">
        <v>24</v>
      </c>
      <c r="D769" t="s">
        <v>69</v>
      </c>
      <c r="E769" t="s">
        <v>5396</v>
      </c>
      <c r="F769" s="2" t="n">
        <f>HYPERLINK("https://patents.google.com/patent/US20220062463","Google")</f>
        <v>0.0</v>
      </c>
      <c r="G769" s="2" t="n">
        <f>HYPERLINK("https://patentcenter.uspto.gov/applications/17005971","Patent Center")</f>
        <v>0.0</v>
      </c>
      <c r="H769" s="2" t="n">
        <f>HYPERLINK("https://worldwide.espacenet.com/patent/search?q=US20220062463","Espacenet")</f>
        <v>0.0</v>
      </c>
      <c r="I769" s="2" t="n">
        <f>HYPERLINK("https://ppubs.uspto.gov/pubwebapp/external.html?q=20220062463.pn.","USPTO")</f>
        <v>0.0</v>
      </c>
      <c r="J769" s="2" t="n">
        <f>HYPERLINK("https://image-ppubs.uspto.gov/dirsearch-public/print/downloadPdf/20220062463","USPTO PDF")</f>
        <v>0.0</v>
      </c>
      <c r="K769" s="2" t="n">
        <f>HYPERLINK("https://sectors.patentforecast.com/pmd/US20220062463","PMD")</f>
        <v>0.0</v>
      </c>
      <c r="L769" s="2" t="n">
        <f>HYPERLINK("https://globaldossier.uspto.gov/result/application/US/17005971/1","US20220062463")</f>
        <v>0.0</v>
      </c>
      <c r="M769" t="s">
        <v>5397</v>
      </c>
      <c r="N769" t="s">
        <v>5375</v>
      </c>
      <c r="O769" t="s">
        <v>5376</v>
      </c>
      <c r="P769" t="s">
        <v>5398</v>
      </c>
      <c r="Q769" s="3" t="n">
        <v>44071.0</v>
      </c>
      <c r="R769" s="3" t="n">
        <v>44623.0</v>
      </c>
      <c r="S769" s="3" t="n">
        <v>44643.24305162037</v>
      </c>
      <c r="T769" s="3" t="n">
        <v>44658.61666523148</v>
      </c>
      <c r="U769" t="s">
        <v>31</v>
      </c>
      <c r="V769" t="s">
        <v>5399</v>
      </c>
    </row>
    <row r="770">
      <c r="A770" t="s">
        <v>22</v>
      </c>
      <c r="B770" t="s">
        <v>5400</v>
      </c>
      <c r="C770" t="s">
        <v>24</v>
      </c>
      <c r="D770" t="s">
        <v>100</v>
      </c>
      <c r="E770" t="s">
        <v>165</v>
      </c>
      <c r="F770" s="2" t="n">
        <f>HYPERLINK("https://patents.google.com/patent/US20220062462","Google")</f>
        <v>0.0</v>
      </c>
      <c r="G770" s="2" t="n">
        <f>HYPERLINK("https://patentcenter.uspto.gov/applications/16909895","Patent Center")</f>
        <v>0.0</v>
      </c>
      <c r="H770" s="2" t="n">
        <f>HYPERLINK("https://worldwide.espacenet.com/patent/search?q=US20220062462","Espacenet")</f>
        <v>0.0</v>
      </c>
      <c r="I770" s="2" t="n">
        <f>HYPERLINK("https://ppubs.uspto.gov/pubwebapp/external.html?q=20220062462.pn.","USPTO")</f>
        <v>0.0</v>
      </c>
      <c r="J770" s="2" t="n">
        <f>HYPERLINK("https://image-ppubs.uspto.gov/dirsearch-public/print/downloadPdf/20220062462","USPTO PDF")</f>
        <v>0.0</v>
      </c>
      <c r="K770" s="2" t="n">
        <f>HYPERLINK("https://sectors.patentforecast.com/pmd/US20220062462","PMD")</f>
        <v>0.0</v>
      </c>
      <c r="L770" s="2" t="n">
        <f>HYPERLINK("https://globaldossier.uspto.gov/result/application/US/16909895/1","US20220062462")</f>
        <v>0.0</v>
      </c>
      <c r="M770" t="s">
        <v>5401</v>
      </c>
      <c r="N770" t="s">
        <v>167</v>
      </c>
      <c r="O770" t="s">
        <v>168</v>
      </c>
      <c r="P770" t="s">
        <v>169</v>
      </c>
      <c r="Q770" s="3" t="n">
        <v>44005.0</v>
      </c>
      <c r="R770" s="3" t="n">
        <v>44623.0</v>
      </c>
      <c r="S770" s="3" t="n">
        <v>44624.18868424769</v>
      </c>
      <c r="T770" s="3" t="n">
        <v>44658.62137291667</v>
      </c>
      <c r="U770" t="s">
        <v>5402</v>
      </c>
      <c r="V770" t="s">
        <v>170</v>
      </c>
    </row>
    <row r="771">
      <c r="A771" t="s">
        <v>22</v>
      </c>
      <c r="B771" t="s">
        <v>5403</v>
      </c>
      <c r="C771" t="s">
        <v>24</v>
      </c>
      <c r="D771" t="s">
        <v>100</v>
      </c>
      <c r="E771" t="s">
        <v>5404</v>
      </c>
      <c r="F771" s="2" t="n">
        <f>HYPERLINK("https://patents.google.com/patent/US20220062457","Google")</f>
        <v>0.0</v>
      </c>
      <c r="G771" s="2" t="n">
        <f>HYPERLINK("https://patentcenter.uspto.gov/applications/17004514","Patent Center")</f>
        <v>0.0</v>
      </c>
      <c r="H771" s="2" t="n">
        <f>HYPERLINK("https://worldwide.espacenet.com/patent/search?q=US20220062457","Espacenet")</f>
        <v>0.0</v>
      </c>
      <c r="I771" s="2" t="n">
        <f>HYPERLINK("https://ppubs.uspto.gov/pubwebapp/external.html?q=20220062457.pn.","USPTO")</f>
        <v>0.0</v>
      </c>
      <c r="J771" s="2" t="n">
        <f>HYPERLINK("https://image-ppubs.uspto.gov/dirsearch-public/print/downloadPdf/20220062457","USPTO PDF")</f>
        <v>0.0</v>
      </c>
      <c r="K771" s="2" t="n">
        <f>HYPERLINK("https://sectors.patentforecast.com/pmd/US20220062457","PMD")</f>
        <v>0.0</v>
      </c>
      <c r="L771" s="2" t="n">
        <f>HYPERLINK("https://globaldossier.uspto.gov/result/application/US/17004514/1","US20220062457")</f>
        <v>0.0</v>
      </c>
      <c r="M771" t="s">
        <v>5405</v>
      </c>
      <c r="N771" t="s">
        <v>5406</v>
      </c>
      <c r="O771" t="s">
        <v>5407</v>
      </c>
      <c r="P771" t="s">
        <v>5408</v>
      </c>
      <c r="Q771" s="3" t="n">
        <v>44070.0</v>
      </c>
      <c r="R771" s="3" t="n">
        <v>44623.0</v>
      </c>
      <c r="S771" s="3" t="n">
        <v>44624.18868424769</v>
      </c>
      <c r="T771" s="3" t="n">
        <v>44672.44252981481</v>
      </c>
      <c r="U771" t="s">
        <v>5409</v>
      </c>
      <c r="V771" t="s">
        <v>5410</v>
      </c>
    </row>
    <row r="772">
      <c r="A772" t="s">
        <v>22</v>
      </c>
      <c r="B772" t="s">
        <v>5411</v>
      </c>
      <c r="C772" t="s">
        <v>24</v>
      </c>
      <c r="D772" t="s">
        <v>100</v>
      </c>
      <c r="E772" t="s">
        <v>5412</v>
      </c>
      <c r="F772" s="2" t="n">
        <f>HYPERLINK("https://patents.google.com/patent/US20220062456","Google")</f>
        <v>0.0</v>
      </c>
      <c r="G772" s="2" t="n">
        <f>HYPERLINK("https://patentcenter.uspto.gov/applications/17410813","Patent Center")</f>
        <v>0.0</v>
      </c>
      <c r="H772" s="2" t="n">
        <f>HYPERLINK("https://worldwide.espacenet.com/patent/search?q=US20220062456","Espacenet")</f>
        <v>0.0</v>
      </c>
      <c r="I772" s="2" t="n">
        <f>HYPERLINK("https://ppubs.uspto.gov/pubwebapp/external.html?q=20220062456.pn.","USPTO")</f>
        <v>0.0</v>
      </c>
      <c r="J772" s="2" t="n">
        <f>HYPERLINK("https://image-ppubs.uspto.gov/dirsearch-public/print/downloadPdf/20220062456","USPTO PDF")</f>
        <v>0.0</v>
      </c>
      <c r="K772" s="2" t="n">
        <f>HYPERLINK("https://sectors.patentforecast.com/pmd/US20220062456","PMD")</f>
        <v>0.0</v>
      </c>
      <c r="L772" s="2" t="n">
        <f>HYPERLINK("https://globaldossier.uspto.gov/result/application/US/17410813/1","US20220062456")</f>
        <v>0.0</v>
      </c>
      <c r="M772" t="s">
        <v>5413</v>
      </c>
      <c r="N772" t="s">
        <v>5414</v>
      </c>
      <c r="O772" t="s">
        <v>5414</v>
      </c>
      <c r="P772" t="s">
        <v>5415</v>
      </c>
      <c r="Q772" s="3" t="n">
        <v>44432.0</v>
      </c>
      <c r="R772" s="3" t="n">
        <v>44623.0</v>
      </c>
      <c r="S772" s="3" t="n">
        <v>44624.18868424769</v>
      </c>
      <c r="T772" s="3" t="n">
        <v>44658.62137291667</v>
      </c>
      <c r="U772" t="s">
        <v>31</v>
      </c>
      <c r="V772" t="s">
        <v>5416</v>
      </c>
    </row>
    <row r="773">
      <c r="A773" t="s">
        <v>22</v>
      </c>
      <c r="B773" t="s">
        <v>5417</v>
      </c>
      <c r="C773" t="s">
        <v>24</v>
      </c>
      <c r="D773" t="s">
        <v>100</v>
      </c>
      <c r="E773" t="s">
        <v>5418</v>
      </c>
      <c r="F773" s="2" t="n">
        <f>HYPERLINK("https://patents.google.com/patent/US20220062454","Google")</f>
        <v>0.0</v>
      </c>
      <c r="G773" s="2" t="n">
        <f>HYPERLINK("https://patentcenter.uspto.gov/applications/17465310","Patent Center")</f>
        <v>0.0</v>
      </c>
      <c r="H773" s="2" t="n">
        <f>HYPERLINK("https://worldwide.espacenet.com/patent/search?q=US20220062454","Espacenet")</f>
        <v>0.0</v>
      </c>
      <c r="I773" s="2" t="n">
        <f>HYPERLINK("https://ppubs.uspto.gov/pubwebapp/external.html?q=20220062454.pn.","USPTO")</f>
        <v>0.0</v>
      </c>
      <c r="J773" s="2" t="n">
        <f>HYPERLINK("https://image-ppubs.uspto.gov/dirsearch-public/print/downloadPdf/20220062454","USPTO PDF")</f>
        <v>0.0</v>
      </c>
      <c r="K773" s="2" t="n">
        <f>HYPERLINK("https://sectors.patentforecast.com/pmd/US20220062454","PMD")</f>
        <v>0.0</v>
      </c>
      <c r="L773" s="2" t="n">
        <f>HYPERLINK("https://globaldossier.uspto.gov/result/application/US/17465310/1","US20220062454")</f>
        <v>0.0</v>
      </c>
      <c r="M773" t="s">
        <v>5419</v>
      </c>
      <c r="N773" t="s">
        <v>5420</v>
      </c>
      <c r="O773" t="s">
        <v>5421</v>
      </c>
      <c r="P773" t="s">
        <v>5422</v>
      </c>
      <c r="Q773" s="3" t="n">
        <v>44441.0</v>
      </c>
      <c r="R773" s="3" t="n">
        <v>44623.0</v>
      </c>
      <c r="S773" s="3" t="n">
        <v>44643.24305162037</v>
      </c>
      <c r="T773" s="3" t="n">
        <v>44719.5998359375</v>
      </c>
      <c r="U773" t="s">
        <v>5423</v>
      </c>
      <c r="V773" t="s">
        <v>5424</v>
      </c>
    </row>
    <row r="774">
      <c r="A774" t="s">
        <v>22</v>
      </c>
      <c r="B774" t="s">
        <v>5425</v>
      </c>
      <c r="C774" t="s">
        <v>132</v>
      </c>
      <c r="D774" t="s">
        <v>133</v>
      </c>
      <c r="E774" t="s">
        <v>5426</v>
      </c>
      <c r="F774" s="2" t="n">
        <f>HYPERLINK("https://patents.google.com/patent/US20220062430","Google")</f>
        <v>0.0</v>
      </c>
      <c r="G774" s="2" t="n">
        <f>HYPERLINK("https://patentcenter.uspto.gov/applications/17002571","Patent Center")</f>
        <v>0.0</v>
      </c>
      <c r="H774" s="2" t="n">
        <f>HYPERLINK("https://worldwide.espacenet.com/patent/search?q=US20220062430","Espacenet")</f>
        <v>0.0</v>
      </c>
      <c r="I774" s="2" t="n">
        <f>HYPERLINK("https://ppubs.uspto.gov/pubwebapp/external.html?q=20220062430.pn.","USPTO")</f>
        <v>0.0</v>
      </c>
      <c r="J774" s="2" t="n">
        <f>HYPERLINK("https://image-ppubs.uspto.gov/dirsearch-public/print/downloadPdf/20220062430","USPTO PDF")</f>
        <v>0.0</v>
      </c>
      <c r="K774" s="2" t="n">
        <f>HYPERLINK("https://sectors.patentforecast.com/pmd/US20220062430","PMD")</f>
        <v>0.0</v>
      </c>
      <c r="L774" s="2" t="n">
        <f>HYPERLINK("https://globaldossier.uspto.gov/result/application/US/17002571/1","US20220062430")</f>
        <v>0.0</v>
      </c>
      <c r="M774" t="s">
        <v>5427</v>
      </c>
      <c r="N774" t="s">
        <v>2354</v>
      </c>
      <c r="O774" t="s">
        <v>2355</v>
      </c>
      <c r="P774" t="s">
        <v>5428</v>
      </c>
      <c r="Q774" s="3" t="n">
        <v>44068.0</v>
      </c>
      <c r="R774" s="3" t="n">
        <v>44623.0</v>
      </c>
      <c r="S774" s="3" t="n">
        <v>44643.23275070602</v>
      </c>
      <c r="T774" s="3" t="n">
        <v>44719.60020418982</v>
      </c>
      <c r="U774" t="s">
        <v>5429</v>
      </c>
      <c r="V774" t="s">
        <v>5430</v>
      </c>
    </row>
    <row r="775">
      <c r="A775" t="s">
        <v>22</v>
      </c>
      <c r="B775" t="s">
        <v>5431</v>
      </c>
      <c r="C775" t="s">
        <v>132</v>
      </c>
      <c r="D775" t="s">
        <v>142</v>
      </c>
      <c r="E775" t="s">
        <v>5432</v>
      </c>
      <c r="F775" s="2" t="n">
        <f>HYPERLINK("https://patents.google.com/patent/US20220062406","Google")</f>
        <v>0.0</v>
      </c>
      <c r="G775" s="2" t="n">
        <f>HYPERLINK("https://patentcenter.uspto.gov/applications/17460026","Patent Center")</f>
        <v>0.0</v>
      </c>
      <c r="H775" s="2" t="n">
        <f>HYPERLINK("https://worldwide.espacenet.com/patent/search?q=US20220062406","Espacenet")</f>
        <v>0.0</v>
      </c>
      <c r="I775" s="2" t="n">
        <f>HYPERLINK("https://ppubs.uspto.gov/pubwebapp/external.html?q=20220062406.pn.","USPTO")</f>
        <v>0.0</v>
      </c>
      <c r="J775" s="2" t="n">
        <f>HYPERLINK("https://image-ppubs.uspto.gov/dirsearch-public/print/downloadPdf/20220062406","USPTO PDF")</f>
        <v>0.0</v>
      </c>
      <c r="K775" s="2" t="n">
        <f>HYPERLINK("https://sectors.patentforecast.com/pmd/US20220062406","PMD")</f>
        <v>0.0</v>
      </c>
      <c r="L775" s="2" t="n">
        <f>HYPERLINK("https://globaldossier.uspto.gov/result/application/US/17460026/1","US20220062406")</f>
        <v>0.0</v>
      </c>
      <c r="M775" t="s">
        <v>5433</v>
      </c>
      <c r="N775" t="s">
        <v>5434</v>
      </c>
      <c r="O775" t="s">
        <v>5435</v>
      </c>
      <c r="P775" t="s">
        <v>5436</v>
      </c>
      <c r="Q775" s="3" t="n">
        <v>44435.0</v>
      </c>
      <c r="R775" s="3" t="n">
        <v>44623.0</v>
      </c>
      <c r="S775" s="3" t="n">
        <v>44624.187757708336</v>
      </c>
      <c r="T775" s="3" t="n">
        <v>44672.471461898145</v>
      </c>
      <c r="U775" t="s">
        <v>5437</v>
      </c>
      <c r="V775" t="s">
        <v>5438</v>
      </c>
    </row>
    <row r="776">
      <c r="A776" t="s">
        <v>22</v>
      </c>
      <c r="B776" t="s">
        <v>5439</v>
      </c>
      <c r="C776" t="s">
        <v>60</v>
      </c>
      <c r="D776" t="s">
        <v>61</v>
      </c>
      <c r="E776" t="s">
        <v>5440</v>
      </c>
      <c r="F776" s="2" t="n">
        <f>HYPERLINK("https://patents.google.com/patent/US20220062405","Google")</f>
        <v>0.0</v>
      </c>
      <c r="G776" s="2" t="n">
        <f>HYPERLINK("https://patentcenter.uspto.gov/applications/17364278","Patent Center")</f>
        <v>0.0</v>
      </c>
      <c r="H776" s="2" t="n">
        <f>HYPERLINK("https://worldwide.espacenet.com/patent/search?q=US20220062405","Espacenet")</f>
        <v>0.0</v>
      </c>
      <c r="I776" s="2" t="n">
        <f>HYPERLINK("https://ppubs.uspto.gov/pubwebapp/external.html?q=20220062405.pn.","USPTO")</f>
        <v>0.0</v>
      </c>
      <c r="J776" s="2" t="n">
        <f>HYPERLINK("https://image-ppubs.uspto.gov/dirsearch-public/print/downloadPdf/20220062405","USPTO PDF")</f>
        <v>0.0</v>
      </c>
      <c r="K776" s="2" t="n">
        <f>HYPERLINK("https://sectors.patentforecast.com/pmd/US20220062405","PMD")</f>
        <v>0.0</v>
      </c>
      <c r="L776" s="2" t="n">
        <f>HYPERLINK("https://globaldossier.uspto.gov/result/application/US/17364278/1","US20220062405")</f>
        <v>0.0</v>
      </c>
      <c r="M776" t="s">
        <v>5441</v>
      </c>
      <c r="N776" t="s">
        <v>5442</v>
      </c>
      <c r="O776" t="s">
        <v>5443</v>
      </c>
      <c r="P776" t="s">
        <v>5444</v>
      </c>
      <c r="Q776" s="3" t="n">
        <v>44377.0</v>
      </c>
      <c r="R776" s="3" t="n">
        <v>44623.0</v>
      </c>
      <c r="S776" s="3" t="n">
        <v>44624.18868424769</v>
      </c>
      <c r="T776" s="3" t="n">
        <v>44638.691645833336</v>
      </c>
      <c r="U776" t="s">
        <v>5445</v>
      </c>
      <c r="V776" t="s">
        <v>5446</v>
      </c>
    </row>
    <row r="777">
      <c r="A777" t="s">
        <v>22</v>
      </c>
      <c r="B777" t="s">
        <v>5447</v>
      </c>
      <c r="C777" t="s">
        <v>60</v>
      </c>
      <c r="D777" t="s">
        <v>61</v>
      </c>
      <c r="E777" t="s">
        <v>5448</v>
      </c>
      <c r="F777" s="2" t="n">
        <f>HYPERLINK("https://patents.google.com/patent/US20220062367","Google")</f>
        <v>0.0</v>
      </c>
      <c r="G777" s="2" t="n">
        <f>HYPERLINK("https://patentcenter.uspto.gov/applications/17461486","Patent Center")</f>
        <v>0.0</v>
      </c>
      <c r="H777" s="2" t="n">
        <f>HYPERLINK("https://worldwide.espacenet.com/patent/search?q=US20220062367","Espacenet")</f>
        <v>0.0</v>
      </c>
      <c r="I777" s="2" t="n">
        <f>HYPERLINK("https://ppubs.uspto.gov/pubwebapp/external.html?q=20220062367.pn.","USPTO")</f>
        <v>0.0</v>
      </c>
      <c r="J777" s="2" t="n">
        <f>HYPERLINK("https://image-ppubs.uspto.gov/dirsearch-public/print/downloadPdf/20220062367","USPTO PDF")</f>
        <v>0.0</v>
      </c>
      <c r="K777" s="2" t="n">
        <f>HYPERLINK("https://sectors.patentforecast.com/pmd/US20220062367","PMD")</f>
        <v>0.0</v>
      </c>
      <c r="L777" s="2" t="n">
        <f>HYPERLINK("https://globaldossier.uspto.gov/result/application/US/17461486/1","US20220062367")</f>
        <v>0.0</v>
      </c>
      <c r="M777" t="s">
        <v>5449</v>
      </c>
      <c r="N777" t="s">
        <v>619</v>
      </c>
      <c r="O777" t="s">
        <v>620</v>
      </c>
      <c r="P777" t="s">
        <v>5450</v>
      </c>
      <c r="Q777" s="3" t="n">
        <v>44438.0</v>
      </c>
      <c r="R777" s="3" t="n">
        <v>44623.0</v>
      </c>
      <c r="S777" s="3" t="n">
        <v>44624.18868424769</v>
      </c>
      <c r="T777" s="3" t="n">
        <v>44719.6002784375</v>
      </c>
      <c r="U777" t="s">
        <v>31</v>
      </c>
      <c r="V777" t="s">
        <v>5451</v>
      </c>
    </row>
    <row r="778">
      <c r="A778" t="s">
        <v>22</v>
      </c>
      <c r="B778" t="s">
        <v>5452</v>
      </c>
      <c r="C778" t="s">
        <v>60</v>
      </c>
      <c r="D778" t="s">
        <v>61</v>
      </c>
      <c r="E778" t="s">
        <v>5453</v>
      </c>
      <c r="F778" s="2" t="n">
        <f>HYPERLINK("https://patents.google.com/patent/US20220062357","Google")</f>
        <v>0.0</v>
      </c>
      <c r="G778" s="2" t="n">
        <f>HYPERLINK("https://patentcenter.uspto.gov/applications/17409962","Patent Center")</f>
        <v>0.0</v>
      </c>
      <c r="H778" s="2" t="n">
        <f>HYPERLINK("https://worldwide.espacenet.com/patent/search?q=US20220062357","Espacenet")</f>
        <v>0.0</v>
      </c>
      <c r="I778" s="2" t="n">
        <f>HYPERLINK("https://ppubs.uspto.gov/pubwebapp/external.html?q=20220062357.pn.","USPTO")</f>
        <v>0.0</v>
      </c>
      <c r="J778" s="2" t="n">
        <f>HYPERLINK("https://image-ppubs.uspto.gov/dirsearch-public/print/downloadPdf/20220062357","USPTO PDF")</f>
        <v>0.0</v>
      </c>
      <c r="K778" s="2" t="n">
        <f>HYPERLINK("https://sectors.patentforecast.com/pmd/US20220062357","PMD")</f>
        <v>0.0</v>
      </c>
      <c r="L778" s="2" t="n">
        <f>HYPERLINK("https://globaldossier.uspto.gov/result/application/US/17409962/1","US20220062357")</f>
        <v>0.0</v>
      </c>
      <c r="M778" t="s">
        <v>5454</v>
      </c>
      <c r="N778" t="s">
        <v>5455</v>
      </c>
      <c r="O778" t="s">
        <v>5456</v>
      </c>
      <c r="P778" t="s">
        <v>5457</v>
      </c>
      <c r="Q778" s="3" t="n">
        <v>44432.0</v>
      </c>
      <c r="R778" s="3" t="n">
        <v>44623.0</v>
      </c>
      <c r="S778" s="3" t="n">
        <v>44624.18868424769</v>
      </c>
      <c r="T778" s="3" t="n">
        <v>44672.48772631944</v>
      </c>
      <c r="U778" t="s">
        <v>31</v>
      </c>
      <c r="V778" t="s">
        <v>5458</v>
      </c>
    </row>
    <row r="779">
      <c r="A779" t="s">
        <v>22</v>
      </c>
      <c r="B779" t="s">
        <v>5459</v>
      </c>
      <c r="C779" t="s">
        <v>60</v>
      </c>
      <c r="D779" t="s">
        <v>61</v>
      </c>
      <c r="E779" t="s">
        <v>5460</v>
      </c>
      <c r="F779" s="2" t="n">
        <f>HYPERLINK("https://patents.google.com/patent/US20220062310","Google")</f>
        <v>0.0</v>
      </c>
      <c r="G779" s="2" t="n">
        <f>HYPERLINK("https://patentcenter.uspto.gov/applications/17466111","Patent Center")</f>
        <v>0.0</v>
      </c>
      <c r="H779" s="2" t="n">
        <f>HYPERLINK("https://worldwide.espacenet.com/patent/search?q=US20220062310","Espacenet")</f>
        <v>0.0</v>
      </c>
      <c r="I779" s="2" t="n">
        <f>HYPERLINK("https://ppubs.uspto.gov/pubwebapp/external.html?q=20220062310.pn.","USPTO")</f>
        <v>0.0</v>
      </c>
      <c r="J779" s="2" t="n">
        <f>HYPERLINK("https://image-ppubs.uspto.gov/dirsearch-public/print/downloadPdf/20220062310","USPTO PDF")</f>
        <v>0.0</v>
      </c>
      <c r="K779" s="2" t="n">
        <f>HYPERLINK("https://sectors.patentforecast.com/pmd/US20220062310","PMD")</f>
        <v>0.0</v>
      </c>
      <c r="L779" s="2" t="n">
        <f>HYPERLINK("https://globaldossier.uspto.gov/result/application/US/17466111/1","US20220062310")</f>
        <v>0.0</v>
      </c>
      <c r="M779" t="s">
        <v>5461</v>
      </c>
      <c r="N779" t="s">
        <v>5462</v>
      </c>
      <c r="O779" t="s">
        <v>5462</v>
      </c>
      <c r="P779" t="s">
        <v>5463</v>
      </c>
      <c r="Q779" s="3" t="n">
        <v>44442.0</v>
      </c>
      <c r="R779" s="3" t="n">
        <v>44623.0</v>
      </c>
      <c r="S779" s="3" t="n">
        <v>44624.18868424769</v>
      </c>
      <c r="T779" s="3" t="n">
        <v>44719.60067240741</v>
      </c>
      <c r="U779" t="s">
        <v>5464</v>
      </c>
      <c r="V779" t="s">
        <v>5465</v>
      </c>
    </row>
    <row r="780">
      <c r="A780" t="s">
        <v>22</v>
      </c>
      <c r="B780" t="s">
        <v>5466</v>
      </c>
      <c r="C780" t="s">
        <v>60</v>
      </c>
      <c r="D780" t="s">
        <v>61</v>
      </c>
      <c r="E780" t="s">
        <v>689</v>
      </c>
      <c r="F780" s="2" t="n">
        <f>HYPERLINK("https://patents.google.com/patent/US20220062232","Google")</f>
        <v>0.0</v>
      </c>
      <c r="G780" s="2" t="n">
        <f>HYPERLINK("https://patentcenter.uspto.gov/applications/17395139","Patent Center")</f>
        <v>0.0</v>
      </c>
      <c r="H780" s="2" t="n">
        <f>HYPERLINK("https://worldwide.espacenet.com/patent/search?q=US20220062232","Espacenet")</f>
        <v>0.0</v>
      </c>
      <c r="I780" s="2" t="n">
        <f>HYPERLINK("https://ppubs.uspto.gov/pubwebapp/external.html?q=20220062232.pn.","USPTO")</f>
        <v>0.0</v>
      </c>
      <c r="J780" s="2" t="n">
        <f>HYPERLINK("https://image-ppubs.uspto.gov/dirsearch-public/print/downloadPdf/20220062232","USPTO PDF")</f>
        <v>0.0</v>
      </c>
      <c r="K780" s="2" t="n">
        <f>HYPERLINK("https://sectors.patentforecast.com/pmd/US20220062232","PMD")</f>
        <v>0.0</v>
      </c>
      <c r="L780" s="2" t="n">
        <f>HYPERLINK("https://globaldossier.uspto.gov/result/application/US/17395139/1","US20220062232")</f>
        <v>0.0</v>
      </c>
      <c r="M780" t="s">
        <v>5467</v>
      </c>
      <c r="N780" t="s">
        <v>691</v>
      </c>
      <c r="O780" t="s">
        <v>692</v>
      </c>
      <c r="P780" t="s">
        <v>693</v>
      </c>
      <c r="Q780" s="3" t="n">
        <v>44413.0</v>
      </c>
      <c r="R780" s="3" t="n">
        <v>44623.0</v>
      </c>
      <c r="S780" s="3" t="n">
        <v>44624.18868424769</v>
      </c>
      <c r="T780" s="3" t="n">
        <v>44638.69112454861</v>
      </c>
      <c r="U780" t="s">
        <v>5468</v>
      </c>
      <c r="V780" t="s">
        <v>694</v>
      </c>
    </row>
    <row r="781">
      <c r="A781" t="s">
        <v>22</v>
      </c>
      <c r="B781" t="s">
        <v>5469</v>
      </c>
      <c r="C781" t="s">
        <v>60</v>
      </c>
      <c r="D781" t="s">
        <v>61</v>
      </c>
      <c r="E781" t="s">
        <v>5470</v>
      </c>
      <c r="F781" s="2" t="n">
        <f>HYPERLINK("https://patents.google.com/patent/US20220062219","Google")</f>
        <v>0.0</v>
      </c>
      <c r="G781" s="2" t="n">
        <f>HYPERLINK("https://patentcenter.uspto.gov/applications/17412523","Patent Center")</f>
        <v>0.0</v>
      </c>
      <c r="H781" s="2" t="n">
        <f>HYPERLINK("https://worldwide.espacenet.com/patent/search?q=US20220062219","Espacenet")</f>
        <v>0.0</v>
      </c>
      <c r="I781" s="2" t="n">
        <f>HYPERLINK("https://ppubs.uspto.gov/pubwebapp/external.html?q=20220062219.pn.","USPTO")</f>
        <v>0.0</v>
      </c>
      <c r="J781" s="2" t="n">
        <f>HYPERLINK("https://image-ppubs.uspto.gov/dirsearch-public/print/downloadPdf/20220062219","USPTO PDF")</f>
        <v>0.0</v>
      </c>
      <c r="K781" s="2" t="n">
        <f>HYPERLINK("https://sectors.patentforecast.com/pmd/US20220062219","PMD")</f>
        <v>0.0</v>
      </c>
      <c r="L781" s="2" t="n">
        <f>HYPERLINK("https://globaldossier.uspto.gov/result/application/US/17412523/1","US20220062219")</f>
        <v>0.0</v>
      </c>
      <c r="M781" t="s">
        <v>5471</v>
      </c>
      <c r="N781" t="s">
        <v>5472</v>
      </c>
      <c r="O781" t="s">
        <v>5473</v>
      </c>
      <c r="P781" t="s">
        <v>5474</v>
      </c>
      <c r="Q781" s="3" t="n">
        <v>44434.0</v>
      </c>
      <c r="R781" s="3" t="n">
        <v>44623.0</v>
      </c>
      <c r="S781" s="3" t="n">
        <v>44624.18868424769</v>
      </c>
      <c r="T781" s="3" t="n">
        <v>44658.636070127315</v>
      </c>
      <c r="U781" t="s">
        <v>5475</v>
      </c>
      <c r="V781" t="s">
        <v>5476</v>
      </c>
    </row>
    <row r="782">
      <c r="A782" t="s">
        <v>22</v>
      </c>
      <c r="B782" t="s">
        <v>5477</v>
      </c>
      <c r="C782" t="s">
        <v>24</v>
      </c>
      <c r="D782" t="s">
        <v>100</v>
      </c>
      <c r="E782" t="s">
        <v>5478</v>
      </c>
      <c r="F782" s="2" t="n">
        <f>HYPERLINK("https://patents.google.com/patent/US20220061971","Google")</f>
        <v>0.0</v>
      </c>
      <c r="G782" s="2" t="n">
        <f>HYPERLINK("https://patentcenter.uspto.gov/applications/17464664","Patent Center")</f>
        <v>0.0</v>
      </c>
      <c r="H782" s="2" t="n">
        <f>HYPERLINK("https://worldwide.espacenet.com/patent/search?q=US20220061971","Espacenet")</f>
        <v>0.0</v>
      </c>
      <c r="I782" s="2" t="n">
        <f>HYPERLINK("https://ppubs.uspto.gov/pubwebapp/external.html?q=20220061971.pn.","USPTO")</f>
        <v>0.0</v>
      </c>
      <c r="J782" s="2" t="n">
        <f>HYPERLINK("https://image-ppubs.uspto.gov/dirsearch-public/print/downloadPdf/20220061971","USPTO PDF")</f>
        <v>0.0</v>
      </c>
      <c r="K782" s="2" t="n">
        <f>HYPERLINK("https://sectors.patentforecast.com/pmd/US20220061971","PMD")</f>
        <v>0.0</v>
      </c>
      <c r="L782" s="2" t="n">
        <f>HYPERLINK("https://globaldossier.uspto.gov/result/application/US/17464664/1","US20220061971")</f>
        <v>0.0</v>
      </c>
      <c r="M782" t="s">
        <v>5479</v>
      </c>
      <c r="N782" t="s">
        <v>5480</v>
      </c>
      <c r="O782" t="s">
        <v>5480</v>
      </c>
      <c r="P782" t="s">
        <v>5481</v>
      </c>
      <c r="Q782" s="3" t="n">
        <v>44440.0</v>
      </c>
      <c r="R782" s="3" t="n">
        <v>44623.0</v>
      </c>
      <c r="S782" s="3" t="n">
        <v>44624.18868424769</v>
      </c>
      <c r="T782" s="3" t="n">
        <v>44719.60074030093</v>
      </c>
      <c r="U782" t="s">
        <v>31</v>
      </c>
      <c r="V782" t="s">
        <v>5482</v>
      </c>
    </row>
    <row r="783">
      <c r="A783" t="s">
        <v>22</v>
      </c>
      <c r="B783" t="s">
        <v>5483</v>
      </c>
      <c r="C783" t="s">
        <v>24</v>
      </c>
      <c r="D783" t="s">
        <v>69</v>
      </c>
      <c r="E783" t="s">
        <v>5484</v>
      </c>
      <c r="F783" s="2" t="n">
        <f>HYPERLINK("https://patents.google.com/patent/US20220061950","Google")</f>
        <v>0.0</v>
      </c>
      <c r="G783" s="2" t="n">
        <f>HYPERLINK("https://patentcenter.uspto.gov/applications/17011793","Patent Center")</f>
        <v>0.0</v>
      </c>
      <c r="H783" s="2" t="n">
        <f>HYPERLINK("https://worldwide.espacenet.com/patent/search?q=US20220061950","Espacenet")</f>
        <v>0.0</v>
      </c>
      <c r="I783" s="2" t="n">
        <f>HYPERLINK("https://ppubs.uspto.gov/pubwebapp/external.html?q=20220061950.pn.","USPTO")</f>
        <v>0.0</v>
      </c>
      <c r="J783" s="2" t="n">
        <f>HYPERLINK("https://image-ppubs.uspto.gov/dirsearch-public/print/downloadPdf/20220061950","USPTO PDF")</f>
        <v>0.0</v>
      </c>
      <c r="K783" s="2" t="n">
        <f>HYPERLINK("https://sectors.patentforecast.com/pmd/US20220061950","PMD")</f>
        <v>0.0</v>
      </c>
      <c r="L783" s="2" t="n">
        <f>HYPERLINK("https://globaldossier.uspto.gov/result/application/US/17011793/1","US20220061950")</f>
        <v>0.0</v>
      </c>
      <c r="M783" t="s">
        <v>5485</v>
      </c>
      <c r="N783" t="s">
        <v>5486</v>
      </c>
      <c r="O783" t="s">
        <v>5487</v>
      </c>
      <c r="P783" t="s">
        <v>5488</v>
      </c>
      <c r="Q783" s="3" t="n">
        <v>44077.0</v>
      </c>
      <c r="R783" s="3" t="n">
        <v>44623.0</v>
      </c>
      <c r="S783" s="3" t="n">
        <v>44624.18868424769</v>
      </c>
      <c r="T783" s="3" t="n">
        <v>44672.41355222222</v>
      </c>
      <c r="U783" t="s">
        <v>31</v>
      </c>
      <c r="V783" t="s">
        <v>5489</v>
      </c>
    </row>
    <row r="784">
      <c r="A784" t="s">
        <v>22</v>
      </c>
      <c r="B784" t="s">
        <v>5490</v>
      </c>
      <c r="C784" t="s">
        <v>60</v>
      </c>
      <c r="D784" t="s">
        <v>715</v>
      </c>
      <c r="E784" t="s">
        <v>5491</v>
      </c>
      <c r="F784" s="2" t="n">
        <f>HYPERLINK("https://patents.google.com/patent/US20220061851","Google")</f>
        <v>0.0</v>
      </c>
      <c r="G784" s="2" t="n">
        <f>HYPERLINK("https://patentcenter.uspto.gov/applications/17463504","Patent Center")</f>
        <v>0.0</v>
      </c>
      <c r="H784" s="2" t="n">
        <f>HYPERLINK("https://worldwide.espacenet.com/patent/search?q=US20220061851","Espacenet")</f>
        <v>0.0</v>
      </c>
      <c r="I784" s="2" t="n">
        <f>HYPERLINK("https://ppubs.uspto.gov/pubwebapp/external.html?q=20220061851.pn.","USPTO")</f>
        <v>0.0</v>
      </c>
      <c r="J784" s="2" t="n">
        <f>HYPERLINK("https://image-ppubs.uspto.gov/dirsearch-public/print/downloadPdf/20220061851","USPTO PDF")</f>
        <v>0.0</v>
      </c>
      <c r="K784" s="2" t="n">
        <f>HYPERLINK("https://sectors.patentforecast.com/pmd/US20220061851","PMD")</f>
        <v>0.0</v>
      </c>
      <c r="L784" s="2" t="n">
        <f>HYPERLINK("https://globaldossier.uspto.gov/result/application/US/17463504/1","US20220061851")</f>
        <v>0.0</v>
      </c>
      <c r="M784" t="s">
        <v>5492</v>
      </c>
      <c r="N784" t="s">
        <v>5493</v>
      </c>
      <c r="O784" t="s">
        <v>5494</v>
      </c>
      <c r="P784" t="s">
        <v>5495</v>
      </c>
      <c r="Q784" s="3" t="n">
        <v>44439.0</v>
      </c>
      <c r="R784" s="3" t="n">
        <v>44623.0</v>
      </c>
      <c r="S784" s="3" t="n">
        <v>44624.18868424769</v>
      </c>
      <c r="T784" s="3" t="n">
        <v>44719.60108982639</v>
      </c>
      <c r="U784" t="s">
        <v>5496</v>
      </c>
      <c r="V784" t="s">
        <v>5497</v>
      </c>
    </row>
    <row r="785">
      <c r="A785" t="s">
        <v>22</v>
      </c>
      <c r="B785" t="s">
        <v>5498</v>
      </c>
      <c r="C785" t="s">
        <v>24</v>
      </c>
      <c r="D785" t="s">
        <v>51</v>
      </c>
      <c r="E785" t="s">
        <v>5499</v>
      </c>
      <c r="F785" s="2" t="n">
        <f>HYPERLINK("https://patents.google.com/patent/US20220061823","Google")</f>
        <v>0.0</v>
      </c>
      <c r="G785" s="2" t="n">
        <f>HYPERLINK("https://patentcenter.uspto.gov/applications/17461698","Patent Center")</f>
        <v>0.0</v>
      </c>
      <c r="H785" s="2" t="n">
        <f>HYPERLINK("https://worldwide.espacenet.com/patent/search?q=US20220061823","Espacenet")</f>
        <v>0.0</v>
      </c>
      <c r="I785" s="2" t="n">
        <f>HYPERLINK("https://ppubs.uspto.gov/pubwebapp/external.html?q=20220061823.pn.","USPTO")</f>
        <v>0.0</v>
      </c>
      <c r="J785" s="2" t="n">
        <f>HYPERLINK("https://image-ppubs.uspto.gov/dirsearch-public/print/downloadPdf/20220061823","USPTO PDF")</f>
        <v>0.0</v>
      </c>
      <c r="K785" s="2" t="n">
        <f>HYPERLINK("https://sectors.patentforecast.com/pmd/US20220061823","PMD")</f>
        <v>0.0</v>
      </c>
      <c r="L785" s="2" t="n">
        <f>HYPERLINK("https://globaldossier.uspto.gov/result/application/US/17461698/1","US20220061823")</f>
        <v>0.0</v>
      </c>
      <c r="M785" t="s">
        <v>5500</v>
      </c>
      <c r="N785" t="s">
        <v>5501</v>
      </c>
      <c r="O785" t="s">
        <v>5502</v>
      </c>
      <c r="P785" t="s">
        <v>5503</v>
      </c>
      <c r="Q785" s="3" t="n">
        <v>44438.0</v>
      </c>
      <c r="R785" s="3" t="n">
        <v>44623.0</v>
      </c>
      <c r="S785" s="3" t="n">
        <v>44624.187757708336</v>
      </c>
      <c r="T785" s="3" t="n">
        <v>44672.49628115741</v>
      </c>
      <c r="U785" t="s">
        <v>5504</v>
      </c>
      <c r="V785" t="s">
        <v>5505</v>
      </c>
    </row>
    <row r="786">
      <c r="A786" t="s">
        <v>22</v>
      </c>
      <c r="B786" t="s">
        <v>5506</v>
      </c>
      <c r="C786" t="s">
        <v>24</v>
      </c>
      <c r="D786" t="s">
        <v>25</v>
      </c>
      <c r="E786" t="s">
        <v>5507</v>
      </c>
      <c r="F786" s="2" t="n">
        <f>HYPERLINK("https://patents.google.com/patent/US20220061813","Google")</f>
        <v>0.0</v>
      </c>
      <c r="G786" s="2" t="n">
        <f>HYPERLINK("https://patentcenter.uspto.gov/applications/17005153","Patent Center")</f>
        <v>0.0</v>
      </c>
      <c r="H786" s="2" t="n">
        <f>HYPERLINK("https://worldwide.espacenet.com/patent/search?q=US20220061813","Espacenet")</f>
        <v>0.0</v>
      </c>
      <c r="I786" s="2" t="n">
        <f>HYPERLINK("https://ppubs.uspto.gov/pubwebapp/external.html?q=20220061813.pn.","USPTO")</f>
        <v>0.0</v>
      </c>
      <c r="J786" s="2" t="n">
        <f>HYPERLINK("https://image-ppubs.uspto.gov/dirsearch-public/print/downloadPdf/20220061813","USPTO PDF")</f>
        <v>0.0</v>
      </c>
      <c r="K786" s="2" t="n">
        <f>HYPERLINK("https://sectors.patentforecast.com/pmd/US20220061813","PMD")</f>
        <v>0.0</v>
      </c>
      <c r="L786" s="2" t="n">
        <f>HYPERLINK("https://globaldossier.uspto.gov/result/application/US/17005153/1","US20220061813")</f>
        <v>0.0</v>
      </c>
      <c r="M786" t="s">
        <v>5508</v>
      </c>
      <c r="N786" t="s">
        <v>338</v>
      </c>
      <c r="O786" t="s">
        <v>339</v>
      </c>
      <c r="P786" t="s">
        <v>5509</v>
      </c>
      <c r="Q786" s="3" t="n">
        <v>44070.0</v>
      </c>
      <c r="R786" s="3" t="n">
        <v>44623.0</v>
      </c>
      <c r="S786" s="3" t="n">
        <v>44624.18868424769</v>
      </c>
      <c r="T786" s="3" t="n">
        <v>44658.6574409838</v>
      </c>
      <c r="U786" t="s">
        <v>5510</v>
      </c>
      <c r="V786" t="s">
        <v>5511</v>
      </c>
    </row>
    <row r="787">
      <c r="A787" t="s">
        <v>22</v>
      </c>
      <c r="B787" t="s">
        <v>5512</v>
      </c>
      <c r="C787" t="s">
        <v>24</v>
      </c>
      <c r="D787" t="s">
        <v>25</v>
      </c>
      <c r="E787" t="s">
        <v>5513</v>
      </c>
      <c r="F787" s="2" t="n">
        <f>HYPERLINK("https://patents.google.com/patent/US20220061773","Google")</f>
        <v>0.0</v>
      </c>
      <c r="G787" s="2" t="n">
        <f>HYPERLINK("https://patentcenter.uspto.gov/applications/17405049","Patent Center")</f>
        <v>0.0</v>
      </c>
      <c r="H787" s="2" t="n">
        <f>HYPERLINK("https://worldwide.espacenet.com/patent/search?q=US20220061773","Espacenet")</f>
        <v>0.0</v>
      </c>
      <c r="I787" s="2" t="n">
        <f>HYPERLINK("https://ppubs.uspto.gov/pubwebapp/external.html?q=20220061773.pn.","USPTO")</f>
        <v>0.0</v>
      </c>
      <c r="J787" s="2" t="n">
        <f>HYPERLINK("https://image-ppubs.uspto.gov/dirsearch-public/print/downloadPdf/20220061773","USPTO PDF")</f>
        <v>0.0</v>
      </c>
      <c r="K787" s="2" t="n">
        <f>HYPERLINK("https://sectors.patentforecast.com/pmd/US20220061773","PMD")</f>
        <v>0.0</v>
      </c>
      <c r="L787" s="2" t="n">
        <f>HYPERLINK("https://globaldossier.uspto.gov/result/application/US/17405049/1","US20220061773")</f>
        <v>0.0</v>
      </c>
      <c r="M787" t="s">
        <v>5514</v>
      </c>
      <c r="N787" t="s">
        <v>5048</v>
      </c>
      <c r="O787" t="s">
        <v>5049</v>
      </c>
      <c r="P787" t="s">
        <v>5515</v>
      </c>
      <c r="Q787" s="3" t="n">
        <v>44426.0</v>
      </c>
      <c r="R787" s="3" t="n">
        <v>44623.0</v>
      </c>
      <c r="S787" s="3" t="n">
        <v>44624.18868424769</v>
      </c>
      <c r="T787" s="3" t="n">
        <v>44719.601264930556</v>
      </c>
      <c r="U787" t="s">
        <v>5516</v>
      </c>
      <c r="V787" t="s">
        <v>5517</v>
      </c>
    </row>
    <row r="788">
      <c r="A788" t="s">
        <v>22</v>
      </c>
      <c r="B788" t="s">
        <v>5518</v>
      </c>
      <c r="C788" t="s">
        <v>24</v>
      </c>
      <c r="D788" t="s">
        <v>204</v>
      </c>
      <c r="E788" t="s">
        <v>5519</v>
      </c>
      <c r="F788" s="2" t="n">
        <f>HYPERLINK("https://patents.google.com/patent/US20220061664","Google")</f>
        <v>0.0</v>
      </c>
      <c r="G788" s="2" t="n">
        <f>HYPERLINK("https://patentcenter.uspto.gov/applications/17004994","Patent Center")</f>
        <v>0.0</v>
      </c>
      <c r="H788" s="2" t="n">
        <f>HYPERLINK("https://worldwide.espacenet.com/patent/search?q=US20220061664","Espacenet")</f>
        <v>0.0</v>
      </c>
      <c r="I788" s="2" t="n">
        <f>HYPERLINK("https://ppubs.uspto.gov/pubwebapp/external.html?q=20220061664.pn.","USPTO")</f>
        <v>0.0</v>
      </c>
      <c r="J788" s="2" t="n">
        <f>HYPERLINK("https://image-ppubs.uspto.gov/dirsearch-public/print/downloadPdf/20220061664","USPTO PDF")</f>
        <v>0.0</v>
      </c>
      <c r="K788" s="2" t="n">
        <f>HYPERLINK("https://sectors.patentforecast.com/pmd/US20220061664","PMD")</f>
        <v>0.0</v>
      </c>
      <c r="L788" s="2" t="n">
        <f>HYPERLINK("https://globaldossier.uspto.gov/result/application/US/17004994/1","US20220061664")</f>
        <v>0.0</v>
      </c>
      <c r="M788" t="s">
        <v>5520</v>
      </c>
      <c r="N788" t="s">
        <v>338</v>
      </c>
      <c r="O788" t="s">
        <v>339</v>
      </c>
      <c r="P788" t="s">
        <v>5521</v>
      </c>
      <c r="Q788" s="3" t="n">
        <v>44070.0</v>
      </c>
      <c r="R788" s="3" t="n">
        <v>44623.0</v>
      </c>
      <c r="S788" s="3" t="n">
        <v>44624.18868424769</v>
      </c>
      <c r="T788" s="3" t="n">
        <v>44719.60153681713</v>
      </c>
      <c r="U788" t="s">
        <v>31</v>
      </c>
      <c r="V788" t="s">
        <v>5522</v>
      </c>
    </row>
    <row r="789">
      <c r="A789" t="s">
        <v>22</v>
      </c>
      <c r="B789" t="s">
        <v>5523</v>
      </c>
      <c r="C789" t="s">
        <v>24</v>
      </c>
      <c r="D789" t="s">
        <v>69</v>
      </c>
      <c r="E789" t="s">
        <v>5524</v>
      </c>
      <c r="F789" s="2" t="n">
        <f>HYPERLINK("https://patents.google.com/patent/US20220061595","Google")</f>
        <v>0.0</v>
      </c>
      <c r="G789" s="2" t="n">
        <f>HYPERLINK("https://patentcenter.uspto.gov/applications/17462964","Patent Center")</f>
        <v>0.0</v>
      </c>
      <c r="H789" s="2" t="n">
        <f>HYPERLINK("https://worldwide.espacenet.com/patent/search?q=US20220061595","Espacenet")</f>
        <v>0.0</v>
      </c>
      <c r="I789" s="2" t="n">
        <f>HYPERLINK("https://ppubs.uspto.gov/pubwebapp/external.html?q=20220061595.pn.","USPTO")</f>
        <v>0.0</v>
      </c>
      <c r="J789" s="2" t="n">
        <f>HYPERLINK("https://image-ppubs.uspto.gov/dirsearch-public/print/downloadPdf/20220061595","USPTO PDF")</f>
        <v>0.0</v>
      </c>
      <c r="K789" s="2" t="n">
        <f>HYPERLINK("https://sectors.patentforecast.com/pmd/US20220061595","PMD")</f>
        <v>0.0</v>
      </c>
      <c r="L789" s="2" t="n">
        <f>HYPERLINK("https://globaldossier.uspto.gov/result/application/US/17462964/1","US20220061595")</f>
        <v>0.0</v>
      </c>
      <c r="M789" t="s">
        <v>5525</v>
      </c>
      <c r="N789" t="s">
        <v>5526</v>
      </c>
      <c r="O789" t="s">
        <v>5527</v>
      </c>
      <c r="P789" t="s">
        <v>5528</v>
      </c>
      <c r="Q789" s="3" t="n">
        <v>44439.0</v>
      </c>
      <c r="R789" s="3" t="n">
        <v>44623.0</v>
      </c>
      <c r="S789" s="3" t="n">
        <v>44624.18868424769</v>
      </c>
      <c r="T789" s="3" t="n">
        <v>44719.601575486115</v>
      </c>
      <c r="U789" t="s">
        <v>31</v>
      </c>
      <c r="V789" t="s">
        <v>5529</v>
      </c>
    </row>
    <row r="790">
      <c r="A790" t="s">
        <v>22</v>
      </c>
      <c r="B790" t="s">
        <v>5530</v>
      </c>
      <c r="C790" t="s">
        <v>24</v>
      </c>
      <c r="D790" t="s">
        <v>100</v>
      </c>
      <c r="E790" t="s">
        <v>5531</v>
      </c>
      <c r="F790" s="2" t="n">
        <f>HYPERLINK("https://patents.google.com/patent/US20220061572","Google")</f>
        <v>0.0</v>
      </c>
      <c r="G790" s="2" t="n">
        <f>HYPERLINK("https://patentcenter.uspto.gov/applications/17003485","Patent Center")</f>
        <v>0.0</v>
      </c>
      <c r="H790" s="2" t="n">
        <f>HYPERLINK("https://worldwide.espacenet.com/patent/search?q=US20220061572","Espacenet")</f>
        <v>0.0</v>
      </c>
      <c r="I790" s="2" t="n">
        <f>HYPERLINK("https://ppubs.uspto.gov/pubwebapp/external.html?q=20220061572.pn.","USPTO")</f>
        <v>0.0</v>
      </c>
      <c r="J790" s="2" t="n">
        <f>HYPERLINK("https://image-ppubs.uspto.gov/dirsearch-public/print/downloadPdf/20220061572","USPTO PDF")</f>
        <v>0.0</v>
      </c>
      <c r="K790" s="2" t="n">
        <f>HYPERLINK("https://sectors.patentforecast.com/pmd/US20220061572","PMD")</f>
        <v>0.0</v>
      </c>
      <c r="L790" s="2" t="n">
        <f>HYPERLINK("https://globaldossier.uspto.gov/result/application/US/17003485/1","US20220061572")</f>
        <v>0.0</v>
      </c>
      <c r="M790" t="s">
        <v>5532</v>
      </c>
      <c r="N790" t="s">
        <v>5533</v>
      </c>
      <c r="O790" t="s">
        <v>5534</v>
      </c>
      <c r="P790" t="s">
        <v>5535</v>
      </c>
      <c r="Q790" s="3" t="n">
        <v>44069.0</v>
      </c>
      <c r="R790" s="3" t="n">
        <v>44623.0</v>
      </c>
      <c r="S790" s="3" t="n">
        <v>44624.18868424769</v>
      </c>
      <c r="T790" s="3" t="n">
        <v>44719.60161100695</v>
      </c>
      <c r="U790" t="s">
        <v>5536</v>
      </c>
      <c r="V790" t="s">
        <v>5537</v>
      </c>
    </row>
    <row r="791">
      <c r="A791" t="s">
        <v>22</v>
      </c>
      <c r="B791" t="s">
        <v>5538</v>
      </c>
      <c r="C791" t="s">
        <v>24</v>
      </c>
      <c r="D791" t="s">
        <v>69</v>
      </c>
      <c r="E791" t="s">
        <v>5539</v>
      </c>
      <c r="F791" s="2" t="n">
        <f>HYPERLINK("https://patents.google.com/patent/US20220061521","Google")</f>
        <v>0.0</v>
      </c>
      <c r="G791" s="2" t="n">
        <f>HYPERLINK("https://patentcenter.uspto.gov/applications/17008831","Patent Center")</f>
        <v>0.0</v>
      </c>
      <c r="H791" s="2" t="n">
        <f>HYPERLINK("https://worldwide.espacenet.com/patent/search?q=US20220061521","Espacenet")</f>
        <v>0.0</v>
      </c>
      <c r="I791" s="2" t="n">
        <f>HYPERLINK("https://ppubs.uspto.gov/pubwebapp/external.html?q=20220061521.pn.","USPTO")</f>
        <v>0.0</v>
      </c>
      <c r="J791" s="2" t="n">
        <f>HYPERLINK("https://image-ppubs.uspto.gov/dirsearch-public/print/downloadPdf/20220061521","USPTO PDF")</f>
        <v>0.0</v>
      </c>
      <c r="K791" s="2" t="n">
        <f>HYPERLINK("https://sectors.patentforecast.com/pmd/US20220061521","PMD")</f>
        <v>0.0</v>
      </c>
      <c r="L791" s="2" t="n">
        <f>HYPERLINK("https://globaldossier.uspto.gov/result/application/US/17008831/1","US20220061521")</f>
        <v>0.0</v>
      </c>
      <c r="M791" t="s">
        <v>5540</v>
      </c>
      <c r="N791" t="s">
        <v>5541</v>
      </c>
      <c r="O791" t="s">
        <v>5542</v>
      </c>
      <c r="P791" t="s">
        <v>5543</v>
      </c>
      <c r="Q791" s="3" t="n">
        <v>44075.0</v>
      </c>
      <c r="R791" s="3" t="n">
        <v>44623.0</v>
      </c>
      <c r="S791" s="3" t="n">
        <v>44624.18868424769</v>
      </c>
      <c r="T791" s="3" t="n">
        <v>44658.622062905095</v>
      </c>
      <c r="U791" t="s">
        <v>5544</v>
      </c>
      <c r="V791" t="s">
        <v>5545</v>
      </c>
    </row>
    <row r="792">
      <c r="A792" t="s">
        <v>22</v>
      </c>
      <c r="B792" t="s">
        <v>5546</v>
      </c>
      <c r="C792" t="s">
        <v>24</v>
      </c>
      <c r="D792" t="s">
        <v>100</v>
      </c>
      <c r="E792" t="s">
        <v>5547</v>
      </c>
      <c r="F792" s="2" t="n">
        <f>HYPERLINK("https://patents.google.com/patent/US20220061473","Google")</f>
        <v>0.0</v>
      </c>
      <c r="G792" s="2" t="n">
        <f>HYPERLINK("https://patentcenter.uspto.gov/applications/17460408","Patent Center")</f>
        <v>0.0</v>
      </c>
      <c r="H792" s="2" t="n">
        <f>HYPERLINK("https://worldwide.espacenet.com/patent/search?q=US20220061473","Espacenet")</f>
        <v>0.0</v>
      </c>
      <c r="I792" s="2" t="n">
        <f>HYPERLINK("https://ppubs.uspto.gov/pubwebapp/external.html?q=20220061473.pn.","USPTO")</f>
        <v>0.0</v>
      </c>
      <c r="J792" s="2" t="n">
        <f>HYPERLINK("https://image-ppubs.uspto.gov/dirsearch-public/print/downloadPdf/20220061473","USPTO PDF")</f>
        <v>0.0</v>
      </c>
      <c r="K792" s="2" t="n">
        <f>HYPERLINK("https://sectors.patentforecast.com/pmd/US20220061473","PMD")</f>
        <v>0.0</v>
      </c>
      <c r="L792" s="2" t="n">
        <f>HYPERLINK("https://globaldossier.uspto.gov/result/application/US/17460408/1","US20220061473")</f>
        <v>0.0</v>
      </c>
      <c r="M792" t="s">
        <v>5548</v>
      </c>
      <c r="N792" t="s">
        <v>5549</v>
      </c>
      <c r="O792" t="s">
        <v>5549</v>
      </c>
      <c r="P792" t="s">
        <v>5550</v>
      </c>
      <c r="Q792" s="3" t="n">
        <v>44438.0</v>
      </c>
      <c r="R792" s="3" t="n">
        <v>44623.0</v>
      </c>
      <c r="S792" s="3" t="n">
        <v>44624.18868424769</v>
      </c>
      <c r="T792" s="3" t="n">
        <v>44672.46142078704</v>
      </c>
      <c r="U792" t="s">
        <v>31</v>
      </c>
      <c r="V792" t="s">
        <v>5551</v>
      </c>
    </row>
    <row r="793">
      <c r="A793" t="s">
        <v>22</v>
      </c>
      <c r="B793" t="s">
        <v>5552</v>
      </c>
      <c r="C793" t="s">
        <v>24</v>
      </c>
      <c r="D793" t="s">
        <v>69</v>
      </c>
      <c r="E793" t="s">
        <v>5553</v>
      </c>
      <c r="F793" s="2" t="n">
        <f>HYPERLINK("https://patents.google.com/patent/US20220061421","Google")</f>
        <v>0.0</v>
      </c>
      <c r="G793" s="2" t="n">
        <f>HYPERLINK("https://patentcenter.uspto.gov/applications/17006807","Patent Center")</f>
        <v>0.0</v>
      </c>
      <c r="H793" s="2" t="n">
        <f>HYPERLINK("https://worldwide.espacenet.com/patent/search?q=US20220061421","Espacenet")</f>
        <v>0.0</v>
      </c>
      <c r="I793" s="2" t="n">
        <f>HYPERLINK("https://ppubs.uspto.gov/pubwebapp/external.html?q=20220061421.pn.","USPTO")</f>
        <v>0.0</v>
      </c>
      <c r="J793" s="2" t="n">
        <f>HYPERLINK("https://image-ppubs.uspto.gov/dirsearch-public/print/downloadPdf/20220061421","USPTO PDF")</f>
        <v>0.0</v>
      </c>
      <c r="K793" s="2" t="n">
        <f>HYPERLINK("https://sectors.patentforecast.com/pmd/US20220061421","PMD")</f>
        <v>0.0</v>
      </c>
      <c r="L793" s="2" t="n">
        <f>HYPERLINK("https://globaldossier.uspto.gov/result/application/US/17006807/1","US20220061421")</f>
        <v>0.0</v>
      </c>
      <c r="M793" t="s">
        <v>5554</v>
      </c>
      <c r="N793" t="s">
        <v>5555</v>
      </c>
      <c r="O793" t="s">
        <v>5555</v>
      </c>
      <c r="P793" t="s">
        <v>5556</v>
      </c>
      <c r="Q793" s="3" t="n">
        <v>44072.0</v>
      </c>
      <c r="R793" s="3" t="n">
        <v>44623.0</v>
      </c>
      <c r="S793" s="3" t="n">
        <v>44624.18868424769</v>
      </c>
      <c r="T793" s="3" t="n">
        <v>44658.61965958333</v>
      </c>
      <c r="U793" t="s">
        <v>31</v>
      </c>
      <c r="V793" t="s">
        <v>5557</v>
      </c>
    </row>
    <row r="794">
      <c r="A794" t="s">
        <v>22</v>
      </c>
      <c r="B794" t="s">
        <v>5558</v>
      </c>
      <c r="C794" t="s">
        <v>24</v>
      </c>
      <c r="D794" t="s">
        <v>69</v>
      </c>
      <c r="E794" t="s">
        <v>5559</v>
      </c>
      <c r="F794" s="2" t="n">
        <f>HYPERLINK("https://patents.google.com/patent/US20220061419","Google")</f>
        <v>0.0</v>
      </c>
      <c r="G794" s="2" t="n">
        <f>HYPERLINK("https://patentcenter.uspto.gov/applications/17093199","Patent Center")</f>
        <v>0.0</v>
      </c>
      <c r="H794" s="2" t="n">
        <f>HYPERLINK("https://worldwide.espacenet.com/patent/search?q=US20220061419","Espacenet")</f>
        <v>0.0</v>
      </c>
      <c r="I794" s="2" t="n">
        <f>HYPERLINK("https://ppubs.uspto.gov/pubwebapp/external.html?q=20220061419.pn.","USPTO")</f>
        <v>0.0</v>
      </c>
      <c r="J794" s="2" t="n">
        <f>HYPERLINK("https://image-ppubs.uspto.gov/dirsearch-public/print/downloadPdf/20220061419","USPTO PDF")</f>
        <v>0.0</v>
      </c>
      <c r="K794" s="2" t="n">
        <f>HYPERLINK("https://sectors.patentforecast.com/pmd/US20220061419","PMD")</f>
        <v>0.0</v>
      </c>
      <c r="L794" s="2" t="n">
        <f>HYPERLINK("https://globaldossier.uspto.gov/result/application/US/17093199/1","US20220061419")</f>
        <v>0.0</v>
      </c>
      <c r="M794" t="s">
        <v>5560</v>
      </c>
      <c r="N794" t="s">
        <v>5561</v>
      </c>
      <c r="O794" t="s">
        <v>5561</v>
      </c>
      <c r="P794" t="s">
        <v>5562</v>
      </c>
      <c r="Q794" s="3" t="n">
        <v>44144.0</v>
      </c>
      <c r="R794" s="3" t="n">
        <v>44623.0</v>
      </c>
      <c r="S794" s="3" t="n">
        <v>44624.18868424769</v>
      </c>
      <c r="T794" s="3" t="n">
        <v>44658.61965958333</v>
      </c>
      <c r="U794" t="s">
        <v>31</v>
      </c>
      <c r="V794" t="s">
        <v>5563</v>
      </c>
    </row>
    <row r="795">
      <c r="A795" t="s">
        <v>22</v>
      </c>
      <c r="B795" t="s">
        <v>5564</v>
      </c>
      <c r="C795" t="s">
        <v>24</v>
      </c>
      <c r="D795" t="s">
        <v>69</v>
      </c>
      <c r="E795" t="s">
        <v>5565</v>
      </c>
      <c r="F795" s="2" t="n">
        <f>HYPERLINK("https://patents.google.com/patent/US20220061418","Google")</f>
        <v>0.0</v>
      </c>
      <c r="G795" s="2" t="n">
        <f>HYPERLINK("https://patentcenter.uspto.gov/applications/17011717","Patent Center")</f>
        <v>0.0</v>
      </c>
      <c r="H795" s="2" t="n">
        <f>HYPERLINK("https://worldwide.espacenet.com/patent/search?q=US20220061418","Espacenet")</f>
        <v>0.0</v>
      </c>
      <c r="I795" s="2" t="n">
        <f>HYPERLINK("https://ppubs.uspto.gov/pubwebapp/external.html?q=20220061418.pn.","USPTO")</f>
        <v>0.0</v>
      </c>
      <c r="J795" s="2" t="n">
        <f>HYPERLINK("https://image-ppubs.uspto.gov/dirsearch-public/print/downloadPdf/20220061418","USPTO PDF")</f>
        <v>0.0</v>
      </c>
      <c r="K795" s="2" t="n">
        <f>HYPERLINK("https://sectors.patentforecast.com/pmd/US20220061418","PMD")</f>
        <v>0.0</v>
      </c>
      <c r="L795" s="2" t="n">
        <f>HYPERLINK("https://globaldossier.uspto.gov/result/application/US/17011717/1","US20220061418")</f>
        <v>0.0</v>
      </c>
      <c r="M795" t="s">
        <v>5566</v>
      </c>
      <c r="N795" t="s">
        <v>5567</v>
      </c>
      <c r="O795" t="s">
        <v>5567</v>
      </c>
      <c r="P795" t="s">
        <v>5568</v>
      </c>
      <c r="Q795" s="3" t="n">
        <v>44077.0</v>
      </c>
      <c r="R795" s="3" t="n">
        <v>44623.0</v>
      </c>
      <c r="S795" s="3" t="n">
        <v>44624.18868424769</v>
      </c>
      <c r="T795" s="3" t="n">
        <v>44658.61965958333</v>
      </c>
      <c r="U795" t="s">
        <v>5569</v>
      </c>
      <c r="V795" t="s">
        <v>5570</v>
      </c>
    </row>
    <row r="796">
      <c r="A796" t="s">
        <v>22</v>
      </c>
      <c r="B796" t="s">
        <v>5571</v>
      </c>
      <c r="C796" t="s">
        <v>24</v>
      </c>
      <c r="D796" t="s">
        <v>69</v>
      </c>
      <c r="E796" t="s">
        <v>2384</v>
      </c>
      <c r="F796" s="2" t="n">
        <f>HYPERLINK("https://patents.google.com/patent/US20220061328","Google")</f>
        <v>0.0</v>
      </c>
      <c r="G796" s="2" t="n">
        <f>HYPERLINK("https://patentcenter.uspto.gov/applications/17403097","Patent Center")</f>
        <v>0.0</v>
      </c>
      <c r="H796" s="2" t="n">
        <f>HYPERLINK("https://worldwide.espacenet.com/patent/search?q=US20220061328","Espacenet")</f>
        <v>0.0</v>
      </c>
      <c r="I796" s="2" t="n">
        <f>HYPERLINK("https://ppubs.uspto.gov/pubwebapp/external.html?q=20220061328.pn.","USPTO")</f>
        <v>0.0</v>
      </c>
      <c r="J796" s="2" t="n">
        <f>HYPERLINK("https://image-ppubs.uspto.gov/dirsearch-public/print/downloadPdf/20220061328","USPTO PDF")</f>
        <v>0.0</v>
      </c>
      <c r="K796" s="2" t="n">
        <f>HYPERLINK("https://sectors.patentforecast.com/pmd/US20220061328","PMD")</f>
        <v>0.0</v>
      </c>
      <c r="L796" s="2" t="n">
        <f>HYPERLINK("https://globaldossier.uspto.gov/result/application/US/17403097/1","US20220061328")</f>
        <v>0.0</v>
      </c>
      <c r="M796" t="s">
        <v>5572</v>
      </c>
      <c r="N796" t="s">
        <v>2232</v>
      </c>
      <c r="O796" t="s">
        <v>2232</v>
      </c>
      <c r="P796" t="s">
        <v>5573</v>
      </c>
      <c r="Q796" s="3" t="n">
        <v>44424.0</v>
      </c>
      <c r="R796" s="3" t="n">
        <v>44623.0</v>
      </c>
      <c r="S796" s="3" t="n">
        <v>44624.18868424769</v>
      </c>
      <c r="T796" s="3" t="n">
        <v>44658.61915760417</v>
      </c>
      <c r="U796" t="s">
        <v>31</v>
      </c>
      <c r="V796" t="s">
        <v>5574</v>
      </c>
    </row>
    <row r="797">
      <c r="A797" t="s">
        <v>22</v>
      </c>
      <c r="B797" t="s">
        <v>5575</v>
      </c>
      <c r="C797" t="s">
        <v>24</v>
      </c>
      <c r="D797" t="s">
        <v>69</v>
      </c>
      <c r="E797" t="s">
        <v>2384</v>
      </c>
      <c r="F797" s="2" t="n">
        <f>HYPERLINK("https://patents.google.com/patent/US20220061327","Google")</f>
        <v>0.0</v>
      </c>
      <c r="G797" s="2" t="n">
        <f>HYPERLINK("https://patentcenter.uspto.gov/applications/17403093","Patent Center")</f>
        <v>0.0</v>
      </c>
      <c r="H797" s="2" t="n">
        <f>HYPERLINK("https://worldwide.espacenet.com/patent/search?q=US20220061327","Espacenet")</f>
        <v>0.0</v>
      </c>
      <c r="I797" s="2" t="n">
        <f>HYPERLINK("https://ppubs.uspto.gov/pubwebapp/external.html?q=20220061327.pn.","USPTO")</f>
        <v>0.0</v>
      </c>
      <c r="J797" s="2" t="n">
        <f>HYPERLINK("https://image-ppubs.uspto.gov/dirsearch-public/print/downloadPdf/20220061327","USPTO PDF")</f>
        <v>0.0</v>
      </c>
      <c r="K797" s="2" t="n">
        <f>HYPERLINK("https://sectors.patentforecast.com/pmd/US20220061327","PMD")</f>
        <v>0.0</v>
      </c>
      <c r="L797" s="2" t="n">
        <f>HYPERLINK("https://globaldossier.uspto.gov/result/application/US/17403093/1","US20220061327")</f>
        <v>0.0</v>
      </c>
      <c r="M797" t="s">
        <v>5576</v>
      </c>
      <c r="N797" t="s">
        <v>2232</v>
      </c>
      <c r="O797" t="s">
        <v>2232</v>
      </c>
      <c r="P797" t="s">
        <v>2386</v>
      </c>
      <c r="Q797" s="3" t="n">
        <v>44424.0</v>
      </c>
      <c r="R797" s="3" t="n">
        <v>44623.0</v>
      </c>
      <c r="S797" s="3" t="n">
        <v>44624.18868424769</v>
      </c>
      <c r="T797" s="3" t="n">
        <v>44658.61915760417</v>
      </c>
      <c r="U797" t="s">
        <v>31</v>
      </c>
      <c r="V797" t="s">
        <v>5577</v>
      </c>
    </row>
    <row r="798">
      <c r="A798" t="s">
        <v>22</v>
      </c>
      <c r="B798" t="s">
        <v>5578</v>
      </c>
      <c r="C798" t="s">
        <v>60</v>
      </c>
      <c r="D798" t="s">
        <v>61</v>
      </c>
      <c r="E798" t="s">
        <v>5579</v>
      </c>
      <c r="F798" s="2" t="n">
        <f>HYPERLINK("https://patents.google.com/patent/US20220061320","Google")</f>
        <v>0.0</v>
      </c>
      <c r="G798" s="2" t="n">
        <f>HYPERLINK("https://patentcenter.uspto.gov/applications/17006830","Patent Center")</f>
        <v>0.0</v>
      </c>
      <c r="H798" s="2" t="n">
        <f>HYPERLINK("https://worldwide.espacenet.com/patent/search?q=US20220061320","Espacenet")</f>
        <v>0.0</v>
      </c>
      <c r="I798" s="2" t="n">
        <f>HYPERLINK("https://ppubs.uspto.gov/pubwebapp/external.html?q=20220061320.pn.","USPTO")</f>
        <v>0.0</v>
      </c>
      <c r="J798" s="2" t="n">
        <f>HYPERLINK("https://image-ppubs.uspto.gov/dirsearch-public/print/downloadPdf/20220061320","USPTO PDF")</f>
        <v>0.0</v>
      </c>
      <c r="K798" s="2" t="n">
        <f>HYPERLINK("https://sectors.patentforecast.com/pmd/US20220061320","PMD")</f>
        <v>0.0</v>
      </c>
      <c r="L798" s="2" t="n">
        <f>HYPERLINK("https://globaldossier.uspto.gov/result/application/US/17006830/1","US20220061320")</f>
        <v>0.0</v>
      </c>
      <c r="M798" t="s">
        <v>5580</v>
      </c>
      <c r="N798" t="s">
        <v>5581</v>
      </c>
      <c r="O798" t="s">
        <v>5581</v>
      </c>
      <c r="P798" t="s">
        <v>5582</v>
      </c>
      <c r="Q798" s="3" t="n">
        <v>44072.0</v>
      </c>
      <c r="R798" s="3" t="n">
        <v>44623.0</v>
      </c>
      <c r="S798" s="3" t="n">
        <v>44624.18868424769</v>
      </c>
      <c r="T798" s="3" t="n">
        <v>44719.60184740741</v>
      </c>
      <c r="U798" t="s">
        <v>31</v>
      </c>
      <c r="V798" t="s">
        <v>5583</v>
      </c>
    </row>
    <row r="799">
      <c r="A799" t="s">
        <v>22</v>
      </c>
      <c r="B799" t="s">
        <v>5584</v>
      </c>
      <c r="C799" t="s">
        <v>24</v>
      </c>
      <c r="D799" t="s">
        <v>69</v>
      </c>
      <c r="E799" t="s">
        <v>5585</v>
      </c>
      <c r="F799" s="2" t="n">
        <f>HYPERLINK("https://patents.google.com/patent/US20220061318","Google")</f>
        <v>0.0</v>
      </c>
      <c r="G799" s="2" t="n">
        <f>HYPERLINK("https://patentcenter.uspto.gov/applications/17244688","Patent Center")</f>
        <v>0.0</v>
      </c>
      <c r="H799" s="2" t="n">
        <f>HYPERLINK("https://worldwide.espacenet.com/patent/search?q=US20220061318","Espacenet")</f>
        <v>0.0</v>
      </c>
      <c r="I799" s="2" t="n">
        <f>HYPERLINK("https://ppubs.uspto.gov/pubwebapp/external.html?q=20220061318.pn.","USPTO")</f>
        <v>0.0</v>
      </c>
      <c r="J799" s="2" t="n">
        <f>HYPERLINK("https://image-ppubs.uspto.gov/dirsearch-public/print/downloadPdf/20220061318","USPTO PDF")</f>
        <v>0.0</v>
      </c>
      <c r="K799" s="2" t="n">
        <f>HYPERLINK("https://sectors.patentforecast.com/pmd/US20220061318","PMD")</f>
        <v>0.0</v>
      </c>
      <c r="L799" s="2" t="n">
        <f>HYPERLINK("https://globaldossier.uspto.gov/result/application/US/17244688/1","US20220061318")</f>
        <v>0.0</v>
      </c>
      <c r="M799" t="s">
        <v>5586</v>
      </c>
      <c r="N799" t="s">
        <v>3284</v>
      </c>
      <c r="O799" t="s">
        <v>3285</v>
      </c>
      <c r="P799" t="s">
        <v>5587</v>
      </c>
      <c r="Q799" s="3" t="n">
        <v>44315.0</v>
      </c>
      <c r="R799" s="3" t="n">
        <v>44623.0</v>
      </c>
      <c r="S799" s="3" t="n">
        <v>44624.18868424769</v>
      </c>
      <c r="T799" s="3" t="n">
        <v>44643.44687744213</v>
      </c>
      <c r="U799" t="s">
        <v>31</v>
      </c>
      <c r="V799" t="s">
        <v>5588</v>
      </c>
    </row>
    <row r="800">
      <c r="A800" t="s">
        <v>22</v>
      </c>
      <c r="B800" t="s">
        <v>5589</v>
      </c>
      <c r="C800" t="s">
        <v>24</v>
      </c>
      <c r="D800" t="s">
        <v>100</v>
      </c>
      <c r="E800" t="s">
        <v>5590</v>
      </c>
      <c r="F800" s="2" t="n">
        <f>HYPERLINK("https://patents.google.com/patent/US20220061315","Google")</f>
        <v>0.0</v>
      </c>
      <c r="G800" s="2" t="n">
        <f>HYPERLINK("https://patentcenter.uspto.gov/applications/17458524","Patent Center")</f>
        <v>0.0</v>
      </c>
      <c r="H800" s="2" t="n">
        <f>HYPERLINK("https://worldwide.espacenet.com/patent/search?q=US20220061315","Espacenet")</f>
        <v>0.0</v>
      </c>
      <c r="I800" s="2" t="n">
        <f>HYPERLINK("https://ppubs.uspto.gov/pubwebapp/external.html?q=20220061315.pn.","USPTO")</f>
        <v>0.0</v>
      </c>
      <c r="J800" s="2" t="n">
        <f>HYPERLINK("https://image-ppubs.uspto.gov/dirsearch-public/print/downloadPdf/20220061315","USPTO PDF")</f>
        <v>0.0</v>
      </c>
      <c r="K800" s="2" t="n">
        <f>HYPERLINK("https://sectors.patentforecast.com/pmd/US20220061315","PMD")</f>
        <v>0.0</v>
      </c>
      <c r="L800" s="2" t="n">
        <f>HYPERLINK("https://globaldossier.uspto.gov/result/application/US/17458524/1","US20220061315")</f>
        <v>0.0</v>
      </c>
      <c r="M800" t="s">
        <v>5591</v>
      </c>
      <c r="N800" t="s">
        <v>5592</v>
      </c>
      <c r="O800" t="s">
        <v>5593</v>
      </c>
      <c r="P800" t="s">
        <v>5594</v>
      </c>
      <c r="Q800" s="3" t="n">
        <v>44434.0</v>
      </c>
      <c r="R800" s="3" t="n">
        <v>44623.0</v>
      </c>
      <c r="S800" s="3" t="n">
        <v>44624.18868424769</v>
      </c>
      <c r="T800" s="3" t="n">
        <v>44678.57564940972</v>
      </c>
      <c r="U800" t="s">
        <v>5595</v>
      </c>
      <c r="V800" t="s">
        <v>5596</v>
      </c>
    </row>
    <row r="801">
      <c r="A801" t="s">
        <v>22</v>
      </c>
      <c r="B801" t="s">
        <v>5597</v>
      </c>
      <c r="C801" t="s">
        <v>24</v>
      </c>
      <c r="D801" t="s">
        <v>69</v>
      </c>
      <c r="E801" t="s">
        <v>5598</v>
      </c>
      <c r="F801" s="2" t="n">
        <f>HYPERLINK("https://patents.google.com/patent/US20220060856","Google")</f>
        <v>0.0</v>
      </c>
      <c r="G801" s="2" t="n">
        <f>HYPERLINK("https://patentcenter.uspto.gov/applications/17518128","Patent Center")</f>
        <v>0.0</v>
      </c>
      <c r="H801" s="2" t="n">
        <f>HYPERLINK("https://worldwide.espacenet.com/patent/search?q=US20220060856","Espacenet")</f>
        <v>0.0</v>
      </c>
      <c r="I801" s="2" t="n">
        <f>HYPERLINK("https://ppubs.uspto.gov/pubwebapp/external.html?q=20220060856.pn.","USPTO")</f>
        <v>0.0</v>
      </c>
      <c r="J801" s="2" t="n">
        <f>HYPERLINK("https://image-ppubs.uspto.gov/dirsearch-public/print/downloadPdf/20220060856","USPTO PDF")</f>
        <v>0.0</v>
      </c>
      <c r="K801" s="2" t="n">
        <f>HYPERLINK("https://sectors.patentforecast.com/pmd/US20220060856","PMD")</f>
        <v>0.0</v>
      </c>
      <c r="L801" s="2" t="n">
        <f>HYPERLINK("https://globaldossier.uspto.gov/result/application/US/17518128/1","US20220060856")</f>
        <v>0.0</v>
      </c>
      <c r="M801" t="s">
        <v>5599</v>
      </c>
      <c r="N801" t="s">
        <v>2232</v>
      </c>
      <c r="O801" t="s">
        <v>2232</v>
      </c>
      <c r="P801" t="s">
        <v>5600</v>
      </c>
      <c r="Q801" s="3" t="n">
        <v>44503.0</v>
      </c>
      <c r="R801" s="3" t="n">
        <v>44616.0</v>
      </c>
      <c r="S801" s="3" t="n">
        <v>44617.19020707176</v>
      </c>
      <c r="T801" s="3" t="n">
        <v>44678.38577133102</v>
      </c>
      <c r="U801" t="s">
        <v>5601</v>
      </c>
      <c r="V801" t="s">
        <v>5602</v>
      </c>
    </row>
    <row r="802">
      <c r="A802" t="s">
        <v>22</v>
      </c>
      <c r="B802" t="s">
        <v>5603</v>
      </c>
      <c r="C802" t="s">
        <v>24</v>
      </c>
      <c r="D802" t="s">
        <v>204</v>
      </c>
      <c r="E802" t="s">
        <v>5604</v>
      </c>
      <c r="F802" s="2" t="n">
        <f>HYPERLINK("https://patents.google.com/patent/US20220060761","Google")</f>
        <v>0.0</v>
      </c>
      <c r="G802" s="2" t="n">
        <f>HYPERLINK("https://patentcenter.uspto.gov/applications/17409760","Patent Center")</f>
        <v>0.0</v>
      </c>
      <c r="H802" s="2" t="n">
        <f>HYPERLINK("https://worldwide.espacenet.com/patent/search?q=US20220060761","Espacenet")</f>
        <v>0.0</v>
      </c>
      <c r="I802" s="2" t="n">
        <f>HYPERLINK("https://ppubs.uspto.gov/pubwebapp/external.html?q=20220060761.pn.","USPTO")</f>
        <v>0.0</v>
      </c>
      <c r="J802" s="2" t="n">
        <f>HYPERLINK("https://image-ppubs.uspto.gov/dirsearch-public/print/downloadPdf/20220060761","USPTO PDF")</f>
        <v>0.0</v>
      </c>
      <c r="K802" s="2" t="n">
        <f>HYPERLINK("https://sectors.patentforecast.com/pmd/US20220060761","PMD")</f>
        <v>0.0</v>
      </c>
      <c r="L802" s="2" t="n">
        <f>HYPERLINK("https://globaldossier.uspto.gov/result/application/US/17409760/1","US20220060761")</f>
        <v>0.0</v>
      </c>
      <c r="M802" t="s">
        <v>5605</v>
      </c>
      <c r="N802" t="s">
        <v>5606</v>
      </c>
      <c r="O802" t="s">
        <v>5607</v>
      </c>
      <c r="P802" t="s">
        <v>5608</v>
      </c>
      <c r="Q802" s="3" t="n">
        <v>44431.0</v>
      </c>
      <c r="R802" s="3" t="n">
        <v>44616.0</v>
      </c>
      <c r="S802" s="3" t="n">
        <v>44617.18882534722</v>
      </c>
      <c r="T802" s="3" t="n">
        <v>44698.621790717596</v>
      </c>
      <c r="U802" t="s">
        <v>5609</v>
      </c>
      <c r="V802" t="s">
        <v>5610</v>
      </c>
    </row>
    <row r="803">
      <c r="A803" t="s">
        <v>22</v>
      </c>
      <c r="B803" t="s">
        <v>5611</v>
      </c>
      <c r="C803" t="s">
        <v>24</v>
      </c>
      <c r="D803" t="s">
        <v>69</v>
      </c>
      <c r="E803" t="s">
        <v>5612</v>
      </c>
      <c r="F803" s="2" t="n">
        <f>HYPERLINK("https://patents.google.com/patent/US20220060522","Google")</f>
        <v>0.0</v>
      </c>
      <c r="G803" s="2" t="n">
        <f>HYPERLINK("https://patentcenter.uspto.gov/applications/17445389","Patent Center")</f>
        <v>0.0</v>
      </c>
      <c r="H803" s="2" t="n">
        <f>HYPERLINK("https://worldwide.espacenet.com/patent/search?q=US20220060522","Espacenet")</f>
        <v>0.0</v>
      </c>
      <c r="I803" s="2" t="n">
        <f>HYPERLINK("https://ppubs.uspto.gov/pubwebapp/external.html?q=20220060522.pn.","USPTO")</f>
        <v>0.0</v>
      </c>
      <c r="J803" s="2" t="n">
        <f>HYPERLINK("https://image-ppubs.uspto.gov/dirsearch-public/print/downloadPdf/20220060522","USPTO PDF")</f>
        <v>0.0</v>
      </c>
      <c r="K803" s="2" t="n">
        <f>HYPERLINK("https://sectors.patentforecast.com/pmd/US20220060522","PMD")</f>
        <v>0.0</v>
      </c>
      <c r="L803" s="2" t="n">
        <f>HYPERLINK("https://globaldossier.uspto.gov/result/application/US/17445389/1","US20220060522")</f>
        <v>0.0</v>
      </c>
      <c r="M803" t="s">
        <v>5613</v>
      </c>
      <c r="N803" t="s">
        <v>5614</v>
      </c>
      <c r="O803" t="s">
        <v>5614</v>
      </c>
      <c r="P803" t="s">
        <v>5615</v>
      </c>
      <c r="Q803" s="3" t="n">
        <v>44426.0</v>
      </c>
      <c r="R803" s="3" t="n">
        <v>44616.0</v>
      </c>
      <c r="S803" s="3" t="n">
        <v>44617.18882534722</v>
      </c>
      <c r="T803" s="3" t="n">
        <v>44698.62185829861</v>
      </c>
      <c r="U803" t="s">
        <v>31</v>
      </c>
      <c r="V803" t="s">
        <v>5616</v>
      </c>
    </row>
    <row r="804">
      <c r="A804" t="s">
        <v>22</v>
      </c>
      <c r="B804" t="s">
        <v>5617</v>
      </c>
      <c r="C804" t="s">
        <v>24</v>
      </c>
      <c r="D804" t="s">
        <v>1450</v>
      </c>
      <c r="E804" t="s">
        <v>5618</v>
      </c>
      <c r="F804" s="2" t="n">
        <f>HYPERLINK("https://patents.google.com/patent/US20220060495","Google")</f>
        <v>0.0</v>
      </c>
      <c r="G804" s="2" t="n">
        <f>HYPERLINK("https://patentcenter.uspto.gov/applications/17001070","Patent Center")</f>
        <v>0.0</v>
      </c>
      <c r="H804" s="2" t="n">
        <f>HYPERLINK("https://worldwide.espacenet.com/patent/search?q=US20220060495","Espacenet")</f>
        <v>0.0</v>
      </c>
      <c r="I804" s="2" t="n">
        <f>HYPERLINK("https://ppubs.uspto.gov/pubwebapp/external.html?q=20220060495.pn.","USPTO")</f>
        <v>0.0</v>
      </c>
      <c r="J804" s="2" t="n">
        <f>HYPERLINK("https://image-ppubs.uspto.gov/dirsearch-public/print/downloadPdf/20220060495","USPTO PDF")</f>
        <v>0.0</v>
      </c>
      <c r="K804" s="2" t="n">
        <f>HYPERLINK("https://sectors.patentforecast.com/pmd/US20220060495","PMD")</f>
        <v>0.0</v>
      </c>
      <c r="L804" s="2" t="n">
        <f>HYPERLINK("https://globaldossier.uspto.gov/result/application/US/17001070/1","US20220060495")</f>
        <v>0.0</v>
      </c>
      <c r="M804" t="s">
        <v>5619</v>
      </c>
      <c r="N804" t="s">
        <v>5620</v>
      </c>
      <c r="O804" t="s">
        <v>5621</v>
      </c>
      <c r="P804" t="s">
        <v>5622</v>
      </c>
      <c r="Q804" s="3" t="n">
        <v>44067.0</v>
      </c>
      <c r="R804" s="3" t="n">
        <v>44616.0</v>
      </c>
      <c r="S804" s="3" t="n">
        <v>44617.18778108796</v>
      </c>
      <c r="T804" s="3" t="n">
        <v>44698.622083090275</v>
      </c>
      <c r="U804" t="s">
        <v>31</v>
      </c>
      <c r="V804" t="s">
        <v>5623</v>
      </c>
    </row>
    <row r="805">
      <c r="A805" t="s">
        <v>22</v>
      </c>
      <c r="B805" t="s">
        <v>5624</v>
      </c>
      <c r="C805" t="s">
        <v>861</v>
      </c>
      <c r="D805" t="s">
        <v>5625</v>
      </c>
      <c r="E805" t="s">
        <v>5626</v>
      </c>
      <c r="F805" s="2" t="n">
        <f>HYPERLINK("https://patents.google.com/patent/US20220059242","Google")</f>
        <v>0.0</v>
      </c>
      <c r="G805" s="2" t="n">
        <f>HYPERLINK("https://patentcenter.uspto.gov/applications/17445426","Patent Center")</f>
        <v>0.0</v>
      </c>
      <c r="H805" s="2" t="n">
        <f>HYPERLINK("https://worldwide.espacenet.com/patent/search?q=US20220059242","Espacenet")</f>
        <v>0.0</v>
      </c>
      <c r="I805" s="2" t="n">
        <f>HYPERLINK("https://ppubs.uspto.gov/pubwebapp/external.html?q=20220059242.pn.","USPTO")</f>
        <v>0.0</v>
      </c>
      <c r="J805" s="2" t="n">
        <f>HYPERLINK("https://image-ppubs.uspto.gov/dirsearch-public/print/downloadPdf/20220059242","USPTO PDF")</f>
        <v>0.0</v>
      </c>
      <c r="K805" s="2" t="n">
        <f>HYPERLINK("https://sectors.patentforecast.com/pmd/US20220059242","PMD")</f>
        <v>0.0</v>
      </c>
      <c r="L805" s="2" t="n">
        <f>HYPERLINK("https://globaldossier.uspto.gov/result/application/US/17445426/1","US20220059242")</f>
        <v>0.0</v>
      </c>
      <c r="M805" t="s">
        <v>5627</v>
      </c>
      <c r="N805" t="s">
        <v>5190</v>
      </c>
      <c r="O805" t="s">
        <v>5191</v>
      </c>
      <c r="P805" t="s">
        <v>5628</v>
      </c>
      <c r="Q805" s="3" t="n">
        <v>44427.0</v>
      </c>
      <c r="R805" s="3" t="n">
        <v>44616.0</v>
      </c>
      <c r="S805" s="3" t="n">
        <v>44617.18882534722</v>
      </c>
      <c r="T805" s="3" t="n">
        <v>44698.6223453125</v>
      </c>
      <c r="U805" t="s">
        <v>31</v>
      </c>
      <c r="V805" t="s">
        <v>5629</v>
      </c>
    </row>
    <row r="806">
      <c r="A806" t="s">
        <v>22</v>
      </c>
      <c r="B806" t="s">
        <v>5630</v>
      </c>
      <c r="C806" t="s">
        <v>24</v>
      </c>
      <c r="D806" t="s">
        <v>1356</v>
      </c>
      <c r="E806" t="s">
        <v>5631</v>
      </c>
      <c r="F806" s="2" t="n">
        <f>HYPERLINK("https://patents.google.com/patent/US20220059241","Google")</f>
        <v>0.0</v>
      </c>
      <c r="G806" s="2" t="n">
        <f>HYPERLINK("https://patentcenter.uspto.gov/applications/17407091","Patent Center")</f>
        <v>0.0</v>
      </c>
      <c r="H806" s="2" t="n">
        <f>HYPERLINK("https://worldwide.espacenet.com/patent/search?q=US20220059241","Espacenet")</f>
        <v>0.0</v>
      </c>
      <c r="I806" s="2" t="n">
        <f>HYPERLINK("https://ppubs.uspto.gov/pubwebapp/external.html?q=20220059241.pn.","USPTO")</f>
        <v>0.0</v>
      </c>
      <c r="J806" s="2" t="n">
        <f>HYPERLINK("https://image-ppubs.uspto.gov/dirsearch-public/print/downloadPdf/20220059241","USPTO PDF")</f>
        <v>0.0</v>
      </c>
      <c r="K806" s="2" t="n">
        <f>HYPERLINK("https://sectors.patentforecast.com/pmd/US20220059241","PMD")</f>
        <v>0.0</v>
      </c>
      <c r="L806" s="2" t="n">
        <f>HYPERLINK("https://globaldossier.uspto.gov/result/application/US/17407091/1","US20220059241")</f>
        <v>0.0</v>
      </c>
      <c r="M806" t="s">
        <v>5632</v>
      </c>
      <c r="N806" t="s">
        <v>5633</v>
      </c>
      <c r="O806" t="s">
        <v>5634</v>
      </c>
      <c r="P806" t="s">
        <v>5635</v>
      </c>
      <c r="Q806" s="3" t="n">
        <v>44427.0</v>
      </c>
      <c r="R806" s="3" t="n">
        <v>44616.0</v>
      </c>
      <c r="S806" s="3" t="n">
        <v>44617.19020707176</v>
      </c>
      <c r="T806" s="3" t="n">
        <v>44698.62288350694</v>
      </c>
      <c r="U806" t="s">
        <v>31</v>
      </c>
      <c r="V806" t="s">
        <v>5636</v>
      </c>
    </row>
    <row r="807">
      <c r="A807" t="s">
        <v>22</v>
      </c>
      <c r="B807" t="s">
        <v>5637</v>
      </c>
      <c r="C807" t="s">
        <v>24</v>
      </c>
      <c r="D807" t="s">
        <v>5638</v>
      </c>
      <c r="E807" t="s">
        <v>5639</v>
      </c>
      <c r="F807" s="2" t="n">
        <f>HYPERLINK("https://patents.google.com/patent/US20220059232","Google")</f>
        <v>0.0</v>
      </c>
      <c r="G807" s="2" t="n">
        <f>HYPERLINK("https://patentcenter.uspto.gov/applications/17410357","Patent Center")</f>
        <v>0.0</v>
      </c>
      <c r="H807" s="2" t="n">
        <f>HYPERLINK("https://worldwide.espacenet.com/patent/search?q=US20220059232","Espacenet")</f>
        <v>0.0</v>
      </c>
      <c r="I807" s="2" t="n">
        <f>HYPERLINK("https://ppubs.uspto.gov/pubwebapp/external.html?q=20220059232.pn.","USPTO")</f>
        <v>0.0</v>
      </c>
      <c r="J807" s="2" t="n">
        <f>HYPERLINK("https://image-ppubs.uspto.gov/dirsearch-public/print/downloadPdf/20220059232","USPTO PDF")</f>
        <v>0.0</v>
      </c>
      <c r="K807" s="2" t="n">
        <f>HYPERLINK("https://sectors.patentforecast.com/pmd/US20220059232","PMD")</f>
        <v>0.0</v>
      </c>
      <c r="L807" s="2" t="n">
        <f>HYPERLINK("https://globaldossier.uspto.gov/result/application/US/17410357/1","US20220059232")</f>
        <v>0.0</v>
      </c>
      <c r="M807" t="s">
        <v>5640</v>
      </c>
      <c r="N807" t="s">
        <v>5641</v>
      </c>
      <c r="O807" t="s">
        <v>5642</v>
      </c>
      <c r="P807" t="s">
        <v>5643</v>
      </c>
      <c r="Q807" s="3" t="n">
        <v>44432.0</v>
      </c>
      <c r="R807" s="3" t="n">
        <v>44616.0</v>
      </c>
      <c r="S807" s="3" t="n">
        <v>44617.18882534722</v>
      </c>
      <c r="T807" s="3" t="n">
        <v>44698.62300797454</v>
      </c>
      <c r="U807" t="s">
        <v>5644</v>
      </c>
      <c r="V807" t="s">
        <v>5645</v>
      </c>
    </row>
    <row r="808">
      <c r="A808" t="s">
        <v>22</v>
      </c>
      <c r="B808" t="s">
        <v>5646</v>
      </c>
      <c r="C808" t="s">
        <v>24</v>
      </c>
      <c r="D808" t="s">
        <v>69</v>
      </c>
      <c r="E808" t="s">
        <v>5647</v>
      </c>
      <c r="F808" s="2" t="n">
        <f>HYPERLINK("https://patents.google.com/patent/US20220059231","Google")</f>
        <v>0.0</v>
      </c>
      <c r="G808" s="2" t="n">
        <f>HYPERLINK("https://patentcenter.uspto.gov/applications/17404419","Patent Center")</f>
        <v>0.0</v>
      </c>
      <c r="H808" s="2" t="n">
        <f>HYPERLINK("https://worldwide.espacenet.com/patent/search?q=US20220059231","Espacenet")</f>
        <v>0.0</v>
      </c>
      <c r="I808" s="2" t="n">
        <f>HYPERLINK("https://ppubs.uspto.gov/pubwebapp/external.html?q=20220059231.pn.","USPTO")</f>
        <v>0.0</v>
      </c>
      <c r="J808" s="2" t="n">
        <f>HYPERLINK("https://image-ppubs.uspto.gov/dirsearch-public/print/downloadPdf/20220059231","USPTO PDF")</f>
        <v>0.0</v>
      </c>
      <c r="K808" s="2" t="n">
        <f>HYPERLINK("https://sectors.patentforecast.com/pmd/US20220059231","PMD")</f>
        <v>0.0</v>
      </c>
      <c r="L808" s="2" t="n">
        <f>HYPERLINK("https://globaldossier.uspto.gov/result/application/US/17404419/1","US20220059231")</f>
        <v>0.0</v>
      </c>
      <c r="M808" t="s">
        <v>5648</v>
      </c>
      <c r="N808" t="s">
        <v>5649</v>
      </c>
      <c r="O808" t="s">
        <v>5650</v>
      </c>
      <c r="P808" t="s">
        <v>5651</v>
      </c>
      <c r="Q808" s="3" t="n">
        <v>44425.0</v>
      </c>
      <c r="R808" s="3" t="n">
        <v>44616.0</v>
      </c>
      <c r="S808" s="3" t="n">
        <v>44617.18882534722</v>
      </c>
      <c r="T808" s="3" t="n">
        <v>44698.62306925926</v>
      </c>
      <c r="U808" t="s">
        <v>5652</v>
      </c>
      <c r="V808" t="s">
        <v>5653</v>
      </c>
    </row>
    <row r="809">
      <c r="A809" t="s">
        <v>22</v>
      </c>
      <c r="B809" t="s">
        <v>5654</v>
      </c>
      <c r="C809" t="s">
        <v>24</v>
      </c>
      <c r="D809" t="s">
        <v>34</v>
      </c>
      <c r="E809" t="s">
        <v>5655</v>
      </c>
      <c r="F809" s="2" t="n">
        <f>HYPERLINK("https://patents.google.com/patent/US20220059224","Google")</f>
        <v>0.0</v>
      </c>
      <c r="G809" s="2" t="n">
        <f>HYPERLINK("https://patentcenter.uspto.gov/applications/17406604","Patent Center")</f>
        <v>0.0</v>
      </c>
      <c r="H809" s="2" t="n">
        <f>HYPERLINK("https://worldwide.espacenet.com/patent/search?q=US20220059224","Espacenet")</f>
        <v>0.0</v>
      </c>
      <c r="I809" s="2" t="n">
        <f>HYPERLINK("https://ppubs.uspto.gov/pubwebapp/external.html?q=20220059224.pn.","USPTO")</f>
        <v>0.0</v>
      </c>
      <c r="J809" s="2" t="n">
        <f>HYPERLINK("https://image-ppubs.uspto.gov/dirsearch-public/print/downloadPdf/20220059224","USPTO PDF")</f>
        <v>0.0</v>
      </c>
      <c r="K809" s="2" t="n">
        <f>HYPERLINK("https://sectors.patentforecast.com/pmd/US20220059224","PMD")</f>
        <v>0.0</v>
      </c>
      <c r="L809" s="2" t="n">
        <f>HYPERLINK("https://globaldossier.uspto.gov/result/application/US/17406604/1","US20220059224")</f>
        <v>0.0</v>
      </c>
      <c r="M809" t="s">
        <v>5656</v>
      </c>
      <c r="N809" t="s">
        <v>5657</v>
      </c>
      <c r="O809" t="s">
        <v>5658</v>
      </c>
      <c r="P809" t="s">
        <v>5659</v>
      </c>
      <c r="Q809" s="3" t="n">
        <v>44427.0</v>
      </c>
      <c r="R809" s="3" t="n">
        <v>44616.0</v>
      </c>
      <c r="S809" s="3" t="n">
        <v>44617.18882534722</v>
      </c>
      <c r="T809" s="3" t="n">
        <v>44698.62366417824</v>
      </c>
      <c r="U809" t="s">
        <v>5660</v>
      </c>
      <c r="V809" t="s">
        <v>5661</v>
      </c>
    </row>
    <row r="810">
      <c r="A810" t="s">
        <v>22</v>
      </c>
      <c r="B810" t="s">
        <v>5662</v>
      </c>
      <c r="C810" t="s">
        <v>60</v>
      </c>
      <c r="D810" t="s">
        <v>715</v>
      </c>
      <c r="E810" t="s">
        <v>5663</v>
      </c>
      <c r="F810" s="2" t="n">
        <f>HYPERLINK("https://patents.google.com/patent/US20220059221","Google")</f>
        <v>0.0</v>
      </c>
      <c r="G810" s="2" t="n">
        <f>HYPERLINK("https://patentcenter.uspto.gov/applications/17000982","Patent Center")</f>
        <v>0.0</v>
      </c>
      <c r="H810" s="2" t="n">
        <f>HYPERLINK("https://worldwide.espacenet.com/patent/search?q=US20220059221","Espacenet")</f>
        <v>0.0</v>
      </c>
      <c r="I810" s="2" t="n">
        <f>HYPERLINK("https://ppubs.uspto.gov/pubwebapp/external.html?q=20220059221.pn.","USPTO")</f>
        <v>0.0</v>
      </c>
      <c r="J810" s="2" t="n">
        <f>HYPERLINK("https://image-ppubs.uspto.gov/dirsearch-public/print/downloadPdf/20220059221","USPTO PDF")</f>
        <v>0.0</v>
      </c>
      <c r="K810" s="2" t="n">
        <f>HYPERLINK("https://sectors.patentforecast.com/pmd/US20220059221","PMD")</f>
        <v>0.0</v>
      </c>
      <c r="L810" s="2" t="n">
        <f>HYPERLINK("https://globaldossier.uspto.gov/result/application/US/17000982/1","US20220059221")</f>
        <v>0.0</v>
      </c>
      <c r="M810" t="s">
        <v>5664</v>
      </c>
      <c r="N810" t="s">
        <v>5665</v>
      </c>
      <c r="O810" t="s">
        <v>5666</v>
      </c>
      <c r="P810" t="s">
        <v>5667</v>
      </c>
      <c r="Q810" s="3" t="n">
        <v>44067.0</v>
      </c>
      <c r="R810" s="3" t="n">
        <v>44616.0</v>
      </c>
      <c r="S810" s="3" t="n">
        <v>44617.18882534722</v>
      </c>
      <c r="T810" s="3" t="n">
        <v>44678.60864222222</v>
      </c>
      <c r="U810" t="s">
        <v>31</v>
      </c>
      <c r="V810" t="s">
        <v>5668</v>
      </c>
    </row>
    <row r="811">
      <c r="A811" t="s">
        <v>22</v>
      </c>
      <c r="B811" t="s">
        <v>5669</v>
      </c>
      <c r="C811" t="s">
        <v>60</v>
      </c>
      <c r="D811" t="s">
        <v>61</v>
      </c>
      <c r="E811" t="s">
        <v>5670</v>
      </c>
      <c r="F811" s="2" t="n">
        <f>HYPERLINK("https://patents.google.com/patent/US20220059194","Google")</f>
        <v>0.0</v>
      </c>
      <c r="G811" s="2" t="n">
        <f>HYPERLINK("https://patentcenter.uspto.gov/applications/17409433","Patent Center")</f>
        <v>0.0</v>
      </c>
      <c r="H811" s="2" t="n">
        <f>HYPERLINK("https://worldwide.espacenet.com/patent/search?q=US20220059194","Espacenet")</f>
        <v>0.0</v>
      </c>
      <c r="I811" s="2" t="n">
        <f>HYPERLINK("https://ppubs.uspto.gov/pubwebapp/external.html?q=20220059194.pn.","USPTO")</f>
        <v>0.0</v>
      </c>
      <c r="J811" s="2" t="n">
        <f>HYPERLINK("https://image-ppubs.uspto.gov/dirsearch-public/print/downloadPdf/20220059194","USPTO PDF")</f>
        <v>0.0</v>
      </c>
      <c r="K811" s="2" t="n">
        <f>HYPERLINK("https://sectors.patentforecast.com/pmd/US20220059194","PMD")</f>
        <v>0.0</v>
      </c>
      <c r="L811" s="2" t="n">
        <f>HYPERLINK("https://globaldossier.uspto.gov/result/application/US/17409433/1","US20220059194")</f>
        <v>0.0</v>
      </c>
      <c r="M811" t="s">
        <v>5671</v>
      </c>
      <c r="N811" t="s">
        <v>5672</v>
      </c>
      <c r="O811" t="s">
        <v>5673</v>
      </c>
      <c r="P811" t="s">
        <v>5674</v>
      </c>
      <c r="Q811" s="3" t="n">
        <v>44431.0</v>
      </c>
      <c r="R811" s="3" t="n">
        <v>44616.0</v>
      </c>
      <c r="S811" s="3" t="n">
        <v>44617.18778108796</v>
      </c>
      <c r="T811" s="3" t="n">
        <v>44678.5423490625</v>
      </c>
      <c r="U811" t="s">
        <v>31</v>
      </c>
      <c r="V811" t="s">
        <v>5675</v>
      </c>
    </row>
    <row r="812">
      <c r="A812" t="s">
        <v>22</v>
      </c>
      <c r="B812" t="s">
        <v>5676</v>
      </c>
      <c r="C812" t="s">
        <v>60</v>
      </c>
      <c r="D812" t="s">
        <v>61</v>
      </c>
      <c r="E812" t="s">
        <v>5677</v>
      </c>
      <c r="F812" s="2" t="n">
        <f>HYPERLINK("https://patents.google.com/patent/US20220059187","Google")</f>
        <v>0.0</v>
      </c>
      <c r="G812" s="2" t="n">
        <f>HYPERLINK("https://patentcenter.uspto.gov/applications/17395895","Patent Center")</f>
        <v>0.0</v>
      </c>
      <c r="H812" s="2" t="n">
        <f>HYPERLINK("https://worldwide.espacenet.com/patent/search?q=US20220059187","Espacenet")</f>
        <v>0.0</v>
      </c>
      <c r="I812" s="2" t="n">
        <f>HYPERLINK("https://ppubs.uspto.gov/pubwebapp/external.html?q=20220059187.pn.","USPTO")</f>
        <v>0.0</v>
      </c>
      <c r="J812" s="2" t="n">
        <f>HYPERLINK("https://image-ppubs.uspto.gov/dirsearch-public/print/downloadPdf/20220059187","USPTO PDF")</f>
        <v>0.0</v>
      </c>
      <c r="K812" s="2" t="n">
        <f>HYPERLINK("https://sectors.patentforecast.com/pmd/US20220059187","PMD")</f>
        <v>0.0</v>
      </c>
      <c r="L812" s="2" t="n">
        <f>HYPERLINK("https://globaldossier.uspto.gov/result/application/US/17395895/1","US20220059187")</f>
        <v>0.0</v>
      </c>
      <c r="M812" t="s">
        <v>5678</v>
      </c>
      <c r="N812" t="s">
        <v>5679</v>
      </c>
      <c r="O812" t="s">
        <v>5680</v>
      </c>
      <c r="P812" t="s">
        <v>5681</v>
      </c>
      <c r="Q812" s="3" t="n">
        <v>44414.0</v>
      </c>
      <c r="R812" s="3" t="n">
        <v>44616.0</v>
      </c>
      <c r="S812" s="3" t="n">
        <v>44617.18882534722</v>
      </c>
      <c r="T812" s="3" t="n">
        <v>44698.62411247685</v>
      </c>
      <c r="U812" t="s">
        <v>31</v>
      </c>
      <c r="V812" t="s">
        <v>5682</v>
      </c>
    </row>
    <row r="813">
      <c r="A813" t="s">
        <v>22</v>
      </c>
      <c r="B813" t="s">
        <v>5683</v>
      </c>
      <c r="C813" t="s">
        <v>24</v>
      </c>
      <c r="D813" t="s">
        <v>25</v>
      </c>
      <c r="E813" t="s">
        <v>5684</v>
      </c>
      <c r="F813" s="2" t="n">
        <f>HYPERLINK("https://patents.google.com/patent/US20220058986","Google")</f>
        <v>0.0</v>
      </c>
      <c r="G813" s="2" t="n">
        <f>HYPERLINK("https://patentcenter.uspto.gov/applications/17000536","Patent Center")</f>
        <v>0.0</v>
      </c>
      <c r="H813" s="2" t="n">
        <f>HYPERLINK("https://worldwide.espacenet.com/patent/search?q=US20220058986","Espacenet")</f>
        <v>0.0</v>
      </c>
      <c r="I813" s="2" t="n">
        <f>HYPERLINK("https://ppubs.uspto.gov/pubwebapp/external.html?q=20220058986.pn.","USPTO")</f>
        <v>0.0</v>
      </c>
      <c r="J813" s="2" t="n">
        <f>HYPERLINK("https://image-ppubs.uspto.gov/dirsearch-public/print/downloadPdf/20220058986","USPTO PDF")</f>
        <v>0.0</v>
      </c>
      <c r="K813" s="2" t="n">
        <f>HYPERLINK("https://sectors.patentforecast.com/pmd/US20220058986","PMD")</f>
        <v>0.0</v>
      </c>
      <c r="L813" s="2" t="n">
        <f>HYPERLINK("https://globaldossier.uspto.gov/result/application/US/17000536/1","US20220058986")</f>
        <v>0.0</v>
      </c>
      <c r="M813" t="s">
        <v>5685</v>
      </c>
      <c r="N813" t="s">
        <v>5686</v>
      </c>
      <c r="O813" t="s">
        <v>5687</v>
      </c>
      <c r="P813" t="s">
        <v>5688</v>
      </c>
      <c r="Q813" s="3" t="n">
        <v>44067.0</v>
      </c>
      <c r="R813" s="3" t="n">
        <v>44616.0</v>
      </c>
      <c r="S813" s="3" t="n">
        <v>44617.18882534722</v>
      </c>
      <c r="T813" s="3" t="n">
        <v>44698.624186898145</v>
      </c>
      <c r="U813" t="s">
        <v>5689</v>
      </c>
      <c r="V813" t="s">
        <v>5690</v>
      </c>
    </row>
    <row r="814">
      <c r="A814" t="s">
        <v>22</v>
      </c>
      <c r="B814" t="s">
        <v>5691</v>
      </c>
      <c r="C814" t="s">
        <v>24</v>
      </c>
      <c r="D814" t="s">
        <v>5692</v>
      </c>
      <c r="E814" t="s">
        <v>5693</v>
      </c>
      <c r="F814" s="2" t="n">
        <f>HYPERLINK("https://patents.google.com/patent/US20220058648","Google")</f>
        <v>0.0</v>
      </c>
      <c r="G814" s="2" t="n">
        <f>HYPERLINK("https://patentcenter.uspto.gov/applications/17348170","Patent Center")</f>
        <v>0.0</v>
      </c>
      <c r="H814" s="2" t="n">
        <f>HYPERLINK("https://worldwide.espacenet.com/patent/search?q=US20220058648","Espacenet")</f>
        <v>0.0</v>
      </c>
      <c r="I814" s="2" t="n">
        <f>HYPERLINK("https://ppubs.uspto.gov/pubwebapp/external.html?q=20220058648.pn.","USPTO")</f>
        <v>0.0</v>
      </c>
      <c r="J814" s="2" t="n">
        <f>HYPERLINK("https://image-ppubs.uspto.gov/dirsearch-public/print/downloadPdf/20220058648","USPTO PDF")</f>
        <v>0.0</v>
      </c>
      <c r="K814" s="2" t="n">
        <f>HYPERLINK("https://sectors.patentforecast.com/pmd/US20220058648","PMD")</f>
        <v>0.0</v>
      </c>
      <c r="L814" s="2" t="n">
        <f>HYPERLINK("https://globaldossier.uspto.gov/result/application/US/17348170/1","US20220058648")</f>
        <v>0.0</v>
      </c>
      <c r="M814" t="s">
        <v>5694</v>
      </c>
      <c r="N814" t="s">
        <v>5695</v>
      </c>
      <c r="O814" t="s">
        <v>5696</v>
      </c>
      <c r="P814" t="s">
        <v>5697</v>
      </c>
      <c r="Q814" s="3" t="n">
        <v>44362.0</v>
      </c>
      <c r="R814" s="3" t="n">
        <v>44616.0</v>
      </c>
      <c r="S814" s="3" t="n">
        <v>44617.18882534722</v>
      </c>
      <c r="T814" s="3" t="n">
        <v>44698.62440486111</v>
      </c>
      <c r="U814" t="s">
        <v>5698</v>
      </c>
      <c r="V814" t="s">
        <v>5699</v>
      </c>
    </row>
    <row r="815">
      <c r="A815" t="s">
        <v>22</v>
      </c>
      <c r="B815" t="s">
        <v>5700</v>
      </c>
      <c r="C815" t="s">
        <v>24</v>
      </c>
      <c r="D815" t="s">
        <v>289</v>
      </c>
      <c r="E815" t="s">
        <v>5701</v>
      </c>
      <c r="F815" s="2" t="n">
        <f>HYPERLINK("https://patents.google.com/patent/US20220058606","Google")</f>
        <v>0.0</v>
      </c>
      <c r="G815" s="2" t="n">
        <f>HYPERLINK("https://patentcenter.uspto.gov/applications/17407726","Patent Center")</f>
        <v>0.0</v>
      </c>
      <c r="H815" s="2" t="n">
        <f>HYPERLINK("https://worldwide.espacenet.com/patent/search?q=US20220058606","Espacenet")</f>
        <v>0.0</v>
      </c>
      <c r="I815" s="2" t="n">
        <f>HYPERLINK("https://ppubs.uspto.gov/pubwebapp/external.html?q=20220058606.pn.","USPTO")</f>
        <v>0.0</v>
      </c>
      <c r="J815" s="2" t="n">
        <f>HYPERLINK("https://image-ppubs.uspto.gov/dirsearch-public/print/downloadPdf/20220058606","USPTO PDF")</f>
        <v>0.0</v>
      </c>
      <c r="K815" s="2" t="n">
        <f>HYPERLINK("https://sectors.patentforecast.com/pmd/US20220058606","PMD")</f>
        <v>0.0</v>
      </c>
      <c r="L815" s="2" t="n">
        <f>HYPERLINK("https://globaldossier.uspto.gov/result/application/US/17407726/1","US20220058606")</f>
        <v>0.0</v>
      </c>
      <c r="M815" t="s">
        <v>5702</v>
      </c>
      <c r="N815" t="s">
        <v>5703</v>
      </c>
      <c r="O815" t="s">
        <v>5704</v>
      </c>
      <c r="P815" t="s">
        <v>5705</v>
      </c>
      <c r="Q815" s="3" t="n">
        <v>44428.0</v>
      </c>
      <c r="R815" s="3" t="n">
        <v>44616.0</v>
      </c>
      <c r="S815" s="3" t="n">
        <v>44617.18882534722</v>
      </c>
      <c r="T815" s="3" t="n">
        <v>44698.62468821759</v>
      </c>
      <c r="U815" t="s">
        <v>31</v>
      </c>
      <c r="V815" t="s">
        <v>5706</v>
      </c>
    </row>
    <row r="816">
      <c r="A816" t="s">
        <v>22</v>
      </c>
      <c r="B816" t="s">
        <v>5707</v>
      </c>
      <c r="C816" t="s">
        <v>312</v>
      </c>
      <c r="D816" t="s">
        <v>313</v>
      </c>
      <c r="E816" t="s">
        <v>5708</v>
      </c>
      <c r="F816" s="2" t="n">
        <f>HYPERLINK("https://patents.google.com/patent/US20220058556","Google")</f>
        <v>0.0</v>
      </c>
      <c r="G816" s="2" t="n">
        <f>HYPERLINK("https://patentcenter.uspto.gov/applications/17354583","Patent Center")</f>
        <v>0.0</v>
      </c>
      <c r="H816" s="2" t="n">
        <f>HYPERLINK("https://worldwide.espacenet.com/patent/search?q=US20220058556","Espacenet")</f>
        <v>0.0</v>
      </c>
      <c r="I816" s="2" t="n">
        <f>HYPERLINK("https://ppubs.uspto.gov/pubwebapp/external.html?q=20220058556.pn.","USPTO")</f>
        <v>0.0</v>
      </c>
      <c r="J816" s="2" t="n">
        <f>HYPERLINK("https://image-ppubs.uspto.gov/dirsearch-public/print/downloadPdf/20220058556","USPTO PDF")</f>
        <v>0.0</v>
      </c>
      <c r="K816" s="2" t="n">
        <f>HYPERLINK("https://sectors.patentforecast.com/pmd/US20220058556","PMD")</f>
        <v>0.0</v>
      </c>
      <c r="L816" s="2" t="n">
        <f>HYPERLINK("https://globaldossier.uspto.gov/result/application/US/17354583/1","US20220058556")</f>
        <v>0.0</v>
      </c>
      <c r="M816" t="s">
        <v>5709</v>
      </c>
      <c r="N816" t="s">
        <v>1520</v>
      </c>
      <c r="O816" t="s">
        <v>1521</v>
      </c>
      <c r="P816" t="s">
        <v>5710</v>
      </c>
      <c r="Q816" s="3" t="n">
        <v>44369.0</v>
      </c>
      <c r="R816" s="3" t="n">
        <v>44616.0</v>
      </c>
      <c r="S816" s="3" t="n">
        <v>44617.18882534722</v>
      </c>
      <c r="T816" s="3" t="n">
        <v>44698.62486027778</v>
      </c>
      <c r="U816" t="s">
        <v>5711</v>
      </c>
      <c r="V816" t="s">
        <v>5712</v>
      </c>
    </row>
    <row r="817">
      <c r="A817" t="s">
        <v>22</v>
      </c>
      <c r="B817" t="s">
        <v>5713</v>
      </c>
      <c r="C817" t="s">
        <v>1492</v>
      </c>
      <c r="D817" t="s">
        <v>862</v>
      </c>
      <c r="E817" t="s">
        <v>5714</v>
      </c>
      <c r="F817" s="2" t="n">
        <f>HYPERLINK("https://patents.google.com/patent/US20220058545","Google")</f>
        <v>0.0</v>
      </c>
      <c r="G817" s="2" t="n">
        <f>HYPERLINK("https://patentcenter.uspto.gov/applications/17354565","Patent Center")</f>
        <v>0.0</v>
      </c>
      <c r="H817" s="2" t="n">
        <f>HYPERLINK("https://worldwide.espacenet.com/patent/search?q=US20220058545","Espacenet")</f>
        <v>0.0</v>
      </c>
      <c r="I817" s="2" t="n">
        <f>HYPERLINK("https://ppubs.uspto.gov/pubwebapp/external.html?q=20220058545.pn.","USPTO")</f>
        <v>0.0</v>
      </c>
      <c r="J817" s="2" t="n">
        <f>HYPERLINK("https://image-ppubs.uspto.gov/dirsearch-public/print/downloadPdf/20220058545","USPTO PDF")</f>
        <v>0.0</v>
      </c>
      <c r="K817" s="2" t="n">
        <f>HYPERLINK("https://sectors.patentforecast.com/pmd/US20220058545","PMD")</f>
        <v>0.0</v>
      </c>
      <c r="L817" s="2" t="n">
        <f>HYPERLINK("https://globaldossier.uspto.gov/result/application/US/17354565/1","US20220058545")</f>
        <v>0.0</v>
      </c>
      <c r="M817" t="s">
        <v>5715</v>
      </c>
      <c r="N817" t="s">
        <v>1520</v>
      </c>
      <c r="O817" t="s">
        <v>1521</v>
      </c>
      <c r="P817" t="s">
        <v>5710</v>
      </c>
      <c r="Q817" s="3" t="n">
        <v>44369.0</v>
      </c>
      <c r="R817" s="3" t="n">
        <v>44616.0</v>
      </c>
      <c r="S817" s="3" t="n">
        <v>44617.18882534722</v>
      </c>
      <c r="T817" s="3" t="n">
        <v>44698.625060405095</v>
      </c>
      <c r="U817" t="s">
        <v>31</v>
      </c>
      <c r="V817" t="s">
        <v>5716</v>
      </c>
    </row>
    <row r="818">
      <c r="A818" t="s">
        <v>22</v>
      </c>
      <c r="B818" t="s">
        <v>5717</v>
      </c>
      <c r="C818" t="s">
        <v>24</v>
      </c>
      <c r="D818" t="s">
        <v>204</v>
      </c>
      <c r="E818" t="s">
        <v>5718</v>
      </c>
      <c r="F818" s="2" t="n">
        <f>HYPERLINK("https://patents.google.com/patent/US20220057979","Google")</f>
        <v>0.0</v>
      </c>
      <c r="G818" s="2" t="n">
        <f>HYPERLINK("https://patentcenter.uspto.gov/applications/17407080","Patent Center")</f>
        <v>0.0</v>
      </c>
      <c r="H818" s="2" t="n">
        <f>HYPERLINK("https://worldwide.espacenet.com/patent/search?q=US20220057979","Espacenet")</f>
        <v>0.0</v>
      </c>
      <c r="I818" s="2" t="n">
        <f>HYPERLINK("https://ppubs.uspto.gov/pubwebapp/external.html?q=20220057979.pn.","USPTO")</f>
        <v>0.0</v>
      </c>
      <c r="J818" s="2" t="n">
        <f>HYPERLINK("https://image-ppubs.uspto.gov/dirsearch-public/print/downloadPdf/20220057979","USPTO PDF")</f>
        <v>0.0</v>
      </c>
      <c r="K818" s="2" t="n">
        <f>HYPERLINK("https://sectors.patentforecast.com/pmd/US20220057979","PMD")</f>
        <v>0.0</v>
      </c>
      <c r="L818" s="2" t="n">
        <f>HYPERLINK("https://globaldossier.uspto.gov/result/application/US/17407080/1","US20220057979")</f>
        <v>0.0</v>
      </c>
      <c r="M818" t="s">
        <v>5719</v>
      </c>
      <c r="N818" t="s">
        <v>5720</v>
      </c>
      <c r="O818" t="s">
        <v>5721</v>
      </c>
      <c r="P818" t="s">
        <v>5722</v>
      </c>
      <c r="Q818" s="3" t="n">
        <v>44427.0</v>
      </c>
      <c r="R818" s="3" t="n">
        <v>44616.0</v>
      </c>
      <c r="S818" s="3" t="n">
        <v>44617.18882534722</v>
      </c>
      <c r="T818" s="3" t="n">
        <v>44698.62514241898</v>
      </c>
      <c r="U818" t="s">
        <v>5723</v>
      </c>
      <c r="V818" t="s">
        <v>5724</v>
      </c>
    </row>
    <row r="819">
      <c r="A819" t="s">
        <v>22</v>
      </c>
      <c r="B819" t="s">
        <v>5725</v>
      </c>
      <c r="C819" t="s">
        <v>24</v>
      </c>
      <c r="D819" t="s">
        <v>204</v>
      </c>
      <c r="E819" t="s">
        <v>5726</v>
      </c>
      <c r="F819" s="2" t="n">
        <f>HYPERLINK("https://patents.google.com/patent/US20220057861","Google")</f>
        <v>0.0</v>
      </c>
      <c r="G819" s="2" t="n">
        <f>HYPERLINK("https://patentcenter.uspto.gov/applications/17300390","Patent Center")</f>
        <v>0.0</v>
      </c>
      <c r="H819" s="2" t="n">
        <f>HYPERLINK("https://worldwide.espacenet.com/patent/search?q=US20220057861","Espacenet")</f>
        <v>0.0</v>
      </c>
      <c r="I819" s="2" t="n">
        <f>HYPERLINK("https://ppubs.uspto.gov/pubwebapp/external.html?q=20220057861.pn.","USPTO")</f>
        <v>0.0</v>
      </c>
      <c r="J819" s="2" t="n">
        <f>HYPERLINK("https://image-ppubs.uspto.gov/dirsearch-public/print/downloadPdf/20220057861","USPTO PDF")</f>
        <v>0.0</v>
      </c>
      <c r="K819" s="2" t="n">
        <f>HYPERLINK("https://sectors.patentforecast.com/pmd/US20220057861","PMD")</f>
        <v>0.0</v>
      </c>
      <c r="L819" s="2" t="n">
        <f>HYPERLINK("https://globaldossier.uspto.gov/result/application/US/17300390/1","US20220057861")</f>
        <v>0.0</v>
      </c>
      <c r="M819" t="s">
        <v>5727</v>
      </c>
      <c r="N819" t="s">
        <v>5728</v>
      </c>
      <c r="O819" t="s">
        <v>5729</v>
      </c>
      <c r="P819" t="s">
        <v>5730</v>
      </c>
      <c r="Q819" s="3" t="n">
        <v>44361.0</v>
      </c>
      <c r="R819" s="3" t="n">
        <v>44616.0</v>
      </c>
      <c r="S819" s="3" t="n">
        <v>44617.18882534722</v>
      </c>
      <c r="T819" s="3" t="n">
        <v>44698.62533494213</v>
      </c>
      <c r="U819" t="s">
        <v>5731</v>
      </c>
      <c r="V819" t="s">
        <v>5732</v>
      </c>
    </row>
    <row r="820">
      <c r="A820" t="s">
        <v>22</v>
      </c>
      <c r="B820" t="s">
        <v>5733</v>
      </c>
      <c r="C820" t="s">
        <v>24</v>
      </c>
      <c r="D820" t="s">
        <v>5734</v>
      </c>
      <c r="E820" t="s">
        <v>5735</v>
      </c>
      <c r="F820" s="2" t="n">
        <f>HYPERLINK("https://patents.google.com/patent/US20220057392","Google")</f>
        <v>0.0</v>
      </c>
      <c r="G820" s="2" t="n">
        <f>HYPERLINK("https://patentcenter.uspto.gov/applications/17409966","Patent Center")</f>
        <v>0.0</v>
      </c>
      <c r="H820" s="2" t="n">
        <f>HYPERLINK("https://worldwide.espacenet.com/patent/search?q=US20220057392","Espacenet")</f>
        <v>0.0</v>
      </c>
      <c r="I820" s="2" t="n">
        <f>HYPERLINK("https://ppubs.uspto.gov/pubwebapp/external.html?q=20220057392.pn.","USPTO")</f>
        <v>0.0</v>
      </c>
      <c r="J820" s="2" t="n">
        <f>HYPERLINK("https://image-ppubs.uspto.gov/dirsearch-public/print/downloadPdf/20220057392","USPTO PDF")</f>
        <v>0.0</v>
      </c>
      <c r="K820" s="2" t="n">
        <f>HYPERLINK("https://sectors.patentforecast.com/pmd/US20220057392","PMD")</f>
        <v>0.0</v>
      </c>
      <c r="L820" s="2" t="n">
        <f>HYPERLINK("https://globaldossier.uspto.gov/result/application/US/17409966/1","US20220057392")</f>
        <v>0.0</v>
      </c>
      <c r="M820" t="s">
        <v>5736</v>
      </c>
      <c r="N820" t="s">
        <v>5672</v>
      </c>
      <c r="O820" t="s">
        <v>5673</v>
      </c>
      <c r="P820" t="s">
        <v>5737</v>
      </c>
      <c r="Q820" s="3" t="n">
        <v>44432.0</v>
      </c>
      <c r="R820" s="3" t="n">
        <v>44616.0</v>
      </c>
      <c r="S820" s="3" t="n">
        <v>44617.18882534722</v>
      </c>
      <c r="T820" s="3" t="n">
        <v>44698.62557105324</v>
      </c>
      <c r="U820" t="s">
        <v>5738</v>
      </c>
      <c r="V820" t="s">
        <v>5739</v>
      </c>
    </row>
    <row r="821">
      <c r="A821" t="s">
        <v>22</v>
      </c>
      <c r="B821" t="s">
        <v>5740</v>
      </c>
      <c r="C821" t="s">
        <v>496</v>
      </c>
      <c r="D821" t="s">
        <v>1340</v>
      </c>
      <c r="E821" t="s">
        <v>5741</v>
      </c>
      <c r="F821" s="2" t="n">
        <f>HYPERLINK("https://patents.google.com/patent/US20220057391","Google")</f>
        <v>0.0</v>
      </c>
      <c r="G821" s="2" t="n">
        <f>HYPERLINK("https://patentcenter.uspto.gov/applications/17409925","Patent Center")</f>
        <v>0.0</v>
      </c>
      <c r="H821" s="2" t="n">
        <f>HYPERLINK("https://worldwide.espacenet.com/patent/search?q=US20220057391","Espacenet")</f>
        <v>0.0</v>
      </c>
      <c r="I821" s="2" t="n">
        <f>HYPERLINK("https://ppubs.uspto.gov/pubwebapp/external.html?q=20220057391.pn.","USPTO")</f>
        <v>0.0</v>
      </c>
      <c r="J821" s="2" t="n">
        <f>HYPERLINK("https://image-ppubs.uspto.gov/dirsearch-public/print/downloadPdf/20220057391","USPTO PDF")</f>
        <v>0.0</v>
      </c>
      <c r="K821" s="2" t="n">
        <f>HYPERLINK("https://sectors.patentforecast.com/pmd/US20220057391","PMD")</f>
        <v>0.0</v>
      </c>
      <c r="L821" s="2" t="n">
        <f>HYPERLINK("https://globaldossier.uspto.gov/result/application/US/17409925/1","US20220057391")</f>
        <v>0.0</v>
      </c>
      <c r="M821" t="s">
        <v>5742</v>
      </c>
      <c r="N821" t="s">
        <v>5672</v>
      </c>
      <c r="O821" t="s">
        <v>5673</v>
      </c>
      <c r="P821" t="s">
        <v>5737</v>
      </c>
      <c r="Q821" s="3" t="n">
        <v>44432.0</v>
      </c>
      <c r="R821" s="3" t="n">
        <v>44616.0</v>
      </c>
      <c r="S821" s="3" t="n">
        <v>44617.18778108796</v>
      </c>
      <c r="T821" s="3" t="n">
        <v>44698.62580865741</v>
      </c>
      <c r="U821" t="s">
        <v>5743</v>
      </c>
      <c r="V821" t="s">
        <v>5744</v>
      </c>
    </row>
    <row r="822">
      <c r="A822" t="s">
        <v>22</v>
      </c>
      <c r="B822" t="s">
        <v>5745</v>
      </c>
      <c r="C822" t="s">
        <v>24</v>
      </c>
      <c r="D822" t="s">
        <v>51</v>
      </c>
      <c r="E822" t="s">
        <v>5746</v>
      </c>
      <c r="F822" s="2" t="n">
        <f>HYPERLINK("https://patents.google.com/patent/US20220057390","Google")</f>
        <v>0.0</v>
      </c>
      <c r="G822" s="2" t="n">
        <f>HYPERLINK("https://patentcenter.uspto.gov/applications/17407735","Patent Center")</f>
        <v>0.0</v>
      </c>
      <c r="H822" s="2" t="n">
        <f>HYPERLINK("https://worldwide.espacenet.com/patent/search?q=US20220057390","Espacenet")</f>
        <v>0.0</v>
      </c>
      <c r="I822" s="2" t="n">
        <f>HYPERLINK("https://ppubs.uspto.gov/pubwebapp/external.html?q=20220057390.pn.","USPTO")</f>
        <v>0.0</v>
      </c>
      <c r="J822" s="2" t="n">
        <f>HYPERLINK("https://image-ppubs.uspto.gov/dirsearch-public/print/downloadPdf/20220057390","USPTO PDF")</f>
        <v>0.0</v>
      </c>
      <c r="K822" s="2" t="n">
        <f>HYPERLINK("https://sectors.patentforecast.com/pmd/US20220057390","PMD")</f>
        <v>0.0</v>
      </c>
      <c r="L822" s="2" t="n">
        <f>HYPERLINK("https://globaldossier.uspto.gov/result/application/US/17407735/1","US20220057390")</f>
        <v>0.0</v>
      </c>
      <c r="M822" t="s">
        <v>5747</v>
      </c>
      <c r="N822" t="s">
        <v>5748</v>
      </c>
      <c r="O822" t="s">
        <v>5749</v>
      </c>
      <c r="P822" t="s">
        <v>5750</v>
      </c>
      <c r="Q822" s="3" t="n">
        <v>44428.0</v>
      </c>
      <c r="R822" s="3" t="n">
        <v>44616.0</v>
      </c>
      <c r="S822" s="3" t="n">
        <v>44617.18882534722</v>
      </c>
      <c r="T822" s="3" t="n">
        <v>44678.55517989583</v>
      </c>
      <c r="U822" t="s">
        <v>5751</v>
      </c>
      <c r="V822" t="s">
        <v>5752</v>
      </c>
    </row>
    <row r="823">
      <c r="A823" t="s">
        <v>22</v>
      </c>
      <c r="B823" t="s">
        <v>5753</v>
      </c>
      <c r="C823" t="s">
        <v>24</v>
      </c>
      <c r="D823" t="s">
        <v>51</v>
      </c>
      <c r="E823" t="s">
        <v>5754</v>
      </c>
      <c r="F823" s="2" t="n">
        <f>HYPERLINK("https://patents.google.com/patent/US20220057304","Google")</f>
        <v>0.0</v>
      </c>
      <c r="G823" s="2" t="n">
        <f>HYPERLINK("https://patentcenter.uspto.gov/applications/17518356","Patent Center")</f>
        <v>0.0</v>
      </c>
      <c r="H823" s="2" t="n">
        <f>HYPERLINK("https://worldwide.espacenet.com/patent/search?q=US20220057304","Espacenet")</f>
        <v>0.0</v>
      </c>
      <c r="I823" s="2" t="n">
        <f>HYPERLINK("https://ppubs.uspto.gov/pubwebapp/external.html?q=20220057304.pn.","USPTO")</f>
        <v>0.0</v>
      </c>
      <c r="J823" s="2" t="n">
        <f>HYPERLINK("https://image-ppubs.uspto.gov/dirsearch-public/print/downloadPdf/20220057304","USPTO PDF")</f>
        <v>0.0</v>
      </c>
      <c r="K823" s="2" t="n">
        <f>HYPERLINK("https://sectors.patentforecast.com/pmd/US20220057304","PMD")</f>
        <v>0.0</v>
      </c>
      <c r="L823" s="2" t="n">
        <f>HYPERLINK("https://globaldossier.uspto.gov/result/application/US/17518356/1","US20220057304")</f>
        <v>0.0</v>
      </c>
      <c r="M823" t="s">
        <v>5755</v>
      </c>
      <c r="N823" t="s">
        <v>5383</v>
      </c>
      <c r="O823" t="s">
        <v>5384</v>
      </c>
      <c r="P823" t="s">
        <v>5756</v>
      </c>
      <c r="Q823" s="3" t="n">
        <v>44503.0</v>
      </c>
      <c r="R823" s="3" t="n">
        <v>44616.0</v>
      </c>
      <c r="S823" s="3" t="n">
        <v>44617.18882534722</v>
      </c>
      <c r="T823" s="3" t="n">
        <v>44698.626004224534</v>
      </c>
      <c r="U823" t="s">
        <v>5757</v>
      </c>
      <c r="V823" t="s">
        <v>5758</v>
      </c>
    </row>
    <row r="824">
      <c r="A824" t="s">
        <v>22</v>
      </c>
      <c r="B824" t="s">
        <v>5759</v>
      </c>
      <c r="C824" t="s">
        <v>24</v>
      </c>
      <c r="D824" t="s">
        <v>51</v>
      </c>
      <c r="E824" t="s">
        <v>5760</v>
      </c>
      <c r="F824" s="2" t="n">
        <f>HYPERLINK("https://patents.google.com/patent/US20220057303","Google")</f>
        <v>0.0</v>
      </c>
      <c r="G824" s="2" t="n">
        <f>HYPERLINK("https://patentcenter.uspto.gov/applications/17518325","Patent Center")</f>
        <v>0.0</v>
      </c>
      <c r="H824" s="2" t="n">
        <f>HYPERLINK("https://worldwide.espacenet.com/patent/search?q=US20220057303","Espacenet")</f>
        <v>0.0</v>
      </c>
      <c r="I824" s="2" t="n">
        <f>HYPERLINK("https://ppubs.uspto.gov/pubwebapp/external.html?q=20220057303.pn.","USPTO")</f>
        <v>0.0</v>
      </c>
      <c r="J824" s="2" t="n">
        <f>HYPERLINK("https://image-ppubs.uspto.gov/dirsearch-public/print/downloadPdf/20220057303","USPTO PDF")</f>
        <v>0.0</v>
      </c>
      <c r="K824" s="2" t="n">
        <f>HYPERLINK("https://sectors.patentforecast.com/pmd/US20220057303","PMD")</f>
        <v>0.0</v>
      </c>
      <c r="L824" s="2" t="n">
        <f>HYPERLINK("https://globaldossier.uspto.gov/result/application/US/17518325/1","US20220057303")</f>
        <v>0.0</v>
      </c>
      <c r="M824" t="s">
        <v>5761</v>
      </c>
      <c r="N824" t="s">
        <v>5383</v>
      </c>
      <c r="O824" t="s">
        <v>5384</v>
      </c>
      <c r="P824" t="s">
        <v>5762</v>
      </c>
      <c r="Q824" s="3" t="n">
        <v>44503.0</v>
      </c>
      <c r="R824" s="3" t="n">
        <v>44616.0</v>
      </c>
      <c r="S824" s="3" t="n">
        <v>44617.18882534722</v>
      </c>
      <c r="T824" s="3" t="n">
        <v>44698.62612743056</v>
      </c>
      <c r="U824" t="s">
        <v>31</v>
      </c>
      <c r="V824" t="s">
        <v>5763</v>
      </c>
    </row>
    <row r="825">
      <c r="A825" t="s">
        <v>22</v>
      </c>
      <c r="B825" t="s">
        <v>5764</v>
      </c>
      <c r="C825" t="s">
        <v>24</v>
      </c>
      <c r="D825" t="s">
        <v>25</v>
      </c>
      <c r="E825" t="s">
        <v>5765</v>
      </c>
      <c r="F825" s="2" t="n">
        <f>HYPERLINK("https://patents.google.com/patent/US20220057274","Google")</f>
        <v>0.0</v>
      </c>
      <c r="G825" s="2" t="n">
        <f>HYPERLINK("https://patentcenter.uspto.gov/applications/16952270","Patent Center")</f>
        <v>0.0</v>
      </c>
      <c r="H825" s="2" t="n">
        <f>HYPERLINK("https://worldwide.espacenet.com/patent/search?q=US20220057274","Espacenet")</f>
        <v>0.0</v>
      </c>
      <c r="I825" s="2" t="n">
        <f>HYPERLINK("https://ppubs.uspto.gov/pubwebapp/external.html?q=20220057274.pn.","USPTO")</f>
        <v>0.0</v>
      </c>
      <c r="J825" s="2" t="n">
        <f>HYPERLINK("https://image-ppubs.uspto.gov/dirsearch-public/print/downloadPdf/20220057274","USPTO PDF")</f>
        <v>0.0</v>
      </c>
      <c r="K825" s="2" t="n">
        <f>HYPERLINK("https://sectors.patentforecast.com/pmd/US20220057274","PMD")</f>
        <v>0.0</v>
      </c>
      <c r="L825" s="2" t="n">
        <f>HYPERLINK("https://globaldossier.uspto.gov/result/application/US/16952270/1","US20220057274")</f>
        <v>0.0</v>
      </c>
      <c r="M825" t="s">
        <v>5766</v>
      </c>
      <c r="N825" t="s">
        <v>5767</v>
      </c>
      <c r="O825" t="s">
        <v>5768</v>
      </c>
      <c r="P825" t="s">
        <v>5769</v>
      </c>
      <c r="Q825" s="3" t="n">
        <v>44154.0</v>
      </c>
      <c r="R825" s="3" t="n">
        <v>44616.0</v>
      </c>
      <c r="S825" s="3" t="n">
        <v>44617.18882534722</v>
      </c>
      <c r="T825" s="3" t="n">
        <v>44698.62618096065</v>
      </c>
      <c r="U825" t="s">
        <v>5770</v>
      </c>
      <c r="V825" t="s">
        <v>5771</v>
      </c>
    </row>
    <row r="826">
      <c r="A826" t="s">
        <v>22</v>
      </c>
      <c r="B826" t="s">
        <v>5772</v>
      </c>
      <c r="C826" t="s">
        <v>24</v>
      </c>
      <c r="D826" t="s">
        <v>69</v>
      </c>
      <c r="E826" t="s">
        <v>5773</v>
      </c>
      <c r="F826" s="2" t="n">
        <f>HYPERLINK("https://patents.google.com/patent/US20220057094","Google")</f>
        <v>0.0</v>
      </c>
      <c r="G826" s="2" t="n">
        <f>HYPERLINK("https://patentcenter.uspto.gov/applications/17039058","Patent Center")</f>
        <v>0.0</v>
      </c>
      <c r="H826" s="2" t="n">
        <f>HYPERLINK("https://worldwide.espacenet.com/patent/search?q=US20220057094","Espacenet")</f>
        <v>0.0</v>
      </c>
      <c r="I826" s="2" t="n">
        <f>HYPERLINK("https://ppubs.uspto.gov/pubwebapp/external.html?q=20220057094.pn.","USPTO")</f>
        <v>0.0</v>
      </c>
      <c r="J826" s="2" t="n">
        <f>HYPERLINK("https://image-ppubs.uspto.gov/dirsearch-public/print/downloadPdf/20220057094","USPTO PDF")</f>
        <v>0.0</v>
      </c>
      <c r="K826" s="2" t="n">
        <f>HYPERLINK("https://sectors.patentforecast.com/pmd/US20220057094","PMD")</f>
        <v>0.0</v>
      </c>
      <c r="L826" s="2" t="n">
        <f>HYPERLINK("https://globaldossier.uspto.gov/result/application/US/17039058/1","US20220057094")</f>
        <v>0.0</v>
      </c>
      <c r="M826" t="s">
        <v>5774</v>
      </c>
      <c r="N826" t="s">
        <v>5775</v>
      </c>
      <c r="O826" t="s">
        <v>5776</v>
      </c>
      <c r="P826" t="s">
        <v>5777</v>
      </c>
      <c r="Q826" s="3" t="n">
        <v>44104.0</v>
      </c>
      <c r="R826" s="3" t="n">
        <v>44616.0</v>
      </c>
      <c r="S826" s="3" t="n">
        <v>44617.18882534722</v>
      </c>
      <c r="T826" s="3" t="n">
        <v>44698.626250381945</v>
      </c>
      <c r="U826" t="s">
        <v>31</v>
      </c>
      <c r="V826" t="s">
        <v>5778</v>
      </c>
    </row>
    <row r="827">
      <c r="A827" t="s">
        <v>22</v>
      </c>
      <c r="B827" t="s">
        <v>5779</v>
      </c>
      <c r="C827" t="s">
        <v>24</v>
      </c>
      <c r="D827" t="s">
        <v>69</v>
      </c>
      <c r="E827" t="s">
        <v>5780</v>
      </c>
      <c r="F827" s="2" t="n">
        <f>HYPERLINK("https://patents.google.com/patent/US20220056727","Google")</f>
        <v>0.0</v>
      </c>
      <c r="G827" s="2" t="n">
        <f>HYPERLINK("https://patentcenter.uspto.gov/applications/16999857","Patent Center")</f>
        <v>0.0</v>
      </c>
      <c r="H827" s="2" t="n">
        <f>HYPERLINK("https://worldwide.espacenet.com/patent/search?q=US20220056727","Espacenet")</f>
        <v>0.0</v>
      </c>
      <c r="I827" s="2" t="n">
        <f>HYPERLINK("https://ppubs.uspto.gov/pubwebapp/external.html?q=20220056727.pn.","USPTO")</f>
        <v>0.0</v>
      </c>
      <c r="J827" s="2" t="n">
        <f>HYPERLINK("https://image-ppubs.uspto.gov/dirsearch-public/print/downloadPdf/20220056727","USPTO PDF")</f>
        <v>0.0</v>
      </c>
      <c r="K827" s="2" t="n">
        <f>HYPERLINK("https://sectors.patentforecast.com/pmd/US20220056727","PMD")</f>
        <v>0.0</v>
      </c>
      <c r="L827" s="2" t="n">
        <f>HYPERLINK("https://globaldossier.uspto.gov/result/application/US/16999857/1","US20220056727")</f>
        <v>0.0</v>
      </c>
      <c r="M827" t="s">
        <v>5781</v>
      </c>
      <c r="N827" t="s">
        <v>5782</v>
      </c>
      <c r="O827" t="s">
        <v>5782</v>
      </c>
      <c r="P827" t="s">
        <v>5783</v>
      </c>
      <c r="Q827" s="3" t="n">
        <v>44064.0</v>
      </c>
      <c r="R827" s="3" t="n">
        <v>44616.0</v>
      </c>
      <c r="S827" s="3" t="n">
        <v>44617.18882534722</v>
      </c>
      <c r="T827" s="3" t="n">
        <v>44678.556354594904</v>
      </c>
      <c r="U827" t="s">
        <v>5784</v>
      </c>
      <c r="V827" t="s">
        <v>5785</v>
      </c>
    </row>
    <row r="828">
      <c r="A828" t="s">
        <v>22</v>
      </c>
      <c r="B828" t="s">
        <v>5786</v>
      </c>
      <c r="C828" t="s">
        <v>24</v>
      </c>
      <c r="D828" t="s">
        <v>204</v>
      </c>
      <c r="E828" t="s">
        <v>5787</v>
      </c>
      <c r="F828" s="2" t="n">
        <f>HYPERLINK("https://patents.google.com/patent/US20220056717","Google")</f>
        <v>0.0</v>
      </c>
      <c r="G828" s="2" t="n">
        <f>HYPERLINK("https://patentcenter.uspto.gov/applications/16996290","Patent Center")</f>
        <v>0.0</v>
      </c>
      <c r="H828" s="2" t="n">
        <f>HYPERLINK("https://worldwide.espacenet.com/patent/search?q=US20220056717","Espacenet")</f>
        <v>0.0</v>
      </c>
      <c r="I828" s="2" t="n">
        <f>HYPERLINK("https://ppubs.uspto.gov/pubwebapp/external.html?q=20220056717.pn.","USPTO")</f>
        <v>0.0</v>
      </c>
      <c r="J828" s="2" t="n">
        <f>HYPERLINK("https://image-ppubs.uspto.gov/dirsearch-public/print/downloadPdf/20220056717","USPTO PDF")</f>
        <v>0.0</v>
      </c>
      <c r="K828" s="2" t="n">
        <f>HYPERLINK("https://sectors.patentforecast.com/pmd/US20220056717","PMD")</f>
        <v>0.0</v>
      </c>
      <c r="L828" s="2" t="n">
        <f>HYPERLINK("https://globaldossier.uspto.gov/result/application/US/16996290/1","US20220056717")</f>
        <v>0.0</v>
      </c>
      <c r="M828" t="s">
        <v>5788</v>
      </c>
      <c r="N828" t="s">
        <v>5789</v>
      </c>
      <c r="O828" t="s">
        <v>5790</v>
      </c>
      <c r="P828" t="s">
        <v>5791</v>
      </c>
      <c r="Q828" s="3" t="n">
        <v>44061.0</v>
      </c>
      <c r="R828" s="3" t="n">
        <v>44616.0</v>
      </c>
      <c r="S828" s="3" t="n">
        <v>44617.18882534722</v>
      </c>
      <c r="T828" s="3" t="n">
        <v>44698.62631840278</v>
      </c>
      <c r="U828" t="s">
        <v>5792</v>
      </c>
      <c r="V828" t="s">
        <v>5793</v>
      </c>
    </row>
    <row r="829">
      <c r="A829" t="s">
        <v>22</v>
      </c>
      <c r="B829" t="s">
        <v>5794</v>
      </c>
      <c r="C829" t="s">
        <v>24</v>
      </c>
      <c r="D829" t="s">
        <v>100</v>
      </c>
      <c r="E829" t="s">
        <v>5795</v>
      </c>
      <c r="F829" s="2" t="n">
        <f>HYPERLINK("https://patents.google.com/patent/US20220056681","Google")</f>
        <v>0.0</v>
      </c>
      <c r="G829" s="2" t="n">
        <f>HYPERLINK("https://patentcenter.uspto.gov/applications/17404103","Patent Center")</f>
        <v>0.0</v>
      </c>
      <c r="H829" s="2" t="n">
        <f>HYPERLINK("https://worldwide.espacenet.com/patent/search?q=US20220056681","Espacenet")</f>
        <v>0.0</v>
      </c>
      <c r="I829" s="2" t="n">
        <f>HYPERLINK("https://ppubs.uspto.gov/pubwebapp/external.html?q=20220056681.pn.","USPTO")</f>
        <v>0.0</v>
      </c>
      <c r="J829" s="2" t="n">
        <f>HYPERLINK("https://image-ppubs.uspto.gov/dirsearch-public/print/downloadPdf/20220056681","USPTO PDF")</f>
        <v>0.0</v>
      </c>
      <c r="K829" s="2" t="n">
        <f>HYPERLINK("https://sectors.patentforecast.com/pmd/US20220056681","PMD")</f>
        <v>0.0</v>
      </c>
      <c r="L829" s="2" t="n">
        <f>HYPERLINK("https://globaldossier.uspto.gov/result/application/US/17404103/1","US20220056681")</f>
        <v>0.0</v>
      </c>
      <c r="M829" t="s">
        <v>5796</v>
      </c>
      <c r="N829" t="s">
        <v>5797</v>
      </c>
      <c r="O829" t="s">
        <v>5798</v>
      </c>
      <c r="P829" t="s">
        <v>5799</v>
      </c>
      <c r="Q829" s="3" t="n">
        <v>44425.0</v>
      </c>
      <c r="R829" s="3" t="n">
        <v>44616.0</v>
      </c>
      <c r="S829" s="3" t="n">
        <v>44617.18882534722</v>
      </c>
      <c r="T829" s="3" t="n">
        <v>44678.617923101854</v>
      </c>
      <c r="U829" t="s">
        <v>31</v>
      </c>
      <c r="V829" t="s">
        <v>5800</v>
      </c>
    </row>
    <row r="830">
      <c r="A830" t="s">
        <v>22</v>
      </c>
      <c r="B830" t="s">
        <v>5801</v>
      </c>
      <c r="C830" t="s">
        <v>24</v>
      </c>
      <c r="D830" t="s">
        <v>34</v>
      </c>
      <c r="E830" t="s">
        <v>5802</v>
      </c>
      <c r="F830" s="2" t="n">
        <f>HYPERLINK("https://patents.google.com/patent/US20220056542","Google")</f>
        <v>0.0</v>
      </c>
      <c r="G830" s="2" t="n">
        <f>HYPERLINK("https://patentcenter.uspto.gov/applications/17401079","Patent Center")</f>
        <v>0.0</v>
      </c>
      <c r="H830" s="2" t="n">
        <f>HYPERLINK("https://worldwide.espacenet.com/patent/search?q=US20220056542","Espacenet")</f>
        <v>0.0</v>
      </c>
      <c r="I830" s="2" t="n">
        <f>HYPERLINK("https://ppubs.uspto.gov/pubwebapp/external.html?q=20220056542.pn.","USPTO")</f>
        <v>0.0</v>
      </c>
      <c r="J830" s="2" t="n">
        <f>HYPERLINK("https://image-ppubs.uspto.gov/dirsearch-public/print/downloadPdf/20220056542","USPTO PDF")</f>
        <v>0.0</v>
      </c>
      <c r="K830" s="2" t="n">
        <f>HYPERLINK("https://sectors.patentforecast.com/pmd/US20220056542","PMD")</f>
        <v>0.0</v>
      </c>
      <c r="L830" s="2" t="n">
        <f>HYPERLINK("https://globaldossier.uspto.gov/result/application/US/17401079/1","US20220056542")</f>
        <v>0.0</v>
      </c>
      <c r="M830" t="s">
        <v>5803</v>
      </c>
      <c r="N830" t="s">
        <v>5804</v>
      </c>
      <c r="O830" t="s">
        <v>5805</v>
      </c>
      <c r="P830" t="s">
        <v>5806</v>
      </c>
      <c r="Q830" s="3" t="n">
        <v>44420.0</v>
      </c>
      <c r="R830" s="3" t="n">
        <v>44616.0</v>
      </c>
      <c r="S830" s="3" t="n">
        <v>44617.18882534722</v>
      </c>
      <c r="T830" s="3" t="n">
        <v>44638.70142902778</v>
      </c>
      <c r="U830" t="s">
        <v>5807</v>
      </c>
      <c r="V830" t="s">
        <v>5808</v>
      </c>
    </row>
    <row r="831">
      <c r="A831" t="s">
        <v>22</v>
      </c>
      <c r="B831" t="s">
        <v>5809</v>
      </c>
      <c r="C831" t="s">
        <v>60</v>
      </c>
      <c r="D831" t="s">
        <v>61</v>
      </c>
      <c r="E831" t="s">
        <v>5810</v>
      </c>
      <c r="F831" s="2" t="n">
        <f>HYPERLINK("https://patents.google.com/patent/US20220056510","Google")</f>
        <v>0.0</v>
      </c>
      <c r="G831" s="2" t="n">
        <f>HYPERLINK("https://patentcenter.uspto.gov/applications/17406730","Patent Center")</f>
        <v>0.0</v>
      </c>
      <c r="H831" s="2" t="n">
        <f>HYPERLINK("https://worldwide.espacenet.com/patent/search?q=US20220056510","Espacenet")</f>
        <v>0.0</v>
      </c>
      <c r="I831" s="2" t="n">
        <f>HYPERLINK("https://ppubs.uspto.gov/pubwebapp/external.html?q=20220056510.pn.","USPTO")</f>
        <v>0.0</v>
      </c>
      <c r="J831" s="2" t="n">
        <f>HYPERLINK("https://image-ppubs.uspto.gov/dirsearch-public/print/downloadPdf/20220056510","USPTO PDF")</f>
        <v>0.0</v>
      </c>
      <c r="K831" s="2" t="n">
        <f>HYPERLINK("https://sectors.patentforecast.com/pmd/US20220056510","PMD")</f>
        <v>0.0</v>
      </c>
      <c r="L831" s="2" t="n">
        <f>HYPERLINK("https://globaldossier.uspto.gov/result/application/US/17406730/1","US20220056510")</f>
        <v>0.0</v>
      </c>
      <c r="M831" t="s">
        <v>5811</v>
      </c>
      <c r="N831" t="s">
        <v>330</v>
      </c>
      <c r="O831" t="s">
        <v>331</v>
      </c>
      <c r="P831" t="s">
        <v>5812</v>
      </c>
      <c r="Q831" s="3" t="n">
        <v>44427.0</v>
      </c>
      <c r="R831" s="3" t="n">
        <v>44616.0</v>
      </c>
      <c r="S831" s="3" t="n">
        <v>44617.18882534722</v>
      </c>
      <c r="T831" s="3" t="n">
        <v>44698.62642898148</v>
      </c>
      <c r="U831" t="s">
        <v>31</v>
      </c>
      <c r="V831" t="s">
        <v>5813</v>
      </c>
    </row>
    <row r="832">
      <c r="A832" t="s">
        <v>22</v>
      </c>
      <c r="B832" t="s">
        <v>5814</v>
      </c>
      <c r="C832" t="s">
        <v>60</v>
      </c>
      <c r="D832" t="s">
        <v>61</v>
      </c>
      <c r="E832" t="s">
        <v>5815</v>
      </c>
      <c r="F832" s="2" t="n">
        <f>HYPERLINK("https://patents.google.com/patent/US20220056429","Google")</f>
        <v>0.0</v>
      </c>
      <c r="G832" s="2" t="n">
        <f>HYPERLINK("https://patentcenter.uspto.gov/applications/17405104","Patent Center")</f>
        <v>0.0</v>
      </c>
      <c r="H832" s="2" t="n">
        <f>HYPERLINK("https://worldwide.espacenet.com/patent/search?q=US20220056429","Espacenet")</f>
        <v>0.0</v>
      </c>
      <c r="I832" s="2" t="n">
        <f>HYPERLINK("https://ppubs.uspto.gov/pubwebapp/external.html?q=20220056429.pn.","USPTO")</f>
        <v>0.0</v>
      </c>
      <c r="J832" s="2" t="n">
        <f>HYPERLINK("https://image-ppubs.uspto.gov/dirsearch-public/print/downloadPdf/20220056429","USPTO PDF")</f>
        <v>0.0</v>
      </c>
      <c r="K832" s="2" t="n">
        <f>HYPERLINK("https://sectors.patentforecast.com/pmd/US20220056429","PMD")</f>
        <v>0.0</v>
      </c>
      <c r="L832" s="2" t="n">
        <f>HYPERLINK("https://globaldossier.uspto.gov/result/application/US/17405104/1","US20220056429")</f>
        <v>0.0</v>
      </c>
      <c r="M832" t="s">
        <v>5816</v>
      </c>
      <c r="N832" t="s">
        <v>1834</v>
      </c>
      <c r="O832" t="s">
        <v>1835</v>
      </c>
      <c r="P832" t="s">
        <v>5817</v>
      </c>
      <c r="Q832" s="3" t="n">
        <v>44426.0</v>
      </c>
      <c r="R832" s="3" t="n">
        <v>44616.0</v>
      </c>
      <c r="S832" s="3" t="n">
        <v>44617.18882534722</v>
      </c>
      <c r="T832" s="3" t="n">
        <v>44698.62649778935</v>
      </c>
      <c r="U832" t="s">
        <v>31</v>
      </c>
      <c r="V832" t="s">
        <v>5818</v>
      </c>
    </row>
    <row r="833">
      <c r="A833" t="s">
        <v>22</v>
      </c>
      <c r="B833" t="s">
        <v>5819</v>
      </c>
      <c r="C833" t="s">
        <v>24</v>
      </c>
      <c r="D833" t="s">
        <v>100</v>
      </c>
      <c r="E833" t="s">
        <v>5820</v>
      </c>
      <c r="F833" s="2" t="n">
        <f>HYPERLINK("https://patents.google.com/patent/US20220056374","Google")</f>
        <v>0.0</v>
      </c>
      <c r="G833" s="2" t="n">
        <f>HYPERLINK("https://patentcenter.uspto.gov/applications/17406341","Patent Center")</f>
        <v>0.0</v>
      </c>
      <c r="H833" s="2" t="n">
        <f>HYPERLINK("https://worldwide.espacenet.com/patent/search?q=US20220056374","Espacenet")</f>
        <v>0.0</v>
      </c>
      <c r="I833" s="2" t="n">
        <f>HYPERLINK("https://ppubs.uspto.gov/pubwebapp/external.html?q=20220056374.pn.","USPTO")</f>
        <v>0.0</v>
      </c>
      <c r="J833" s="2" t="n">
        <f>HYPERLINK("https://image-ppubs.uspto.gov/dirsearch-public/print/downloadPdf/20220056374","USPTO PDF")</f>
        <v>0.0</v>
      </c>
      <c r="K833" s="2" t="n">
        <f>HYPERLINK("https://sectors.patentforecast.com/pmd/US20220056374","PMD")</f>
        <v>0.0</v>
      </c>
      <c r="L833" s="2" t="n">
        <f>HYPERLINK("https://globaldossier.uspto.gov/result/application/US/17406341/1","US20220056374")</f>
        <v>0.0</v>
      </c>
      <c r="M833" t="s">
        <v>5821</v>
      </c>
      <c r="N833" t="s">
        <v>5822</v>
      </c>
      <c r="O833" t="s">
        <v>5823</v>
      </c>
      <c r="P833" t="s">
        <v>5824</v>
      </c>
      <c r="Q833" s="3" t="n">
        <v>44427.0</v>
      </c>
      <c r="R833" s="3" t="n">
        <v>44616.0</v>
      </c>
      <c r="S833" s="3" t="n">
        <v>44617.18882534722</v>
      </c>
      <c r="T833" s="3" t="n">
        <v>44678.57928900463</v>
      </c>
      <c r="U833" t="s">
        <v>31</v>
      </c>
      <c r="V833" t="s">
        <v>5825</v>
      </c>
    </row>
    <row r="834">
      <c r="A834" t="s">
        <v>22</v>
      </c>
      <c r="B834" t="s">
        <v>5826</v>
      </c>
      <c r="C834" t="s">
        <v>24</v>
      </c>
      <c r="D834" t="s">
        <v>69</v>
      </c>
      <c r="E834" t="s">
        <v>5827</v>
      </c>
      <c r="F834" s="2" t="n">
        <f>HYPERLINK("https://patents.google.com/patent/US20220056371","Google")</f>
        <v>0.0</v>
      </c>
      <c r="G834" s="2" t="n">
        <f>HYPERLINK("https://patentcenter.uspto.gov/applications/17404994","Patent Center")</f>
        <v>0.0</v>
      </c>
      <c r="H834" s="2" t="n">
        <f>HYPERLINK("https://worldwide.espacenet.com/patent/search?q=US20220056371","Espacenet")</f>
        <v>0.0</v>
      </c>
      <c r="I834" s="2" t="n">
        <f>HYPERLINK("https://ppubs.uspto.gov/pubwebapp/external.html?q=20220056371.pn.","USPTO")</f>
        <v>0.0</v>
      </c>
      <c r="J834" s="2" t="n">
        <f>HYPERLINK("https://image-ppubs.uspto.gov/dirsearch-public/print/downloadPdf/20220056371","USPTO PDF")</f>
        <v>0.0</v>
      </c>
      <c r="K834" s="2" t="n">
        <f>HYPERLINK("https://sectors.patentforecast.com/pmd/US20220056371","PMD")</f>
        <v>0.0</v>
      </c>
      <c r="L834" s="2" t="n">
        <f>HYPERLINK("https://globaldossier.uspto.gov/result/application/US/17404994/1","US20220056371")</f>
        <v>0.0</v>
      </c>
      <c r="M834" t="s">
        <v>5828</v>
      </c>
      <c r="N834" t="s">
        <v>4456</v>
      </c>
      <c r="O834" t="s">
        <v>4457</v>
      </c>
      <c r="P834" t="s">
        <v>4458</v>
      </c>
      <c r="Q834" s="3" t="n">
        <v>44425.0</v>
      </c>
      <c r="R834" s="3" t="n">
        <v>44616.0</v>
      </c>
      <c r="S834" s="3" t="n">
        <v>44617.18882534722</v>
      </c>
      <c r="T834" s="3" t="n">
        <v>44678.56133060185</v>
      </c>
      <c r="U834" t="s">
        <v>5829</v>
      </c>
      <c r="V834" t="s">
        <v>5830</v>
      </c>
    </row>
    <row r="835">
      <c r="A835" t="s">
        <v>22</v>
      </c>
      <c r="B835" t="s">
        <v>5831</v>
      </c>
      <c r="C835" t="s">
        <v>24</v>
      </c>
      <c r="D835" t="s">
        <v>100</v>
      </c>
      <c r="E835" t="s">
        <v>5832</v>
      </c>
      <c r="F835" s="2" t="n">
        <f>HYPERLINK("https://patents.google.com/patent/US20220056370","Google")</f>
        <v>0.0</v>
      </c>
      <c r="G835" s="2" t="n">
        <f>HYPERLINK("https://patentcenter.uspto.gov/applications/17406461","Patent Center")</f>
        <v>0.0</v>
      </c>
      <c r="H835" s="2" t="n">
        <f>HYPERLINK("https://worldwide.espacenet.com/patent/search?q=US20220056370","Espacenet")</f>
        <v>0.0</v>
      </c>
      <c r="I835" s="2" t="n">
        <f>HYPERLINK("https://ppubs.uspto.gov/pubwebapp/external.html?q=20220056370.pn.","USPTO")</f>
        <v>0.0</v>
      </c>
      <c r="J835" s="2" t="n">
        <f>HYPERLINK("https://image-ppubs.uspto.gov/dirsearch-public/print/downloadPdf/20220056370","USPTO PDF")</f>
        <v>0.0</v>
      </c>
      <c r="K835" s="2" t="n">
        <f>HYPERLINK("https://sectors.patentforecast.com/pmd/US20220056370","PMD")</f>
        <v>0.0</v>
      </c>
      <c r="L835" s="2" t="n">
        <f>HYPERLINK("https://globaldossier.uspto.gov/result/application/US/17406461/1","US20220056370")</f>
        <v>0.0</v>
      </c>
      <c r="M835" t="s">
        <v>5833</v>
      </c>
      <c r="N835" t="s">
        <v>5822</v>
      </c>
      <c r="O835" t="s">
        <v>5823</v>
      </c>
      <c r="P835" t="s">
        <v>5834</v>
      </c>
      <c r="Q835" s="3" t="n">
        <v>44427.0</v>
      </c>
      <c r="R835" s="3" t="n">
        <v>44616.0</v>
      </c>
      <c r="S835" s="3" t="n">
        <v>44617.18882534722</v>
      </c>
      <c r="T835" s="3" t="n">
        <v>44678.57928900463</v>
      </c>
      <c r="U835" t="s">
        <v>5835</v>
      </c>
      <c r="V835" t="s">
        <v>5836</v>
      </c>
    </row>
    <row r="836">
      <c r="A836" t="s">
        <v>22</v>
      </c>
      <c r="B836" t="s">
        <v>5837</v>
      </c>
      <c r="C836" t="s">
        <v>60</v>
      </c>
      <c r="D836" t="s">
        <v>61</v>
      </c>
      <c r="E836" t="s">
        <v>5838</v>
      </c>
      <c r="F836" s="2" t="n">
        <f>HYPERLINK("https://patents.google.com/patent/US20220056154","Google")</f>
        <v>0.0</v>
      </c>
      <c r="G836" s="2" t="n">
        <f>HYPERLINK("https://patentcenter.uspto.gov/applications/17499030","Patent Center")</f>
        <v>0.0</v>
      </c>
      <c r="H836" s="2" t="n">
        <f>HYPERLINK("https://worldwide.espacenet.com/patent/search?q=US20220056154","Espacenet")</f>
        <v>0.0</v>
      </c>
      <c r="I836" s="2" t="n">
        <f>HYPERLINK("https://ppubs.uspto.gov/pubwebapp/external.html?q=20220056154.pn.","USPTO")</f>
        <v>0.0</v>
      </c>
      <c r="J836" s="2" t="n">
        <f>HYPERLINK("https://image-ppubs.uspto.gov/dirsearch-public/print/downloadPdf/20220056154","USPTO PDF")</f>
        <v>0.0</v>
      </c>
      <c r="K836" s="2" t="n">
        <f>HYPERLINK("https://sectors.patentforecast.com/pmd/US20220056154","PMD")</f>
        <v>0.0</v>
      </c>
      <c r="L836" s="2" t="n">
        <f>HYPERLINK("https://globaldossier.uspto.gov/result/application/US/17499030/1","US20220056154")</f>
        <v>0.0</v>
      </c>
      <c r="M836" t="s">
        <v>5839</v>
      </c>
      <c r="N836" t="s">
        <v>3320</v>
      </c>
      <c r="O836" t="s">
        <v>3321</v>
      </c>
      <c r="P836" t="s">
        <v>3322</v>
      </c>
      <c r="Q836" s="3" t="n">
        <v>44481.0</v>
      </c>
      <c r="R836" s="3" t="n">
        <v>44616.0</v>
      </c>
      <c r="S836" s="3" t="n">
        <v>44617.18882534722</v>
      </c>
      <c r="T836" s="3" t="n">
        <v>44698.62653483796</v>
      </c>
      <c r="U836" t="s">
        <v>5840</v>
      </c>
      <c r="V836" t="s">
        <v>5841</v>
      </c>
    </row>
    <row r="837">
      <c r="A837" t="s">
        <v>22</v>
      </c>
      <c r="B837" t="s">
        <v>5842</v>
      </c>
      <c r="C837" t="s">
        <v>60</v>
      </c>
      <c r="D837" t="s">
        <v>61</v>
      </c>
      <c r="E837" t="s">
        <v>5843</v>
      </c>
      <c r="F837" s="2" t="n">
        <f>HYPERLINK("https://patents.google.com/patent/US20220056153","Google")</f>
        <v>0.0</v>
      </c>
      <c r="G837" s="2" t="n">
        <f>HYPERLINK("https://patentcenter.uspto.gov/applications/17499012","Patent Center")</f>
        <v>0.0</v>
      </c>
      <c r="H837" s="2" t="n">
        <f>HYPERLINK("https://worldwide.espacenet.com/patent/search?q=US20220056153","Espacenet")</f>
        <v>0.0</v>
      </c>
      <c r="I837" s="2" t="n">
        <f>HYPERLINK("https://ppubs.uspto.gov/pubwebapp/external.html?q=20220056153.pn.","USPTO")</f>
        <v>0.0</v>
      </c>
      <c r="J837" s="2" t="n">
        <f>HYPERLINK("https://image-ppubs.uspto.gov/dirsearch-public/print/downloadPdf/20220056153","USPTO PDF")</f>
        <v>0.0</v>
      </c>
      <c r="K837" s="2" t="n">
        <f>HYPERLINK("https://sectors.patentforecast.com/pmd/US20220056153","PMD")</f>
        <v>0.0</v>
      </c>
      <c r="L837" s="2" t="n">
        <f>HYPERLINK("https://globaldossier.uspto.gov/result/application/US/17499012/1","US20220056153")</f>
        <v>0.0</v>
      </c>
      <c r="M837" t="s">
        <v>5844</v>
      </c>
      <c r="N837" t="s">
        <v>3320</v>
      </c>
      <c r="O837" t="s">
        <v>3321</v>
      </c>
      <c r="P837" t="s">
        <v>3322</v>
      </c>
      <c r="Q837" s="3" t="n">
        <v>44481.0</v>
      </c>
      <c r="R837" s="3" t="n">
        <v>44616.0</v>
      </c>
      <c r="S837" s="3" t="n">
        <v>44617.18882534722</v>
      </c>
      <c r="T837" s="3" t="n">
        <v>44698.62658266204</v>
      </c>
      <c r="U837" t="s">
        <v>31</v>
      </c>
      <c r="V837" t="s">
        <v>5845</v>
      </c>
    </row>
    <row r="838">
      <c r="A838" t="s">
        <v>22</v>
      </c>
      <c r="B838" t="s">
        <v>5846</v>
      </c>
      <c r="C838" t="s">
        <v>60</v>
      </c>
      <c r="D838" t="s">
        <v>61</v>
      </c>
      <c r="E838" t="s">
        <v>5847</v>
      </c>
      <c r="F838" s="2" t="n">
        <f>HYPERLINK("https://patents.google.com/patent/US20220056152","Google")</f>
        <v>0.0</v>
      </c>
      <c r="G838" s="2" t="n">
        <f>HYPERLINK("https://patentcenter.uspto.gov/applications/17498091","Patent Center")</f>
        <v>0.0</v>
      </c>
      <c r="H838" s="2" t="n">
        <f>HYPERLINK("https://worldwide.espacenet.com/patent/search?q=US20220056152","Espacenet")</f>
        <v>0.0</v>
      </c>
      <c r="I838" s="2" t="n">
        <f>HYPERLINK("https://ppubs.uspto.gov/pubwebapp/external.html?q=20220056152.pn.","USPTO")</f>
        <v>0.0</v>
      </c>
      <c r="J838" s="2" t="n">
        <f>HYPERLINK("https://image-ppubs.uspto.gov/dirsearch-public/print/downloadPdf/20220056152","USPTO PDF")</f>
        <v>0.0</v>
      </c>
      <c r="K838" s="2" t="n">
        <f>HYPERLINK("https://sectors.patentforecast.com/pmd/US20220056152","PMD")</f>
        <v>0.0</v>
      </c>
      <c r="L838" s="2" t="n">
        <f>HYPERLINK("https://globaldossier.uspto.gov/result/application/US/17498091/1","US20220056152")</f>
        <v>0.0</v>
      </c>
      <c r="M838" t="s">
        <v>5848</v>
      </c>
      <c r="N838" t="s">
        <v>5849</v>
      </c>
      <c r="O838" t="s">
        <v>5849</v>
      </c>
      <c r="P838" t="s">
        <v>5850</v>
      </c>
      <c r="Q838" s="3" t="n">
        <v>44480.0</v>
      </c>
      <c r="R838" s="3" t="n">
        <v>44616.0</v>
      </c>
      <c r="S838" s="3" t="n">
        <v>44617.18882534722</v>
      </c>
      <c r="T838" s="3" t="n">
        <v>44698.62662767361</v>
      </c>
      <c r="U838" t="s">
        <v>5851</v>
      </c>
      <c r="V838" t="s">
        <v>5852</v>
      </c>
    </row>
    <row r="839">
      <c r="A839" t="s">
        <v>22</v>
      </c>
      <c r="B839" t="s">
        <v>5853</v>
      </c>
      <c r="C839" t="s">
        <v>60</v>
      </c>
      <c r="D839" t="s">
        <v>61</v>
      </c>
      <c r="E839" t="s">
        <v>5854</v>
      </c>
      <c r="F839" s="2" t="n">
        <f>HYPERLINK("https://patents.google.com/patent/US20220056119","Google")</f>
        <v>0.0</v>
      </c>
      <c r="G839" s="2" t="n">
        <f>HYPERLINK("https://patentcenter.uspto.gov/applications/17407012","Patent Center")</f>
        <v>0.0</v>
      </c>
      <c r="H839" s="2" t="n">
        <f>HYPERLINK("https://worldwide.espacenet.com/patent/search?q=US20220056119","Espacenet")</f>
        <v>0.0</v>
      </c>
      <c r="I839" s="2" t="n">
        <f>HYPERLINK("https://ppubs.uspto.gov/pubwebapp/external.html?q=20220056119.pn.","USPTO")</f>
        <v>0.0</v>
      </c>
      <c r="J839" s="2" t="n">
        <f>HYPERLINK("https://image-ppubs.uspto.gov/dirsearch-public/print/downloadPdf/20220056119","USPTO PDF")</f>
        <v>0.0</v>
      </c>
      <c r="K839" s="2" t="n">
        <f>HYPERLINK("https://sectors.patentforecast.com/pmd/US20220056119","PMD")</f>
        <v>0.0</v>
      </c>
      <c r="L839" s="2" t="n">
        <f>HYPERLINK("https://globaldossier.uspto.gov/result/application/US/17407012/1","US20220056119")</f>
        <v>0.0</v>
      </c>
      <c r="M839" t="s">
        <v>5855</v>
      </c>
      <c r="N839" t="s">
        <v>5856</v>
      </c>
      <c r="O839" t="s">
        <v>5856</v>
      </c>
      <c r="P839" t="s">
        <v>5857</v>
      </c>
      <c r="Q839" s="3" t="n">
        <v>44427.0</v>
      </c>
      <c r="R839" s="3" t="n">
        <v>44616.0</v>
      </c>
      <c r="S839" s="3" t="n">
        <v>44617.18882534722</v>
      </c>
      <c r="T839" s="3" t="n">
        <v>44678.545221354165</v>
      </c>
      <c r="U839" t="s">
        <v>31</v>
      </c>
      <c r="V839" t="s">
        <v>5858</v>
      </c>
    </row>
    <row r="840">
      <c r="A840" t="s">
        <v>22</v>
      </c>
      <c r="B840" t="s">
        <v>5859</v>
      </c>
      <c r="C840" t="s">
        <v>60</v>
      </c>
      <c r="D840" t="s">
        <v>1217</v>
      </c>
      <c r="E840" t="s">
        <v>5860</v>
      </c>
      <c r="F840" s="2" t="n">
        <f>HYPERLINK("https://patents.google.com/patent/US20220056112","Google")</f>
        <v>0.0</v>
      </c>
      <c r="G840" s="2" t="n">
        <f>HYPERLINK("https://patentcenter.uspto.gov/applications/17399367","Patent Center")</f>
        <v>0.0</v>
      </c>
      <c r="H840" s="2" t="n">
        <f>HYPERLINK("https://worldwide.espacenet.com/patent/search?q=US20220056112","Espacenet")</f>
        <v>0.0</v>
      </c>
      <c r="I840" s="2" t="n">
        <f>HYPERLINK("https://ppubs.uspto.gov/pubwebapp/external.html?q=20220056112.pn.","USPTO")</f>
        <v>0.0</v>
      </c>
      <c r="J840" s="2" t="n">
        <f>HYPERLINK("https://image-ppubs.uspto.gov/dirsearch-public/print/downloadPdf/20220056112","USPTO PDF")</f>
        <v>0.0</v>
      </c>
      <c r="K840" s="2" t="n">
        <f>HYPERLINK("https://sectors.patentforecast.com/pmd/US20220056112","PMD")</f>
        <v>0.0</v>
      </c>
      <c r="L840" s="2" t="n">
        <f>HYPERLINK("https://globaldossier.uspto.gov/result/application/US/17399367/1","US20220056112")</f>
        <v>0.0</v>
      </c>
      <c r="M840" t="s">
        <v>5861</v>
      </c>
      <c r="N840" t="s">
        <v>5862</v>
      </c>
      <c r="O840" t="s">
        <v>5863</v>
      </c>
      <c r="P840" t="s">
        <v>5864</v>
      </c>
      <c r="Q840" s="3" t="n">
        <v>44419.0</v>
      </c>
      <c r="R840" s="3" t="n">
        <v>44616.0</v>
      </c>
      <c r="S840" s="3" t="n">
        <v>44617.18882534722</v>
      </c>
      <c r="T840" s="3" t="n">
        <v>44698.62678326389</v>
      </c>
      <c r="U840" t="s">
        <v>5865</v>
      </c>
      <c r="V840" t="s">
        <v>5866</v>
      </c>
    </row>
    <row r="841">
      <c r="A841" t="s">
        <v>22</v>
      </c>
      <c r="B841" t="s">
        <v>5867</v>
      </c>
      <c r="C841" t="s">
        <v>60</v>
      </c>
      <c r="D841" t="s">
        <v>77</v>
      </c>
      <c r="E841" t="s">
        <v>5868</v>
      </c>
      <c r="F841" s="2" t="n">
        <f>HYPERLINK("https://patents.google.com/patent/US20220056111","Google")</f>
        <v>0.0</v>
      </c>
      <c r="G841" s="2" t="n">
        <f>HYPERLINK("https://patentcenter.uspto.gov/applications/17399364","Patent Center")</f>
        <v>0.0</v>
      </c>
      <c r="H841" s="2" t="n">
        <f>HYPERLINK("https://worldwide.espacenet.com/patent/search?q=US20220056111","Espacenet")</f>
        <v>0.0</v>
      </c>
      <c r="I841" s="2" t="n">
        <f>HYPERLINK("https://ppubs.uspto.gov/pubwebapp/external.html?q=20220056111.pn.","USPTO")</f>
        <v>0.0</v>
      </c>
      <c r="J841" s="2" t="n">
        <f>HYPERLINK("https://image-ppubs.uspto.gov/dirsearch-public/print/downloadPdf/20220056111","USPTO PDF")</f>
        <v>0.0</v>
      </c>
      <c r="K841" s="2" t="n">
        <f>HYPERLINK("https://sectors.patentforecast.com/pmd/US20220056111","PMD")</f>
        <v>0.0</v>
      </c>
      <c r="L841" s="2" t="n">
        <f>HYPERLINK("https://globaldossier.uspto.gov/result/application/US/17399364/1","US20220056111")</f>
        <v>0.0</v>
      </c>
      <c r="M841" t="s">
        <v>5869</v>
      </c>
      <c r="N841" t="s">
        <v>5862</v>
      </c>
      <c r="O841" t="s">
        <v>5863</v>
      </c>
      <c r="P841" t="s">
        <v>5864</v>
      </c>
      <c r="Q841" s="3" t="n">
        <v>44419.0</v>
      </c>
      <c r="R841" s="3" t="n">
        <v>44616.0</v>
      </c>
      <c r="S841" s="3" t="n">
        <v>44617.18882534722</v>
      </c>
      <c r="T841" s="3" t="n">
        <v>44698.626866122686</v>
      </c>
      <c r="U841" t="s">
        <v>31</v>
      </c>
      <c r="V841" t="s">
        <v>5870</v>
      </c>
    </row>
    <row r="842">
      <c r="A842" t="s">
        <v>22</v>
      </c>
      <c r="B842" t="s">
        <v>5871</v>
      </c>
      <c r="C842" t="s">
        <v>24</v>
      </c>
      <c r="D842" t="s">
        <v>25</v>
      </c>
      <c r="E842" t="s">
        <v>5872</v>
      </c>
      <c r="F842" s="2" t="n">
        <f>HYPERLINK("https://patents.google.com/patent/US20220055752","Google")</f>
        <v>0.0</v>
      </c>
      <c r="G842" s="2" t="n">
        <f>HYPERLINK("https://patentcenter.uspto.gov/applications/17399186","Patent Center")</f>
        <v>0.0</v>
      </c>
      <c r="H842" s="2" t="n">
        <f>HYPERLINK("https://worldwide.espacenet.com/patent/search?q=US20220055752","Espacenet")</f>
        <v>0.0</v>
      </c>
      <c r="I842" s="2" t="n">
        <f>HYPERLINK("https://ppubs.uspto.gov/pubwebapp/external.html?q=20220055752.pn.","USPTO")</f>
        <v>0.0</v>
      </c>
      <c r="J842" s="2" t="n">
        <f>HYPERLINK("https://image-ppubs.uspto.gov/dirsearch-public/print/downloadPdf/20220055752","USPTO PDF")</f>
        <v>0.0</v>
      </c>
      <c r="K842" s="2" t="n">
        <f>HYPERLINK("https://sectors.patentforecast.com/pmd/US20220055752","PMD")</f>
        <v>0.0</v>
      </c>
      <c r="L842" s="2" t="n">
        <f>HYPERLINK("https://globaldossier.uspto.gov/result/application/US/17399186/1","US20220055752")</f>
        <v>0.0</v>
      </c>
      <c r="M842" t="s">
        <v>5873</v>
      </c>
      <c r="N842" t="s">
        <v>5874</v>
      </c>
      <c r="O842" t="s">
        <v>5875</v>
      </c>
      <c r="P842" t="s">
        <v>5876</v>
      </c>
      <c r="Q842" s="3" t="n">
        <v>44419.0</v>
      </c>
      <c r="R842" s="3" t="n">
        <v>44616.0</v>
      </c>
      <c r="S842" s="3" t="n">
        <v>44617.18882534722</v>
      </c>
      <c r="T842" s="3" t="n">
        <v>44698.51068908565</v>
      </c>
      <c r="U842" t="s">
        <v>5877</v>
      </c>
      <c r="V842" t="s">
        <v>5878</v>
      </c>
    </row>
    <row r="843">
      <c r="A843" t="s">
        <v>22</v>
      </c>
      <c r="B843" t="s">
        <v>5879</v>
      </c>
      <c r="C843" t="s">
        <v>24</v>
      </c>
      <c r="D843" t="s">
        <v>51</v>
      </c>
      <c r="E843" t="s">
        <v>5880</v>
      </c>
      <c r="F843" s="2" t="n">
        <f>HYPERLINK("https://patents.google.com/patent/US20220055036","Google")</f>
        <v>0.0</v>
      </c>
      <c r="G843" s="2" t="n">
        <f>HYPERLINK("https://patentcenter.uspto.gov/applications/17405115","Patent Center")</f>
        <v>0.0</v>
      </c>
      <c r="H843" s="2" t="n">
        <f>HYPERLINK("https://worldwide.espacenet.com/patent/search?q=US20220055036","Espacenet")</f>
        <v>0.0</v>
      </c>
      <c r="I843" s="2" t="n">
        <f>HYPERLINK("https://ppubs.uspto.gov/pubwebapp/external.html?q=20220055036.pn.","USPTO")</f>
        <v>0.0</v>
      </c>
      <c r="J843" s="2" t="n">
        <f>HYPERLINK("https://image-ppubs.uspto.gov/dirsearch-public/print/downloadPdf/20220055036","USPTO PDF")</f>
        <v>0.0</v>
      </c>
      <c r="K843" s="2" t="n">
        <f>HYPERLINK("https://sectors.patentforecast.com/pmd/US20220055036","PMD")</f>
        <v>0.0</v>
      </c>
      <c r="L843" s="2" t="n">
        <f>HYPERLINK("https://globaldossier.uspto.gov/result/application/US/17405115/1","US20220055036")</f>
        <v>0.0</v>
      </c>
      <c r="M843" t="s">
        <v>5881</v>
      </c>
      <c r="N843" t="s">
        <v>2016</v>
      </c>
      <c r="O843" t="s">
        <v>2017</v>
      </c>
      <c r="P843" t="s">
        <v>5882</v>
      </c>
      <c r="Q843" s="3" t="n">
        <v>44426.0</v>
      </c>
      <c r="R843" s="3" t="n">
        <v>44616.0</v>
      </c>
      <c r="S843" s="3" t="n">
        <v>44617.18882534722</v>
      </c>
      <c r="T843" s="3" t="n">
        <v>44698.62775399305</v>
      </c>
      <c r="U843" t="s">
        <v>31</v>
      </c>
      <c r="V843" t="s">
        <v>5883</v>
      </c>
    </row>
    <row r="844">
      <c r="A844" t="s">
        <v>22</v>
      </c>
      <c r="B844" t="s">
        <v>5884</v>
      </c>
      <c r="C844" t="s">
        <v>24</v>
      </c>
      <c r="D844" t="s">
        <v>69</v>
      </c>
      <c r="E844" t="s">
        <v>5885</v>
      </c>
      <c r="F844" s="2" t="n">
        <f>HYPERLINK("https://patents.google.com/patent/US20220054986","Google")</f>
        <v>0.0</v>
      </c>
      <c r="G844" s="2" t="n">
        <f>HYPERLINK("https://patentcenter.uspto.gov/applications/17379882","Patent Center")</f>
        <v>0.0</v>
      </c>
      <c r="H844" s="2" t="n">
        <f>HYPERLINK("https://worldwide.espacenet.com/patent/search?q=US20220054986","Espacenet")</f>
        <v>0.0</v>
      </c>
      <c r="I844" s="2" t="n">
        <f>HYPERLINK("https://ppubs.uspto.gov/pubwebapp/external.html?q=20220054986.pn.","USPTO")</f>
        <v>0.0</v>
      </c>
      <c r="J844" s="2" t="n">
        <f>HYPERLINK("https://image-ppubs.uspto.gov/dirsearch-public/print/downloadPdf/20220054986","USPTO PDF")</f>
        <v>0.0</v>
      </c>
      <c r="K844" s="2" t="n">
        <f>HYPERLINK("https://sectors.patentforecast.com/pmd/US20220054986","PMD")</f>
        <v>0.0</v>
      </c>
      <c r="L844" s="2" t="n">
        <f>HYPERLINK("https://globaldossier.uspto.gov/result/application/US/17379882/1","US20220054986")</f>
        <v>0.0</v>
      </c>
      <c r="M844" t="s">
        <v>5886</v>
      </c>
      <c r="N844" t="s">
        <v>5887</v>
      </c>
      <c r="O844" t="s">
        <v>5888</v>
      </c>
      <c r="P844" t="s">
        <v>5889</v>
      </c>
      <c r="Q844" s="3" t="n">
        <v>44396.0</v>
      </c>
      <c r="R844" s="3" t="n">
        <v>44616.0</v>
      </c>
      <c r="S844" s="3" t="n">
        <v>44617.18882534722</v>
      </c>
      <c r="T844" s="3" t="n">
        <v>44698.62829327546</v>
      </c>
      <c r="U844" t="s">
        <v>31</v>
      </c>
      <c r="V844" t="s">
        <v>5890</v>
      </c>
    </row>
    <row r="845">
      <c r="A845" t="s">
        <v>22</v>
      </c>
      <c r="B845" t="s">
        <v>5891</v>
      </c>
      <c r="C845" t="s">
        <v>24</v>
      </c>
      <c r="D845" t="s">
        <v>69</v>
      </c>
      <c r="E845" t="s">
        <v>5892</v>
      </c>
      <c r="F845" s="2" t="n">
        <f>HYPERLINK("https://patents.google.com/patent/US20220054964","Google")</f>
        <v>0.0</v>
      </c>
      <c r="G845" s="2" t="n">
        <f>HYPERLINK("https://patentcenter.uspto.gov/applications/17408131","Patent Center")</f>
        <v>0.0</v>
      </c>
      <c r="H845" s="2" t="n">
        <f>HYPERLINK("https://worldwide.espacenet.com/patent/search?q=US20220054964","Espacenet")</f>
        <v>0.0</v>
      </c>
      <c r="I845" s="2" t="n">
        <f>HYPERLINK("https://ppubs.uspto.gov/pubwebapp/external.html?q=20220054964.pn.","USPTO")</f>
        <v>0.0</v>
      </c>
      <c r="J845" s="2" t="n">
        <f>HYPERLINK("https://image-ppubs.uspto.gov/dirsearch-public/print/downloadPdf/20220054964","USPTO PDF")</f>
        <v>0.0</v>
      </c>
      <c r="K845" s="2" t="n">
        <f>HYPERLINK("https://sectors.patentforecast.com/pmd/US20220054964","PMD")</f>
        <v>0.0</v>
      </c>
      <c r="L845" s="2" t="n">
        <f>HYPERLINK("https://globaldossier.uspto.gov/result/application/US/17408131/1","US20220054964")</f>
        <v>0.0</v>
      </c>
      <c r="M845" t="s">
        <v>5893</v>
      </c>
      <c r="N845" t="s">
        <v>5894</v>
      </c>
      <c r="O845" t="s">
        <v>5895</v>
      </c>
      <c r="P845" t="s">
        <v>5896</v>
      </c>
      <c r="Q845" s="3" t="n">
        <v>44428.0</v>
      </c>
      <c r="R845" s="3" t="n">
        <v>44616.0</v>
      </c>
      <c r="S845" s="3" t="n">
        <v>44617.18882534722</v>
      </c>
      <c r="T845" s="3" t="n">
        <v>44698.62838267361</v>
      </c>
      <c r="U845" t="s">
        <v>5897</v>
      </c>
      <c r="V845" t="s">
        <v>5898</v>
      </c>
    </row>
    <row r="846">
      <c r="A846" t="s">
        <v>22</v>
      </c>
      <c r="B846" t="s">
        <v>5899</v>
      </c>
      <c r="C846" t="s">
        <v>24</v>
      </c>
      <c r="D846" t="s">
        <v>69</v>
      </c>
      <c r="E846" t="s">
        <v>5900</v>
      </c>
      <c r="F846" s="2" t="n">
        <f>HYPERLINK("https://patents.google.com/patent/US20220054929","Google")</f>
        <v>0.0</v>
      </c>
      <c r="G846" s="2" t="n">
        <f>HYPERLINK("https://patentcenter.uspto.gov/applications/17410986","Patent Center")</f>
        <v>0.0</v>
      </c>
      <c r="H846" s="2" t="n">
        <f>HYPERLINK("https://worldwide.espacenet.com/patent/search?q=US20220054929","Espacenet")</f>
        <v>0.0</v>
      </c>
      <c r="I846" s="2" t="n">
        <f>HYPERLINK("https://ppubs.uspto.gov/pubwebapp/external.html?q=20220054929.pn.","USPTO")</f>
        <v>0.0</v>
      </c>
      <c r="J846" s="2" t="n">
        <f>HYPERLINK("https://image-ppubs.uspto.gov/dirsearch-public/print/downloadPdf/20220054929","USPTO PDF")</f>
        <v>0.0</v>
      </c>
      <c r="K846" s="2" t="n">
        <f>HYPERLINK("https://sectors.patentforecast.com/pmd/US20220054929","PMD")</f>
        <v>0.0</v>
      </c>
      <c r="L846" s="2" t="n">
        <f>HYPERLINK("https://globaldossier.uspto.gov/result/application/US/17410986/1","US20220054929")</f>
        <v>0.0</v>
      </c>
      <c r="M846" t="s">
        <v>5901</v>
      </c>
      <c r="N846" t="s">
        <v>810</v>
      </c>
      <c r="O846" t="s">
        <v>811</v>
      </c>
      <c r="P846" t="s">
        <v>5902</v>
      </c>
      <c r="Q846" s="3" t="n">
        <v>44432.0</v>
      </c>
      <c r="R846" s="3" t="n">
        <v>44616.0</v>
      </c>
      <c r="S846" s="3" t="n">
        <v>44617.18882534722</v>
      </c>
      <c r="T846" s="3" t="n">
        <v>44678.63213877315</v>
      </c>
      <c r="U846" t="s">
        <v>31</v>
      </c>
      <c r="V846" t="s">
        <v>5903</v>
      </c>
    </row>
    <row r="847">
      <c r="A847" t="s">
        <v>22</v>
      </c>
      <c r="B847" t="s">
        <v>5904</v>
      </c>
      <c r="C847" t="s">
        <v>24</v>
      </c>
      <c r="D847" t="s">
        <v>69</v>
      </c>
      <c r="E847" t="s">
        <v>5905</v>
      </c>
      <c r="F847" s="2" t="n">
        <f>HYPERLINK("https://patents.google.com/patent/US20220054867","Google")</f>
        <v>0.0</v>
      </c>
      <c r="G847" s="2" t="n">
        <f>HYPERLINK("https://patentcenter.uspto.gov/applications/17515330","Patent Center")</f>
        <v>0.0</v>
      </c>
      <c r="H847" s="2" t="n">
        <f>HYPERLINK("https://worldwide.espacenet.com/patent/search?q=US20220054867","Espacenet")</f>
        <v>0.0</v>
      </c>
      <c r="I847" s="2" t="n">
        <f>HYPERLINK("https://ppubs.uspto.gov/pubwebapp/external.html?q=20220054867.pn.","USPTO")</f>
        <v>0.0</v>
      </c>
      <c r="J847" s="2" t="n">
        <f>HYPERLINK("https://image-ppubs.uspto.gov/dirsearch-public/print/downloadPdf/20220054867","USPTO PDF")</f>
        <v>0.0</v>
      </c>
      <c r="K847" s="2" t="n">
        <f>HYPERLINK("https://sectors.patentforecast.com/pmd/US20220054867","PMD")</f>
        <v>0.0</v>
      </c>
      <c r="L847" s="2" t="n">
        <f>HYPERLINK("https://globaldossier.uspto.gov/result/application/US/17515330/1","US20220054867")</f>
        <v>0.0</v>
      </c>
      <c r="M847" t="s">
        <v>5906</v>
      </c>
      <c r="N847" t="s">
        <v>5907</v>
      </c>
      <c r="O847" t="s">
        <v>5908</v>
      </c>
      <c r="P847" t="s">
        <v>5909</v>
      </c>
      <c r="Q847" s="3" t="n">
        <v>44498.0</v>
      </c>
      <c r="R847" s="3" t="n">
        <v>44616.0</v>
      </c>
      <c r="S847" s="3" t="n">
        <v>44617.18882534722</v>
      </c>
      <c r="T847" s="3" t="n">
        <v>44678.640061666665</v>
      </c>
      <c r="U847" t="s">
        <v>5910</v>
      </c>
      <c r="V847" t="s">
        <v>5911</v>
      </c>
    </row>
    <row r="848">
      <c r="A848" t="s">
        <v>22</v>
      </c>
      <c r="B848" t="s">
        <v>5912</v>
      </c>
      <c r="C848" t="s">
        <v>24</v>
      </c>
      <c r="D848" t="s">
        <v>100</v>
      </c>
      <c r="E848" t="s">
        <v>5913</v>
      </c>
      <c r="F848" s="2" t="n">
        <f>HYPERLINK("https://patents.google.com/patent/US20220054696","Google")</f>
        <v>0.0</v>
      </c>
      <c r="G848" s="2" t="n">
        <f>HYPERLINK("https://patentcenter.uspto.gov/applications/16996901","Patent Center")</f>
        <v>0.0</v>
      </c>
      <c r="H848" s="2" t="n">
        <f>HYPERLINK("https://worldwide.espacenet.com/patent/search?q=US20220054696","Espacenet")</f>
        <v>0.0</v>
      </c>
      <c r="I848" s="2" t="n">
        <f>HYPERLINK("https://ppubs.uspto.gov/pubwebapp/external.html?q=20220054696.pn.","USPTO")</f>
        <v>0.0</v>
      </c>
      <c r="J848" s="2" t="n">
        <f>HYPERLINK("https://image-ppubs.uspto.gov/dirsearch-public/print/downloadPdf/20220054696","USPTO PDF")</f>
        <v>0.0</v>
      </c>
      <c r="K848" s="2" t="n">
        <f>HYPERLINK("https://sectors.patentforecast.com/pmd/US20220054696","PMD")</f>
        <v>0.0</v>
      </c>
      <c r="L848" s="2" t="n">
        <f>HYPERLINK("https://globaldossier.uspto.gov/result/application/US/16996901/1","US20220054696")</f>
        <v>0.0</v>
      </c>
      <c r="M848" t="s">
        <v>5914</v>
      </c>
      <c r="N848" t="s">
        <v>2464</v>
      </c>
      <c r="O848" t="s">
        <v>2465</v>
      </c>
      <c r="P848" t="s">
        <v>2466</v>
      </c>
      <c r="Q848" s="3" t="n">
        <v>44062.0</v>
      </c>
      <c r="R848" s="3" t="n">
        <v>44616.0</v>
      </c>
      <c r="S848" s="3" t="n">
        <v>44617.18882534722</v>
      </c>
      <c r="T848" s="3" t="n">
        <v>44678.57928900463</v>
      </c>
      <c r="U848" t="s">
        <v>31</v>
      </c>
      <c r="V848" t="s">
        <v>5915</v>
      </c>
    </row>
    <row r="849">
      <c r="A849" t="s">
        <v>22</v>
      </c>
      <c r="B849" t="s">
        <v>5916</v>
      </c>
      <c r="C849" t="s">
        <v>24</v>
      </c>
      <c r="D849" t="s">
        <v>100</v>
      </c>
      <c r="E849" t="s">
        <v>5917</v>
      </c>
      <c r="F849" s="2" t="n">
        <f>HYPERLINK("https://patents.google.com/patent/US20220054690","Google")</f>
        <v>0.0</v>
      </c>
      <c r="G849" s="2" t="n">
        <f>HYPERLINK("https://patentcenter.uspto.gov/applications/16995861","Patent Center")</f>
        <v>0.0</v>
      </c>
      <c r="H849" s="2" t="n">
        <f>HYPERLINK("https://worldwide.espacenet.com/patent/search?q=US20220054690","Espacenet")</f>
        <v>0.0</v>
      </c>
      <c r="I849" s="2" t="n">
        <f>HYPERLINK("https://ppubs.uspto.gov/pubwebapp/external.html?q=20220054690.pn.","USPTO")</f>
        <v>0.0</v>
      </c>
      <c r="J849" s="2" t="n">
        <f>HYPERLINK("https://image-ppubs.uspto.gov/dirsearch-public/print/downloadPdf/20220054690","USPTO PDF")</f>
        <v>0.0</v>
      </c>
      <c r="K849" s="2" t="n">
        <f>HYPERLINK("https://sectors.patentforecast.com/pmd/US20220054690","PMD")</f>
        <v>0.0</v>
      </c>
      <c r="L849" s="2" t="n">
        <f>HYPERLINK("https://globaldossier.uspto.gov/result/application/US/16995861/1","US20220054690")</f>
        <v>0.0</v>
      </c>
      <c r="M849" t="s">
        <v>5918</v>
      </c>
      <c r="N849" t="s">
        <v>5919</v>
      </c>
      <c r="O849" t="s">
        <v>5920</v>
      </c>
      <c r="P849" t="s">
        <v>5921</v>
      </c>
      <c r="Q849" s="3" t="n">
        <v>44061.0</v>
      </c>
      <c r="R849" s="3" t="n">
        <v>44616.0</v>
      </c>
      <c r="S849" s="3" t="n">
        <v>44617.18882534722</v>
      </c>
      <c r="T849" s="3" t="n">
        <v>44678.57928900463</v>
      </c>
      <c r="U849" t="s">
        <v>31</v>
      </c>
      <c r="V849" t="s">
        <v>5922</v>
      </c>
    </row>
    <row r="850">
      <c r="A850" t="s">
        <v>22</v>
      </c>
      <c r="B850" t="s">
        <v>5923</v>
      </c>
      <c r="C850" t="s">
        <v>24</v>
      </c>
      <c r="D850" t="s">
        <v>69</v>
      </c>
      <c r="E850" t="s">
        <v>5924</v>
      </c>
      <c r="F850" s="2" t="n">
        <f>HYPERLINK("https://patents.google.com/patent/US20220054687","Google")</f>
        <v>0.0</v>
      </c>
      <c r="G850" s="2" t="n">
        <f>HYPERLINK("https://patentcenter.uspto.gov/applications/17406675","Patent Center")</f>
        <v>0.0</v>
      </c>
      <c r="H850" s="2" t="n">
        <f>HYPERLINK("https://worldwide.espacenet.com/patent/search?q=US20220054687","Espacenet")</f>
        <v>0.0</v>
      </c>
      <c r="I850" s="2" t="n">
        <f>HYPERLINK("https://ppubs.uspto.gov/pubwebapp/external.html?q=20220054687.pn.","USPTO")</f>
        <v>0.0</v>
      </c>
      <c r="J850" s="2" t="n">
        <f>HYPERLINK("https://image-ppubs.uspto.gov/dirsearch-public/print/downloadPdf/20220054687","USPTO PDF")</f>
        <v>0.0</v>
      </c>
      <c r="K850" s="2" t="n">
        <f>HYPERLINK("https://sectors.patentforecast.com/pmd/US20220054687","PMD")</f>
        <v>0.0</v>
      </c>
      <c r="L850" s="2" t="n">
        <f>HYPERLINK("https://globaldossier.uspto.gov/result/application/US/17406675/1","US20220054687")</f>
        <v>0.0</v>
      </c>
      <c r="M850" t="s">
        <v>5925</v>
      </c>
      <c r="N850" t="s">
        <v>5926</v>
      </c>
      <c r="O850" t="s">
        <v>5926</v>
      </c>
      <c r="P850" t="s">
        <v>5927</v>
      </c>
      <c r="Q850" s="3" t="n">
        <v>44427.0</v>
      </c>
      <c r="R850" s="3" t="n">
        <v>44616.0</v>
      </c>
      <c r="S850" s="3" t="n">
        <v>44617.188593136576</v>
      </c>
      <c r="T850" s="3" t="n">
        <v>44698.62844472222</v>
      </c>
      <c r="U850" t="s">
        <v>5928</v>
      </c>
      <c r="V850" t="s">
        <v>5929</v>
      </c>
    </row>
    <row r="851">
      <c r="A851" t="s">
        <v>22</v>
      </c>
      <c r="B851" t="s">
        <v>5930</v>
      </c>
      <c r="C851" t="s">
        <v>24</v>
      </c>
      <c r="D851" t="s">
        <v>100</v>
      </c>
      <c r="E851" t="s">
        <v>5931</v>
      </c>
      <c r="F851" s="2" t="n">
        <f>HYPERLINK("https://patents.google.com/patent/US20220054675","Google")</f>
        <v>0.0</v>
      </c>
      <c r="G851" s="2" t="n">
        <f>HYPERLINK("https://patentcenter.uspto.gov/applications/17397721","Patent Center")</f>
        <v>0.0</v>
      </c>
      <c r="H851" s="2" t="n">
        <f>HYPERLINK("https://worldwide.espacenet.com/patent/search?q=US20220054675","Espacenet")</f>
        <v>0.0</v>
      </c>
      <c r="I851" s="2" t="n">
        <f>HYPERLINK("https://ppubs.uspto.gov/pubwebapp/external.html?q=20220054675.pn.","USPTO")</f>
        <v>0.0</v>
      </c>
      <c r="J851" s="2" t="n">
        <f>HYPERLINK("https://image-ppubs.uspto.gov/dirsearch-public/print/downloadPdf/20220054675","USPTO PDF")</f>
        <v>0.0</v>
      </c>
      <c r="K851" s="2" t="n">
        <f>HYPERLINK("https://sectors.patentforecast.com/pmd/US20220054675","PMD")</f>
        <v>0.0</v>
      </c>
      <c r="L851" s="2" t="n">
        <f>HYPERLINK("https://globaldossier.uspto.gov/result/application/US/17397721/1","US20220054675")</f>
        <v>0.0</v>
      </c>
      <c r="M851" t="s">
        <v>5932</v>
      </c>
      <c r="N851" t="s">
        <v>5933</v>
      </c>
      <c r="O851" t="s">
        <v>5934</v>
      </c>
      <c r="P851" t="s">
        <v>5935</v>
      </c>
      <c r="Q851" s="3" t="n">
        <v>44417.0</v>
      </c>
      <c r="R851" s="3" t="n">
        <v>44616.0</v>
      </c>
      <c r="S851" s="3" t="n">
        <v>44617.188593136576</v>
      </c>
      <c r="T851" s="3" t="n">
        <v>44678.57928900463</v>
      </c>
      <c r="U851" t="s">
        <v>31</v>
      </c>
      <c r="V851" t="s">
        <v>5936</v>
      </c>
    </row>
    <row r="852">
      <c r="A852" t="s">
        <v>22</v>
      </c>
      <c r="B852" t="s">
        <v>5937</v>
      </c>
      <c r="C852" t="s">
        <v>24</v>
      </c>
      <c r="D852" t="s">
        <v>100</v>
      </c>
      <c r="E852" t="s">
        <v>5938</v>
      </c>
      <c r="F852" s="2" t="n">
        <f>HYPERLINK("https://patents.google.com/patent/US20220054674","Google")</f>
        <v>0.0</v>
      </c>
      <c r="G852" s="2" t="n">
        <f>HYPERLINK("https://patentcenter.uspto.gov/applications/17110812","Patent Center")</f>
        <v>0.0</v>
      </c>
      <c r="H852" s="2" t="n">
        <f>HYPERLINK("https://worldwide.espacenet.com/patent/search?q=US20220054674","Espacenet")</f>
        <v>0.0</v>
      </c>
      <c r="I852" s="2" t="n">
        <f>HYPERLINK("https://ppubs.uspto.gov/pubwebapp/external.html?q=20220054674.pn.","USPTO")</f>
        <v>0.0</v>
      </c>
      <c r="J852" s="2" t="n">
        <f>HYPERLINK("https://image-ppubs.uspto.gov/dirsearch-public/print/downloadPdf/20220054674","USPTO PDF")</f>
        <v>0.0</v>
      </c>
      <c r="K852" s="2" t="n">
        <f>HYPERLINK("https://sectors.patentforecast.com/pmd/US20220054674","PMD")</f>
        <v>0.0</v>
      </c>
      <c r="L852" s="2" t="n">
        <f>HYPERLINK("https://globaldossier.uspto.gov/result/application/US/17110812/1","US20220054674")</f>
        <v>0.0</v>
      </c>
      <c r="M852" t="s">
        <v>5939</v>
      </c>
      <c r="N852" t="s">
        <v>5940</v>
      </c>
      <c r="O852" t="s">
        <v>5940</v>
      </c>
      <c r="P852" t="s">
        <v>5941</v>
      </c>
      <c r="Q852" s="3" t="n">
        <v>44168.0</v>
      </c>
      <c r="R852" s="3" t="n">
        <v>44616.0</v>
      </c>
      <c r="S852" s="3" t="n">
        <v>44617.188593136576</v>
      </c>
      <c r="T852" s="3" t="n">
        <v>44678.55760101852</v>
      </c>
      <c r="U852" t="s">
        <v>31</v>
      </c>
      <c r="V852" t="s">
        <v>5942</v>
      </c>
    </row>
    <row r="853">
      <c r="A853" t="s">
        <v>22</v>
      </c>
      <c r="B853" t="s">
        <v>5943</v>
      </c>
      <c r="C853" t="s">
        <v>24</v>
      </c>
      <c r="D853" t="s">
        <v>100</v>
      </c>
      <c r="E853" t="s">
        <v>5944</v>
      </c>
      <c r="F853" s="2" t="n">
        <f>HYPERLINK("https://patents.google.com/patent/US20220054669","Google")</f>
        <v>0.0</v>
      </c>
      <c r="G853" s="2" t="n">
        <f>HYPERLINK("https://patentcenter.uspto.gov/applications/17519695","Patent Center")</f>
        <v>0.0</v>
      </c>
      <c r="H853" s="2" t="n">
        <f>HYPERLINK("https://worldwide.espacenet.com/patent/search?q=US20220054669","Espacenet")</f>
        <v>0.0</v>
      </c>
      <c r="I853" s="2" t="n">
        <f>HYPERLINK("https://ppubs.uspto.gov/pubwebapp/external.html?q=20220054669.pn.","USPTO")</f>
        <v>0.0</v>
      </c>
      <c r="J853" s="2" t="n">
        <f>HYPERLINK("https://image-ppubs.uspto.gov/dirsearch-public/print/downloadPdf/20220054669","USPTO PDF")</f>
        <v>0.0</v>
      </c>
      <c r="K853" s="2" t="n">
        <f>HYPERLINK("https://sectors.patentforecast.com/pmd/US20220054669","PMD")</f>
        <v>0.0</v>
      </c>
      <c r="L853" s="2" t="n">
        <f>HYPERLINK("https://globaldossier.uspto.gov/result/application/US/17519695/1","US20220054669")</f>
        <v>0.0</v>
      </c>
      <c r="M853" t="s">
        <v>5945</v>
      </c>
      <c r="N853" t="s">
        <v>5946</v>
      </c>
      <c r="O853" t="s">
        <v>5947</v>
      </c>
      <c r="P853" t="s">
        <v>5948</v>
      </c>
      <c r="Q853" s="3" t="n">
        <v>44505.0</v>
      </c>
      <c r="R853" s="3" t="n">
        <v>44616.0</v>
      </c>
      <c r="S853" s="3" t="n">
        <v>44617.188593136576</v>
      </c>
      <c r="T853" s="3" t="n">
        <v>44698.51195071759</v>
      </c>
      <c r="U853" t="s">
        <v>31</v>
      </c>
      <c r="V853" t="s">
        <v>5949</v>
      </c>
    </row>
    <row r="854">
      <c r="A854" t="s">
        <v>22</v>
      </c>
      <c r="B854" t="s">
        <v>5950</v>
      </c>
      <c r="C854" t="s">
        <v>24</v>
      </c>
      <c r="D854" t="s">
        <v>69</v>
      </c>
      <c r="E854" t="s">
        <v>5951</v>
      </c>
      <c r="F854" s="2" t="n">
        <f>HYPERLINK("https://patents.google.com/patent/US20220054667","Google")</f>
        <v>0.0</v>
      </c>
      <c r="G854" s="2" t="n">
        <f>HYPERLINK("https://patentcenter.uspto.gov/applications/17389936","Patent Center")</f>
        <v>0.0</v>
      </c>
      <c r="H854" s="2" t="n">
        <f>HYPERLINK("https://worldwide.espacenet.com/patent/search?q=US20220054667","Espacenet")</f>
        <v>0.0</v>
      </c>
      <c r="I854" s="2" t="n">
        <f>HYPERLINK("https://ppubs.uspto.gov/pubwebapp/external.html?q=20220054667.pn.","USPTO")</f>
        <v>0.0</v>
      </c>
      <c r="J854" s="2" t="n">
        <f>HYPERLINK("https://image-ppubs.uspto.gov/dirsearch-public/print/downloadPdf/20220054667","USPTO PDF")</f>
        <v>0.0</v>
      </c>
      <c r="K854" s="2" t="n">
        <f>HYPERLINK("https://sectors.patentforecast.com/pmd/US20220054667","PMD")</f>
        <v>0.0</v>
      </c>
      <c r="L854" s="2" t="n">
        <f>HYPERLINK("https://globaldossier.uspto.gov/result/application/US/17389936/1","US20220054667")</f>
        <v>0.0</v>
      </c>
      <c r="M854" t="s">
        <v>5952</v>
      </c>
      <c r="N854" t="s">
        <v>3284</v>
      </c>
      <c r="O854" t="s">
        <v>3285</v>
      </c>
      <c r="P854" t="s">
        <v>5587</v>
      </c>
      <c r="Q854" s="3" t="n">
        <v>44407.0</v>
      </c>
      <c r="R854" s="3" t="n">
        <v>44616.0</v>
      </c>
      <c r="S854" s="3" t="n">
        <v>44617.188593136576</v>
      </c>
      <c r="T854" s="3" t="n">
        <v>44698.628587280095</v>
      </c>
      <c r="U854" t="s">
        <v>5953</v>
      </c>
      <c r="V854" t="s">
        <v>5954</v>
      </c>
    </row>
    <row r="855">
      <c r="A855" t="s">
        <v>22</v>
      </c>
      <c r="B855" t="s">
        <v>5955</v>
      </c>
      <c r="C855" t="s">
        <v>24</v>
      </c>
      <c r="D855" t="s">
        <v>100</v>
      </c>
      <c r="E855" t="s">
        <v>5956</v>
      </c>
      <c r="F855" s="2" t="n">
        <f>HYPERLINK("https://patents.google.com/patent/US20220054665","Google")</f>
        <v>0.0</v>
      </c>
      <c r="G855" s="2" t="n">
        <f>HYPERLINK("https://patentcenter.uspto.gov/applications/17375766","Patent Center")</f>
        <v>0.0</v>
      </c>
      <c r="H855" s="2" t="n">
        <f>HYPERLINK("https://worldwide.espacenet.com/patent/search?q=US20220054665","Espacenet")</f>
        <v>0.0</v>
      </c>
      <c r="I855" s="2" t="n">
        <f>HYPERLINK("https://ppubs.uspto.gov/pubwebapp/external.html?q=20220054665.pn.","USPTO")</f>
        <v>0.0</v>
      </c>
      <c r="J855" s="2" t="n">
        <f>HYPERLINK("https://image-ppubs.uspto.gov/dirsearch-public/print/downloadPdf/20220054665","USPTO PDF")</f>
        <v>0.0</v>
      </c>
      <c r="K855" s="2" t="n">
        <f>HYPERLINK("https://sectors.patentforecast.com/pmd/US20220054665","PMD")</f>
        <v>0.0</v>
      </c>
      <c r="L855" s="2" t="n">
        <f>HYPERLINK("https://globaldossier.uspto.gov/result/application/US/17375766/1","US20220054665")</f>
        <v>0.0</v>
      </c>
      <c r="M855" t="s">
        <v>5957</v>
      </c>
      <c r="N855" t="s">
        <v>5874</v>
      </c>
      <c r="O855" t="s">
        <v>5875</v>
      </c>
      <c r="P855" t="s">
        <v>5958</v>
      </c>
      <c r="Q855" s="3" t="n">
        <v>44391.0</v>
      </c>
      <c r="R855" s="3" t="n">
        <v>44616.0</v>
      </c>
      <c r="S855" s="3" t="n">
        <v>44617.188593136576</v>
      </c>
      <c r="T855" s="3" t="n">
        <v>44698.51210402778</v>
      </c>
      <c r="U855" t="s">
        <v>5959</v>
      </c>
      <c r="V855" t="s">
        <v>5960</v>
      </c>
    </row>
    <row r="856">
      <c r="A856" t="s">
        <v>22</v>
      </c>
      <c r="B856" t="s">
        <v>5961</v>
      </c>
      <c r="C856" t="s">
        <v>132</v>
      </c>
      <c r="D856" t="s">
        <v>133</v>
      </c>
      <c r="E856" t="s">
        <v>5962</v>
      </c>
      <c r="F856" s="2" t="n">
        <f>HYPERLINK("https://patents.google.com/patent/US20220054629","Google")</f>
        <v>0.0</v>
      </c>
      <c r="G856" s="2" t="n">
        <f>HYPERLINK("https://patentcenter.uspto.gov/applications/17230383","Patent Center")</f>
        <v>0.0</v>
      </c>
      <c r="H856" s="2" t="n">
        <f>HYPERLINK("https://worldwide.espacenet.com/patent/search?q=US20220054629","Espacenet")</f>
        <v>0.0</v>
      </c>
      <c r="I856" s="2" t="n">
        <f>HYPERLINK("https://ppubs.uspto.gov/pubwebapp/external.html?q=20220054629.pn.","USPTO")</f>
        <v>0.0</v>
      </c>
      <c r="J856" s="2" t="n">
        <f>HYPERLINK("https://image-ppubs.uspto.gov/dirsearch-public/print/downloadPdf/20220054629","USPTO PDF")</f>
        <v>0.0</v>
      </c>
      <c r="K856" s="2" t="n">
        <f>HYPERLINK("https://sectors.patentforecast.com/pmd/US20220054629","PMD")</f>
        <v>0.0</v>
      </c>
      <c r="L856" s="2" t="n">
        <f>HYPERLINK("https://globaldossier.uspto.gov/result/application/US/17230383/1","US20220054629")</f>
        <v>0.0</v>
      </c>
      <c r="M856" t="s">
        <v>5963</v>
      </c>
      <c r="N856" t="s">
        <v>5964</v>
      </c>
      <c r="O856" t="s">
        <v>5964</v>
      </c>
      <c r="P856" t="s">
        <v>5965</v>
      </c>
      <c r="Q856" s="3" t="n">
        <v>44300.0</v>
      </c>
      <c r="R856" s="3" t="n">
        <v>44616.0</v>
      </c>
      <c r="S856" s="3" t="n">
        <v>44643.23275070602</v>
      </c>
      <c r="T856" s="3" t="n">
        <v>44658.63341512731</v>
      </c>
      <c r="U856" t="s">
        <v>5966</v>
      </c>
      <c r="V856" t="s">
        <v>5967</v>
      </c>
    </row>
    <row r="857">
      <c r="A857" t="s">
        <v>22</v>
      </c>
      <c r="B857" t="s">
        <v>5968</v>
      </c>
      <c r="C857" t="s">
        <v>132</v>
      </c>
      <c r="D857" t="s">
        <v>142</v>
      </c>
      <c r="E857" t="s">
        <v>5969</v>
      </c>
      <c r="F857" s="2" t="n">
        <f>HYPERLINK("https://patents.google.com/patent/US20220054628","Google")</f>
        <v>0.0</v>
      </c>
      <c r="G857" s="2" t="n">
        <f>HYPERLINK("https://patentcenter.uspto.gov/applications/16997313","Patent Center")</f>
        <v>0.0</v>
      </c>
      <c r="H857" s="2" t="n">
        <f>HYPERLINK("https://worldwide.espacenet.com/patent/search?q=US20220054628","Espacenet")</f>
        <v>0.0</v>
      </c>
      <c r="I857" s="2" t="n">
        <f>HYPERLINK("https://ppubs.uspto.gov/pubwebapp/external.html?q=20220054628.pn.","USPTO")</f>
        <v>0.0</v>
      </c>
      <c r="J857" s="2" t="n">
        <f>HYPERLINK("https://image-ppubs.uspto.gov/dirsearch-public/print/downloadPdf/20220054628","USPTO PDF")</f>
        <v>0.0</v>
      </c>
      <c r="K857" s="2" t="n">
        <f>HYPERLINK("https://sectors.patentforecast.com/pmd/US20220054628","PMD")</f>
        <v>0.0</v>
      </c>
      <c r="L857" s="2" t="n">
        <f>HYPERLINK("https://globaldossier.uspto.gov/result/application/US/16997313/1","US20220054628")</f>
        <v>0.0</v>
      </c>
      <c r="M857" t="s">
        <v>5970</v>
      </c>
      <c r="N857" t="s">
        <v>5964</v>
      </c>
      <c r="O857" t="s">
        <v>5964</v>
      </c>
      <c r="P857" t="s">
        <v>5971</v>
      </c>
      <c r="Q857" s="3" t="n">
        <v>44062.0</v>
      </c>
      <c r="R857" s="3" t="n">
        <v>44616.0</v>
      </c>
      <c r="S857" s="3" t="n">
        <v>44643.23275070602</v>
      </c>
      <c r="T857" s="3" t="n">
        <v>44658.63216862269</v>
      </c>
      <c r="U857" t="s">
        <v>31</v>
      </c>
      <c r="V857" t="s">
        <v>5972</v>
      </c>
    </row>
    <row r="858">
      <c r="A858" t="s">
        <v>22</v>
      </c>
      <c r="B858" t="s">
        <v>5973</v>
      </c>
      <c r="C858" t="s">
        <v>60</v>
      </c>
      <c r="D858" t="s">
        <v>61</v>
      </c>
      <c r="E858" t="s">
        <v>5974</v>
      </c>
      <c r="F858" s="2" t="n">
        <f>HYPERLINK("https://patents.google.com/patent/US20220054601","Google")</f>
        <v>0.0</v>
      </c>
      <c r="G858" s="2" t="n">
        <f>HYPERLINK("https://patentcenter.uspto.gov/applications/17342897","Patent Center")</f>
        <v>0.0</v>
      </c>
      <c r="H858" s="2" t="n">
        <f>HYPERLINK("https://worldwide.espacenet.com/patent/search?q=US20220054601","Espacenet")</f>
        <v>0.0</v>
      </c>
      <c r="I858" s="2" t="n">
        <f>HYPERLINK("https://ppubs.uspto.gov/pubwebapp/external.html?q=20220054601.pn.","USPTO")</f>
        <v>0.0</v>
      </c>
      <c r="J858" s="2" t="n">
        <f>HYPERLINK("https://image-ppubs.uspto.gov/dirsearch-public/print/downloadPdf/20220054601","USPTO PDF")</f>
        <v>0.0</v>
      </c>
      <c r="K858" s="2" t="n">
        <f>HYPERLINK("https://sectors.patentforecast.com/pmd/US20220054601","PMD")</f>
        <v>0.0</v>
      </c>
      <c r="L858" s="2" t="n">
        <f>HYPERLINK("https://globaldossier.uspto.gov/result/application/US/17342897/1","US20220054601")</f>
        <v>0.0</v>
      </c>
      <c r="M858" t="s">
        <v>5975</v>
      </c>
      <c r="N858" t="s">
        <v>5976</v>
      </c>
      <c r="O858" t="s">
        <v>5977</v>
      </c>
      <c r="P858" t="s">
        <v>5978</v>
      </c>
      <c r="Q858" s="3" t="n">
        <v>44356.0</v>
      </c>
      <c r="R858" s="3" t="n">
        <v>44616.0</v>
      </c>
      <c r="S858" s="3" t="n">
        <v>44617.188593136576</v>
      </c>
      <c r="T858" s="3" t="n">
        <v>44638.70737092593</v>
      </c>
      <c r="U858" t="s">
        <v>31</v>
      </c>
      <c r="V858" t="s">
        <v>5979</v>
      </c>
    </row>
    <row r="859">
      <c r="A859" t="s">
        <v>22</v>
      </c>
      <c r="B859" t="s">
        <v>5980</v>
      </c>
      <c r="C859" t="s">
        <v>60</v>
      </c>
      <c r="D859" t="s">
        <v>61</v>
      </c>
      <c r="E859" t="s">
        <v>5981</v>
      </c>
      <c r="F859" s="2" t="n">
        <f>HYPERLINK("https://patents.google.com/patent/US20220054592","Google")</f>
        <v>0.0</v>
      </c>
      <c r="G859" s="2" t="n">
        <f>HYPERLINK("https://patentcenter.uspto.gov/applications/17389571","Patent Center")</f>
        <v>0.0</v>
      </c>
      <c r="H859" s="2" t="n">
        <f>HYPERLINK("https://worldwide.espacenet.com/patent/search?q=US20220054592","Espacenet")</f>
        <v>0.0</v>
      </c>
      <c r="I859" s="2" t="n">
        <f>HYPERLINK("https://ppubs.uspto.gov/pubwebapp/external.html?q=20220054592.pn.","USPTO")</f>
        <v>0.0</v>
      </c>
      <c r="J859" s="2" t="n">
        <f>HYPERLINK("https://image-ppubs.uspto.gov/dirsearch-public/print/downloadPdf/20220054592","USPTO PDF")</f>
        <v>0.0</v>
      </c>
      <c r="K859" s="2" t="n">
        <f>HYPERLINK("https://sectors.patentforecast.com/pmd/US20220054592","PMD")</f>
        <v>0.0</v>
      </c>
      <c r="L859" s="2" t="n">
        <f>HYPERLINK("https://globaldossier.uspto.gov/result/application/US/17389571/1","US20220054592")</f>
        <v>0.0</v>
      </c>
      <c r="M859" t="s">
        <v>5982</v>
      </c>
      <c r="N859" t="s">
        <v>5983</v>
      </c>
      <c r="O859" t="s">
        <v>5984</v>
      </c>
      <c r="P859" t="s">
        <v>5985</v>
      </c>
      <c r="Q859" s="3" t="n">
        <v>44407.0</v>
      </c>
      <c r="R859" s="3" t="n">
        <v>44616.0</v>
      </c>
      <c r="S859" s="3" t="n">
        <v>44617.188593136576</v>
      </c>
      <c r="T859" s="3" t="n">
        <v>44678.54487168982</v>
      </c>
      <c r="U859" t="s">
        <v>31</v>
      </c>
      <c r="V859" t="s">
        <v>5986</v>
      </c>
    </row>
    <row r="860">
      <c r="A860" t="s">
        <v>22</v>
      </c>
      <c r="B860" t="s">
        <v>5987</v>
      </c>
      <c r="C860" t="s">
        <v>60</v>
      </c>
      <c r="D860" t="s">
        <v>61</v>
      </c>
      <c r="E860" t="s">
        <v>5988</v>
      </c>
      <c r="F860" s="2" t="n">
        <f>HYPERLINK("https://patents.google.com/patent/US20220054575","Google")</f>
        <v>0.0</v>
      </c>
      <c r="G860" s="2" t="n">
        <f>HYPERLINK("https://patentcenter.uspto.gov/applications/17405720","Patent Center")</f>
        <v>0.0</v>
      </c>
      <c r="H860" s="2" t="n">
        <f>HYPERLINK("https://worldwide.espacenet.com/patent/search?q=US20220054575","Espacenet")</f>
        <v>0.0</v>
      </c>
      <c r="I860" s="2" t="n">
        <f>HYPERLINK("https://ppubs.uspto.gov/pubwebapp/external.html?q=20220054575.pn.","USPTO")</f>
        <v>0.0</v>
      </c>
      <c r="J860" s="2" t="n">
        <f>HYPERLINK("https://image-ppubs.uspto.gov/dirsearch-public/print/downloadPdf/20220054575","USPTO PDF")</f>
        <v>0.0</v>
      </c>
      <c r="K860" s="2" t="n">
        <f>HYPERLINK("https://sectors.patentforecast.com/pmd/US20220054575","PMD")</f>
        <v>0.0</v>
      </c>
      <c r="L860" s="2" t="n">
        <f>HYPERLINK("https://globaldossier.uspto.gov/result/application/US/17405720/1","US20220054575")</f>
        <v>0.0</v>
      </c>
      <c r="M860" t="s">
        <v>5989</v>
      </c>
      <c r="N860" t="s">
        <v>5990</v>
      </c>
      <c r="O860" t="s">
        <v>5991</v>
      </c>
      <c r="P860" t="s">
        <v>5992</v>
      </c>
      <c r="Q860" s="3" t="n">
        <v>44426.0</v>
      </c>
      <c r="R860" s="3" t="n">
        <v>44616.0</v>
      </c>
      <c r="S860" s="3" t="n">
        <v>44617.188593136576</v>
      </c>
      <c r="T860" s="3" t="n">
        <v>44638.691981655094</v>
      </c>
      <c r="U860" t="s">
        <v>31</v>
      </c>
      <c r="V860" t="s">
        <v>5993</v>
      </c>
    </row>
    <row r="861">
      <c r="A861" t="s">
        <v>22</v>
      </c>
      <c r="B861" t="s">
        <v>5994</v>
      </c>
      <c r="C861" t="s">
        <v>60</v>
      </c>
      <c r="D861" t="s">
        <v>61</v>
      </c>
      <c r="E861" t="s">
        <v>5995</v>
      </c>
      <c r="F861" s="2" t="n">
        <f>HYPERLINK("https://patents.google.com/patent/US20220054574","Google")</f>
        <v>0.0</v>
      </c>
      <c r="G861" s="2" t="n">
        <f>HYPERLINK("https://patentcenter.uspto.gov/applications/17409288","Patent Center")</f>
        <v>0.0</v>
      </c>
      <c r="H861" s="2" t="n">
        <f>HYPERLINK("https://worldwide.espacenet.com/patent/search?q=US20220054574","Espacenet")</f>
        <v>0.0</v>
      </c>
      <c r="I861" s="2" t="n">
        <f>HYPERLINK("https://ppubs.uspto.gov/pubwebapp/external.html?q=20220054574.pn.","USPTO")</f>
        <v>0.0</v>
      </c>
      <c r="J861" s="2" t="n">
        <f>HYPERLINK("https://image-ppubs.uspto.gov/dirsearch-public/print/downloadPdf/20220054574","USPTO PDF")</f>
        <v>0.0</v>
      </c>
      <c r="K861" s="2" t="n">
        <f>HYPERLINK("https://sectors.patentforecast.com/pmd/US20220054574","PMD")</f>
        <v>0.0</v>
      </c>
      <c r="L861" s="2" t="n">
        <f>HYPERLINK("https://globaldossier.uspto.gov/result/application/US/17409288/1","US20220054574")</f>
        <v>0.0</v>
      </c>
      <c r="M861" t="s">
        <v>5996</v>
      </c>
      <c r="N861" t="s">
        <v>5997</v>
      </c>
      <c r="O861" t="s">
        <v>5998</v>
      </c>
      <c r="P861" t="s">
        <v>5999</v>
      </c>
      <c r="Q861" s="3" t="n">
        <v>44431.0</v>
      </c>
      <c r="R861" s="3" t="n">
        <v>44616.0</v>
      </c>
      <c r="S861" s="3" t="n">
        <v>44617.188593136576</v>
      </c>
      <c r="T861" s="3" t="n">
        <v>44678.542200972224</v>
      </c>
      <c r="U861" t="s">
        <v>31</v>
      </c>
      <c r="V861" t="s">
        <v>6000</v>
      </c>
    </row>
    <row r="862">
      <c r="A862" t="s">
        <v>22</v>
      </c>
      <c r="B862" t="s">
        <v>6001</v>
      </c>
      <c r="C862" t="s">
        <v>60</v>
      </c>
      <c r="D862" t="s">
        <v>61</v>
      </c>
      <c r="E862" t="s">
        <v>5995</v>
      </c>
      <c r="F862" s="2" t="n">
        <f>HYPERLINK("https://patents.google.com/patent/US20220054572","Google")</f>
        <v>0.0</v>
      </c>
      <c r="G862" s="2" t="n">
        <f>HYPERLINK("https://patentcenter.uspto.gov/applications/17409301","Patent Center")</f>
        <v>0.0</v>
      </c>
      <c r="H862" s="2" t="n">
        <f>HYPERLINK("https://worldwide.espacenet.com/patent/search?q=US20220054572","Espacenet")</f>
        <v>0.0</v>
      </c>
      <c r="I862" s="2" t="n">
        <f>HYPERLINK("https://ppubs.uspto.gov/pubwebapp/external.html?q=20220054572.pn.","USPTO")</f>
        <v>0.0</v>
      </c>
      <c r="J862" s="2" t="n">
        <f>HYPERLINK("https://image-ppubs.uspto.gov/dirsearch-public/print/downloadPdf/20220054572","USPTO PDF")</f>
        <v>0.0</v>
      </c>
      <c r="K862" s="2" t="n">
        <f>HYPERLINK("https://sectors.patentforecast.com/pmd/US20220054572","PMD")</f>
        <v>0.0</v>
      </c>
      <c r="L862" s="2" t="n">
        <f>HYPERLINK("https://globaldossier.uspto.gov/result/application/US/17409301/1","US20220054572")</f>
        <v>0.0</v>
      </c>
      <c r="M862" t="s">
        <v>6002</v>
      </c>
      <c r="N862" t="s">
        <v>5997</v>
      </c>
      <c r="O862" t="s">
        <v>5998</v>
      </c>
      <c r="P862" t="s">
        <v>5999</v>
      </c>
      <c r="Q862" s="3" t="n">
        <v>44431.0</v>
      </c>
      <c r="R862" s="3" t="n">
        <v>44616.0</v>
      </c>
      <c r="S862" s="3" t="n">
        <v>44617.188593136576</v>
      </c>
      <c r="T862" s="3" t="n">
        <v>44678.542209328705</v>
      </c>
      <c r="U862" t="s">
        <v>6003</v>
      </c>
      <c r="V862" t="s">
        <v>6000</v>
      </c>
    </row>
    <row r="863">
      <c r="A863" t="s">
        <v>22</v>
      </c>
      <c r="B863" t="s">
        <v>6004</v>
      </c>
      <c r="C863" t="s">
        <v>60</v>
      </c>
      <c r="D863" t="s">
        <v>61</v>
      </c>
      <c r="E863" t="s">
        <v>6005</v>
      </c>
      <c r="F863" s="2" t="n">
        <f>HYPERLINK("https://patents.google.com/patent/US20220054566","Google")</f>
        <v>0.0</v>
      </c>
      <c r="G863" s="2" t="n">
        <f>HYPERLINK("https://patentcenter.uspto.gov/applications/17091234","Patent Center")</f>
        <v>0.0</v>
      </c>
      <c r="H863" s="2" t="n">
        <f>HYPERLINK("https://worldwide.espacenet.com/patent/search?q=US20220054566","Espacenet")</f>
        <v>0.0</v>
      </c>
      <c r="I863" s="2" t="n">
        <f>HYPERLINK("https://ppubs.uspto.gov/pubwebapp/external.html?q=20220054566.pn.","USPTO")</f>
        <v>0.0</v>
      </c>
      <c r="J863" s="2" t="n">
        <f>HYPERLINK("https://image-ppubs.uspto.gov/dirsearch-public/print/downloadPdf/20220054566","USPTO PDF")</f>
        <v>0.0</v>
      </c>
      <c r="K863" s="2" t="n">
        <f>HYPERLINK("https://sectors.patentforecast.com/pmd/US20220054566","PMD")</f>
        <v>0.0</v>
      </c>
      <c r="L863" s="2" t="n">
        <f>HYPERLINK("https://globaldossier.uspto.gov/result/application/US/17091234/1","US20220054566")</f>
        <v>0.0</v>
      </c>
      <c r="M863" t="s">
        <v>6006</v>
      </c>
      <c r="N863" t="s">
        <v>6007</v>
      </c>
      <c r="O863" t="s">
        <v>6008</v>
      </c>
      <c r="P863" t="s">
        <v>6009</v>
      </c>
      <c r="Q863" s="3" t="n">
        <v>44141.0</v>
      </c>
      <c r="R863" s="3" t="n">
        <v>44616.0</v>
      </c>
      <c r="S863" s="3" t="n">
        <v>44617.188593136576</v>
      </c>
      <c r="T863" s="3" t="n">
        <v>44638.69413899306</v>
      </c>
      <c r="U863" t="s">
        <v>31</v>
      </c>
      <c r="V863" t="s">
        <v>6010</v>
      </c>
    </row>
    <row r="864">
      <c r="A864" t="s">
        <v>22</v>
      </c>
      <c r="B864" t="s">
        <v>6011</v>
      </c>
      <c r="C864" t="s">
        <v>60</v>
      </c>
      <c r="D864" t="s">
        <v>2262</v>
      </c>
      <c r="E864" t="s">
        <v>6012</v>
      </c>
      <c r="F864" s="2" t="n">
        <f>HYPERLINK("https://patents.google.com/patent/US20220054521","Google")</f>
        <v>0.0</v>
      </c>
      <c r="G864" s="2" t="n">
        <f>HYPERLINK("https://patentcenter.uspto.gov/applications/17473594","Patent Center")</f>
        <v>0.0</v>
      </c>
      <c r="H864" s="2" t="n">
        <f>HYPERLINK("https://worldwide.espacenet.com/patent/search?q=US20220054521","Espacenet")</f>
        <v>0.0</v>
      </c>
      <c r="I864" s="2" t="n">
        <f>HYPERLINK("https://ppubs.uspto.gov/pubwebapp/external.html?q=20220054521.pn.","USPTO")</f>
        <v>0.0</v>
      </c>
      <c r="J864" s="2" t="n">
        <f>HYPERLINK("https://image-ppubs.uspto.gov/dirsearch-public/print/downloadPdf/20220054521","USPTO PDF")</f>
        <v>0.0</v>
      </c>
      <c r="K864" s="2" t="n">
        <f>HYPERLINK("https://sectors.patentforecast.com/pmd/US20220054521","PMD")</f>
        <v>0.0</v>
      </c>
      <c r="L864" s="2" t="n">
        <f>HYPERLINK("https://globaldossier.uspto.gov/result/application/US/17473594/1","US20220054521")</f>
        <v>0.0</v>
      </c>
      <c r="M864" t="s">
        <v>6013</v>
      </c>
      <c r="N864" t="s">
        <v>6014</v>
      </c>
      <c r="O864" t="s">
        <v>6015</v>
      </c>
      <c r="P864" t="s">
        <v>6016</v>
      </c>
      <c r="Q864" s="3" t="n">
        <v>44452.0</v>
      </c>
      <c r="R864" s="3" t="n">
        <v>44616.0</v>
      </c>
      <c r="S864" s="3" t="n">
        <v>44617.18778108796</v>
      </c>
      <c r="T864" s="3" t="n">
        <v>44698.629000740744</v>
      </c>
      <c r="U864" t="s">
        <v>6017</v>
      </c>
      <c r="V864" t="s">
        <v>6018</v>
      </c>
    </row>
    <row r="865">
      <c r="A865" t="s">
        <v>22</v>
      </c>
      <c r="B865" t="s">
        <v>6019</v>
      </c>
      <c r="C865" t="s">
        <v>60</v>
      </c>
      <c r="D865" t="s">
        <v>61</v>
      </c>
      <c r="E865" t="s">
        <v>6020</v>
      </c>
      <c r="F865" s="2" t="n">
        <f>HYPERLINK("https://patents.google.com/patent/US20220054516","Google")</f>
        <v>0.0</v>
      </c>
      <c r="G865" s="2" t="n">
        <f>HYPERLINK("https://patentcenter.uspto.gov/applications/17377829","Patent Center")</f>
        <v>0.0</v>
      </c>
      <c r="H865" s="2" t="n">
        <f>HYPERLINK("https://worldwide.espacenet.com/patent/search?q=US20220054516","Espacenet")</f>
        <v>0.0</v>
      </c>
      <c r="I865" s="2" t="n">
        <f>HYPERLINK("https://ppubs.uspto.gov/pubwebapp/external.html?q=20220054516.pn.","USPTO")</f>
        <v>0.0</v>
      </c>
      <c r="J865" s="2" t="n">
        <f>HYPERLINK("https://image-ppubs.uspto.gov/dirsearch-public/print/downloadPdf/20220054516","USPTO PDF")</f>
        <v>0.0</v>
      </c>
      <c r="K865" s="2" t="n">
        <f>HYPERLINK("https://sectors.patentforecast.com/pmd/US20220054516","PMD")</f>
        <v>0.0</v>
      </c>
      <c r="L865" s="2" t="n">
        <f>HYPERLINK("https://globaldossier.uspto.gov/result/application/US/17377829/1","US20220054516")</f>
        <v>0.0</v>
      </c>
      <c r="M865" t="s">
        <v>6021</v>
      </c>
      <c r="N865" t="s">
        <v>6022</v>
      </c>
      <c r="O865" t="s">
        <v>6023</v>
      </c>
      <c r="P865" t="s">
        <v>6024</v>
      </c>
      <c r="Q865" s="3" t="n">
        <v>44393.0</v>
      </c>
      <c r="R865" s="3" t="n">
        <v>44616.0</v>
      </c>
      <c r="S865" s="3" t="n">
        <v>44617.188593136576</v>
      </c>
      <c r="T865" s="3" t="n">
        <v>44638.69112454861</v>
      </c>
      <c r="U865" t="s">
        <v>6025</v>
      </c>
      <c r="V865" t="s">
        <v>6026</v>
      </c>
    </row>
    <row r="866">
      <c r="A866" t="s">
        <v>22</v>
      </c>
      <c r="B866" t="s">
        <v>6027</v>
      </c>
      <c r="C866" t="s">
        <v>60</v>
      </c>
      <c r="D866" t="s">
        <v>4942</v>
      </c>
      <c r="E866" t="s">
        <v>6028</v>
      </c>
      <c r="F866" s="2" t="n">
        <f>HYPERLINK("https://patents.google.com/patent/US20220054510","Google")</f>
        <v>0.0</v>
      </c>
      <c r="G866" s="2" t="n">
        <f>HYPERLINK("https://patentcenter.uspto.gov/applications/17404254","Patent Center")</f>
        <v>0.0</v>
      </c>
      <c r="H866" s="2" t="n">
        <f>HYPERLINK("https://worldwide.espacenet.com/patent/search?q=US20220054510","Espacenet")</f>
        <v>0.0</v>
      </c>
      <c r="I866" s="2" t="n">
        <f>HYPERLINK("https://ppubs.uspto.gov/pubwebapp/external.html?q=20220054510.pn.","USPTO")</f>
        <v>0.0</v>
      </c>
      <c r="J866" s="2" t="n">
        <f>HYPERLINK("https://image-ppubs.uspto.gov/dirsearch-public/print/downloadPdf/20220054510","USPTO PDF")</f>
        <v>0.0</v>
      </c>
      <c r="K866" s="2" t="n">
        <f>HYPERLINK("https://sectors.patentforecast.com/pmd/US20220054510","PMD")</f>
        <v>0.0</v>
      </c>
      <c r="L866" s="2" t="n">
        <f>HYPERLINK("https://globaldossier.uspto.gov/result/application/US/17404254/1","US20220054510")</f>
        <v>0.0</v>
      </c>
      <c r="M866" t="s">
        <v>6029</v>
      </c>
      <c r="N866" t="s">
        <v>6030</v>
      </c>
      <c r="O866" t="s">
        <v>6031</v>
      </c>
      <c r="P866" t="s">
        <v>6032</v>
      </c>
      <c r="Q866" s="3" t="n">
        <v>44425.0</v>
      </c>
      <c r="R866" s="3" t="n">
        <v>44616.0</v>
      </c>
      <c r="S866" s="3" t="n">
        <v>44617.188593136576</v>
      </c>
      <c r="T866" s="3" t="n">
        <v>44678.48340928241</v>
      </c>
      <c r="U866" t="s">
        <v>6033</v>
      </c>
      <c r="V866" t="s">
        <v>6034</v>
      </c>
    </row>
    <row r="867">
      <c r="A867" t="s">
        <v>22</v>
      </c>
      <c r="B867" t="s">
        <v>6035</v>
      </c>
      <c r="C867" t="s">
        <v>60</v>
      </c>
      <c r="D867" t="s">
        <v>61</v>
      </c>
      <c r="E867" t="s">
        <v>6036</v>
      </c>
      <c r="F867" s="2" t="n">
        <f>HYPERLINK("https://patents.google.com/patent/US20220054509","Google")</f>
        <v>0.0</v>
      </c>
      <c r="G867" s="2" t="n">
        <f>HYPERLINK("https://patentcenter.uspto.gov/applications/17516449","Patent Center")</f>
        <v>0.0</v>
      </c>
      <c r="H867" s="2" t="n">
        <f>HYPERLINK("https://worldwide.espacenet.com/patent/search?q=US20220054509","Espacenet")</f>
        <v>0.0</v>
      </c>
      <c r="I867" s="2" t="n">
        <f>HYPERLINK("https://ppubs.uspto.gov/pubwebapp/external.html?q=20220054509.pn.","USPTO")</f>
        <v>0.0</v>
      </c>
      <c r="J867" s="2" t="n">
        <f>HYPERLINK("https://image-ppubs.uspto.gov/dirsearch-public/print/downloadPdf/20220054509","USPTO PDF")</f>
        <v>0.0</v>
      </c>
      <c r="K867" s="2" t="n">
        <f>HYPERLINK("https://sectors.patentforecast.com/pmd/US20220054509","PMD")</f>
        <v>0.0</v>
      </c>
      <c r="L867" s="2" t="n">
        <f>HYPERLINK("https://globaldossier.uspto.gov/result/application/US/17516449/1","US20220054509")</f>
        <v>0.0</v>
      </c>
      <c r="M867" t="s">
        <v>6037</v>
      </c>
      <c r="N867" t="s">
        <v>6038</v>
      </c>
      <c r="O867" t="s">
        <v>6039</v>
      </c>
      <c r="P867" t="s">
        <v>6040</v>
      </c>
      <c r="Q867" s="3" t="n">
        <v>44501.0</v>
      </c>
      <c r="R867" s="3" t="n">
        <v>44616.0</v>
      </c>
      <c r="S867" s="3" t="n">
        <v>44617.188593136576</v>
      </c>
      <c r="T867" s="3" t="n">
        <v>44698.62947487269</v>
      </c>
      <c r="U867" t="s">
        <v>31</v>
      </c>
      <c r="V867" t="s">
        <v>6041</v>
      </c>
    </row>
    <row r="868">
      <c r="A868" t="s">
        <v>22</v>
      </c>
      <c r="B868" t="s">
        <v>6042</v>
      </c>
      <c r="C868" t="s">
        <v>60</v>
      </c>
      <c r="D868" t="s">
        <v>2262</v>
      </c>
      <c r="E868" t="s">
        <v>6043</v>
      </c>
      <c r="F868" s="2" t="n">
        <f>HYPERLINK("https://patents.google.com/patent/US20220054495","Google")</f>
        <v>0.0</v>
      </c>
      <c r="G868" s="2" t="n">
        <f>HYPERLINK("https://patentcenter.uspto.gov/applications/17234744","Patent Center")</f>
        <v>0.0</v>
      </c>
      <c r="H868" s="2" t="n">
        <f>HYPERLINK("https://worldwide.espacenet.com/patent/search?q=US20220054495","Espacenet")</f>
        <v>0.0</v>
      </c>
      <c r="I868" s="2" t="n">
        <f>HYPERLINK("https://ppubs.uspto.gov/pubwebapp/external.html?q=20220054495.pn.","USPTO")</f>
        <v>0.0</v>
      </c>
      <c r="J868" s="2" t="n">
        <f>HYPERLINK("https://image-ppubs.uspto.gov/dirsearch-public/print/downloadPdf/20220054495","USPTO PDF")</f>
        <v>0.0</v>
      </c>
      <c r="K868" s="2" t="n">
        <f>HYPERLINK("https://sectors.patentforecast.com/pmd/US20220054495","PMD")</f>
        <v>0.0</v>
      </c>
      <c r="L868" s="2" t="n">
        <f>HYPERLINK("https://globaldossier.uspto.gov/result/application/US/17234744/1","US20220054495")</f>
        <v>0.0</v>
      </c>
      <c r="M868" t="s">
        <v>6044</v>
      </c>
      <c r="N868" t="s">
        <v>6045</v>
      </c>
      <c r="O868" t="s">
        <v>6046</v>
      </c>
      <c r="P868" t="s">
        <v>6047</v>
      </c>
      <c r="Q868" s="3" t="n">
        <v>44305.0</v>
      </c>
      <c r="R868" s="3" t="n">
        <v>44616.0</v>
      </c>
      <c r="S868" s="3" t="n">
        <v>44617.188593136576</v>
      </c>
      <c r="T868" s="3" t="n">
        <v>44678.327570243055</v>
      </c>
      <c r="U868" t="s">
        <v>6048</v>
      </c>
      <c r="V868" t="s">
        <v>6049</v>
      </c>
    </row>
    <row r="869">
      <c r="A869" t="s">
        <v>22</v>
      </c>
      <c r="B869" t="s">
        <v>6050</v>
      </c>
      <c r="C869" t="s">
        <v>60</v>
      </c>
      <c r="D869" t="s">
        <v>61</v>
      </c>
      <c r="E869" t="s">
        <v>6051</v>
      </c>
      <c r="F869" s="2" t="n">
        <f>HYPERLINK("https://patents.google.com/patent/US20220054464","Google")</f>
        <v>0.0</v>
      </c>
      <c r="G869" s="2" t="n">
        <f>HYPERLINK("https://patentcenter.uspto.gov/applications/17233830","Patent Center")</f>
        <v>0.0</v>
      </c>
      <c r="H869" s="2" t="n">
        <f>HYPERLINK("https://worldwide.espacenet.com/patent/search?q=US20220054464","Espacenet")</f>
        <v>0.0</v>
      </c>
      <c r="I869" s="2" t="n">
        <f>HYPERLINK("https://ppubs.uspto.gov/pubwebapp/external.html?q=20220054464.pn.","USPTO")</f>
        <v>0.0</v>
      </c>
      <c r="J869" s="2" t="n">
        <f>HYPERLINK("https://image-ppubs.uspto.gov/dirsearch-public/print/downloadPdf/20220054464","USPTO PDF")</f>
        <v>0.0</v>
      </c>
      <c r="K869" s="2" t="n">
        <f>HYPERLINK("https://sectors.patentforecast.com/pmd/US20220054464","PMD")</f>
        <v>0.0</v>
      </c>
      <c r="L869" s="2" t="n">
        <f>HYPERLINK("https://globaldossier.uspto.gov/result/application/US/17233830/1","US20220054464")</f>
        <v>0.0</v>
      </c>
      <c r="M869" t="s">
        <v>6052</v>
      </c>
      <c r="N869" t="s">
        <v>3509</v>
      </c>
      <c r="O869" t="s">
        <v>3510</v>
      </c>
      <c r="P869" t="s">
        <v>3511</v>
      </c>
      <c r="Q869" s="3" t="n">
        <v>44305.0</v>
      </c>
      <c r="R869" s="3" t="n">
        <v>44616.0</v>
      </c>
      <c r="S869" s="3" t="n">
        <v>44617.188593136576</v>
      </c>
      <c r="T869" s="3" t="n">
        <v>44698.629520648145</v>
      </c>
      <c r="U869" t="s">
        <v>6053</v>
      </c>
      <c r="V869" t="s">
        <v>6054</v>
      </c>
    </row>
    <row r="870">
      <c r="A870" t="s">
        <v>22</v>
      </c>
      <c r="B870" t="s">
        <v>6055</v>
      </c>
      <c r="C870" t="s">
        <v>60</v>
      </c>
      <c r="D870" t="s">
        <v>61</v>
      </c>
      <c r="E870" t="s">
        <v>6056</v>
      </c>
      <c r="F870" s="2" t="n">
        <f>HYPERLINK("https://patents.google.com/patent/US20220054436","Google")</f>
        <v>0.0</v>
      </c>
      <c r="G870" s="2" t="n">
        <f>HYPERLINK("https://patentcenter.uspto.gov/applications/17453432","Patent Center")</f>
        <v>0.0</v>
      </c>
      <c r="H870" s="2" t="n">
        <f>HYPERLINK("https://worldwide.espacenet.com/patent/search?q=US20220054436","Espacenet")</f>
        <v>0.0</v>
      </c>
      <c r="I870" s="2" t="n">
        <f>HYPERLINK("https://ppubs.uspto.gov/pubwebapp/external.html?q=20220054436.pn.","USPTO")</f>
        <v>0.0</v>
      </c>
      <c r="J870" s="2" t="n">
        <f>HYPERLINK("https://image-ppubs.uspto.gov/dirsearch-public/print/downloadPdf/20220054436","USPTO PDF")</f>
        <v>0.0</v>
      </c>
      <c r="K870" s="2" t="n">
        <f>HYPERLINK("https://sectors.patentforecast.com/pmd/US20220054436","PMD")</f>
        <v>0.0</v>
      </c>
      <c r="L870" s="2" t="n">
        <f>HYPERLINK("https://globaldossier.uspto.gov/result/application/US/17453432/1","US20220054436")</f>
        <v>0.0</v>
      </c>
      <c r="M870" t="s">
        <v>6057</v>
      </c>
      <c r="N870" t="s">
        <v>6058</v>
      </c>
      <c r="O870" t="s">
        <v>6058</v>
      </c>
      <c r="P870" t="s">
        <v>6059</v>
      </c>
      <c r="Q870" s="3" t="n">
        <v>44503.0</v>
      </c>
      <c r="R870" s="3" t="n">
        <v>44616.0</v>
      </c>
      <c r="S870" s="3" t="n">
        <v>44617.18778108796</v>
      </c>
      <c r="T870" s="3" t="n">
        <v>44638.70739462963</v>
      </c>
      <c r="U870" t="s">
        <v>6060</v>
      </c>
      <c r="V870" t="s">
        <v>6061</v>
      </c>
    </row>
    <row r="871">
      <c r="A871" t="s">
        <v>22</v>
      </c>
      <c r="B871" t="s">
        <v>6062</v>
      </c>
      <c r="C871" t="s">
        <v>24</v>
      </c>
      <c r="D871" t="s">
        <v>25</v>
      </c>
      <c r="E871" t="s">
        <v>6063</v>
      </c>
      <c r="F871" s="2" t="n">
        <f>HYPERLINK("https://patents.google.com/patent/US20220054330","Google")</f>
        <v>0.0</v>
      </c>
      <c r="G871" s="2" t="n">
        <f>HYPERLINK("https://patentcenter.uspto.gov/applications/17445726","Patent Center")</f>
        <v>0.0</v>
      </c>
      <c r="H871" s="2" t="n">
        <f>HYPERLINK("https://worldwide.espacenet.com/patent/search?q=US20220054330","Espacenet")</f>
        <v>0.0</v>
      </c>
      <c r="I871" s="2" t="n">
        <f>HYPERLINK("https://ppubs.uspto.gov/pubwebapp/external.html?q=20220054330.pn.","USPTO")</f>
        <v>0.0</v>
      </c>
      <c r="J871" s="2" t="n">
        <f>HYPERLINK("https://image-ppubs.uspto.gov/dirsearch-public/print/downloadPdf/20220054330","USPTO PDF")</f>
        <v>0.0</v>
      </c>
      <c r="K871" s="2" t="n">
        <f>HYPERLINK("https://sectors.patentforecast.com/pmd/US20220054330","PMD")</f>
        <v>0.0</v>
      </c>
      <c r="L871" s="2" t="n">
        <f>HYPERLINK("https://globaldossier.uspto.gov/result/application/US/17445726/1","US20220054330")</f>
        <v>0.0</v>
      </c>
      <c r="M871" t="s">
        <v>6064</v>
      </c>
      <c r="N871" t="s">
        <v>6065</v>
      </c>
      <c r="O871" t="s">
        <v>6066</v>
      </c>
      <c r="P871" t="s">
        <v>6067</v>
      </c>
      <c r="Q871" s="3" t="n">
        <v>44431.0</v>
      </c>
      <c r="R871" s="3" t="n">
        <v>44616.0</v>
      </c>
      <c r="S871" s="3" t="n">
        <v>44643.24305162037</v>
      </c>
      <c r="T871" s="3" t="n">
        <v>44719.60194908565</v>
      </c>
      <c r="U871" t="s">
        <v>6068</v>
      </c>
      <c r="V871" t="s">
        <v>6069</v>
      </c>
    </row>
    <row r="872">
      <c r="A872" t="s">
        <v>22</v>
      </c>
      <c r="B872" t="s">
        <v>6070</v>
      </c>
      <c r="C872" t="s">
        <v>561</v>
      </c>
      <c r="D872" t="s">
        <v>497</v>
      </c>
      <c r="E872" t="s">
        <v>6071</v>
      </c>
      <c r="F872" s="2" t="n">
        <f>HYPERLINK("https://patents.google.com/patent/US20220054217","Google")</f>
        <v>0.0</v>
      </c>
      <c r="G872" s="2" t="n">
        <f>HYPERLINK("https://patentcenter.uspto.gov/applications/17517242","Patent Center")</f>
        <v>0.0</v>
      </c>
      <c r="H872" s="2" t="n">
        <f>HYPERLINK("https://worldwide.espacenet.com/patent/search?q=US20220054217","Espacenet")</f>
        <v>0.0</v>
      </c>
      <c r="I872" s="2" t="n">
        <f>HYPERLINK("https://ppubs.uspto.gov/pubwebapp/external.html?q=20220054217.pn.","USPTO")</f>
        <v>0.0</v>
      </c>
      <c r="J872" s="2" t="n">
        <f>HYPERLINK("https://image-ppubs.uspto.gov/dirsearch-public/print/downloadPdf/20220054217","USPTO PDF")</f>
        <v>0.0</v>
      </c>
      <c r="K872" s="2" t="n">
        <f>HYPERLINK("https://sectors.patentforecast.com/pmd/US20220054217","PMD")</f>
        <v>0.0</v>
      </c>
      <c r="L872" s="2" t="n">
        <f>HYPERLINK("https://globaldossier.uspto.gov/result/application/US/17517242/1","US20220054217")</f>
        <v>0.0</v>
      </c>
      <c r="M872" t="s">
        <v>6072</v>
      </c>
      <c r="N872" t="s">
        <v>6073</v>
      </c>
      <c r="O872" t="s">
        <v>6074</v>
      </c>
      <c r="P872" t="s">
        <v>6075</v>
      </c>
      <c r="Q872" s="3" t="n">
        <v>44502.0</v>
      </c>
      <c r="R872" s="3" t="n">
        <v>44616.0</v>
      </c>
      <c r="S872" s="3" t="n">
        <v>44617.188593136576</v>
      </c>
      <c r="T872" s="3" t="n">
        <v>44698.6296303125</v>
      </c>
      <c r="U872" t="s">
        <v>6076</v>
      </c>
      <c r="V872" t="s">
        <v>6077</v>
      </c>
    </row>
    <row r="873">
      <c r="A873" t="s">
        <v>22</v>
      </c>
      <c r="B873" t="s">
        <v>6078</v>
      </c>
      <c r="C873" t="s">
        <v>24</v>
      </c>
      <c r="D873" t="s">
        <v>1450</v>
      </c>
      <c r="E873" t="s">
        <v>6079</v>
      </c>
      <c r="F873" s="2" t="n">
        <f>HYPERLINK("https://patents.google.com/patent/US20220054092","Google")</f>
        <v>0.0</v>
      </c>
      <c r="G873" s="2" t="n">
        <f>HYPERLINK("https://patentcenter.uspto.gov/applications/17407099","Patent Center")</f>
        <v>0.0</v>
      </c>
      <c r="H873" s="2" t="n">
        <f>HYPERLINK("https://worldwide.espacenet.com/patent/search?q=US20220054092","Espacenet")</f>
        <v>0.0</v>
      </c>
      <c r="I873" s="2" t="n">
        <f>HYPERLINK("https://ppubs.uspto.gov/pubwebapp/external.html?q=20220054092.pn.","USPTO")</f>
        <v>0.0</v>
      </c>
      <c r="J873" s="2" t="n">
        <f>HYPERLINK("https://image-ppubs.uspto.gov/dirsearch-public/print/downloadPdf/20220054092","USPTO PDF")</f>
        <v>0.0</v>
      </c>
      <c r="K873" s="2" t="n">
        <f>HYPERLINK("https://sectors.patentforecast.com/pmd/US20220054092","PMD")</f>
        <v>0.0</v>
      </c>
      <c r="L873" s="2" t="n">
        <f>HYPERLINK("https://globaldossier.uspto.gov/result/application/US/17407099/1","US20220054092")</f>
        <v>0.0</v>
      </c>
      <c r="M873" t="s">
        <v>6080</v>
      </c>
      <c r="N873" t="s">
        <v>6081</v>
      </c>
      <c r="O873" t="s">
        <v>6082</v>
      </c>
      <c r="P873" t="s">
        <v>6083</v>
      </c>
      <c r="Q873" s="3" t="n">
        <v>44427.0</v>
      </c>
      <c r="R873" s="3" t="n">
        <v>44616.0</v>
      </c>
      <c r="S873" s="3" t="n">
        <v>44617.188593136576</v>
      </c>
      <c r="T873" s="3" t="n">
        <v>44698.63011607639</v>
      </c>
      <c r="U873" t="s">
        <v>31</v>
      </c>
      <c r="V873" t="s">
        <v>6084</v>
      </c>
    </row>
    <row r="874">
      <c r="A874" t="s">
        <v>22</v>
      </c>
      <c r="B874" t="s">
        <v>6085</v>
      </c>
      <c r="C874" t="s">
        <v>24</v>
      </c>
      <c r="D874" t="s">
        <v>34</v>
      </c>
      <c r="E874" t="s">
        <v>6086</v>
      </c>
      <c r="F874" s="2" t="n">
        <f>HYPERLINK("https://patents.google.com/patent/US20220054075","Google")</f>
        <v>0.0</v>
      </c>
      <c r="G874" s="2" t="n">
        <f>HYPERLINK("https://patentcenter.uspto.gov/applications/17443527","Patent Center")</f>
        <v>0.0</v>
      </c>
      <c r="H874" s="2" t="n">
        <f>HYPERLINK("https://worldwide.espacenet.com/patent/search?q=US20220054075","Espacenet")</f>
        <v>0.0</v>
      </c>
      <c r="I874" s="2" t="n">
        <f>HYPERLINK("https://ppubs.uspto.gov/pubwebapp/external.html?q=20220054075.pn.","USPTO")</f>
        <v>0.0</v>
      </c>
      <c r="J874" s="2" t="n">
        <f>HYPERLINK("https://image-ppubs.uspto.gov/dirsearch-public/print/downloadPdf/20220054075","USPTO PDF")</f>
        <v>0.0</v>
      </c>
      <c r="K874" s="2" t="n">
        <f>HYPERLINK("https://sectors.patentforecast.com/pmd/US20220054075","PMD")</f>
        <v>0.0</v>
      </c>
      <c r="L874" s="2" t="n">
        <f>HYPERLINK("https://globaldossier.uspto.gov/result/application/US/17443527/1","US20220054075")</f>
        <v>0.0</v>
      </c>
      <c r="M874" t="s">
        <v>6087</v>
      </c>
      <c r="N874" t="s">
        <v>6088</v>
      </c>
      <c r="O874" t="s">
        <v>6089</v>
      </c>
      <c r="P874" t="s">
        <v>6090</v>
      </c>
      <c r="Q874" s="3" t="n">
        <v>44404.0</v>
      </c>
      <c r="R874" s="3" t="n">
        <v>44616.0</v>
      </c>
      <c r="S874" s="3" t="n">
        <v>44617.188593136576</v>
      </c>
      <c r="T874" s="3" t="n">
        <v>44678.56641590278</v>
      </c>
      <c r="U874" t="s">
        <v>31</v>
      </c>
      <c r="V874" t="s">
        <v>6091</v>
      </c>
    </row>
    <row r="875">
      <c r="A875" t="s">
        <v>22</v>
      </c>
      <c r="B875" t="s">
        <v>6092</v>
      </c>
      <c r="C875" t="s">
        <v>24</v>
      </c>
      <c r="D875" t="s">
        <v>34</v>
      </c>
      <c r="E875" t="s">
        <v>6093</v>
      </c>
      <c r="F875" s="2" t="n">
        <f>HYPERLINK("https://patents.google.com/patent/US20220054074","Google")</f>
        <v>0.0</v>
      </c>
      <c r="G875" s="2" t="n">
        <f>HYPERLINK("https://patentcenter.uspto.gov/applications/17410949","Patent Center")</f>
        <v>0.0</v>
      </c>
      <c r="H875" s="2" t="n">
        <f>HYPERLINK("https://worldwide.espacenet.com/patent/search?q=US20220054074","Espacenet")</f>
        <v>0.0</v>
      </c>
      <c r="I875" s="2" t="n">
        <f>HYPERLINK("https://ppubs.uspto.gov/pubwebapp/external.html?q=20220054074.pn.","USPTO")</f>
        <v>0.0</v>
      </c>
      <c r="J875" s="2" t="n">
        <f>HYPERLINK("https://image-ppubs.uspto.gov/dirsearch-public/print/downloadPdf/20220054074","USPTO PDF")</f>
        <v>0.0</v>
      </c>
      <c r="K875" s="2" t="n">
        <f>HYPERLINK("https://sectors.patentforecast.com/pmd/US20220054074","PMD")</f>
        <v>0.0</v>
      </c>
      <c r="L875" s="2" t="n">
        <f>HYPERLINK("https://globaldossier.uspto.gov/result/application/US/17410949/1","US20220054074")</f>
        <v>0.0</v>
      </c>
      <c r="M875" t="s">
        <v>6094</v>
      </c>
      <c r="N875" t="s">
        <v>6095</v>
      </c>
      <c r="O875" t="s">
        <v>6096</v>
      </c>
      <c r="P875" t="s">
        <v>6097</v>
      </c>
      <c r="Q875" s="3" t="n">
        <v>44432.0</v>
      </c>
      <c r="R875" s="3" t="n">
        <v>44616.0</v>
      </c>
      <c r="S875" s="3" t="n">
        <v>44617.188593136576</v>
      </c>
      <c r="T875" s="3" t="n">
        <v>44678.55809209491</v>
      </c>
      <c r="U875" t="s">
        <v>6098</v>
      </c>
      <c r="V875" t="s">
        <v>6099</v>
      </c>
    </row>
    <row r="876">
      <c r="A876" t="s">
        <v>22</v>
      </c>
      <c r="B876" t="s">
        <v>6100</v>
      </c>
      <c r="C876" t="s">
        <v>24</v>
      </c>
      <c r="D876" t="s">
        <v>34</v>
      </c>
      <c r="E876" t="s">
        <v>6101</v>
      </c>
      <c r="F876" s="2" t="n">
        <f>HYPERLINK("https://patents.google.com/patent/US20220054040","Google")</f>
        <v>0.0</v>
      </c>
      <c r="G876" s="2" t="n">
        <f>HYPERLINK("https://patentcenter.uspto.gov/applications/17405220","Patent Center")</f>
        <v>0.0</v>
      </c>
      <c r="H876" s="2" t="n">
        <f>HYPERLINK("https://worldwide.espacenet.com/patent/search?q=US20220054040","Espacenet")</f>
        <v>0.0</v>
      </c>
      <c r="I876" s="2" t="n">
        <f>HYPERLINK("https://ppubs.uspto.gov/pubwebapp/external.html?q=20220054040.pn.","USPTO")</f>
        <v>0.0</v>
      </c>
      <c r="J876" s="2" t="n">
        <f>HYPERLINK("https://image-ppubs.uspto.gov/dirsearch-public/print/downloadPdf/20220054040","USPTO PDF")</f>
        <v>0.0</v>
      </c>
      <c r="K876" s="2" t="n">
        <f>HYPERLINK("https://sectors.patentforecast.com/pmd/US20220054040","PMD")</f>
        <v>0.0</v>
      </c>
      <c r="L876" s="2" t="n">
        <f>HYPERLINK("https://globaldossier.uspto.gov/result/application/US/17405220/1","US20220054040")</f>
        <v>0.0</v>
      </c>
      <c r="M876" t="s">
        <v>6102</v>
      </c>
      <c r="N876" t="s">
        <v>2725</v>
      </c>
      <c r="O876" t="s">
        <v>2726</v>
      </c>
      <c r="P876" t="s">
        <v>6103</v>
      </c>
      <c r="Q876" s="3" t="n">
        <v>44426.0</v>
      </c>
      <c r="R876" s="3" t="n">
        <v>44616.0</v>
      </c>
      <c r="S876" s="3" t="n">
        <v>44617.188593136576</v>
      </c>
      <c r="T876" s="3" t="n">
        <v>44698.63022471065</v>
      </c>
      <c r="U876" t="s">
        <v>6104</v>
      </c>
      <c r="V876" t="s">
        <v>6105</v>
      </c>
    </row>
    <row r="877">
      <c r="A877" t="s">
        <v>22</v>
      </c>
      <c r="B877" t="s">
        <v>6106</v>
      </c>
      <c r="C877" t="s">
        <v>60</v>
      </c>
      <c r="D877" t="s">
        <v>845</v>
      </c>
      <c r="E877" t="s">
        <v>6107</v>
      </c>
      <c r="F877" s="2" t="n">
        <f>HYPERLINK("https://patents.google.com/patent/US20220054008","Google")</f>
        <v>0.0</v>
      </c>
      <c r="G877" s="2" t="n">
        <f>HYPERLINK("https://patentcenter.uspto.gov/applications/16997464","Patent Center")</f>
        <v>0.0</v>
      </c>
      <c r="H877" s="2" t="n">
        <f>HYPERLINK("https://worldwide.espacenet.com/patent/search?q=US20220054008","Espacenet")</f>
        <v>0.0</v>
      </c>
      <c r="I877" s="2" t="n">
        <f>HYPERLINK("https://ppubs.uspto.gov/pubwebapp/external.html?q=20220054008.pn.","USPTO")</f>
        <v>0.0</v>
      </c>
      <c r="J877" s="2" t="n">
        <f>HYPERLINK("https://image-ppubs.uspto.gov/dirsearch-public/print/downloadPdf/20220054008","USPTO PDF")</f>
        <v>0.0</v>
      </c>
      <c r="K877" s="2" t="n">
        <f>HYPERLINK("https://sectors.patentforecast.com/pmd/US20220054008","PMD")</f>
        <v>0.0</v>
      </c>
      <c r="L877" s="2" t="n">
        <f>HYPERLINK("https://globaldossier.uspto.gov/result/application/US/16997464/1","US20220054008")</f>
        <v>0.0</v>
      </c>
      <c r="M877" t="s">
        <v>6108</v>
      </c>
      <c r="N877" t="s">
        <v>6109</v>
      </c>
      <c r="O877" t="s">
        <v>6110</v>
      </c>
      <c r="P877" t="s">
        <v>6111</v>
      </c>
      <c r="Q877" s="3" t="n">
        <v>44062.0</v>
      </c>
      <c r="R877" s="3" t="n">
        <v>44616.0</v>
      </c>
      <c r="S877" s="3" t="n">
        <v>44617.18778108796</v>
      </c>
      <c r="T877" s="3" t="n">
        <v>44698.51238296297</v>
      </c>
      <c r="U877" t="s">
        <v>31</v>
      </c>
      <c r="V877" t="s">
        <v>6112</v>
      </c>
    </row>
    <row r="878">
      <c r="A878" t="s">
        <v>22</v>
      </c>
      <c r="B878" t="s">
        <v>6113</v>
      </c>
      <c r="C878" t="s">
        <v>24</v>
      </c>
      <c r="D878" t="s">
        <v>69</v>
      </c>
      <c r="E878" t="s">
        <v>6114</v>
      </c>
      <c r="F878" s="2" t="n">
        <f>HYPERLINK("https://patents.google.com/patent/US20220053919","Google")</f>
        <v>0.0</v>
      </c>
      <c r="G878" s="2" t="n">
        <f>HYPERLINK("https://patentcenter.uspto.gov/applications/17218262","Patent Center")</f>
        <v>0.0</v>
      </c>
      <c r="H878" s="2" t="n">
        <f>HYPERLINK("https://worldwide.espacenet.com/patent/search?q=US20220053919","Espacenet")</f>
        <v>0.0</v>
      </c>
      <c r="I878" s="2" t="n">
        <f>HYPERLINK("https://ppubs.uspto.gov/pubwebapp/external.html?q=20220053919.pn.","USPTO")</f>
        <v>0.0</v>
      </c>
      <c r="J878" s="2" t="n">
        <f>HYPERLINK("https://image-ppubs.uspto.gov/dirsearch-public/print/downloadPdf/20220053919","USPTO PDF")</f>
        <v>0.0</v>
      </c>
      <c r="K878" s="2" t="n">
        <f>HYPERLINK("https://sectors.patentforecast.com/pmd/US20220053919","PMD")</f>
        <v>0.0</v>
      </c>
      <c r="L878" s="2" t="n">
        <f>HYPERLINK("https://globaldossier.uspto.gov/result/application/US/17218262/1","US20220053919")</f>
        <v>0.0</v>
      </c>
      <c r="M878" t="s">
        <v>6115</v>
      </c>
      <c r="N878" t="s">
        <v>6116</v>
      </c>
      <c r="O878" t="s">
        <v>6116</v>
      </c>
      <c r="P878" t="s">
        <v>6117</v>
      </c>
      <c r="Q878" s="3" t="n">
        <v>44286.0</v>
      </c>
      <c r="R878" s="3" t="n">
        <v>44616.0</v>
      </c>
      <c r="S878" s="3" t="n">
        <v>44617.188593136576</v>
      </c>
      <c r="T878" s="3" t="n">
        <v>44698.51278824074</v>
      </c>
      <c r="U878" t="s">
        <v>31</v>
      </c>
      <c r="V878" t="s">
        <v>6118</v>
      </c>
    </row>
    <row r="879">
      <c r="A879" t="s">
        <v>22</v>
      </c>
      <c r="B879" t="s">
        <v>6119</v>
      </c>
      <c r="C879" t="s">
        <v>24</v>
      </c>
      <c r="D879" t="s">
        <v>100</v>
      </c>
      <c r="E879" t="s">
        <v>6120</v>
      </c>
      <c r="F879" s="2" t="n">
        <f>HYPERLINK("https://patents.google.com/patent/US20220053856","Google")</f>
        <v>0.0</v>
      </c>
      <c r="G879" s="2" t="n">
        <f>HYPERLINK("https://patentcenter.uspto.gov/applications/17403722","Patent Center")</f>
        <v>0.0</v>
      </c>
      <c r="H879" s="2" t="n">
        <f>HYPERLINK("https://worldwide.espacenet.com/patent/search?q=US20220053856","Espacenet")</f>
        <v>0.0</v>
      </c>
      <c r="I879" s="2" t="n">
        <f>HYPERLINK("https://ppubs.uspto.gov/pubwebapp/external.html?q=20220053856.pn.","USPTO")</f>
        <v>0.0</v>
      </c>
      <c r="J879" s="2" t="n">
        <f>HYPERLINK("https://image-ppubs.uspto.gov/dirsearch-public/print/downloadPdf/20220053856","USPTO PDF")</f>
        <v>0.0</v>
      </c>
      <c r="K879" s="2" t="n">
        <f>HYPERLINK("https://sectors.patentforecast.com/pmd/US20220053856","PMD")</f>
        <v>0.0</v>
      </c>
      <c r="L879" s="2" t="n">
        <f>HYPERLINK("https://globaldossier.uspto.gov/result/application/US/17403722/1","US20220053856")</f>
        <v>0.0</v>
      </c>
      <c r="M879" t="s">
        <v>6121</v>
      </c>
      <c r="N879" t="s">
        <v>6122</v>
      </c>
      <c r="O879" t="s">
        <v>6122</v>
      </c>
      <c r="P879" t="s">
        <v>6123</v>
      </c>
      <c r="Q879" s="3" t="n">
        <v>44424.0</v>
      </c>
      <c r="R879" s="3" t="n">
        <v>44616.0</v>
      </c>
      <c r="S879" s="3" t="n">
        <v>44617.188593136576</v>
      </c>
      <c r="T879" s="3" t="n">
        <v>44678.57928900463</v>
      </c>
      <c r="U879" t="s">
        <v>6124</v>
      </c>
      <c r="V879" t="s">
        <v>6125</v>
      </c>
    </row>
    <row r="880">
      <c r="A880" t="s">
        <v>22</v>
      </c>
      <c r="B880" t="s">
        <v>6126</v>
      </c>
      <c r="C880" t="s">
        <v>24</v>
      </c>
      <c r="D880" t="s">
        <v>69</v>
      </c>
      <c r="E880" t="s">
        <v>6127</v>
      </c>
      <c r="F880" s="2" t="n">
        <f>HYPERLINK("https://patents.google.com/patent/US20220053855","Google")</f>
        <v>0.0</v>
      </c>
      <c r="G880" s="2" t="n">
        <f>HYPERLINK("https://patentcenter.uspto.gov/applications/17000686","Patent Center")</f>
        <v>0.0</v>
      </c>
      <c r="H880" s="2" t="n">
        <f>HYPERLINK("https://worldwide.espacenet.com/patent/search?q=US20220053855","Espacenet")</f>
        <v>0.0</v>
      </c>
      <c r="I880" s="2" t="n">
        <f>HYPERLINK("https://ppubs.uspto.gov/pubwebapp/external.html?q=20220053855.pn.","USPTO")</f>
        <v>0.0</v>
      </c>
      <c r="J880" s="2" t="n">
        <f>HYPERLINK("https://image-ppubs.uspto.gov/dirsearch-public/print/downloadPdf/20220053855","USPTO PDF")</f>
        <v>0.0</v>
      </c>
      <c r="K880" s="2" t="n">
        <f>HYPERLINK("https://sectors.patentforecast.com/pmd/US20220053855","PMD")</f>
        <v>0.0</v>
      </c>
      <c r="L880" s="2" t="n">
        <f>HYPERLINK("https://globaldossier.uspto.gov/result/application/US/17000686/1","US20220053855")</f>
        <v>0.0</v>
      </c>
      <c r="M880" t="s">
        <v>6128</v>
      </c>
      <c r="N880" t="s">
        <v>6129</v>
      </c>
      <c r="O880" t="s">
        <v>6129</v>
      </c>
      <c r="P880" t="s">
        <v>6130</v>
      </c>
      <c r="Q880" s="3" t="n">
        <v>44067.0</v>
      </c>
      <c r="R880" s="3" t="n">
        <v>44616.0</v>
      </c>
      <c r="S880" s="3" t="n">
        <v>44617.188593136576</v>
      </c>
      <c r="T880" s="3" t="n">
        <v>44698.512550162035</v>
      </c>
      <c r="U880" t="s">
        <v>31</v>
      </c>
      <c r="V880" t="s">
        <v>6131</v>
      </c>
    </row>
    <row r="881">
      <c r="A881" t="s">
        <v>22</v>
      </c>
      <c r="B881" t="s">
        <v>6132</v>
      </c>
      <c r="C881" t="s">
        <v>24</v>
      </c>
      <c r="D881" t="s">
        <v>69</v>
      </c>
      <c r="E881" t="s">
        <v>6133</v>
      </c>
      <c r="F881" s="2" t="n">
        <f>HYPERLINK("https://patents.google.com/patent/US20220053851","Google")</f>
        <v>0.0</v>
      </c>
      <c r="G881" s="2" t="n">
        <f>HYPERLINK("https://patentcenter.uspto.gov/applications/17445346","Patent Center")</f>
        <v>0.0</v>
      </c>
      <c r="H881" s="2" t="n">
        <f>HYPERLINK("https://worldwide.espacenet.com/patent/search?q=US20220053851","Espacenet")</f>
        <v>0.0</v>
      </c>
      <c r="I881" s="2" t="n">
        <f>HYPERLINK("https://ppubs.uspto.gov/pubwebapp/external.html?q=20220053851.pn.","USPTO")</f>
        <v>0.0</v>
      </c>
      <c r="J881" s="2" t="n">
        <f>HYPERLINK("https://image-ppubs.uspto.gov/dirsearch-public/print/downloadPdf/20220053851","USPTO PDF")</f>
        <v>0.0</v>
      </c>
      <c r="K881" s="2" t="n">
        <f>HYPERLINK("https://sectors.patentforecast.com/pmd/US20220053851","PMD")</f>
        <v>0.0</v>
      </c>
      <c r="L881" s="2" t="n">
        <f>HYPERLINK("https://globaldossier.uspto.gov/result/application/US/17445346/1","US20220053851")</f>
        <v>0.0</v>
      </c>
      <c r="M881" t="s">
        <v>6134</v>
      </c>
      <c r="N881" t="s">
        <v>6135</v>
      </c>
      <c r="O881" t="s">
        <v>6135</v>
      </c>
      <c r="P881" t="s">
        <v>6136</v>
      </c>
      <c r="Q881" s="3" t="n">
        <v>44426.0</v>
      </c>
      <c r="R881" s="3" t="n">
        <v>44616.0</v>
      </c>
      <c r="S881" s="3" t="n">
        <v>44617.188593136576</v>
      </c>
      <c r="T881" s="3" t="n">
        <v>44678.63997150463</v>
      </c>
      <c r="U881" t="s">
        <v>31</v>
      </c>
      <c r="V881" t="s">
        <v>6137</v>
      </c>
    </row>
    <row r="882">
      <c r="A882" t="s">
        <v>22</v>
      </c>
      <c r="B882" t="s">
        <v>6138</v>
      </c>
      <c r="C882" t="s">
        <v>24</v>
      </c>
      <c r="D882" t="s">
        <v>69</v>
      </c>
      <c r="E882" t="s">
        <v>6139</v>
      </c>
      <c r="F882" s="2" t="n">
        <f>HYPERLINK("https://patents.google.com/patent/US20220053759","Google")</f>
        <v>0.0</v>
      </c>
      <c r="G882" s="2" t="n">
        <f>HYPERLINK("https://patentcenter.uspto.gov/applications/17226387","Patent Center")</f>
        <v>0.0</v>
      </c>
      <c r="H882" s="2" t="n">
        <f>HYPERLINK("https://worldwide.espacenet.com/patent/search?q=US20220053759","Espacenet")</f>
        <v>0.0</v>
      </c>
      <c r="I882" s="2" t="n">
        <f>HYPERLINK("https://ppubs.uspto.gov/pubwebapp/external.html?q=20220053759.pn.","USPTO")</f>
        <v>0.0</v>
      </c>
      <c r="J882" s="2" t="n">
        <f>HYPERLINK("https://image-ppubs.uspto.gov/dirsearch-public/print/downloadPdf/20220053759","USPTO PDF")</f>
        <v>0.0</v>
      </c>
      <c r="K882" s="2" t="n">
        <f>HYPERLINK("https://sectors.patentforecast.com/pmd/US20220053759","PMD")</f>
        <v>0.0</v>
      </c>
      <c r="L882" s="2" t="n">
        <f>HYPERLINK("https://globaldossier.uspto.gov/result/application/US/17226387/1","US20220053759")</f>
        <v>0.0</v>
      </c>
      <c r="M882" t="s">
        <v>6140</v>
      </c>
      <c r="N882" t="s">
        <v>6141</v>
      </c>
      <c r="O882" t="s">
        <v>6142</v>
      </c>
      <c r="P882" t="s">
        <v>6143</v>
      </c>
      <c r="Q882" s="3" t="n">
        <v>44295.0</v>
      </c>
      <c r="R882" s="3" t="n">
        <v>44616.0</v>
      </c>
      <c r="S882" s="3" t="n">
        <v>44617.188593136576</v>
      </c>
      <c r="T882" s="3" t="n">
        <v>44698.512876030094</v>
      </c>
      <c r="U882" t="s">
        <v>6144</v>
      </c>
      <c r="V882" t="s">
        <v>6145</v>
      </c>
    </row>
    <row r="883">
      <c r="A883" t="s">
        <v>22</v>
      </c>
      <c r="B883" t="s">
        <v>6146</v>
      </c>
      <c r="C883" t="s">
        <v>24</v>
      </c>
      <c r="D883" t="s">
        <v>1450</v>
      </c>
      <c r="E883" t="s">
        <v>6147</v>
      </c>
      <c r="F883" s="2" t="n">
        <f>HYPERLINK("https://patents.google.com/patent/US20220053324","Google")</f>
        <v>0.0</v>
      </c>
      <c r="G883" s="2" t="n">
        <f>HYPERLINK("https://patentcenter.uspto.gov/applications/17403216","Patent Center")</f>
        <v>0.0</v>
      </c>
      <c r="H883" s="2" t="n">
        <f>HYPERLINK("https://worldwide.espacenet.com/patent/search?q=US20220053324","Espacenet")</f>
        <v>0.0</v>
      </c>
      <c r="I883" s="2" t="n">
        <f>HYPERLINK("https://ppubs.uspto.gov/pubwebapp/external.html?q=20220053324.pn.","USPTO")</f>
        <v>0.0</v>
      </c>
      <c r="J883" s="2" t="n">
        <f>HYPERLINK("https://image-ppubs.uspto.gov/dirsearch-public/print/downloadPdf/20220053324","USPTO PDF")</f>
        <v>0.0</v>
      </c>
      <c r="K883" s="2" t="n">
        <f>HYPERLINK("https://sectors.patentforecast.com/pmd/US20220053324","PMD")</f>
        <v>0.0</v>
      </c>
      <c r="L883" s="2" t="n">
        <f>HYPERLINK("https://globaldossier.uspto.gov/result/application/US/17403216/1","US20220053324")</f>
        <v>0.0</v>
      </c>
      <c r="M883" t="s">
        <v>6148</v>
      </c>
      <c r="N883" t="s">
        <v>6149</v>
      </c>
      <c r="O883" t="s">
        <v>6149</v>
      </c>
      <c r="P883" t="s">
        <v>6150</v>
      </c>
      <c r="Q883" s="3" t="n">
        <v>44424.0</v>
      </c>
      <c r="R883" s="3" t="n">
        <v>44609.0</v>
      </c>
      <c r="S883" s="3" t="n">
        <v>44610.18880659722</v>
      </c>
      <c r="T883" s="3" t="n">
        <v>44698.63028724537</v>
      </c>
      <c r="U883" t="s">
        <v>31</v>
      </c>
      <c r="V883" t="s">
        <v>6151</v>
      </c>
    </row>
    <row r="884">
      <c r="A884" t="s">
        <v>22</v>
      </c>
      <c r="B884" t="s">
        <v>6152</v>
      </c>
      <c r="C884" t="s">
        <v>24</v>
      </c>
      <c r="D884" t="s">
        <v>258</v>
      </c>
      <c r="E884" t="s">
        <v>6153</v>
      </c>
      <c r="F884" s="2" t="n">
        <f>HYPERLINK("https://patents.google.com/patent/US20220053292","Google")</f>
        <v>0.0</v>
      </c>
      <c r="G884" s="2" t="n">
        <f>HYPERLINK("https://patentcenter.uspto.gov/applications/17404643","Patent Center")</f>
        <v>0.0</v>
      </c>
      <c r="H884" s="2" t="n">
        <f>HYPERLINK("https://worldwide.espacenet.com/patent/search?q=US20220053292","Espacenet")</f>
        <v>0.0</v>
      </c>
      <c r="I884" s="2" t="n">
        <f>HYPERLINK("https://ppubs.uspto.gov/pubwebapp/external.html?q=20220053292.pn.","USPTO")</f>
        <v>0.0</v>
      </c>
      <c r="J884" s="2" t="n">
        <f>HYPERLINK("https://image-ppubs.uspto.gov/dirsearch-public/print/downloadPdf/20220053292","USPTO PDF")</f>
        <v>0.0</v>
      </c>
      <c r="K884" s="2" t="n">
        <f>HYPERLINK("https://sectors.patentforecast.com/pmd/US20220053292","PMD")</f>
        <v>0.0</v>
      </c>
      <c r="L884" s="2" t="n">
        <f>HYPERLINK("https://globaldossier.uspto.gov/result/application/US/17404643/1","US20220053292")</f>
        <v>0.0</v>
      </c>
      <c r="M884" t="s">
        <v>6154</v>
      </c>
      <c r="N884" t="s">
        <v>6155</v>
      </c>
      <c r="O884" t="s">
        <v>6156</v>
      </c>
      <c r="P884" t="s">
        <v>6157</v>
      </c>
      <c r="Q884" s="3" t="n">
        <v>44425.0</v>
      </c>
      <c r="R884" s="3" t="n">
        <v>44609.0</v>
      </c>
      <c r="S884" s="3" t="n">
        <v>44610.19608984954</v>
      </c>
      <c r="T884" s="3" t="n">
        <v>44698.63050636574</v>
      </c>
      <c r="U884" t="s">
        <v>6158</v>
      </c>
      <c r="V884" t="s">
        <v>6159</v>
      </c>
    </row>
    <row r="885">
      <c r="A885" t="s">
        <v>22</v>
      </c>
      <c r="B885" t="s">
        <v>6160</v>
      </c>
      <c r="C885" t="s">
        <v>24</v>
      </c>
      <c r="D885" t="s">
        <v>204</v>
      </c>
      <c r="E885" t="s">
        <v>6161</v>
      </c>
      <c r="F885" s="2" t="n">
        <f>HYPERLINK("https://patents.google.com/patent/US20220053218","Google")</f>
        <v>0.0</v>
      </c>
      <c r="G885" s="2" t="n">
        <f>HYPERLINK("https://patentcenter.uspto.gov/applications/17065016","Patent Center")</f>
        <v>0.0</v>
      </c>
      <c r="H885" s="2" t="n">
        <f>HYPERLINK("https://worldwide.espacenet.com/patent/search?q=US20220053218","Espacenet")</f>
        <v>0.0</v>
      </c>
      <c r="I885" s="2" t="n">
        <f>HYPERLINK("https://ppubs.uspto.gov/pubwebapp/external.html?q=20220053218.pn.","USPTO")</f>
        <v>0.0</v>
      </c>
      <c r="J885" s="2" t="n">
        <f>HYPERLINK("https://image-ppubs.uspto.gov/dirsearch-public/print/downloadPdf/20220053218","USPTO PDF")</f>
        <v>0.0</v>
      </c>
      <c r="K885" s="2" t="n">
        <f>HYPERLINK("https://sectors.patentforecast.com/pmd/US20220053218","PMD")</f>
        <v>0.0</v>
      </c>
      <c r="L885" s="2" t="n">
        <f>HYPERLINK("https://globaldossier.uspto.gov/result/application/US/17065016/1","US20220053218")</f>
        <v>0.0</v>
      </c>
      <c r="M885" t="s">
        <v>6162</v>
      </c>
      <c r="N885" t="s">
        <v>6163</v>
      </c>
      <c r="O885" t="s">
        <v>6163</v>
      </c>
      <c r="P885" t="s">
        <v>6164</v>
      </c>
      <c r="Q885" s="3" t="n">
        <v>44111.0</v>
      </c>
      <c r="R885" s="3" t="n">
        <v>44609.0</v>
      </c>
      <c r="S885" s="3" t="n">
        <v>44610.18880659722</v>
      </c>
      <c r="T885" s="3" t="n">
        <v>44698.63058739583</v>
      </c>
      <c r="U885" t="s">
        <v>6165</v>
      </c>
      <c r="V885" t="s">
        <v>6166</v>
      </c>
    </row>
    <row r="886">
      <c r="A886" t="s">
        <v>22</v>
      </c>
      <c r="B886" t="s">
        <v>6167</v>
      </c>
      <c r="C886" t="s">
        <v>24</v>
      </c>
      <c r="D886" t="s">
        <v>204</v>
      </c>
      <c r="E886" t="s">
        <v>6168</v>
      </c>
      <c r="F886" s="2" t="n">
        <f>HYPERLINK("https://patents.google.com/patent/US20220053168","Google")</f>
        <v>0.0</v>
      </c>
      <c r="G886" s="2" t="n">
        <f>HYPERLINK("https://patentcenter.uspto.gov/applications/17304376","Patent Center")</f>
        <v>0.0</v>
      </c>
      <c r="H886" s="2" t="n">
        <f>HYPERLINK("https://worldwide.espacenet.com/patent/search?q=US20220053168","Espacenet")</f>
        <v>0.0</v>
      </c>
      <c r="I886" s="2" t="n">
        <f>HYPERLINK("https://ppubs.uspto.gov/pubwebapp/external.html?q=20220053168.pn.","USPTO")</f>
        <v>0.0</v>
      </c>
      <c r="J886" s="2" t="n">
        <f>HYPERLINK("https://image-ppubs.uspto.gov/dirsearch-public/print/downloadPdf/20220053168","USPTO PDF")</f>
        <v>0.0</v>
      </c>
      <c r="K886" s="2" t="n">
        <f>HYPERLINK("https://sectors.patentforecast.com/pmd/US20220053168","PMD")</f>
        <v>0.0</v>
      </c>
      <c r="L886" s="2" t="n">
        <f>HYPERLINK("https://globaldossier.uspto.gov/result/application/US/17304376/1","US20220053168")</f>
        <v>0.0</v>
      </c>
      <c r="M886" t="s">
        <v>6169</v>
      </c>
      <c r="N886" t="s">
        <v>6170</v>
      </c>
      <c r="O886" t="s">
        <v>6171</v>
      </c>
      <c r="P886" t="s">
        <v>6172</v>
      </c>
      <c r="Q886" s="3" t="n">
        <v>44367.0</v>
      </c>
      <c r="R886" s="3" t="n">
        <v>44609.0</v>
      </c>
      <c r="S886" s="3" t="n">
        <v>44610.18776179398</v>
      </c>
      <c r="T886" s="3" t="n">
        <v>44698.630631608794</v>
      </c>
      <c r="U886" t="s">
        <v>6173</v>
      </c>
      <c r="V886" t="s">
        <v>6174</v>
      </c>
    </row>
    <row r="887">
      <c r="A887" t="s">
        <v>22</v>
      </c>
      <c r="B887" t="s">
        <v>6175</v>
      </c>
      <c r="C887" t="s">
        <v>24</v>
      </c>
      <c r="D887" t="s">
        <v>69</v>
      </c>
      <c r="E887" t="s">
        <v>6176</v>
      </c>
      <c r="F887" s="2" t="n">
        <f>HYPERLINK("https://patents.google.com/patent/US20220053100","Google")</f>
        <v>0.0</v>
      </c>
      <c r="G887" s="2" t="n">
        <f>HYPERLINK("https://patentcenter.uspto.gov/applications/16992542","Patent Center")</f>
        <v>0.0</v>
      </c>
      <c r="H887" s="2" t="n">
        <f>HYPERLINK("https://worldwide.espacenet.com/patent/search?q=US20220053100","Espacenet")</f>
        <v>0.0</v>
      </c>
      <c r="I887" s="2" t="n">
        <f>HYPERLINK("https://ppubs.uspto.gov/pubwebapp/external.html?q=20220053100.pn.","USPTO")</f>
        <v>0.0</v>
      </c>
      <c r="J887" s="2" t="n">
        <f>HYPERLINK("https://image-ppubs.uspto.gov/dirsearch-public/print/downloadPdf/20220053100","USPTO PDF")</f>
        <v>0.0</v>
      </c>
      <c r="K887" s="2" t="n">
        <f>HYPERLINK("https://sectors.patentforecast.com/pmd/US20220053100","PMD")</f>
        <v>0.0</v>
      </c>
      <c r="L887" s="2" t="n">
        <f>HYPERLINK("https://globaldossier.uspto.gov/result/application/US/16992542/1","US20220053100")</f>
        <v>0.0</v>
      </c>
      <c r="M887" t="s">
        <v>6177</v>
      </c>
      <c r="N887" t="s">
        <v>6178</v>
      </c>
      <c r="O887" t="s">
        <v>6179</v>
      </c>
      <c r="P887" t="s">
        <v>6180</v>
      </c>
      <c r="Q887" s="3" t="n">
        <v>44056.0</v>
      </c>
      <c r="R887" s="3" t="n">
        <v>44609.0</v>
      </c>
      <c r="S887" s="3" t="n">
        <v>44610.18880659722</v>
      </c>
      <c r="T887" s="3" t="n">
        <v>44698.63068731481</v>
      </c>
      <c r="U887" t="s">
        <v>6181</v>
      </c>
      <c r="V887" t="s">
        <v>6182</v>
      </c>
    </row>
    <row r="888">
      <c r="A888" t="s">
        <v>22</v>
      </c>
      <c r="B888" t="s">
        <v>6183</v>
      </c>
      <c r="C888" t="s">
        <v>24</v>
      </c>
      <c r="D888" t="s">
        <v>43</v>
      </c>
      <c r="E888" t="s">
        <v>6184</v>
      </c>
      <c r="F888" s="2" t="n">
        <f>HYPERLINK("https://patents.google.com/patent/US20220051808","Google")</f>
        <v>0.0</v>
      </c>
      <c r="G888" s="2" t="n">
        <f>HYPERLINK("https://patentcenter.uspto.gov/applications/17444090","Patent Center")</f>
        <v>0.0</v>
      </c>
      <c r="H888" s="2" t="n">
        <f>HYPERLINK("https://worldwide.espacenet.com/patent/search?q=US20220051808","Espacenet")</f>
        <v>0.0</v>
      </c>
      <c r="I888" s="2" t="n">
        <f>HYPERLINK("https://ppubs.uspto.gov/pubwebapp/external.html?q=20220051808.pn.","USPTO")</f>
        <v>0.0</v>
      </c>
      <c r="J888" s="2" t="n">
        <f>HYPERLINK("https://image-ppubs.uspto.gov/dirsearch-public/print/downloadPdf/20220051808","USPTO PDF")</f>
        <v>0.0</v>
      </c>
      <c r="K888" s="2" t="n">
        <f>HYPERLINK("https://sectors.patentforecast.com/pmd/US20220051808","PMD")</f>
        <v>0.0</v>
      </c>
      <c r="L888" s="2" t="n">
        <f>HYPERLINK("https://globaldossier.uspto.gov/result/application/US/17444090/1","US20220051808")</f>
        <v>0.0</v>
      </c>
      <c r="M888" t="s">
        <v>6185</v>
      </c>
      <c r="N888" t="s">
        <v>6186</v>
      </c>
      <c r="O888" t="s">
        <v>6186</v>
      </c>
      <c r="P888" t="s">
        <v>6187</v>
      </c>
      <c r="Q888" s="3" t="n">
        <v>44407.0</v>
      </c>
      <c r="R888" s="3" t="n">
        <v>44609.0</v>
      </c>
      <c r="S888" s="3" t="n">
        <v>44610.18880659722</v>
      </c>
      <c r="T888" s="3" t="n">
        <v>44698.630752094905</v>
      </c>
      <c r="U888" t="s">
        <v>31</v>
      </c>
      <c r="V888" t="s">
        <v>6188</v>
      </c>
    </row>
    <row r="889">
      <c r="A889" t="s">
        <v>22</v>
      </c>
      <c r="B889" t="s">
        <v>6189</v>
      </c>
      <c r="C889" t="s">
        <v>312</v>
      </c>
      <c r="D889" t="s">
        <v>976</v>
      </c>
      <c r="E889" t="s">
        <v>6190</v>
      </c>
      <c r="F889" s="2" t="n">
        <f>HYPERLINK("https://patents.google.com/patent/US20220051807","Google")</f>
        <v>0.0</v>
      </c>
      <c r="G889" s="2" t="n">
        <f>HYPERLINK("https://patentcenter.uspto.gov/applications/17383944","Patent Center")</f>
        <v>0.0</v>
      </c>
      <c r="H889" s="2" t="n">
        <f>HYPERLINK("https://worldwide.espacenet.com/patent/search?q=US20220051807","Espacenet")</f>
        <v>0.0</v>
      </c>
      <c r="I889" s="2" t="n">
        <f>HYPERLINK("https://ppubs.uspto.gov/pubwebapp/external.html?q=20220051807.pn.","USPTO")</f>
        <v>0.0</v>
      </c>
      <c r="J889" s="2" t="n">
        <f>HYPERLINK("https://image-ppubs.uspto.gov/dirsearch-public/print/downloadPdf/20220051807","USPTO PDF")</f>
        <v>0.0</v>
      </c>
      <c r="K889" s="2" t="n">
        <f>HYPERLINK("https://sectors.patentforecast.com/pmd/US20220051807","PMD")</f>
        <v>0.0</v>
      </c>
      <c r="L889" s="2" t="n">
        <f>HYPERLINK("https://globaldossier.uspto.gov/result/application/US/17383944/1","US20220051807")</f>
        <v>0.0</v>
      </c>
      <c r="M889" t="s">
        <v>6191</v>
      </c>
      <c r="N889" t="s">
        <v>5138</v>
      </c>
      <c r="O889" t="s">
        <v>5139</v>
      </c>
      <c r="P889" t="s">
        <v>6192</v>
      </c>
      <c r="Q889" s="3" t="n">
        <v>44400.0</v>
      </c>
      <c r="R889" s="3" t="n">
        <v>44609.0</v>
      </c>
      <c r="S889" s="3" t="n">
        <v>44610.18880659722</v>
      </c>
      <c r="T889" s="3" t="n">
        <v>44698.63096065972</v>
      </c>
      <c r="U889" t="s">
        <v>31</v>
      </c>
      <c r="V889" t="s">
        <v>6193</v>
      </c>
    </row>
    <row r="890">
      <c r="A890" t="s">
        <v>22</v>
      </c>
      <c r="B890" t="s">
        <v>6194</v>
      </c>
      <c r="C890" t="s">
        <v>24</v>
      </c>
      <c r="D890" t="s">
        <v>25</v>
      </c>
      <c r="E890" t="s">
        <v>6195</v>
      </c>
      <c r="F890" s="2" t="n">
        <f>HYPERLINK("https://patents.google.com/patent/US20220051762","Google")</f>
        <v>0.0</v>
      </c>
      <c r="G890" s="2" t="n">
        <f>HYPERLINK("https://patentcenter.uspto.gov/applications/17400079","Patent Center")</f>
        <v>0.0</v>
      </c>
      <c r="H890" s="2" t="n">
        <f>HYPERLINK("https://worldwide.espacenet.com/patent/search?q=US20220051762","Espacenet")</f>
        <v>0.0</v>
      </c>
      <c r="I890" s="2" t="n">
        <f>HYPERLINK("https://ppubs.uspto.gov/pubwebapp/external.html?q=20220051762.pn.","USPTO")</f>
        <v>0.0</v>
      </c>
      <c r="J890" s="2" t="n">
        <f>HYPERLINK("https://image-ppubs.uspto.gov/dirsearch-public/print/downloadPdf/20220051762","USPTO PDF")</f>
        <v>0.0</v>
      </c>
      <c r="K890" s="2" t="n">
        <f>HYPERLINK("https://sectors.patentforecast.com/pmd/US20220051762","PMD")</f>
        <v>0.0</v>
      </c>
      <c r="L890" s="2" t="n">
        <f>HYPERLINK("https://globaldossier.uspto.gov/result/application/US/17400079/1","US20220051762")</f>
        <v>0.0</v>
      </c>
      <c r="M890" t="s">
        <v>6196</v>
      </c>
      <c r="N890" t="s">
        <v>6197</v>
      </c>
      <c r="O890" t="s">
        <v>6198</v>
      </c>
      <c r="P890" t="s">
        <v>6199</v>
      </c>
      <c r="Q890" s="3" t="n">
        <v>44419.0</v>
      </c>
      <c r="R890" s="3" t="n">
        <v>44609.0</v>
      </c>
      <c r="S890" s="3" t="n">
        <v>44610.18880659722</v>
      </c>
      <c r="T890" s="3" t="n">
        <v>44698.631268275465</v>
      </c>
      <c r="U890" t="s">
        <v>6200</v>
      </c>
      <c r="V890" t="s">
        <v>6201</v>
      </c>
    </row>
    <row r="891">
      <c r="A891" t="s">
        <v>22</v>
      </c>
      <c r="B891" t="s">
        <v>6202</v>
      </c>
      <c r="C891" t="s">
        <v>24</v>
      </c>
      <c r="D891" t="s">
        <v>204</v>
      </c>
      <c r="E891" t="s">
        <v>6203</v>
      </c>
      <c r="F891" s="2" t="n">
        <f>HYPERLINK("https://patents.google.com/patent/US20220051648","Google")</f>
        <v>0.0</v>
      </c>
      <c r="G891" s="2" t="n">
        <f>HYPERLINK("https://patentcenter.uspto.gov/applications/17399331","Patent Center")</f>
        <v>0.0</v>
      </c>
      <c r="H891" s="2" t="n">
        <f>HYPERLINK("https://worldwide.espacenet.com/patent/search?q=US20220051648","Espacenet")</f>
        <v>0.0</v>
      </c>
      <c r="I891" s="2" t="n">
        <f>HYPERLINK("https://ppubs.uspto.gov/pubwebapp/external.html?q=20220051648.pn.","USPTO")</f>
        <v>0.0</v>
      </c>
      <c r="J891" s="2" t="n">
        <f>HYPERLINK("https://image-ppubs.uspto.gov/dirsearch-public/print/downloadPdf/20220051648","USPTO PDF")</f>
        <v>0.0</v>
      </c>
      <c r="K891" s="2" t="n">
        <f>HYPERLINK("https://sectors.patentforecast.com/pmd/US20220051648","PMD")</f>
        <v>0.0</v>
      </c>
      <c r="L891" s="2" t="n">
        <f>HYPERLINK("https://globaldossier.uspto.gov/result/application/US/17399331/1","US20220051648")</f>
        <v>0.0</v>
      </c>
      <c r="M891" t="s">
        <v>6204</v>
      </c>
      <c r="N891" t="s">
        <v>6205</v>
      </c>
      <c r="O891" t="s">
        <v>6205</v>
      </c>
      <c r="P891" t="s">
        <v>6206</v>
      </c>
      <c r="Q891" s="3" t="n">
        <v>44419.0</v>
      </c>
      <c r="R891" s="3" t="n">
        <v>44609.0</v>
      </c>
      <c r="S891" s="3" t="n">
        <v>44610.18880659722</v>
      </c>
      <c r="T891" s="3" t="n">
        <v>44698.63133802083</v>
      </c>
      <c r="U891" t="s">
        <v>31</v>
      </c>
      <c r="V891" t="s">
        <v>6207</v>
      </c>
    </row>
    <row r="892">
      <c r="A892" t="s">
        <v>22</v>
      </c>
      <c r="B892" t="s">
        <v>6208</v>
      </c>
      <c r="C892" t="s">
        <v>24</v>
      </c>
      <c r="D892" t="s">
        <v>100</v>
      </c>
      <c r="E892" t="s">
        <v>6209</v>
      </c>
      <c r="F892" s="2" t="n">
        <f>HYPERLINK("https://patents.google.com/patent/US20220051546","Google")</f>
        <v>0.0</v>
      </c>
      <c r="G892" s="2" t="n">
        <f>HYPERLINK("https://patentcenter.uspto.gov/applications/17399991","Patent Center")</f>
        <v>0.0</v>
      </c>
      <c r="H892" s="2" t="n">
        <f>HYPERLINK("https://worldwide.espacenet.com/patent/search?q=US20220051546","Espacenet")</f>
        <v>0.0</v>
      </c>
      <c r="I892" s="2" t="n">
        <f>HYPERLINK("https://ppubs.uspto.gov/pubwebapp/external.html?q=20220051546.pn.","USPTO")</f>
        <v>0.0</v>
      </c>
      <c r="J892" s="2" t="n">
        <f>HYPERLINK("https://image-ppubs.uspto.gov/dirsearch-public/print/downloadPdf/20220051546","USPTO PDF")</f>
        <v>0.0</v>
      </c>
      <c r="K892" s="2" t="n">
        <f>HYPERLINK("https://sectors.patentforecast.com/pmd/US20220051546","PMD")</f>
        <v>0.0</v>
      </c>
      <c r="L892" s="2" t="n">
        <f>HYPERLINK("https://globaldossier.uspto.gov/result/application/US/17399991/1","US20220051546")</f>
        <v>0.0</v>
      </c>
      <c r="M892" t="s">
        <v>6210</v>
      </c>
      <c r="N892" t="s">
        <v>6211</v>
      </c>
      <c r="O892" t="s">
        <v>6212</v>
      </c>
      <c r="P892" t="s">
        <v>6213</v>
      </c>
      <c r="Q892" s="3" t="n">
        <v>44419.0</v>
      </c>
      <c r="R892" s="3" t="n">
        <v>44609.0</v>
      </c>
      <c r="S892" s="3" t="n">
        <v>44610.18880659722</v>
      </c>
      <c r="T892" s="3" t="n">
        <v>44678.57928900463</v>
      </c>
      <c r="U892" t="s">
        <v>31</v>
      </c>
      <c r="V892" t="s">
        <v>6214</v>
      </c>
    </row>
    <row r="893">
      <c r="A893" t="s">
        <v>22</v>
      </c>
      <c r="B893" t="s">
        <v>6215</v>
      </c>
      <c r="C893" t="s">
        <v>24</v>
      </c>
      <c r="D893" t="s">
        <v>69</v>
      </c>
      <c r="E893" t="s">
        <v>6216</v>
      </c>
      <c r="F893" s="2" t="n">
        <f>HYPERLINK("https://patents.google.com/patent/US20220051541","Google")</f>
        <v>0.0</v>
      </c>
      <c r="G893" s="2" t="n">
        <f>HYPERLINK("https://patentcenter.uspto.gov/applications/17445221","Patent Center")</f>
        <v>0.0</v>
      </c>
      <c r="H893" s="2" t="n">
        <f>HYPERLINK("https://worldwide.espacenet.com/patent/search?q=US20220051541","Espacenet")</f>
        <v>0.0</v>
      </c>
      <c r="I893" s="2" t="n">
        <f>HYPERLINK("https://ppubs.uspto.gov/pubwebapp/external.html?q=20220051541.pn.","USPTO")</f>
        <v>0.0</v>
      </c>
      <c r="J893" s="2" t="n">
        <f>HYPERLINK("https://image-ppubs.uspto.gov/dirsearch-public/print/downloadPdf/20220051541","USPTO PDF")</f>
        <v>0.0</v>
      </c>
      <c r="K893" s="2" t="n">
        <f>HYPERLINK("https://sectors.patentforecast.com/pmd/US20220051541","PMD")</f>
        <v>0.0</v>
      </c>
      <c r="L893" s="2" t="n">
        <f>HYPERLINK("https://globaldossier.uspto.gov/result/application/US/17445221/1","US20220051541")</f>
        <v>0.0</v>
      </c>
      <c r="M893" t="s">
        <v>6217</v>
      </c>
      <c r="N893" t="s">
        <v>895</v>
      </c>
      <c r="O893" t="s">
        <v>896</v>
      </c>
      <c r="P893" t="s">
        <v>6218</v>
      </c>
      <c r="Q893" s="3" t="n">
        <v>44425.0</v>
      </c>
      <c r="R893" s="3" t="n">
        <v>44609.0</v>
      </c>
      <c r="S893" s="3" t="n">
        <v>44610.18880659722</v>
      </c>
      <c r="T893" s="3" t="n">
        <v>44678.557091828705</v>
      </c>
      <c r="U893" t="s">
        <v>31</v>
      </c>
      <c r="V893" t="s">
        <v>6219</v>
      </c>
    </row>
    <row r="894">
      <c r="A894" t="s">
        <v>22</v>
      </c>
      <c r="B894" t="s">
        <v>6220</v>
      </c>
      <c r="C894" t="s">
        <v>24</v>
      </c>
      <c r="D894" t="s">
        <v>204</v>
      </c>
      <c r="E894" t="s">
        <v>6221</v>
      </c>
      <c r="F894" s="2" t="n">
        <f>HYPERLINK("https://patents.google.com/patent/US20220051515","Google")</f>
        <v>0.0</v>
      </c>
      <c r="G894" s="2" t="n">
        <f>HYPERLINK("https://patentcenter.uspto.gov/applications/17399079","Patent Center")</f>
        <v>0.0</v>
      </c>
      <c r="H894" s="2" t="n">
        <f>HYPERLINK("https://worldwide.espacenet.com/patent/search?q=US20220051515","Espacenet")</f>
        <v>0.0</v>
      </c>
      <c r="I894" s="2" t="n">
        <f>HYPERLINK("https://ppubs.uspto.gov/pubwebapp/external.html?q=20220051515.pn.","USPTO")</f>
        <v>0.0</v>
      </c>
      <c r="J894" s="2" t="n">
        <f>HYPERLINK("https://image-ppubs.uspto.gov/dirsearch-public/print/downloadPdf/20220051515","USPTO PDF")</f>
        <v>0.0</v>
      </c>
      <c r="K894" s="2" t="n">
        <f>HYPERLINK("https://sectors.patentforecast.com/pmd/US20220051515","PMD")</f>
        <v>0.0</v>
      </c>
      <c r="L894" s="2" t="n">
        <f>HYPERLINK("https://globaldossier.uspto.gov/result/application/US/17399079/1","US20220051515")</f>
        <v>0.0</v>
      </c>
      <c r="M894" t="s">
        <v>6222</v>
      </c>
      <c r="N894" t="s">
        <v>6223</v>
      </c>
      <c r="O894" t="s">
        <v>6224</v>
      </c>
      <c r="P894" t="s">
        <v>6225</v>
      </c>
      <c r="Q894" s="3" t="n">
        <v>44419.0</v>
      </c>
      <c r="R894" s="3" t="n">
        <v>44609.0</v>
      </c>
      <c r="S894" s="3" t="n">
        <v>44610.18880659722</v>
      </c>
      <c r="T894" s="3" t="n">
        <v>44698.631547453704</v>
      </c>
      <c r="U894" t="s">
        <v>6226</v>
      </c>
      <c r="V894" t="s">
        <v>6227</v>
      </c>
    </row>
    <row r="895">
      <c r="A895" t="s">
        <v>22</v>
      </c>
      <c r="B895" t="s">
        <v>6228</v>
      </c>
      <c r="C895" t="s">
        <v>24</v>
      </c>
      <c r="D895" t="s">
        <v>204</v>
      </c>
      <c r="E895" t="s">
        <v>6229</v>
      </c>
      <c r="F895" s="2" t="n">
        <f>HYPERLINK("https://patents.google.com/patent/US20220051514","Google")</f>
        <v>0.0</v>
      </c>
      <c r="G895" s="2" t="n">
        <f>HYPERLINK("https://patentcenter.uspto.gov/applications/17399077","Patent Center")</f>
        <v>0.0</v>
      </c>
      <c r="H895" s="2" t="n">
        <f>HYPERLINK("https://worldwide.espacenet.com/patent/search?q=US20220051514","Espacenet")</f>
        <v>0.0</v>
      </c>
      <c r="I895" s="2" t="n">
        <f>HYPERLINK("https://ppubs.uspto.gov/pubwebapp/external.html?q=20220051514.pn.","USPTO")</f>
        <v>0.0</v>
      </c>
      <c r="J895" s="2" t="n">
        <f>HYPERLINK("https://image-ppubs.uspto.gov/dirsearch-public/print/downloadPdf/20220051514","USPTO PDF")</f>
        <v>0.0</v>
      </c>
      <c r="K895" s="2" t="n">
        <f>HYPERLINK("https://sectors.patentforecast.com/pmd/US20220051514","PMD")</f>
        <v>0.0</v>
      </c>
      <c r="L895" s="2" t="n">
        <f>HYPERLINK("https://globaldossier.uspto.gov/result/application/US/17399077/1","US20220051514")</f>
        <v>0.0</v>
      </c>
      <c r="M895" t="s">
        <v>6230</v>
      </c>
      <c r="N895" t="s">
        <v>6223</v>
      </c>
      <c r="O895" t="s">
        <v>6224</v>
      </c>
      <c r="P895" t="s">
        <v>6225</v>
      </c>
      <c r="Q895" s="3" t="n">
        <v>44419.0</v>
      </c>
      <c r="R895" s="3" t="n">
        <v>44609.0</v>
      </c>
      <c r="S895" s="3" t="n">
        <v>44610.18880659722</v>
      </c>
      <c r="T895" s="3" t="n">
        <v>44698.63169515046</v>
      </c>
      <c r="U895" t="s">
        <v>31</v>
      </c>
      <c r="V895" t="s">
        <v>6231</v>
      </c>
    </row>
    <row r="896">
      <c r="A896" t="s">
        <v>22</v>
      </c>
      <c r="B896" t="s">
        <v>6232</v>
      </c>
      <c r="C896" t="s">
        <v>24</v>
      </c>
      <c r="D896" t="s">
        <v>204</v>
      </c>
      <c r="E896" t="s">
        <v>6233</v>
      </c>
      <c r="F896" s="2" t="n">
        <f>HYPERLINK("https://patents.google.com/patent/US20220051513","Google")</f>
        <v>0.0</v>
      </c>
      <c r="G896" s="2" t="n">
        <f>HYPERLINK("https://patentcenter.uspto.gov/applications/17242990","Patent Center")</f>
        <v>0.0</v>
      </c>
      <c r="H896" s="2" t="n">
        <f>HYPERLINK("https://worldwide.espacenet.com/patent/search?q=US20220051513","Espacenet")</f>
        <v>0.0</v>
      </c>
      <c r="I896" s="2" t="n">
        <f>HYPERLINK("https://ppubs.uspto.gov/pubwebapp/external.html?q=20220051513.pn.","USPTO")</f>
        <v>0.0</v>
      </c>
      <c r="J896" s="2" t="n">
        <f>HYPERLINK("https://image-ppubs.uspto.gov/dirsearch-public/print/downloadPdf/20220051513","USPTO PDF")</f>
        <v>0.0</v>
      </c>
      <c r="K896" s="2" t="n">
        <f>HYPERLINK("https://sectors.patentforecast.com/pmd/US20220051513","PMD")</f>
        <v>0.0</v>
      </c>
      <c r="L896" s="2" t="n">
        <f>HYPERLINK("https://globaldossier.uspto.gov/result/application/US/17242990/1","US20220051513")</f>
        <v>0.0</v>
      </c>
      <c r="M896" t="s">
        <v>6234</v>
      </c>
      <c r="N896" t="s">
        <v>6235</v>
      </c>
      <c r="O896" t="s">
        <v>6236</v>
      </c>
      <c r="P896" t="s">
        <v>6237</v>
      </c>
      <c r="Q896" s="3" t="n">
        <v>44314.0</v>
      </c>
      <c r="R896" s="3" t="n">
        <v>44609.0</v>
      </c>
      <c r="S896" s="3" t="n">
        <v>44610.18880659722</v>
      </c>
      <c r="T896" s="3" t="n">
        <v>44698.631748611115</v>
      </c>
      <c r="U896" t="s">
        <v>31</v>
      </c>
      <c r="V896" t="s">
        <v>6238</v>
      </c>
    </row>
    <row r="897">
      <c r="A897" t="s">
        <v>22</v>
      </c>
      <c r="B897" t="s">
        <v>6239</v>
      </c>
      <c r="C897" t="s">
        <v>24</v>
      </c>
      <c r="D897" t="s">
        <v>204</v>
      </c>
      <c r="E897" t="s">
        <v>6240</v>
      </c>
      <c r="F897" s="2" t="n">
        <f>HYPERLINK("https://patents.google.com/patent/US20220051512","Google")</f>
        <v>0.0</v>
      </c>
      <c r="G897" s="2" t="n">
        <f>HYPERLINK("https://patentcenter.uspto.gov/applications/17242945","Patent Center")</f>
        <v>0.0</v>
      </c>
      <c r="H897" s="2" t="n">
        <f>HYPERLINK("https://worldwide.espacenet.com/patent/search?q=US20220051512","Espacenet")</f>
        <v>0.0</v>
      </c>
      <c r="I897" s="2" t="n">
        <f>HYPERLINK("https://ppubs.uspto.gov/pubwebapp/external.html?q=20220051512.pn.","USPTO")</f>
        <v>0.0</v>
      </c>
      <c r="J897" s="2" t="n">
        <f>HYPERLINK("https://image-ppubs.uspto.gov/dirsearch-public/print/downloadPdf/20220051512","USPTO PDF")</f>
        <v>0.0</v>
      </c>
      <c r="K897" s="2" t="n">
        <f>HYPERLINK("https://sectors.patentforecast.com/pmd/US20220051512","PMD")</f>
        <v>0.0</v>
      </c>
      <c r="L897" s="2" t="n">
        <f>HYPERLINK("https://globaldossier.uspto.gov/result/application/US/17242945/1","US20220051512")</f>
        <v>0.0</v>
      </c>
      <c r="M897" t="s">
        <v>6241</v>
      </c>
      <c r="N897" t="s">
        <v>5071</v>
      </c>
      <c r="O897" t="s">
        <v>5072</v>
      </c>
      <c r="P897" t="s">
        <v>6237</v>
      </c>
      <c r="Q897" s="3" t="n">
        <v>44314.0</v>
      </c>
      <c r="R897" s="3" t="n">
        <v>44609.0</v>
      </c>
      <c r="S897" s="3" t="n">
        <v>44610.18880659722</v>
      </c>
      <c r="T897" s="3" t="n">
        <v>44698.63180271991</v>
      </c>
      <c r="U897" t="s">
        <v>6242</v>
      </c>
      <c r="V897" t="s">
        <v>6243</v>
      </c>
    </row>
    <row r="898">
      <c r="A898" t="s">
        <v>22</v>
      </c>
      <c r="B898" t="s">
        <v>6244</v>
      </c>
      <c r="C898" t="s">
        <v>24</v>
      </c>
      <c r="D898" t="s">
        <v>3667</v>
      </c>
      <c r="E898" t="s">
        <v>6245</v>
      </c>
      <c r="F898" s="2" t="n">
        <f>HYPERLINK("https://patents.google.com/patent/US20220051511","Google")</f>
        <v>0.0</v>
      </c>
      <c r="G898" s="2" t="n">
        <f>HYPERLINK("https://patentcenter.uspto.gov/applications/17242933","Patent Center")</f>
        <v>0.0</v>
      </c>
      <c r="H898" s="2" t="n">
        <f>HYPERLINK("https://worldwide.espacenet.com/patent/search?q=US20220051511","Espacenet")</f>
        <v>0.0</v>
      </c>
      <c r="I898" s="2" t="n">
        <f>HYPERLINK("https://ppubs.uspto.gov/pubwebapp/external.html?q=20220051511.pn.","USPTO")</f>
        <v>0.0</v>
      </c>
      <c r="J898" s="2" t="n">
        <f>HYPERLINK("https://image-ppubs.uspto.gov/dirsearch-public/print/downloadPdf/20220051511","USPTO PDF")</f>
        <v>0.0</v>
      </c>
      <c r="K898" s="2" t="n">
        <f>HYPERLINK("https://sectors.patentforecast.com/pmd/US20220051511","PMD")</f>
        <v>0.0</v>
      </c>
      <c r="L898" s="2" t="n">
        <f>HYPERLINK("https://globaldossier.uspto.gov/result/application/US/17242933/1","US20220051511")</f>
        <v>0.0</v>
      </c>
      <c r="M898" t="s">
        <v>6246</v>
      </c>
      <c r="N898" t="s">
        <v>5071</v>
      </c>
      <c r="O898" t="s">
        <v>5072</v>
      </c>
      <c r="P898" t="s">
        <v>6237</v>
      </c>
      <c r="Q898" s="3" t="n">
        <v>44314.0</v>
      </c>
      <c r="R898" s="3" t="n">
        <v>44609.0</v>
      </c>
      <c r="S898" s="3" t="n">
        <v>44610.18880659722</v>
      </c>
      <c r="T898" s="3" t="n">
        <v>44698.63224115741</v>
      </c>
      <c r="U898" t="s">
        <v>6242</v>
      </c>
      <c r="V898" t="s">
        <v>6247</v>
      </c>
    </row>
    <row r="899">
      <c r="A899" t="s">
        <v>22</v>
      </c>
      <c r="B899" t="s">
        <v>6248</v>
      </c>
      <c r="C899" t="s">
        <v>24</v>
      </c>
      <c r="D899" t="s">
        <v>3667</v>
      </c>
      <c r="E899" t="s">
        <v>6249</v>
      </c>
      <c r="F899" s="2" t="n">
        <f>HYPERLINK("https://patents.google.com/patent/US20220051510","Google")</f>
        <v>0.0</v>
      </c>
      <c r="G899" s="2" t="n">
        <f>HYPERLINK("https://patentcenter.uspto.gov/applications/17242922","Patent Center")</f>
        <v>0.0</v>
      </c>
      <c r="H899" s="2" t="n">
        <f>HYPERLINK("https://worldwide.espacenet.com/patent/search?q=US20220051510","Espacenet")</f>
        <v>0.0</v>
      </c>
      <c r="I899" s="2" t="n">
        <f>HYPERLINK("https://ppubs.uspto.gov/pubwebapp/external.html?q=20220051510.pn.","USPTO")</f>
        <v>0.0</v>
      </c>
      <c r="J899" s="2" t="n">
        <f>HYPERLINK("https://image-ppubs.uspto.gov/dirsearch-public/print/downloadPdf/20220051510","USPTO PDF")</f>
        <v>0.0</v>
      </c>
      <c r="K899" s="2" t="n">
        <f>HYPERLINK("https://sectors.patentforecast.com/pmd/US20220051510","PMD")</f>
        <v>0.0</v>
      </c>
      <c r="L899" s="2" t="n">
        <f>HYPERLINK("https://globaldossier.uspto.gov/result/application/US/17242922/1","US20220051510")</f>
        <v>0.0</v>
      </c>
      <c r="M899" t="s">
        <v>6250</v>
      </c>
      <c r="N899" t="s">
        <v>5071</v>
      </c>
      <c r="O899" t="s">
        <v>5072</v>
      </c>
      <c r="P899" t="s">
        <v>6251</v>
      </c>
      <c r="Q899" s="3" t="n">
        <v>44314.0</v>
      </c>
      <c r="R899" s="3" t="n">
        <v>44609.0</v>
      </c>
      <c r="S899" s="3" t="n">
        <v>44610.18880659722</v>
      </c>
      <c r="T899" s="3" t="n">
        <v>44698.632410115744</v>
      </c>
      <c r="U899" t="s">
        <v>31</v>
      </c>
      <c r="V899" t="s">
        <v>6252</v>
      </c>
    </row>
    <row r="900">
      <c r="A900" t="s">
        <v>22</v>
      </c>
      <c r="B900" t="s">
        <v>6253</v>
      </c>
      <c r="C900" t="s">
        <v>24</v>
      </c>
      <c r="D900" t="s">
        <v>3667</v>
      </c>
      <c r="E900" t="s">
        <v>6254</v>
      </c>
      <c r="F900" s="2" t="n">
        <f>HYPERLINK("https://patents.google.com/patent/US20220051509","Google")</f>
        <v>0.0</v>
      </c>
      <c r="G900" s="2" t="n">
        <f>HYPERLINK("https://patentcenter.uspto.gov/applications/16990381","Patent Center")</f>
        <v>0.0</v>
      </c>
      <c r="H900" s="2" t="n">
        <f>HYPERLINK("https://worldwide.espacenet.com/patent/search?q=US20220051509","Espacenet")</f>
        <v>0.0</v>
      </c>
      <c r="I900" s="2" t="n">
        <f>HYPERLINK("https://ppubs.uspto.gov/pubwebapp/external.html?q=20220051509.pn.","USPTO")</f>
        <v>0.0</v>
      </c>
      <c r="J900" s="2" t="n">
        <f>HYPERLINK("https://image-ppubs.uspto.gov/dirsearch-public/print/downloadPdf/20220051509","USPTO PDF")</f>
        <v>0.0</v>
      </c>
      <c r="K900" s="2" t="n">
        <f>HYPERLINK("https://sectors.patentforecast.com/pmd/US20220051509","PMD")</f>
        <v>0.0</v>
      </c>
      <c r="L900" s="2" t="n">
        <f>HYPERLINK("https://globaldossier.uspto.gov/result/application/US/16990381/1","US20220051509")</f>
        <v>0.0</v>
      </c>
      <c r="M900" t="s">
        <v>6255</v>
      </c>
      <c r="N900" t="s">
        <v>5071</v>
      </c>
      <c r="O900" t="s">
        <v>5072</v>
      </c>
      <c r="P900" t="s">
        <v>6256</v>
      </c>
      <c r="Q900" s="3" t="n">
        <v>44054.0</v>
      </c>
      <c r="R900" s="3" t="n">
        <v>44609.0</v>
      </c>
      <c r="S900" s="3" t="n">
        <v>44610.18880659722</v>
      </c>
      <c r="T900" s="3" t="n">
        <v>44698.63243247685</v>
      </c>
      <c r="U900" t="s">
        <v>6257</v>
      </c>
      <c r="V900" t="s">
        <v>6258</v>
      </c>
    </row>
    <row r="901">
      <c r="A901" t="s">
        <v>22</v>
      </c>
      <c r="B901" t="s">
        <v>6259</v>
      </c>
      <c r="C901" t="s">
        <v>24</v>
      </c>
      <c r="D901" t="s">
        <v>204</v>
      </c>
      <c r="E901" t="s">
        <v>6260</v>
      </c>
      <c r="F901" s="2" t="n">
        <f>HYPERLINK("https://patents.google.com/patent/US20220051503","Google")</f>
        <v>0.0</v>
      </c>
      <c r="G901" s="2" t="n">
        <f>HYPERLINK("https://patentcenter.uspto.gov/applications/17365094","Patent Center")</f>
        <v>0.0</v>
      </c>
      <c r="H901" s="2" t="n">
        <f>HYPERLINK("https://worldwide.espacenet.com/patent/search?q=US20220051503","Espacenet")</f>
        <v>0.0</v>
      </c>
      <c r="I901" s="2" t="n">
        <f>HYPERLINK("https://ppubs.uspto.gov/pubwebapp/external.html?q=20220051503.pn.","USPTO")</f>
        <v>0.0</v>
      </c>
      <c r="J901" s="2" t="n">
        <f>HYPERLINK("https://image-ppubs.uspto.gov/dirsearch-public/print/downloadPdf/20220051503","USPTO PDF")</f>
        <v>0.0</v>
      </c>
      <c r="K901" s="2" t="n">
        <f>HYPERLINK("https://sectors.patentforecast.com/pmd/US20220051503","PMD")</f>
        <v>0.0</v>
      </c>
      <c r="L901" s="2" t="n">
        <f>HYPERLINK("https://globaldossier.uspto.gov/result/application/US/17365094/1","US20220051503")</f>
        <v>0.0</v>
      </c>
      <c r="M901" t="s">
        <v>6261</v>
      </c>
      <c r="N901" t="s">
        <v>6262</v>
      </c>
      <c r="O901" t="s">
        <v>6263</v>
      </c>
      <c r="P901" t="s">
        <v>6264</v>
      </c>
      <c r="Q901" s="3" t="n">
        <v>44378.0</v>
      </c>
      <c r="R901" s="3" t="n">
        <v>44609.0</v>
      </c>
      <c r="S901" s="3" t="n">
        <v>44610.18880659722</v>
      </c>
      <c r="T901" s="3" t="n">
        <v>44698.63251523148</v>
      </c>
      <c r="U901" t="s">
        <v>6265</v>
      </c>
      <c r="V901" t="s">
        <v>6266</v>
      </c>
    </row>
    <row r="902">
      <c r="A902" t="s">
        <v>22</v>
      </c>
      <c r="B902" t="s">
        <v>6267</v>
      </c>
      <c r="C902" t="s">
        <v>24</v>
      </c>
      <c r="D902" t="s">
        <v>204</v>
      </c>
      <c r="E902" t="s">
        <v>6268</v>
      </c>
      <c r="F902" s="2" t="n">
        <f>HYPERLINK("https://patents.google.com/patent/US20220051494","Google")</f>
        <v>0.0</v>
      </c>
      <c r="G902" s="2" t="n">
        <f>HYPERLINK("https://patentcenter.uspto.gov/applications/17398995","Patent Center")</f>
        <v>0.0</v>
      </c>
      <c r="H902" s="2" t="n">
        <f>HYPERLINK("https://worldwide.espacenet.com/patent/search?q=US20220051494","Espacenet")</f>
        <v>0.0</v>
      </c>
      <c r="I902" s="2" t="n">
        <f>HYPERLINK("https://ppubs.uspto.gov/pubwebapp/external.html?q=20220051494.pn.","USPTO")</f>
        <v>0.0</v>
      </c>
      <c r="J902" s="2" t="n">
        <f>HYPERLINK("https://image-ppubs.uspto.gov/dirsearch-public/print/downloadPdf/20220051494","USPTO PDF")</f>
        <v>0.0</v>
      </c>
      <c r="K902" s="2" t="n">
        <f>HYPERLINK("https://sectors.patentforecast.com/pmd/US20220051494","PMD")</f>
        <v>0.0</v>
      </c>
      <c r="L902" s="2" t="n">
        <f>HYPERLINK("https://globaldossier.uspto.gov/result/application/US/17398995/1","US20220051494")</f>
        <v>0.0</v>
      </c>
      <c r="M902" t="s">
        <v>6269</v>
      </c>
      <c r="N902" t="s">
        <v>6270</v>
      </c>
      <c r="O902" t="s">
        <v>6271</v>
      </c>
      <c r="P902" t="s">
        <v>6272</v>
      </c>
      <c r="Q902" s="3" t="n">
        <v>44418.0</v>
      </c>
      <c r="R902" s="3" t="n">
        <v>44609.0</v>
      </c>
      <c r="S902" s="3" t="n">
        <v>44610.18880659722</v>
      </c>
      <c r="T902" s="3" t="n">
        <v>44698.63268953704</v>
      </c>
      <c r="U902" t="s">
        <v>6273</v>
      </c>
      <c r="V902" t="s">
        <v>6274</v>
      </c>
    </row>
    <row r="903">
      <c r="A903" t="s">
        <v>22</v>
      </c>
      <c r="B903" t="s">
        <v>6275</v>
      </c>
      <c r="C903" t="s">
        <v>24</v>
      </c>
      <c r="D903" t="s">
        <v>204</v>
      </c>
      <c r="E903" t="s">
        <v>6276</v>
      </c>
      <c r="F903" s="2" t="n">
        <f>HYPERLINK("https://patents.google.com/patent/US20220051412","Google")</f>
        <v>0.0</v>
      </c>
      <c r="G903" s="2" t="n">
        <f>HYPERLINK("https://patentcenter.uspto.gov/applications/17304379","Patent Center")</f>
        <v>0.0</v>
      </c>
      <c r="H903" s="2" t="n">
        <f>HYPERLINK("https://worldwide.espacenet.com/patent/search?q=US20220051412","Espacenet")</f>
        <v>0.0</v>
      </c>
      <c r="I903" s="2" t="n">
        <f>HYPERLINK("https://ppubs.uspto.gov/pubwebapp/external.html?q=20220051412.pn.","USPTO")</f>
        <v>0.0</v>
      </c>
      <c r="J903" s="2" t="n">
        <f>HYPERLINK("https://image-ppubs.uspto.gov/dirsearch-public/print/downloadPdf/20220051412","USPTO PDF")</f>
        <v>0.0</v>
      </c>
      <c r="K903" s="2" t="n">
        <f>HYPERLINK("https://sectors.patentforecast.com/pmd/US20220051412","PMD")</f>
        <v>0.0</v>
      </c>
      <c r="L903" s="2" t="n">
        <f>HYPERLINK("https://globaldossier.uspto.gov/result/application/US/17304379/1","US20220051412")</f>
        <v>0.0</v>
      </c>
      <c r="M903" t="s">
        <v>6277</v>
      </c>
      <c r="N903" t="s">
        <v>6170</v>
      </c>
      <c r="O903" t="s">
        <v>6171</v>
      </c>
      <c r="P903" t="s">
        <v>6278</v>
      </c>
      <c r="Q903" s="3" t="n">
        <v>44367.0</v>
      </c>
      <c r="R903" s="3" t="n">
        <v>44609.0</v>
      </c>
      <c r="S903" s="3" t="n">
        <v>44610.18776179398</v>
      </c>
      <c r="T903" s="3" t="n">
        <v>44698.6327791088</v>
      </c>
      <c r="U903" t="s">
        <v>6279</v>
      </c>
      <c r="V903" t="s">
        <v>6280</v>
      </c>
    </row>
    <row r="904">
      <c r="A904" t="s">
        <v>22</v>
      </c>
      <c r="B904" t="s">
        <v>6281</v>
      </c>
      <c r="C904" t="s">
        <v>24</v>
      </c>
      <c r="D904" t="s">
        <v>3193</v>
      </c>
      <c r="E904" t="s">
        <v>6282</v>
      </c>
      <c r="F904" s="2" t="n">
        <f>HYPERLINK("https://patents.google.com/patent/US20220050929","Google")</f>
        <v>0.0</v>
      </c>
      <c r="G904" s="2" t="n">
        <f>HYPERLINK("https://patentcenter.uspto.gov/applications/17402310","Patent Center")</f>
        <v>0.0</v>
      </c>
      <c r="H904" s="2" t="n">
        <f>HYPERLINK("https://worldwide.espacenet.com/patent/search?q=US20220050929","Espacenet")</f>
        <v>0.0</v>
      </c>
      <c r="I904" s="2" t="n">
        <f>HYPERLINK("https://ppubs.uspto.gov/pubwebapp/external.html?q=20220050929.pn.","USPTO")</f>
        <v>0.0</v>
      </c>
      <c r="J904" s="2" t="n">
        <f>HYPERLINK("https://image-ppubs.uspto.gov/dirsearch-public/print/downloadPdf/20220050929","USPTO PDF")</f>
        <v>0.0</v>
      </c>
      <c r="K904" s="2" t="n">
        <f>HYPERLINK("https://sectors.patentforecast.com/pmd/US20220050929","PMD")</f>
        <v>0.0</v>
      </c>
      <c r="L904" s="2" t="n">
        <f>HYPERLINK("https://globaldossier.uspto.gov/result/application/US/17402310/1","US20220050929")</f>
        <v>0.0</v>
      </c>
      <c r="M904" t="s">
        <v>6283</v>
      </c>
      <c r="N904" t="s">
        <v>6284</v>
      </c>
      <c r="O904" t="s">
        <v>6285</v>
      </c>
      <c r="P904" t="s">
        <v>6286</v>
      </c>
      <c r="Q904" s="3" t="n">
        <v>44421.0</v>
      </c>
      <c r="R904" s="3" t="n">
        <v>44609.0</v>
      </c>
      <c r="S904" s="3" t="n">
        <v>44610.18880659722</v>
      </c>
      <c r="T904" s="3" t="n">
        <v>44698.6329612037</v>
      </c>
      <c r="U904" t="s">
        <v>6287</v>
      </c>
      <c r="V904" t="s">
        <v>6288</v>
      </c>
    </row>
    <row r="905">
      <c r="A905" t="s">
        <v>22</v>
      </c>
      <c r="B905" t="s">
        <v>6289</v>
      </c>
      <c r="C905" t="s">
        <v>312</v>
      </c>
      <c r="D905" t="s">
        <v>976</v>
      </c>
      <c r="E905" t="s">
        <v>6290</v>
      </c>
      <c r="F905" s="2" t="n">
        <f>HYPERLINK("https://patents.google.com/patent/US20220050917","Google")</f>
        <v>0.0</v>
      </c>
      <c r="G905" s="2" t="n">
        <f>HYPERLINK("https://patentcenter.uspto.gov/applications/17400484","Patent Center")</f>
        <v>0.0</v>
      </c>
      <c r="H905" s="2" t="n">
        <f>HYPERLINK("https://worldwide.espacenet.com/patent/search?q=US20220050917","Espacenet")</f>
        <v>0.0</v>
      </c>
      <c r="I905" s="2" t="n">
        <f>HYPERLINK("https://ppubs.uspto.gov/pubwebapp/external.html?q=20220050917.pn.","USPTO")</f>
        <v>0.0</v>
      </c>
      <c r="J905" s="2" t="n">
        <f>HYPERLINK("https://image-ppubs.uspto.gov/dirsearch-public/print/downloadPdf/20220050917","USPTO PDF")</f>
        <v>0.0</v>
      </c>
      <c r="K905" s="2" t="n">
        <f>HYPERLINK("https://sectors.patentforecast.com/pmd/US20220050917","PMD")</f>
        <v>0.0</v>
      </c>
      <c r="L905" s="2" t="n">
        <f>HYPERLINK("https://globaldossier.uspto.gov/result/application/US/17400484/1","US20220050917")</f>
        <v>0.0</v>
      </c>
      <c r="M905" t="s">
        <v>6291</v>
      </c>
      <c r="N905" t="s">
        <v>6292</v>
      </c>
      <c r="O905" t="s">
        <v>6292</v>
      </c>
      <c r="P905" t="s">
        <v>6293</v>
      </c>
      <c r="Q905" s="3" t="n">
        <v>44420.0</v>
      </c>
      <c r="R905" s="3" t="n">
        <v>44609.0</v>
      </c>
      <c r="S905" s="3" t="n">
        <v>44610.18880659722</v>
      </c>
      <c r="T905" s="3" t="n">
        <v>44698.63309699074</v>
      </c>
      <c r="U905" t="s">
        <v>31</v>
      </c>
      <c r="V905" t="s">
        <v>6294</v>
      </c>
    </row>
    <row r="906">
      <c r="A906" t="s">
        <v>22</v>
      </c>
      <c r="B906" t="s">
        <v>6295</v>
      </c>
      <c r="C906" t="s">
        <v>24</v>
      </c>
      <c r="D906" t="s">
        <v>204</v>
      </c>
      <c r="E906" t="s">
        <v>6296</v>
      </c>
      <c r="F906" s="2" t="n">
        <f>HYPERLINK("https://patents.google.com/patent/US20220050877","Google")</f>
        <v>0.0</v>
      </c>
      <c r="G906" s="2" t="n">
        <f>HYPERLINK("https://patentcenter.uspto.gov/applications/17119943","Patent Center")</f>
        <v>0.0</v>
      </c>
      <c r="H906" s="2" t="n">
        <f>HYPERLINK("https://worldwide.espacenet.com/patent/search?q=US20220050877","Espacenet")</f>
        <v>0.0</v>
      </c>
      <c r="I906" s="2" t="n">
        <f>HYPERLINK("https://ppubs.uspto.gov/pubwebapp/external.html?q=20220050877.pn.","USPTO")</f>
        <v>0.0</v>
      </c>
      <c r="J906" s="2" t="n">
        <f>HYPERLINK("https://image-ppubs.uspto.gov/dirsearch-public/print/downloadPdf/20220050877","USPTO PDF")</f>
        <v>0.0</v>
      </c>
      <c r="K906" s="2" t="n">
        <f>HYPERLINK("https://sectors.patentforecast.com/pmd/US20220050877","PMD")</f>
        <v>0.0</v>
      </c>
      <c r="L906" s="2" t="n">
        <f>HYPERLINK("https://globaldossier.uspto.gov/result/application/US/17119943/1","US20220050877")</f>
        <v>0.0</v>
      </c>
      <c r="M906" t="s">
        <v>6297</v>
      </c>
      <c r="N906" t="s">
        <v>5131</v>
      </c>
      <c r="O906" t="s">
        <v>5132</v>
      </c>
      <c r="P906" t="s">
        <v>6298</v>
      </c>
      <c r="Q906" s="3" t="n">
        <v>44176.0</v>
      </c>
      <c r="R906" s="3" t="n">
        <v>44609.0</v>
      </c>
      <c r="S906" s="3" t="n">
        <v>44610.18880659722</v>
      </c>
      <c r="T906" s="3" t="n">
        <v>44698.633388055554</v>
      </c>
      <c r="U906" t="s">
        <v>31</v>
      </c>
      <c r="V906" t="s">
        <v>6299</v>
      </c>
    </row>
    <row r="907">
      <c r="A907" t="s">
        <v>22</v>
      </c>
      <c r="B907" t="s">
        <v>6300</v>
      </c>
      <c r="C907" t="s">
        <v>24</v>
      </c>
      <c r="D907" t="s">
        <v>204</v>
      </c>
      <c r="E907" t="s">
        <v>6296</v>
      </c>
      <c r="F907" s="2" t="n">
        <f>HYPERLINK("https://patents.google.com/patent/US20220050876","Google")</f>
        <v>0.0</v>
      </c>
      <c r="G907" s="2" t="n">
        <f>HYPERLINK("https://patentcenter.uspto.gov/applications/17119941","Patent Center")</f>
        <v>0.0</v>
      </c>
      <c r="H907" s="2" t="n">
        <f>HYPERLINK("https://worldwide.espacenet.com/patent/search?q=US20220050876","Espacenet")</f>
        <v>0.0</v>
      </c>
      <c r="I907" s="2" t="n">
        <f>HYPERLINK("https://ppubs.uspto.gov/pubwebapp/external.html?q=20220050876.pn.","USPTO")</f>
        <v>0.0</v>
      </c>
      <c r="J907" s="2" t="n">
        <f>HYPERLINK("https://image-ppubs.uspto.gov/dirsearch-public/print/downloadPdf/20220050876","USPTO PDF")</f>
        <v>0.0</v>
      </c>
      <c r="K907" s="2" t="n">
        <f>HYPERLINK("https://sectors.patentforecast.com/pmd/US20220050876","PMD")</f>
        <v>0.0</v>
      </c>
      <c r="L907" s="2" t="n">
        <f>HYPERLINK("https://globaldossier.uspto.gov/result/application/US/17119941/1","US20220050876")</f>
        <v>0.0</v>
      </c>
      <c r="M907" t="s">
        <v>6301</v>
      </c>
      <c r="N907" t="s">
        <v>5131</v>
      </c>
      <c r="O907" t="s">
        <v>5132</v>
      </c>
      <c r="P907" t="s">
        <v>6298</v>
      </c>
      <c r="Q907" s="3" t="n">
        <v>44176.0</v>
      </c>
      <c r="R907" s="3" t="n">
        <v>44609.0</v>
      </c>
      <c r="S907" s="3" t="n">
        <v>44610.18880659722</v>
      </c>
      <c r="T907" s="3" t="n">
        <v>44698.63347854167</v>
      </c>
      <c r="U907" t="s">
        <v>31</v>
      </c>
      <c r="V907" t="s">
        <v>6299</v>
      </c>
    </row>
    <row r="908">
      <c r="A908" t="s">
        <v>22</v>
      </c>
      <c r="B908" t="s">
        <v>6302</v>
      </c>
      <c r="C908" t="s">
        <v>24</v>
      </c>
      <c r="D908" t="s">
        <v>69</v>
      </c>
      <c r="E908" t="s">
        <v>6303</v>
      </c>
      <c r="F908" s="2" t="n">
        <f>HYPERLINK("https://patents.google.com/patent/US20220050591","Google")</f>
        <v>0.0</v>
      </c>
      <c r="G908" s="2" t="n">
        <f>HYPERLINK("https://patentcenter.uspto.gov/applications/17372680","Patent Center")</f>
        <v>0.0</v>
      </c>
      <c r="H908" s="2" t="n">
        <f>HYPERLINK("https://worldwide.espacenet.com/patent/search?q=US20220050591","Espacenet")</f>
        <v>0.0</v>
      </c>
      <c r="I908" s="2" t="n">
        <f>HYPERLINK("https://ppubs.uspto.gov/pubwebapp/external.html?q=20220050591.pn.","USPTO")</f>
        <v>0.0</v>
      </c>
      <c r="J908" s="2" t="n">
        <f>HYPERLINK("https://image-ppubs.uspto.gov/dirsearch-public/print/downloadPdf/20220050591","USPTO PDF")</f>
        <v>0.0</v>
      </c>
      <c r="K908" s="2" t="n">
        <f>HYPERLINK("https://sectors.patentforecast.com/pmd/US20220050591","PMD")</f>
        <v>0.0</v>
      </c>
      <c r="L908" s="2" t="n">
        <f>HYPERLINK("https://globaldossier.uspto.gov/result/application/US/17372680/1","US20220050591")</f>
        <v>0.0</v>
      </c>
      <c r="M908" t="s">
        <v>6304</v>
      </c>
      <c r="N908" t="s">
        <v>6305</v>
      </c>
      <c r="O908" t="s">
        <v>6306</v>
      </c>
      <c r="P908" t="s">
        <v>6307</v>
      </c>
      <c r="Q908" s="3" t="n">
        <v>44389.0</v>
      </c>
      <c r="R908" s="3" t="n">
        <v>44609.0</v>
      </c>
      <c r="S908" s="3" t="n">
        <v>44610.18880659722</v>
      </c>
      <c r="T908" s="3" t="n">
        <v>44698.6339446875</v>
      </c>
      <c r="U908" t="s">
        <v>6308</v>
      </c>
      <c r="V908" t="s">
        <v>6309</v>
      </c>
    </row>
    <row r="909">
      <c r="A909" t="s">
        <v>22</v>
      </c>
      <c r="B909" t="s">
        <v>6310</v>
      </c>
      <c r="C909" t="s">
        <v>24</v>
      </c>
      <c r="D909" t="s">
        <v>69</v>
      </c>
      <c r="E909" t="s">
        <v>6303</v>
      </c>
      <c r="F909" s="2" t="n">
        <f>HYPERLINK("https://patents.google.com/patent/US20220050432","Google")</f>
        <v>0.0</v>
      </c>
      <c r="G909" s="2" t="n">
        <f>HYPERLINK("https://patentcenter.uspto.gov/applications/17372706","Patent Center")</f>
        <v>0.0</v>
      </c>
      <c r="H909" s="2" t="n">
        <f>HYPERLINK("https://worldwide.espacenet.com/patent/search?q=US20220050432","Espacenet")</f>
        <v>0.0</v>
      </c>
      <c r="I909" s="2" t="n">
        <f>HYPERLINK("https://ppubs.uspto.gov/pubwebapp/external.html?q=20220050432.pn.","USPTO")</f>
        <v>0.0</v>
      </c>
      <c r="J909" s="2" t="n">
        <f>HYPERLINK("https://image-ppubs.uspto.gov/dirsearch-public/print/downloadPdf/20220050432","USPTO PDF")</f>
        <v>0.0</v>
      </c>
      <c r="K909" s="2" t="n">
        <f>HYPERLINK("https://sectors.patentforecast.com/pmd/US20220050432","PMD")</f>
        <v>0.0</v>
      </c>
      <c r="L909" s="2" t="n">
        <f>HYPERLINK("https://globaldossier.uspto.gov/result/application/US/17372706/1","US20220050432")</f>
        <v>0.0</v>
      </c>
      <c r="M909" t="s">
        <v>6311</v>
      </c>
      <c r="N909" t="s">
        <v>6305</v>
      </c>
      <c r="O909" t="s">
        <v>6306</v>
      </c>
      <c r="P909" t="s">
        <v>6312</v>
      </c>
      <c r="Q909" s="3" t="n">
        <v>44389.0</v>
      </c>
      <c r="R909" s="3" t="n">
        <v>44609.0</v>
      </c>
      <c r="S909" s="3" t="n">
        <v>44610.18880659722</v>
      </c>
      <c r="T909" s="3" t="n">
        <v>44698.633999791666</v>
      </c>
      <c r="U909" t="s">
        <v>31</v>
      </c>
      <c r="V909" t="s">
        <v>6313</v>
      </c>
    </row>
    <row r="910">
      <c r="A910" t="s">
        <v>22</v>
      </c>
      <c r="B910" t="s">
        <v>6314</v>
      </c>
      <c r="C910" t="s">
        <v>24</v>
      </c>
      <c r="D910" t="s">
        <v>25</v>
      </c>
      <c r="E910" t="s">
        <v>6315</v>
      </c>
      <c r="F910" s="2" t="n">
        <f>HYPERLINK("https://patents.google.com/patent/US20220050106","Google")</f>
        <v>0.0</v>
      </c>
      <c r="G910" s="2" t="n">
        <f>HYPERLINK("https://patentcenter.uspto.gov/applications/17400086","Patent Center")</f>
        <v>0.0</v>
      </c>
      <c r="H910" s="2" t="n">
        <f>HYPERLINK("https://worldwide.espacenet.com/patent/search?q=US20220050106","Espacenet")</f>
        <v>0.0</v>
      </c>
      <c r="I910" s="2" t="n">
        <f>HYPERLINK("https://ppubs.uspto.gov/pubwebapp/external.html?q=20220050106.pn.","USPTO")</f>
        <v>0.0</v>
      </c>
      <c r="J910" s="2" t="n">
        <f>HYPERLINK("https://image-ppubs.uspto.gov/dirsearch-public/print/downloadPdf/20220050106","USPTO PDF")</f>
        <v>0.0</v>
      </c>
      <c r="K910" s="2" t="n">
        <f>HYPERLINK("https://sectors.patentforecast.com/pmd/US20220050106","PMD")</f>
        <v>0.0</v>
      </c>
      <c r="L910" s="2" t="n">
        <f>HYPERLINK("https://globaldossier.uspto.gov/result/application/US/17400086/1","US20220050106")</f>
        <v>0.0</v>
      </c>
      <c r="M910" t="s">
        <v>6316</v>
      </c>
      <c r="N910" t="s">
        <v>6317</v>
      </c>
      <c r="O910" t="s">
        <v>6318</v>
      </c>
      <c r="P910" t="s">
        <v>6319</v>
      </c>
      <c r="Q910" s="3" t="n">
        <v>44419.0</v>
      </c>
      <c r="R910" s="3" t="n">
        <v>44609.0</v>
      </c>
      <c r="S910" s="3" t="n">
        <v>44610.18880659722</v>
      </c>
      <c r="T910" s="3" t="n">
        <v>44698.634027430555</v>
      </c>
      <c r="U910" t="s">
        <v>31</v>
      </c>
      <c r="V910" t="s">
        <v>6320</v>
      </c>
    </row>
    <row r="911">
      <c r="A911" t="s">
        <v>22</v>
      </c>
      <c r="B911" t="s">
        <v>6321</v>
      </c>
      <c r="C911" t="s">
        <v>24</v>
      </c>
      <c r="D911" t="s">
        <v>25</v>
      </c>
      <c r="E911" t="s">
        <v>6322</v>
      </c>
      <c r="F911" s="2" t="n">
        <f>HYPERLINK("https://patents.google.com/patent/US20220050105","Google")</f>
        <v>0.0</v>
      </c>
      <c r="G911" s="2" t="n">
        <f>HYPERLINK("https://patentcenter.uspto.gov/applications/17096076","Patent Center")</f>
        <v>0.0</v>
      </c>
      <c r="H911" s="2" t="n">
        <f>HYPERLINK("https://worldwide.espacenet.com/patent/search?q=US20220050105","Espacenet")</f>
        <v>0.0</v>
      </c>
      <c r="I911" s="2" t="n">
        <f>HYPERLINK("https://ppubs.uspto.gov/pubwebapp/external.html?q=20220050105.pn.","USPTO")</f>
        <v>0.0</v>
      </c>
      <c r="J911" s="2" t="n">
        <f>HYPERLINK("https://image-ppubs.uspto.gov/dirsearch-public/print/downloadPdf/20220050105","USPTO PDF")</f>
        <v>0.0</v>
      </c>
      <c r="K911" s="2" t="n">
        <f>HYPERLINK("https://sectors.patentforecast.com/pmd/US20220050105","PMD")</f>
        <v>0.0</v>
      </c>
      <c r="L911" s="2" t="n">
        <f>HYPERLINK("https://globaldossier.uspto.gov/result/application/US/17096076/1","US20220050105")</f>
        <v>0.0</v>
      </c>
      <c r="M911" t="s">
        <v>6323</v>
      </c>
      <c r="N911" t="s">
        <v>6324</v>
      </c>
      <c r="O911" t="s">
        <v>6325</v>
      </c>
      <c r="P911" t="s">
        <v>6326</v>
      </c>
      <c r="Q911" s="3" t="n">
        <v>44147.0</v>
      </c>
      <c r="R911" s="3" t="n">
        <v>44609.0</v>
      </c>
      <c r="S911" s="3" t="n">
        <v>44610.18880659722</v>
      </c>
      <c r="T911" s="3" t="n">
        <v>44698.5131252662</v>
      </c>
      <c r="U911" t="s">
        <v>31</v>
      </c>
      <c r="V911" t="s">
        <v>6327</v>
      </c>
    </row>
    <row r="912">
      <c r="A912" t="s">
        <v>22</v>
      </c>
      <c r="B912" t="s">
        <v>6328</v>
      </c>
      <c r="C912" t="s">
        <v>24</v>
      </c>
      <c r="D912" t="s">
        <v>34</v>
      </c>
      <c r="E912" t="s">
        <v>6329</v>
      </c>
      <c r="F912" s="2" t="n">
        <f>HYPERLINK("https://patents.google.com/patent/US20220050102","Google")</f>
        <v>0.0</v>
      </c>
      <c r="G912" s="2" t="n">
        <f>HYPERLINK("https://patentcenter.uspto.gov/applications/17389473","Patent Center")</f>
        <v>0.0</v>
      </c>
      <c r="H912" s="2" t="n">
        <f>HYPERLINK("https://worldwide.espacenet.com/patent/search?q=US20220050102","Espacenet")</f>
        <v>0.0</v>
      </c>
      <c r="I912" s="2" t="n">
        <f>HYPERLINK("https://ppubs.uspto.gov/pubwebapp/external.html?q=20220050102.pn.","USPTO")</f>
        <v>0.0</v>
      </c>
      <c r="J912" s="2" t="n">
        <f>HYPERLINK("https://image-ppubs.uspto.gov/dirsearch-public/print/downloadPdf/20220050102","USPTO PDF")</f>
        <v>0.0</v>
      </c>
      <c r="K912" s="2" t="n">
        <f>HYPERLINK("https://sectors.patentforecast.com/pmd/US20220050102","PMD")</f>
        <v>0.0</v>
      </c>
      <c r="L912" s="2" t="n">
        <f>HYPERLINK("https://globaldossier.uspto.gov/result/application/US/17389473/1","US20220050102")</f>
        <v>0.0</v>
      </c>
      <c r="M912" t="s">
        <v>6330</v>
      </c>
      <c r="N912" t="s">
        <v>6331</v>
      </c>
      <c r="O912" t="s">
        <v>6332</v>
      </c>
      <c r="P912" t="s">
        <v>6333</v>
      </c>
      <c r="Q912" s="3" t="n">
        <v>44407.0</v>
      </c>
      <c r="R912" s="3" t="n">
        <v>44609.0</v>
      </c>
      <c r="S912" s="3" t="n">
        <v>44610.18880659722</v>
      </c>
      <c r="T912" s="3" t="n">
        <v>44638.688496076385</v>
      </c>
      <c r="U912" t="s">
        <v>6334</v>
      </c>
      <c r="V912" t="s">
        <v>6335</v>
      </c>
    </row>
    <row r="913">
      <c r="A913" t="s">
        <v>22</v>
      </c>
      <c r="B913" t="s">
        <v>6336</v>
      </c>
      <c r="C913" t="s">
        <v>24</v>
      </c>
      <c r="D913" t="s">
        <v>25</v>
      </c>
      <c r="E913" t="s">
        <v>6337</v>
      </c>
      <c r="F913" s="2" t="n">
        <f>HYPERLINK("https://patents.google.com/patent/US20220050101","Google")</f>
        <v>0.0</v>
      </c>
      <c r="G913" s="2" t="n">
        <f>HYPERLINK("https://patentcenter.uspto.gov/applications/17322392","Patent Center")</f>
        <v>0.0</v>
      </c>
      <c r="H913" s="2" t="n">
        <f>HYPERLINK("https://worldwide.espacenet.com/patent/search?q=US20220050101","Espacenet")</f>
        <v>0.0</v>
      </c>
      <c r="I913" s="2" t="n">
        <f>HYPERLINK("https://ppubs.uspto.gov/pubwebapp/external.html?q=20220050101.pn.","USPTO")</f>
        <v>0.0</v>
      </c>
      <c r="J913" s="2" t="n">
        <f>HYPERLINK("https://image-ppubs.uspto.gov/dirsearch-public/print/downloadPdf/20220050101","USPTO PDF")</f>
        <v>0.0</v>
      </c>
      <c r="K913" s="2" t="n">
        <f>HYPERLINK("https://sectors.patentforecast.com/pmd/US20220050101","PMD")</f>
        <v>0.0</v>
      </c>
      <c r="L913" s="2" t="n">
        <f>HYPERLINK("https://globaldossier.uspto.gov/result/application/US/17322392/1","US20220050101")</f>
        <v>0.0</v>
      </c>
      <c r="M913" t="s">
        <v>6338</v>
      </c>
      <c r="N913" t="s">
        <v>6339</v>
      </c>
      <c r="O913" t="s">
        <v>6340</v>
      </c>
      <c r="P913" t="s">
        <v>6341</v>
      </c>
      <c r="Q913" s="3" t="n">
        <v>44333.0</v>
      </c>
      <c r="R913" s="3" t="n">
        <v>44609.0</v>
      </c>
      <c r="S913" s="3" t="n">
        <v>44610.18880659722</v>
      </c>
      <c r="T913" s="3" t="n">
        <v>44698.63414194444</v>
      </c>
      <c r="U913" t="s">
        <v>6342</v>
      </c>
      <c r="V913" t="s">
        <v>6343</v>
      </c>
    </row>
    <row r="914">
      <c r="A914" t="s">
        <v>22</v>
      </c>
      <c r="B914" t="s">
        <v>6344</v>
      </c>
      <c r="C914" t="s">
        <v>24</v>
      </c>
      <c r="D914" t="s">
        <v>25</v>
      </c>
      <c r="E914" t="s">
        <v>6345</v>
      </c>
      <c r="F914" s="2" t="n">
        <f>HYPERLINK("https://patents.google.com/patent/US20220050074","Google")</f>
        <v>0.0</v>
      </c>
      <c r="G914" s="2" t="n">
        <f>HYPERLINK("https://patentcenter.uspto.gov/applications/17244140","Patent Center")</f>
        <v>0.0</v>
      </c>
      <c r="H914" s="2" t="n">
        <f>HYPERLINK("https://worldwide.espacenet.com/patent/search?q=US20220050074","Espacenet")</f>
        <v>0.0</v>
      </c>
      <c r="I914" s="2" t="n">
        <f>HYPERLINK("https://ppubs.uspto.gov/pubwebapp/external.html?q=20220050074.pn.","USPTO")</f>
        <v>0.0</v>
      </c>
      <c r="J914" s="2" t="n">
        <f>HYPERLINK("https://image-ppubs.uspto.gov/dirsearch-public/print/downloadPdf/20220050074","USPTO PDF")</f>
        <v>0.0</v>
      </c>
      <c r="K914" s="2" t="n">
        <f>HYPERLINK("https://sectors.patentforecast.com/pmd/US20220050074","PMD")</f>
        <v>0.0</v>
      </c>
      <c r="L914" s="2" t="n">
        <f>HYPERLINK("https://globaldossier.uspto.gov/result/application/US/17244140/1","US20220050074")</f>
        <v>0.0</v>
      </c>
      <c r="M914" t="s">
        <v>6346</v>
      </c>
      <c r="N914" t="s">
        <v>6347</v>
      </c>
      <c r="O914" t="s">
        <v>6347</v>
      </c>
      <c r="P914" t="s">
        <v>6348</v>
      </c>
      <c r="Q914" s="3" t="n">
        <v>44315.0</v>
      </c>
      <c r="R914" s="3" t="n">
        <v>44609.0</v>
      </c>
      <c r="S914" s="3" t="n">
        <v>44610.18776179398</v>
      </c>
      <c r="T914" s="3" t="n">
        <v>44698.51321549768</v>
      </c>
      <c r="U914" t="s">
        <v>31</v>
      </c>
      <c r="V914" t="s">
        <v>6349</v>
      </c>
    </row>
    <row r="915">
      <c r="A915" t="s">
        <v>22</v>
      </c>
      <c r="B915" t="s">
        <v>6350</v>
      </c>
      <c r="C915" t="s">
        <v>24</v>
      </c>
      <c r="D915" t="s">
        <v>51</v>
      </c>
      <c r="E915" t="s">
        <v>6351</v>
      </c>
      <c r="F915" s="2" t="n">
        <f>HYPERLINK("https://patents.google.com/patent/US20220050028","Google")</f>
        <v>0.0</v>
      </c>
      <c r="G915" s="2" t="n">
        <f>HYPERLINK("https://patentcenter.uspto.gov/applications/16990366","Patent Center")</f>
        <v>0.0</v>
      </c>
      <c r="H915" s="2" t="n">
        <f>HYPERLINK("https://worldwide.espacenet.com/patent/search?q=US20220050028","Espacenet")</f>
        <v>0.0</v>
      </c>
      <c r="I915" s="2" t="n">
        <f>HYPERLINK("https://ppubs.uspto.gov/pubwebapp/external.html?q=20220050028.pn.","USPTO")</f>
        <v>0.0</v>
      </c>
      <c r="J915" s="2" t="n">
        <f>HYPERLINK("https://image-ppubs.uspto.gov/dirsearch-public/print/downloadPdf/20220050028","USPTO PDF")</f>
        <v>0.0</v>
      </c>
      <c r="K915" s="2" t="n">
        <f>HYPERLINK("https://sectors.patentforecast.com/pmd/US20220050028","PMD")</f>
        <v>0.0</v>
      </c>
      <c r="L915" s="2" t="n">
        <f>HYPERLINK("https://globaldossier.uspto.gov/result/application/US/16990366/1","US20220050028")</f>
        <v>0.0</v>
      </c>
      <c r="M915" t="s">
        <v>6352</v>
      </c>
      <c r="N915" t="s">
        <v>1957</v>
      </c>
      <c r="O915" t="s">
        <v>1958</v>
      </c>
      <c r="P915" t="s">
        <v>6353</v>
      </c>
      <c r="Q915" s="3" t="n">
        <v>44054.0</v>
      </c>
      <c r="R915" s="3" t="n">
        <v>44609.0</v>
      </c>
      <c r="S915" s="3" t="n">
        <v>44610.18880659722</v>
      </c>
      <c r="T915" s="3" t="n">
        <v>44698.63439211805</v>
      </c>
      <c r="U915" t="s">
        <v>6354</v>
      </c>
      <c r="V915" t="s">
        <v>6355</v>
      </c>
    </row>
    <row r="916">
      <c r="A916" t="s">
        <v>22</v>
      </c>
      <c r="B916" t="s">
        <v>6356</v>
      </c>
      <c r="C916" t="s">
        <v>24</v>
      </c>
      <c r="D916" t="s">
        <v>204</v>
      </c>
      <c r="E916" t="s">
        <v>6357</v>
      </c>
      <c r="F916" s="2" t="n">
        <f>HYPERLINK("https://patents.google.com/patent/US20220050027","Google")</f>
        <v>0.0</v>
      </c>
      <c r="G916" s="2" t="n">
        <f>HYPERLINK("https://patentcenter.uspto.gov/applications/17398744","Patent Center")</f>
        <v>0.0</v>
      </c>
      <c r="H916" s="2" t="n">
        <f>HYPERLINK("https://worldwide.espacenet.com/patent/search?q=US20220050027","Espacenet")</f>
        <v>0.0</v>
      </c>
      <c r="I916" s="2" t="n">
        <f>HYPERLINK("https://ppubs.uspto.gov/pubwebapp/external.html?q=20220050027.pn.","USPTO")</f>
        <v>0.0</v>
      </c>
      <c r="J916" s="2" t="n">
        <f>HYPERLINK("https://image-ppubs.uspto.gov/dirsearch-public/print/downloadPdf/20220050027","USPTO PDF")</f>
        <v>0.0</v>
      </c>
      <c r="K916" s="2" t="n">
        <f>HYPERLINK("https://sectors.patentforecast.com/pmd/US20220050027","PMD")</f>
        <v>0.0</v>
      </c>
      <c r="L916" s="2" t="n">
        <f>HYPERLINK("https://globaldossier.uspto.gov/result/application/US/17398744/1","US20220050027")</f>
        <v>0.0</v>
      </c>
      <c r="M916" t="s">
        <v>6358</v>
      </c>
      <c r="N916" t="s">
        <v>6359</v>
      </c>
      <c r="O916" t="s">
        <v>6360</v>
      </c>
      <c r="P916" t="s">
        <v>6361</v>
      </c>
      <c r="Q916" s="3" t="n">
        <v>44418.0</v>
      </c>
      <c r="R916" s="3" t="n">
        <v>44609.0</v>
      </c>
      <c r="S916" s="3" t="n">
        <v>44610.18880659722</v>
      </c>
      <c r="T916" s="3" t="n">
        <v>44698.63504177083</v>
      </c>
      <c r="U916" t="s">
        <v>6362</v>
      </c>
      <c r="V916" t="s">
        <v>6363</v>
      </c>
    </row>
    <row r="917">
      <c r="A917" t="s">
        <v>22</v>
      </c>
      <c r="B917" t="s">
        <v>6364</v>
      </c>
      <c r="C917" t="s">
        <v>24</v>
      </c>
      <c r="D917" t="s">
        <v>69</v>
      </c>
      <c r="E917" t="s">
        <v>6365</v>
      </c>
      <c r="F917" s="2" t="n">
        <f>HYPERLINK("https://patents.google.com/patent/US20220049865","Google")</f>
        <v>0.0</v>
      </c>
      <c r="G917" s="2" t="n">
        <f>HYPERLINK("https://patentcenter.uspto.gov/applications/17399014","Patent Center")</f>
        <v>0.0</v>
      </c>
      <c r="H917" s="2" t="n">
        <f>HYPERLINK("https://worldwide.espacenet.com/patent/search?q=US20220049865","Espacenet")</f>
        <v>0.0</v>
      </c>
      <c r="I917" s="2" t="n">
        <f>HYPERLINK("https://ppubs.uspto.gov/pubwebapp/external.html?q=20220049865.pn.","USPTO")</f>
        <v>0.0</v>
      </c>
      <c r="J917" s="2" t="n">
        <f>HYPERLINK("https://image-ppubs.uspto.gov/dirsearch-public/print/downloadPdf/20220049865","USPTO PDF")</f>
        <v>0.0</v>
      </c>
      <c r="K917" s="2" t="n">
        <f>HYPERLINK("https://sectors.patentforecast.com/pmd/US20220049865","PMD")</f>
        <v>0.0</v>
      </c>
      <c r="L917" s="2" t="n">
        <f>HYPERLINK("https://globaldossier.uspto.gov/result/application/US/17399014/1","US20220049865")</f>
        <v>0.0</v>
      </c>
      <c r="M917" t="s">
        <v>6366</v>
      </c>
      <c r="N917" t="s">
        <v>6367</v>
      </c>
      <c r="O917" t="s">
        <v>6368</v>
      </c>
      <c r="P917" t="s">
        <v>6369</v>
      </c>
      <c r="Q917" s="3" t="n">
        <v>44418.0</v>
      </c>
      <c r="R917" s="3" t="n">
        <v>44609.0</v>
      </c>
      <c r="S917" s="3" t="n">
        <v>44610.18880659722</v>
      </c>
      <c r="T917" s="3" t="n">
        <v>44698.63533767361</v>
      </c>
      <c r="U917" t="s">
        <v>31</v>
      </c>
      <c r="V917" t="s">
        <v>6370</v>
      </c>
    </row>
    <row r="918">
      <c r="A918" t="s">
        <v>22</v>
      </c>
      <c r="B918" t="s">
        <v>6371</v>
      </c>
      <c r="C918" t="s">
        <v>24</v>
      </c>
      <c r="D918" t="s">
        <v>100</v>
      </c>
      <c r="E918" t="s">
        <v>6372</v>
      </c>
      <c r="F918" s="2" t="n">
        <f>HYPERLINK("https://patents.google.com/patent/US20220049862","Google")</f>
        <v>0.0</v>
      </c>
      <c r="G918" s="2" t="n">
        <f>HYPERLINK("https://patentcenter.uspto.gov/applications/16994884","Patent Center")</f>
        <v>0.0</v>
      </c>
      <c r="H918" s="2" t="n">
        <f>HYPERLINK("https://worldwide.espacenet.com/patent/search?q=US20220049862","Espacenet")</f>
        <v>0.0</v>
      </c>
      <c r="I918" s="2" t="n">
        <f>HYPERLINK("https://ppubs.uspto.gov/pubwebapp/external.html?q=20220049862.pn.","USPTO")</f>
        <v>0.0</v>
      </c>
      <c r="J918" s="2" t="n">
        <f>HYPERLINK("https://image-ppubs.uspto.gov/dirsearch-public/print/downloadPdf/20220049862","USPTO PDF")</f>
        <v>0.0</v>
      </c>
      <c r="K918" s="2" t="n">
        <f>HYPERLINK("https://sectors.patentforecast.com/pmd/US20220049862","PMD")</f>
        <v>0.0</v>
      </c>
      <c r="L918" s="2" t="n">
        <f>HYPERLINK("https://globaldossier.uspto.gov/result/application/US/16994884/1","US20220049862")</f>
        <v>0.0</v>
      </c>
      <c r="M918" t="s">
        <v>6373</v>
      </c>
      <c r="N918" t="s">
        <v>6374</v>
      </c>
      <c r="O918" t="s">
        <v>6375</v>
      </c>
      <c r="P918" t="s">
        <v>6376</v>
      </c>
      <c r="Q918" s="3" t="n">
        <v>44060.0</v>
      </c>
      <c r="R918" s="3" t="n">
        <v>44609.0</v>
      </c>
      <c r="S918" s="3" t="n">
        <v>44610.18880659722</v>
      </c>
      <c r="T918" s="3" t="n">
        <v>44698.513351284724</v>
      </c>
      <c r="U918" t="s">
        <v>6377</v>
      </c>
      <c r="V918" t="s">
        <v>6378</v>
      </c>
    </row>
    <row r="919">
      <c r="A919" t="s">
        <v>22</v>
      </c>
      <c r="B919" t="s">
        <v>6379</v>
      </c>
      <c r="C919" t="s">
        <v>24</v>
      </c>
      <c r="D919" t="s">
        <v>100</v>
      </c>
      <c r="E919" t="s">
        <v>6380</v>
      </c>
      <c r="F919" s="2" t="n">
        <f>HYPERLINK("https://patents.google.com/patent/US20220049483","Google")</f>
        <v>0.0</v>
      </c>
      <c r="G919" s="2" t="n">
        <f>HYPERLINK("https://patentcenter.uspto.gov/applications/17403323","Patent Center")</f>
        <v>0.0</v>
      </c>
      <c r="H919" s="2" t="n">
        <f>HYPERLINK("https://worldwide.espacenet.com/patent/search?q=US20220049483","Espacenet")</f>
        <v>0.0</v>
      </c>
      <c r="I919" s="2" t="n">
        <f>HYPERLINK("https://ppubs.uspto.gov/pubwebapp/external.html?q=20220049483.pn.","USPTO")</f>
        <v>0.0</v>
      </c>
      <c r="J919" s="2" t="n">
        <f>HYPERLINK("https://image-ppubs.uspto.gov/dirsearch-public/print/downloadPdf/20220049483","USPTO PDF")</f>
        <v>0.0</v>
      </c>
      <c r="K919" s="2" t="n">
        <f>HYPERLINK("https://sectors.patentforecast.com/pmd/US20220049483","PMD")</f>
        <v>0.0</v>
      </c>
      <c r="L919" s="2" t="n">
        <f>HYPERLINK("https://globaldossier.uspto.gov/result/application/US/17403323/1","US20220049483")</f>
        <v>0.0</v>
      </c>
      <c r="M919" t="s">
        <v>6381</v>
      </c>
      <c r="N919" t="s">
        <v>6382</v>
      </c>
      <c r="O919" t="s">
        <v>6383</v>
      </c>
      <c r="P919" t="s">
        <v>6384</v>
      </c>
      <c r="Q919" s="3" t="n">
        <v>44424.0</v>
      </c>
      <c r="R919" s="3" t="n">
        <v>44609.0</v>
      </c>
      <c r="S919" s="3" t="n">
        <v>44610.18880659722</v>
      </c>
      <c r="T919" s="3" t="n">
        <v>44698.51341072917</v>
      </c>
      <c r="U919" t="s">
        <v>31</v>
      </c>
      <c r="V919" t="s">
        <v>6385</v>
      </c>
    </row>
    <row r="920">
      <c r="A920" t="s">
        <v>22</v>
      </c>
      <c r="B920" t="s">
        <v>6386</v>
      </c>
      <c r="C920" t="s">
        <v>24</v>
      </c>
      <c r="D920" t="s">
        <v>289</v>
      </c>
      <c r="E920" t="s">
        <v>6387</v>
      </c>
      <c r="F920" s="2" t="n">
        <f>HYPERLINK("https://patents.google.com/patent/US20220049430","Google")</f>
        <v>0.0</v>
      </c>
      <c r="G920" s="2" t="n">
        <f>HYPERLINK("https://patentcenter.uspto.gov/applications/17403375","Patent Center")</f>
        <v>0.0</v>
      </c>
      <c r="H920" s="2" t="n">
        <f>HYPERLINK("https://worldwide.espacenet.com/patent/search?q=US20220049430","Espacenet")</f>
        <v>0.0</v>
      </c>
      <c r="I920" s="2" t="n">
        <f>HYPERLINK("https://ppubs.uspto.gov/pubwebapp/external.html?q=20220049430.pn.","USPTO")</f>
        <v>0.0</v>
      </c>
      <c r="J920" s="2" t="n">
        <f>HYPERLINK("https://image-ppubs.uspto.gov/dirsearch-public/print/downloadPdf/20220049430","USPTO PDF")</f>
        <v>0.0</v>
      </c>
      <c r="K920" s="2" t="n">
        <f>HYPERLINK("https://sectors.patentforecast.com/pmd/US20220049430","PMD")</f>
        <v>0.0</v>
      </c>
      <c r="L920" s="2" t="n">
        <f>HYPERLINK("https://globaldossier.uspto.gov/result/application/US/17403375/1","US20220049430")</f>
        <v>0.0</v>
      </c>
      <c r="M920" t="s">
        <v>6388</v>
      </c>
      <c r="N920" t="s">
        <v>6389</v>
      </c>
      <c r="O920" t="s">
        <v>6390</v>
      </c>
      <c r="P920" t="s">
        <v>6391</v>
      </c>
      <c r="Q920" s="3" t="n">
        <v>44424.0</v>
      </c>
      <c r="R920" s="3" t="n">
        <v>44609.0</v>
      </c>
      <c r="S920" s="3" t="n">
        <v>44610.18880659722</v>
      </c>
      <c r="T920" s="3" t="n">
        <v>44698.63654381945</v>
      </c>
      <c r="U920" t="s">
        <v>31</v>
      </c>
      <c r="V920" t="s">
        <v>6392</v>
      </c>
    </row>
    <row r="921">
      <c r="A921" t="s">
        <v>22</v>
      </c>
      <c r="B921" t="s">
        <v>6393</v>
      </c>
      <c r="C921" t="s">
        <v>60</v>
      </c>
      <c r="D921" t="s">
        <v>61</v>
      </c>
      <c r="E921" t="s">
        <v>6394</v>
      </c>
      <c r="F921" s="2" t="n">
        <f>HYPERLINK("https://patents.google.com/patent/US20220049283","Google")</f>
        <v>0.0</v>
      </c>
      <c r="G921" s="2" t="n">
        <f>HYPERLINK("https://patentcenter.uspto.gov/applications/16947760","Patent Center")</f>
        <v>0.0</v>
      </c>
      <c r="H921" s="2" t="n">
        <f>HYPERLINK("https://worldwide.espacenet.com/patent/search?q=US20220049283","Espacenet")</f>
        <v>0.0</v>
      </c>
      <c r="I921" s="2" t="n">
        <f>HYPERLINK("https://ppubs.uspto.gov/pubwebapp/external.html?q=20220049283.pn.","USPTO")</f>
        <v>0.0</v>
      </c>
      <c r="J921" s="2" t="n">
        <f>HYPERLINK("https://image-ppubs.uspto.gov/dirsearch-public/print/downloadPdf/20220049283","USPTO PDF")</f>
        <v>0.0</v>
      </c>
      <c r="K921" s="2" t="n">
        <f>HYPERLINK("https://sectors.patentforecast.com/pmd/US20220049283","PMD")</f>
        <v>0.0</v>
      </c>
      <c r="L921" s="2" t="n">
        <f>HYPERLINK("https://globaldossier.uspto.gov/result/application/US/16947760/1","US20220049283")</f>
        <v>0.0</v>
      </c>
      <c r="M921" t="s">
        <v>6395</v>
      </c>
      <c r="N921" t="s">
        <v>6396</v>
      </c>
      <c r="O921" t="s">
        <v>6397</v>
      </c>
      <c r="P921" t="s">
        <v>6398</v>
      </c>
      <c r="Q921" s="3" t="n">
        <v>44057.0</v>
      </c>
      <c r="R921" s="3" t="n">
        <v>44609.0</v>
      </c>
      <c r="S921" s="3" t="n">
        <v>44610.18880659722</v>
      </c>
      <c r="T921" s="3" t="n">
        <v>44698.63583800926</v>
      </c>
      <c r="U921" t="s">
        <v>6399</v>
      </c>
      <c r="V921" t="s">
        <v>6400</v>
      </c>
    </row>
    <row r="922">
      <c r="A922" t="s">
        <v>22</v>
      </c>
      <c r="B922" t="s">
        <v>6401</v>
      </c>
      <c r="C922" t="s">
        <v>60</v>
      </c>
      <c r="D922" t="s">
        <v>61</v>
      </c>
      <c r="E922" t="s">
        <v>6402</v>
      </c>
      <c r="F922" s="2" t="n">
        <f>HYPERLINK("https://patents.google.com/patent/US20220049271","Google")</f>
        <v>0.0</v>
      </c>
      <c r="G922" s="2" t="n">
        <f>HYPERLINK("https://patentcenter.uspto.gov/applications/17469569","Patent Center")</f>
        <v>0.0</v>
      </c>
      <c r="H922" s="2" t="n">
        <f>HYPERLINK("https://worldwide.espacenet.com/patent/search?q=US20220049271","Espacenet")</f>
        <v>0.0</v>
      </c>
      <c r="I922" s="2" t="n">
        <f>HYPERLINK("https://ppubs.uspto.gov/pubwebapp/external.html?q=20220049271.pn.","USPTO")</f>
        <v>0.0</v>
      </c>
      <c r="J922" s="2" t="n">
        <f>HYPERLINK("https://image-ppubs.uspto.gov/dirsearch-public/print/downloadPdf/20220049271","USPTO PDF")</f>
        <v>0.0</v>
      </c>
      <c r="K922" s="2" t="n">
        <f>HYPERLINK("https://sectors.patentforecast.com/pmd/US20220049271","PMD")</f>
        <v>0.0</v>
      </c>
      <c r="L922" s="2" t="n">
        <f>HYPERLINK("https://globaldossier.uspto.gov/result/application/US/17469569/1","US20220049271")</f>
        <v>0.0</v>
      </c>
      <c r="M922" t="s">
        <v>6403</v>
      </c>
      <c r="N922" t="s">
        <v>5926</v>
      </c>
      <c r="O922" t="s">
        <v>5926</v>
      </c>
      <c r="P922" t="s">
        <v>6404</v>
      </c>
      <c r="Q922" s="3" t="n">
        <v>44447.0</v>
      </c>
      <c r="R922" s="3" t="n">
        <v>44609.0</v>
      </c>
      <c r="S922" s="3" t="n">
        <v>44610.18880659722</v>
      </c>
      <c r="T922" s="3" t="n">
        <v>44698.63669497685</v>
      </c>
      <c r="U922" t="s">
        <v>6405</v>
      </c>
      <c r="V922" t="s">
        <v>6406</v>
      </c>
    </row>
    <row r="923">
      <c r="A923" t="s">
        <v>22</v>
      </c>
      <c r="B923" t="s">
        <v>6407</v>
      </c>
      <c r="C923" t="s">
        <v>60</v>
      </c>
      <c r="D923" t="s">
        <v>61</v>
      </c>
      <c r="E923" t="s">
        <v>6408</v>
      </c>
      <c r="F923" s="2" t="n">
        <f>HYPERLINK("https://patents.google.com/patent/US20220049251","Google")</f>
        <v>0.0</v>
      </c>
      <c r="G923" s="2" t="n">
        <f>HYPERLINK("https://patentcenter.uspto.gov/applications/17303051","Patent Center")</f>
        <v>0.0</v>
      </c>
      <c r="H923" s="2" t="n">
        <f>HYPERLINK("https://worldwide.espacenet.com/patent/search?q=US20220049251","Espacenet")</f>
        <v>0.0</v>
      </c>
      <c r="I923" s="2" t="n">
        <f>HYPERLINK("https://ppubs.uspto.gov/pubwebapp/external.html?q=20220049251.pn.","USPTO")</f>
        <v>0.0</v>
      </c>
      <c r="J923" s="2" t="n">
        <f>HYPERLINK("https://image-ppubs.uspto.gov/dirsearch-public/print/downloadPdf/20220049251","USPTO PDF")</f>
        <v>0.0</v>
      </c>
      <c r="K923" s="2" t="n">
        <f>HYPERLINK("https://sectors.patentforecast.com/pmd/US20220049251","PMD")</f>
        <v>0.0</v>
      </c>
      <c r="L923" s="2" t="n">
        <f>HYPERLINK("https://globaldossier.uspto.gov/result/application/US/17303051/1","US20220049251")</f>
        <v>0.0</v>
      </c>
      <c r="M923" t="s">
        <v>6409</v>
      </c>
      <c r="N923" t="s">
        <v>6410</v>
      </c>
      <c r="O923" t="s">
        <v>6411</v>
      </c>
      <c r="P923" t="s">
        <v>6412</v>
      </c>
      <c r="Q923" s="3" t="n">
        <v>44335.0</v>
      </c>
      <c r="R923" s="3" t="n">
        <v>44609.0</v>
      </c>
      <c r="S923" s="3" t="n">
        <v>44610.18880659722</v>
      </c>
      <c r="T923" s="3" t="n">
        <v>44678.48408431713</v>
      </c>
      <c r="U923" t="s">
        <v>6413</v>
      </c>
      <c r="V923" t="s">
        <v>6414</v>
      </c>
    </row>
    <row r="924">
      <c r="A924" t="s">
        <v>22</v>
      </c>
      <c r="B924" t="s">
        <v>6415</v>
      </c>
      <c r="C924" t="s">
        <v>496</v>
      </c>
      <c r="D924" t="s">
        <v>497</v>
      </c>
      <c r="E924" t="s">
        <v>6416</v>
      </c>
      <c r="F924" s="2" t="n">
        <f>HYPERLINK("https://patents.google.com/patent/US20220049098","Google")</f>
        <v>0.0</v>
      </c>
      <c r="G924" s="2" t="n">
        <f>HYPERLINK("https://patentcenter.uspto.gov/applications/17398618","Patent Center")</f>
        <v>0.0</v>
      </c>
      <c r="H924" s="2" t="n">
        <f>HYPERLINK("https://worldwide.espacenet.com/patent/search?q=US20220049098","Espacenet")</f>
        <v>0.0</v>
      </c>
      <c r="I924" s="2" t="n">
        <f>HYPERLINK("https://ppubs.uspto.gov/pubwebapp/external.html?q=20220049098.pn.","USPTO")</f>
        <v>0.0</v>
      </c>
      <c r="J924" s="2" t="n">
        <f>HYPERLINK("https://image-ppubs.uspto.gov/dirsearch-public/print/downloadPdf/20220049098","USPTO PDF")</f>
        <v>0.0</v>
      </c>
      <c r="K924" s="2" t="n">
        <f>HYPERLINK("https://sectors.patentforecast.com/pmd/US20220049098","PMD")</f>
        <v>0.0</v>
      </c>
      <c r="L924" s="2" t="n">
        <f>HYPERLINK("https://globaldossier.uspto.gov/result/application/US/17398618/1","US20220049098")</f>
        <v>0.0</v>
      </c>
      <c r="M924" t="s">
        <v>6417</v>
      </c>
      <c r="N924" t="s">
        <v>6418</v>
      </c>
      <c r="O924" t="s">
        <v>6418</v>
      </c>
      <c r="P924" t="s">
        <v>6419</v>
      </c>
      <c r="Q924" s="3" t="n">
        <v>44418.0</v>
      </c>
      <c r="R924" s="3" t="n">
        <v>44609.0</v>
      </c>
      <c r="S924" s="3" t="n">
        <v>44610.18880659722</v>
      </c>
      <c r="T924" s="3" t="n">
        <v>44698.63740260417</v>
      </c>
      <c r="U924" t="s">
        <v>31</v>
      </c>
      <c r="V924" t="s">
        <v>6420</v>
      </c>
    </row>
    <row r="925">
      <c r="A925" t="s">
        <v>22</v>
      </c>
      <c r="B925" t="s">
        <v>6421</v>
      </c>
      <c r="C925" t="s">
        <v>60</v>
      </c>
      <c r="D925" t="s">
        <v>61</v>
      </c>
      <c r="E925" t="s">
        <v>6422</v>
      </c>
      <c r="F925" s="2" t="n">
        <f>HYPERLINK("https://patents.google.com/patent/US20220049021","Google")</f>
        <v>0.0</v>
      </c>
      <c r="G925" s="2" t="n">
        <f>HYPERLINK("https://patentcenter.uspto.gov/applications/17405124","Patent Center")</f>
        <v>0.0</v>
      </c>
      <c r="H925" s="2" t="n">
        <f>HYPERLINK("https://worldwide.espacenet.com/patent/search?q=US20220049021","Espacenet")</f>
        <v>0.0</v>
      </c>
      <c r="I925" s="2" t="n">
        <f>HYPERLINK("https://ppubs.uspto.gov/pubwebapp/external.html?q=20220049021.pn.","USPTO")</f>
        <v>0.0</v>
      </c>
      <c r="J925" s="2" t="n">
        <f>HYPERLINK("https://image-ppubs.uspto.gov/dirsearch-public/print/downloadPdf/20220049021","USPTO PDF")</f>
        <v>0.0</v>
      </c>
      <c r="K925" s="2" t="n">
        <f>HYPERLINK("https://sectors.patentforecast.com/pmd/US20220049021","PMD")</f>
        <v>0.0</v>
      </c>
      <c r="L925" s="2" t="n">
        <f>HYPERLINK("https://globaldossier.uspto.gov/result/application/US/17405124/1","US20220049021")</f>
        <v>0.0</v>
      </c>
      <c r="M925" t="s">
        <v>6423</v>
      </c>
      <c r="N925" t="s">
        <v>664</v>
      </c>
      <c r="O925" t="s">
        <v>665</v>
      </c>
      <c r="P925" t="s">
        <v>6424</v>
      </c>
      <c r="Q925" s="3" t="n">
        <v>44426.0</v>
      </c>
      <c r="R925" s="3" t="n">
        <v>44609.0</v>
      </c>
      <c r="S925" s="3" t="n">
        <v>44610.18880659722</v>
      </c>
      <c r="T925" s="3" t="n">
        <v>44698.63790224537</v>
      </c>
      <c r="U925" t="s">
        <v>6425</v>
      </c>
      <c r="V925" t="s">
        <v>6426</v>
      </c>
    </row>
    <row r="926">
      <c r="A926" t="s">
        <v>22</v>
      </c>
      <c r="B926" t="s">
        <v>6427</v>
      </c>
      <c r="C926" t="s">
        <v>60</v>
      </c>
      <c r="D926" t="s">
        <v>61</v>
      </c>
      <c r="E926" t="s">
        <v>6428</v>
      </c>
      <c r="F926" s="2" t="n">
        <f>HYPERLINK("https://patents.google.com/patent/US20220048978","Google")</f>
        <v>0.0</v>
      </c>
      <c r="G926" s="2" t="n">
        <f>HYPERLINK("https://patentcenter.uspto.gov/applications/17399993","Patent Center")</f>
        <v>0.0</v>
      </c>
      <c r="H926" s="2" t="n">
        <f>HYPERLINK("https://worldwide.espacenet.com/patent/search?q=US20220048978","Espacenet")</f>
        <v>0.0</v>
      </c>
      <c r="I926" s="2" t="n">
        <f>HYPERLINK("https://ppubs.uspto.gov/pubwebapp/external.html?q=20220048978.pn.","USPTO")</f>
        <v>0.0</v>
      </c>
      <c r="J926" s="2" t="n">
        <f>HYPERLINK("https://image-ppubs.uspto.gov/dirsearch-public/print/downloadPdf/20220048978","USPTO PDF")</f>
        <v>0.0</v>
      </c>
      <c r="K926" s="2" t="n">
        <f>HYPERLINK("https://sectors.patentforecast.com/pmd/US20220048978","PMD")</f>
        <v>0.0</v>
      </c>
      <c r="L926" s="2" t="n">
        <f>HYPERLINK("https://globaldossier.uspto.gov/result/application/US/17399993/1","US20220048978")</f>
        <v>0.0</v>
      </c>
      <c r="M926" t="s">
        <v>6429</v>
      </c>
      <c r="N926" t="s">
        <v>1030</v>
      </c>
      <c r="O926" t="s">
        <v>1031</v>
      </c>
      <c r="P926" t="s">
        <v>6430</v>
      </c>
      <c r="Q926" s="3" t="n">
        <v>44419.0</v>
      </c>
      <c r="R926" s="3" t="n">
        <v>44609.0</v>
      </c>
      <c r="S926" s="3" t="n">
        <v>44610.18880659722</v>
      </c>
      <c r="T926" s="3" t="n">
        <v>44638.70918846065</v>
      </c>
      <c r="U926" t="s">
        <v>31</v>
      </c>
      <c r="V926" t="s">
        <v>6431</v>
      </c>
    </row>
    <row r="927">
      <c r="A927" t="s">
        <v>22</v>
      </c>
      <c r="B927" t="s">
        <v>6432</v>
      </c>
      <c r="C927" t="s">
        <v>132</v>
      </c>
      <c r="D927" t="s">
        <v>133</v>
      </c>
      <c r="E927" t="s">
        <v>6433</v>
      </c>
      <c r="F927" s="2" t="n">
        <f>HYPERLINK("https://patents.google.com/patent/US20220048954","Google")</f>
        <v>0.0</v>
      </c>
      <c r="G927" s="2" t="n">
        <f>HYPERLINK("https://patentcenter.uspto.gov/applications/17240902","Patent Center")</f>
        <v>0.0</v>
      </c>
      <c r="H927" s="2" t="n">
        <f>HYPERLINK("https://worldwide.espacenet.com/patent/search?q=US20220048954","Espacenet")</f>
        <v>0.0</v>
      </c>
      <c r="I927" s="2" t="n">
        <f>HYPERLINK("https://ppubs.uspto.gov/pubwebapp/external.html?q=20220048954.pn.","USPTO")</f>
        <v>0.0</v>
      </c>
      <c r="J927" s="2" t="n">
        <f>HYPERLINK("https://image-ppubs.uspto.gov/dirsearch-public/print/downloadPdf/20220048954","USPTO PDF")</f>
        <v>0.0</v>
      </c>
      <c r="K927" s="2" t="n">
        <f>HYPERLINK("https://sectors.patentforecast.com/pmd/US20220048954","PMD")</f>
        <v>0.0</v>
      </c>
      <c r="L927" s="2" t="n">
        <f>HYPERLINK("https://globaldossier.uspto.gov/result/application/US/17240902/1","US20220048954")</f>
        <v>0.0</v>
      </c>
      <c r="M927" t="s">
        <v>6434</v>
      </c>
      <c r="N927" t="s">
        <v>6435</v>
      </c>
      <c r="O927" t="s">
        <v>6436</v>
      </c>
      <c r="P927" t="s">
        <v>6437</v>
      </c>
      <c r="Q927" s="3" t="n">
        <v>44312.0</v>
      </c>
      <c r="R927" s="3" t="n">
        <v>44609.0</v>
      </c>
      <c r="S927" s="3" t="n">
        <v>44610.18776179398</v>
      </c>
      <c r="T927" s="3" t="n">
        <v>44698.63798974537</v>
      </c>
      <c r="U927" t="s">
        <v>31</v>
      </c>
      <c r="V927" t="s">
        <v>6438</v>
      </c>
    </row>
    <row r="928">
      <c r="A928" t="s">
        <v>22</v>
      </c>
      <c r="B928" t="s">
        <v>6439</v>
      </c>
      <c r="C928" t="s">
        <v>60</v>
      </c>
      <c r="D928" t="s">
        <v>61</v>
      </c>
      <c r="E928" t="s">
        <v>6440</v>
      </c>
      <c r="F928" s="2" t="n">
        <f>HYPERLINK("https://patents.google.com/patent/US20220048925","Google")</f>
        <v>0.0</v>
      </c>
      <c r="G928" s="2" t="n">
        <f>HYPERLINK("https://patentcenter.uspto.gov/applications/16768892","Patent Center")</f>
        <v>0.0</v>
      </c>
      <c r="H928" s="2" t="n">
        <f>HYPERLINK("https://worldwide.espacenet.com/patent/search?q=US20220048925","Espacenet")</f>
        <v>0.0</v>
      </c>
      <c r="I928" s="2" t="n">
        <f>HYPERLINK("https://ppubs.uspto.gov/pubwebapp/external.html?q=20220048925.pn.","USPTO")</f>
        <v>0.0</v>
      </c>
      <c r="J928" s="2" t="n">
        <f>HYPERLINK("https://image-ppubs.uspto.gov/dirsearch-public/print/downloadPdf/20220048925","USPTO PDF")</f>
        <v>0.0</v>
      </c>
      <c r="K928" s="2" t="n">
        <f>HYPERLINK("https://sectors.patentforecast.com/pmd/US20220048925","PMD")</f>
        <v>0.0</v>
      </c>
      <c r="L928" s="2" t="n">
        <f>HYPERLINK("https://globaldossier.uspto.gov/result/application/US/16768892/1","US20220048925")</f>
        <v>0.0</v>
      </c>
      <c r="M928" t="s">
        <v>6441</v>
      </c>
      <c r="N928" t="s">
        <v>6442</v>
      </c>
      <c r="O928" t="s">
        <v>6443</v>
      </c>
      <c r="P928" t="s">
        <v>6444</v>
      </c>
      <c r="Q928" s="3" t="n">
        <v>43917.0</v>
      </c>
      <c r="R928" s="3" t="n">
        <v>44609.0</v>
      </c>
      <c r="S928" s="3" t="n">
        <v>44643.23911607639</v>
      </c>
      <c r="T928" s="3" t="n">
        <v>44719.602019398146</v>
      </c>
      <c r="U928" t="s">
        <v>31</v>
      </c>
      <c r="V928" t="s">
        <v>6445</v>
      </c>
    </row>
    <row r="929">
      <c r="A929" t="s">
        <v>22</v>
      </c>
      <c r="B929" t="s">
        <v>6446</v>
      </c>
      <c r="C929" t="s">
        <v>24</v>
      </c>
      <c r="D929" t="s">
        <v>69</v>
      </c>
      <c r="E929" t="s">
        <v>6447</v>
      </c>
      <c r="F929" s="2" t="n">
        <f>HYPERLINK("https://patents.google.com/patent/US20220048754","Google")</f>
        <v>0.0</v>
      </c>
      <c r="G929" s="2" t="n">
        <f>HYPERLINK("https://patentcenter.uspto.gov/applications/17395652","Patent Center")</f>
        <v>0.0</v>
      </c>
      <c r="H929" s="2" t="n">
        <f>HYPERLINK("https://worldwide.espacenet.com/patent/search?q=US20220048754","Espacenet")</f>
        <v>0.0</v>
      </c>
      <c r="I929" s="2" t="n">
        <f>HYPERLINK("https://ppubs.uspto.gov/pubwebapp/external.html?q=20220048754.pn.","USPTO")</f>
        <v>0.0</v>
      </c>
      <c r="J929" s="2" t="n">
        <f>HYPERLINK("https://image-ppubs.uspto.gov/dirsearch-public/print/downloadPdf/20220048754","USPTO PDF")</f>
        <v>0.0</v>
      </c>
      <c r="K929" s="2" t="n">
        <f>HYPERLINK("https://sectors.patentforecast.com/pmd/US20220048754","PMD")</f>
        <v>0.0</v>
      </c>
      <c r="L929" s="2" t="n">
        <f>HYPERLINK("https://globaldossier.uspto.gov/result/application/US/17395652/1","US20220048754")</f>
        <v>0.0</v>
      </c>
      <c r="M929" t="s">
        <v>6448</v>
      </c>
      <c r="N929" t="s">
        <v>6449</v>
      </c>
      <c r="O929" t="s">
        <v>6450</v>
      </c>
      <c r="P929" t="s">
        <v>6451</v>
      </c>
      <c r="Q929" s="3" t="n">
        <v>44414.0</v>
      </c>
      <c r="R929" s="3" t="n">
        <v>44609.0</v>
      </c>
      <c r="S929" s="3" t="n">
        <v>44610.18880659722</v>
      </c>
      <c r="T929" s="3" t="n">
        <v>44698.638266064816</v>
      </c>
      <c r="U929" t="s">
        <v>31</v>
      </c>
      <c r="V929" t="s">
        <v>6452</v>
      </c>
    </row>
    <row r="930">
      <c r="A930" t="s">
        <v>22</v>
      </c>
      <c r="B930" t="s">
        <v>6453</v>
      </c>
      <c r="C930" t="s">
        <v>24</v>
      </c>
      <c r="D930" t="s">
        <v>69</v>
      </c>
      <c r="E930" t="s">
        <v>6454</v>
      </c>
      <c r="F930" s="2" t="n">
        <f>HYPERLINK("https://patents.google.com/patent/US20220048738","Google")</f>
        <v>0.0</v>
      </c>
      <c r="G930" s="2" t="n">
        <f>HYPERLINK("https://patentcenter.uspto.gov/applications/16991413","Patent Center")</f>
        <v>0.0</v>
      </c>
      <c r="H930" s="2" t="n">
        <f>HYPERLINK("https://worldwide.espacenet.com/patent/search?q=US20220048738","Espacenet")</f>
        <v>0.0</v>
      </c>
      <c r="I930" s="2" t="n">
        <f>HYPERLINK("https://ppubs.uspto.gov/pubwebapp/external.html?q=20220048738.pn.","USPTO")</f>
        <v>0.0</v>
      </c>
      <c r="J930" s="2" t="n">
        <f>HYPERLINK("https://image-ppubs.uspto.gov/dirsearch-public/print/downloadPdf/20220048738","USPTO PDF")</f>
        <v>0.0</v>
      </c>
      <c r="K930" s="2" t="n">
        <f>HYPERLINK("https://sectors.patentforecast.com/pmd/US20220048738","PMD")</f>
        <v>0.0</v>
      </c>
      <c r="L930" s="2" t="n">
        <f>HYPERLINK("https://globaldossier.uspto.gov/result/application/US/16991413/1","US20220048738")</f>
        <v>0.0</v>
      </c>
      <c r="M930" t="s">
        <v>6455</v>
      </c>
      <c r="N930" t="s">
        <v>6374</v>
      </c>
      <c r="O930" t="s">
        <v>6375</v>
      </c>
      <c r="P930" t="s">
        <v>6376</v>
      </c>
      <c r="Q930" s="3" t="n">
        <v>44055.0</v>
      </c>
      <c r="R930" s="3" t="n">
        <v>44609.0</v>
      </c>
      <c r="S930" s="3" t="n">
        <v>44610.18880659722</v>
      </c>
      <c r="T930" s="3" t="n">
        <v>44698.6385390162</v>
      </c>
      <c r="U930" t="s">
        <v>31</v>
      </c>
      <c r="V930" t="s">
        <v>6456</v>
      </c>
    </row>
    <row r="931">
      <c r="A931" t="s">
        <v>22</v>
      </c>
      <c r="B931" t="s">
        <v>6457</v>
      </c>
      <c r="C931" t="s">
        <v>24</v>
      </c>
      <c r="D931" t="s">
        <v>204</v>
      </c>
      <c r="E931" t="s">
        <v>6458</v>
      </c>
      <c r="F931" s="2" t="n">
        <f>HYPERLINK("https://patents.google.com/patent/US20220048659","Google")</f>
        <v>0.0</v>
      </c>
      <c r="G931" s="2" t="n">
        <f>HYPERLINK("https://patentcenter.uspto.gov/applications/17399936","Patent Center")</f>
        <v>0.0</v>
      </c>
      <c r="H931" s="2" t="n">
        <f>HYPERLINK("https://worldwide.espacenet.com/patent/search?q=US20220048659","Espacenet")</f>
        <v>0.0</v>
      </c>
      <c r="I931" s="2" t="n">
        <f>HYPERLINK("https://ppubs.uspto.gov/pubwebapp/external.html?q=20220048659.pn.","USPTO")</f>
        <v>0.0</v>
      </c>
      <c r="J931" s="2" t="n">
        <f>HYPERLINK("https://image-ppubs.uspto.gov/dirsearch-public/print/downloadPdf/20220048659","USPTO PDF")</f>
        <v>0.0</v>
      </c>
      <c r="K931" s="2" t="n">
        <f>HYPERLINK("https://sectors.patentforecast.com/pmd/US20220048659","PMD")</f>
        <v>0.0</v>
      </c>
      <c r="L931" s="2" t="n">
        <f>HYPERLINK("https://globaldossier.uspto.gov/result/application/US/17399936/1","US20220048659")</f>
        <v>0.0</v>
      </c>
      <c r="M931" t="s">
        <v>6459</v>
      </c>
      <c r="N931" t="s">
        <v>6460</v>
      </c>
      <c r="O931" t="s">
        <v>6460</v>
      </c>
      <c r="P931" t="s">
        <v>6461</v>
      </c>
      <c r="Q931" s="3" t="n">
        <v>44419.0</v>
      </c>
      <c r="R931" s="3" t="n">
        <v>44609.0</v>
      </c>
      <c r="S931" s="3" t="n">
        <v>44610.18880659722</v>
      </c>
      <c r="T931" s="3" t="n">
        <v>44698.638618275465</v>
      </c>
      <c r="U931" t="s">
        <v>6462</v>
      </c>
      <c r="V931" t="s">
        <v>6463</v>
      </c>
    </row>
    <row r="932">
      <c r="A932" t="s">
        <v>22</v>
      </c>
      <c r="B932" t="s">
        <v>6464</v>
      </c>
      <c r="C932" t="s">
        <v>24</v>
      </c>
      <c r="D932" t="s">
        <v>100</v>
      </c>
      <c r="E932" t="s">
        <v>6465</v>
      </c>
      <c r="F932" s="2" t="n">
        <f>HYPERLINK("https://patents.google.com/patent/US20220048633","Google")</f>
        <v>0.0</v>
      </c>
      <c r="G932" s="2" t="n">
        <f>HYPERLINK("https://patentcenter.uspto.gov/applications/16949453","Patent Center")</f>
        <v>0.0</v>
      </c>
      <c r="H932" s="2" t="n">
        <f>HYPERLINK("https://worldwide.espacenet.com/patent/search?q=US20220048633","Espacenet")</f>
        <v>0.0</v>
      </c>
      <c r="I932" s="2" t="n">
        <f>HYPERLINK("https://ppubs.uspto.gov/pubwebapp/external.html?q=20220048633.pn.","USPTO")</f>
        <v>0.0</v>
      </c>
      <c r="J932" s="2" t="n">
        <f>HYPERLINK("https://image-ppubs.uspto.gov/dirsearch-public/print/downloadPdf/20220048633","USPTO PDF")</f>
        <v>0.0</v>
      </c>
      <c r="K932" s="2" t="n">
        <f>HYPERLINK("https://sectors.patentforecast.com/pmd/US20220048633","PMD")</f>
        <v>0.0</v>
      </c>
      <c r="L932" s="2" t="n">
        <f>HYPERLINK("https://globaldossier.uspto.gov/result/application/US/16949453/1","US20220048633")</f>
        <v>0.0</v>
      </c>
      <c r="M932" t="s">
        <v>6466</v>
      </c>
      <c r="N932" t="s">
        <v>2232</v>
      </c>
      <c r="O932" t="s">
        <v>2232</v>
      </c>
      <c r="P932" t="s">
        <v>6467</v>
      </c>
      <c r="Q932" s="3" t="n">
        <v>44133.0</v>
      </c>
      <c r="R932" s="3" t="n">
        <v>44609.0</v>
      </c>
      <c r="S932" s="3" t="n">
        <v>44610.18880659722</v>
      </c>
      <c r="T932" s="3" t="n">
        <v>44643.39839079861</v>
      </c>
      <c r="U932" t="s">
        <v>6468</v>
      </c>
      <c r="V932" t="s">
        <v>6469</v>
      </c>
    </row>
    <row r="933">
      <c r="A933" t="s">
        <v>22</v>
      </c>
      <c r="B933" t="s">
        <v>6470</v>
      </c>
      <c r="C933" t="s">
        <v>24</v>
      </c>
      <c r="D933" t="s">
        <v>69</v>
      </c>
      <c r="E933" t="s">
        <v>6471</v>
      </c>
      <c r="F933" s="2" t="n">
        <f>HYPERLINK("https://patents.google.com/patent/US20220048628","Google")</f>
        <v>0.0</v>
      </c>
      <c r="G933" s="2" t="n">
        <f>HYPERLINK("https://patentcenter.uspto.gov/applications/17213618","Patent Center")</f>
        <v>0.0</v>
      </c>
      <c r="H933" s="2" t="n">
        <f>HYPERLINK("https://worldwide.espacenet.com/patent/search?q=US20220048628","Espacenet")</f>
        <v>0.0</v>
      </c>
      <c r="I933" s="2" t="n">
        <f>HYPERLINK("https://ppubs.uspto.gov/pubwebapp/external.html?q=20220048628.pn.","USPTO")</f>
        <v>0.0</v>
      </c>
      <c r="J933" s="2" t="n">
        <f>HYPERLINK("https://image-ppubs.uspto.gov/dirsearch-public/print/downloadPdf/20220048628","USPTO PDF")</f>
        <v>0.0</v>
      </c>
      <c r="K933" s="2" t="n">
        <f>HYPERLINK("https://sectors.patentforecast.com/pmd/US20220048628","PMD")</f>
        <v>0.0</v>
      </c>
      <c r="L933" s="2" t="n">
        <f>HYPERLINK("https://globaldossier.uspto.gov/result/application/US/17213618/1","US20220048628")</f>
        <v>0.0</v>
      </c>
      <c r="M933" t="s">
        <v>6472</v>
      </c>
      <c r="N933" t="s">
        <v>6473</v>
      </c>
      <c r="O933" t="s">
        <v>6474</v>
      </c>
      <c r="P933" t="s">
        <v>6475</v>
      </c>
      <c r="Q933" s="3" t="n">
        <v>44281.0</v>
      </c>
      <c r="R933" s="3" t="n">
        <v>44609.0</v>
      </c>
      <c r="S933" s="3" t="n">
        <v>44610.18880659722</v>
      </c>
      <c r="T933" s="3" t="n">
        <v>44698.63869734954</v>
      </c>
      <c r="U933" t="s">
        <v>31</v>
      </c>
      <c r="V933" t="s">
        <v>6476</v>
      </c>
    </row>
    <row r="934">
      <c r="A934" t="s">
        <v>22</v>
      </c>
      <c r="B934" t="s">
        <v>6477</v>
      </c>
      <c r="C934" t="s">
        <v>24</v>
      </c>
      <c r="D934" t="s">
        <v>69</v>
      </c>
      <c r="E934" t="s">
        <v>6478</v>
      </c>
      <c r="F934" s="2" t="n">
        <f>HYPERLINK("https://patents.google.com/patent/US20220047980","Google")</f>
        <v>0.0</v>
      </c>
      <c r="G934" s="2" t="n">
        <f>HYPERLINK("https://patentcenter.uspto.gov/applications/17399838","Patent Center")</f>
        <v>0.0</v>
      </c>
      <c r="H934" s="2" t="n">
        <f>HYPERLINK("https://worldwide.espacenet.com/patent/search?q=US20220047980","Espacenet")</f>
        <v>0.0</v>
      </c>
      <c r="I934" s="2" t="n">
        <f>HYPERLINK("https://ppubs.uspto.gov/pubwebapp/external.html?q=20220047980.pn.","USPTO")</f>
        <v>0.0</v>
      </c>
      <c r="J934" s="2" t="n">
        <f>HYPERLINK("https://image-ppubs.uspto.gov/dirsearch-public/print/downloadPdf/20220047980","USPTO PDF")</f>
        <v>0.0</v>
      </c>
      <c r="K934" s="2" t="n">
        <f>HYPERLINK("https://sectors.patentforecast.com/pmd/US20220047980","PMD")</f>
        <v>0.0</v>
      </c>
      <c r="L934" s="2" t="n">
        <f>HYPERLINK("https://globaldossier.uspto.gov/result/application/US/17399838/1","US20220047980")</f>
        <v>0.0</v>
      </c>
      <c r="M934" t="s">
        <v>6479</v>
      </c>
      <c r="N934" t="s">
        <v>6480</v>
      </c>
      <c r="O934" t="s">
        <v>6481</v>
      </c>
      <c r="P934" t="s">
        <v>6482</v>
      </c>
      <c r="Q934" s="3" t="n">
        <v>44419.0</v>
      </c>
      <c r="R934" s="3" t="n">
        <v>44609.0</v>
      </c>
      <c r="S934" s="3" t="n">
        <v>44610.18880659722</v>
      </c>
      <c r="T934" s="3" t="n">
        <v>44698.63877171296</v>
      </c>
      <c r="U934" t="s">
        <v>31</v>
      </c>
      <c r="V934" t="s">
        <v>6483</v>
      </c>
    </row>
    <row r="935">
      <c r="A935" t="s">
        <v>22</v>
      </c>
      <c r="B935" t="s">
        <v>6484</v>
      </c>
      <c r="C935" t="s">
        <v>24</v>
      </c>
      <c r="D935" t="s">
        <v>69</v>
      </c>
      <c r="E935" t="s">
        <v>6485</v>
      </c>
      <c r="F935" s="2" t="n">
        <f>HYPERLINK("https://patents.google.com/patent/US20220047902","Google")</f>
        <v>0.0</v>
      </c>
      <c r="G935" s="2" t="n">
        <f>HYPERLINK("https://patentcenter.uspto.gov/applications/17400008","Patent Center")</f>
        <v>0.0</v>
      </c>
      <c r="H935" s="2" t="n">
        <f>HYPERLINK("https://worldwide.espacenet.com/patent/search?q=US20220047902","Espacenet")</f>
        <v>0.0</v>
      </c>
      <c r="I935" s="2" t="n">
        <f>HYPERLINK("https://ppubs.uspto.gov/pubwebapp/external.html?q=20220047902.pn.","USPTO")</f>
        <v>0.0</v>
      </c>
      <c r="J935" s="2" t="n">
        <f>HYPERLINK("https://image-ppubs.uspto.gov/dirsearch-public/print/downloadPdf/20220047902","USPTO PDF")</f>
        <v>0.0</v>
      </c>
      <c r="K935" s="2" t="n">
        <f>HYPERLINK("https://sectors.patentforecast.com/pmd/US20220047902","PMD")</f>
        <v>0.0</v>
      </c>
      <c r="L935" s="2" t="n">
        <f>HYPERLINK("https://globaldossier.uspto.gov/result/application/US/17400008/1","US20220047902")</f>
        <v>0.0</v>
      </c>
      <c r="M935" t="s">
        <v>6486</v>
      </c>
      <c r="N935" t="s">
        <v>54</v>
      </c>
      <c r="O935" t="s">
        <v>55</v>
      </c>
      <c r="P935" t="s">
        <v>6487</v>
      </c>
      <c r="Q935" s="3" t="n">
        <v>44419.0</v>
      </c>
      <c r="R935" s="3" t="n">
        <v>44609.0</v>
      </c>
      <c r="S935" s="3" t="n">
        <v>44610.18868575231</v>
      </c>
      <c r="T935" s="3" t="n">
        <v>44678.6309025463</v>
      </c>
      <c r="U935" t="s">
        <v>31</v>
      </c>
      <c r="V935" t="s">
        <v>6488</v>
      </c>
    </row>
    <row r="936">
      <c r="A936" t="s">
        <v>22</v>
      </c>
      <c r="B936" t="s">
        <v>6489</v>
      </c>
      <c r="C936" t="s">
        <v>24</v>
      </c>
      <c r="D936" t="s">
        <v>69</v>
      </c>
      <c r="E936" t="s">
        <v>6490</v>
      </c>
      <c r="F936" s="2" t="n">
        <f>HYPERLINK("https://patents.google.com/patent/US20220047898","Google")</f>
        <v>0.0</v>
      </c>
      <c r="G936" s="2" t="n">
        <f>HYPERLINK("https://patentcenter.uspto.gov/applications/17402025","Patent Center")</f>
        <v>0.0</v>
      </c>
      <c r="H936" s="2" t="n">
        <f>HYPERLINK("https://worldwide.espacenet.com/patent/search?q=US20220047898","Espacenet")</f>
        <v>0.0</v>
      </c>
      <c r="I936" s="2" t="n">
        <f>HYPERLINK("https://ppubs.uspto.gov/pubwebapp/external.html?q=20220047898.pn.","USPTO")</f>
        <v>0.0</v>
      </c>
      <c r="J936" s="2" t="n">
        <f>HYPERLINK("https://image-ppubs.uspto.gov/dirsearch-public/print/downloadPdf/20220047898","USPTO PDF")</f>
        <v>0.0</v>
      </c>
      <c r="K936" s="2" t="n">
        <f>HYPERLINK("https://sectors.patentforecast.com/pmd/US20220047898","PMD")</f>
        <v>0.0</v>
      </c>
      <c r="L936" s="2" t="n">
        <f>HYPERLINK("https://globaldossier.uspto.gov/result/application/US/17402025/1","US20220047898")</f>
        <v>0.0</v>
      </c>
      <c r="M936" t="s">
        <v>6491</v>
      </c>
      <c r="N936" t="s">
        <v>6492</v>
      </c>
      <c r="O936" t="s">
        <v>6493</v>
      </c>
      <c r="P936" t="s">
        <v>6494</v>
      </c>
      <c r="Q936" s="3" t="n">
        <v>44421.0</v>
      </c>
      <c r="R936" s="3" t="n">
        <v>44609.0</v>
      </c>
      <c r="S936" s="3" t="n">
        <v>44610.18868575231</v>
      </c>
      <c r="T936" s="3" t="n">
        <v>44698.63882407407</v>
      </c>
      <c r="U936" t="s">
        <v>31</v>
      </c>
      <c r="V936" t="s">
        <v>6495</v>
      </c>
    </row>
    <row r="937">
      <c r="A937" t="s">
        <v>22</v>
      </c>
      <c r="B937" t="s">
        <v>6496</v>
      </c>
      <c r="C937" t="s">
        <v>60</v>
      </c>
      <c r="D937" t="s">
        <v>715</v>
      </c>
      <c r="E937" t="s">
        <v>6497</v>
      </c>
      <c r="F937" s="2" t="n">
        <f>HYPERLINK("https://patents.google.com/patent/US20220047879","Google")</f>
        <v>0.0</v>
      </c>
      <c r="G937" s="2" t="n">
        <f>HYPERLINK("https://patentcenter.uspto.gov/applications/16994598","Patent Center")</f>
        <v>0.0</v>
      </c>
      <c r="H937" s="2" t="n">
        <f>HYPERLINK("https://worldwide.espacenet.com/patent/search?q=US20220047879","Espacenet")</f>
        <v>0.0</v>
      </c>
      <c r="I937" s="2" t="n">
        <f>HYPERLINK("https://ppubs.uspto.gov/pubwebapp/external.html?q=20220047879.pn.","USPTO")</f>
        <v>0.0</v>
      </c>
      <c r="J937" s="2" t="n">
        <f>HYPERLINK("https://image-ppubs.uspto.gov/dirsearch-public/print/downloadPdf/20220047879","USPTO PDF")</f>
        <v>0.0</v>
      </c>
      <c r="K937" s="2" t="n">
        <f>HYPERLINK("https://sectors.patentforecast.com/pmd/US20220047879","PMD")</f>
        <v>0.0</v>
      </c>
      <c r="L937" s="2" t="n">
        <f>HYPERLINK("https://globaldossier.uspto.gov/result/application/US/16994598/1","US20220047879")</f>
        <v>0.0</v>
      </c>
      <c r="M937" t="s">
        <v>6498</v>
      </c>
      <c r="N937" t="s">
        <v>6499</v>
      </c>
      <c r="O937" t="s">
        <v>6500</v>
      </c>
      <c r="P937" t="s">
        <v>6501</v>
      </c>
      <c r="Q937" s="3" t="n">
        <v>44059.0</v>
      </c>
      <c r="R937" s="3" t="n">
        <v>44609.0</v>
      </c>
      <c r="S937" s="3" t="n">
        <v>44610.18868575231</v>
      </c>
      <c r="T937" s="3" t="n">
        <v>44678.47273231482</v>
      </c>
      <c r="U937" t="s">
        <v>31</v>
      </c>
      <c r="V937" t="s">
        <v>6502</v>
      </c>
    </row>
    <row r="938">
      <c r="A938" t="s">
        <v>22</v>
      </c>
      <c r="B938" t="s">
        <v>6503</v>
      </c>
      <c r="C938" t="s">
        <v>60</v>
      </c>
      <c r="D938" t="s">
        <v>715</v>
      </c>
      <c r="E938" t="s">
        <v>6504</v>
      </c>
      <c r="F938" s="2" t="n">
        <f>HYPERLINK("https://patents.google.com/patent/US20220047838","Google")</f>
        <v>0.0</v>
      </c>
      <c r="G938" s="2" t="n">
        <f>HYPERLINK("https://patentcenter.uspto.gov/applications/16991228","Patent Center")</f>
        <v>0.0</v>
      </c>
      <c r="H938" s="2" t="n">
        <f>HYPERLINK("https://worldwide.espacenet.com/patent/search?q=US20220047838","Espacenet")</f>
        <v>0.0</v>
      </c>
      <c r="I938" s="2" t="n">
        <f>HYPERLINK("https://ppubs.uspto.gov/pubwebapp/external.html?q=20220047838.pn.","USPTO")</f>
        <v>0.0</v>
      </c>
      <c r="J938" s="2" t="n">
        <f>HYPERLINK("https://image-ppubs.uspto.gov/dirsearch-public/print/downloadPdf/20220047838","USPTO PDF")</f>
        <v>0.0</v>
      </c>
      <c r="K938" s="2" t="n">
        <f>HYPERLINK("https://sectors.patentforecast.com/pmd/US20220047838","PMD")</f>
        <v>0.0</v>
      </c>
      <c r="L938" s="2" t="n">
        <f>HYPERLINK("https://globaldossier.uspto.gov/result/application/US/16991228/1","US20220047838")</f>
        <v>0.0</v>
      </c>
      <c r="M938" t="s">
        <v>6505</v>
      </c>
      <c r="N938" t="s">
        <v>6506</v>
      </c>
      <c r="O938" t="s">
        <v>6506</v>
      </c>
      <c r="P938" t="s">
        <v>6507</v>
      </c>
      <c r="Q938" s="3" t="n">
        <v>44055.0</v>
      </c>
      <c r="R938" s="3" t="n">
        <v>44609.0</v>
      </c>
      <c r="S938" s="3" t="n">
        <v>44610.18868575231</v>
      </c>
      <c r="T938" s="3" t="n">
        <v>44678.64075650463</v>
      </c>
      <c r="U938" t="s">
        <v>6508</v>
      </c>
      <c r="V938" t="s">
        <v>6509</v>
      </c>
    </row>
    <row r="939">
      <c r="A939" t="s">
        <v>22</v>
      </c>
      <c r="B939" t="s">
        <v>6510</v>
      </c>
      <c r="C939" t="s">
        <v>24</v>
      </c>
      <c r="D939" t="s">
        <v>100</v>
      </c>
      <c r="E939" t="s">
        <v>6511</v>
      </c>
      <c r="F939" s="2" t="n">
        <f>HYPERLINK("https://patents.google.com/patent/US20220047768","Google")</f>
        <v>0.0</v>
      </c>
      <c r="G939" s="2" t="n">
        <f>HYPERLINK("https://patentcenter.uspto.gov/applications/17404279","Patent Center")</f>
        <v>0.0</v>
      </c>
      <c r="H939" s="2" t="n">
        <f>HYPERLINK("https://worldwide.espacenet.com/patent/search?q=US20220047768","Espacenet")</f>
        <v>0.0</v>
      </c>
      <c r="I939" s="2" t="n">
        <f>HYPERLINK("https://ppubs.uspto.gov/pubwebapp/external.html?q=20220047768.pn.","USPTO")</f>
        <v>0.0</v>
      </c>
      <c r="J939" s="2" t="n">
        <f>HYPERLINK("https://image-ppubs.uspto.gov/dirsearch-public/print/downloadPdf/20220047768","USPTO PDF")</f>
        <v>0.0</v>
      </c>
      <c r="K939" s="2" t="n">
        <f>HYPERLINK("https://sectors.patentforecast.com/pmd/US20220047768","PMD")</f>
        <v>0.0</v>
      </c>
      <c r="L939" s="2" t="n">
        <f>HYPERLINK("https://globaldossier.uspto.gov/result/application/US/17404279/1","US20220047768")</f>
        <v>0.0</v>
      </c>
      <c r="M939" t="s">
        <v>6512</v>
      </c>
      <c r="N939" t="s">
        <v>6513</v>
      </c>
      <c r="O939" t="s">
        <v>6514</v>
      </c>
      <c r="P939" t="s">
        <v>6515</v>
      </c>
      <c r="Q939" s="3" t="n">
        <v>44425.0</v>
      </c>
      <c r="R939" s="3" t="n">
        <v>44609.0</v>
      </c>
      <c r="S939" s="3" t="n">
        <v>44610.18868575231</v>
      </c>
      <c r="T939" s="3" t="n">
        <v>44678.57928900463</v>
      </c>
      <c r="U939" t="s">
        <v>6516</v>
      </c>
      <c r="V939" t="s">
        <v>6517</v>
      </c>
    </row>
    <row r="940">
      <c r="A940" t="s">
        <v>22</v>
      </c>
      <c r="B940" t="s">
        <v>6518</v>
      </c>
      <c r="C940" t="s">
        <v>24</v>
      </c>
      <c r="D940" t="s">
        <v>69</v>
      </c>
      <c r="E940" t="s">
        <v>6519</v>
      </c>
      <c r="F940" s="2" t="n">
        <f>HYPERLINK("https://patents.google.com/patent/US20220047766","Google")</f>
        <v>0.0</v>
      </c>
      <c r="G940" s="2" t="n">
        <f>HYPERLINK("https://patentcenter.uspto.gov/applications/17401874","Patent Center")</f>
        <v>0.0</v>
      </c>
      <c r="H940" s="2" t="n">
        <f>HYPERLINK("https://worldwide.espacenet.com/patent/search?q=US20220047766","Espacenet")</f>
        <v>0.0</v>
      </c>
      <c r="I940" s="2" t="n">
        <f>HYPERLINK("https://ppubs.uspto.gov/pubwebapp/external.html?q=20220047766.pn.","USPTO")</f>
        <v>0.0</v>
      </c>
      <c r="J940" s="2" t="n">
        <f>HYPERLINK("https://image-ppubs.uspto.gov/dirsearch-public/print/downloadPdf/20220047766","USPTO PDF")</f>
        <v>0.0</v>
      </c>
      <c r="K940" s="2" t="n">
        <f>HYPERLINK("https://sectors.patentforecast.com/pmd/US20220047766","PMD")</f>
        <v>0.0</v>
      </c>
      <c r="L940" s="2" t="n">
        <f>HYPERLINK("https://globaldossier.uspto.gov/result/application/US/17401874/1","US20220047766")</f>
        <v>0.0</v>
      </c>
      <c r="M940" t="s">
        <v>6520</v>
      </c>
      <c r="N940" t="s">
        <v>6492</v>
      </c>
      <c r="O940" t="s">
        <v>6493</v>
      </c>
      <c r="P940" t="s">
        <v>6494</v>
      </c>
      <c r="Q940" s="3" t="n">
        <v>44421.0</v>
      </c>
      <c r="R940" s="3" t="n">
        <v>44609.0</v>
      </c>
      <c r="S940" s="3" t="n">
        <v>44610.18868575231</v>
      </c>
      <c r="T940" s="3" t="n">
        <v>44698.638875868055</v>
      </c>
      <c r="U940" t="s">
        <v>6521</v>
      </c>
      <c r="V940" t="s">
        <v>6522</v>
      </c>
    </row>
    <row r="941">
      <c r="A941" t="s">
        <v>22</v>
      </c>
      <c r="B941" t="s">
        <v>6523</v>
      </c>
      <c r="C941" t="s">
        <v>24</v>
      </c>
      <c r="D941" t="s">
        <v>100</v>
      </c>
      <c r="E941" t="s">
        <v>6524</v>
      </c>
      <c r="F941" s="2" t="n">
        <f>HYPERLINK("https://patents.google.com/patent/US20220047759","Google")</f>
        <v>0.0</v>
      </c>
      <c r="G941" s="2" t="n">
        <f>HYPERLINK("https://patentcenter.uspto.gov/applications/17208038","Patent Center")</f>
        <v>0.0</v>
      </c>
      <c r="H941" s="2" t="n">
        <f>HYPERLINK("https://worldwide.espacenet.com/patent/search?q=US20220047759","Espacenet")</f>
        <v>0.0</v>
      </c>
      <c r="I941" s="2" t="n">
        <f>HYPERLINK("https://ppubs.uspto.gov/pubwebapp/external.html?q=20220047759.pn.","USPTO")</f>
        <v>0.0</v>
      </c>
      <c r="J941" s="2" t="n">
        <f>HYPERLINK("https://image-ppubs.uspto.gov/dirsearch-public/print/downloadPdf/20220047759","USPTO PDF")</f>
        <v>0.0</v>
      </c>
      <c r="K941" s="2" t="n">
        <f>HYPERLINK("https://sectors.patentforecast.com/pmd/US20220047759","PMD")</f>
        <v>0.0</v>
      </c>
      <c r="L941" s="2" t="n">
        <f>HYPERLINK("https://globaldossier.uspto.gov/result/application/US/17208038/1","US20220047759")</f>
        <v>0.0</v>
      </c>
      <c r="M941" t="s">
        <v>6525</v>
      </c>
      <c r="N941" t="s">
        <v>1227</v>
      </c>
      <c r="O941" t="s">
        <v>1228</v>
      </c>
      <c r="P941" t="s">
        <v>6526</v>
      </c>
      <c r="Q941" s="3" t="n">
        <v>44277.0</v>
      </c>
      <c r="R941" s="3" t="n">
        <v>44609.0</v>
      </c>
      <c r="S941" s="3" t="n">
        <v>44610.18868575231</v>
      </c>
      <c r="T941" s="3" t="n">
        <v>44698.52044113426</v>
      </c>
      <c r="U941" t="s">
        <v>31</v>
      </c>
      <c r="V941" t="s">
        <v>6527</v>
      </c>
    </row>
    <row r="942">
      <c r="A942" t="s">
        <v>22</v>
      </c>
      <c r="B942" t="s">
        <v>6528</v>
      </c>
      <c r="C942" t="s">
        <v>24</v>
      </c>
      <c r="D942" t="s">
        <v>100</v>
      </c>
      <c r="E942" t="s">
        <v>6529</v>
      </c>
      <c r="F942" s="2" t="n">
        <f>HYPERLINK("https://patents.google.com/patent/US20220047758","Google")</f>
        <v>0.0</v>
      </c>
      <c r="G942" s="2" t="n">
        <f>HYPERLINK("https://patentcenter.uspto.gov/applications/17390011","Patent Center")</f>
        <v>0.0</v>
      </c>
      <c r="H942" s="2" t="n">
        <f>HYPERLINK("https://worldwide.espacenet.com/patent/search?q=US20220047758","Espacenet")</f>
        <v>0.0</v>
      </c>
      <c r="I942" s="2" t="n">
        <f>HYPERLINK("https://ppubs.uspto.gov/pubwebapp/external.html?q=20220047758.pn.","USPTO")</f>
        <v>0.0</v>
      </c>
      <c r="J942" s="2" t="n">
        <f>HYPERLINK("https://image-ppubs.uspto.gov/dirsearch-public/print/downloadPdf/20220047758","USPTO PDF")</f>
        <v>0.0</v>
      </c>
      <c r="K942" s="2" t="n">
        <f>HYPERLINK("https://sectors.patentforecast.com/pmd/US20220047758","PMD")</f>
        <v>0.0</v>
      </c>
      <c r="L942" s="2" t="n">
        <f>HYPERLINK("https://globaldossier.uspto.gov/result/application/US/17390011/1","US20220047758")</f>
        <v>0.0</v>
      </c>
      <c r="M942" t="s">
        <v>6530</v>
      </c>
      <c r="N942" t="s">
        <v>6531</v>
      </c>
      <c r="O942" t="s">
        <v>6532</v>
      </c>
      <c r="P942" t="s">
        <v>6533</v>
      </c>
      <c r="Q942" s="3" t="n">
        <v>44407.0</v>
      </c>
      <c r="R942" s="3" t="n">
        <v>44609.0</v>
      </c>
      <c r="S942" s="3" t="n">
        <v>44610.18868575231</v>
      </c>
      <c r="T942" s="3" t="n">
        <v>44698.5205028125</v>
      </c>
      <c r="U942" t="s">
        <v>6534</v>
      </c>
      <c r="V942" t="s">
        <v>6535</v>
      </c>
    </row>
    <row r="943">
      <c r="A943" t="s">
        <v>22</v>
      </c>
      <c r="B943" t="s">
        <v>6536</v>
      </c>
      <c r="C943" t="s">
        <v>24</v>
      </c>
      <c r="D943" t="s">
        <v>100</v>
      </c>
      <c r="E943" t="s">
        <v>6537</v>
      </c>
      <c r="F943" s="2" t="n">
        <f>HYPERLINK("https://patents.google.com/patent/US20220047744","Google")</f>
        <v>0.0</v>
      </c>
      <c r="G943" s="2" t="n">
        <f>HYPERLINK("https://patentcenter.uspto.gov/applications/17404940","Patent Center")</f>
        <v>0.0</v>
      </c>
      <c r="H943" s="2" t="n">
        <f>HYPERLINK("https://worldwide.espacenet.com/patent/search?q=US20220047744","Espacenet")</f>
        <v>0.0</v>
      </c>
      <c r="I943" s="2" t="n">
        <f>HYPERLINK("https://ppubs.uspto.gov/pubwebapp/external.html?q=20220047744.pn.","USPTO")</f>
        <v>0.0</v>
      </c>
      <c r="J943" s="2" t="n">
        <f>HYPERLINK("https://image-ppubs.uspto.gov/dirsearch-public/print/downloadPdf/20220047744","USPTO PDF")</f>
        <v>0.0</v>
      </c>
      <c r="K943" s="2" t="n">
        <f>HYPERLINK("https://sectors.patentforecast.com/pmd/US20220047744","PMD")</f>
        <v>0.0</v>
      </c>
      <c r="L943" s="2" t="n">
        <f>HYPERLINK("https://globaldossier.uspto.gov/result/application/US/17404940/1","US20220047744")</f>
        <v>0.0</v>
      </c>
      <c r="M943" t="s">
        <v>6538</v>
      </c>
      <c r="N943" t="s">
        <v>6539</v>
      </c>
      <c r="O943" t="s">
        <v>6540</v>
      </c>
      <c r="P943" t="s">
        <v>6541</v>
      </c>
      <c r="Q943" s="3" t="n">
        <v>44425.0</v>
      </c>
      <c r="R943" s="3" t="n">
        <v>44609.0</v>
      </c>
      <c r="S943" s="3" t="n">
        <v>44610.18868575231</v>
      </c>
      <c r="T943" s="3" t="n">
        <v>44678.57928900463</v>
      </c>
      <c r="U943" t="s">
        <v>6542</v>
      </c>
      <c r="V943" t="s">
        <v>6543</v>
      </c>
    </row>
    <row r="944">
      <c r="A944" t="s">
        <v>22</v>
      </c>
      <c r="B944" t="s">
        <v>6544</v>
      </c>
      <c r="C944" t="s">
        <v>24</v>
      </c>
      <c r="D944" t="s">
        <v>100</v>
      </c>
      <c r="E944" t="s">
        <v>6545</v>
      </c>
      <c r="F944" s="2" t="n">
        <f>HYPERLINK("https://patents.google.com/patent/US20220047743","Google")</f>
        <v>0.0</v>
      </c>
      <c r="G944" s="2" t="n">
        <f>HYPERLINK("https://patentcenter.uspto.gov/applications/17404275","Patent Center")</f>
        <v>0.0</v>
      </c>
      <c r="H944" s="2" t="n">
        <f>HYPERLINK("https://worldwide.espacenet.com/patent/search?q=US20220047743","Espacenet")</f>
        <v>0.0</v>
      </c>
      <c r="I944" s="2" t="n">
        <f>HYPERLINK("https://ppubs.uspto.gov/pubwebapp/external.html?q=20220047743.pn.","USPTO")</f>
        <v>0.0</v>
      </c>
      <c r="J944" s="2" t="n">
        <f>HYPERLINK("https://image-ppubs.uspto.gov/dirsearch-public/print/downloadPdf/20220047743","USPTO PDF")</f>
        <v>0.0</v>
      </c>
      <c r="K944" s="2" t="n">
        <f>HYPERLINK("https://sectors.patentforecast.com/pmd/US20220047743","PMD")</f>
        <v>0.0</v>
      </c>
      <c r="L944" s="2" t="n">
        <f>HYPERLINK("https://globaldossier.uspto.gov/result/application/US/17404275/1","US20220047743")</f>
        <v>0.0</v>
      </c>
      <c r="M944" t="s">
        <v>6546</v>
      </c>
      <c r="N944" t="s">
        <v>6513</v>
      </c>
      <c r="O944" t="s">
        <v>6514</v>
      </c>
      <c r="P944" t="s">
        <v>6515</v>
      </c>
      <c r="Q944" s="3" t="n">
        <v>44425.0</v>
      </c>
      <c r="R944" s="3" t="n">
        <v>44609.0</v>
      </c>
      <c r="S944" s="3" t="n">
        <v>44610.18868575231</v>
      </c>
      <c r="T944" s="3" t="n">
        <v>44678.57928900463</v>
      </c>
      <c r="U944" t="s">
        <v>31</v>
      </c>
      <c r="V944" t="s">
        <v>6547</v>
      </c>
    </row>
    <row r="945">
      <c r="A945" t="s">
        <v>22</v>
      </c>
      <c r="B945" t="s">
        <v>6548</v>
      </c>
      <c r="C945" t="s">
        <v>24</v>
      </c>
      <c r="D945" t="s">
        <v>69</v>
      </c>
      <c r="E945" t="s">
        <v>6549</v>
      </c>
      <c r="F945" s="2" t="n">
        <f>HYPERLINK("https://patents.google.com/patent/US20220047742","Google")</f>
        <v>0.0</v>
      </c>
      <c r="G945" s="2" t="n">
        <f>HYPERLINK("https://patentcenter.uspto.gov/applications/17403426","Patent Center")</f>
        <v>0.0</v>
      </c>
      <c r="H945" s="2" t="n">
        <f>HYPERLINK("https://worldwide.espacenet.com/patent/search?q=US20220047742","Espacenet")</f>
        <v>0.0</v>
      </c>
      <c r="I945" s="2" t="n">
        <f>HYPERLINK("https://ppubs.uspto.gov/pubwebapp/external.html?q=20220047742.pn.","USPTO")</f>
        <v>0.0</v>
      </c>
      <c r="J945" s="2" t="n">
        <f>HYPERLINK("https://image-ppubs.uspto.gov/dirsearch-public/print/downloadPdf/20220047742","USPTO PDF")</f>
        <v>0.0</v>
      </c>
      <c r="K945" s="2" t="n">
        <f>HYPERLINK("https://sectors.patentforecast.com/pmd/US20220047742","PMD")</f>
        <v>0.0</v>
      </c>
      <c r="L945" s="2" t="n">
        <f>HYPERLINK("https://globaldossier.uspto.gov/result/application/US/17403426/1","US20220047742")</f>
        <v>0.0</v>
      </c>
      <c r="M945" t="s">
        <v>6550</v>
      </c>
      <c r="N945" t="s">
        <v>6551</v>
      </c>
      <c r="O945" t="s">
        <v>6552</v>
      </c>
      <c r="P945" t="s">
        <v>6553</v>
      </c>
      <c r="Q945" s="3" t="n">
        <v>44424.0</v>
      </c>
      <c r="R945" s="3" t="n">
        <v>44609.0</v>
      </c>
      <c r="S945" s="3" t="n">
        <v>44610.18868575231</v>
      </c>
      <c r="T945" s="3" t="n">
        <v>44678.636131770836</v>
      </c>
      <c r="U945" t="s">
        <v>31</v>
      </c>
      <c r="V945" t="s">
        <v>6554</v>
      </c>
    </row>
    <row r="946">
      <c r="A946" t="s">
        <v>22</v>
      </c>
      <c r="B946" t="s">
        <v>6555</v>
      </c>
      <c r="C946" t="s">
        <v>24</v>
      </c>
      <c r="D946" t="s">
        <v>100</v>
      </c>
      <c r="E946" t="s">
        <v>6556</v>
      </c>
      <c r="F946" s="2" t="n">
        <f>HYPERLINK("https://patents.google.com/patent/US20220047739","Google")</f>
        <v>0.0</v>
      </c>
      <c r="G946" s="2" t="n">
        <f>HYPERLINK("https://patentcenter.uspto.gov/applications/17401003","Patent Center")</f>
        <v>0.0</v>
      </c>
      <c r="H946" s="2" t="n">
        <f>HYPERLINK("https://worldwide.espacenet.com/patent/search?q=US20220047739","Espacenet")</f>
        <v>0.0</v>
      </c>
      <c r="I946" s="2" t="n">
        <f>HYPERLINK("https://ppubs.uspto.gov/pubwebapp/external.html?q=20220047739.pn.","USPTO")</f>
        <v>0.0</v>
      </c>
      <c r="J946" s="2" t="n">
        <f>HYPERLINK("https://image-ppubs.uspto.gov/dirsearch-public/print/downloadPdf/20220047739","USPTO PDF")</f>
        <v>0.0</v>
      </c>
      <c r="K946" s="2" t="n">
        <f>HYPERLINK("https://sectors.patentforecast.com/pmd/US20220047739","PMD")</f>
        <v>0.0</v>
      </c>
      <c r="L946" s="2" t="n">
        <f>HYPERLINK("https://globaldossier.uspto.gov/result/application/US/17401003/1","US20220047739")</f>
        <v>0.0</v>
      </c>
      <c r="M946" t="s">
        <v>6557</v>
      </c>
      <c r="N946" t="s">
        <v>6558</v>
      </c>
      <c r="O946" t="s">
        <v>6559</v>
      </c>
      <c r="P946" t="s">
        <v>6560</v>
      </c>
      <c r="Q946" s="3" t="n">
        <v>44420.0</v>
      </c>
      <c r="R946" s="3" t="n">
        <v>44609.0</v>
      </c>
      <c r="S946" s="3" t="n">
        <v>44643.24305162037</v>
      </c>
      <c r="T946" s="3" t="n">
        <v>44719.602072905094</v>
      </c>
      <c r="U946" t="s">
        <v>31</v>
      </c>
      <c r="V946" t="s">
        <v>6561</v>
      </c>
    </row>
    <row r="947">
      <c r="A947" t="s">
        <v>22</v>
      </c>
      <c r="B947" t="s">
        <v>6562</v>
      </c>
      <c r="C947" t="s">
        <v>24</v>
      </c>
      <c r="D947" t="s">
        <v>100</v>
      </c>
      <c r="E947" t="s">
        <v>6563</v>
      </c>
      <c r="F947" s="2" t="n">
        <f>HYPERLINK("https://patents.google.com/patent/US20220047737","Google")</f>
        <v>0.0</v>
      </c>
      <c r="G947" s="2" t="n">
        <f>HYPERLINK("https://patentcenter.uspto.gov/applications/17399550","Patent Center")</f>
        <v>0.0</v>
      </c>
      <c r="H947" s="2" t="n">
        <f>HYPERLINK("https://worldwide.espacenet.com/patent/search?q=US20220047737","Espacenet")</f>
        <v>0.0</v>
      </c>
      <c r="I947" s="2" t="n">
        <f>HYPERLINK("https://ppubs.uspto.gov/pubwebapp/external.html?q=20220047737.pn.","USPTO")</f>
        <v>0.0</v>
      </c>
      <c r="J947" s="2" t="n">
        <f>HYPERLINK("https://image-ppubs.uspto.gov/dirsearch-public/print/downloadPdf/20220047737","USPTO PDF")</f>
        <v>0.0</v>
      </c>
      <c r="K947" s="2" t="n">
        <f>HYPERLINK("https://sectors.patentforecast.com/pmd/US20220047737","PMD")</f>
        <v>0.0</v>
      </c>
      <c r="L947" s="2" t="n">
        <f>HYPERLINK("https://globaldossier.uspto.gov/result/application/US/17399550/1","US20220047737")</f>
        <v>0.0</v>
      </c>
      <c r="M947" t="s">
        <v>6564</v>
      </c>
      <c r="N947" t="s">
        <v>6565</v>
      </c>
      <c r="O947" t="s">
        <v>6566</v>
      </c>
      <c r="P947" t="s">
        <v>6567</v>
      </c>
      <c r="Q947" s="3" t="n">
        <v>44419.0</v>
      </c>
      <c r="R947" s="3" t="n">
        <v>44609.0</v>
      </c>
      <c r="S947" s="3" t="n">
        <v>44610.18868575231</v>
      </c>
      <c r="T947" s="3" t="n">
        <v>44698.51378677083</v>
      </c>
      <c r="U947" t="s">
        <v>31</v>
      </c>
      <c r="V947" t="s">
        <v>6568</v>
      </c>
    </row>
    <row r="948">
      <c r="A948" t="s">
        <v>22</v>
      </c>
      <c r="B948" t="s">
        <v>6569</v>
      </c>
      <c r="C948" t="s">
        <v>24</v>
      </c>
      <c r="D948" t="s">
        <v>100</v>
      </c>
      <c r="E948" t="s">
        <v>6570</v>
      </c>
      <c r="F948" s="2" t="n">
        <f>HYPERLINK("https://patents.google.com/patent/US20220047734","Google")</f>
        <v>0.0</v>
      </c>
      <c r="G948" s="2" t="n">
        <f>HYPERLINK("https://patentcenter.uspto.gov/applications/17032940","Patent Center")</f>
        <v>0.0</v>
      </c>
      <c r="H948" s="2" t="n">
        <f>HYPERLINK("https://worldwide.espacenet.com/patent/search?q=US20220047734","Espacenet")</f>
        <v>0.0</v>
      </c>
      <c r="I948" s="2" t="n">
        <f>HYPERLINK("https://ppubs.uspto.gov/pubwebapp/external.html?q=20220047734.pn.","USPTO")</f>
        <v>0.0</v>
      </c>
      <c r="J948" s="2" t="n">
        <f>HYPERLINK("https://image-ppubs.uspto.gov/dirsearch-public/print/downloadPdf/20220047734","USPTO PDF")</f>
        <v>0.0</v>
      </c>
      <c r="K948" s="2" t="n">
        <f>HYPERLINK("https://sectors.patentforecast.com/pmd/US20220047734","PMD")</f>
        <v>0.0</v>
      </c>
      <c r="L948" s="2" t="n">
        <f>HYPERLINK("https://globaldossier.uspto.gov/result/application/US/17032940/1","US20220047734")</f>
        <v>0.0</v>
      </c>
      <c r="M948" t="s">
        <v>6571</v>
      </c>
      <c r="N948" t="s">
        <v>2232</v>
      </c>
      <c r="O948" t="s">
        <v>2232</v>
      </c>
      <c r="P948" t="s">
        <v>6572</v>
      </c>
      <c r="Q948" s="3" t="n">
        <v>44099.0</v>
      </c>
      <c r="R948" s="3" t="n">
        <v>44609.0</v>
      </c>
      <c r="S948" s="3" t="n">
        <v>44610.18868575231</v>
      </c>
      <c r="T948" s="3" t="n">
        <v>44678.36594255787</v>
      </c>
      <c r="U948" t="s">
        <v>6573</v>
      </c>
      <c r="V948" t="s">
        <v>6574</v>
      </c>
    </row>
    <row r="949">
      <c r="A949" t="s">
        <v>22</v>
      </c>
      <c r="B949" t="s">
        <v>6575</v>
      </c>
      <c r="C949" t="s">
        <v>24</v>
      </c>
      <c r="D949" t="s">
        <v>100</v>
      </c>
      <c r="E949" t="s">
        <v>6576</v>
      </c>
      <c r="F949" s="2" t="n">
        <f>HYPERLINK("https://patents.google.com/patent/US20220047731","Google")</f>
        <v>0.0</v>
      </c>
      <c r="G949" s="2" t="n">
        <f>HYPERLINK("https://patentcenter.uspto.gov/applications/17371523","Patent Center")</f>
        <v>0.0</v>
      </c>
      <c r="H949" s="2" t="n">
        <f>HYPERLINK("https://worldwide.espacenet.com/patent/search?q=US20220047731","Espacenet")</f>
        <v>0.0</v>
      </c>
      <c r="I949" s="2" t="n">
        <f>HYPERLINK("https://ppubs.uspto.gov/pubwebapp/external.html?q=20220047731.pn.","USPTO")</f>
        <v>0.0</v>
      </c>
      <c r="J949" s="2" t="n">
        <f>HYPERLINK("https://image-ppubs.uspto.gov/dirsearch-public/print/downloadPdf/20220047731","USPTO PDF")</f>
        <v>0.0</v>
      </c>
      <c r="K949" s="2" t="n">
        <f>HYPERLINK("https://sectors.patentforecast.com/pmd/US20220047731","PMD")</f>
        <v>0.0</v>
      </c>
      <c r="L949" s="2" t="n">
        <f>HYPERLINK("https://globaldossier.uspto.gov/result/application/US/17371523/1","US20220047731")</f>
        <v>0.0</v>
      </c>
      <c r="M949" t="s">
        <v>6577</v>
      </c>
      <c r="N949" t="s">
        <v>6578</v>
      </c>
      <c r="O949" t="s">
        <v>6579</v>
      </c>
      <c r="P949" t="s">
        <v>6580</v>
      </c>
      <c r="Q949" s="3" t="n">
        <v>44386.0</v>
      </c>
      <c r="R949" s="3" t="n">
        <v>44609.0</v>
      </c>
      <c r="S949" s="3" t="n">
        <v>44610.18868575231</v>
      </c>
      <c r="T949" s="3" t="n">
        <v>44678.57928900463</v>
      </c>
      <c r="U949" t="s">
        <v>6581</v>
      </c>
      <c r="V949" t="s">
        <v>6582</v>
      </c>
    </row>
    <row r="950">
      <c r="A950" t="s">
        <v>22</v>
      </c>
      <c r="B950" t="s">
        <v>6583</v>
      </c>
      <c r="C950" t="s">
        <v>60</v>
      </c>
      <c r="D950" t="s">
        <v>61</v>
      </c>
      <c r="E950" t="s">
        <v>6584</v>
      </c>
      <c r="F950" s="2" t="n">
        <f>HYPERLINK("https://patents.google.com/patent/US20220047712","Google")</f>
        <v>0.0</v>
      </c>
      <c r="G950" s="2" t="n">
        <f>HYPERLINK("https://patentcenter.uspto.gov/applications/17395358","Patent Center")</f>
        <v>0.0</v>
      </c>
      <c r="H950" s="2" t="n">
        <f>HYPERLINK("https://worldwide.espacenet.com/patent/search?q=US20220047712","Espacenet")</f>
        <v>0.0</v>
      </c>
      <c r="I950" s="2" t="n">
        <f>HYPERLINK("https://ppubs.uspto.gov/pubwebapp/external.html?q=20220047712.pn.","USPTO")</f>
        <v>0.0</v>
      </c>
      <c r="J950" s="2" t="n">
        <f>HYPERLINK("https://image-ppubs.uspto.gov/dirsearch-public/print/downloadPdf/20220047712","USPTO PDF")</f>
        <v>0.0</v>
      </c>
      <c r="K950" s="2" t="n">
        <f>HYPERLINK("https://sectors.patentforecast.com/pmd/US20220047712","PMD")</f>
        <v>0.0</v>
      </c>
      <c r="L950" s="2" t="n">
        <f>HYPERLINK("https://globaldossier.uspto.gov/result/application/US/17395358/1","US20220047712")</f>
        <v>0.0</v>
      </c>
      <c r="M950" t="s">
        <v>6585</v>
      </c>
      <c r="N950" t="s">
        <v>6586</v>
      </c>
      <c r="O950" t="s">
        <v>6587</v>
      </c>
      <c r="P950" t="s">
        <v>6588</v>
      </c>
      <c r="Q950" s="3" t="n">
        <v>44413.0</v>
      </c>
      <c r="R950" s="3" t="n">
        <v>44609.0</v>
      </c>
      <c r="S950" s="3" t="n">
        <v>44610.18868575231</v>
      </c>
      <c r="T950" s="3" t="n">
        <v>44698.6389509838</v>
      </c>
      <c r="U950" t="s">
        <v>31</v>
      </c>
      <c r="V950" t="s">
        <v>6589</v>
      </c>
    </row>
    <row r="951">
      <c r="A951" t="s">
        <v>22</v>
      </c>
      <c r="B951" t="s">
        <v>6590</v>
      </c>
      <c r="C951" t="s">
        <v>132</v>
      </c>
      <c r="D951" t="s">
        <v>133</v>
      </c>
      <c r="E951" t="s">
        <v>6591</v>
      </c>
      <c r="F951" s="2" t="n">
        <f>HYPERLINK("https://patents.google.com/patent/US20220047697","Google")</f>
        <v>0.0</v>
      </c>
      <c r="G951" s="2" t="n">
        <f>HYPERLINK("https://patentcenter.uspto.gov/applications/17402014","Patent Center")</f>
        <v>0.0</v>
      </c>
      <c r="H951" s="2" t="n">
        <f>HYPERLINK("https://worldwide.espacenet.com/patent/search?q=US20220047697","Espacenet")</f>
        <v>0.0</v>
      </c>
      <c r="I951" s="2" t="n">
        <f>HYPERLINK("https://ppubs.uspto.gov/pubwebapp/external.html?q=20220047697.pn.","USPTO")</f>
        <v>0.0</v>
      </c>
      <c r="J951" s="2" t="n">
        <f>HYPERLINK("https://image-ppubs.uspto.gov/dirsearch-public/print/downloadPdf/20220047697","USPTO PDF")</f>
        <v>0.0</v>
      </c>
      <c r="K951" s="2" t="n">
        <f>HYPERLINK("https://sectors.patentforecast.com/pmd/US20220047697","PMD")</f>
        <v>0.0</v>
      </c>
      <c r="L951" s="2" t="n">
        <f>HYPERLINK("https://globaldossier.uspto.gov/result/application/US/17402014/1","US20220047697")</f>
        <v>0.0</v>
      </c>
      <c r="M951" t="s">
        <v>6592</v>
      </c>
      <c r="N951" t="s">
        <v>6593</v>
      </c>
      <c r="O951" t="s">
        <v>6593</v>
      </c>
      <c r="P951" t="s">
        <v>6594</v>
      </c>
      <c r="Q951" s="3" t="n">
        <v>44421.0</v>
      </c>
      <c r="R951" s="3" t="n">
        <v>44609.0</v>
      </c>
      <c r="S951" s="3" t="n">
        <v>44610.18868575231</v>
      </c>
      <c r="T951" s="3" t="n">
        <v>44638.68962553241</v>
      </c>
      <c r="U951" t="s">
        <v>31</v>
      </c>
      <c r="V951" t="s">
        <v>6595</v>
      </c>
    </row>
    <row r="952">
      <c r="A952" t="s">
        <v>22</v>
      </c>
      <c r="B952" t="s">
        <v>6596</v>
      </c>
      <c r="C952" t="s">
        <v>132</v>
      </c>
      <c r="D952" t="s">
        <v>133</v>
      </c>
      <c r="E952" t="s">
        <v>6597</v>
      </c>
      <c r="F952" s="2" t="n">
        <f>HYPERLINK("https://patents.google.com/patent/US20220047696","Google")</f>
        <v>0.0</v>
      </c>
      <c r="G952" s="2" t="n">
        <f>HYPERLINK("https://patentcenter.uspto.gov/applications/17389724","Patent Center")</f>
        <v>0.0</v>
      </c>
      <c r="H952" s="2" t="n">
        <f>HYPERLINK("https://worldwide.espacenet.com/patent/search?q=US20220047696","Espacenet")</f>
        <v>0.0</v>
      </c>
      <c r="I952" s="2" t="n">
        <f>HYPERLINK("https://ppubs.uspto.gov/pubwebapp/external.html?q=20220047696.pn.","USPTO")</f>
        <v>0.0</v>
      </c>
      <c r="J952" s="2" t="n">
        <f>HYPERLINK("https://image-ppubs.uspto.gov/dirsearch-public/print/downloadPdf/20220047696","USPTO PDF")</f>
        <v>0.0</v>
      </c>
      <c r="K952" s="2" t="n">
        <f>HYPERLINK("https://sectors.patentforecast.com/pmd/US20220047696","PMD")</f>
        <v>0.0</v>
      </c>
      <c r="L952" s="2" t="n">
        <f>HYPERLINK("https://globaldossier.uspto.gov/result/application/US/17389724/1","US20220047696")</f>
        <v>0.0</v>
      </c>
      <c r="M952" t="s">
        <v>6598</v>
      </c>
      <c r="N952" t="s">
        <v>6331</v>
      </c>
      <c r="O952" t="s">
        <v>6332</v>
      </c>
      <c r="P952" t="s">
        <v>6599</v>
      </c>
      <c r="Q952" s="3" t="n">
        <v>44407.0</v>
      </c>
      <c r="R952" s="3" t="n">
        <v>44609.0</v>
      </c>
      <c r="S952" s="3" t="n">
        <v>44610.18868575231</v>
      </c>
      <c r="T952" s="3" t="n">
        <v>44638.688898113425</v>
      </c>
      <c r="U952" t="s">
        <v>6600</v>
      </c>
      <c r="V952" t="s">
        <v>6601</v>
      </c>
    </row>
    <row r="953">
      <c r="A953" t="s">
        <v>22</v>
      </c>
      <c r="B953" t="s">
        <v>6602</v>
      </c>
      <c r="C953" t="s">
        <v>60</v>
      </c>
      <c r="D953" t="s">
        <v>61</v>
      </c>
      <c r="E953" t="s">
        <v>6603</v>
      </c>
      <c r="F953" s="2" t="n">
        <f>HYPERLINK("https://patents.google.com/patent/US20220047686","Google")</f>
        <v>0.0</v>
      </c>
      <c r="G953" s="2" t="n">
        <f>HYPERLINK("https://patentcenter.uspto.gov/applications/17384039","Patent Center")</f>
        <v>0.0</v>
      </c>
      <c r="H953" s="2" t="n">
        <f>HYPERLINK("https://worldwide.espacenet.com/patent/search?q=US20220047686","Espacenet")</f>
        <v>0.0</v>
      </c>
      <c r="I953" s="2" t="n">
        <f>HYPERLINK("https://ppubs.uspto.gov/pubwebapp/external.html?q=20220047686.pn.","USPTO")</f>
        <v>0.0</v>
      </c>
      <c r="J953" s="2" t="n">
        <f>HYPERLINK("https://image-ppubs.uspto.gov/dirsearch-public/print/downloadPdf/20220047686","USPTO PDF")</f>
        <v>0.0</v>
      </c>
      <c r="K953" s="2" t="n">
        <f>HYPERLINK("https://sectors.patentforecast.com/pmd/US20220047686","PMD")</f>
        <v>0.0</v>
      </c>
      <c r="L953" s="2" t="n">
        <f>HYPERLINK("https://globaldossier.uspto.gov/result/application/US/17384039/1","US20220047686")</f>
        <v>0.0</v>
      </c>
      <c r="M953" t="s">
        <v>6604</v>
      </c>
      <c r="N953" t="s">
        <v>5926</v>
      </c>
      <c r="O953" t="s">
        <v>5926</v>
      </c>
      <c r="P953" t="s">
        <v>6605</v>
      </c>
      <c r="Q953" s="3" t="n">
        <v>44400.0</v>
      </c>
      <c r="R953" s="3" t="n">
        <v>44609.0</v>
      </c>
      <c r="S953" s="3" t="n">
        <v>44610.18868575231</v>
      </c>
      <c r="T953" s="3" t="n">
        <v>44698.6390052662</v>
      </c>
      <c r="U953" t="s">
        <v>6606</v>
      </c>
      <c r="V953" t="s">
        <v>6607</v>
      </c>
    </row>
    <row r="954">
      <c r="A954" t="s">
        <v>22</v>
      </c>
      <c r="B954" t="s">
        <v>6608</v>
      </c>
      <c r="C954" t="s">
        <v>60</v>
      </c>
      <c r="D954" t="s">
        <v>61</v>
      </c>
      <c r="E954" t="s">
        <v>6609</v>
      </c>
      <c r="F954" s="2" t="n">
        <f>HYPERLINK("https://patents.google.com/patent/US20220047663","Google")</f>
        <v>0.0</v>
      </c>
      <c r="G954" s="2" t="n">
        <f>HYPERLINK("https://patentcenter.uspto.gov/applications/17167380","Patent Center")</f>
        <v>0.0</v>
      </c>
      <c r="H954" s="2" t="n">
        <f>HYPERLINK("https://worldwide.espacenet.com/patent/search?q=US20220047663","Espacenet")</f>
        <v>0.0</v>
      </c>
      <c r="I954" s="2" t="n">
        <f>HYPERLINK("https://ppubs.uspto.gov/pubwebapp/external.html?q=20220047663.pn.","USPTO")</f>
        <v>0.0</v>
      </c>
      <c r="J954" s="2" t="n">
        <f>HYPERLINK("https://image-ppubs.uspto.gov/dirsearch-public/print/downloadPdf/20220047663","USPTO PDF")</f>
        <v>0.0</v>
      </c>
      <c r="K954" s="2" t="n">
        <f>HYPERLINK("https://sectors.patentforecast.com/pmd/US20220047663","PMD")</f>
        <v>0.0</v>
      </c>
      <c r="L954" s="2" t="n">
        <f>HYPERLINK("https://globaldossier.uspto.gov/result/application/US/17167380/1","US20220047663")</f>
        <v>0.0</v>
      </c>
      <c r="M954" t="s">
        <v>6610</v>
      </c>
      <c r="N954" t="s">
        <v>6611</v>
      </c>
      <c r="O954" t="s">
        <v>6612</v>
      </c>
      <c r="P954" t="s">
        <v>6613</v>
      </c>
      <c r="Q954" s="3" t="n">
        <v>44231.0</v>
      </c>
      <c r="R954" s="3" t="n">
        <v>44609.0</v>
      </c>
      <c r="S954" s="3" t="n">
        <v>44610.18868575231</v>
      </c>
      <c r="T954" s="3" t="n">
        <v>44698.63960753472</v>
      </c>
      <c r="U954" t="s">
        <v>31</v>
      </c>
      <c r="V954" t="s">
        <v>6614</v>
      </c>
    </row>
    <row r="955">
      <c r="A955" t="s">
        <v>22</v>
      </c>
      <c r="B955" t="s">
        <v>6615</v>
      </c>
      <c r="C955" t="s">
        <v>60</v>
      </c>
      <c r="D955" t="s">
        <v>61</v>
      </c>
      <c r="E955" t="s">
        <v>6616</v>
      </c>
      <c r="F955" s="2" t="n">
        <f>HYPERLINK("https://patents.google.com/patent/US20220047592","Google")</f>
        <v>0.0</v>
      </c>
      <c r="G955" s="2" t="n">
        <f>HYPERLINK("https://patentcenter.uspto.gov/applications/17400257","Patent Center")</f>
        <v>0.0</v>
      </c>
      <c r="H955" s="2" t="n">
        <f>HYPERLINK("https://worldwide.espacenet.com/patent/search?q=US20220047592","Espacenet")</f>
        <v>0.0</v>
      </c>
      <c r="I955" s="2" t="n">
        <f>HYPERLINK("https://ppubs.uspto.gov/pubwebapp/external.html?q=20220047592.pn.","USPTO")</f>
        <v>0.0</v>
      </c>
      <c r="J955" s="2" t="n">
        <f>HYPERLINK("https://image-ppubs.uspto.gov/dirsearch-public/print/downloadPdf/20220047592","USPTO PDF")</f>
        <v>0.0</v>
      </c>
      <c r="K955" s="2" t="n">
        <f>HYPERLINK("https://sectors.patentforecast.com/pmd/US20220047592","PMD")</f>
        <v>0.0</v>
      </c>
      <c r="L955" s="2" t="n">
        <f>HYPERLINK("https://globaldossier.uspto.gov/result/application/US/17400257/1","US20220047592")</f>
        <v>0.0</v>
      </c>
      <c r="M955" t="s">
        <v>6617</v>
      </c>
      <c r="N955" t="s">
        <v>6618</v>
      </c>
      <c r="O955" t="s">
        <v>6619</v>
      </c>
      <c r="P955" t="s">
        <v>6620</v>
      </c>
      <c r="Q955" s="3" t="n">
        <v>44420.0</v>
      </c>
      <c r="R955" s="3" t="n">
        <v>44609.0</v>
      </c>
      <c r="S955" s="3" t="n">
        <v>44610.18868575231</v>
      </c>
      <c r="T955" s="3" t="n">
        <v>44638.6977028125</v>
      </c>
      <c r="U955" t="s">
        <v>31</v>
      </c>
      <c r="V955" t="s">
        <v>6621</v>
      </c>
    </row>
    <row r="956">
      <c r="A956" t="s">
        <v>22</v>
      </c>
      <c r="B956" t="s">
        <v>6622</v>
      </c>
      <c r="C956" t="s">
        <v>60</v>
      </c>
      <c r="D956" t="s">
        <v>61</v>
      </c>
      <c r="E956" t="s">
        <v>6623</v>
      </c>
      <c r="F956" s="2" t="n">
        <f>HYPERLINK("https://patents.google.com/patent/US20220047571","Google")</f>
        <v>0.0</v>
      </c>
      <c r="G956" s="2" t="n">
        <f>HYPERLINK("https://patentcenter.uspto.gov/applications/17402419","Patent Center")</f>
        <v>0.0</v>
      </c>
      <c r="H956" s="2" t="n">
        <f>HYPERLINK("https://worldwide.espacenet.com/patent/search?q=US20220047571","Espacenet")</f>
        <v>0.0</v>
      </c>
      <c r="I956" s="2" t="n">
        <f>HYPERLINK("https://ppubs.uspto.gov/pubwebapp/external.html?q=20220047571.pn.","USPTO")</f>
        <v>0.0</v>
      </c>
      <c r="J956" s="2" t="n">
        <f>HYPERLINK("https://image-ppubs.uspto.gov/dirsearch-public/print/downloadPdf/20220047571","USPTO PDF")</f>
        <v>0.0</v>
      </c>
      <c r="K956" s="2" t="n">
        <f>HYPERLINK("https://sectors.patentforecast.com/pmd/US20220047571","PMD")</f>
        <v>0.0</v>
      </c>
      <c r="L956" s="2" t="n">
        <f>HYPERLINK("https://globaldossier.uspto.gov/result/application/US/17402419/1","US20220047571")</f>
        <v>0.0</v>
      </c>
      <c r="M956" t="s">
        <v>6624</v>
      </c>
      <c r="N956" t="s">
        <v>6625</v>
      </c>
      <c r="O956" t="s">
        <v>6625</v>
      </c>
      <c r="P956" t="s">
        <v>6626</v>
      </c>
      <c r="Q956" s="3" t="n">
        <v>44421.0</v>
      </c>
      <c r="R956" s="3" t="n">
        <v>44609.0</v>
      </c>
      <c r="S956" s="3" t="n">
        <v>44610.18776179398</v>
      </c>
      <c r="T956" s="3" t="n">
        <v>44638.709012997686</v>
      </c>
      <c r="U956" t="s">
        <v>6627</v>
      </c>
      <c r="V956" t="s">
        <v>6628</v>
      </c>
    </row>
    <row r="957">
      <c r="A957" t="s">
        <v>22</v>
      </c>
      <c r="B957" t="s">
        <v>6629</v>
      </c>
      <c r="C957" t="s">
        <v>6630</v>
      </c>
      <c r="D957" t="s">
        <v>6631</v>
      </c>
      <c r="E957" t="s">
        <v>6632</v>
      </c>
      <c r="F957" s="2" t="n">
        <f>HYPERLINK("https://patents.google.com/patent/US20220047545","Google")</f>
        <v>0.0</v>
      </c>
      <c r="G957" s="2" t="n">
        <f>HYPERLINK("https://patentcenter.uspto.gov/applications/17402396","Patent Center")</f>
        <v>0.0</v>
      </c>
      <c r="H957" s="2" t="n">
        <f>HYPERLINK("https://worldwide.espacenet.com/patent/search?q=US20220047545","Espacenet")</f>
        <v>0.0</v>
      </c>
      <c r="I957" s="2" t="n">
        <f>HYPERLINK("https://ppubs.uspto.gov/pubwebapp/external.html?q=20220047545.pn.","USPTO")</f>
        <v>0.0</v>
      </c>
      <c r="J957" s="2" t="n">
        <f>HYPERLINK("https://image-ppubs.uspto.gov/dirsearch-public/print/downloadPdf/20220047545","USPTO PDF")</f>
        <v>0.0</v>
      </c>
      <c r="K957" s="2" t="n">
        <f>HYPERLINK("https://sectors.patentforecast.com/pmd/US20220047545","PMD")</f>
        <v>0.0</v>
      </c>
      <c r="L957" s="2" t="n">
        <f>HYPERLINK("https://globaldossier.uspto.gov/result/application/US/17402396/1","US20220047545")</f>
        <v>0.0</v>
      </c>
      <c r="M957" t="s">
        <v>6633</v>
      </c>
      <c r="N957" t="s">
        <v>6634</v>
      </c>
      <c r="O957" t="s">
        <v>6635</v>
      </c>
      <c r="P957" t="s">
        <v>6636</v>
      </c>
      <c r="Q957" s="3" t="n">
        <v>44421.0</v>
      </c>
      <c r="R957" s="3" t="n">
        <v>44609.0</v>
      </c>
      <c r="S957" s="3" t="n">
        <v>44610.18868575231</v>
      </c>
      <c r="T957" s="3" t="n">
        <v>44698.6399534838</v>
      </c>
      <c r="U957" t="s">
        <v>31</v>
      </c>
      <c r="V957" t="s">
        <v>6637</v>
      </c>
    </row>
    <row r="958">
      <c r="A958" t="s">
        <v>22</v>
      </c>
      <c r="B958" t="s">
        <v>6638</v>
      </c>
      <c r="C958" t="s">
        <v>60</v>
      </c>
      <c r="D958" t="s">
        <v>61</v>
      </c>
      <c r="E958" t="s">
        <v>6639</v>
      </c>
      <c r="F958" s="2" t="n">
        <f>HYPERLINK("https://patents.google.com/patent/US20220047518","Google")</f>
        <v>0.0</v>
      </c>
      <c r="G958" s="2" t="n">
        <f>HYPERLINK("https://patentcenter.uspto.gov/applications/17277452","Patent Center")</f>
        <v>0.0</v>
      </c>
      <c r="H958" s="2" t="n">
        <f>HYPERLINK("https://worldwide.espacenet.com/patent/search?q=US20220047518","Espacenet")</f>
        <v>0.0</v>
      </c>
      <c r="I958" s="2" t="n">
        <f>HYPERLINK("https://ppubs.uspto.gov/pubwebapp/external.html?q=20220047518.pn.","USPTO")</f>
        <v>0.0</v>
      </c>
      <c r="J958" s="2" t="n">
        <f>HYPERLINK("https://image-ppubs.uspto.gov/dirsearch-public/print/downloadPdf/20220047518","USPTO PDF")</f>
        <v>0.0</v>
      </c>
      <c r="K958" s="2" t="n">
        <f>HYPERLINK("https://sectors.patentforecast.com/pmd/US20220047518","PMD")</f>
        <v>0.0</v>
      </c>
      <c r="L958" s="2" t="n">
        <f>HYPERLINK("https://globaldossier.uspto.gov/result/application/US/17277452/1","US20220047518")</f>
        <v>0.0</v>
      </c>
      <c r="M958" t="s">
        <v>6640</v>
      </c>
      <c r="N958" t="s">
        <v>145</v>
      </c>
      <c r="O958" t="s">
        <v>146</v>
      </c>
      <c r="P958" t="s">
        <v>6641</v>
      </c>
      <c r="Q958" s="3" t="n">
        <v>43727.0</v>
      </c>
      <c r="R958" s="3" t="n">
        <v>44609.0</v>
      </c>
      <c r="S958" s="3" t="n">
        <v>44643.23552863426</v>
      </c>
      <c r="T958" s="3" t="n">
        <v>44719.602127384256</v>
      </c>
      <c r="U958" t="s">
        <v>6642</v>
      </c>
      <c r="V958" t="s">
        <v>6643</v>
      </c>
    </row>
    <row r="959">
      <c r="A959" t="s">
        <v>22</v>
      </c>
      <c r="B959" t="s">
        <v>6644</v>
      </c>
      <c r="C959" t="s">
        <v>24</v>
      </c>
      <c r="D959" t="s">
        <v>100</v>
      </c>
      <c r="E959" t="s">
        <v>6645</v>
      </c>
      <c r="F959" s="2" t="n">
        <f>HYPERLINK("https://patents.google.com/patent/US20220047229","Google")</f>
        <v>0.0</v>
      </c>
      <c r="G959" s="2" t="n">
        <f>HYPERLINK("https://patentcenter.uspto.gov/applications/17358054","Patent Center")</f>
        <v>0.0</v>
      </c>
      <c r="H959" s="2" t="n">
        <f>HYPERLINK("https://worldwide.espacenet.com/patent/search?q=US20220047229","Espacenet")</f>
        <v>0.0</v>
      </c>
      <c r="I959" s="2" t="n">
        <f>HYPERLINK("https://ppubs.uspto.gov/pubwebapp/external.html?q=20220047229.pn.","USPTO")</f>
        <v>0.0</v>
      </c>
      <c r="J959" s="2" t="n">
        <f>HYPERLINK("https://image-ppubs.uspto.gov/dirsearch-public/print/downloadPdf/20220047229","USPTO PDF")</f>
        <v>0.0</v>
      </c>
      <c r="K959" s="2" t="n">
        <f>HYPERLINK("https://sectors.patentforecast.com/pmd/US20220047229","PMD")</f>
        <v>0.0</v>
      </c>
      <c r="L959" s="2" t="n">
        <f>HYPERLINK("https://globaldossier.uspto.gov/result/application/US/17358054/1","US20220047229")</f>
        <v>0.0</v>
      </c>
      <c r="M959" t="s">
        <v>6646</v>
      </c>
      <c r="N959" t="s">
        <v>5048</v>
      </c>
      <c r="O959" t="s">
        <v>5049</v>
      </c>
      <c r="P959" t="s">
        <v>6647</v>
      </c>
      <c r="Q959" s="3" t="n">
        <v>44372.0</v>
      </c>
      <c r="R959" s="3" t="n">
        <v>44609.0</v>
      </c>
      <c r="S959" s="3" t="n">
        <v>44643.24305162037</v>
      </c>
      <c r="T959" s="3" t="n">
        <v>44719.60218865741</v>
      </c>
      <c r="U959" t="s">
        <v>6648</v>
      </c>
      <c r="V959" t="s">
        <v>6649</v>
      </c>
    </row>
    <row r="960">
      <c r="A960" t="s">
        <v>22</v>
      </c>
      <c r="B960" t="s">
        <v>6650</v>
      </c>
      <c r="C960" t="s">
        <v>24</v>
      </c>
      <c r="D960" t="s">
        <v>204</v>
      </c>
      <c r="E960" t="s">
        <v>6651</v>
      </c>
      <c r="F960" s="2" t="n">
        <f>HYPERLINK("https://patents.google.com/patent/US20220047223","Google")</f>
        <v>0.0</v>
      </c>
      <c r="G960" s="2" t="n">
        <f>HYPERLINK("https://patentcenter.uspto.gov/applications/17084952","Patent Center")</f>
        <v>0.0</v>
      </c>
      <c r="H960" s="2" t="n">
        <f>HYPERLINK("https://worldwide.espacenet.com/patent/search?q=US20220047223","Espacenet")</f>
        <v>0.0</v>
      </c>
      <c r="I960" s="2" t="n">
        <f>HYPERLINK("https://ppubs.uspto.gov/pubwebapp/external.html?q=20220047223.pn.","USPTO")</f>
        <v>0.0</v>
      </c>
      <c r="J960" s="2" t="n">
        <f>HYPERLINK("https://image-ppubs.uspto.gov/dirsearch-public/print/downloadPdf/20220047223","USPTO PDF")</f>
        <v>0.0</v>
      </c>
      <c r="K960" s="2" t="n">
        <f>HYPERLINK("https://sectors.patentforecast.com/pmd/US20220047223","PMD")</f>
        <v>0.0</v>
      </c>
      <c r="L960" s="2" t="n">
        <f>HYPERLINK("https://globaldossier.uspto.gov/result/application/US/17084952/1","US20220047223")</f>
        <v>0.0</v>
      </c>
      <c r="M960" t="s">
        <v>6652</v>
      </c>
      <c r="N960" t="s">
        <v>6653</v>
      </c>
      <c r="O960" t="s">
        <v>6654</v>
      </c>
      <c r="P960" t="s">
        <v>6655</v>
      </c>
      <c r="Q960" s="3" t="n">
        <v>44134.0</v>
      </c>
      <c r="R960" s="3" t="n">
        <v>44609.0</v>
      </c>
      <c r="S960" s="3" t="n">
        <v>44610.18868575231</v>
      </c>
      <c r="T960" s="3" t="n">
        <v>44698.64000886574</v>
      </c>
      <c r="U960" t="s">
        <v>31</v>
      </c>
      <c r="V960" t="s">
        <v>6656</v>
      </c>
    </row>
    <row r="961">
      <c r="A961" t="s">
        <v>22</v>
      </c>
      <c r="B961" t="s">
        <v>6657</v>
      </c>
      <c r="C961" t="s">
        <v>24</v>
      </c>
      <c r="D961" t="s">
        <v>100</v>
      </c>
      <c r="E961" t="s">
        <v>6645</v>
      </c>
      <c r="F961" s="2" t="n">
        <f>HYPERLINK("https://patents.google.com/patent/US20220047163","Google")</f>
        <v>0.0</v>
      </c>
      <c r="G961" s="2" t="n">
        <f>HYPERLINK("https://patentcenter.uspto.gov/applications/17358050","Patent Center")</f>
        <v>0.0</v>
      </c>
      <c r="H961" s="2" t="n">
        <f>HYPERLINK("https://worldwide.espacenet.com/patent/search?q=US20220047163","Espacenet")</f>
        <v>0.0</v>
      </c>
      <c r="I961" s="2" t="n">
        <f>HYPERLINK("https://ppubs.uspto.gov/pubwebapp/external.html?q=20220047163.pn.","USPTO")</f>
        <v>0.0</v>
      </c>
      <c r="J961" s="2" t="n">
        <f>HYPERLINK("https://image-ppubs.uspto.gov/dirsearch-public/print/downloadPdf/20220047163","USPTO PDF")</f>
        <v>0.0</v>
      </c>
      <c r="K961" s="2" t="n">
        <f>HYPERLINK("https://sectors.patentforecast.com/pmd/US20220047163","PMD")</f>
        <v>0.0</v>
      </c>
      <c r="L961" s="2" t="n">
        <f>HYPERLINK("https://globaldossier.uspto.gov/result/application/US/17358050/1","US20220047163")</f>
        <v>0.0</v>
      </c>
      <c r="M961" t="s">
        <v>6658</v>
      </c>
      <c r="N961" t="s">
        <v>5048</v>
      </c>
      <c r="O961" t="s">
        <v>5049</v>
      </c>
      <c r="P961" t="s">
        <v>6647</v>
      </c>
      <c r="Q961" s="3" t="n">
        <v>44372.0</v>
      </c>
      <c r="R961" s="3" t="n">
        <v>44609.0</v>
      </c>
      <c r="S961" s="3" t="n">
        <v>44643.24305162037</v>
      </c>
      <c r="T961" s="3" t="n">
        <v>44719.60222787037</v>
      </c>
      <c r="U961" t="s">
        <v>31</v>
      </c>
      <c r="V961" t="s">
        <v>6659</v>
      </c>
    </row>
    <row r="962">
      <c r="A962" t="s">
        <v>22</v>
      </c>
      <c r="B962" t="s">
        <v>6660</v>
      </c>
      <c r="C962" t="s">
        <v>60</v>
      </c>
      <c r="D962" t="s">
        <v>845</v>
      </c>
      <c r="E962" t="s">
        <v>6661</v>
      </c>
      <c r="F962" s="2" t="n">
        <f>HYPERLINK("https://patents.google.com/patent/US20220047160","Google")</f>
        <v>0.0</v>
      </c>
      <c r="G962" s="2" t="n">
        <f>HYPERLINK("https://patentcenter.uspto.gov/applications/17184698","Patent Center")</f>
        <v>0.0</v>
      </c>
      <c r="H962" s="2" t="n">
        <f>HYPERLINK("https://worldwide.espacenet.com/patent/search?q=US20220047160","Espacenet")</f>
        <v>0.0</v>
      </c>
      <c r="I962" s="2" t="n">
        <f>HYPERLINK("https://ppubs.uspto.gov/pubwebapp/external.html?q=20220047160.pn.","USPTO")</f>
        <v>0.0</v>
      </c>
      <c r="J962" s="2" t="n">
        <f>HYPERLINK("https://image-ppubs.uspto.gov/dirsearch-public/print/downloadPdf/20220047160","USPTO PDF")</f>
        <v>0.0</v>
      </c>
      <c r="K962" s="2" t="n">
        <f>HYPERLINK("https://sectors.patentforecast.com/pmd/US20220047160","PMD")</f>
        <v>0.0</v>
      </c>
      <c r="L962" s="2" t="n">
        <f>HYPERLINK("https://globaldossier.uspto.gov/result/application/US/17184698/1","US20220047160")</f>
        <v>0.0</v>
      </c>
      <c r="M962" t="s">
        <v>6662</v>
      </c>
      <c r="N962" t="s">
        <v>6663</v>
      </c>
      <c r="O962" t="s">
        <v>6664</v>
      </c>
      <c r="P962" t="s">
        <v>6665</v>
      </c>
      <c r="Q962" s="3" t="n">
        <v>44252.0</v>
      </c>
      <c r="R962" s="3" t="n">
        <v>44609.0</v>
      </c>
      <c r="S962" s="3" t="n">
        <v>44687.23127099537</v>
      </c>
      <c r="T962" s="3" t="n">
        <v>44698.64011900463</v>
      </c>
      <c r="U962" t="s">
        <v>31</v>
      </c>
      <c r="V962" t="s">
        <v>6666</v>
      </c>
    </row>
    <row r="963">
      <c r="A963" t="s">
        <v>22</v>
      </c>
      <c r="B963" t="s">
        <v>6667</v>
      </c>
      <c r="C963" t="s">
        <v>24</v>
      </c>
      <c r="D963" t="s">
        <v>204</v>
      </c>
      <c r="E963" t="s">
        <v>6668</v>
      </c>
      <c r="F963" s="2" t="n">
        <f>HYPERLINK("https://patents.google.com/patent/US20220047126","Google")</f>
        <v>0.0</v>
      </c>
      <c r="G963" s="2" t="n">
        <f>HYPERLINK("https://patentcenter.uspto.gov/applications/17128979","Patent Center")</f>
        <v>0.0</v>
      </c>
      <c r="H963" s="2" t="n">
        <f>HYPERLINK("https://worldwide.espacenet.com/patent/search?q=US20220047126","Espacenet")</f>
        <v>0.0</v>
      </c>
      <c r="I963" s="2" t="n">
        <f>HYPERLINK("https://ppubs.uspto.gov/pubwebapp/external.html?q=20220047126.pn.","USPTO")</f>
        <v>0.0</v>
      </c>
      <c r="J963" s="2" t="n">
        <f>HYPERLINK("https://image-ppubs.uspto.gov/dirsearch-public/print/downloadPdf/20220047126","USPTO PDF")</f>
        <v>0.0</v>
      </c>
      <c r="K963" s="2" t="n">
        <f>HYPERLINK("https://sectors.patentforecast.com/pmd/US20220047126","PMD")</f>
        <v>0.0</v>
      </c>
      <c r="L963" s="2" t="n">
        <f>HYPERLINK("https://globaldossier.uspto.gov/result/application/US/17128979/1","US20220047126")</f>
        <v>0.0</v>
      </c>
      <c r="M963" t="s">
        <v>6669</v>
      </c>
      <c r="N963" t="s">
        <v>6670</v>
      </c>
      <c r="O963" t="s">
        <v>6670</v>
      </c>
      <c r="P963" t="s">
        <v>6671</v>
      </c>
      <c r="Q963" s="3" t="n">
        <v>44186.0</v>
      </c>
      <c r="R963" s="3" t="n">
        <v>44609.0</v>
      </c>
      <c r="S963" s="3" t="n">
        <v>44610.18868575231</v>
      </c>
      <c r="T963" s="3" t="n">
        <v>44698.64038975695</v>
      </c>
      <c r="U963" t="s">
        <v>31</v>
      </c>
      <c r="V963" t="s">
        <v>6672</v>
      </c>
    </row>
    <row r="964">
      <c r="A964" t="s">
        <v>22</v>
      </c>
      <c r="B964" t="s">
        <v>6673</v>
      </c>
      <c r="C964" t="s">
        <v>24</v>
      </c>
      <c r="D964" t="s">
        <v>204</v>
      </c>
      <c r="E964" t="s">
        <v>6674</v>
      </c>
      <c r="F964" s="2" t="n">
        <f>HYPERLINK("https://patents.google.com/patent/US20220047070","Google")</f>
        <v>0.0</v>
      </c>
      <c r="G964" s="2" t="n">
        <f>HYPERLINK("https://patentcenter.uspto.gov/applications/17399615","Patent Center")</f>
        <v>0.0</v>
      </c>
      <c r="H964" s="2" t="n">
        <f>HYPERLINK("https://worldwide.espacenet.com/patent/search?q=US20220047070","Espacenet")</f>
        <v>0.0</v>
      </c>
      <c r="I964" s="2" t="n">
        <f>HYPERLINK("https://ppubs.uspto.gov/pubwebapp/external.html?q=20220047070.pn.","USPTO")</f>
        <v>0.0</v>
      </c>
      <c r="J964" s="2" t="n">
        <f>HYPERLINK("https://image-ppubs.uspto.gov/dirsearch-public/print/downloadPdf/20220047070","USPTO PDF")</f>
        <v>0.0</v>
      </c>
      <c r="K964" s="2" t="n">
        <f>HYPERLINK("https://sectors.patentforecast.com/pmd/US20220047070","PMD")</f>
        <v>0.0</v>
      </c>
      <c r="L964" s="2" t="n">
        <f>HYPERLINK("https://globaldossier.uspto.gov/result/application/US/17399615/1","US20220047070")</f>
        <v>0.0</v>
      </c>
      <c r="M964" t="s">
        <v>6675</v>
      </c>
      <c r="N964" t="s">
        <v>6676</v>
      </c>
      <c r="O964" t="s">
        <v>6677</v>
      </c>
      <c r="P964" t="s">
        <v>6678</v>
      </c>
      <c r="Q964" s="3" t="n">
        <v>44419.0</v>
      </c>
      <c r="R964" s="3" t="n">
        <v>44609.0</v>
      </c>
      <c r="S964" s="3" t="n">
        <v>44610.18868575231</v>
      </c>
      <c r="T964" s="3" t="n">
        <v>44698.64061310185</v>
      </c>
      <c r="U964" t="s">
        <v>6679</v>
      </c>
      <c r="V964" t="s">
        <v>6680</v>
      </c>
    </row>
    <row r="965">
      <c r="A965" t="s">
        <v>22</v>
      </c>
      <c r="B965" t="s">
        <v>6681</v>
      </c>
      <c r="C965" t="s">
        <v>24</v>
      </c>
      <c r="D965" t="s">
        <v>3667</v>
      </c>
      <c r="E965" t="s">
        <v>6682</v>
      </c>
      <c r="F965" s="2" t="n">
        <f>HYPERLINK("https://patents.google.com/patent/US20220047060","Google")</f>
        <v>0.0</v>
      </c>
      <c r="G965" s="2" t="n">
        <f>HYPERLINK("https://patentcenter.uspto.gov/applications/17402292","Patent Center")</f>
        <v>0.0</v>
      </c>
      <c r="H965" s="2" t="n">
        <f>HYPERLINK("https://worldwide.espacenet.com/patent/search?q=US20220047060","Espacenet")</f>
        <v>0.0</v>
      </c>
      <c r="I965" s="2" t="n">
        <f>HYPERLINK("https://ppubs.uspto.gov/pubwebapp/external.html?q=20220047060.pn.","USPTO")</f>
        <v>0.0</v>
      </c>
      <c r="J965" s="2" t="n">
        <f>HYPERLINK("https://image-ppubs.uspto.gov/dirsearch-public/print/downloadPdf/20220047060","USPTO PDF")</f>
        <v>0.0</v>
      </c>
      <c r="K965" s="2" t="n">
        <f>HYPERLINK("https://sectors.patentforecast.com/pmd/US20220047060","PMD")</f>
        <v>0.0</v>
      </c>
      <c r="L965" s="2" t="n">
        <f>HYPERLINK("https://globaldossier.uspto.gov/result/application/US/17402292/1","US20220047060")</f>
        <v>0.0</v>
      </c>
      <c r="M965" t="s">
        <v>6683</v>
      </c>
      <c r="N965" t="s">
        <v>6684</v>
      </c>
      <c r="O965" t="s">
        <v>6684</v>
      </c>
      <c r="P965" t="s">
        <v>6685</v>
      </c>
      <c r="Q965" s="3" t="n">
        <v>44421.0</v>
      </c>
      <c r="R965" s="3" t="n">
        <v>44609.0</v>
      </c>
      <c r="S965" s="3" t="n">
        <v>44610.18868575231</v>
      </c>
      <c r="T965" s="3" t="n">
        <v>44698.640847372684</v>
      </c>
      <c r="U965" t="s">
        <v>6686</v>
      </c>
      <c r="V965" t="s">
        <v>6687</v>
      </c>
    </row>
    <row r="966">
      <c r="A966" t="s">
        <v>22</v>
      </c>
      <c r="B966" t="s">
        <v>6688</v>
      </c>
      <c r="C966" t="s">
        <v>24</v>
      </c>
      <c r="D966" t="s">
        <v>528</v>
      </c>
      <c r="E966" t="s">
        <v>6689</v>
      </c>
      <c r="F966" s="2" t="n">
        <f>HYPERLINK("https://patents.google.com/patent/US20220047055","Google")</f>
        <v>0.0</v>
      </c>
      <c r="G966" s="2" t="n">
        <f>HYPERLINK("https://patentcenter.uspto.gov/applications/16993593","Patent Center")</f>
        <v>0.0</v>
      </c>
      <c r="H966" s="2" t="n">
        <f>HYPERLINK("https://worldwide.espacenet.com/patent/search?q=US20220047055","Espacenet")</f>
        <v>0.0</v>
      </c>
      <c r="I966" s="2" t="n">
        <f>HYPERLINK("https://ppubs.uspto.gov/pubwebapp/external.html?q=20220047055.pn.","USPTO")</f>
        <v>0.0</v>
      </c>
      <c r="J966" s="2" t="n">
        <f>HYPERLINK("https://image-ppubs.uspto.gov/dirsearch-public/print/downloadPdf/20220047055","USPTO PDF")</f>
        <v>0.0</v>
      </c>
      <c r="K966" s="2" t="n">
        <f>HYPERLINK("https://sectors.patentforecast.com/pmd/US20220047055","PMD")</f>
        <v>0.0</v>
      </c>
      <c r="L966" s="2" t="n">
        <f>HYPERLINK("https://globaldossier.uspto.gov/result/application/US/16993593/1","US20220047055")</f>
        <v>0.0</v>
      </c>
      <c r="M966" t="s">
        <v>6690</v>
      </c>
      <c r="N966" t="s">
        <v>6691</v>
      </c>
      <c r="O966" t="s">
        <v>6692</v>
      </c>
      <c r="P966" t="s">
        <v>6693</v>
      </c>
      <c r="Q966" s="3" t="n">
        <v>44057.0</v>
      </c>
      <c r="R966" s="3" t="n">
        <v>44609.0</v>
      </c>
      <c r="S966" s="3" t="n">
        <v>44610.18868575231</v>
      </c>
      <c r="T966" s="3" t="n">
        <v>44698.641202453706</v>
      </c>
      <c r="U966" t="s">
        <v>31</v>
      </c>
      <c r="V966" t="s">
        <v>6694</v>
      </c>
    </row>
    <row r="967">
      <c r="A967" t="s">
        <v>22</v>
      </c>
      <c r="B967" t="s">
        <v>6695</v>
      </c>
      <c r="C967" t="s">
        <v>24</v>
      </c>
      <c r="D967" t="s">
        <v>100</v>
      </c>
      <c r="E967" t="s">
        <v>6696</v>
      </c>
      <c r="F967" s="2" t="n">
        <f>HYPERLINK("https://patents.google.com/patent/US20220047050","Google")</f>
        <v>0.0</v>
      </c>
      <c r="G967" s="2" t="n">
        <f>HYPERLINK("https://patentcenter.uspto.gov/applications/17402319","Patent Center")</f>
        <v>0.0</v>
      </c>
      <c r="H967" s="2" t="n">
        <f>HYPERLINK("https://worldwide.espacenet.com/patent/search?q=US20220047050","Espacenet")</f>
        <v>0.0</v>
      </c>
      <c r="I967" s="2" t="n">
        <f>HYPERLINK("https://ppubs.uspto.gov/pubwebapp/external.html?q=20220047050.pn.","USPTO")</f>
        <v>0.0</v>
      </c>
      <c r="J967" s="2" t="n">
        <f>HYPERLINK("https://image-ppubs.uspto.gov/dirsearch-public/print/downloadPdf/20220047050","USPTO PDF")</f>
        <v>0.0</v>
      </c>
      <c r="K967" s="2" t="n">
        <f>HYPERLINK("https://sectors.patentforecast.com/pmd/US20220047050","PMD")</f>
        <v>0.0</v>
      </c>
      <c r="L967" s="2" t="n">
        <f>HYPERLINK("https://globaldossier.uspto.gov/result/application/US/17402319/1","US20220047050")</f>
        <v>0.0</v>
      </c>
      <c r="M967" t="s">
        <v>6697</v>
      </c>
      <c r="N967" t="s">
        <v>6698</v>
      </c>
      <c r="O967" t="s">
        <v>6699</v>
      </c>
      <c r="P967" t="s">
        <v>6700</v>
      </c>
      <c r="Q967" s="3" t="n">
        <v>44421.0</v>
      </c>
      <c r="R967" s="3" t="n">
        <v>44609.0</v>
      </c>
      <c r="S967" s="3" t="n">
        <v>44610.18868575231</v>
      </c>
      <c r="T967" s="3" t="n">
        <v>44698.64117200232</v>
      </c>
      <c r="U967" t="s">
        <v>6701</v>
      </c>
      <c r="V967" t="s">
        <v>6702</v>
      </c>
    </row>
    <row r="968">
      <c r="A968" t="s">
        <v>22</v>
      </c>
      <c r="B968" t="s">
        <v>6703</v>
      </c>
      <c r="C968" t="s">
        <v>24</v>
      </c>
      <c r="D968" t="s">
        <v>69</v>
      </c>
      <c r="E968" t="s">
        <v>6704</v>
      </c>
      <c r="F968" s="2" t="n">
        <f>HYPERLINK("https://patents.google.com/patent/US20220047036","Google")</f>
        <v>0.0</v>
      </c>
      <c r="G968" s="2" t="n">
        <f>HYPERLINK("https://patentcenter.uspto.gov/applications/17399770","Patent Center")</f>
        <v>0.0</v>
      </c>
      <c r="H968" s="2" t="n">
        <f>HYPERLINK("https://worldwide.espacenet.com/patent/search?q=US20220047036","Espacenet")</f>
        <v>0.0</v>
      </c>
      <c r="I968" s="2" t="n">
        <f>HYPERLINK("https://ppubs.uspto.gov/pubwebapp/external.html?q=20220047036.pn.","USPTO")</f>
        <v>0.0</v>
      </c>
      <c r="J968" s="2" t="n">
        <f>HYPERLINK("https://image-ppubs.uspto.gov/dirsearch-public/print/downloadPdf/20220047036","USPTO PDF")</f>
        <v>0.0</v>
      </c>
      <c r="K968" s="2" t="n">
        <f>HYPERLINK("https://sectors.patentforecast.com/pmd/US20220047036","PMD")</f>
        <v>0.0</v>
      </c>
      <c r="L968" s="2" t="n">
        <f>HYPERLINK("https://globaldossier.uspto.gov/result/application/US/17399770/1","US20220047036")</f>
        <v>0.0</v>
      </c>
      <c r="M968" t="s">
        <v>6705</v>
      </c>
      <c r="N968" t="s">
        <v>4982</v>
      </c>
      <c r="O968" t="s">
        <v>4983</v>
      </c>
      <c r="P968" t="s">
        <v>6706</v>
      </c>
      <c r="Q968" s="3" t="n">
        <v>44419.0</v>
      </c>
      <c r="R968" s="3" t="n">
        <v>44609.0</v>
      </c>
      <c r="S968" s="3" t="n">
        <v>44610.18868575231</v>
      </c>
      <c r="T968" s="3" t="n">
        <v>44698.64134721065</v>
      </c>
      <c r="U968" t="s">
        <v>6707</v>
      </c>
      <c r="V968" t="s">
        <v>6708</v>
      </c>
    </row>
    <row r="969">
      <c r="A969" t="s">
        <v>22</v>
      </c>
      <c r="B969" t="s">
        <v>6709</v>
      </c>
      <c r="C969" t="s">
        <v>24</v>
      </c>
      <c r="D969" t="s">
        <v>204</v>
      </c>
      <c r="E969" t="s">
        <v>6710</v>
      </c>
      <c r="F969" s="2" t="n">
        <f>HYPERLINK("https://patents.google.com/patent/US20220047027","Google")</f>
        <v>0.0</v>
      </c>
      <c r="G969" s="2" t="n">
        <f>HYPERLINK("https://patentcenter.uspto.gov/applications/17400036","Patent Center")</f>
        <v>0.0</v>
      </c>
      <c r="H969" s="2" t="n">
        <f>HYPERLINK("https://worldwide.espacenet.com/patent/search?q=US20220047027","Espacenet")</f>
        <v>0.0</v>
      </c>
      <c r="I969" s="2" t="n">
        <f>HYPERLINK("https://ppubs.uspto.gov/pubwebapp/external.html?q=20220047027.pn.","USPTO")</f>
        <v>0.0</v>
      </c>
      <c r="J969" s="2" t="n">
        <f>HYPERLINK("https://image-ppubs.uspto.gov/dirsearch-public/print/downloadPdf/20220047027","USPTO PDF")</f>
        <v>0.0</v>
      </c>
      <c r="K969" s="2" t="n">
        <f>HYPERLINK("https://sectors.patentforecast.com/pmd/US20220047027","PMD")</f>
        <v>0.0</v>
      </c>
      <c r="L969" s="2" t="n">
        <f>HYPERLINK("https://globaldossier.uspto.gov/result/application/US/17400036/1","US20220047027")</f>
        <v>0.0</v>
      </c>
      <c r="M969" t="s">
        <v>6711</v>
      </c>
      <c r="N969" t="s">
        <v>6712</v>
      </c>
      <c r="O969" t="s">
        <v>6713</v>
      </c>
      <c r="P969" t="s">
        <v>6714</v>
      </c>
      <c r="Q969" s="3" t="n">
        <v>44419.0</v>
      </c>
      <c r="R969" s="3" t="n">
        <v>44609.0</v>
      </c>
      <c r="S969" s="3" t="n">
        <v>44610.18868575231</v>
      </c>
      <c r="T969" s="3" t="n">
        <v>44698.641552175926</v>
      </c>
      <c r="U969" t="s">
        <v>31</v>
      </c>
      <c r="V969" t="s">
        <v>6715</v>
      </c>
    </row>
    <row r="970">
      <c r="A970" t="s">
        <v>22</v>
      </c>
      <c r="B970" t="s">
        <v>6716</v>
      </c>
      <c r="C970" t="s">
        <v>24</v>
      </c>
      <c r="D970" t="s">
        <v>69</v>
      </c>
      <c r="E970" t="s">
        <v>6717</v>
      </c>
      <c r="F970" s="2" t="n">
        <f>HYPERLINK("https://patents.google.com/patent/US20220047017","Google")</f>
        <v>0.0</v>
      </c>
      <c r="G970" s="2" t="n">
        <f>HYPERLINK("https://patentcenter.uspto.gov/applications/17402355","Patent Center")</f>
        <v>0.0</v>
      </c>
      <c r="H970" s="2" t="n">
        <f>HYPERLINK("https://worldwide.espacenet.com/patent/search?q=US20220047017","Espacenet")</f>
        <v>0.0</v>
      </c>
      <c r="I970" s="2" t="n">
        <f>HYPERLINK("https://ppubs.uspto.gov/pubwebapp/external.html?q=20220047017.pn.","USPTO")</f>
        <v>0.0</v>
      </c>
      <c r="J970" s="2" t="n">
        <f>HYPERLINK("https://image-ppubs.uspto.gov/dirsearch-public/print/downloadPdf/20220047017","USPTO PDF")</f>
        <v>0.0</v>
      </c>
      <c r="K970" s="2" t="n">
        <f>HYPERLINK("https://sectors.patentforecast.com/pmd/US20220047017","PMD")</f>
        <v>0.0</v>
      </c>
      <c r="L970" s="2" t="n">
        <f>HYPERLINK("https://globaldossier.uspto.gov/result/application/US/17402355/1","US20220047017")</f>
        <v>0.0</v>
      </c>
      <c r="M970" t="s">
        <v>6718</v>
      </c>
      <c r="N970" t="s">
        <v>6719</v>
      </c>
      <c r="O970" t="s">
        <v>6720</v>
      </c>
      <c r="P970" t="s">
        <v>6721</v>
      </c>
      <c r="Q970" s="3" t="n">
        <v>44421.0</v>
      </c>
      <c r="R970" s="3" t="n">
        <v>44609.0</v>
      </c>
      <c r="S970" s="3" t="n">
        <v>44610.18868575231</v>
      </c>
      <c r="T970" s="3" t="n">
        <v>44678.63286923611</v>
      </c>
      <c r="U970" t="s">
        <v>31</v>
      </c>
      <c r="V970" t="s">
        <v>6722</v>
      </c>
    </row>
    <row r="971">
      <c r="A971" t="s">
        <v>22</v>
      </c>
      <c r="B971" t="s">
        <v>6723</v>
      </c>
      <c r="C971" t="s">
        <v>24</v>
      </c>
      <c r="D971" t="s">
        <v>69</v>
      </c>
      <c r="E971" t="s">
        <v>6724</v>
      </c>
      <c r="F971" s="2" t="n">
        <f>HYPERLINK("https://patents.google.com/patent/US20220047014","Google")</f>
        <v>0.0</v>
      </c>
      <c r="G971" s="2" t="n">
        <f>HYPERLINK("https://patentcenter.uspto.gov/applications/17388565","Patent Center")</f>
        <v>0.0</v>
      </c>
      <c r="H971" s="2" t="n">
        <f>HYPERLINK("https://worldwide.espacenet.com/patent/search?q=US20220047014","Espacenet")</f>
        <v>0.0</v>
      </c>
      <c r="I971" s="2" t="n">
        <f>HYPERLINK("https://ppubs.uspto.gov/pubwebapp/external.html?q=20220047014.pn.","USPTO")</f>
        <v>0.0</v>
      </c>
      <c r="J971" s="2" t="n">
        <f>HYPERLINK("https://image-ppubs.uspto.gov/dirsearch-public/print/downloadPdf/20220047014","USPTO PDF")</f>
        <v>0.0</v>
      </c>
      <c r="K971" s="2" t="n">
        <f>HYPERLINK("https://sectors.patentforecast.com/pmd/US20220047014","PMD")</f>
        <v>0.0</v>
      </c>
      <c r="L971" s="2" t="n">
        <f>HYPERLINK("https://globaldossier.uspto.gov/result/application/US/17388565/1","US20220047014")</f>
        <v>0.0</v>
      </c>
      <c r="M971" t="s">
        <v>6725</v>
      </c>
      <c r="N971" t="s">
        <v>6726</v>
      </c>
      <c r="O971" t="s">
        <v>6726</v>
      </c>
      <c r="P971" t="s">
        <v>6727</v>
      </c>
      <c r="Q971" s="3" t="n">
        <v>44406.0</v>
      </c>
      <c r="R971" s="3" t="n">
        <v>44609.0</v>
      </c>
      <c r="S971" s="3" t="n">
        <v>44610.18868575231</v>
      </c>
      <c r="T971" s="3" t="n">
        <v>44698.641718831015</v>
      </c>
      <c r="U971" t="s">
        <v>31</v>
      </c>
      <c r="V971" t="s">
        <v>6728</v>
      </c>
    </row>
    <row r="972">
      <c r="A972" t="s">
        <v>22</v>
      </c>
      <c r="B972" t="s">
        <v>6729</v>
      </c>
      <c r="C972" t="s">
        <v>24</v>
      </c>
      <c r="D972" t="s">
        <v>69</v>
      </c>
      <c r="E972" t="s">
        <v>6730</v>
      </c>
      <c r="F972" s="2" t="n">
        <f>HYPERLINK("https://patents.google.com/patent/US20220047009","Google")</f>
        <v>0.0</v>
      </c>
      <c r="G972" s="2" t="n">
        <f>HYPERLINK("https://patentcenter.uspto.gov/applications/17036936","Patent Center")</f>
        <v>0.0</v>
      </c>
      <c r="H972" s="2" t="n">
        <f>HYPERLINK("https://worldwide.espacenet.com/patent/search?q=US20220047009","Espacenet")</f>
        <v>0.0</v>
      </c>
      <c r="I972" s="2" t="n">
        <f>HYPERLINK("https://ppubs.uspto.gov/pubwebapp/external.html?q=20220047009.pn.","USPTO")</f>
        <v>0.0</v>
      </c>
      <c r="J972" s="2" t="n">
        <f>HYPERLINK("https://image-ppubs.uspto.gov/dirsearch-public/print/downloadPdf/20220047009","USPTO PDF")</f>
        <v>0.0</v>
      </c>
      <c r="K972" s="2" t="n">
        <f>HYPERLINK("https://sectors.patentforecast.com/pmd/US20220047009","PMD")</f>
        <v>0.0</v>
      </c>
      <c r="L972" s="2" t="n">
        <f>HYPERLINK("https://globaldossier.uspto.gov/result/application/US/17036936/1","US20220047009")</f>
        <v>0.0</v>
      </c>
      <c r="M972" t="s">
        <v>6731</v>
      </c>
      <c r="N972" t="s">
        <v>1496</v>
      </c>
      <c r="O972" t="s">
        <v>1497</v>
      </c>
      <c r="P972" t="s">
        <v>6732</v>
      </c>
      <c r="Q972" s="3" t="n">
        <v>44103.0</v>
      </c>
      <c r="R972" s="3" t="n">
        <v>44609.0</v>
      </c>
      <c r="S972" s="3" t="n">
        <v>44610.18868575231</v>
      </c>
      <c r="T972" s="3" t="n">
        <v>44678.640061666665</v>
      </c>
      <c r="U972" t="s">
        <v>6733</v>
      </c>
      <c r="V972" t="s">
        <v>6734</v>
      </c>
    </row>
    <row r="973">
      <c r="A973" t="s">
        <v>22</v>
      </c>
      <c r="B973" t="s">
        <v>6735</v>
      </c>
      <c r="C973" t="s">
        <v>24</v>
      </c>
      <c r="D973" t="s">
        <v>204</v>
      </c>
      <c r="E973" t="s">
        <v>6736</v>
      </c>
      <c r="F973" s="2" t="n">
        <f>HYPERLINK("https://patents.google.com/patent/US20220046960","Google")</f>
        <v>0.0</v>
      </c>
      <c r="G973" s="2" t="n">
        <f>HYPERLINK("https://patentcenter.uspto.gov/applications/17398827","Patent Center")</f>
        <v>0.0</v>
      </c>
      <c r="H973" s="2" t="n">
        <f>HYPERLINK("https://worldwide.espacenet.com/patent/search?q=US20220046960","Espacenet")</f>
        <v>0.0</v>
      </c>
      <c r="I973" s="2" t="n">
        <f>HYPERLINK("https://ppubs.uspto.gov/pubwebapp/external.html?q=20220046960.pn.","USPTO")</f>
        <v>0.0</v>
      </c>
      <c r="J973" s="2" t="n">
        <f>HYPERLINK("https://image-ppubs.uspto.gov/dirsearch-public/print/downloadPdf/20220046960","USPTO PDF")</f>
        <v>0.0</v>
      </c>
      <c r="K973" s="2" t="n">
        <f>HYPERLINK("https://sectors.patentforecast.com/pmd/US20220046960","PMD")</f>
        <v>0.0</v>
      </c>
      <c r="L973" s="2" t="n">
        <f>HYPERLINK("https://globaldossier.uspto.gov/result/application/US/17398827/1","US20220046960")</f>
        <v>0.0</v>
      </c>
      <c r="M973" t="s">
        <v>6737</v>
      </c>
      <c r="N973" t="s">
        <v>6738</v>
      </c>
      <c r="O973" t="s">
        <v>6739</v>
      </c>
      <c r="P973" t="s">
        <v>6740</v>
      </c>
      <c r="Q973" s="3" t="n">
        <v>44418.0</v>
      </c>
      <c r="R973" s="3" t="n">
        <v>44609.0</v>
      </c>
      <c r="S973" s="3" t="n">
        <v>44610.18868575231</v>
      </c>
      <c r="T973" s="3" t="n">
        <v>44698.64203271991</v>
      </c>
      <c r="U973" t="s">
        <v>6741</v>
      </c>
      <c r="V973" t="s">
        <v>6742</v>
      </c>
    </row>
    <row r="974">
      <c r="A974" t="s">
        <v>22</v>
      </c>
      <c r="B974" t="s">
        <v>6743</v>
      </c>
      <c r="C974" t="s">
        <v>24</v>
      </c>
      <c r="D974" t="s">
        <v>100</v>
      </c>
      <c r="E974" t="s">
        <v>6744</v>
      </c>
      <c r="F974" s="2" t="n">
        <f>HYPERLINK("https://patents.google.com/patent/US20220046927","Google")</f>
        <v>0.0</v>
      </c>
      <c r="G974" s="2" t="n">
        <f>HYPERLINK("https://patentcenter.uspto.gov/applications/17402270","Patent Center")</f>
        <v>0.0</v>
      </c>
      <c r="H974" s="2" t="n">
        <f>HYPERLINK("https://worldwide.espacenet.com/patent/search?q=US20220046927","Espacenet")</f>
        <v>0.0</v>
      </c>
      <c r="I974" s="2" t="n">
        <f>HYPERLINK("https://ppubs.uspto.gov/pubwebapp/external.html?q=20220046927.pn.","USPTO")</f>
        <v>0.0</v>
      </c>
      <c r="J974" s="2" t="n">
        <f>HYPERLINK("https://image-ppubs.uspto.gov/dirsearch-public/print/downloadPdf/20220046927","USPTO PDF")</f>
        <v>0.0</v>
      </c>
      <c r="K974" s="2" t="n">
        <f>HYPERLINK("https://sectors.patentforecast.com/pmd/US20220046927","PMD")</f>
        <v>0.0</v>
      </c>
      <c r="L974" s="2" t="n">
        <f>HYPERLINK("https://globaldossier.uspto.gov/result/application/US/17402270/1","US20220046927")</f>
        <v>0.0</v>
      </c>
      <c r="M974" t="s">
        <v>6745</v>
      </c>
      <c r="N974" t="s">
        <v>6746</v>
      </c>
      <c r="O974" t="s">
        <v>6746</v>
      </c>
      <c r="P974" t="s">
        <v>6747</v>
      </c>
      <c r="Q974" s="3" t="n">
        <v>44421.0</v>
      </c>
      <c r="R974" s="3" t="n">
        <v>44609.0</v>
      </c>
      <c r="S974" s="3" t="n">
        <v>44610.18868575231</v>
      </c>
      <c r="T974" s="3" t="n">
        <v>44698.642096006944</v>
      </c>
      <c r="U974" t="s">
        <v>31</v>
      </c>
      <c r="V974" t="s">
        <v>6748</v>
      </c>
    </row>
    <row r="975">
      <c r="A975" t="s">
        <v>22</v>
      </c>
      <c r="B975" t="s">
        <v>6749</v>
      </c>
      <c r="C975" t="s">
        <v>24</v>
      </c>
      <c r="D975" t="s">
        <v>100</v>
      </c>
      <c r="E975" t="s">
        <v>6750</v>
      </c>
      <c r="F975" s="2" t="n">
        <f>HYPERLINK("https://patents.google.com/patent/US20220046124","Google")</f>
        <v>0.0</v>
      </c>
      <c r="G975" s="2" t="n">
        <f>HYPERLINK("https://patentcenter.uspto.gov/applications/17131727","Patent Center")</f>
        <v>0.0</v>
      </c>
      <c r="H975" s="2" t="n">
        <f>HYPERLINK("https://worldwide.espacenet.com/patent/search?q=US20220046124","Espacenet")</f>
        <v>0.0</v>
      </c>
      <c r="I975" s="2" t="n">
        <f>HYPERLINK("https://ppubs.uspto.gov/pubwebapp/external.html?q=20220046124.pn.","USPTO")</f>
        <v>0.0</v>
      </c>
      <c r="J975" s="2" t="n">
        <f>HYPERLINK("https://image-ppubs.uspto.gov/dirsearch-public/print/downloadPdf/20220046124","USPTO PDF")</f>
        <v>0.0</v>
      </c>
      <c r="K975" s="2" t="n">
        <f>HYPERLINK("https://sectors.patentforecast.com/pmd/US20220046124","PMD")</f>
        <v>0.0</v>
      </c>
      <c r="L975" s="2" t="n">
        <f>HYPERLINK("https://globaldossier.uspto.gov/result/application/US/17131727/1","US20220046124")</f>
        <v>0.0</v>
      </c>
      <c r="M975" t="s">
        <v>6751</v>
      </c>
      <c r="N975" t="s">
        <v>6752</v>
      </c>
      <c r="O975" t="s">
        <v>6752</v>
      </c>
      <c r="P975" t="s">
        <v>6753</v>
      </c>
      <c r="Q975" s="3" t="n">
        <v>44187.0</v>
      </c>
      <c r="R975" s="3" t="n">
        <v>44602.0</v>
      </c>
      <c r="S975" s="3" t="n">
        <v>44603.188695578705</v>
      </c>
      <c r="T975" s="3" t="n">
        <v>44697.651979525464</v>
      </c>
      <c r="U975" t="s">
        <v>6754</v>
      </c>
      <c r="V975" t="s">
        <v>6755</v>
      </c>
    </row>
    <row r="976">
      <c r="A976" t="s">
        <v>22</v>
      </c>
      <c r="B976" t="s">
        <v>6756</v>
      </c>
      <c r="C976" t="s">
        <v>24</v>
      </c>
      <c r="D976" t="s">
        <v>25</v>
      </c>
      <c r="E976" t="s">
        <v>6757</v>
      </c>
      <c r="F976" s="2" t="n">
        <f>HYPERLINK("https://patents.google.com/patent/US20220045858","Google")</f>
        <v>0.0</v>
      </c>
      <c r="G976" s="2" t="n">
        <f>HYPERLINK("https://patentcenter.uspto.gov/applications/17395974","Patent Center")</f>
        <v>0.0</v>
      </c>
      <c r="H976" s="2" t="n">
        <f>HYPERLINK("https://worldwide.espacenet.com/patent/search?q=US20220045858","Espacenet")</f>
        <v>0.0</v>
      </c>
      <c r="I976" s="2" t="n">
        <f>HYPERLINK("https://ppubs.uspto.gov/pubwebapp/external.html?q=20220045858.pn.","USPTO")</f>
        <v>0.0</v>
      </c>
      <c r="J976" s="2" t="n">
        <f>HYPERLINK("https://image-ppubs.uspto.gov/dirsearch-public/print/downloadPdf/20220045858","USPTO PDF")</f>
        <v>0.0</v>
      </c>
      <c r="K976" s="2" t="n">
        <f>HYPERLINK("https://sectors.patentforecast.com/pmd/US20220045858","PMD")</f>
        <v>0.0</v>
      </c>
      <c r="L976" s="2" t="n">
        <f>HYPERLINK("https://globaldossier.uspto.gov/result/application/US/17395974/1","US20220045858")</f>
        <v>0.0</v>
      </c>
      <c r="M976" t="s">
        <v>6758</v>
      </c>
      <c r="N976" t="s">
        <v>6759</v>
      </c>
      <c r="O976" t="s">
        <v>6760</v>
      </c>
      <c r="P976" t="s">
        <v>6761</v>
      </c>
      <c r="Q976" s="3" t="n">
        <v>44414.0</v>
      </c>
      <c r="R976" s="3" t="n">
        <v>44602.0</v>
      </c>
      <c r="S976" s="3" t="n">
        <v>44603.188695578705</v>
      </c>
      <c r="T976" s="3" t="n">
        <v>44697.652974143515</v>
      </c>
      <c r="U976" t="s">
        <v>31</v>
      </c>
      <c r="V976" t="s">
        <v>6762</v>
      </c>
    </row>
    <row r="977">
      <c r="A977" t="s">
        <v>22</v>
      </c>
      <c r="B977" t="s">
        <v>6763</v>
      </c>
      <c r="C977" t="s">
        <v>60</v>
      </c>
      <c r="D977" t="s">
        <v>715</v>
      </c>
      <c r="E977" t="s">
        <v>6764</v>
      </c>
      <c r="F977" s="2" t="n">
        <f>HYPERLINK("https://patents.google.com/patent/US20220044828","Google")</f>
        <v>0.0</v>
      </c>
      <c r="G977" s="2" t="n">
        <f>HYPERLINK("https://patentcenter.uspto.gov/applications/17471962","Patent Center")</f>
        <v>0.0</v>
      </c>
      <c r="H977" s="2" t="n">
        <f>HYPERLINK("https://worldwide.espacenet.com/patent/search?q=US20220044828","Espacenet")</f>
        <v>0.0</v>
      </c>
      <c r="I977" s="2" t="n">
        <f>HYPERLINK("https://ppubs.uspto.gov/pubwebapp/external.html?q=20220044828.pn.","USPTO")</f>
        <v>0.0</v>
      </c>
      <c r="J977" s="2" t="n">
        <f>HYPERLINK("https://image-ppubs.uspto.gov/dirsearch-public/print/downloadPdf/20220044828","USPTO PDF")</f>
        <v>0.0</v>
      </c>
      <c r="K977" s="2" t="n">
        <f>HYPERLINK("https://sectors.patentforecast.com/pmd/US20220044828","PMD")</f>
        <v>0.0</v>
      </c>
      <c r="L977" s="2" t="n">
        <f>HYPERLINK("https://globaldossier.uspto.gov/result/application/US/17471962/1","US20220044828")</f>
        <v>0.0</v>
      </c>
      <c r="M977" t="s">
        <v>6765</v>
      </c>
      <c r="N977" t="s">
        <v>5322</v>
      </c>
      <c r="O977" t="s">
        <v>5323</v>
      </c>
      <c r="P977" t="s">
        <v>6766</v>
      </c>
      <c r="Q977" s="3" t="n">
        <v>44449.0</v>
      </c>
      <c r="R977" s="3" t="n">
        <v>44602.0</v>
      </c>
      <c r="S977" s="3" t="n">
        <v>44603.188695578705</v>
      </c>
      <c r="T977" s="3" t="n">
        <v>44678.54370832176</v>
      </c>
      <c r="U977" t="s">
        <v>31</v>
      </c>
      <c r="V977" t="s">
        <v>6767</v>
      </c>
    </row>
    <row r="978">
      <c r="A978" t="s">
        <v>22</v>
      </c>
      <c r="B978" t="s">
        <v>6768</v>
      </c>
      <c r="C978" t="s">
        <v>24</v>
      </c>
      <c r="D978" t="s">
        <v>25</v>
      </c>
      <c r="E978" t="s">
        <v>6769</v>
      </c>
      <c r="F978" s="2" t="n">
        <f>HYPERLINK("https://patents.google.com/patent/US20220044827","Google")</f>
        <v>0.0</v>
      </c>
      <c r="G978" s="2" t="n">
        <f>HYPERLINK("https://patentcenter.uspto.gov/applications/17350056","Patent Center")</f>
        <v>0.0</v>
      </c>
      <c r="H978" s="2" t="n">
        <f>HYPERLINK("https://worldwide.espacenet.com/patent/search?q=US20220044827","Espacenet")</f>
        <v>0.0</v>
      </c>
      <c r="I978" s="2" t="n">
        <f>HYPERLINK("https://ppubs.uspto.gov/pubwebapp/external.html?q=20220044827.pn.","USPTO")</f>
        <v>0.0</v>
      </c>
      <c r="J978" s="2" t="n">
        <f>HYPERLINK("https://image-ppubs.uspto.gov/dirsearch-public/print/downloadPdf/20220044827","USPTO PDF")</f>
        <v>0.0</v>
      </c>
      <c r="K978" s="2" t="n">
        <f>HYPERLINK("https://sectors.patentforecast.com/pmd/US20220044827","PMD")</f>
        <v>0.0</v>
      </c>
      <c r="L978" s="2" t="n">
        <f>HYPERLINK("https://globaldossier.uspto.gov/result/application/US/17350056/1","US20220044827")</f>
        <v>0.0</v>
      </c>
      <c r="M978" t="s">
        <v>6770</v>
      </c>
      <c r="N978" t="s">
        <v>6771</v>
      </c>
      <c r="O978" t="s">
        <v>6772</v>
      </c>
      <c r="P978" t="s">
        <v>6773</v>
      </c>
      <c r="Q978" s="3" t="n">
        <v>44364.0</v>
      </c>
      <c r="R978" s="3" t="n">
        <v>44602.0</v>
      </c>
      <c r="S978" s="3" t="n">
        <v>44603.188695578705</v>
      </c>
      <c r="T978" s="3" t="n">
        <v>44697.65529850694</v>
      </c>
      <c r="U978" t="s">
        <v>31</v>
      </c>
      <c r="V978" t="s">
        <v>6774</v>
      </c>
    </row>
    <row r="979">
      <c r="A979" t="s">
        <v>22</v>
      </c>
      <c r="B979" t="s">
        <v>6775</v>
      </c>
      <c r="C979" t="s">
        <v>24</v>
      </c>
      <c r="D979" t="s">
        <v>25</v>
      </c>
      <c r="E979" t="s">
        <v>6776</v>
      </c>
      <c r="F979" s="2" t="n">
        <f>HYPERLINK("https://patents.google.com/patent/US20220044800","Google")</f>
        <v>0.0</v>
      </c>
      <c r="G979" s="2" t="n">
        <f>HYPERLINK("https://patentcenter.uspto.gov/applications/16984982","Patent Center")</f>
        <v>0.0</v>
      </c>
      <c r="H979" s="2" t="n">
        <f>HYPERLINK("https://worldwide.espacenet.com/patent/search?q=US20220044800","Espacenet")</f>
        <v>0.0</v>
      </c>
      <c r="I979" s="2" t="n">
        <f>HYPERLINK("https://ppubs.uspto.gov/pubwebapp/external.html?q=20220044800.pn.","USPTO")</f>
        <v>0.0</v>
      </c>
      <c r="J979" s="2" t="n">
        <f>HYPERLINK("https://image-ppubs.uspto.gov/dirsearch-public/print/downloadPdf/20220044800","USPTO PDF")</f>
        <v>0.0</v>
      </c>
      <c r="K979" s="2" t="n">
        <f>HYPERLINK("https://sectors.patentforecast.com/pmd/US20220044800","PMD")</f>
        <v>0.0</v>
      </c>
      <c r="L979" s="2" t="n">
        <f>HYPERLINK("https://globaldossier.uspto.gov/result/application/US/16984982/1","US20220044800")</f>
        <v>0.0</v>
      </c>
      <c r="M979" t="s">
        <v>6777</v>
      </c>
      <c r="N979" t="s">
        <v>6778</v>
      </c>
      <c r="O979" t="s">
        <v>6779</v>
      </c>
      <c r="P979" t="s">
        <v>6780</v>
      </c>
      <c r="Q979" s="3" t="n">
        <v>44047.0</v>
      </c>
      <c r="R979" s="3" t="n">
        <v>44602.0</v>
      </c>
      <c r="S979" s="3" t="n">
        <v>44603.188695578705</v>
      </c>
      <c r="T979" s="3" t="n">
        <v>44697.656537233794</v>
      </c>
      <c r="U979" t="s">
        <v>6781</v>
      </c>
      <c r="V979" t="s">
        <v>6782</v>
      </c>
    </row>
    <row r="980">
      <c r="A980" t="s">
        <v>22</v>
      </c>
      <c r="B980" t="s">
        <v>6783</v>
      </c>
      <c r="C980" t="s">
        <v>312</v>
      </c>
      <c r="D980" t="s">
        <v>976</v>
      </c>
      <c r="E980" t="s">
        <v>6784</v>
      </c>
      <c r="F980" s="2" t="n">
        <f>HYPERLINK("https://patents.google.com/patent/US20220044776","Google")</f>
        <v>0.0</v>
      </c>
      <c r="G980" s="2" t="n">
        <f>HYPERLINK("https://patentcenter.uspto.gov/applications/17508568","Patent Center")</f>
        <v>0.0</v>
      </c>
      <c r="H980" s="2" t="n">
        <f>HYPERLINK("https://worldwide.espacenet.com/patent/search?q=US20220044776","Espacenet")</f>
        <v>0.0</v>
      </c>
      <c r="I980" s="2" t="n">
        <f>HYPERLINK("https://ppubs.uspto.gov/pubwebapp/external.html?q=20220044776.pn.","USPTO")</f>
        <v>0.0</v>
      </c>
      <c r="J980" s="2" t="n">
        <f>HYPERLINK("https://image-ppubs.uspto.gov/dirsearch-public/print/downloadPdf/20220044776","USPTO PDF")</f>
        <v>0.0</v>
      </c>
      <c r="K980" s="2" t="n">
        <f>HYPERLINK("https://sectors.patentforecast.com/pmd/US20220044776","PMD")</f>
        <v>0.0</v>
      </c>
      <c r="L980" s="2" t="n">
        <f>HYPERLINK("https://globaldossier.uspto.gov/result/application/US/17508568/1","US20220044776")</f>
        <v>0.0</v>
      </c>
      <c r="M980" t="s">
        <v>6785</v>
      </c>
      <c r="N980" t="s">
        <v>6786</v>
      </c>
      <c r="O980" t="s">
        <v>6787</v>
      </c>
      <c r="P980" t="s">
        <v>6788</v>
      </c>
      <c r="Q980" s="3" t="n">
        <v>44491.0</v>
      </c>
      <c r="R980" s="3" t="n">
        <v>44602.0</v>
      </c>
      <c r="S980" s="3" t="n">
        <v>44643.2380796412</v>
      </c>
      <c r="T980" s="3" t="n">
        <v>44672.464780347225</v>
      </c>
      <c r="U980" t="s">
        <v>6789</v>
      </c>
      <c r="V980" t="s">
        <v>6790</v>
      </c>
    </row>
    <row r="981">
      <c r="A981" t="s">
        <v>22</v>
      </c>
      <c r="B981" t="s">
        <v>6791</v>
      </c>
      <c r="C981" t="s">
        <v>24</v>
      </c>
      <c r="D981" t="s">
        <v>25</v>
      </c>
      <c r="E981" t="s">
        <v>6792</v>
      </c>
      <c r="F981" s="2" t="n">
        <f>HYPERLINK("https://patents.google.com/patent/US20220044772","Google")</f>
        <v>0.0</v>
      </c>
      <c r="G981" s="2" t="n">
        <f>HYPERLINK("https://patentcenter.uspto.gov/applications/17396206","Patent Center")</f>
        <v>0.0</v>
      </c>
      <c r="H981" s="2" t="n">
        <f>HYPERLINK("https://worldwide.espacenet.com/patent/search?q=US20220044772","Espacenet")</f>
        <v>0.0</v>
      </c>
      <c r="I981" s="2" t="n">
        <f>HYPERLINK("https://ppubs.uspto.gov/pubwebapp/external.html?q=20220044772.pn.","USPTO")</f>
        <v>0.0</v>
      </c>
      <c r="J981" s="2" t="n">
        <f>HYPERLINK("https://image-ppubs.uspto.gov/dirsearch-public/print/downloadPdf/20220044772","USPTO PDF")</f>
        <v>0.0</v>
      </c>
      <c r="K981" s="2" t="n">
        <f>HYPERLINK("https://sectors.patentforecast.com/pmd/US20220044772","PMD")</f>
        <v>0.0</v>
      </c>
      <c r="L981" s="2" t="n">
        <f>HYPERLINK("https://globaldossier.uspto.gov/result/application/US/17396206/1","US20220044772")</f>
        <v>0.0</v>
      </c>
      <c r="M981" t="s">
        <v>6793</v>
      </c>
      <c r="N981" t="s">
        <v>6794</v>
      </c>
      <c r="O981" t="s">
        <v>6795</v>
      </c>
      <c r="P981" t="s">
        <v>6796</v>
      </c>
      <c r="Q981" s="3" t="n">
        <v>44414.0</v>
      </c>
      <c r="R981" s="3" t="n">
        <v>44602.0</v>
      </c>
      <c r="S981" s="3" t="n">
        <v>44603.188695578705</v>
      </c>
      <c r="T981" s="3" t="n">
        <v>44697.66109784722</v>
      </c>
      <c r="U981" t="s">
        <v>31</v>
      </c>
      <c r="V981" t="s">
        <v>6797</v>
      </c>
    </row>
    <row r="982">
      <c r="A982" t="s">
        <v>22</v>
      </c>
      <c r="B982" t="s">
        <v>6798</v>
      </c>
      <c r="C982" t="s">
        <v>24</v>
      </c>
      <c r="D982" t="s">
        <v>204</v>
      </c>
      <c r="E982" t="s">
        <v>6799</v>
      </c>
      <c r="F982" s="2" t="n">
        <f>HYPERLINK("https://patents.google.com/patent/US20220044589","Google")</f>
        <v>0.0</v>
      </c>
      <c r="G982" s="2" t="n">
        <f>HYPERLINK("https://patentcenter.uspto.gov/applications/17355155","Patent Center")</f>
        <v>0.0</v>
      </c>
      <c r="H982" s="2" t="n">
        <f>HYPERLINK("https://worldwide.espacenet.com/patent/search?q=US20220044589","Espacenet")</f>
        <v>0.0</v>
      </c>
      <c r="I982" s="2" t="n">
        <f>HYPERLINK("https://ppubs.uspto.gov/pubwebapp/external.html?q=20220044589.pn.","USPTO")</f>
        <v>0.0</v>
      </c>
      <c r="J982" s="2" t="n">
        <f>HYPERLINK("https://image-ppubs.uspto.gov/dirsearch-public/print/downloadPdf/20220044589","USPTO PDF")</f>
        <v>0.0</v>
      </c>
      <c r="K982" s="2" t="n">
        <f>HYPERLINK("https://sectors.patentforecast.com/pmd/US20220044589","PMD")</f>
        <v>0.0</v>
      </c>
      <c r="L982" s="2" t="n">
        <f>HYPERLINK("https://globaldossier.uspto.gov/result/application/US/17355155/1","US20220044589")</f>
        <v>0.0</v>
      </c>
      <c r="M982" t="s">
        <v>6800</v>
      </c>
      <c r="N982" t="s">
        <v>6801</v>
      </c>
      <c r="O982" t="s">
        <v>6801</v>
      </c>
      <c r="P982" t="s">
        <v>6802</v>
      </c>
      <c r="Q982" s="3" t="n">
        <v>44369.0</v>
      </c>
      <c r="R982" s="3" t="n">
        <v>44602.0</v>
      </c>
      <c r="S982" s="3" t="n">
        <v>44603.188695578705</v>
      </c>
      <c r="T982" s="3" t="n">
        <v>44697.6639409375</v>
      </c>
      <c r="U982" t="s">
        <v>31</v>
      </c>
      <c r="V982" t="s">
        <v>6803</v>
      </c>
    </row>
    <row r="983">
      <c r="A983" t="s">
        <v>22</v>
      </c>
      <c r="B983" t="s">
        <v>6804</v>
      </c>
      <c r="C983" t="s">
        <v>24</v>
      </c>
      <c r="D983" t="s">
        <v>258</v>
      </c>
      <c r="E983" t="s">
        <v>6805</v>
      </c>
      <c r="F983" s="2" t="n">
        <f>HYPERLINK("https://patents.google.com/patent/US20220044269","Google")</f>
        <v>0.0</v>
      </c>
      <c r="G983" s="2" t="n">
        <f>HYPERLINK("https://patentcenter.uspto.gov/applications/17394503","Patent Center")</f>
        <v>0.0</v>
      </c>
      <c r="H983" s="2" t="n">
        <f>HYPERLINK("https://worldwide.espacenet.com/patent/search?q=US20220044269","Espacenet")</f>
        <v>0.0</v>
      </c>
      <c r="I983" s="2" t="n">
        <f>HYPERLINK("https://ppubs.uspto.gov/pubwebapp/external.html?q=20220044269.pn.","USPTO")</f>
        <v>0.0</v>
      </c>
      <c r="J983" s="2" t="n">
        <f>HYPERLINK("https://image-ppubs.uspto.gov/dirsearch-public/print/downloadPdf/20220044269","USPTO PDF")</f>
        <v>0.0</v>
      </c>
      <c r="K983" s="2" t="n">
        <f>HYPERLINK("https://sectors.patentforecast.com/pmd/US20220044269","PMD")</f>
        <v>0.0</v>
      </c>
      <c r="L983" s="2" t="n">
        <f>HYPERLINK("https://globaldossier.uspto.gov/result/application/US/17394503/1","US20220044269")</f>
        <v>0.0</v>
      </c>
      <c r="M983" t="s">
        <v>6806</v>
      </c>
      <c r="N983" t="s">
        <v>6807</v>
      </c>
      <c r="O983" t="s">
        <v>6808</v>
      </c>
      <c r="P983" t="s">
        <v>6809</v>
      </c>
      <c r="Q983" s="3" t="n">
        <v>44413.0</v>
      </c>
      <c r="R983" s="3" t="n">
        <v>44602.0</v>
      </c>
      <c r="S983" s="3" t="n">
        <v>44603.188695578705</v>
      </c>
      <c r="T983" s="3" t="n">
        <v>44697.66602082176</v>
      </c>
      <c r="U983" t="s">
        <v>6810</v>
      </c>
      <c r="V983" t="s">
        <v>6811</v>
      </c>
    </row>
    <row r="984">
      <c r="A984" t="s">
        <v>22</v>
      </c>
      <c r="B984" t="s">
        <v>6812</v>
      </c>
      <c r="C984" t="s">
        <v>24</v>
      </c>
      <c r="D984" t="s">
        <v>69</v>
      </c>
      <c r="E984" t="s">
        <v>6813</v>
      </c>
      <c r="F984" s="2" t="n">
        <f>HYPERLINK("https://patents.google.com/patent/US20220044188","Google")</f>
        <v>0.0</v>
      </c>
      <c r="G984" s="2" t="n">
        <f>HYPERLINK("https://patentcenter.uspto.gov/applications/17393445","Patent Center")</f>
        <v>0.0</v>
      </c>
      <c r="H984" s="2" t="n">
        <f>HYPERLINK("https://worldwide.espacenet.com/patent/search?q=US20220044188","Espacenet")</f>
        <v>0.0</v>
      </c>
      <c r="I984" s="2" t="n">
        <f>HYPERLINK("https://ppubs.uspto.gov/pubwebapp/external.html?q=20220044188.pn.","USPTO")</f>
        <v>0.0</v>
      </c>
      <c r="J984" s="2" t="n">
        <f>HYPERLINK("https://image-ppubs.uspto.gov/dirsearch-public/print/downloadPdf/20220044188","USPTO PDF")</f>
        <v>0.0</v>
      </c>
      <c r="K984" s="2" t="n">
        <f>HYPERLINK("https://sectors.patentforecast.com/pmd/US20220044188","PMD")</f>
        <v>0.0</v>
      </c>
      <c r="L984" s="2" t="n">
        <f>HYPERLINK("https://globaldossier.uspto.gov/result/application/US/17393445/1","US20220044188")</f>
        <v>0.0</v>
      </c>
      <c r="M984" t="s">
        <v>6814</v>
      </c>
      <c r="N984" t="s">
        <v>6815</v>
      </c>
      <c r="O984" t="s">
        <v>6816</v>
      </c>
      <c r="P984" t="s">
        <v>6817</v>
      </c>
      <c r="Q984" s="3" t="n">
        <v>44412.0</v>
      </c>
      <c r="R984" s="3" t="n">
        <v>44602.0</v>
      </c>
      <c r="S984" s="3" t="n">
        <v>44603.188695578705</v>
      </c>
      <c r="T984" s="3" t="n">
        <v>44697.670630925924</v>
      </c>
      <c r="U984" t="s">
        <v>31</v>
      </c>
      <c r="V984" t="s">
        <v>6818</v>
      </c>
    </row>
    <row r="985">
      <c r="A985" t="s">
        <v>22</v>
      </c>
      <c r="B985" t="s">
        <v>6819</v>
      </c>
      <c r="C985" t="s">
        <v>24</v>
      </c>
      <c r="D985" t="s">
        <v>69</v>
      </c>
      <c r="E985" t="s">
        <v>6820</v>
      </c>
      <c r="F985" s="2" t="n">
        <f>HYPERLINK("https://patents.google.com/patent/US20220044164","Google")</f>
        <v>0.0</v>
      </c>
      <c r="G985" s="2" t="n">
        <f>HYPERLINK("https://patentcenter.uspto.gov/applications/17027805","Patent Center")</f>
        <v>0.0</v>
      </c>
      <c r="H985" s="2" t="n">
        <f>HYPERLINK("https://worldwide.espacenet.com/patent/search?q=US20220044164","Espacenet")</f>
        <v>0.0</v>
      </c>
      <c r="I985" s="2" t="n">
        <f>HYPERLINK("https://ppubs.uspto.gov/pubwebapp/external.html?q=20220044164.pn.","USPTO")</f>
        <v>0.0</v>
      </c>
      <c r="J985" s="2" t="n">
        <f>HYPERLINK("https://image-ppubs.uspto.gov/dirsearch-public/print/downloadPdf/20220044164","USPTO PDF")</f>
        <v>0.0</v>
      </c>
      <c r="K985" s="2" t="n">
        <f>HYPERLINK("https://sectors.patentforecast.com/pmd/US20220044164","PMD")</f>
        <v>0.0</v>
      </c>
      <c r="L985" s="2" t="n">
        <f>HYPERLINK("https://globaldossier.uspto.gov/result/application/US/17027805/1","US20220044164")</f>
        <v>0.0</v>
      </c>
      <c r="M985" t="s">
        <v>6821</v>
      </c>
      <c r="N985" t="s">
        <v>6822</v>
      </c>
      <c r="O985" t="s">
        <v>6823</v>
      </c>
      <c r="P985" t="s">
        <v>6824</v>
      </c>
      <c r="Q985" s="3" t="n">
        <v>44096.0</v>
      </c>
      <c r="R985" s="3" t="n">
        <v>44602.0</v>
      </c>
      <c r="S985" s="3" t="n">
        <v>44603.188695578705</v>
      </c>
      <c r="T985" s="3" t="n">
        <v>44697.67177717593</v>
      </c>
      <c r="U985" t="s">
        <v>31</v>
      </c>
      <c r="V985" t="s">
        <v>6825</v>
      </c>
    </row>
    <row r="986">
      <c r="A986" t="s">
        <v>22</v>
      </c>
      <c r="B986" t="s">
        <v>6826</v>
      </c>
      <c r="C986" t="s">
        <v>24</v>
      </c>
      <c r="D986" t="s">
        <v>25</v>
      </c>
      <c r="E986" t="s">
        <v>6827</v>
      </c>
      <c r="F986" s="2" t="n">
        <f>HYPERLINK("https://patents.google.com/patent/US20220043840","Google")</f>
        <v>0.0</v>
      </c>
      <c r="G986" s="2" t="n">
        <f>HYPERLINK("https://patentcenter.uspto.gov/applications/17507457","Patent Center")</f>
        <v>0.0</v>
      </c>
      <c r="H986" s="2" t="n">
        <f>HYPERLINK("https://worldwide.espacenet.com/patent/search?q=US20220043840","Espacenet")</f>
        <v>0.0</v>
      </c>
      <c r="I986" s="2" t="n">
        <f>HYPERLINK("https://ppubs.uspto.gov/pubwebapp/external.html?q=20220043840.pn.","USPTO")</f>
        <v>0.0</v>
      </c>
      <c r="J986" s="2" t="n">
        <f>HYPERLINK("https://image-ppubs.uspto.gov/dirsearch-public/print/downloadPdf/20220043840","USPTO PDF")</f>
        <v>0.0</v>
      </c>
      <c r="K986" s="2" t="n">
        <f>HYPERLINK("https://sectors.patentforecast.com/pmd/US20220043840","PMD")</f>
        <v>0.0</v>
      </c>
      <c r="L986" s="2" t="n">
        <f>HYPERLINK("https://globaldossier.uspto.gov/result/application/US/17507457/1","US20220043840")</f>
        <v>0.0</v>
      </c>
      <c r="M986" t="s">
        <v>6828</v>
      </c>
      <c r="N986" t="s">
        <v>6829</v>
      </c>
      <c r="O986" t="s">
        <v>6830</v>
      </c>
      <c r="P986" t="s">
        <v>6831</v>
      </c>
      <c r="Q986" s="3" t="n">
        <v>44490.0</v>
      </c>
      <c r="R986" s="3" t="n">
        <v>44602.0</v>
      </c>
      <c r="S986" s="3" t="n">
        <v>44603.188695578705</v>
      </c>
      <c r="T986" s="3" t="n">
        <v>44697.67291006944</v>
      </c>
      <c r="U986" t="s">
        <v>6832</v>
      </c>
      <c r="V986" t="s">
        <v>6833</v>
      </c>
    </row>
    <row r="987">
      <c r="A987" t="s">
        <v>22</v>
      </c>
      <c r="B987" t="s">
        <v>6834</v>
      </c>
      <c r="C987" t="s">
        <v>24</v>
      </c>
      <c r="D987" t="s">
        <v>1450</v>
      </c>
      <c r="E987" t="s">
        <v>6835</v>
      </c>
      <c r="F987" s="2" t="n">
        <f>HYPERLINK("https://patents.google.com/patent/US20220043619","Google")</f>
        <v>0.0</v>
      </c>
      <c r="G987" s="2" t="n">
        <f>HYPERLINK("https://patentcenter.uspto.gov/applications/17397445","Patent Center")</f>
        <v>0.0</v>
      </c>
      <c r="H987" s="2" t="n">
        <f>HYPERLINK("https://worldwide.espacenet.com/patent/search?q=US20220043619","Espacenet")</f>
        <v>0.0</v>
      </c>
      <c r="I987" s="2" t="n">
        <f>HYPERLINK("https://ppubs.uspto.gov/pubwebapp/external.html?q=20220043619.pn.","USPTO")</f>
        <v>0.0</v>
      </c>
      <c r="J987" s="2" t="n">
        <f>HYPERLINK("https://image-ppubs.uspto.gov/dirsearch-public/print/downloadPdf/20220043619","USPTO PDF")</f>
        <v>0.0</v>
      </c>
      <c r="K987" s="2" t="n">
        <f>HYPERLINK("https://sectors.patentforecast.com/pmd/US20220043619","PMD")</f>
        <v>0.0</v>
      </c>
      <c r="L987" s="2" t="n">
        <f>HYPERLINK("https://globaldossier.uspto.gov/result/application/US/17397445/1","US20220043619")</f>
        <v>0.0</v>
      </c>
      <c r="M987" t="s">
        <v>6836</v>
      </c>
      <c r="N987" t="s">
        <v>926</v>
      </c>
      <c r="O987" t="s">
        <v>927</v>
      </c>
      <c r="P987" t="s">
        <v>6837</v>
      </c>
      <c r="Q987" s="3" t="n">
        <v>44417.0</v>
      </c>
      <c r="R987" s="3" t="n">
        <v>44602.0</v>
      </c>
      <c r="S987" s="3" t="n">
        <v>44603.188695578705</v>
      </c>
      <c r="T987" s="3" t="n">
        <v>44697.67631700231</v>
      </c>
      <c r="U987" t="s">
        <v>6838</v>
      </c>
      <c r="V987" t="s">
        <v>6839</v>
      </c>
    </row>
    <row r="988">
      <c r="A988" t="s">
        <v>22</v>
      </c>
      <c r="B988" t="s">
        <v>6840</v>
      </c>
      <c r="C988" t="s">
        <v>24</v>
      </c>
      <c r="D988" t="s">
        <v>204</v>
      </c>
      <c r="E988" t="s">
        <v>6841</v>
      </c>
      <c r="F988" s="2" t="n">
        <f>HYPERLINK("https://patents.google.com/patent/US20220043263","Google")</f>
        <v>0.0</v>
      </c>
      <c r="G988" s="2" t="n">
        <f>HYPERLINK("https://patentcenter.uspto.gov/applications/17507945","Patent Center")</f>
        <v>0.0</v>
      </c>
      <c r="H988" s="2" t="n">
        <f>HYPERLINK("https://worldwide.espacenet.com/patent/search?q=US20220043263","Espacenet")</f>
        <v>0.0</v>
      </c>
      <c r="I988" s="2" t="n">
        <f>HYPERLINK("https://ppubs.uspto.gov/pubwebapp/external.html?q=20220043263.pn.","USPTO")</f>
        <v>0.0</v>
      </c>
      <c r="J988" s="2" t="n">
        <f>HYPERLINK("https://image-ppubs.uspto.gov/dirsearch-public/print/downloadPdf/20220043263","USPTO PDF")</f>
        <v>0.0</v>
      </c>
      <c r="K988" s="2" t="n">
        <f>HYPERLINK("https://sectors.patentforecast.com/pmd/US20220043263","PMD")</f>
        <v>0.0</v>
      </c>
      <c r="L988" s="2" t="n">
        <f>HYPERLINK("https://globaldossier.uspto.gov/result/application/US/17507945/1","US20220043263")</f>
        <v>0.0</v>
      </c>
      <c r="M988" t="s">
        <v>6842</v>
      </c>
      <c r="N988" t="s">
        <v>6843</v>
      </c>
      <c r="O988" t="s">
        <v>6844</v>
      </c>
      <c r="P988" t="s">
        <v>6845</v>
      </c>
      <c r="Q988" s="3" t="n">
        <v>44491.0</v>
      </c>
      <c r="R988" s="3" t="n">
        <v>44602.0</v>
      </c>
      <c r="S988" s="3" t="n">
        <v>44643.23911607639</v>
      </c>
      <c r="T988" s="3" t="n">
        <v>44719.602538611114</v>
      </c>
      <c r="U988" t="s">
        <v>6846</v>
      </c>
      <c r="V988" t="s">
        <v>6847</v>
      </c>
    </row>
    <row r="989">
      <c r="A989" t="s">
        <v>22</v>
      </c>
      <c r="B989" t="s">
        <v>6848</v>
      </c>
      <c r="C989" t="s">
        <v>24</v>
      </c>
      <c r="D989" t="s">
        <v>25</v>
      </c>
      <c r="E989" t="s">
        <v>6849</v>
      </c>
      <c r="F989" s="2" t="n">
        <f>HYPERLINK("https://patents.google.com/patent/US20220043000","Google")</f>
        <v>0.0</v>
      </c>
      <c r="G989" s="2" t="n">
        <f>HYPERLINK("https://patentcenter.uspto.gov/applications/17393824","Patent Center")</f>
        <v>0.0</v>
      </c>
      <c r="H989" s="2" t="n">
        <f>HYPERLINK("https://worldwide.espacenet.com/patent/search?q=US20220043000","Espacenet")</f>
        <v>0.0</v>
      </c>
      <c r="I989" s="2" t="n">
        <f>HYPERLINK("https://ppubs.uspto.gov/pubwebapp/external.html?q=20220043000.pn.","USPTO")</f>
        <v>0.0</v>
      </c>
      <c r="J989" s="2" t="n">
        <f>HYPERLINK("https://image-ppubs.uspto.gov/dirsearch-public/print/downloadPdf/20220043000","USPTO PDF")</f>
        <v>0.0</v>
      </c>
      <c r="K989" s="2" t="n">
        <f>HYPERLINK("https://sectors.patentforecast.com/pmd/US20220043000","PMD")</f>
        <v>0.0</v>
      </c>
      <c r="L989" s="2" t="n">
        <f>HYPERLINK("https://globaldossier.uspto.gov/result/application/US/17393824/1","US20220043000")</f>
        <v>0.0</v>
      </c>
      <c r="M989" t="s">
        <v>6850</v>
      </c>
      <c r="N989" t="s">
        <v>6851</v>
      </c>
      <c r="O989" t="s">
        <v>6852</v>
      </c>
      <c r="P989" t="s">
        <v>6853</v>
      </c>
      <c r="Q989" s="3" t="n">
        <v>44412.0</v>
      </c>
      <c r="R989" s="3" t="n">
        <v>44602.0</v>
      </c>
      <c r="S989" s="3" t="n">
        <v>44603.188695578705</v>
      </c>
      <c r="T989" s="3" t="n">
        <v>44697.6776362963</v>
      </c>
      <c r="U989" t="s">
        <v>31</v>
      </c>
      <c r="V989" t="s">
        <v>6854</v>
      </c>
    </row>
    <row r="990">
      <c r="A990" t="s">
        <v>22</v>
      </c>
      <c r="B990" t="s">
        <v>6855</v>
      </c>
      <c r="C990" t="s">
        <v>132</v>
      </c>
      <c r="D990" t="s">
        <v>133</v>
      </c>
      <c r="E990" t="s">
        <v>6856</v>
      </c>
      <c r="F990" s="2" t="n">
        <f>HYPERLINK("https://patents.google.com/patent/US20220042992","Google")</f>
        <v>0.0</v>
      </c>
      <c r="G990" s="2" t="n">
        <f>HYPERLINK("https://patentcenter.uspto.gov/applications/17395330","Patent Center")</f>
        <v>0.0</v>
      </c>
      <c r="H990" s="2" t="n">
        <f>HYPERLINK("https://worldwide.espacenet.com/patent/search?q=US20220042992","Espacenet")</f>
        <v>0.0</v>
      </c>
      <c r="I990" s="2" t="n">
        <f>HYPERLINK("https://ppubs.uspto.gov/pubwebapp/external.html?q=20220042992.pn.","USPTO")</f>
        <v>0.0</v>
      </c>
      <c r="J990" s="2" t="n">
        <f>HYPERLINK("https://image-ppubs.uspto.gov/dirsearch-public/print/downloadPdf/20220042992","USPTO PDF")</f>
        <v>0.0</v>
      </c>
      <c r="K990" s="2" t="n">
        <f>HYPERLINK("https://sectors.patentforecast.com/pmd/US20220042992","PMD")</f>
        <v>0.0</v>
      </c>
      <c r="L990" s="2" t="n">
        <f>HYPERLINK("https://globaldossier.uspto.gov/result/application/US/17395330/1","US20220042992")</f>
        <v>0.0</v>
      </c>
      <c r="M990" t="s">
        <v>6857</v>
      </c>
      <c r="N990" t="s">
        <v>3605</v>
      </c>
      <c r="O990" t="s">
        <v>3606</v>
      </c>
      <c r="P990" t="s">
        <v>6858</v>
      </c>
      <c r="Q990" s="3" t="n">
        <v>44413.0</v>
      </c>
      <c r="R990" s="3" t="n">
        <v>44602.0</v>
      </c>
      <c r="S990" s="3" t="n">
        <v>44603.188695578705</v>
      </c>
      <c r="T990" s="3" t="n">
        <v>44638.70475765046</v>
      </c>
      <c r="U990" t="s">
        <v>6859</v>
      </c>
      <c r="V990" t="s">
        <v>6860</v>
      </c>
    </row>
    <row r="991">
      <c r="A991" t="s">
        <v>22</v>
      </c>
      <c r="B991" t="s">
        <v>6861</v>
      </c>
      <c r="C991" t="s">
        <v>24</v>
      </c>
      <c r="D991" t="s">
        <v>34</v>
      </c>
      <c r="E991" t="s">
        <v>6862</v>
      </c>
      <c r="F991" s="2" t="n">
        <f>HYPERLINK("https://patents.google.com/patent/US20220042987","Google")</f>
        <v>0.0</v>
      </c>
      <c r="G991" s="2" t="n">
        <f>HYPERLINK("https://patentcenter.uspto.gov/applications/17166741","Patent Center")</f>
        <v>0.0</v>
      </c>
      <c r="H991" s="2" t="n">
        <f>HYPERLINK("https://worldwide.espacenet.com/patent/search?q=US20220042987","Espacenet")</f>
        <v>0.0</v>
      </c>
      <c r="I991" s="2" t="n">
        <f>HYPERLINK("https://ppubs.uspto.gov/pubwebapp/external.html?q=20220042987.pn.","USPTO")</f>
        <v>0.0</v>
      </c>
      <c r="J991" s="2" t="n">
        <f>HYPERLINK("https://image-ppubs.uspto.gov/dirsearch-public/print/downloadPdf/20220042987","USPTO PDF")</f>
        <v>0.0</v>
      </c>
      <c r="K991" s="2" t="n">
        <f>HYPERLINK("https://sectors.patentforecast.com/pmd/US20220042987","PMD")</f>
        <v>0.0</v>
      </c>
      <c r="L991" s="2" t="n">
        <f>HYPERLINK("https://globaldossier.uspto.gov/result/application/US/17166741/1","US20220042987")</f>
        <v>0.0</v>
      </c>
      <c r="M991" t="s">
        <v>6863</v>
      </c>
      <c r="N991" t="s">
        <v>6864</v>
      </c>
      <c r="O991" t="s">
        <v>6864</v>
      </c>
      <c r="P991" t="s">
        <v>6865</v>
      </c>
      <c r="Q991" s="3" t="n">
        <v>44230.0</v>
      </c>
      <c r="R991" s="3" t="n">
        <v>44602.0</v>
      </c>
      <c r="S991" s="3" t="n">
        <v>44603.188695578705</v>
      </c>
      <c r="T991" s="3" t="n">
        <v>44638.70064527778</v>
      </c>
      <c r="U991" t="s">
        <v>31</v>
      </c>
      <c r="V991" t="s">
        <v>6866</v>
      </c>
    </row>
    <row r="992">
      <c r="A992" t="s">
        <v>22</v>
      </c>
      <c r="B992" t="s">
        <v>6867</v>
      </c>
      <c r="C992" t="s">
        <v>24</v>
      </c>
      <c r="D992" t="s">
        <v>25</v>
      </c>
      <c r="E992" t="s">
        <v>6868</v>
      </c>
      <c r="F992" s="2" t="n">
        <f>HYPERLINK("https://patents.google.com/patent/US20220042985","Google")</f>
        <v>0.0</v>
      </c>
      <c r="G992" s="2" t="n">
        <f>HYPERLINK("https://patentcenter.uspto.gov/applications/16987049","Patent Center")</f>
        <v>0.0</v>
      </c>
      <c r="H992" s="2" t="n">
        <f>HYPERLINK("https://worldwide.espacenet.com/patent/search?q=US20220042985","Espacenet")</f>
        <v>0.0</v>
      </c>
      <c r="I992" s="2" t="n">
        <f>HYPERLINK("https://ppubs.uspto.gov/pubwebapp/external.html?q=20220042985.pn.","USPTO")</f>
        <v>0.0</v>
      </c>
      <c r="J992" s="2" t="n">
        <f>HYPERLINK("https://image-ppubs.uspto.gov/dirsearch-public/print/downloadPdf/20220042985","USPTO PDF")</f>
        <v>0.0</v>
      </c>
      <c r="K992" s="2" t="n">
        <f>HYPERLINK("https://sectors.patentforecast.com/pmd/US20220042985","PMD")</f>
        <v>0.0</v>
      </c>
      <c r="L992" s="2" t="n">
        <f>HYPERLINK("https://globaldossier.uspto.gov/result/application/US/16987049/1","US20220042985")</f>
        <v>0.0</v>
      </c>
      <c r="M992" t="s">
        <v>6869</v>
      </c>
      <c r="N992" t="s">
        <v>6870</v>
      </c>
      <c r="O992" t="s">
        <v>6871</v>
      </c>
      <c r="P992" t="s">
        <v>6872</v>
      </c>
      <c r="Q992" s="3" t="n">
        <v>44049.0</v>
      </c>
      <c r="R992" s="3" t="n">
        <v>44602.0</v>
      </c>
      <c r="S992" s="3" t="n">
        <v>44603.188695578705</v>
      </c>
      <c r="T992" s="3" t="n">
        <v>44697.67870668982</v>
      </c>
      <c r="U992" t="s">
        <v>31</v>
      </c>
      <c r="V992" t="s">
        <v>6873</v>
      </c>
    </row>
    <row r="993">
      <c r="A993" t="s">
        <v>22</v>
      </c>
      <c r="B993" t="s">
        <v>6874</v>
      </c>
      <c r="C993" t="s">
        <v>24</v>
      </c>
      <c r="D993" t="s">
        <v>51</v>
      </c>
      <c r="E993" t="s">
        <v>6875</v>
      </c>
      <c r="F993" s="2" t="n">
        <f>HYPERLINK("https://patents.google.com/patent/US20220042984","Google")</f>
        <v>0.0</v>
      </c>
      <c r="G993" s="2" t="n">
        <f>HYPERLINK("https://patentcenter.uspto.gov/applications/17394380","Patent Center")</f>
        <v>0.0</v>
      </c>
      <c r="H993" s="2" t="n">
        <f>HYPERLINK("https://worldwide.espacenet.com/patent/search?q=US20220042984","Espacenet")</f>
        <v>0.0</v>
      </c>
      <c r="I993" s="2" t="n">
        <f>HYPERLINK("https://ppubs.uspto.gov/pubwebapp/external.html?q=20220042984.pn.","USPTO")</f>
        <v>0.0</v>
      </c>
      <c r="J993" s="2" t="n">
        <f>HYPERLINK("https://image-ppubs.uspto.gov/dirsearch-public/print/downloadPdf/20220042984","USPTO PDF")</f>
        <v>0.0</v>
      </c>
      <c r="K993" s="2" t="n">
        <f>HYPERLINK("https://sectors.patentforecast.com/pmd/US20220042984","PMD")</f>
        <v>0.0</v>
      </c>
      <c r="L993" s="2" t="n">
        <f>HYPERLINK("https://globaldossier.uspto.gov/result/application/US/17394380/1","US20220042984")</f>
        <v>0.0</v>
      </c>
      <c r="M993" t="s">
        <v>6876</v>
      </c>
      <c r="N993" t="s">
        <v>6877</v>
      </c>
      <c r="O993" t="s">
        <v>6877</v>
      </c>
      <c r="P993" t="s">
        <v>6878</v>
      </c>
      <c r="Q993" s="3" t="n">
        <v>44412.0</v>
      </c>
      <c r="R993" s="3" t="n">
        <v>44602.0</v>
      </c>
      <c r="S993" s="3" t="n">
        <v>44603.188695578705</v>
      </c>
      <c r="T993" s="3" t="n">
        <v>44678.54788153935</v>
      </c>
      <c r="U993" t="s">
        <v>6879</v>
      </c>
      <c r="V993" t="s">
        <v>6880</v>
      </c>
    </row>
    <row r="994">
      <c r="A994" t="s">
        <v>22</v>
      </c>
      <c r="B994" t="s">
        <v>6881</v>
      </c>
      <c r="C994" t="s">
        <v>24</v>
      </c>
      <c r="D994" t="s">
        <v>25</v>
      </c>
      <c r="E994" t="s">
        <v>6882</v>
      </c>
      <c r="F994" s="2" t="n">
        <f>HYPERLINK("https://patents.google.com/patent/US20220042946","Google")</f>
        <v>0.0</v>
      </c>
      <c r="G994" s="2" t="n">
        <f>HYPERLINK("https://patentcenter.uspto.gov/applications/17504363","Patent Center")</f>
        <v>0.0</v>
      </c>
      <c r="H994" s="2" t="n">
        <f>HYPERLINK("https://worldwide.espacenet.com/patent/search?q=US20220042946","Espacenet")</f>
        <v>0.0</v>
      </c>
      <c r="I994" s="2" t="n">
        <f>HYPERLINK("https://ppubs.uspto.gov/pubwebapp/external.html?q=20220042946.pn.","USPTO")</f>
        <v>0.0</v>
      </c>
      <c r="J994" s="2" t="n">
        <f>HYPERLINK("https://image-ppubs.uspto.gov/dirsearch-public/print/downloadPdf/20220042946","USPTO PDF")</f>
        <v>0.0</v>
      </c>
      <c r="K994" s="2" t="n">
        <f>HYPERLINK("https://sectors.patentforecast.com/pmd/US20220042946","PMD")</f>
        <v>0.0</v>
      </c>
      <c r="L994" s="2" t="n">
        <f>HYPERLINK("https://globaldossier.uspto.gov/result/application/US/17504363/1","US20220042946")</f>
        <v>0.0</v>
      </c>
      <c r="M994" t="s">
        <v>6883</v>
      </c>
      <c r="N994" t="s">
        <v>6884</v>
      </c>
      <c r="O994" t="s">
        <v>6885</v>
      </c>
      <c r="P994" t="s">
        <v>6886</v>
      </c>
      <c r="Q994" s="3" t="n">
        <v>44487.0</v>
      </c>
      <c r="R994" s="3" t="n">
        <v>44602.0</v>
      </c>
      <c r="S994" s="3" t="n">
        <v>44603.188695578705</v>
      </c>
      <c r="T994" s="3" t="n">
        <v>44697.67887729167</v>
      </c>
      <c r="U994" t="s">
        <v>31</v>
      </c>
      <c r="V994" t="s">
        <v>6887</v>
      </c>
    </row>
    <row r="995">
      <c r="A995" t="s">
        <v>22</v>
      </c>
      <c r="B995" t="s">
        <v>6888</v>
      </c>
      <c r="C995" t="s">
        <v>24</v>
      </c>
      <c r="D995" t="s">
        <v>25</v>
      </c>
      <c r="E995" t="s">
        <v>6889</v>
      </c>
      <c r="F995" s="2" t="n">
        <f>HYPERLINK("https://patents.google.com/patent/US20220042944","Google")</f>
        <v>0.0</v>
      </c>
      <c r="G995" s="2" t="n">
        <f>HYPERLINK("https://patentcenter.uspto.gov/applications/17378167","Patent Center")</f>
        <v>0.0</v>
      </c>
      <c r="H995" s="2" t="n">
        <f>HYPERLINK("https://worldwide.espacenet.com/patent/search?q=US20220042944","Espacenet")</f>
        <v>0.0</v>
      </c>
      <c r="I995" s="2" t="n">
        <f>HYPERLINK("https://ppubs.uspto.gov/pubwebapp/external.html?q=20220042944.pn.","USPTO")</f>
        <v>0.0</v>
      </c>
      <c r="J995" s="2" t="n">
        <f>HYPERLINK("https://image-ppubs.uspto.gov/dirsearch-public/print/downloadPdf/20220042944","USPTO PDF")</f>
        <v>0.0</v>
      </c>
      <c r="K995" s="2" t="n">
        <f>HYPERLINK("https://sectors.patentforecast.com/pmd/US20220042944","PMD")</f>
        <v>0.0</v>
      </c>
      <c r="L995" s="2" t="n">
        <f>HYPERLINK("https://globaldossier.uspto.gov/result/application/US/17378167/1","US20220042944")</f>
        <v>0.0</v>
      </c>
      <c r="M995" t="s">
        <v>6890</v>
      </c>
      <c r="N995" t="s">
        <v>6891</v>
      </c>
      <c r="O995" t="s">
        <v>6892</v>
      </c>
      <c r="P995" t="s">
        <v>6893</v>
      </c>
      <c r="Q995" s="3" t="n">
        <v>44393.0</v>
      </c>
      <c r="R995" s="3" t="n">
        <v>44602.0</v>
      </c>
      <c r="S995" s="3" t="n">
        <v>44603.188695578705</v>
      </c>
      <c r="T995" s="3" t="n">
        <v>44697.679111446756</v>
      </c>
      <c r="U995" t="s">
        <v>6894</v>
      </c>
      <c r="V995" t="s">
        <v>6895</v>
      </c>
    </row>
    <row r="996">
      <c r="A996" t="s">
        <v>22</v>
      </c>
      <c r="B996" t="s">
        <v>6896</v>
      </c>
      <c r="C996" t="s">
        <v>24</v>
      </c>
      <c r="D996" t="s">
        <v>69</v>
      </c>
      <c r="E996" t="s">
        <v>6897</v>
      </c>
      <c r="F996" s="2" t="n">
        <f>HYPERLINK("https://patents.google.com/patent/US20220042692","Google")</f>
        <v>0.0</v>
      </c>
      <c r="G996" s="2" t="n">
        <f>HYPERLINK("https://patentcenter.uspto.gov/applications/17398159","Patent Center")</f>
        <v>0.0</v>
      </c>
      <c r="H996" s="2" t="n">
        <f>HYPERLINK("https://worldwide.espacenet.com/patent/search?q=US20220042692","Espacenet")</f>
        <v>0.0</v>
      </c>
      <c r="I996" s="2" t="n">
        <f>HYPERLINK("https://ppubs.uspto.gov/pubwebapp/external.html?q=20220042692.pn.","USPTO")</f>
        <v>0.0</v>
      </c>
      <c r="J996" s="2" t="n">
        <f>HYPERLINK("https://image-ppubs.uspto.gov/dirsearch-public/print/downloadPdf/20220042692","USPTO PDF")</f>
        <v>0.0</v>
      </c>
      <c r="K996" s="2" t="n">
        <f>HYPERLINK("https://sectors.patentforecast.com/pmd/US20220042692","PMD")</f>
        <v>0.0</v>
      </c>
      <c r="L996" s="2" t="n">
        <f>HYPERLINK("https://globaldossier.uspto.gov/result/application/US/17398159/1","US20220042692")</f>
        <v>0.0</v>
      </c>
      <c r="M996" t="s">
        <v>6898</v>
      </c>
      <c r="N996" t="s">
        <v>6899</v>
      </c>
      <c r="O996" t="s">
        <v>6900</v>
      </c>
      <c r="P996" t="s">
        <v>6901</v>
      </c>
      <c r="Q996" s="3" t="n">
        <v>44418.0</v>
      </c>
      <c r="R996" s="3" t="n">
        <v>44602.0</v>
      </c>
      <c r="S996" s="3" t="n">
        <v>44603.188695578705</v>
      </c>
      <c r="T996" s="3" t="n">
        <v>44697.6807787963</v>
      </c>
      <c r="U996" t="s">
        <v>31</v>
      </c>
      <c r="V996" t="s">
        <v>6902</v>
      </c>
    </row>
    <row r="997">
      <c r="A997" t="s">
        <v>22</v>
      </c>
      <c r="B997" t="s">
        <v>6903</v>
      </c>
      <c r="C997" t="s">
        <v>24</v>
      </c>
      <c r="D997" t="s">
        <v>34</v>
      </c>
      <c r="E997" t="s">
        <v>6904</v>
      </c>
      <c r="F997" s="2" t="n">
        <f>HYPERLINK("https://patents.google.com/patent/US20220042118","Google")</f>
        <v>0.0</v>
      </c>
      <c r="G997" s="2" t="n">
        <f>HYPERLINK("https://patentcenter.uspto.gov/applications/17395242","Patent Center")</f>
        <v>0.0</v>
      </c>
      <c r="H997" s="2" t="n">
        <f>HYPERLINK("https://worldwide.espacenet.com/patent/search?q=US20220042118","Espacenet")</f>
        <v>0.0</v>
      </c>
      <c r="I997" s="2" t="n">
        <f>HYPERLINK("https://ppubs.uspto.gov/pubwebapp/external.html?q=20220042118.pn.","USPTO")</f>
        <v>0.0</v>
      </c>
      <c r="J997" s="2" t="n">
        <f>HYPERLINK("https://image-ppubs.uspto.gov/dirsearch-public/print/downloadPdf/20220042118","USPTO PDF")</f>
        <v>0.0</v>
      </c>
      <c r="K997" s="2" t="n">
        <f>HYPERLINK("https://sectors.patentforecast.com/pmd/US20220042118","PMD")</f>
        <v>0.0</v>
      </c>
      <c r="L997" s="2" t="n">
        <f>HYPERLINK("https://globaldossier.uspto.gov/result/application/US/17395242/1","US20220042118")</f>
        <v>0.0</v>
      </c>
      <c r="M997" t="s">
        <v>6905</v>
      </c>
      <c r="N997" t="s">
        <v>6906</v>
      </c>
      <c r="O997" t="s">
        <v>6907</v>
      </c>
      <c r="P997" t="s">
        <v>6908</v>
      </c>
      <c r="Q997" s="3" t="n">
        <v>44413.0</v>
      </c>
      <c r="R997" s="3" t="n">
        <v>44602.0</v>
      </c>
      <c r="S997" s="3" t="n">
        <v>44603.188695578705</v>
      </c>
      <c r="T997" s="3" t="n">
        <v>44697.681148958334</v>
      </c>
      <c r="U997" t="s">
        <v>5807</v>
      </c>
      <c r="V997" t="s">
        <v>6909</v>
      </c>
    </row>
    <row r="998">
      <c r="A998" t="s">
        <v>22</v>
      </c>
      <c r="B998" t="s">
        <v>6910</v>
      </c>
      <c r="C998" t="s">
        <v>24</v>
      </c>
      <c r="D998" t="s">
        <v>25</v>
      </c>
      <c r="E998" t="s">
        <v>6911</v>
      </c>
      <c r="F998" s="2" t="n">
        <f>HYPERLINK("https://patents.google.com/patent/US20220042117","Google")</f>
        <v>0.0</v>
      </c>
      <c r="G998" s="2" t="n">
        <f>HYPERLINK("https://patentcenter.uspto.gov/applications/17393742","Patent Center")</f>
        <v>0.0</v>
      </c>
      <c r="H998" s="2" t="n">
        <f>HYPERLINK("https://worldwide.espacenet.com/patent/search?q=US20220042117","Espacenet")</f>
        <v>0.0</v>
      </c>
      <c r="I998" s="2" t="n">
        <f>HYPERLINK("https://ppubs.uspto.gov/pubwebapp/external.html?q=20220042117.pn.","USPTO")</f>
        <v>0.0</v>
      </c>
      <c r="J998" s="2" t="n">
        <f>HYPERLINK("https://image-ppubs.uspto.gov/dirsearch-public/print/downloadPdf/20220042117","USPTO PDF")</f>
        <v>0.0</v>
      </c>
      <c r="K998" s="2" t="n">
        <f>HYPERLINK("https://sectors.patentforecast.com/pmd/US20220042117","PMD")</f>
        <v>0.0</v>
      </c>
      <c r="L998" s="2" t="n">
        <f>HYPERLINK("https://globaldossier.uspto.gov/result/application/US/17393742/1","US20220042117")</f>
        <v>0.0</v>
      </c>
      <c r="M998" t="s">
        <v>6912</v>
      </c>
      <c r="N998" t="s">
        <v>5274</v>
      </c>
      <c r="O998" t="s">
        <v>5275</v>
      </c>
      <c r="P998" t="s">
        <v>6913</v>
      </c>
      <c r="Q998" s="3" t="n">
        <v>44412.0</v>
      </c>
      <c r="R998" s="3" t="n">
        <v>44602.0</v>
      </c>
      <c r="S998" s="3" t="n">
        <v>44603.188695578705</v>
      </c>
      <c r="T998" s="3" t="n">
        <v>44697.68152251157</v>
      </c>
      <c r="U998" t="s">
        <v>31</v>
      </c>
      <c r="V998" t="s">
        <v>6914</v>
      </c>
    </row>
    <row r="999">
      <c r="A999" t="s">
        <v>22</v>
      </c>
      <c r="B999" t="s">
        <v>6915</v>
      </c>
      <c r="C999" t="s">
        <v>24</v>
      </c>
      <c r="D999" t="s">
        <v>373</v>
      </c>
      <c r="E999" t="s">
        <v>6916</v>
      </c>
      <c r="F999" s="2" t="n">
        <f>HYPERLINK("https://patents.google.com/patent/US20220042116","Google")</f>
        <v>0.0</v>
      </c>
      <c r="G999" s="2" t="n">
        <f>HYPERLINK("https://patentcenter.uspto.gov/applications/17390252","Patent Center")</f>
        <v>0.0</v>
      </c>
      <c r="H999" s="2" t="n">
        <f>HYPERLINK("https://worldwide.espacenet.com/patent/search?q=US20220042116","Espacenet")</f>
        <v>0.0</v>
      </c>
      <c r="I999" s="2" t="n">
        <f>HYPERLINK("https://ppubs.uspto.gov/pubwebapp/external.html?q=20220042116.pn.","USPTO")</f>
        <v>0.0</v>
      </c>
      <c r="J999" s="2" t="n">
        <f>HYPERLINK("https://image-ppubs.uspto.gov/dirsearch-public/print/downloadPdf/20220042116","USPTO PDF")</f>
        <v>0.0</v>
      </c>
      <c r="K999" s="2" t="n">
        <f>HYPERLINK("https://sectors.patentforecast.com/pmd/US20220042116","PMD")</f>
        <v>0.0</v>
      </c>
      <c r="L999" s="2" t="n">
        <f>HYPERLINK("https://globaldossier.uspto.gov/result/application/US/17390252/1","US20220042116")</f>
        <v>0.0</v>
      </c>
      <c r="M999" t="s">
        <v>6917</v>
      </c>
      <c r="N999" t="s">
        <v>6918</v>
      </c>
      <c r="O999" t="s">
        <v>6919</v>
      </c>
      <c r="P999" t="s">
        <v>6920</v>
      </c>
      <c r="Q999" s="3" t="n">
        <v>44407.0</v>
      </c>
      <c r="R999" s="3" t="n">
        <v>44602.0</v>
      </c>
      <c r="S999" s="3" t="n">
        <v>44603.188695578705</v>
      </c>
      <c r="T999" s="3" t="n">
        <v>44697.686892129626</v>
      </c>
      <c r="U999" t="s">
        <v>6921</v>
      </c>
      <c r="V999" t="s">
        <v>6922</v>
      </c>
    </row>
    <row r="1000">
      <c r="A1000" t="s">
        <v>22</v>
      </c>
      <c r="B1000" t="s">
        <v>6923</v>
      </c>
      <c r="C1000" t="s">
        <v>24</v>
      </c>
      <c r="D1000" t="s">
        <v>25</v>
      </c>
      <c r="E1000" t="s">
        <v>6924</v>
      </c>
      <c r="F1000" s="2" t="n">
        <f>HYPERLINK("https://patents.google.com/patent/US20220042084","Google")</f>
        <v>0.0</v>
      </c>
      <c r="G1000" s="2" t="n">
        <f>HYPERLINK("https://patentcenter.uspto.gov/applications/17396579","Patent Center")</f>
        <v>0.0</v>
      </c>
      <c r="H1000" s="2" t="n">
        <f>HYPERLINK("https://worldwide.espacenet.com/patent/search?q=US20220042084","Espacenet")</f>
        <v>0.0</v>
      </c>
      <c r="I1000" s="2" t="n">
        <f>HYPERLINK("https://ppubs.uspto.gov/pubwebapp/external.html?q=20220042084.pn.","USPTO")</f>
        <v>0.0</v>
      </c>
      <c r="J1000" s="2" t="n">
        <f>HYPERLINK("https://image-ppubs.uspto.gov/dirsearch-public/print/downloadPdf/20220042084","USPTO PDF")</f>
        <v>0.0</v>
      </c>
      <c r="K1000" s="2" t="n">
        <f>HYPERLINK("https://sectors.patentforecast.com/pmd/US20220042084","PMD")</f>
        <v>0.0</v>
      </c>
      <c r="L1000" s="2" t="n">
        <f>HYPERLINK("https://globaldossier.uspto.gov/result/application/US/17396579/1","US20220042084")</f>
        <v>0.0</v>
      </c>
      <c r="M1000" t="s">
        <v>6925</v>
      </c>
      <c r="N1000" t="s">
        <v>6926</v>
      </c>
      <c r="O1000" t="s">
        <v>6927</v>
      </c>
      <c r="P1000" t="s">
        <v>6928</v>
      </c>
      <c r="Q1000" s="3" t="n">
        <v>44414.0</v>
      </c>
      <c r="R1000" s="3" t="n">
        <v>44602.0</v>
      </c>
      <c r="S1000" s="3" t="n">
        <v>44603.188695578705</v>
      </c>
      <c r="T1000" s="3" t="n">
        <v>44697.69207942129</v>
      </c>
      <c r="U1000" t="s">
        <v>6929</v>
      </c>
      <c r="V1000" t="s">
        <v>6930</v>
      </c>
    </row>
    <row r="1001">
      <c r="A1001" t="s">
        <v>22</v>
      </c>
      <c r="B1001" t="s">
        <v>6931</v>
      </c>
      <c r="C1001" t="s">
        <v>24</v>
      </c>
      <c r="D1001" t="s">
        <v>25</v>
      </c>
      <c r="E1001" t="s">
        <v>6932</v>
      </c>
      <c r="F1001" s="2" t="n">
        <f>HYPERLINK("https://patents.google.com/patent/US20220042083","Google")</f>
        <v>0.0</v>
      </c>
      <c r="G1001" s="2" t="n">
        <f>HYPERLINK("https://patentcenter.uspto.gov/applications/17396575","Patent Center")</f>
        <v>0.0</v>
      </c>
      <c r="H1001" s="2" t="n">
        <f>HYPERLINK("https://worldwide.espacenet.com/patent/search?q=US20220042083","Espacenet")</f>
        <v>0.0</v>
      </c>
      <c r="I1001" s="2" t="n">
        <f>HYPERLINK("https://ppubs.uspto.gov/pubwebapp/external.html?q=20220042083.pn.","USPTO")</f>
        <v>0.0</v>
      </c>
      <c r="J1001" s="2" t="n">
        <f>HYPERLINK("https://image-ppubs.uspto.gov/dirsearch-public/print/downloadPdf/20220042083","USPTO PDF")</f>
        <v>0.0</v>
      </c>
      <c r="K1001" s="2" t="n">
        <f>HYPERLINK("https://sectors.patentforecast.com/pmd/US20220042083","PMD")</f>
        <v>0.0</v>
      </c>
      <c r="L1001" s="2" t="n">
        <f>HYPERLINK("https://globaldossier.uspto.gov/result/application/US/17396575/1","US20220042083")</f>
        <v>0.0</v>
      </c>
      <c r="M1001" t="s">
        <v>6933</v>
      </c>
      <c r="N1001" t="s">
        <v>6926</v>
      </c>
      <c r="O1001" t="s">
        <v>6927</v>
      </c>
      <c r="P1001" t="s">
        <v>6934</v>
      </c>
      <c r="Q1001" s="3" t="n">
        <v>44414.0</v>
      </c>
      <c r="R1001" s="3" t="n">
        <v>44602.0</v>
      </c>
      <c r="S1001" s="3" t="n">
        <v>44603.188695578705</v>
      </c>
      <c r="T1001" s="3" t="n">
        <v>44697.69409369213</v>
      </c>
      <c r="U1001" t="s">
        <v>6935</v>
      </c>
      <c r="V1001" t="s">
        <v>6936</v>
      </c>
    </row>
    <row r="1002">
      <c r="A1002" t="s">
        <v>22</v>
      </c>
      <c r="B1002" t="s">
        <v>6937</v>
      </c>
      <c r="C1002" t="s">
        <v>6630</v>
      </c>
      <c r="D1002" t="s">
        <v>6938</v>
      </c>
      <c r="E1002" t="s">
        <v>6939</v>
      </c>
      <c r="F1002" s="2" t="n">
        <f>HYPERLINK("https://patents.google.com/patent/US20220042048","Google")</f>
        <v>0.0</v>
      </c>
      <c r="G1002" s="2" t="n">
        <f>HYPERLINK("https://patentcenter.uspto.gov/applications/17407606","Patent Center")</f>
        <v>0.0</v>
      </c>
      <c r="H1002" s="2" t="n">
        <f>HYPERLINK("https://worldwide.espacenet.com/patent/search?q=US20220042048","Espacenet")</f>
        <v>0.0</v>
      </c>
      <c r="I1002" s="2" t="n">
        <f>HYPERLINK("https://ppubs.uspto.gov/pubwebapp/external.html?q=20220042048.pn.","USPTO")</f>
        <v>0.0</v>
      </c>
      <c r="J1002" s="2" t="n">
        <f>HYPERLINK("https://image-ppubs.uspto.gov/dirsearch-public/print/downloadPdf/20220042048","USPTO PDF")</f>
        <v>0.0</v>
      </c>
      <c r="K1002" s="2" t="n">
        <f>HYPERLINK("https://sectors.patentforecast.com/pmd/US20220042048","PMD")</f>
        <v>0.0</v>
      </c>
      <c r="L1002" s="2" t="n">
        <f>HYPERLINK("https://globaldossier.uspto.gov/result/application/US/17407606/1","US20220042048")</f>
        <v>0.0</v>
      </c>
      <c r="M1002" t="s">
        <v>6940</v>
      </c>
      <c r="N1002" t="s">
        <v>1649</v>
      </c>
      <c r="O1002" t="s">
        <v>1650</v>
      </c>
      <c r="P1002" t="s">
        <v>6941</v>
      </c>
      <c r="Q1002" s="3" t="n">
        <v>44428.0</v>
      </c>
      <c r="R1002" s="3" t="n">
        <v>44602.0</v>
      </c>
      <c r="S1002" s="3" t="n">
        <v>44603.188695578705</v>
      </c>
      <c r="T1002" s="3" t="n">
        <v>44697.737865219904</v>
      </c>
      <c r="U1002" t="s">
        <v>6942</v>
      </c>
      <c r="V1002" t="s">
        <v>6943</v>
      </c>
    </row>
    <row r="1003">
      <c r="A1003" t="s">
        <v>22</v>
      </c>
      <c r="B1003" t="s">
        <v>6944</v>
      </c>
      <c r="C1003" t="s">
        <v>24</v>
      </c>
      <c r="D1003" t="s">
        <v>69</v>
      </c>
      <c r="E1003" t="s">
        <v>6945</v>
      </c>
      <c r="F1003" s="2" t="n">
        <f>HYPERLINK("https://patents.google.com/patent/US20220041742","Google")</f>
        <v>0.0</v>
      </c>
      <c r="G1003" s="2" t="n">
        <f>HYPERLINK("https://patentcenter.uspto.gov/applications/17317789","Patent Center")</f>
        <v>0.0</v>
      </c>
      <c r="H1003" s="2" t="n">
        <f>HYPERLINK("https://worldwide.espacenet.com/patent/search?q=US20220041742","Espacenet")</f>
        <v>0.0</v>
      </c>
      <c r="I1003" s="2" t="n">
        <f>HYPERLINK("https://ppubs.uspto.gov/pubwebapp/external.html?q=20220041742.pn.","USPTO")</f>
        <v>0.0</v>
      </c>
      <c r="J1003" s="2" t="n">
        <f>HYPERLINK("https://image-ppubs.uspto.gov/dirsearch-public/print/downloadPdf/20220041742","USPTO PDF")</f>
        <v>0.0</v>
      </c>
      <c r="K1003" s="2" t="n">
        <f>HYPERLINK("https://sectors.patentforecast.com/pmd/US20220041742","PMD")</f>
        <v>0.0</v>
      </c>
      <c r="L1003" s="2" t="n">
        <f>HYPERLINK("https://globaldossier.uspto.gov/result/application/US/17317789/1","US20220041742")</f>
        <v>0.0</v>
      </c>
      <c r="M1003" t="s">
        <v>6946</v>
      </c>
      <c r="N1003" t="s">
        <v>6947</v>
      </c>
      <c r="O1003" t="s">
        <v>6948</v>
      </c>
      <c r="P1003" t="s">
        <v>6949</v>
      </c>
      <c r="Q1003" s="3" t="n">
        <v>44327.0</v>
      </c>
      <c r="R1003" s="3" t="n">
        <v>44602.0</v>
      </c>
      <c r="S1003" s="3" t="n">
        <v>44603.188695578705</v>
      </c>
      <c r="T1003" s="3" t="n">
        <v>44697.70214148148</v>
      </c>
      <c r="U1003" t="s">
        <v>31</v>
      </c>
      <c r="V1003" t="s">
        <v>6950</v>
      </c>
    </row>
    <row r="1004">
      <c r="A1004" t="s">
        <v>22</v>
      </c>
      <c r="B1004" t="s">
        <v>6951</v>
      </c>
      <c r="C1004" t="s">
        <v>1292</v>
      </c>
      <c r="D1004" t="s">
        <v>1316</v>
      </c>
      <c r="E1004" t="s">
        <v>6952</v>
      </c>
      <c r="F1004" s="2" t="n">
        <f>HYPERLINK("https://patents.google.com/patent/US20220041715","Google")</f>
        <v>0.0</v>
      </c>
      <c r="G1004" s="2" t="n">
        <f>HYPERLINK("https://patentcenter.uspto.gov/applications/17386504","Patent Center")</f>
        <v>0.0</v>
      </c>
      <c r="H1004" s="2" t="n">
        <f>HYPERLINK("https://worldwide.espacenet.com/patent/search?q=US20220041715","Espacenet")</f>
        <v>0.0</v>
      </c>
      <c r="I1004" s="2" t="n">
        <f>HYPERLINK("https://ppubs.uspto.gov/pubwebapp/external.html?q=20220041715.pn.","USPTO")</f>
        <v>0.0</v>
      </c>
      <c r="J1004" s="2" t="n">
        <f>HYPERLINK("https://image-ppubs.uspto.gov/dirsearch-public/print/downloadPdf/20220041715","USPTO PDF")</f>
        <v>0.0</v>
      </c>
      <c r="K1004" s="2" t="n">
        <f>HYPERLINK("https://sectors.patentforecast.com/pmd/US20220041715","PMD")</f>
        <v>0.0</v>
      </c>
      <c r="L1004" s="2" t="n">
        <f>HYPERLINK("https://globaldossier.uspto.gov/result/application/US/17386504/1","US20220041715")</f>
        <v>0.0</v>
      </c>
      <c r="M1004" t="s">
        <v>6953</v>
      </c>
      <c r="N1004" t="s">
        <v>5253</v>
      </c>
      <c r="O1004" t="s">
        <v>5254</v>
      </c>
      <c r="P1004" t="s">
        <v>5255</v>
      </c>
      <c r="Q1004" s="3" t="n">
        <v>44404.0</v>
      </c>
      <c r="R1004" s="3" t="n">
        <v>44602.0</v>
      </c>
      <c r="S1004" s="3" t="n">
        <v>44603.188695578705</v>
      </c>
      <c r="T1004" s="3" t="n">
        <v>44697.70664650463</v>
      </c>
      <c r="U1004" t="s">
        <v>31</v>
      </c>
      <c r="V1004" t="s">
        <v>6954</v>
      </c>
    </row>
    <row r="1005">
      <c r="A1005" t="s">
        <v>22</v>
      </c>
      <c r="B1005" t="s">
        <v>6955</v>
      </c>
      <c r="C1005" t="s">
        <v>60</v>
      </c>
      <c r="D1005" t="s">
        <v>77</v>
      </c>
      <c r="E1005" t="s">
        <v>6956</v>
      </c>
      <c r="F1005" s="2" t="n">
        <f>HYPERLINK("https://patents.google.com/patent/US20220041694","Google")</f>
        <v>0.0</v>
      </c>
      <c r="G1005" s="2" t="n">
        <f>HYPERLINK("https://patentcenter.uspto.gov/applications/17397203","Patent Center")</f>
        <v>0.0</v>
      </c>
      <c r="H1005" s="2" t="n">
        <f>HYPERLINK("https://worldwide.espacenet.com/patent/search?q=US20220041694","Espacenet")</f>
        <v>0.0</v>
      </c>
      <c r="I1005" s="2" t="n">
        <f>HYPERLINK("https://ppubs.uspto.gov/pubwebapp/external.html?q=20220041694.pn.","USPTO")</f>
        <v>0.0</v>
      </c>
      <c r="J1005" s="2" t="n">
        <f>HYPERLINK("https://image-ppubs.uspto.gov/dirsearch-public/print/downloadPdf/20220041694","USPTO PDF")</f>
        <v>0.0</v>
      </c>
      <c r="K1005" s="2" t="n">
        <f>HYPERLINK("https://sectors.patentforecast.com/pmd/US20220041694","PMD")</f>
        <v>0.0</v>
      </c>
      <c r="L1005" s="2" t="n">
        <f>HYPERLINK("https://globaldossier.uspto.gov/result/application/US/17397203/1","US20220041694")</f>
        <v>0.0</v>
      </c>
      <c r="M1005" t="s">
        <v>6957</v>
      </c>
      <c r="N1005" t="s">
        <v>6958</v>
      </c>
      <c r="O1005" t="s">
        <v>6959</v>
      </c>
      <c r="P1005" t="s">
        <v>6960</v>
      </c>
      <c r="Q1005" s="3" t="n">
        <v>44417.0</v>
      </c>
      <c r="R1005" s="3" t="n">
        <v>44602.0</v>
      </c>
      <c r="S1005" s="3" t="n">
        <v>44603.188695578705</v>
      </c>
      <c r="T1005" s="3" t="n">
        <v>44678.54380803241</v>
      </c>
      <c r="U1005" t="s">
        <v>31</v>
      </c>
      <c r="V1005" t="s">
        <v>6961</v>
      </c>
    </row>
    <row r="1006">
      <c r="A1006" t="s">
        <v>22</v>
      </c>
      <c r="B1006" t="s">
        <v>6962</v>
      </c>
      <c r="C1006" t="s">
        <v>561</v>
      </c>
      <c r="D1006" t="s">
        <v>616</v>
      </c>
      <c r="E1006" t="s">
        <v>6963</v>
      </c>
      <c r="F1006" s="2" t="n">
        <f>HYPERLINK("https://patents.google.com/patent/US20220041660","Google")</f>
        <v>0.0</v>
      </c>
      <c r="G1006" s="2" t="n">
        <f>HYPERLINK("https://patentcenter.uspto.gov/applications/17396006","Patent Center")</f>
        <v>0.0</v>
      </c>
      <c r="H1006" s="2" t="n">
        <f>HYPERLINK("https://worldwide.espacenet.com/patent/search?q=US20220041660","Espacenet")</f>
        <v>0.0</v>
      </c>
      <c r="I1006" s="2" t="n">
        <f>HYPERLINK("https://ppubs.uspto.gov/pubwebapp/external.html?q=20220041660.pn.","USPTO")</f>
        <v>0.0</v>
      </c>
      <c r="J1006" s="2" t="n">
        <f>HYPERLINK("https://image-ppubs.uspto.gov/dirsearch-public/print/downloadPdf/20220041660","USPTO PDF")</f>
        <v>0.0</v>
      </c>
      <c r="K1006" s="2" t="n">
        <f>HYPERLINK("https://sectors.patentforecast.com/pmd/US20220041660","PMD")</f>
        <v>0.0</v>
      </c>
      <c r="L1006" s="2" t="n">
        <f>HYPERLINK("https://globaldossier.uspto.gov/result/application/US/17396006/1","US20220041660")</f>
        <v>0.0</v>
      </c>
      <c r="M1006" t="s">
        <v>6964</v>
      </c>
      <c r="N1006" t="s">
        <v>6965</v>
      </c>
      <c r="O1006" t="s">
        <v>6966</v>
      </c>
      <c r="P1006" t="s">
        <v>6967</v>
      </c>
      <c r="Q1006" s="3" t="n">
        <v>44414.0</v>
      </c>
      <c r="R1006" s="3" t="n">
        <v>44602.0</v>
      </c>
      <c r="S1006" s="3" t="n">
        <v>44603.18776271991</v>
      </c>
      <c r="T1006" s="3" t="n">
        <v>44697.71224228009</v>
      </c>
      <c r="U1006" t="s">
        <v>31</v>
      </c>
      <c r="V1006" t="s">
        <v>6968</v>
      </c>
    </row>
    <row r="1007">
      <c r="A1007" t="s">
        <v>22</v>
      </c>
      <c r="B1007" t="s">
        <v>6969</v>
      </c>
      <c r="C1007" t="s">
        <v>60</v>
      </c>
      <c r="D1007" t="s">
        <v>61</v>
      </c>
      <c r="E1007" t="s">
        <v>6970</v>
      </c>
      <c r="F1007" s="2" t="n">
        <f>HYPERLINK("https://patents.google.com/patent/US20220041585","Google")</f>
        <v>0.0</v>
      </c>
      <c r="G1007" s="2" t="n">
        <f>HYPERLINK("https://patentcenter.uspto.gov/applications/17375635","Patent Center")</f>
        <v>0.0</v>
      </c>
      <c r="H1007" s="2" t="n">
        <f>HYPERLINK("https://worldwide.espacenet.com/patent/search?q=US20220041585","Espacenet")</f>
        <v>0.0</v>
      </c>
      <c r="I1007" s="2" t="n">
        <f>HYPERLINK("https://ppubs.uspto.gov/pubwebapp/external.html?q=20220041585.pn.","USPTO")</f>
        <v>0.0</v>
      </c>
      <c r="J1007" s="2" t="n">
        <f>HYPERLINK("https://image-ppubs.uspto.gov/dirsearch-public/print/downloadPdf/20220041585","USPTO PDF")</f>
        <v>0.0</v>
      </c>
      <c r="K1007" s="2" t="n">
        <f>HYPERLINK("https://sectors.patentforecast.com/pmd/US20220041585","PMD")</f>
        <v>0.0</v>
      </c>
      <c r="L1007" s="2" t="n">
        <f>HYPERLINK("https://globaldossier.uspto.gov/result/application/US/17375635/1","US20220041585")</f>
        <v>0.0</v>
      </c>
      <c r="M1007" t="s">
        <v>6971</v>
      </c>
      <c r="N1007" t="s">
        <v>6972</v>
      </c>
      <c r="O1007" t="s">
        <v>6973</v>
      </c>
      <c r="P1007" t="s">
        <v>6974</v>
      </c>
      <c r="Q1007" s="3" t="n">
        <v>44391.0</v>
      </c>
      <c r="R1007" s="3" t="n">
        <v>44602.0</v>
      </c>
      <c r="S1007" s="3" t="n">
        <v>44603.188695578705</v>
      </c>
      <c r="T1007" s="3" t="n">
        <v>44638.69112454861</v>
      </c>
      <c r="U1007" t="s">
        <v>6975</v>
      </c>
      <c r="V1007" t="s">
        <v>6976</v>
      </c>
    </row>
    <row r="1008">
      <c r="A1008" t="s">
        <v>22</v>
      </c>
      <c r="B1008" t="s">
        <v>6977</v>
      </c>
      <c r="C1008" t="s">
        <v>24</v>
      </c>
      <c r="D1008" t="s">
        <v>69</v>
      </c>
      <c r="E1008" t="s">
        <v>6978</v>
      </c>
      <c r="F1008" s="2" t="n">
        <f>HYPERLINK("https://patents.google.com/patent/US20220041288","Google")</f>
        <v>0.0</v>
      </c>
      <c r="G1008" s="2" t="n">
        <f>HYPERLINK("https://patentcenter.uspto.gov/applications/17332078","Patent Center")</f>
        <v>0.0</v>
      </c>
      <c r="H1008" s="2" t="n">
        <f>HYPERLINK("https://worldwide.espacenet.com/patent/search?q=US20220041288","Espacenet")</f>
        <v>0.0</v>
      </c>
      <c r="I1008" s="2" t="n">
        <f>HYPERLINK("https://ppubs.uspto.gov/pubwebapp/external.html?q=20220041288.pn.","USPTO")</f>
        <v>0.0</v>
      </c>
      <c r="J1008" s="2" t="n">
        <f>HYPERLINK("https://image-ppubs.uspto.gov/dirsearch-public/print/downloadPdf/20220041288","USPTO PDF")</f>
        <v>0.0</v>
      </c>
      <c r="K1008" s="2" t="n">
        <f>HYPERLINK("https://sectors.patentforecast.com/pmd/US20220041288","PMD")</f>
        <v>0.0</v>
      </c>
      <c r="L1008" s="2" t="n">
        <f>HYPERLINK("https://globaldossier.uspto.gov/result/application/US/17332078/1","US20220041288")</f>
        <v>0.0</v>
      </c>
      <c r="M1008" t="s">
        <v>6979</v>
      </c>
      <c r="N1008" t="s">
        <v>6980</v>
      </c>
      <c r="O1008" t="s">
        <v>6981</v>
      </c>
      <c r="P1008" t="s">
        <v>6982</v>
      </c>
      <c r="Q1008" s="3" t="n">
        <v>44343.0</v>
      </c>
      <c r="R1008" s="3" t="n">
        <v>44602.0</v>
      </c>
      <c r="S1008" s="3" t="n">
        <v>44603.188695578705</v>
      </c>
      <c r="T1008" s="3" t="n">
        <v>44697.711949571756</v>
      </c>
      <c r="U1008" t="s">
        <v>6983</v>
      </c>
      <c r="V1008" t="s">
        <v>6984</v>
      </c>
    </row>
    <row r="1009">
      <c r="A1009" t="s">
        <v>22</v>
      </c>
      <c r="B1009" t="s">
        <v>6985</v>
      </c>
      <c r="C1009" t="s">
        <v>24</v>
      </c>
      <c r="D1009" t="s">
        <v>69</v>
      </c>
      <c r="E1009" t="s">
        <v>6986</v>
      </c>
      <c r="F1009" s="2" t="n">
        <f>HYPERLINK("https://patents.google.com/patent/US20220041287","Google")</f>
        <v>0.0</v>
      </c>
      <c r="G1009" s="2" t="n">
        <f>HYPERLINK("https://patentcenter.uspto.gov/applications/17232895","Patent Center")</f>
        <v>0.0</v>
      </c>
      <c r="H1009" s="2" t="n">
        <f>HYPERLINK("https://worldwide.espacenet.com/patent/search?q=US20220041287","Espacenet")</f>
        <v>0.0</v>
      </c>
      <c r="I1009" s="2" t="n">
        <f>HYPERLINK("https://ppubs.uspto.gov/pubwebapp/external.html?q=20220041287.pn.","USPTO")</f>
        <v>0.0</v>
      </c>
      <c r="J1009" s="2" t="n">
        <f>HYPERLINK("https://image-ppubs.uspto.gov/dirsearch-public/print/downloadPdf/20220041287","USPTO PDF")</f>
        <v>0.0</v>
      </c>
      <c r="K1009" s="2" t="n">
        <f>HYPERLINK("https://sectors.patentforecast.com/pmd/US20220041287","PMD")</f>
        <v>0.0</v>
      </c>
      <c r="L1009" s="2" t="n">
        <f>HYPERLINK("https://globaldossier.uspto.gov/result/application/US/17232895/1","US20220041287")</f>
        <v>0.0</v>
      </c>
      <c r="M1009" t="s">
        <v>6987</v>
      </c>
      <c r="N1009" t="s">
        <v>6988</v>
      </c>
      <c r="O1009" t="s">
        <v>6989</v>
      </c>
      <c r="P1009" t="s">
        <v>6990</v>
      </c>
      <c r="Q1009" s="3" t="n">
        <v>44302.0</v>
      </c>
      <c r="R1009" s="3" t="n">
        <v>44602.0</v>
      </c>
      <c r="S1009" s="3" t="n">
        <v>44603.188695578705</v>
      </c>
      <c r="T1009" s="3" t="n">
        <v>44697.71386321759</v>
      </c>
      <c r="U1009" t="s">
        <v>6991</v>
      </c>
      <c r="V1009" t="s">
        <v>6992</v>
      </c>
    </row>
    <row r="1010">
      <c r="A1010" t="s">
        <v>22</v>
      </c>
      <c r="B1010" t="s">
        <v>6993</v>
      </c>
      <c r="C1010" t="s">
        <v>24</v>
      </c>
      <c r="D1010" t="s">
        <v>258</v>
      </c>
      <c r="E1010" t="s">
        <v>6994</v>
      </c>
      <c r="F1010" s="2" t="n">
        <f>HYPERLINK("https://patents.google.com/patent/US20220041100","Google")</f>
        <v>0.0</v>
      </c>
      <c r="G1010" s="2" t="n">
        <f>HYPERLINK("https://patentcenter.uspto.gov/applications/17395383","Patent Center")</f>
        <v>0.0</v>
      </c>
      <c r="H1010" s="2" t="n">
        <f>HYPERLINK("https://worldwide.espacenet.com/patent/search?q=US20220041100","Espacenet")</f>
        <v>0.0</v>
      </c>
      <c r="I1010" s="2" t="n">
        <f>HYPERLINK("https://ppubs.uspto.gov/pubwebapp/external.html?q=20220041100.pn.","USPTO")</f>
        <v>0.0</v>
      </c>
      <c r="J1010" s="2" t="n">
        <f>HYPERLINK("https://image-ppubs.uspto.gov/dirsearch-public/print/downloadPdf/20220041100","USPTO PDF")</f>
        <v>0.0</v>
      </c>
      <c r="K1010" s="2" t="n">
        <f>HYPERLINK("https://sectors.patentforecast.com/pmd/US20220041100","PMD")</f>
        <v>0.0</v>
      </c>
      <c r="L1010" s="2" t="n">
        <f>HYPERLINK("https://globaldossier.uspto.gov/result/application/US/17395383/1","US20220041100")</f>
        <v>0.0</v>
      </c>
      <c r="M1010" t="s">
        <v>6995</v>
      </c>
      <c r="N1010" t="s">
        <v>6996</v>
      </c>
      <c r="O1010" t="s">
        <v>6997</v>
      </c>
      <c r="P1010" t="s">
        <v>6998</v>
      </c>
      <c r="Q1010" s="3" t="n">
        <v>44413.0</v>
      </c>
      <c r="R1010" s="3" t="n">
        <v>44602.0</v>
      </c>
      <c r="S1010" s="3" t="n">
        <v>44603.188695578705</v>
      </c>
      <c r="T1010" s="3" t="n">
        <v>44697.71630701389</v>
      </c>
      <c r="U1010" t="s">
        <v>6999</v>
      </c>
      <c r="V1010" t="s">
        <v>7000</v>
      </c>
    </row>
    <row r="1011">
      <c r="A1011" t="s">
        <v>22</v>
      </c>
      <c r="B1011" t="s">
        <v>7001</v>
      </c>
      <c r="C1011" t="s">
        <v>24</v>
      </c>
      <c r="D1011" t="s">
        <v>69</v>
      </c>
      <c r="E1011" t="s">
        <v>7002</v>
      </c>
      <c r="F1011" s="2" t="n">
        <f>HYPERLINK("https://patents.google.com/patent/US20220041092","Google")</f>
        <v>0.0</v>
      </c>
      <c r="G1011" s="2" t="n">
        <f>HYPERLINK("https://patentcenter.uspto.gov/applications/16873930","Patent Center")</f>
        <v>0.0</v>
      </c>
      <c r="H1011" s="2" t="n">
        <f>HYPERLINK("https://worldwide.espacenet.com/patent/search?q=US20220041092","Espacenet")</f>
        <v>0.0</v>
      </c>
      <c r="I1011" s="2" t="n">
        <f>HYPERLINK("https://ppubs.uspto.gov/pubwebapp/external.html?q=20220041092.pn.","USPTO")</f>
        <v>0.0</v>
      </c>
      <c r="J1011" s="2" t="n">
        <f>HYPERLINK("https://image-ppubs.uspto.gov/dirsearch-public/print/downloadPdf/20220041092","USPTO PDF")</f>
        <v>0.0</v>
      </c>
      <c r="K1011" s="2" t="n">
        <f>HYPERLINK("https://sectors.patentforecast.com/pmd/US20220041092","PMD")</f>
        <v>0.0</v>
      </c>
      <c r="L1011" s="2" t="n">
        <f>HYPERLINK("https://globaldossier.uspto.gov/result/application/US/16873930/1","US20220041092")</f>
        <v>0.0</v>
      </c>
      <c r="M1011" t="s">
        <v>7003</v>
      </c>
      <c r="N1011" t="s">
        <v>7004</v>
      </c>
      <c r="O1011" t="s">
        <v>7004</v>
      </c>
      <c r="P1011" t="s">
        <v>7005</v>
      </c>
      <c r="Q1011" s="3" t="n">
        <v>44048.0</v>
      </c>
      <c r="R1011" s="3" t="n">
        <v>44602.0</v>
      </c>
      <c r="S1011" s="3" t="n">
        <v>44603.188695578705</v>
      </c>
      <c r="T1011" s="3" t="n">
        <v>44697.721123159725</v>
      </c>
      <c r="U1011" t="s">
        <v>7006</v>
      </c>
      <c r="V1011" t="s">
        <v>7007</v>
      </c>
    </row>
    <row r="1012">
      <c r="A1012" t="s">
        <v>22</v>
      </c>
      <c r="B1012" t="s">
        <v>7008</v>
      </c>
      <c r="C1012" t="s">
        <v>24</v>
      </c>
      <c r="D1012" t="s">
        <v>34</v>
      </c>
      <c r="E1012" t="s">
        <v>7009</v>
      </c>
      <c r="F1012" s="2" t="n">
        <f>HYPERLINK("https://patents.google.com/patent/US20220040699","Google")</f>
        <v>0.0</v>
      </c>
      <c r="G1012" s="2" t="n">
        <f>HYPERLINK("https://patentcenter.uspto.gov/applications/17397517","Patent Center")</f>
        <v>0.0</v>
      </c>
      <c r="H1012" s="2" t="n">
        <f>HYPERLINK("https://worldwide.espacenet.com/patent/search?q=US20220040699","Espacenet")</f>
        <v>0.0</v>
      </c>
      <c r="I1012" s="2" t="n">
        <f>HYPERLINK("https://ppubs.uspto.gov/pubwebapp/external.html?q=20220040699.pn.","USPTO")</f>
        <v>0.0</v>
      </c>
      <c r="J1012" s="2" t="n">
        <f>HYPERLINK("https://image-ppubs.uspto.gov/dirsearch-public/print/downloadPdf/20220040699","USPTO PDF")</f>
        <v>0.0</v>
      </c>
      <c r="K1012" s="2" t="n">
        <f>HYPERLINK("https://sectors.patentforecast.com/pmd/US20220040699","PMD")</f>
        <v>0.0</v>
      </c>
      <c r="L1012" s="2" t="n">
        <f>HYPERLINK("https://globaldossier.uspto.gov/result/application/US/17397517/1","US20220040699")</f>
        <v>0.0</v>
      </c>
      <c r="M1012" t="s">
        <v>7010</v>
      </c>
      <c r="N1012" t="s">
        <v>330</v>
      </c>
      <c r="O1012" t="s">
        <v>331</v>
      </c>
      <c r="P1012" t="s">
        <v>7011</v>
      </c>
      <c r="Q1012" s="3" t="n">
        <v>44417.0</v>
      </c>
      <c r="R1012" s="3" t="n">
        <v>44602.0</v>
      </c>
      <c r="S1012" s="3" t="n">
        <v>44603.188695578705</v>
      </c>
      <c r="T1012" s="3" t="n">
        <v>44697.72314638889</v>
      </c>
      <c r="U1012" t="s">
        <v>7012</v>
      </c>
      <c r="V1012" t="s">
        <v>7013</v>
      </c>
    </row>
    <row r="1013">
      <c r="A1013" t="s">
        <v>22</v>
      </c>
      <c r="B1013" t="s">
        <v>7014</v>
      </c>
      <c r="C1013" t="s">
        <v>24</v>
      </c>
      <c r="D1013" t="s">
        <v>69</v>
      </c>
      <c r="E1013" t="s">
        <v>2753</v>
      </c>
      <c r="F1013" s="2" t="n">
        <f>HYPERLINK("https://patents.google.com/patent/US20220040615","Google")</f>
        <v>0.0</v>
      </c>
      <c r="G1013" s="2" t="n">
        <f>HYPERLINK("https://patentcenter.uspto.gov/applications/17392946","Patent Center")</f>
        <v>0.0</v>
      </c>
      <c r="H1013" s="2" t="n">
        <f>HYPERLINK("https://worldwide.espacenet.com/patent/search?q=US20220040615","Espacenet")</f>
        <v>0.0</v>
      </c>
      <c r="I1013" s="2" t="n">
        <f>HYPERLINK("https://ppubs.uspto.gov/pubwebapp/external.html?q=20220040615.pn.","USPTO")</f>
        <v>0.0</v>
      </c>
      <c r="J1013" s="2" t="n">
        <f>HYPERLINK("https://image-ppubs.uspto.gov/dirsearch-public/print/downloadPdf/20220040615","USPTO PDF")</f>
        <v>0.0</v>
      </c>
      <c r="K1013" s="2" t="n">
        <f>HYPERLINK("https://sectors.patentforecast.com/pmd/US20220040615","PMD")</f>
        <v>0.0</v>
      </c>
      <c r="L1013" s="2" t="n">
        <f>HYPERLINK("https://globaldossier.uspto.gov/result/application/US/17392946/1","US20220040615")</f>
        <v>0.0</v>
      </c>
      <c r="M1013" t="s">
        <v>7015</v>
      </c>
      <c r="N1013" t="s">
        <v>7016</v>
      </c>
      <c r="O1013" t="s">
        <v>7017</v>
      </c>
      <c r="P1013" t="s">
        <v>7018</v>
      </c>
      <c r="Q1013" s="3" t="n">
        <v>44411.0</v>
      </c>
      <c r="R1013" s="3" t="n">
        <v>44602.0</v>
      </c>
      <c r="S1013" s="3" t="n">
        <v>44603.188695578705</v>
      </c>
      <c r="T1013" s="3" t="n">
        <v>44643.44277216435</v>
      </c>
      <c r="U1013" t="s">
        <v>31</v>
      </c>
      <c r="V1013" t="s">
        <v>7019</v>
      </c>
    </row>
    <row r="1014">
      <c r="A1014" t="s">
        <v>22</v>
      </c>
      <c r="B1014" t="s">
        <v>7020</v>
      </c>
      <c r="C1014" t="s">
        <v>24</v>
      </c>
      <c r="D1014" t="s">
        <v>69</v>
      </c>
      <c r="E1014" t="s">
        <v>7021</v>
      </c>
      <c r="F1014" s="2" t="n">
        <f>HYPERLINK("https://patents.google.com/patent/US20220040506","Google")</f>
        <v>0.0</v>
      </c>
      <c r="G1014" s="2" t="n">
        <f>HYPERLINK("https://patentcenter.uspto.gov/applications/17444596","Patent Center")</f>
        <v>0.0</v>
      </c>
      <c r="H1014" s="2" t="n">
        <f>HYPERLINK("https://worldwide.espacenet.com/patent/search?q=US20220040506","Espacenet")</f>
        <v>0.0</v>
      </c>
      <c r="I1014" s="2" t="n">
        <f>HYPERLINK("https://ppubs.uspto.gov/pubwebapp/external.html?q=20220040506.pn.","USPTO")</f>
        <v>0.0</v>
      </c>
      <c r="J1014" s="2" t="n">
        <f>HYPERLINK("https://image-ppubs.uspto.gov/dirsearch-public/print/downloadPdf/20220040506","USPTO PDF")</f>
        <v>0.0</v>
      </c>
      <c r="K1014" s="2" t="n">
        <f>HYPERLINK("https://sectors.patentforecast.com/pmd/US20220040506","PMD")</f>
        <v>0.0</v>
      </c>
      <c r="L1014" s="2" t="n">
        <f>HYPERLINK("https://globaldossier.uspto.gov/result/application/US/17444596/1","US20220040506")</f>
        <v>0.0</v>
      </c>
      <c r="M1014" t="s">
        <v>7022</v>
      </c>
      <c r="N1014" t="s">
        <v>7023</v>
      </c>
      <c r="O1014" t="s">
        <v>7023</v>
      </c>
      <c r="P1014" t="s">
        <v>7024</v>
      </c>
      <c r="Q1014" s="3" t="n">
        <v>44414.0</v>
      </c>
      <c r="R1014" s="3" t="n">
        <v>44602.0</v>
      </c>
      <c r="S1014" s="3" t="n">
        <v>44603.188695578705</v>
      </c>
      <c r="T1014" s="3" t="n">
        <v>44678.63407837963</v>
      </c>
      <c r="U1014" t="s">
        <v>31</v>
      </c>
      <c r="V1014" t="s">
        <v>7025</v>
      </c>
    </row>
    <row r="1015">
      <c r="A1015" t="s">
        <v>22</v>
      </c>
      <c r="B1015" t="s">
        <v>7026</v>
      </c>
      <c r="C1015" t="s">
        <v>60</v>
      </c>
      <c r="D1015" t="s">
        <v>715</v>
      </c>
      <c r="E1015" t="s">
        <v>7027</v>
      </c>
      <c r="F1015" s="2" t="n">
        <f>HYPERLINK("https://patents.google.com/patent/US20220040497","Google")</f>
        <v>0.0</v>
      </c>
      <c r="G1015" s="2" t="n">
        <f>HYPERLINK("https://patentcenter.uspto.gov/applications/17507343","Patent Center")</f>
        <v>0.0</v>
      </c>
      <c r="H1015" s="2" t="n">
        <f>HYPERLINK("https://worldwide.espacenet.com/patent/search?q=US20220040497","Espacenet")</f>
        <v>0.0</v>
      </c>
      <c r="I1015" s="2" t="n">
        <f>HYPERLINK("https://ppubs.uspto.gov/pubwebapp/external.html?q=20220040497.pn.","USPTO")</f>
        <v>0.0</v>
      </c>
      <c r="J1015" s="2" t="n">
        <f>HYPERLINK("https://image-ppubs.uspto.gov/dirsearch-public/print/downloadPdf/20220040497","USPTO PDF")</f>
        <v>0.0</v>
      </c>
      <c r="K1015" s="2" t="n">
        <f>HYPERLINK("https://sectors.patentforecast.com/pmd/US20220040497","PMD")</f>
        <v>0.0</v>
      </c>
      <c r="L1015" s="2" t="n">
        <f>HYPERLINK("https://globaldossier.uspto.gov/result/application/US/17507343/1","US20220040497")</f>
        <v>0.0</v>
      </c>
      <c r="M1015" t="s">
        <v>7028</v>
      </c>
      <c r="N1015" t="s">
        <v>4923</v>
      </c>
      <c r="O1015" t="s">
        <v>4923</v>
      </c>
      <c r="P1015" t="s">
        <v>7029</v>
      </c>
      <c r="Q1015" s="3" t="n">
        <v>44490.0</v>
      </c>
      <c r="R1015" s="3" t="n">
        <v>44602.0</v>
      </c>
      <c r="S1015" s="3" t="n">
        <v>44603.188695578705</v>
      </c>
      <c r="T1015" s="3" t="n">
        <v>44757.74344280093</v>
      </c>
      <c r="U1015" t="s">
        <v>7030</v>
      </c>
      <c r="V1015" t="s">
        <v>7031</v>
      </c>
    </row>
    <row r="1016">
      <c r="A1016" t="s">
        <v>22</v>
      </c>
      <c r="B1016" t="s">
        <v>7032</v>
      </c>
      <c r="C1016" t="s">
        <v>24</v>
      </c>
      <c r="D1016" t="s">
        <v>69</v>
      </c>
      <c r="E1016" t="s">
        <v>7033</v>
      </c>
      <c r="F1016" s="2" t="n">
        <f>HYPERLINK("https://patents.google.com/patent/US20220040434","Google")</f>
        <v>0.0</v>
      </c>
      <c r="G1016" s="2" t="n">
        <f>HYPERLINK("https://patentcenter.uspto.gov/applications/16984759","Patent Center")</f>
        <v>0.0</v>
      </c>
      <c r="H1016" s="2" t="n">
        <f>HYPERLINK("https://worldwide.espacenet.com/patent/search?q=US20220040434","Espacenet")</f>
        <v>0.0</v>
      </c>
      <c r="I1016" s="2" t="n">
        <f>HYPERLINK("https://ppubs.uspto.gov/pubwebapp/external.html?q=20220040434.pn.","USPTO")</f>
        <v>0.0</v>
      </c>
      <c r="J1016" s="2" t="n">
        <f>HYPERLINK("https://image-ppubs.uspto.gov/dirsearch-public/print/downloadPdf/20220040434","USPTO PDF")</f>
        <v>0.0</v>
      </c>
      <c r="K1016" s="2" t="n">
        <f>HYPERLINK("https://sectors.patentforecast.com/pmd/US20220040434","PMD")</f>
        <v>0.0</v>
      </c>
      <c r="L1016" s="2" t="n">
        <f>HYPERLINK("https://globaldossier.uspto.gov/result/application/US/16984759/1","US20220040434")</f>
        <v>0.0</v>
      </c>
      <c r="M1016" t="s">
        <v>7034</v>
      </c>
      <c r="N1016" t="s">
        <v>7035</v>
      </c>
      <c r="O1016" t="s">
        <v>7036</v>
      </c>
      <c r="P1016" t="s">
        <v>7037</v>
      </c>
      <c r="Q1016" s="3" t="n">
        <v>44047.0</v>
      </c>
      <c r="R1016" s="3" t="n">
        <v>44602.0</v>
      </c>
      <c r="S1016" s="3" t="n">
        <v>44603.188695578705</v>
      </c>
      <c r="T1016" s="3" t="n">
        <v>44678.63346748843</v>
      </c>
      <c r="U1016" t="s">
        <v>7038</v>
      </c>
      <c r="V1016" t="s">
        <v>7039</v>
      </c>
    </row>
    <row r="1017">
      <c r="A1017" t="s">
        <v>22</v>
      </c>
      <c r="B1017" t="s">
        <v>7040</v>
      </c>
      <c r="C1017" t="s">
        <v>24</v>
      </c>
      <c r="D1017" t="s">
        <v>69</v>
      </c>
      <c r="E1017" t="s">
        <v>7041</v>
      </c>
      <c r="F1017" s="2" t="n">
        <f>HYPERLINK("https://patents.google.com/patent/US20220040429","Google")</f>
        <v>0.0</v>
      </c>
      <c r="G1017" s="2" t="n">
        <f>HYPERLINK("https://patentcenter.uspto.gov/applications/17397703","Patent Center")</f>
        <v>0.0</v>
      </c>
      <c r="H1017" s="2" t="n">
        <f>HYPERLINK("https://worldwide.espacenet.com/patent/search?q=US20220040429","Espacenet")</f>
        <v>0.0</v>
      </c>
      <c r="I1017" s="2" t="n">
        <f>HYPERLINK("https://ppubs.uspto.gov/pubwebapp/external.html?q=20220040429.pn.","USPTO")</f>
        <v>0.0</v>
      </c>
      <c r="J1017" s="2" t="n">
        <f>HYPERLINK("https://image-ppubs.uspto.gov/dirsearch-public/print/downloadPdf/20220040429","USPTO PDF")</f>
        <v>0.0</v>
      </c>
      <c r="K1017" s="2" t="n">
        <f>HYPERLINK("https://sectors.patentforecast.com/pmd/US20220040429","PMD")</f>
        <v>0.0</v>
      </c>
      <c r="L1017" s="2" t="n">
        <f>HYPERLINK("https://globaldossier.uspto.gov/result/application/US/17397703/1","US20220040429")</f>
        <v>0.0</v>
      </c>
      <c r="M1017" t="s">
        <v>7042</v>
      </c>
      <c r="N1017" t="s">
        <v>3284</v>
      </c>
      <c r="O1017" t="s">
        <v>3285</v>
      </c>
      <c r="P1017" t="s">
        <v>7043</v>
      </c>
      <c r="Q1017" s="3" t="n">
        <v>44417.0</v>
      </c>
      <c r="R1017" s="3" t="n">
        <v>44602.0</v>
      </c>
      <c r="S1017" s="3" t="n">
        <v>44603.188695578705</v>
      </c>
      <c r="T1017" s="3" t="n">
        <v>44678.631319155094</v>
      </c>
      <c r="U1017" t="s">
        <v>31</v>
      </c>
      <c r="V1017" t="s">
        <v>7044</v>
      </c>
    </row>
    <row r="1018">
      <c r="A1018" t="s">
        <v>22</v>
      </c>
      <c r="B1018" t="s">
        <v>7045</v>
      </c>
      <c r="C1018" t="s">
        <v>24</v>
      </c>
      <c r="D1018" t="s">
        <v>100</v>
      </c>
      <c r="E1018" t="s">
        <v>7046</v>
      </c>
      <c r="F1018" s="2" t="n">
        <f>HYPERLINK("https://patents.google.com/patent/US20220040365","Google")</f>
        <v>0.0</v>
      </c>
      <c r="G1018" s="2" t="n">
        <f>HYPERLINK("https://patentcenter.uspto.gov/applications/17508425","Patent Center")</f>
        <v>0.0</v>
      </c>
      <c r="H1018" s="2" t="n">
        <f>HYPERLINK("https://worldwide.espacenet.com/patent/search?q=US20220040365","Espacenet")</f>
        <v>0.0</v>
      </c>
      <c r="I1018" s="2" t="n">
        <f>HYPERLINK("https://ppubs.uspto.gov/pubwebapp/external.html?q=20220040365.pn.","USPTO")</f>
        <v>0.0</v>
      </c>
      <c r="J1018" s="2" t="n">
        <f>HYPERLINK("https://image-ppubs.uspto.gov/dirsearch-public/print/downloadPdf/20220040365","USPTO PDF")</f>
        <v>0.0</v>
      </c>
      <c r="K1018" s="2" t="n">
        <f>HYPERLINK("https://sectors.patentforecast.com/pmd/US20220040365","PMD")</f>
        <v>0.0</v>
      </c>
      <c r="L1018" s="2" t="n">
        <f>HYPERLINK("https://globaldossier.uspto.gov/result/application/US/17508425/1","US20220040365")</f>
        <v>0.0</v>
      </c>
      <c r="M1018" t="s">
        <v>7047</v>
      </c>
      <c r="N1018" t="s">
        <v>7048</v>
      </c>
      <c r="O1018" t="s">
        <v>7049</v>
      </c>
      <c r="P1018" t="s">
        <v>7050</v>
      </c>
      <c r="Q1018" s="3" t="n">
        <v>44491.0</v>
      </c>
      <c r="R1018" s="3" t="n">
        <v>44602.0</v>
      </c>
      <c r="S1018" s="3" t="n">
        <v>44603.188694131946</v>
      </c>
      <c r="T1018" s="3" t="n">
        <v>44643.398233657404</v>
      </c>
      <c r="U1018" t="s">
        <v>7051</v>
      </c>
      <c r="V1018" t="s">
        <v>7052</v>
      </c>
    </row>
    <row r="1019">
      <c r="A1019" t="s">
        <v>22</v>
      </c>
      <c r="B1019" t="s">
        <v>7053</v>
      </c>
      <c r="C1019" t="s">
        <v>24</v>
      </c>
      <c r="D1019" t="s">
        <v>100</v>
      </c>
      <c r="E1019" t="s">
        <v>7054</v>
      </c>
      <c r="F1019" s="2" t="n">
        <f>HYPERLINK("https://patents.google.com/patent/US20220040362","Google")</f>
        <v>0.0</v>
      </c>
      <c r="G1019" s="2" t="n">
        <f>HYPERLINK("https://patentcenter.uspto.gov/applications/17386924","Patent Center")</f>
        <v>0.0</v>
      </c>
      <c r="H1019" s="2" t="n">
        <f>HYPERLINK("https://worldwide.espacenet.com/patent/search?q=US20220040362","Espacenet")</f>
        <v>0.0</v>
      </c>
      <c r="I1019" s="2" t="n">
        <f>HYPERLINK("https://ppubs.uspto.gov/pubwebapp/external.html?q=20220040362.pn.","USPTO")</f>
        <v>0.0</v>
      </c>
      <c r="J1019" s="2" t="n">
        <f>HYPERLINK("https://image-ppubs.uspto.gov/dirsearch-public/print/downloadPdf/20220040362","USPTO PDF")</f>
        <v>0.0</v>
      </c>
      <c r="K1019" s="2" t="n">
        <f>HYPERLINK("https://sectors.patentforecast.com/pmd/US20220040362","PMD")</f>
        <v>0.0</v>
      </c>
      <c r="L1019" s="2" t="n">
        <f>HYPERLINK("https://globaldossier.uspto.gov/result/application/US/17386924/1","US20220040362")</f>
        <v>0.0</v>
      </c>
      <c r="M1019" t="s">
        <v>7055</v>
      </c>
      <c r="N1019" t="s">
        <v>7056</v>
      </c>
      <c r="O1019" t="s">
        <v>7057</v>
      </c>
      <c r="P1019" t="s">
        <v>7058</v>
      </c>
      <c r="Q1019" s="3" t="n">
        <v>44405.0</v>
      </c>
      <c r="R1019" s="3" t="n">
        <v>44602.0</v>
      </c>
      <c r="S1019" s="3" t="n">
        <v>44603.188694131946</v>
      </c>
      <c r="T1019" s="3" t="n">
        <v>44678.57928900463</v>
      </c>
      <c r="U1019" t="s">
        <v>31</v>
      </c>
      <c r="V1019" t="s">
        <v>7059</v>
      </c>
    </row>
    <row r="1020">
      <c r="A1020" t="s">
        <v>22</v>
      </c>
      <c r="B1020" t="s">
        <v>7060</v>
      </c>
      <c r="C1020" t="s">
        <v>24</v>
      </c>
      <c r="D1020" t="s">
        <v>100</v>
      </c>
      <c r="E1020" t="s">
        <v>7061</v>
      </c>
      <c r="F1020" s="2" t="n">
        <f>HYPERLINK("https://patents.google.com/patent/US20220040360","Google")</f>
        <v>0.0</v>
      </c>
      <c r="G1020" s="2" t="n">
        <f>HYPERLINK("https://patentcenter.uspto.gov/applications/17235882","Patent Center")</f>
        <v>0.0</v>
      </c>
      <c r="H1020" s="2" t="n">
        <f>HYPERLINK("https://worldwide.espacenet.com/patent/search?q=US20220040360","Espacenet")</f>
        <v>0.0</v>
      </c>
      <c r="I1020" s="2" t="n">
        <f>HYPERLINK("https://ppubs.uspto.gov/pubwebapp/external.html?q=20220040360.pn.","USPTO")</f>
        <v>0.0</v>
      </c>
      <c r="J1020" s="2" t="n">
        <f>HYPERLINK("https://image-ppubs.uspto.gov/dirsearch-public/print/downloadPdf/20220040360","USPTO PDF")</f>
        <v>0.0</v>
      </c>
      <c r="K1020" s="2" t="n">
        <f>HYPERLINK("https://sectors.patentforecast.com/pmd/US20220040360","PMD")</f>
        <v>0.0</v>
      </c>
      <c r="L1020" s="2" t="n">
        <f>HYPERLINK("https://globaldossier.uspto.gov/result/application/US/17235882/1","US20220040360")</f>
        <v>0.0</v>
      </c>
      <c r="M1020" t="s">
        <v>7062</v>
      </c>
      <c r="N1020" t="s">
        <v>7063</v>
      </c>
      <c r="O1020" t="s">
        <v>7064</v>
      </c>
      <c r="P1020" t="s">
        <v>7065</v>
      </c>
      <c r="Q1020" s="3" t="n">
        <v>44306.0</v>
      </c>
      <c r="R1020" s="3" t="n">
        <v>44602.0</v>
      </c>
      <c r="S1020" s="3" t="n">
        <v>44603.188694131946</v>
      </c>
      <c r="T1020" s="3" t="n">
        <v>44757.74361699074</v>
      </c>
      <c r="U1020" t="s">
        <v>7066</v>
      </c>
      <c r="V1020" t="s">
        <v>7067</v>
      </c>
    </row>
    <row r="1021">
      <c r="A1021" t="s">
        <v>22</v>
      </c>
      <c r="B1021" t="s">
        <v>7068</v>
      </c>
      <c r="C1021" t="s">
        <v>24</v>
      </c>
      <c r="D1021" t="s">
        <v>100</v>
      </c>
      <c r="E1021" t="s">
        <v>7069</v>
      </c>
      <c r="F1021" s="2" t="n">
        <f>HYPERLINK("https://patents.google.com/patent/US20220040354","Google")</f>
        <v>0.0</v>
      </c>
      <c r="G1021" s="2" t="n">
        <f>HYPERLINK("https://patentcenter.uspto.gov/applications/17392395","Patent Center")</f>
        <v>0.0</v>
      </c>
      <c r="H1021" s="2" t="n">
        <f>HYPERLINK("https://worldwide.espacenet.com/patent/search?q=US20220040354","Espacenet")</f>
        <v>0.0</v>
      </c>
      <c r="I1021" s="2" t="n">
        <f>HYPERLINK("https://ppubs.uspto.gov/pubwebapp/external.html?q=20220040354.pn.","USPTO")</f>
        <v>0.0</v>
      </c>
      <c r="J1021" s="2" t="n">
        <f>HYPERLINK("https://image-ppubs.uspto.gov/dirsearch-public/print/downloadPdf/20220040354","USPTO PDF")</f>
        <v>0.0</v>
      </c>
      <c r="K1021" s="2" t="n">
        <f>HYPERLINK("https://sectors.patentforecast.com/pmd/US20220040354","PMD")</f>
        <v>0.0</v>
      </c>
      <c r="L1021" s="2" t="n">
        <f>HYPERLINK("https://globaldossier.uspto.gov/result/application/US/17392395/1","US20220040354")</f>
        <v>0.0</v>
      </c>
      <c r="M1021" t="s">
        <v>7070</v>
      </c>
      <c r="N1021" t="s">
        <v>6122</v>
      </c>
      <c r="O1021" t="s">
        <v>6122</v>
      </c>
      <c r="P1021" t="s">
        <v>6123</v>
      </c>
      <c r="Q1021" s="3" t="n">
        <v>44411.0</v>
      </c>
      <c r="R1021" s="3" t="n">
        <v>44602.0</v>
      </c>
      <c r="S1021" s="3" t="n">
        <v>44603.188694131946</v>
      </c>
      <c r="T1021" s="3" t="n">
        <v>44678.57928900463</v>
      </c>
      <c r="U1021" t="s">
        <v>7071</v>
      </c>
      <c r="V1021" t="s">
        <v>7072</v>
      </c>
    </row>
    <row r="1022">
      <c r="A1022" t="s">
        <v>22</v>
      </c>
      <c r="B1022" t="s">
        <v>7073</v>
      </c>
      <c r="C1022" t="s">
        <v>24</v>
      </c>
      <c r="D1022" t="s">
        <v>100</v>
      </c>
      <c r="E1022" t="s">
        <v>7074</v>
      </c>
      <c r="F1022" s="2" t="n">
        <f>HYPERLINK("https://patents.google.com/patent/US20220040350","Google")</f>
        <v>0.0</v>
      </c>
      <c r="G1022" s="2" t="n">
        <f>HYPERLINK("https://patentcenter.uspto.gov/applications/17392001","Patent Center")</f>
        <v>0.0</v>
      </c>
      <c r="H1022" s="2" t="n">
        <f>HYPERLINK("https://worldwide.espacenet.com/patent/search?q=US20220040350","Espacenet")</f>
        <v>0.0</v>
      </c>
      <c r="I1022" s="2" t="n">
        <f>HYPERLINK("https://ppubs.uspto.gov/pubwebapp/external.html?q=20220040350.pn.","USPTO")</f>
        <v>0.0</v>
      </c>
      <c r="J1022" s="2" t="n">
        <f>HYPERLINK("https://image-ppubs.uspto.gov/dirsearch-public/print/downloadPdf/20220040350","USPTO PDF")</f>
        <v>0.0</v>
      </c>
      <c r="K1022" s="2" t="n">
        <f>HYPERLINK("https://sectors.patentforecast.com/pmd/US20220040350","PMD")</f>
        <v>0.0</v>
      </c>
      <c r="L1022" s="2" t="n">
        <f>HYPERLINK("https://globaldossier.uspto.gov/result/application/US/17392001/1","US20220040350")</f>
        <v>0.0</v>
      </c>
      <c r="M1022" t="s">
        <v>7075</v>
      </c>
      <c r="N1022" t="s">
        <v>7076</v>
      </c>
      <c r="O1022" t="s">
        <v>7076</v>
      </c>
      <c r="P1022" t="s">
        <v>7077</v>
      </c>
      <c r="Q1022" s="3" t="n">
        <v>44410.0</v>
      </c>
      <c r="R1022" s="3" t="n">
        <v>44602.0</v>
      </c>
      <c r="S1022" s="3" t="n">
        <v>44603.188694131946</v>
      </c>
      <c r="T1022" s="3" t="n">
        <v>44757.74373646991</v>
      </c>
      <c r="U1022" t="s">
        <v>31</v>
      </c>
      <c r="V1022" t="s">
        <v>7078</v>
      </c>
    </row>
    <row r="1023">
      <c r="A1023" t="s">
        <v>22</v>
      </c>
      <c r="B1023" t="s">
        <v>7079</v>
      </c>
      <c r="C1023" t="s">
        <v>24</v>
      </c>
      <c r="D1023" t="s">
        <v>100</v>
      </c>
      <c r="E1023" t="s">
        <v>7080</v>
      </c>
      <c r="F1023" s="2" t="n">
        <f>HYPERLINK("https://patents.google.com/patent/US20220040343","Google")</f>
        <v>0.0</v>
      </c>
      <c r="G1023" s="2" t="n">
        <f>HYPERLINK("https://patentcenter.uspto.gov/applications/16985625","Patent Center")</f>
        <v>0.0</v>
      </c>
      <c r="H1023" s="2" t="n">
        <f>HYPERLINK("https://worldwide.espacenet.com/patent/search?q=US20220040343","Espacenet")</f>
        <v>0.0</v>
      </c>
      <c r="I1023" s="2" t="n">
        <f>HYPERLINK("https://ppubs.uspto.gov/pubwebapp/external.html?q=20220040343.pn.","USPTO")</f>
        <v>0.0</v>
      </c>
      <c r="J1023" s="2" t="n">
        <f>HYPERLINK("https://image-ppubs.uspto.gov/dirsearch-public/print/downloadPdf/20220040343","USPTO PDF")</f>
        <v>0.0</v>
      </c>
      <c r="K1023" s="2" t="n">
        <f>HYPERLINK("https://sectors.patentforecast.com/pmd/US20220040343","PMD")</f>
        <v>0.0</v>
      </c>
      <c r="L1023" s="2" t="n">
        <f>HYPERLINK("https://globaldossier.uspto.gov/result/application/US/16985625/1","US20220040343")</f>
        <v>0.0</v>
      </c>
      <c r="M1023" t="s">
        <v>7081</v>
      </c>
      <c r="N1023" t="s">
        <v>7082</v>
      </c>
      <c r="O1023" t="s">
        <v>7083</v>
      </c>
      <c r="P1023" t="s">
        <v>7084</v>
      </c>
      <c r="Q1023" s="3" t="n">
        <v>44048.0</v>
      </c>
      <c r="R1023" s="3" t="n">
        <v>44602.0</v>
      </c>
      <c r="S1023" s="3" t="n">
        <v>44603.188694131946</v>
      </c>
      <c r="T1023" s="3" t="n">
        <v>44678.57928900463</v>
      </c>
      <c r="U1023" t="s">
        <v>31</v>
      </c>
      <c r="V1023" t="s">
        <v>7085</v>
      </c>
    </row>
    <row r="1024">
      <c r="A1024" t="s">
        <v>22</v>
      </c>
      <c r="B1024" t="s">
        <v>7086</v>
      </c>
      <c r="C1024" t="s">
        <v>132</v>
      </c>
      <c r="D1024" t="s">
        <v>133</v>
      </c>
      <c r="E1024" t="s">
        <v>7087</v>
      </c>
      <c r="F1024" s="2" t="n">
        <f>HYPERLINK("https://patents.google.com/patent/US20220040293","Google")</f>
        <v>0.0</v>
      </c>
      <c r="G1024" s="2" t="n">
        <f>HYPERLINK("https://patentcenter.uspto.gov/applications/17329104","Patent Center")</f>
        <v>0.0</v>
      </c>
      <c r="H1024" s="2" t="n">
        <f>HYPERLINK("https://worldwide.espacenet.com/patent/search?q=US20220040293","Espacenet")</f>
        <v>0.0</v>
      </c>
      <c r="I1024" s="2" t="n">
        <f>HYPERLINK("https://ppubs.uspto.gov/pubwebapp/external.html?q=20220040293.pn.","USPTO")</f>
        <v>0.0</v>
      </c>
      <c r="J1024" s="2" t="n">
        <f>HYPERLINK("https://image-ppubs.uspto.gov/dirsearch-public/print/downloadPdf/20220040293","USPTO PDF")</f>
        <v>0.0</v>
      </c>
      <c r="K1024" s="2" t="n">
        <f>HYPERLINK("https://sectors.patentforecast.com/pmd/US20220040293","PMD")</f>
        <v>0.0</v>
      </c>
      <c r="L1024" s="2" t="n">
        <f>HYPERLINK("https://globaldossier.uspto.gov/result/application/US/17329104/1","US20220040293")</f>
        <v>0.0</v>
      </c>
      <c r="M1024" t="s">
        <v>7088</v>
      </c>
      <c r="N1024" t="s">
        <v>7089</v>
      </c>
      <c r="O1024" t="s">
        <v>7090</v>
      </c>
      <c r="P1024" t="s">
        <v>7091</v>
      </c>
      <c r="Q1024" s="3" t="n">
        <v>44340.0</v>
      </c>
      <c r="R1024" s="3" t="n">
        <v>44602.0</v>
      </c>
      <c r="S1024" s="3" t="n">
        <v>44603.188694131946</v>
      </c>
      <c r="T1024" s="3" t="n">
        <v>44638.68962553241</v>
      </c>
      <c r="U1024" t="s">
        <v>31</v>
      </c>
      <c r="V1024" t="s">
        <v>7092</v>
      </c>
    </row>
    <row r="1025">
      <c r="A1025" t="s">
        <v>22</v>
      </c>
      <c r="B1025" t="s">
        <v>7093</v>
      </c>
      <c r="C1025" t="s">
        <v>132</v>
      </c>
      <c r="D1025" t="s">
        <v>133</v>
      </c>
      <c r="E1025" t="s">
        <v>7087</v>
      </c>
      <c r="F1025" s="2" t="n">
        <f>HYPERLINK("https://patents.google.com/patent/US20220040291","Google")</f>
        <v>0.0</v>
      </c>
      <c r="G1025" s="2" t="n">
        <f>HYPERLINK("https://patentcenter.uspto.gov/applications/16989796","Patent Center")</f>
        <v>0.0</v>
      </c>
      <c r="H1025" s="2" t="n">
        <f>HYPERLINK("https://worldwide.espacenet.com/patent/search?q=US20220040291","Espacenet")</f>
        <v>0.0</v>
      </c>
      <c r="I1025" s="2" t="n">
        <f>HYPERLINK("https://ppubs.uspto.gov/pubwebapp/external.html?q=20220040291.pn.","USPTO")</f>
        <v>0.0</v>
      </c>
      <c r="J1025" s="2" t="n">
        <f>HYPERLINK("https://image-ppubs.uspto.gov/dirsearch-public/print/downloadPdf/20220040291","USPTO PDF")</f>
        <v>0.0</v>
      </c>
      <c r="K1025" s="2" t="n">
        <f>HYPERLINK("https://sectors.patentforecast.com/pmd/US20220040291","PMD")</f>
        <v>0.0</v>
      </c>
      <c r="L1025" s="2" t="n">
        <f>HYPERLINK("https://globaldossier.uspto.gov/result/application/US/16989796/1","US20220040291")</f>
        <v>0.0</v>
      </c>
      <c r="M1025" t="s">
        <v>7094</v>
      </c>
      <c r="N1025" t="s">
        <v>7089</v>
      </c>
      <c r="O1025" t="s">
        <v>7090</v>
      </c>
      <c r="P1025" t="s">
        <v>7091</v>
      </c>
      <c r="Q1025" s="3" t="n">
        <v>44053.0</v>
      </c>
      <c r="R1025" s="3" t="n">
        <v>44602.0</v>
      </c>
      <c r="S1025" s="3" t="n">
        <v>44603.188694131946</v>
      </c>
      <c r="T1025" s="3" t="n">
        <v>44638.68962553241</v>
      </c>
      <c r="U1025" t="s">
        <v>7095</v>
      </c>
      <c r="V1025" t="s">
        <v>7092</v>
      </c>
    </row>
    <row r="1026">
      <c r="A1026" t="s">
        <v>22</v>
      </c>
      <c r="B1026" t="s">
        <v>7096</v>
      </c>
      <c r="C1026" t="s">
        <v>60</v>
      </c>
      <c r="D1026" t="s">
        <v>61</v>
      </c>
      <c r="E1026" t="s">
        <v>7097</v>
      </c>
      <c r="F1026" s="2" t="n">
        <f>HYPERLINK("https://patents.google.com/patent/US20220040265","Google")</f>
        <v>0.0</v>
      </c>
      <c r="G1026" s="2" t="n">
        <f>HYPERLINK("https://patentcenter.uspto.gov/applications/17394854","Patent Center")</f>
        <v>0.0</v>
      </c>
      <c r="H1026" s="2" t="n">
        <f>HYPERLINK("https://worldwide.espacenet.com/patent/search?q=US20220040265","Espacenet")</f>
        <v>0.0</v>
      </c>
      <c r="I1026" s="2" t="n">
        <f>HYPERLINK("https://ppubs.uspto.gov/pubwebapp/external.html?q=20220040265.pn.","USPTO")</f>
        <v>0.0</v>
      </c>
      <c r="J1026" s="2" t="n">
        <f>HYPERLINK("https://image-ppubs.uspto.gov/dirsearch-public/print/downloadPdf/20220040265","USPTO PDF")</f>
        <v>0.0</v>
      </c>
      <c r="K1026" s="2" t="n">
        <f>HYPERLINK("https://sectors.patentforecast.com/pmd/US20220040265","PMD")</f>
        <v>0.0</v>
      </c>
      <c r="L1026" s="2" t="n">
        <f>HYPERLINK("https://globaldossier.uspto.gov/result/application/US/17394854/1","US20220040265")</f>
        <v>0.0</v>
      </c>
      <c r="M1026" t="s">
        <v>7098</v>
      </c>
      <c r="N1026" t="s">
        <v>7099</v>
      </c>
      <c r="O1026" t="s">
        <v>7100</v>
      </c>
      <c r="P1026" t="s">
        <v>7101</v>
      </c>
      <c r="Q1026" s="3" t="n">
        <v>44413.0</v>
      </c>
      <c r="R1026" s="3" t="n">
        <v>44602.0</v>
      </c>
      <c r="S1026" s="3" t="n">
        <v>44603.188694131946</v>
      </c>
      <c r="T1026" s="3" t="n">
        <v>44638.70892053241</v>
      </c>
      <c r="U1026" t="s">
        <v>31</v>
      </c>
      <c r="V1026" t="s">
        <v>7102</v>
      </c>
    </row>
    <row r="1027">
      <c r="A1027" t="s">
        <v>22</v>
      </c>
      <c r="B1027" t="s">
        <v>7103</v>
      </c>
      <c r="C1027" t="s">
        <v>60</v>
      </c>
      <c r="D1027" t="s">
        <v>61</v>
      </c>
      <c r="E1027" t="s">
        <v>7104</v>
      </c>
      <c r="F1027" s="2" t="n">
        <f>HYPERLINK("https://patents.google.com/patent/US20220040228","Google")</f>
        <v>0.0</v>
      </c>
      <c r="G1027" s="2" t="n">
        <f>HYPERLINK("https://patentcenter.uspto.gov/applications/17444809","Patent Center")</f>
        <v>0.0</v>
      </c>
      <c r="H1027" s="2" t="n">
        <f>HYPERLINK("https://worldwide.espacenet.com/patent/search?q=US20220040228","Espacenet")</f>
        <v>0.0</v>
      </c>
      <c r="I1027" s="2" t="n">
        <f>HYPERLINK("https://ppubs.uspto.gov/pubwebapp/external.html?q=20220040228.pn.","USPTO")</f>
        <v>0.0</v>
      </c>
      <c r="J1027" s="2" t="n">
        <f>HYPERLINK("https://image-ppubs.uspto.gov/dirsearch-public/print/downloadPdf/20220040228","USPTO PDF")</f>
        <v>0.0</v>
      </c>
      <c r="K1027" s="2" t="n">
        <f>HYPERLINK("https://sectors.patentforecast.com/pmd/US20220040228","PMD")</f>
        <v>0.0</v>
      </c>
      <c r="L1027" s="2" t="n">
        <f>HYPERLINK("https://globaldossier.uspto.gov/result/application/US/17444809/1","US20220040228")</f>
        <v>0.0</v>
      </c>
      <c r="M1027" t="s">
        <v>7105</v>
      </c>
      <c r="N1027" t="s">
        <v>7106</v>
      </c>
      <c r="O1027" t="s">
        <v>7106</v>
      </c>
      <c r="P1027" t="s">
        <v>7107</v>
      </c>
      <c r="Q1027" s="3" t="n">
        <v>44418.0</v>
      </c>
      <c r="R1027" s="3" t="n">
        <v>44602.0</v>
      </c>
      <c r="S1027" s="3" t="n">
        <v>44603.18776271991</v>
      </c>
      <c r="T1027" s="3" t="n">
        <v>44638.71074394676</v>
      </c>
      <c r="U1027" t="s">
        <v>31</v>
      </c>
      <c r="V1027" t="s">
        <v>7108</v>
      </c>
    </row>
    <row r="1028">
      <c r="A1028" t="s">
        <v>22</v>
      </c>
      <c r="B1028" t="s">
        <v>7109</v>
      </c>
      <c r="C1028" t="s">
        <v>60</v>
      </c>
      <c r="D1028" t="s">
        <v>61</v>
      </c>
      <c r="E1028" t="s">
        <v>7110</v>
      </c>
      <c r="F1028" s="2" t="n">
        <f>HYPERLINK("https://patents.google.com/patent/US20220040227","Google")</f>
        <v>0.0</v>
      </c>
      <c r="G1028" s="2" t="n">
        <f>HYPERLINK("https://patentcenter.uspto.gov/applications/17398156","Patent Center")</f>
        <v>0.0</v>
      </c>
      <c r="H1028" s="2" t="n">
        <f>HYPERLINK("https://worldwide.espacenet.com/patent/search?q=US20220040227","Espacenet")</f>
        <v>0.0</v>
      </c>
      <c r="I1028" s="2" t="n">
        <f>HYPERLINK("https://ppubs.uspto.gov/pubwebapp/external.html?q=20220040227.pn.","USPTO")</f>
        <v>0.0</v>
      </c>
      <c r="J1028" s="2" t="n">
        <f>HYPERLINK("https://image-ppubs.uspto.gov/dirsearch-public/print/downloadPdf/20220040227","USPTO PDF")</f>
        <v>0.0</v>
      </c>
      <c r="K1028" s="2" t="n">
        <f>HYPERLINK("https://sectors.patentforecast.com/pmd/US20220040227","PMD")</f>
        <v>0.0</v>
      </c>
      <c r="L1028" s="2" t="n">
        <f>HYPERLINK("https://globaldossier.uspto.gov/result/application/US/17398156/1","US20220040227")</f>
        <v>0.0</v>
      </c>
      <c r="M1028" t="s">
        <v>7111</v>
      </c>
      <c r="N1028" t="s">
        <v>7112</v>
      </c>
      <c r="O1028" t="s">
        <v>7113</v>
      </c>
      <c r="P1028" t="s">
        <v>7114</v>
      </c>
      <c r="Q1028" s="3" t="n">
        <v>44418.0</v>
      </c>
      <c r="R1028" s="3" t="n">
        <v>44602.0</v>
      </c>
      <c r="S1028" s="3" t="n">
        <v>44603.188694131946</v>
      </c>
      <c r="T1028" s="3" t="n">
        <v>44678.54514944444</v>
      </c>
      <c r="U1028" t="s">
        <v>31</v>
      </c>
      <c r="V1028" t="s">
        <v>7115</v>
      </c>
    </row>
    <row r="1029">
      <c r="A1029" t="s">
        <v>22</v>
      </c>
      <c r="B1029" t="s">
        <v>7116</v>
      </c>
      <c r="C1029" t="s">
        <v>60</v>
      </c>
      <c r="D1029" t="s">
        <v>61</v>
      </c>
      <c r="E1029" t="s">
        <v>7117</v>
      </c>
      <c r="F1029" s="2" t="n">
        <f>HYPERLINK("https://patents.google.com/patent/US20220040065","Google")</f>
        <v>0.0</v>
      </c>
      <c r="G1029" s="2" t="n">
        <f>HYPERLINK("https://patentcenter.uspto.gov/applications/17377103","Patent Center")</f>
        <v>0.0</v>
      </c>
      <c r="H1029" s="2" t="n">
        <f>HYPERLINK("https://worldwide.espacenet.com/patent/search?q=US20220040065","Espacenet")</f>
        <v>0.0</v>
      </c>
      <c r="I1029" s="2" t="n">
        <f>HYPERLINK("https://ppubs.uspto.gov/pubwebapp/external.html?q=20220040065.pn.","USPTO")</f>
        <v>0.0</v>
      </c>
      <c r="J1029" s="2" t="n">
        <f>HYPERLINK("https://image-ppubs.uspto.gov/dirsearch-public/print/downloadPdf/20220040065","USPTO PDF")</f>
        <v>0.0</v>
      </c>
      <c r="K1029" s="2" t="n">
        <f>HYPERLINK("https://sectors.patentforecast.com/pmd/US20220040065","PMD")</f>
        <v>0.0</v>
      </c>
      <c r="L1029" s="2" t="n">
        <f>HYPERLINK("https://globaldossier.uspto.gov/result/application/US/17377103/1","US20220040065")</f>
        <v>0.0</v>
      </c>
      <c r="M1029" t="s">
        <v>7118</v>
      </c>
      <c r="N1029" t="s">
        <v>7119</v>
      </c>
      <c r="O1029" t="s">
        <v>7120</v>
      </c>
      <c r="P1029" t="s">
        <v>7121</v>
      </c>
      <c r="Q1029" s="3" t="n">
        <v>44392.0</v>
      </c>
      <c r="R1029" s="3" t="n">
        <v>44602.0</v>
      </c>
      <c r="S1029" s="3" t="n">
        <v>44603.188694131946</v>
      </c>
      <c r="T1029" s="3" t="n">
        <v>44638.70893474537</v>
      </c>
      <c r="U1029" t="s">
        <v>7122</v>
      </c>
      <c r="V1029" t="s">
        <v>7123</v>
      </c>
    </row>
    <row r="1030">
      <c r="A1030" t="s">
        <v>22</v>
      </c>
      <c r="B1030" t="s">
        <v>7124</v>
      </c>
      <c r="C1030" t="s">
        <v>24</v>
      </c>
      <c r="D1030" t="s">
        <v>100</v>
      </c>
      <c r="E1030" t="s">
        <v>7125</v>
      </c>
      <c r="F1030" s="2" t="n">
        <f>HYPERLINK("https://patents.google.com/patent/US20220039627","Google")</f>
        <v>0.0</v>
      </c>
      <c r="G1030" s="2" t="n">
        <f>HYPERLINK("https://patentcenter.uspto.gov/applications/17086706","Patent Center")</f>
        <v>0.0</v>
      </c>
      <c r="H1030" s="2" t="n">
        <f>HYPERLINK("https://worldwide.espacenet.com/patent/search?q=US20220039627","Espacenet")</f>
        <v>0.0</v>
      </c>
      <c r="I1030" s="2" t="n">
        <f>HYPERLINK("https://ppubs.uspto.gov/pubwebapp/external.html?q=20220039627.pn.","USPTO")</f>
        <v>0.0</v>
      </c>
      <c r="J1030" s="2" t="n">
        <f>HYPERLINK("https://image-ppubs.uspto.gov/dirsearch-public/print/downloadPdf/20220039627","USPTO PDF")</f>
        <v>0.0</v>
      </c>
      <c r="K1030" s="2" t="n">
        <f>HYPERLINK("https://sectors.patentforecast.com/pmd/US20220039627","PMD")</f>
        <v>0.0</v>
      </c>
      <c r="L1030" s="2" t="n">
        <f>HYPERLINK("https://globaldossier.uspto.gov/result/application/US/17086706/1","US20220039627")</f>
        <v>0.0</v>
      </c>
      <c r="M1030" t="s">
        <v>7126</v>
      </c>
      <c r="N1030" t="s">
        <v>7127</v>
      </c>
      <c r="O1030" t="s">
        <v>7128</v>
      </c>
      <c r="P1030" t="s">
        <v>7129</v>
      </c>
      <c r="Q1030" s="3" t="n">
        <v>44137.0</v>
      </c>
      <c r="R1030" s="3" t="n">
        <v>44602.0</v>
      </c>
      <c r="S1030" s="3" t="n">
        <v>44603.188694131946</v>
      </c>
      <c r="T1030" s="3" t="n">
        <v>44678.57928900463</v>
      </c>
      <c r="U1030" t="s">
        <v>31</v>
      </c>
      <c r="V1030" t="s">
        <v>7130</v>
      </c>
    </row>
    <row r="1031">
      <c r="A1031" t="s">
        <v>22</v>
      </c>
      <c r="B1031" t="s">
        <v>7131</v>
      </c>
      <c r="C1031" t="s">
        <v>24</v>
      </c>
      <c r="D1031" t="s">
        <v>100</v>
      </c>
      <c r="E1031" t="s">
        <v>7132</v>
      </c>
      <c r="F1031" s="2" t="n">
        <f>HYPERLINK("https://patents.google.com/patent/US20220039533","Google")</f>
        <v>0.0</v>
      </c>
      <c r="G1031" s="2" t="n">
        <f>HYPERLINK("https://patentcenter.uspto.gov/applications/17396658","Patent Center")</f>
        <v>0.0</v>
      </c>
      <c r="H1031" s="2" t="n">
        <f>HYPERLINK("https://worldwide.espacenet.com/patent/search?q=US20220039533","Espacenet")</f>
        <v>0.0</v>
      </c>
      <c r="I1031" s="2" t="n">
        <f>HYPERLINK("https://ppubs.uspto.gov/pubwebapp/external.html?q=20220039533.pn.","USPTO")</f>
        <v>0.0</v>
      </c>
      <c r="J1031" s="2" t="n">
        <f>HYPERLINK("https://image-ppubs.uspto.gov/dirsearch-public/print/downloadPdf/20220039533","USPTO PDF")</f>
        <v>0.0</v>
      </c>
      <c r="K1031" s="2" t="n">
        <f>HYPERLINK("https://sectors.patentforecast.com/pmd/US20220039533","PMD")</f>
        <v>0.0</v>
      </c>
      <c r="L1031" s="2" t="n">
        <f>HYPERLINK("https://globaldossier.uspto.gov/result/application/US/17396658/1","US20220039533")</f>
        <v>0.0</v>
      </c>
      <c r="M1031" t="s">
        <v>7133</v>
      </c>
      <c r="N1031" t="s">
        <v>7134</v>
      </c>
      <c r="O1031" t="s">
        <v>7135</v>
      </c>
      <c r="P1031" t="s">
        <v>7136</v>
      </c>
      <c r="Q1031" s="3" t="n">
        <v>44415.0</v>
      </c>
      <c r="R1031" s="3" t="n">
        <v>44602.0</v>
      </c>
      <c r="S1031" s="3" t="n">
        <v>44603.18776271991</v>
      </c>
      <c r="T1031" s="3" t="n">
        <v>44678.57928900463</v>
      </c>
      <c r="U1031" t="s">
        <v>31</v>
      </c>
      <c r="V1031" t="s">
        <v>7137</v>
      </c>
    </row>
    <row r="1032">
      <c r="A1032" t="s">
        <v>22</v>
      </c>
      <c r="B1032" t="s">
        <v>7138</v>
      </c>
      <c r="C1032" t="s">
        <v>24</v>
      </c>
      <c r="D1032" t="s">
        <v>69</v>
      </c>
      <c r="E1032" t="s">
        <v>7139</v>
      </c>
      <c r="F1032" s="2" t="n">
        <f>HYPERLINK("https://patents.google.com/patent/US20220039491","Google")</f>
        <v>0.0</v>
      </c>
      <c r="G1032" s="2" t="n">
        <f>HYPERLINK("https://patentcenter.uspto.gov/applications/17394229","Patent Center")</f>
        <v>0.0</v>
      </c>
      <c r="H1032" s="2" t="n">
        <f>HYPERLINK("https://worldwide.espacenet.com/patent/search?q=US20220039491","Espacenet")</f>
        <v>0.0</v>
      </c>
      <c r="I1032" s="2" t="n">
        <f>HYPERLINK("https://ppubs.uspto.gov/pubwebapp/external.html?q=20220039491.pn.","USPTO")</f>
        <v>0.0</v>
      </c>
      <c r="J1032" s="2" t="n">
        <f>HYPERLINK("https://image-ppubs.uspto.gov/dirsearch-public/print/downloadPdf/20220039491","USPTO PDF")</f>
        <v>0.0</v>
      </c>
      <c r="K1032" s="2" t="n">
        <f>HYPERLINK("https://sectors.patentforecast.com/pmd/US20220039491","PMD")</f>
        <v>0.0</v>
      </c>
      <c r="L1032" s="2" t="n">
        <f>HYPERLINK("https://globaldossier.uspto.gov/result/application/US/17394229/1","US20220039491")</f>
        <v>0.0</v>
      </c>
      <c r="M1032" t="s">
        <v>7140</v>
      </c>
      <c r="N1032" t="s">
        <v>2354</v>
      </c>
      <c r="O1032" t="s">
        <v>2355</v>
      </c>
      <c r="P1032" t="s">
        <v>7141</v>
      </c>
      <c r="Q1032" s="3" t="n">
        <v>44412.0</v>
      </c>
      <c r="R1032" s="3" t="n">
        <v>44602.0</v>
      </c>
      <c r="S1032" s="3" t="n">
        <v>44603.188694131946</v>
      </c>
      <c r="T1032" s="3" t="n">
        <v>44678.63980457176</v>
      </c>
      <c r="U1032" t="s">
        <v>31</v>
      </c>
      <c r="V1032" t="s">
        <v>7142</v>
      </c>
    </row>
    <row r="1033">
      <c r="A1033" t="s">
        <v>22</v>
      </c>
      <c r="B1033" t="s">
        <v>7143</v>
      </c>
      <c r="C1033" t="s">
        <v>24</v>
      </c>
      <c r="D1033" t="s">
        <v>69</v>
      </c>
      <c r="E1033" t="s">
        <v>7144</v>
      </c>
      <c r="F1033" s="2" t="n">
        <f>HYPERLINK("https://patents.google.com/patent/US20220039489","Google")</f>
        <v>0.0</v>
      </c>
      <c r="G1033" s="2" t="n">
        <f>HYPERLINK("https://patentcenter.uspto.gov/applications/17443214","Patent Center")</f>
        <v>0.0</v>
      </c>
      <c r="H1033" s="2" t="n">
        <f>HYPERLINK("https://worldwide.espacenet.com/patent/search?q=US20220039489","Espacenet")</f>
        <v>0.0</v>
      </c>
      <c r="I1033" s="2" t="n">
        <f>HYPERLINK("https://ppubs.uspto.gov/pubwebapp/external.html?q=20220039489.pn.","USPTO")</f>
        <v>0.0</v>
      </c>
      <c r="J1033" s="2" t="n">
        <f>HYPERLINK("https://image-ppubs.uspto.gov/dirsearch-public/print/downloadPdf/20220039489","USPTO PDF")</f>
        <v>0.0</v>
      </c>
      <c r="K1033" s="2" t="n">
        <f>HYPERLINK("https://sectors.patentforecast.com/pmd/US20220039489","PMD")</f>
        <v>0.0</v>
      </c>
      <c r="L1033" s="2" t="n">
        <f>HYPERLINK("https://globaldossier.uspto.gov/result/application/US/17443214/1","US20220039489")</f>
        <v>0.0</v>
      </c>
      <c r="M1033" t="s">
        <v>7145</v>
      </c>
      <c r="N1033" t="s">
        <v>7146</v>
      </c>
      <c r="O1033" t="s">
        <v>7147</v>
      </c>
      <c r="P1033" t="s">
        <v>7148</v>
      </c>
      <c r="Q1033" s="3" t="n">
        <v>44399.0</v>
      </c>
      <c r="R1033" s="3" t="n">
        <v>44602.0</v>
      </c>
      <c r="S1033" s="3" t="n">
        <v>44603.188694131946</v>
      </c>
      <c r="T1033" s="3" t="n">
        <v>44678.63502219907</v>
      </c>
      <c r="U1033" t="s">
        <v>31</v>
      </c>
      <c r="V1033" t="s">
        <v>7149</v>
      </c>
    </row>
    <row r="1034">
      <c r="A1034" t="s">
        <v>22</v>
      </c>
      <c r="B1034" t="s">
        <v>7150</v>
      </c>
      <c r="C1034" t="s">
        <v>24</v>
      </c>
      <c r="D1034" t="s">
        <v>69</v>
      </c>
      <c r="E1034" t="s">
        <v>7151</v>
      </c>
      <c r="F1034" s="2" t="n">
        <f>HYPERLINK("https://patents.google.com/patent/US20220039392","Google")</f>
        <v>0.0</v>
      </c>
      <c r="G1034" s="2" t="n">
        <f>HYPERLINK("https://patentcenter.uspto.gov/applications/17392833","Patent Center")</f>
        <v>0.0</v>
      </c>
      <c r="H1034" s="2" t="n">
        <f>HYPERLINK("https://worldwide.espacenet.com/patent/search?q=US20220039392","Espacenet")</f>
        <v>0.0</v>
      </c>
      <c r="I1034" s="2" t="n">
        <f>HYPERLINK("https://ppubs.uspto.gov/pubwebapp/external.html?q=20220039392.pn.","USPTO")</f>
        <v>0.0</v>
      </c>
      <c r="J1034" s="2" t="n">
        <f>HYPERLINK("https://image-ppubs.uspto.gov/dirsearch-public/print/downloadPdf/20220039392","USPTO PDF")</f>
        <v>0.0</v>
      </c>
      <c r="K1034" s="2" t="n">
        <f>HYPERLINK("https://sectors.patentforecast.com/pmd/US20220039392","PMD")</f>
        <v>0.0</v>
      </c>
      <c r="L1034" s="2" t="n">
        <f>HYPERLINK("https://globaldossier.uspto.gov/result/application/US/17392833/1","US20220039392")</f>
        <v>0.0</v>
      </c>
      <c r="M1034" t="s">
        <v>7152</v>
      </c>
      <c r="N1034" t="s">
        <v>7153</v>
      </c>
      <c r="O1034" t="s">
        <v>7154</v>
      </c>
      <c r="P1034" t="s">
        <v>7155</v>
      </c>
      <c r="Q1034" s="3" t="n">
        <v>44411.0</v>
      </c>
      <c r="R1034" s="3" t="n">
        <v>44602.0</v>
      </c>
      <c r="S1034" s="3" t="n">
        <v>44603.188694131946</v>
      </c>
      <c r="T1034" s="3" t="n">
        <v>44678.58826319445</v>
      </c>
      <c r="U1034" t="s">
        <v>31</v>
      </c>
      <c r="V1034" t="s">
        <v>7156</v>
      </c>
    </row>
    <row r="1035">
      <c r="A1035" t="s">
        <v>22</v>
      </c>
      <c r="B1035" t="s">
        <v>7157</v>
      </c>
      <c r="C1035" t="s">
        <v>60</v>
      </c>
      <c r="D1035" t="s">
        <v>61</v>
      </c>
      <c r="E1035" t="s">
        <v>7158</v>
      </c>
      <c r="F1035" s="2" t="n">
        <f>HYPERLINK("https://patents.google.com/patent/US20220039362","Google")</f>
        <v>0.0</v>
      </c>
      <c r="G1035" s="2" t="n">
        <f>HYPERLINK("https://patentcenter.uspto.gov/applications/17409265","Patent Center")</f>
        <v>0.0</v>
      </c>
      <c r="H1035" s="2" t="n">
        <f>HYPERLINK("https://worldwide.espacenet.com/patent/search?q=US20220039362","Espacenet")</f>
        <v>0.0</v>
      </c>
      <c r="I1035" s="2" t="n">
        <f>HYPERLINK("https://ppubs.uspto.gov/pubwebapp/external.html?q=20220039362.pn.","USPTO")</f>
        <v>0.0</v>
      </c>
      <c r="J1035" s="2" t="n">
        <f>HYPERLINK("https://image-ppubs.uspto.gov/dirsearch-public/print/downloadPdf/20220039362","USPTO PDF")</f>
        <v>0.0</v>
      </c>
      <c r="K1035" s="2" t="n">
        <f>HYPERLINK("https://sectors.patentforecast.com/pmd/US20220039362","PMD")</f>
        <v>0.0</v>
      </c>
      <c r="L1035" s="2" t="n">
        <f>HYPERLINK("https://globaldossier.uspto.gov/result/application/US/17409265/1","US20220039362")</f>
        <v>0.0</v>
      </c>
      <c r="M1035" t="s">
        <v>7159</v>
      </c>
      <c r="N1035" t="s">
        <v>7160</v>
      </c>
      <c r="O1035" t="s">
        <v>7160</v>
      </c>
      <c r="P1035" t="s">
        <v>7161</v>
      </c>
      <c r="Q1035" s="3" t="n">
        <v>44431.0</v>
      </c>
      <c r="R1035" s="3" t="n">
        <v>44602.0</v>
      </c>
      <c r="S1035" s="3" t="n">
        <v>44603.18776271991</v>
      </c>
      <c r="T1035" s="3" t="n">
        <v>44678.56719214121</v>
      </c>
      <c r="U1035" t="s">
        <v>7162</v>
      </c>
      <c r="V1035" t="s">
        <v>7163</v>
      </c>
    </row>
    <row r="1036">
      <c r="A1036" t="s">
        <v>22</v>
      </c>
      <c r="B1036" t="s">
        <v>7164</v>
      </c>
      <c r="C1036" t="s">
        <v>24</v>
      </c>
      <c r="D1036" t="s">
        <v>25</v>
      </c>
      <c r="E1036" t="s">
        <v>7165</v>
      </c>
      <c r="F1036" s="2" t="n">
        <f>HYPERLINK("https://patents.google.com/patent/US20220039354","Google")</f>
        <v>0.0</v>
      </c>
      <c r="G1036" s="2" t="n">
        <f>HYPERLINK("https://patentcenter.uspto.gov/applications/17394651","Patent Center")</f>
        <v>0.0</v>
      </c>
      <c r="H1036" s="2" t="n">
        <f>HYPERLINK("https://worldwide.espacenet.com/patent/search?q=US20220039354","Espacenet")</f>
        <v>0.0</v>
      </c>
      <c r="I1036" s="2" t="n">
        <f>HYPERLINK("https://ppubs.uspto.gov/pubwebapp/external.html?q=20220039354.pn.","USPTO")</f>
        <v>0.0</v>
      </c>
      <c r="J1036" s="2" t="n">
        <f>HYPERLINK("https://image-ppubs.uspto.gov/dirsearch-public/print/downloadPdf/20220039354","USPTO PDF")</f>
        <v>0.0</v>
      </c>
      <c r="K1036" s="2" t="n">
        <f>HYPERLINK("https://sectors.patentforecast.com/pmd/US20220039354","PMD")</f>
        <v>0.0</v>
      </c>
      <c r="L1036" s="2" t="n">
        <f>HYPERLINK("https://globaldossier.uspto.gov/result/application/US/17394651/1","US20220039354")</f>
        <v>0.0</v>
      </c>
      <c r="M1036" t="s">
        <v>7166</v>
      </c>
      <c r="N1036" t="s">
        <v>7167</v>
      </c>
      <c r="O1036" t="s">
        <v>7168</v>
      </c>
      <c r="P1036" t="s">
        <v>7169</v>
      </c>
      <c r="Q1036" s="3" t="n">
        <v>44413.0</v>
      </c>
      <c r="R1036" s="3" t="n">
        <v>44602.0</v>
      </c>
      <c r="S1036" s="3" t="n">
        <v>44603.188694131946</v>
      </c>
      <c r="T1036" s="3" t="n">
        <v>44678.567608101854</v>
      </c>
      <c r="U1036" t="s">
        <v>31</v>
      </c>
      <c r="V1036" t="s">
        <v>7170</v>
      </c>
    </row>
    <row r="1037">
      <c r="A1037" t="s">
        <v>22</v>
      </c>
      <c r="B1037" t="s">
        <v>7171</v>
      </c>
      <c r="C1037" t="s">
        <v>24</v>
      </c>
      <c r="D1037" t="s">
        <v>69</v>
      </c>
      <c r="E1037" t="s">
        <v>7172</v>
      </c>
      <c r="F1037" s="2" t="n">
        <f>HYPERLINK("https://patents.google.com/patent/US20220035479","Google")</f>
        <v>0.0</v>
      </c>
      <c r="G1037" s="2" t="n">
        <f>HYPERLINK("https://patentcenter.uspto.gov/applications/16947392","Patent Center")</f>
        <v>0.0</v>
      </c>
      <c r="H1037" s="2" t="n">
        <f>HYPERLINK("https://worldwide.espacenet.com/patent/search?q=US20220035479","Espacenet")</f>
        <v>0.0</v>
      </c>
      <c r="I1037" s="2" t="n">
        <f>HYPERLINK("https://ppubs.uspto.gov/pubwebapp/external.html?q=20220035479.pn.","USPTO")</f>
        <v>0.0</v>
      </c>
      <c r="J1037" s="2" t="n">
        <f>HYPERLINK("https://image-ppubs.uspto.gov/dirsearch-public/print/downloadPdf/20220035479","USPTO PDF")</f>
        <v>0.0</v>
      </c>
      <c r="K1037" s="2" t="n">
        <f>HYPERLINK("https://sectors.patentforecast.com/pmd/US20220035479","PMD")</f>
        <v>0.0</v>
      </c>
      <c r="L1037" s="2" t="n">
        <f>HYPERLINK("https://globaldossier.uspto.gov/result/application/US/16947392/1","US20220035479")</f>
        <v>0.0</v>
      </c>
      <c r="M1037" t="s">
        <v>7173</v>
      </c>
      <c r="N1037" t="s">
        <v>207</v>
      </c>
      <c r="O1037" t="s">
        <v>208</v>
      </c>
      <c r="P1037" t="s">
        <v>7174</v>
      </c>
      <c r="Q1037" s="3" t="n">
        <v>44042.0</v>
      </c>
      <c r="R1037" s="3" t="n">
        <v>44595.0</v>
      </c>
      <c r="S1037" s="3" t="n">
        <v>44596.187876979166</v>
      </c>
      <c r="T1037" s="3" t="n">
        <v>44672.32407541667</v>
      </c>
      <c r="U1037" t="s">
        <v>7175</v>
      </c>
      <c r="V1037" t="s">
        <v>7176</v>
      </c>
    </row>
    <row r="1038">
      <c r="A1038" t="s">
        <v>22</v>
      </c>
      <c r="B1038" t="s">
        <v>7177</v>
      </c>
      <c r="C1038" t="s">
        <v>24</v>
      </c>
      <c r="D1038" t="s">
        <v>34</v>
      </c>
      <c r="E1038" t="s">
        <v>7178</v>
      </c>
      <c r="F1038" s="2" t="n">
        <f>HYPERLINK("https://patents.google.com/patent/US20220034904","Google")</f>
        <v>0.0</v>
      </c>
      <c r="G1038" s="2" t="n">
        <f>HYPERLINK("https://patentcenter.uspto.gov/applications/17468419","Patent Center")</f>
        <v>0.0</v>
      </c>
      <c r="H1038" s="2" t="n">
        <f>HYPERLINK("https://worldwide.espacenet.com/patent/search?q=US20220034904","Espacenet")</f>
        <v>0.0</v>
      </c>
      <c r="I1038" s="2" t="n">
        <f>HYPERLINK("https://ppubs.uspto.gov/pubwebapp/external.html?q=20220034904.pn.","USPTO")</f>
        <v>0.0</v>
      </c>
      <c r="J1038" s="2" t="n">
        <f>HYPERLINK("https://image-ppubs.uspto.gov/dirsearch-public/print/downloadPdf/20220034904","USPTO PDF")</f>
        <v>0.0</v>
      </c>
      <c r="K1038" s="2" t="n">
        <f>HYPERLINK("https://sectors.patentforecast.com/pmd/US20220034904","PMD")</f>
        <v>0.0</v>
      </c>
      <c r="L1038" s="2" t="n">
        <f>HYPERLINK("https://globaldossier.uspto.gov/result/application/US/17468419/1","US20220034904")</f>
        <v>0.0</v>
      </c>
      <c r="M1038" t="s">
        <v>7179</v>
      </c>
      <c r="N1038" t="s">
        <v>215</v>
      </c>
      <c r="O1038" t="s">
        <v>216</v>
      </c>
      <c r="P1038" t="s">
        <v>7180</v>
      </c>
      <c r="Q1038" s="3" t="n">
        <v>44446.0</v>
      </c>
      <c r="R1038" s="3" t="n">
        <v>44595.0</v>
      </c>
      <c r="S1038" s="3" t="n">
        <v>44596.1889237963</v>
      </c>
      <c r="T1038" s="3" t="n">
        <v>44638.688496076385</v>
      </c>
      <c r="U1038" t="s">
        <v>7181</v>
      </c>
      <c r="V1038" t="s">
        <v>219</v>
      </c>
    </row>
    <row r="1039">
      <c r="A1039" t="s">
        <v>22</v>
      </c>
      <c r="B1039" t="s">
        <v>7182</v>
      </c>
      <c r="C1039" t="s">
        <v>24</v>
      </c>
      <c r="D1039" t="s">
        <v>34</v>
      </c>
      <c r="E1039" t="s">
        <v>7183</v>
      </c>
      <c r="F1039" s="2" t="n">
        <f>HYPERLINK("https://patents.google.com/patent/US20220034886","Google")</f>
        <v>0.0</v>
      </c>
      <c r="G1039" s="2" t="n">
        <f>HYPERLINK("https://patentcenter.uspto.gov/applications/17396263","Patent Center")</f>
        <v>0.0</v>
      </c>
      <c r="H1039" s="2" t="n">
        <f>HYPERLINK("https://worldwide.espacenet.com/patent/search?q=US20220034886","Espacenet")</f>
        <v>0.0</v>
      </c>
      <c r="I1039" s="2" t="n">
        <f>HYPERLINK("https://ppubs.uspto.gov/pubwebapp/external.html?q=20220034886.pn.","USPTO")</f>
        <v>0.0</v>
      </c>
      <c r="J1039" s="2" t="n">
        <f>HYPERLINK("https://image-ppubs.uspto.gov/dirsearch-public/print/downloadPdf/20220034886","USPTO PDF")</f>
        <v>0.0</v>
      </c>
      <c r="K1039" s="2" t="n">
        <f>HYPERLINK("https://sectors.patentforecast.com/pmd/US20220034886","PMD")</f>
        <v>0.0</v>
      </c>
      <c r="L1039" s="2" t="n">
        <f>HYPERLINK("https://globaldossier.uspto.gov/result/application/US/17396263/1","US20220034886")</f>
        <v>0.0</v>
      </c>
      <c r="M1039" t="s">
        <v>7184</v>
      </c>
      <c r="N1039" t="s">
        <v>215</v>
      </c>
      <c r="O1039" t="s">
        <v>216</v>
      </c>
      <c r="P1039" t="s">
        <v>7185</v>
      </c>
      <c r="Q1039" s="3" t="n">
        <v>44414.0</v>
      </c>
      <c r="R1039" s="3" t="n">
        <v>44595.0</v>
      </c>
      <c r="S1039" s="3" t="n">
        <v>44596.1889237963</v>
      </c>
      <c r="T1039" s="3" t="n">
        <v>44638.688496076385</v>
      </c>
      <c r="U1039" t="s">
        <v>7186</v>
      </c>
      <c r="V1039" t="s">
        <v>219</v>
      </c>
    </row>
    <row r="1040">
      <c r="A1040" t="s">
        <v>22</v>
      </c>
      <c r="B1040" t="s">
        <v>7187</v>
      </c>
      <c r="C1040" t="s">
        <v>24</v>
      </c>
      <c r="D1040" t="s">
        <v>34</v>
      </c>
      <c r="E1040" t="s">
        <v>7188</v>
      </c>
      <c r="F1040" s="2" t="n">
        <f>HYPERLINK("https://patents.google.com/patent/US20220034885","Google")</f>
        <v>0.0</v>
      </c>
      <c r="G1040" s="2" t="n">
        <f>HYPERLINK("https://patentcenter.uspto.gov/applications/17391990","Patent Center")</f>
        <v>0.0</v>
      </c>
      <c r="H1040" s="2" t="n">
        <f>HYPERLINK("https://worldwide.espacenet.com/patent/search?q=US20220034885","Espacenet")</f>
        <v>0.0</v>
      </c>
      <c r="I1040" s="2" t="n">
        <f>HYPERLINK("https://ppubs.uspto.gov/pubwebapp/external.html?q=20220034885.pn.","USPTO")</f>
        <v>0.0</v>
      </c>
      <c r="J1040" s="2" t="n">
        <f>HYPERLINK("https://image-ppubs.uspto.gov/dirsearch-public/print/downloadPdf/20220034885","USPTO PDF")</f>
        <v>0.0</v>
      </c>
      <c r="K1040" s="2" t="n">
        <f>HYPERLINK("https://sectors.patentforecast.com/pmd/US20220034885","PMD")</f>
        <v>0.0</v>
      </c>
      <c r="L1040" s="2" t="n">
        <f>HYPERLINK("https://globaldossier.uspto.gov/result/application/US/17391990/1","US20220034885")</f>
        <v>0.0</v>
      </c>
      <c r="M1040" t="s">
        <v>7189</v>
      </c>
      <c r="N1040" t="s">
        <v>7190</v>
      </c>
      <c r="O1040" t="s">
        <v>7191</v>
      </c>
      <c r="P1040" t="s">
        <v>7192</v>
      </c>
      <c r="Q1040" s="3" t="n">
        <v>44410.0</v>
      </c>
      <c r="R1040" s="3" t="n">
        <v>44595.0</v>
      </c>
      <c r="S1040" s="3" t="n">
        <v>44596.1889237963</v>
      </c>
      <c r="T1040" s="3" t="n">
        <v>44638.70499619213</v>
      </c>
      <c r="U1040" t="s">
        <v>7193</v>
      </c>
      <c r="V1040" t="s">
        <v>7194</v>
      </c>
    </row>
    <row r="1041">
      <c r="A1041" t="s">
        <v>22</v>
      </c>
      <c r="B1041" t="s">
        <v>7195</v>
      </c>
      <c r="C1041" t="s">
        <v>24</v>
      </c>
      <c r="D1041" t="s">
        <v>100</v>
      </c>
      <c r="E1041" t="s">
        <v>7196</v>
      </c>
      <c r="F1041" s="2" t="n">
        <f>HYPERLINK("https://patents.google.com/patent/US20220034531","Google")</f>
        <v>0.0</v>
      </c>
      <c r="G1041" s="2" t="n">
        <f>HYPERLINK("https://patentcenter.uspto.gov/applications/17390386","Patent Center")</f>
        <v>0.0</v>
      </c>
      <c r="H1041" s="2" t="n">
        <f>HYPERLINK("https://worldwide.espacenet.com/patent/search?q=US20220034531","Espacenet")</f>
        <v>0.0</v>
      </c>
      <c r="I1041" s="2" t="n">
        <f>HYPERLINK("https://ppubs.uspto.gov/pubwebapp/external.html?q=20220034531.pn.","USPTO")</f>
        <v>0.0</v>
      </c>
      <c r="J1041" s="2" t="n">
        <f>HYPERLINK("https://image-ppubs.uspto.gov/dirsearch-public/print/downloadPdf/20220034531","USPTO PDF")</f>
        <v>0.0</v>
      </c>
      <c r="K1041" s="2" t="n">
        <f>HYPERLINK("https://sectors.patentforecast.com/pmd/US20220034531","PMD")</f>
        <v>0.0</v>
      </c>
      <c r="L1041" s="2" t="n">
        <f>HYPERLINK("https://globaldossier.uspto.gov/result/application/US/17390386/1","US20220034531")</f>
        <v>0.0</v>
      </c>
      <c r="M1041" t="s">
        <v>7197</v>
      </c>
      <c r="N1041" t="s">
        <v>7198</v>
      </c>
      <c r="O1041" t="s">
        <v>7199</v>
      </c>
      <c r="P1041" t="s">
        <v>7200</v>
      </c>
      <c r="Q1041" s="3" t="n">
        <v>44407.0</v>
      </c>
      <c r="R1041" s="3" t="n">
        <v>44595.0</v>
      </c>
      <c r="S1041" s="3" t="n">
        <v>44596.1889237963</v>
      </c>
      <c r="T1041" s="3" t="n">
        <v>44678.57928900463</v>
      </c>
      <c r="U1041" t="s">
        <v>31</v>
      </c>
      <c r="V1041" t="s">
        <v>7201</v>
      </c>
    </row>
    <row r="1042">
      <c r="A1042" t="s">
        <v>22</v>
      </c>
      <c r="B1042" t="s">
        <v>7202</v>
      </c>
      <c r="C1042" t="s">
        <v>60</v>
      </c>
      <c r="D1042" t="s">
        <v>61</v>
      </c>
      <c r="E1042" t="s">
        <v>7203</v>
      </c>
      <c r="F1042" s="2" t="n">
        <f>HYPERLINK("https://patents.google.com/patent/US20220033444","Google")</f>
        <v>0.0</v>
      </c>
      <c r="G1042" s="2" t="n">
        <f>HYPERLINK("https://patentcenter.uspto.gov/applications/17390383","Patent Center")</f>
        <v>0.0</v>
      </c>
      <c r="H1042" s="2" t="n">
        <f>HYPERLINK("https://worldwide.espacenet.com/patent/search?q=US20220033444","Espacenet")</f>
        <v>0.0</v>
      </c>
      <c r="I1042" s="2" t="n">
        <f>HYPERLINK("https://ppubs.uspto.gov/pubwebapp/external.html?q=20220033444.pn.","USPTO")</f>
        <v>0.0</v>
      </c>
      <c r="J1042" s="2" t="n">
        <f>HYPERLINK("https://image-ppubs.uspto.gov/dirsearch-public/print/downloadPdf/20220033444","USPTO PDF")</f>
        <v>0.0</v>
      </c>
      <c r="K1042" s="2" t="n">
        <f>HYPERLINK("https://sectors.patentforecast.com/pmd/US20220033444","PMD")</f>
        <v>0.0</v>
      </c>
      <c r="L1042" s="2" t="n">
        <f>HYPERLINK("https://globaldossier.uspto.gov/result/application/US/17390383/1","US20220033444")</f>
        <v>0.0</v>
      </c>
      <c r="M1042" t="s">
        <v>7204</v>
      </c>
      <c r="N1042" t="s">
        <v>2354</v>
      </c>
      <c r="O1042" t="s">
        <v>2355</v>
      </c>
      <c r="P1042" t="s">
        <v>7205</v>
      </c>
      <c r="Q1042" s="3" t="n">
        <v>44407.0</v>
      </c>
      <c r="R1042" s="3" t="n">
        <v>44595.0</v>
      </c>
      <c r="S1042" s="3" t="n">
        <v>44596.1889237963</v>
      </c>
      <c r="T1042" s="3" t="n">
        <v>44638.70924927083</v>
      </c>
      <c r="U1042" t="s">
        <v>31</v>
      </c>
      <c r="V1042" t="s">
        <v>7206</v>
      </c>
    </row>
    <row r="1043">
      <c r="A1043" t="s">
        <v>22</v>
      </c>
      <c r="B1043" t="s">
        <v>7207</v>
      </c>
      <c r="C1043" t="s">
        <v>60</v>
      </c>
      <c r="D1043" t="s">
        <v>61</v>
      </c>
      <c r="E1043" t="s">
        <v>7208</v>
      </c>
      <c r="F1043" s="2" t="n">
        <f>HYPERLINK("https://patents.google.com/patent/US20220033400","Google")</f>
        <v>0.0</v>
      </c>
      <c r="G1043" s="2" t="n">
        <f>HYPERLINK("https://patentcenter.uspto.gov/applications/17403312","Patent Center")</f>
        <v>0.0</v>
      </c>
      <c r="H1043" s="2" t="n">
        <f>HYPERLINK("https://worldwide.espacenet.com/patent/search?q=US20220033400","Espacenet")</f>
        <v>0.0</v>
      </c>
      <c r="I1043" s="2" t="n">
        <f>HYPERLINK("https://ppubs.uspto.gov/pubwebapp/external.html?q=20220033400.pn.","USPTO")</f>
        <v>0.0</v>
      </c>
      <c r="J1043" s="2" t="n">
        <f>HYPERLINK("https://image-ppubs.uspto.gov/dirsearch-public/print/downloadPdf/20220033400","USPTO PDF")</f>
        <v>0.0</v>
      </c>
      <c r="K1043" s="2" t="n">
        <f>HYPERLINK("https://sectors.patentforecast.com/pmd/US20220033400","PMD")</f>
        <v>0.0</v>
      </c>
      <c r="L1043" s="2" t="n">
        <f>HYPERLINK("https://globaldossier.uspto.gov/result/application/US/17403312/1","US20220033400")</f>
        <v>0.0</v>
      </c>
      <c r="M1043" t="s">
        <v>7209</v>
      </c>
      <c r="N1043" t="s">
        <v>7210</v>
      </c>
      <c r="O1043" t="s">
        <v>7211</v>
      </c>
      <c r="P1043" t="s">
        <v>7212</v>
      </c>
      <c r="Q1043" s="3" t="n">
        <v>44424.0</v>
      </c>
      <c r="R1043" s="3" t="n">
        <v>44595.0</v>
      </c>
      <c r="S1043" s="3" t="n">
        <v>44643.23761089121</v>
      </c>
      <c r="T1043" s="3" t="n">
        <v>44658.59414116898</v>
      </c>
      <c r="U1043" t="s">
        <v>7213</v>
      </c>
      <c r="V1043" t="s">
        <v>7214</v>
      </c>
    </row>
    <row r="1044">
      <c r="A1044" t="s">
        <v>22</v>
      </c>
      <c r="B1044" t="s">
        <v>7215</v>
      </c>
      <c r="C1044" t="s">
        <v>24</v>
      </c>
      <c r="D1044" t="s">
        <v>69</v>
      </c>
      <c r="E1044" t="s">
        <v>7216</v>
      </c>
      <c r="F1044" s="2" t="n">
        <f>HYPERLINK("https://patents.google.com/patent/US20220032096","Google")</f>
        <v>0.0</v>
      </c>
      <c r="G1044" s="2" t="n">
        <f>HYPERLINK("https://patentcenter.uspto.gov/applications/17079015","Patent Center")</f>
        <v>0.0</v>
      </c>
      <c r="H1044" s="2" t="n">
        <f>HYPERLINK("https://worldwide.espacenet.com/patent/search?q=US20220032096","Espacenet")</f>
        <v>0.0</v>
      </c>
      <c r="I1044" s="2" t="n">
        <f>HYPERLINK("https://ppubs.uspto.gov/pubwebapp/external.html?q=20220032096.pn.","USPTO")</f>
        <v>0.0</v>
      </c>
      <c r="J1044" s="2" t="n">
        <f>HYPERLINK("https://image-ppubs.uspto.gov/dirsearch-public/print/downloadPdf/20220032096","USPTO PDF")</f>
        <v>0.0</v>
      </c>
      <c r="K1044" s="2" t="n">
        <f>HYPERLINK("https://sectors.patentforecast.com/pmd/US20220032096","PMD")</f>
        <v>0.0</v>
      </c>
      <c r="L1044" s="2" t="n">
        <f>HYPERLINK("https://globaldossier.uspto.gov/result/application/US/17079015/1","US20220032096")</f>
        <v>0.0</v>
      </c>
      <c r="M1044" t="s">
        <v>7217</v>
      </c>
      <c r="N1044" t="s">
        <v>7218</v>
      </c>
      <c r="O1044" t="s">
        <v>7219</v>
      </c>
      <c r="P1044" t="s">
        <v>7220</v>
      </c>
      <c r="Q1044" s="3" t="n">
        <v>44127.0</v>
      </c>
      <c r="R1044" s="3" t="n">
        <v>44595.0</v>
      </c>
      <c r="S1044" s="3" t="n">
        <v>44596.18897556713</v>
      </c>
      <c r="T1044" s="3" t="n">
        <v>44678.632926736114</v>
      </c>
      <c r="U1044" t="s">
        <v>7221</v>
      </c>
      <c r="V1044" t="s">
        <v>7222</v>
      </c>
    </row>
    <row r="1045">
      <c r="A1045" t="s">
        <v>22</v>
      </c>
      <c r="B1045" t="s">
        <v>7223</v>
      </c>
      <c r="C1045" t="s">
        <v>24</v>
      </c>
      <c r="D1045" t="s">
        <v>69</v>
      </c>
      <c r="E1045" t="s">
        <v>7224</v>
      </c>
      <c r="F1045" s="2" t="n">
        <f>HYPERLINK("https://patents.google.com/patent/US20220032091","Google")</f>
        <v>0.0</v>
      </c>
      <c r="G1045" s="2" t="n">
        <f>HYPERLINK("https://patentcenter.uspto.gov/applications/17352226","Patent Center")</f>
        <v>0.0</v>
      </c>
      <c r="H1045" s="2" t="n">
        <f>HYPERLINK("https://worldwide.espacenet.com/patent/search?q=US20220032091","Espacenet")</f>
        <v>0.0</v>
      </c>
      <c r="I1045" s="2" t="n">
        <f>HYPERLINK("https://ppubs.uspto.gov/pubwebapp/external.html?q=20220032091.pn.","USPTO")</f>
        <v>0.0</v>
      </c>
      <c r="J1045" s="2" t="n">
        <f>HYPERLINK("https://image-ppubs.uspto.gov/dirsearch-public/print/downloadPdf/20220032091","USPTO PDF")</f>
        <v>0.0</v>
      </c>
      <c r="K1045" s="2" t="n">
        <f>HYPERLINK("https://sectors.patentforecast.com/pmd/US20220032091","PMD")</f>
        <v>0.0</v>
      </c>
      <c r="L1045" s="2" t="n">
        <f>HYPERLINK("https://globaldossier.uspto.gov/result/application/US/17352226/1","US20220032091")</f>
        <v>0.0</v>
      </c>
      <c r="M1045" t="s">
        <v>7225</v>
      </c>
      <c r="N1045" t="s">
        <v>7226</v>
      </c>
      <c r="O1045" t="s">
        <v>7227</v>
      </c>
      <c r="P1045" t="s">
        <v>7228</v>
      </c>
      <c r="Q1045" s="3" t="n">
        <v>44365.0</v>
      </c>
      <c r="R1045" s="3" t="n">
        <v>44595.0</v>
      </c>
      <c r="S1045" s="3" t="n">
        <v>44596.18897556713</v>
      </c>
      <c r="T1045" s="3" t="n">
        <v>44678.63315255787</v>
      </c>
      <c r="U1045" t="s">
        <v>7229</v>
      </c>
      <c r="V1045" t="s">
        <v>7230</v>
      </c>
    </row>
    <row r="1046">
      <c r="A1046" t="s">
        <v>22</v>
      </c>
      <c r="B1046" t="s">
        <v>7231</v>
      </c>
      <c r="C1046" t="s">
        <v>24</v>
      </c>
      <c r="D1046" t="s">
        <v>69</v>
      </c>
      <c r="E1046" t="s">
        <v>7232</v>
      </c>
      <c r="F1046" s="2" t="n">
        <f>HYPERLINK("https://patents.google.com/patent/US20220031988","Google")</f>
        <v>0.0</v>
      </c>
      <c r="G1046" s="2" t="n">
        <f>HYPERLINK("https://patentcenter.uspto.gov/applications/16945875","Patent Center")</f>
        <v>0.0</v>
      </c>
      <c r="H1046" s="2" t="n">
        <f>HYPERLINK("https://worldwide.espacenet.com/patent/search?q=US20220031988","Espacenet")</f>
        <v>0.0</v>
      </c>
      <c r="I1046" s="2" t="n">
        <f>HYPERLINK("https://ppubs.uspto.gov/pubwebapp/external.html?q=20220031988.pn.","USPTO")</f>
        <v>0.0</v>
      </c>
      <c r="J1046" s="2" t="n">
        <f>HYPERLINK("https://image-ppubs.uspto.gov/dirsearch-public/print/downloadPdf/20220031988","USPTO PDF")</f>
        <v>0.0</v>
      </c>
      <c r="K1046" s="2" t="n">
        <f>HYPERLINK("https://sectors.patentforecast.com/pmd/US20220031988","PMD")</f>
        <v>0.0</v>
      </c>
      <c r="L1046" s="2" t="n">
        <f>HYPERLINK("https://globaldossier.uspto.gov/result/application/US/16945875/1","US20220031988")</f>
        <v>0.0</v>
      </c>
      <c r="M1046" t="s">
        <v>7233</v>
      </c>
      <c r="N1046" t="s">
        <v>7234</v>
      </c>
      <c r="O1046" t="s">
        <v>7235</v>
      </c>
      <c r="P1046" t="s">
        <v>7236</v>
      </c>
      <c r="Q1046" s="3" t="n">
        <v>44045.0</v>
      </c>
      <c r="R1046" s="3" t="n">
        <v>44595.0</v>
      </c>
      <c r="S1046" s="3" t="n">
        <v>44643.24305162037</v>
      </c>
      <c r="T1046" s="3" t="n">
        <v>44658.600356030096</v>
      </c>
      <c r="U1046" t="s">
        <v>7237</v>
      </c>
      <c r="V1046" t="s">
        <v>7238</v>
      </c>
    </row>
    <row r="1047">
      <c r="A1047" t="s">
        <v>22</v>
      </c>
      <c r="B1047" t="s">
        <v>7239</v>
      </c>
      <c r="C1047" t="s">
        <v>60</v>
      </c>
      <c r="D1047" t="s">
        <v>715</v>
      </c>
      <c r="E1047" t="s">
        <v>7240</v>
      </c>
      <c r="F1047" s="2" t="n">
        <f>HYPERLINK("https://patents.google.com/patent/US20220031967","Google")</f>
        <v>0.0</v>
      </c>
      <c r="G1047" s="2" t="n">
        <f>HYPERLINK("https://patentcenter.uspto.gov/applications/16941536","Patent Center")</f>
        <v>0.0</v>
      </c>
      <c r="H1047" s="2" t="n">
        <f>HYPERLINK("https://worldwide.espacenet.com/patent/search?q=US20220031967","Espacenet")</f>
        <v>0.0</v>
      </c>
      <c r="I1047" s="2" t="n">
        <f>HYPERLINK("https://ppubs.uspto.gov/pubwebapp/external.html?q=20220031967.pn.","USPTO")</f>
        <v>0.0</v>
      </c>
      <c r="J1047" s="2" t="n">
        <f>HYPERLINK("https://image-ppubs.uspto.gov/dirsearch-public/print/downloadPdf/20220031967","USPTO PDF")</f>
        <v>0.0</v>
      </c>
      <c r="K1047" s="2" t="n">
        <f>HYPERLINK("https://sectors.patentforecast.com/pmd/US20220031967","PMD")</f>
        <v>0.0</v>
      </c>
      <c r="L1047" s="2" t="n">
        <f>HYPERLINK("https://globaldossier.uspto.gov/result/application/US/16941536/1","US20220031967")</f>
        <v>0.0</v>
      </c>
      <c r="M1047" t="s">
        <v>7241</v>
      </c>
      <c r="N1047" t="s">
        <v>7242</v>
      </c>
      <c r="O1047" t="s">
        <v>7243</v>
      </c>
      <c r="P1047" t="s">
        <v>7244</v>
      </c>
      <c r="Q1047" s="3" t="n">
        <v>44041.0</v>
      </c>
      <c r="R1047" s="3" t="n">
        <v>44595.0</v>
      </c>
      <c r="S1047" s="3" t="n">
        <v>44596.18897556713</v>
      </c>
      <c r="T1047" s="3" t="n">
        <v>44678.54759974537</v>
      </c>
      <c r="U1047" t="s">
        <v>7245</v>
      </c>
      <c r="V1047" t="s">
        <v>7246</v>
      </c>
    </row>
    <row r="1048">
      <c r="A1048" t="s">
        <v>22</v>
      </c>
      <c r="B1048" t="s">
        <v>7247</v>
      </c>
      <c r="C1048" t="s">
        <v>60</v>
      </c>
      <c r="D1048" t="s">
        <v>715</v>
      </c>
      <c r="E1048" t="s">
        <v>7248</v>
      </c>
      <c r="F1048" s="2" t="n">
        <f>HYPERLINK("https://patents.google.com/patent/US20220031921","Google")</f>
        <v>0.0</v>
      </c>
      <c r="G1048" s="2" t="n">
        <f>HYPERLINK("https://patentcenter.uspto.gov/applications/17404956","Patent Center")</f>
        <v>0.0</v>
      </c>
      <c r="H1048" s="2" t="n">
        <f>HYPERLINK("https://worldwide.espacenet.com/patent/search?q=US20220031921","Espacenet")</f>
        <v>0.0</v>
      </c>
      <c r="I1048" s="2" t="n">
        <f>HYPERLINK("https://ppubs.uspto.gov/pubwebapp/external.html?q=20220031921.pn.","USPTO")</f>
        <v>0.0</v>
      </c>
      <c r="J1048" s="2" t="n">
        <f>HYPERLINK("https://image-ppubs.uspto.gov/dirsearch-public/print/downloadPdf/20220031921","USPTO PDF")</f>
        <v>0.0</v>
      </c>
      <c r="K1048" s="2" t="n">
        <f>HYPERLINK("https://sectors.patentforecast.com/pmd/US20220031921","PMD")</f>
        <v>0.0</v>
      </c>
      <c r="L1048" s="2" t="n">
        <f>HYPERLINK("https://globaldossier.uspto.gov/result/application/US/17404956/1","US20220031921")</f>
        <v>0.0</v>
      </c>
      <c r="M1048" t="s">
        <v>7249</v>
      </c>
      <c r="N1048" t="s">
        <v>7250</v>
      </c>
      <c r="O1048" t="s">
        <v>7251</v>
      </c>
      <c r="P1048" t="s">
        <v>7252</v>
      </c>
      <c r="Q1048" s="3" t="n">
        <v>44425.0</v>
      </c>
      <c r="R1048" s="3" t="n">
        <v>44595.0</v>
      </c>
      <c r="S1048" s="3" t="n">
        <v>44596.18897556713</v>
      </c>
      <c r="T1048" s="3" t="n">
        <v>44678.6080059375</v>
      </c>
      <c r="U1048" t="s">
        <v>31</v>
      </c>
      <c r="V1048" t="s">
        <v>7253</v>
      </c>
    </row>
    <row r="1049">
      <c r="A1049" t="s">
        <v>22</v>
      </c>
      <c r="B1049" t="s">
        <v>7254</v>
      </c>
      <c r="C1049" t="s">
        <v>24</v>
      </c>
      <c r="D1049" t="s">
        <v>100</v>
      </c>
      <c r="E1049" t="s">
        <v>7255</v>
      </c>
      <c r="F1049" s="2" t="n">
        <f>HYPERLINK("https://patents.google.com/patent/US20220031906","Google")</f>
        <v>0.0</v>
      </c>
      <c r="G1049" s="2" t="n">
        <f>HYPERLINK("https://patentcenter.uspto.gov/applications/17394827","Patent Center")</f>
        <v>0.0</v>
      </c>
      <c r="H1049" s="2" t="n">
        <f>HYPERLINK("https://worldwide.espacenet.com/patent/search?q=US20220031906","Espacenet")</f>
        <v>0.0</v>
      </c>
      <c r="I1049" s="2" t="n">
        <f>HYPERLINK("https://ppubs.uspto.gov/pubwebapp/external.html?q=20220031906.pn.","USPTO")</f>
        <v>0.0</v>
      </c>
      <c r="J1049" s="2" t="n">
        <f>HYPERLINK("https://image-ppubs.uspto.gov/dirsearch-public/print/downloadPdf/20220031906","USPTO PDF")</f>
        <v>0.0</v>
      </c>
      <c r="K1049" s="2" t="n">
        <f>HYPERLINK("https://sectors.patentforecast.com/pmd/US20220031906","PMD")</f>
        <v>0.0</v>
      </c>
      <c r="L1049" s="2" t="n">
        <f>HYPERLINK("https://globaldossier.uspto.gov/result/application/US/17394827/1","US20220031906")</f>
        <v>0.0</v>
      </c>
      <c r="M1049" t="s">
        <v>7256</v>
      </c>
      <c r="N1049" t="s">
        <v>7257</v>
      </c>
      <c r="O1049" t="s">
        <v>7258</v>
      </c>
      <c r="P1049" t="s">
        <v>7259</v>
      </c>
      <c r="Q1049" s="3" t="n">
        <v>44413.0</v>
      </c>
      <c r="R1049" s="3" t="n">
        <v>44595.0</v>
      </c>
      <c r="S1049" s="3" t="n">
        <v>44596.18897556713</v>
      </c>
      <c r="T1049" s="3" t="n">
        <v>44678.57928900463</v>
      </c>
      <c r="U1049" t="s">
        <v>7260</v>
      </c>
      <c r="V1049" t="s">
        <v>7261</v>
      </c>
    </row>
    <row r="1050">
      <c r="A1050" t="s">
        <v>22</v>
      </c>
      <c r="B1050" t="s">
        <v>7262</v>
      </c>
      <c r="C1050" t="s">
        <v>24</v>
      </c>
      <c r="D1050" t="s">
        <v>69</v>
      </c>
      <c r="E1050" t="s">
        <v>7263</v>
      </c>
      <c r="F1050" s="2" t="n">
        <f>HYPERLINK("https://patents.google.com/patent/US20220031902","Google")</f>
        <v>0.0</v>
      </c>
      <c r="G1050" s="2" t="n">
        <f>HYPERLINK("https://patentcenter.uspto.gov/applications/17300492","Patent Center")</f>
        <v>0.0</v>
      </c>
      <c r="H1050" s="2" t="n">
        <f>HYPERLINK("https://worldwide.espacenet.com/patent/search?q=US20220031902","Espacenet")</f>
        <v>0.0</v>
      </c>
      <c r="I1050" s="2" t="n">
        <f>HYPERLINK("https://ppubs.uspto.gov/pubwebapp/external.html?q=20220031902.pn.","USPTO")</f>
        <v>0.0</v>
      </c>
      <c r="J1050" s="2" t="n">
        <f>HYPERLINK("https://image-ppubs.uspto.gov/dirsearch-public/print/downloadPdf/20220031902","USPTO PDF")</f>
        <v>0.0</v>
      </c>
      <c r="K1050" s="2" t="n">
        <f>HYPERLINK("https://sectors.patentforecast.com/pmd/US20220031902","PMD")</f>
        <v>0.0</v>
      </c>
      <c r="L1050" s="2" t="n">
        <f>HYPERLINK("https://globaldossier.uspto.gov/result/application/US/17300492/1","US20220031902")</f>
        <v>0.0</v>
      </c>
      <c r="M1050" t="s">
        <v>7264</v>
      </c>
      <c r="N1050" t="s">
        <v>7265</v>
      </c>
      <c r="O1050" t="s">
        <v>7265</v>
      </c>
      <c r="P1050" t="s">
        <v>7266</v>
      </c>
      <c r="Q1050" s="3" t="n">
        <v>44396.0</v>
      </c>
      <c r="R1050" s="3" t="n">
        <v>44595.0</v>
      </c>
      <c r="S1050" s="3" t="n">
        <v>44596.18897556713</v>
      </c>
      <c r="T1050" s="3" t="n">
        <v>44678.55029554398</v>
      </c>
      <c r="U1050" t="s">
        <v>31</v>
      </c>
      <c r="V1050" t="s">
        <v>7267</v>
      </c>
    </row>
    <row r="1051">
      <c r="A1051" t="s">
        <v>22</v>
      </c>
      <c r="B1051" t="s">
        <v>7268</v>
      </c>
      <c r="C1051" t="s">
        <v>24</v>
      </c>
      <c r="D1051" t="s">
        <v>100</v>
      </c>
      <c r="E1051" t="s">
        <v>7269</v>
      </c>
      <c r="F1051" s="2" t="n">
        <f>HYPERLINK("https://patents.google.com/patent/US20220031892","Google")</f>
        <v>0.0</v>
      </c>
      <c r="G1051" s="2" t="n">
        <f>HYPERLINK("https://patentcenter.uspto.gov/applications/17079488","Patent Center")</f>
        <v>0.0</v>
      </c>
      <c r="H1051" s="2" t="n">
        <f>HYPERLINK("https://worldwide.espacenet.com/patent/search?q=US20220031892","Espacenet")</f>
        <v>0.0</v>
      </c>
      <c r="I1051" s="2" t="n">
        <f>HYPERLINK("https://ppubs.uspto.gov/pubwebapp/external.html?q=20220031892.pn.","USPTO")</f>
        <v>0.0</v>
      </c>
      <c r="J1051" s="2" t="n">
        <f>HYPERLINK("https://image-ppubs.uspto.gov/dirsearch-public/print/downloadPdf/20220031892","USPTO PDF")</f>
        <v>0.0</v>
      </c>
      <c r="K1051" s="2" t="n">
        <f>HYPERLINK("https://sectors.patentforecast.com/pmd/US20220031892","PMD")</f>
        <v>0.0</v>
      </c>
      <c r="L1051" s="2" t="n">
        <f>HYPERLINK("https://globaldossier.uspto.gov/result/application/US/17079488/1","US20220031892")</f>
        <v>0.0</v>
      </c>
      <c r="M1051" t="s">
        <v>7270</v>
      </c>
      <c r="N1051" t="s">
        <v>7271</v>
      </c>
      <c r="O1051" t="s">
        <v>7271</v>
      </c>
      <c r="P1051" t="s">
        <v>7272</v>
      </c>
      <c r="Q1051" s="3" t="n">
        <v>44129.0</v>
      </c>
      <c r="R1051" s="3" t="n">
        <v>44595.0</v>
      </c>
      <c r="S1051" s="3" t="n">
        <v>44596.187876979166</v>
      </c>
      <c r="T1051" s="3" t="n">
        <v>44757.74418296296</v>
      </c>
      <c r="U1051" t="s">
        <v>7273</v>
      </c>
      <c r="V1051" t="s">
        <v>7274</v>
      </c>
    </row>
    <row r="1052">
      <c r="A1052" t="s">
        <v>22</v>
      </c>
      <c r="B1052" t="s">
        <v>7275</v>
      </c>
      <c r="C1052" t="s">
        <v>24</v>
      </c>
      <c r="D1052" t="s">
        <v>100</v>
      </c>
      <c r="E1052" t="s">
        <v>7276</v>
      </c>
      <c r="F1052" s="2" t="n">
        <f>HYPERLINK("https://patents.google.com/patent/US20220031890","Google")</f>
        <v>0.0</v>
      </c>
      <c r="G1052" s="2" t="n">
        <f>HYPERLINK("https://patentcenter.uspto.gov/applications/17390972","Patent Center")</f>
        <v>0.0</v>
      </c>
      <c r="H1052" s="2" t="n">
        <f>HYPERLINK("https://worldwide.espacenet.com/patent/search?q=US20220031890","Espacenet")</f>
        <v>0.0</v>
      </c>
      <c r="I1052" s="2" t="n">
        <f>HYPERLINK("https://ppubs.uspto.gov/pubwebapp/external.html?q=20220031890.pn.","USPTO")</f>
        <v>0.0</v>
      </c>
      <c r="J1052" s="2" t="n">
        <f>HYPERLINK("https://image-ppubs.uspto.gov/dirsearch-public/print/downloadPdf/20220031890","USPTO PDF")</f>
        <v>0.0</v>
      </c>
      <c r="K1052" s="2" t="n">
        <f>HYPERLINK("https://sectors.patentforecast.com/pmd/US20220031890","PMD")</f>
        <v>0.0</v>
      </c>
      <c r="L1052" s="2" t="n">
        <f>HYPERLINK("https://globaldossier.uspto.gov/result/application/US/17390972/1","US20220031890")</f>
        <v>0.0</v>
      </c>
      <c r="M1052" t="s">
        <v>7277</v>
      </c>
      <c r="N1052" t="s">
        <v>7278</v>
      </c>
      <c r="O1052" t="s">
        <v>7279</v>
      </c>
      <c r="P1052" t="s">
        <v>7280</v>
      </c>
      <c r="Q1052" s="3" t="n">
        <v>44409.0</v>
      </c>
      <c r="R1052" s="3" t="n">
        <v>44595.0</v>
      </c>
      <c r="S1052" s="3" t="n">
        <v>44596.18897556713</v>
      </c>
      <c r="T1052" s="3" t="n">
        <v>44678.57928900463</v>
      </c>
      <c r="U1052" t="s">
        <v>31</v>
      </c>
      <c r="V1052" t="s">
        <v>7281</v>
      </c>
    </row>
    <row r="1053">
      <c r="A1053" t="s">
        <v>22</v>
      </c>
      <c r="B1053" t="s">
        <v>7282</v>
      </c>
      <c r="C1053" t="s">
        <v>24</v>
      </c>
      <c r="D1053" t="s">
        <v>100</v>
      </c>
      <c r="E1053" t="s">
        <v>7283</v>
      </c>
      <c r="F1053" s="2" t="n">
        <f>HYPERLINK("https://patents.google.com/patent/US20220031889","Google")</f>
        <v>0.0</v>
      </c>
      <c r="G1053" s="2" t="n">
        <f>HYPERLINK("https://patentcenter.uspto.gov/applications/17389168","Patent Center")</f>
        <v>0.0</v>
      </c>
      <c r="H1053" s="2" t="n">
        <f>HYPERLINK("https://worldwide.espacenet.com/patent/search?q=US20220031889","Espacenet")</f>
        <v>0.0</v>
      </c>
      <c r="I1053" s="2" t="n">
        <f>HYPERLINK("https://ppubs.uspto.gov/pubwebapp/external.html?q=20220031889.pn.","USPTO")</f>
        <v>0.0</v>
      </c>
      <c r="J1053" s="2" t="n">
        <f>HYPERLINK("https://image-ppubs.uspto.gov/dirsearch-public/print/downloadPdf/20220031889","USPTO PDF")</f>
        <v>0.0</v>
      </c>
      <c r="K1053" s="2" t="n">
        <f>HYPERLINK("https://sectors.patentforecast.com/pmd/US20220031889","PMD")</f>
        <v>0.0</v>
      </c>
      <c r="L1053" s="2" t="n">
        <f>HYPERLINK("https://globaldossier.uspto.gov/result/application/US/17389168/1","US20220031889")</f>
        <v>0.0</v>
      </c>
      <c r="M1053" t="s">
        <v>7284</v>
      </c>
      <c r="N1053" t="s">
        <v>7285</v>
      </c>
      <c r="O1053" t="s">
        <v>7286</v>
      </c>
      <c r="P1053" t="s">
        <v>7287</v>
      </c>
      <c r="Q1053" s="3" t="n">
        <v>44406.0</v>
      </c>
      <c r="R1053" s="3" t="n">
        <v>44595.0</v>
      </c>
      <c r="S1053" s="3" t="n">
        <v>44596.18897556713</v>
      </c>
      <c r="T1053" s="3" t="n">
        <v>44678.57928900463</v>
      </c>
      <c r="U1053" t="s">
        <v>31</v>
      </c>
      <c r="V1053" t="s">
        <v>7288</v>
      </c>
    </row>
    <row r="1054">
      <c r="A1054" t="s">
        <v>22</v>
      </c>
      <c r="B1054" t="s">
        <v>7289</v>
      </c>
      <c r="C1054" t="s">
        <v>24</v>
      </c>
      <c r="D1054" t="s">
        <v>100</v>
      </c>
      <c r="E1054" t="s">
        <v>7290</v>
      </c>
      <c r="F1054" s="2" t="n">
        <f>HYPERLINK("https://patents.google.com/patent/US20220031887","Google")</f>
        <v>0.0</v>
      </c>
      <c r="G1054" s="2" t="n">
        <f>HYPERLINK("https://patentcenter.uspto.gov/applications/17318915","Patent Center")</f>
        <v>0.0</v>
      </c>
      <c r="H1054" s="2" t="n">
        <f>HYPERLINK("https://worldwide.espacenet.com/patent/search?q=US20220031887","Espacenet")</f>
        <v>0.0</v>
      </c>
      <c r="I1054" s="2" t="n">
        <f>HYPERLINK("https://ppubs.uspto.gov/pubwebapp/external.html?q=20220031887.pn.","USPTO")</f>
        <v>0.0</v>
      </c>
      <c r="J1054" s="2" t="n">
        <f>HYPERLINK("https://image-ppubs.uspto.gov/dirsearch-public/print/downloadPdf/20220031887","USPTO PDF")</f>
        <v>0.0</v>
      </c>
      <c r="K1054" s="2" t="n">
        <f>HYPERLINK("https://sectors.patentforecast.com/pmd/US20220031887","PMD")</f>
        <v>0.0</v>
      </c>
      <c r="L1054" s="2" t="n">
        <f>HYPERLINK("https://globaldossier.uspto.gov/result/application/US/17318915/1","US20220031887")</f>
        <v>0.0</v>
      </c>
      <c r="M1054" t="s">
        <v>7291</v>
      </c>
      <c r="N1054" t="s">
        <v>7292</v>
      </c>
      <c r="O1054" t="s">
        <v>7293</v>
      </c>
      <c r="P1054" t="s">
        <v>7294</v>
      </c>
      <c r="Q1054" s="3" t="n">
        <v>44328.0</v>
      </c>
      <c r="R1054" s="3" t="n">
        <v>44595.0</v>
      </c>
      <c r="S1054" s="3" t="n">
        <v>44596.18897556713</v>
      </c>
      <c r="T1054" s="3" t="n">
        <v>44757.74429021991</v>
      </c>
      <c r="U1054" t="s">
        <v>31</v>
      </c>
      <c r="V1054" t="s">
        <v>7295</v>
      </c>
    </row>
    <row r="1055">
      <c r="A1055" t="s">
        <v>22</v>
      </c>
      <c r="B1055" t="s">
        <v>7296</v>
      </c>
      <c r="C1055" t="s">
        <v>24</v>
      </c>
      <c r="D1055" t="s">
        <v>100</v>
      </c>
      <c r="E1055" t="s">
        <v>7297</v>
      </c>
      <c r="F1055" s="2" t="n">
        <f>HYPERLINK("https://patents.google.com/patent/US20220031875","Google")</f>
        <v>0.0</v>
      </c>
      <c r="G1055" s="2" t="n">
        <f>HYPERLINK("https://patentcenter.uspto.gov/applications/16945704","Patent Center")</f>
        <v>0.0</v>
      </c>
      <c r="H1055" s="2" t="n">
        <f>HYPERLINK("https://worldwide.espacenet.com/patent/search?q=US20220031875","Espacenet")</f>
        <v>0.0</v>
      </c>
      <c r="I1055" s="2" t="n">
        <f>HYPERLINK("https://ppubs.uspto.gov/pubwebapp/external.html?q=20220031875.pn.","USPTO")</f>
        <v>0.0</v>
      </c>
      <c r="J1055" s="2" t="n">
        <f>HYPERLINK("https://image-ppubs.uspto.gov/dirsearch-public/print/downloadPdf/20220031875","USPTO PDF")</f>
        <v>0.0</v>
      </c>
      <c r="K1055" s="2" t="n">
        <f>HYPERLINK("https://sectors.patentforecast.com/pmd/US20220031875","PMD")</f>
        <v>0.0</v>
      </c>
      <c r="L1055" s="2" t="n">
        <f>HYPERLINK("https://globaldossier.uspto.gov/result/application/US/16945704/1","US20220031875")</f>
        <v>0.0</v>
      </c>
      <c r="M1055" t="s">
        <v>7298</v>
      </c>
      <c r="N1055" t="s">
        <v>7299</v>
      </c>
      <c r="O1055" t="s">
        <v>7300</v>
      </c>
      <c r="P1055" t="s">
        <v>7301</v>
      </c>
      <c r="Q1055" s="3" t="n">
        <v>44043.0</v>
      </c>
      <c r="R1055" s="3" t="n">
        <v>44595.0</v>
      </c>
      <c r="S1055" s="3" t="n">
        <v>44643.24305162037</v>
      </c>
      <c r="T1055" s="3" t="n">
        <v>44719.602582893516</v>
      </c>
      <c r="U1055" t="s">
        <v>31</v>
      </c>
      <c r="V1055" t="s">
        <v>7302</v>
      </c>
    </row>
    <row r="1056">
      <c r="A1056" t="s">
        <v>22</v>
      </c>
      <c r="B1056" t="s">
        <v>7303</v>
      </c>
      <c r="C1056" t="s">
        <v>24</v>
      </c>
      <c r="D1056" t="s">
        <v>100</v>
      </c>
      <c r="E1056" t="s">
        <v>7297</v>
      </c>
      <c r="F1056" s="2" t="n">
        <f>HYPERLINK("https://patents.google.com/patent/US20220031874","Google")</f>
        <v>0.0</v>
      </c>
      <c r="G1056" s="2" t="n">
        <f>HYPERLINK("https://patentcenter.uspto.gov/applications/16945681","Patent Center")</f>
        <v>0.0</v>
      </c>
      <c r="H1056" s="2" t="n">
        <f>HYPERLINK("https://worldwide.espacenet.com/patent/search?q=US20220031874","Espacenet")</f>
        <v>0.0</v>
      </c>
      <c r="I1056" s="2" t="n">
        <f>HYPERLINK("https://ppubs.uspto.gov/pubwebapp/external.html?q=20220031874.pn.","USPTO")</f>
        <v>0.0</v>
      </c>
      <c r="J1056" s="2" t="n">
        <f>HYPERLINK("https://image-ppubs.uspto.gov/dirsearch-public/print/downloadPdf/20220031874","USPTO PDF")</f>
        <v>0.0</v>
      </c>
      <c r="K1056" s="2" t="n">
        <f>HYPERLINK("https://sectors.patentforecast.com/pmd/US20220031874","PMD")</f>
        <v>0.0</v>
      </c>
      <c r="L1056" s="2" t="n">
        <f>HYPERLINK("https://globaldossier.uspto.gov/result/application/US/16945681/1","US20220031874")</f>
        <v>0.0</v>
      </c>
      <c r="M1056" t="s">
        <v>7304</v>
      </c>
      <c r="N1056" t="s">
        <v>7299</v>
      </c>
      <c r="O1056" t="s">
        <v>7300</v>
      </c>
      <c r="P1056" t="s">
        <v>7301</v>
      </c>
      <c r="Q1056" s="3" t="n">
        <v>44043.0</v>
      </c>
      <c r="R1056" s="3" t="n">
        <v>44595.0</v>
      </c>
      <c r="S1056" s="3" t="n">
        <v>44643.24305162037</v>
      </c>
      <c r="T1056" s="3" t="n">
        <v>44719.602611875</v>
      </c>
      <c r="U1056" t="s">
        <v>7305</v>
      </c>
      <c r="V1056" t="s">
        <v>7306</v>
      </c>
    </row>
    <row r="1057">
      <c r="A1057" t="s">
        <v>22</v>
      </c>
      <c r="B1057" t="s">
        <v>7307</v>
      </c>
      <c r="C1057" t="s">
        <v>132</v>
      </c>
      <c r="D1057" t="s">
        <v>142</v>
      </c>
      <c r="E1057" t="s">
        <v>7308</v>
      </c>
      <c r="F1057" s="2" t="n">
        <f>HYPERLINK("https://patents.google.com/patent/US20220031835","Google")</f>
        <v>0.0</v>
      </c>
      <c r="G1057" s="2" t="n">
        <f>HYPERLINK("https://patentcenter.uspto.gov/applications/17386289","Patent Center")</f>
        <v>0.0</v>
      </c>
      <c r="H1057" s="2" t="n">
        <f>HYPERLINK("https://worldwide.espacenet.com/patent/search?q=US20220031835","Espacenet")</f>
        <v>0.0</v>
      </c>
      <c r="I1057" s="2" t="n">
        <f>HYPERLINK("https://ppubs.uspto.gov/pubwebapp/external.html?q=20220031835.pn.","USPTO")</f>
        <v>0.0</v>
      </c>
      <c r="J1057" s="2" t="n">
        <f>HYPERLINK("https://image-ppubs.uspto.gov/dirsearch-public/print/downloadPdf/20220031835","USPTO PDF")</f>
        <v>0.0</v>
      </c>
      <c r="K1057" s="2" t="n">
        <f>HYPERLINK("https://sectors.patentforecast.com/pmd/US20220031835","PMD")</f>
        <v>0.0</v>
      </c>
      <c r="L1057" s="2" t="n">
        <f>HYPERLINK("https://globaldossier.uspto.gov/result/application/US/17386289/1","US20220031835")</f>
        <v>0.0</v>
      </c>
      <c r="M1057" t="s">
        <v>7309</v>
      </c>
      <c r="N1057" t="s">
        <v>7310</v>
      </c>
      <c r="O1057" t="s">
        <v>7311</v>
      </c>
      <c r="P1057" t="s">
        <v>7312</v>
      </c>
      <c r="Q1057" s="3" t="n">
        <v>44404.0</v>
      </c>
      <c r="R1057" s="3" t="n">
        <v>44595.0</v>
      </c>
      <c r="S1057" s="3" t="n">
        <v>44643.23275070602</v>
      </c>
      <c r="T1057" s="3" t="n">
        <v>44658.633340416665</v>
      </c>
      <c r="U1057" t="s">
        <v>7313</v>
      </c>
      <c r="V1057" t="s">
        <v>7314</v>
      </c>
    </row>
    <row r="1058">
      <c r="A1058" t="s">
        <v>22</v>
      </c>
      <c r="B1058" t="s">
        <v>7315</v>
      </c>
      <c r="C1058" t="s">
        <v>60</v>
      </c>
      <c r="D1058" t="s">
        <v>4942</v>
      </c>
      <c r="E1058" t="s">
        <v>7316</v>
      </c>
      <c r="F1058" s="2" t="n">
        <f>HYPERLINK("https://patents.google.com/patent/US20220031792","Google")</f>
        <v>0.0</v>
      </c>
      <c r="G1058" s="2" t="n">
        <f>HYPERLINK("https://patentcenter.uspto.gov/applications/17347859","Patent Center")</f>
        <v>0.0</v>
      </c>
      <c r="H1058" s="2" t="n">
        <f>HYPERLINK("https://worldwide.espacenet.com/patent/search?q=US20220031792","Espacenet")</f>
        <v>0.0</v>
      </c>
      <c r="I1058" s="2" t="n">
        <f>HYPERLINK("https://ppubs.uspto.gov/pubwebapp/external.html?q=20220031792.pn.","USPTO")</f>
        <v>0.0</v>
      </c>
      <c r="J1058" s="2" t="n">
        <f>HYPERLINK("https://image-ppubs.uspto.gov/dirsearch-public/print/downloadPdf/20220031792","USPTO PDF")</f>
        <v>0.0</v>
      </c>
      <c r="K1058" s="2" t="n">
        <f>HYPERLINK("https://sectors.patentforecast.com/pmd/US20220031792","PMD")</f>
        <v>0.0</v>
      </c>
      <c r="L1058" s="2" t="n">
        <f>HYPERLINK("https://globaldossier.uspto.gov/result/application/US/17347859/1","US20220031792")</f>
        <v>0.0</v>
      </c>
      <c r="M1058" t="s">
        <v>7317</v>
      </c>
      <c r="N1058" t="s">
        <v>7318</v>
      </c>
      <c r="O1058" t="s">
        <v>7319</v>
      </c>
      <c r="P1058" t="s">
        <v>7320</v>
      </c>
      <c r="Q1058" s="3" t="n">
        <v>44362.0</v>
      </c>
      <c r="R1058" s="3" t="n">
        <v>44595.0</v>
      </c>
      <c r="S1058" s="3" t="n">
        <v>44596.18897556713</v>
      </c>
      <c r="T1058" s="3" t="n">
        <v>44678.58849357639</v>
      </c>
      <c r="U1058" t="s">
        <v>7321</v>
      </c>
      <c r="V1058" t="s">
        <v>7322</v>
      </c>
    </row>
    <row r="1059">
      <c r="A1059" t="s">
        <v>22</v>
      </c>
      <c r="B1059" t="s">
        <v>7323</v>
      </c>
      <c r="C1059" t="s">
        <v>60</v>
      </c>
      <c r="D1059" t="s">
        <v>61</v>
      </c>
      <c r="E1059" t="s">
        <v>7324</v>
      </c>
      <c r="F1059" s="2" t="n">
        <f>HYPERLINK("https://patents.google.com/patent/US20220031682","Google")</f>
        <v>0.0</v>
      </c>
      <c r="G1059" s="2" t="n">
        <f>HYPERLINK("https://patentcenter.uspto.gov/applications/17502932","Patent Center")</f>
        <v>0.0</v>
      </c>
      <c r="H1059" s="2" t="n">
        <f>HYPERLINK("https://worldwide.espacenet.com/patent/search?q=US20220031682","Espacenet")</f>
        <v>0.0</v>
      </c>
      <c r="I1059" s="2" t="n">
        <f>HYPERLINK("https://ppubs.uspto.gov/pubwebapp/external.html?q=20220031682.pn.","USPTO")</f>
        <v>0.0</v>
      </c>
      <c r="J1059" s="2" t="n">
        <f>HYPERLINK("https://image-ppubs.uspto.gov/dirsearch-public/print/downloadPdf/20220031682","USPTO PDF")</f>
        <v>0.0</v>
      </c>
      <c r="K1059" s="2" t="n">
        <f>HYPERLINK("https://sectors.patentforecast.com/pmd/US20220031682","PMD")</f>
        <v>0.0</v>
      </c>
      <c r="L1059" s="2" t="n">
        <f>HYPERLINK("https://globaldossier.uspto.gov/result/application/US/17502932/1","US20220031682")</f>
        <v>0.0</v>
      </c>
      <c r="M1059" t="s">
        <v>7325</v>
      </c>
      <c r="N1059" t="s">
        <v>160</v>
      </c>
      <c r="O1059" t="s">
        <v>161</v>
      </c>
      <c r="P1059" t="s">
        <v>162</v>
      </c>
      <c r="Q1059" s="3" t="n">
        <v>44484.0</v>
      </c>
      <c r="R1059" s="3" t="n">
        <v>44595.0</v>
      </c>
      <c r="S1059" s="3" t="n">
        <v>44596.187876979166</v>
      </c>
      <c r="T1059" s="3" t="n">
        <v>44638.691828333336</v>
      </c>
      <c r="U1059" t="s">
        <v>31</v>
      </c>
      <c r="V1059" t="s">
        <v>163</v>
      </c>
    </row>
    <row r="1060">
      <c r="A1060" t="s">
        <v>22</v>
      </c>
      <c r="B1060" t="s">
        <v>7326</v>
      </c>
      <c r="C1060" t="s">
        <v>60</v>
      </c>
      <c r="D1060" t="s">
        <v>61</v>
      </c>
      <c r="E1060" t="s">
        <v>7327</v>
      </c>
      <c r="F1060" s="2" t="n">
        <f>HYPERLINK("https://patents.google.com/patent/US20220031669","Google")</f>
        <v>0.0</v>
      </c>
      <c r="G1060" s="2" t="n">
        <f>HYPERLINK("https://patentcenter.uspto.gov/applications/17389259","Patent Center")</f>
        <v>0.0</v>
      </c>
      <c r="H1060" s="2" t="n">
        <f>HYPERLINK("https://worldwide.espacenet.com/patent/search?q=US20220031669","Espacenet")</f>
        <v>0.0</v>
      </c>
      <c r="I1060" s="2" t="n">
        <f>HYPERLINK("https://ppubs.uspto.gov/pubwebapp/external.html?q=20220031669.pn.","USPTO")</f>
        <v>0.0</v>
      </c>
      <c r="J1060" s="2" t="n">
        <f>HYPERLINK("https://image-ppubs.uspto.gov/dirsearch-public/print/downloadPdf/20220031669","USPTO PDF")</f>
        <v>0.0</v>
      </c>
      <c r="K1060" s="2" t="n">
        <f>HYPERLINK("https://sectors.patentforecast.com/pmd/US20220031669","PMD")</f>
        <v>0.0</v>
      </c>
      <c r="L1060" s="2" t="n">
        <f>HYPERLINK("https://globaldossier.uspto.gov/result/application/US/17389259/1","US20220031669")</f>
        <v>0.0</v>
      </c>
      <c r="M1060" t="s">
        <v>7328</v>
      </c>
      <c r="N1060" t="s">
        <v>7329</v>
      </c>
      <c r="O1060" t="s">
        <v>7330</v>
      </c>
      <c r="P1060" t="s">
        <v>7331</v>
      </c>
      <c r="Q1060" s="3" t="n">
        <v>44406.0</v>
      </c>
      <c r="R1060" s="3" t="n">
        <v>44595.0</v>
      </c>
      <c r="S1060" s="3" t="n">
        <v>44643.23911607639</v>
      </c>
      <c r="T1060" s="3" t="n">
        <v>44658.65504474537</v>
      </c>
      <c r="U1060" t="s">
        <v>31</v>
      </c>
      <c r="V1060" t="s">
        <v>7332</v>
      </c>
    </row>
    <row r="1061">
      <c r="A1061" t="s">
        <v>22</v>
      </c>
      <c r="B1061" t="s">
        <v>7333</v>
      </c>
      <c r="C1061" t="s">
        <v>60</v>
      </c>
      <c r="D1061" t="s">
        <v>61</v>
      </c>
      <c r="E1061" t="s">
        <v>7334</v>
      </c>
      <c r="F1061" s="2" t="n">
        <f>HYPERLINK("https://patents.google.com/patent/US20220031642","Google")</f>
        <v>0.0</v>
      </c>
      <c r="G1061" s="2" t="n">
        <f>HYPERLINK("https://patentcenter.uspto.gov/applications/17503036","Patent Center")</f>
        <v>0.0</v>
      </c>
      <c r="H1061" s="2" t="n">
        <f>HYPERLINK("https://worldwide.espacenet.com/patent/search?q=US20220031642","Espacenet")</f>
        <v>0.0</v>
      </c>
      <c r="I1061" s="2" t="n">
        <f>HYPERLINK("https://ppubs.uspto.gov/pubwebapp/external.html?q=20220031642.pn.","USPTO")</f>
        <v>0.0</v>
      </c>
      <c r="J1061" s="2" t="n">
        <f>HYPERLINK("https://image-ppubs.uspto.gov/dirsearch-public/print/downloadPdf/20220031642","USPTO PDF")</f>
        <v>0.0</v>
      </c>
      <c r="K1061" s="2" t="n">
        <f>HYPERLINK("https://sectors.patentforecast.com/pmd/US20220031642","PMD")</f>
        <v>0.0</v>
      </c>
      <c r="L1061" s="2" t="n">
        <f>HYPERLINK("https://globaldossier.uspto.gov/result/application/US/17503036/1","US20220031642")</f>
        <v>0.0</v>
      </c>
      <c r="M1061" t="s">
        <v>7335</v>
      </c>
      <c r="N1061" t="s">
        <v>7336</v>
      </c>
      <c r="O1061" t="s">
        <v>7337</v>
      </c>
      <c r="P1061" t="s">
        <v>7338</v>
      </c>
      <c r="Q1061" s="3" t="n">
        <v>44484.0</v>
      </c>
      <c r="R1061" s="3" t="n">
        <v>44595.0</v>
      </c>
      <c r="S1061" s="3" t="n">
        <v>44596.18897556713</v>
      </c>
      <c r="T1061" s="3" t="n">
        <v>44638.69246283565</v>
      </c>
      <c r="U1061" t="s">
        <v>7339</v>
      </c>
      <c r="V1061" t="s">
        <v>7340</v>
      </c>
    </row>
    <row r="1062">
      <c r="A1062" t="s">
        <v>22</v>
      </c>
      <c r="B1062" t="s">
        <v>7341</v>
      </c>
      <c r="C1062" t="s">
        <v>60</v>
      </c>
      <c r="D1062" t="s">
        <v>2262</v>
      </c>
      <c r="E1062" t="s">
        <v>7342</v>
      </c>
      <c r="F1062" s="2" t="n">
        <f>HYPERLINK("https://patents.google.com/patent/US20220031635","Google")</f>
        <v>0.0</v>
      </c>
      <c r="G1062" s="2" t="n">
        <f>HYPERLINK("https://patentcenter.uspto.gov/applications/17388061","Patent Center")</f>
        <v>0.0</v>
      </c>
      <c r="H1062" s="2" t="n">
        <f>HYPERLINK("https://worldwide.espacenet.com/patent/search?q=US20220031635","Espacenet")</f>
        <v>0.0</v>
      </c>
      <c r="I1062" s="2" t="n">
        <f>HYPERLINK("https://ppubs.uspto.gov/pubwebapp/external.html?q=20220031635.pn.","USPTO")</f>
        <v>0.0</v>
      </c>
      <c r="J1062" s="2" t="n">
        <f>HYPERLINK("https://image-ppubs.uspto.gov/dirsearch-public/print/downloadPdf/20220031635","USPTO PDF")</f>
        <v>0.0</v>
      </c>
      <c r="K1062" s="2" t="n">
        <f>HYPERLINK("https://sectors.patentforecast.com/pmd/US20220031635","PMD")</f>
        <v>0.0</v>
      </c>
      <c r="L1062" s="2" t="n">
        <f>HYPERLINK("https://globaldossier.uspto.gov/result/application/US/17388061/1","US20220031635")</f>
        <v>0.0</v>
      </c>
      <c r="M1062" t="s">
        <v>7343</v>
      </c>
      <c r="N1062" t="s">
        <v>7344</v>
      </c>
      <c r="O1062" t="s">
        <v>7345</v>
      </c>
      <c r="P1062" t="s">
        <v>7346</v>
      </c>
      <c r="Q1062" s="3" t="n">
        <v>44406.0</v>
      </c>
      <c r="R1062" s="3" t="n">
        <v>44595.0</v>
      </c>
      <c r="S1062" s="3" t="n">
        <v>44596.18897556713</v>
      </c>
      <c r="T1062" s="3" t="n">
        <v>44678.54186752315</v>
      </c>
      <c r="U1062" t="s">
        <v>31</v>
      </c>
      <c r="V1062" t="s">
        <v>7347</v>
      </c>
    </row>
    <row r="1063">
      <c r="A1063" t="s">
        <v>22</v>
      </c>
      <c r="B1063" t="s">
        <v>7348</v>
      </c>
      <c r="C1063" t="s">
        <v>24</v>
      </c>
      <c r="D1063" t="s">
        <v>69</v>
      </c>
      <c r="E1063" t="s">
        <v>7349</v>
      </c>
      <c r="F1063" s="2" t="n">
        <f>HYPERLINK("https://patents.google.com/patent/US20220030982","Google")</f>
        <v>0.0</v>
      </c>
      <c r="G1063" s="2" t="n">
        <f>HYPERLINK("https://patentcenter.uspto.gov/applications/17503153","Patent Center")</f>
        <v>0.0</v>
      </c>
      <c r="H1063" s="2" t="n">
        <f>HYPERLINK("https://worldwide.espacenet.com/patent/search?q=US20220030982","Espacenet")</f>
        <v>0.0</v>
      </c>
      <c r="I1063" s="2" t="n">
        <f>HYPERLINK("https://ppubs.uspto.gov/pubwebapp/external.html?q=20220030982.pn.","USPTO")</f>
        <v>0.0</v>
      </c>
      <c r="J1063" s="2" t="n">
        <f>HYPERLINK("https://image-ppubs.uspto.gov/dirsearch-public/print/downloadPdf/20220030982","USPTO PDF")</f>
        <v>0.0</v>
      </c>
      <c r="K1063" s="2" t="n">
        <f>HYPERLINK("https://sectors.patentforecast.com/pmd/US20220030982","PMD")</f>
        <v>0.0</v>
      </c>
      <c r="L1063" s="2" t="n">
        <f>HYPERLINK("https://globaldossier.uspto.gov/result/application/US/17503153/1","US20220030982")</f>
        <v>0.0</v>
      </c>
      <c r="M1063" t="s">
        <v>7350</v>
      </c>
      <c r="N1063" t="s">
        <v>7351</v>
      </c>
      <c r="O1063" t="s">
        <v>7352</v>
      </c>
      <c r="P1063" t="s">
        <v>7353</v>
      </c>
      <c r="Q1063" s="3" t="n">
        <v>44484.0</v>
      </c>
      <c r="R1063" s="3" t="n">
        <v>44595.0</v>
      </c>
      <c r="S1063" s="3" t="n">
        <v>44596.18897556713</v>
      </c>
      <c r="T1063" s="3" t="n">
        <v>44678.54920400463</v>
      </c>
      <c r="U1063" t="s">
        <v>31</v>
      </c>
      <c r="V1063" t="s">
        <v>7354</v>
      </c>
    </row>
    <row r="1064">
      <c r="A1064" t="s">
        <v>22</v>
      </c>
      <c r="B1064" t="s">
        <v>7355</v>
      </c>
      <c r="C1064" t="s">
        <v>24</v>
      </c>
      <c r="D1064" t="s">
        <v>69</v>
      </c>
      <c r="E1064" t="s">
        <v>7349</v>
      </c>
      <c r="F1064" s="2" t="n">
        <f>HYPERLINK("https://patents.google.com/patent/US20220030981","Google")</f>
        <v>0.0</v>
      </c>
      <c r="G1064" s="2" t="n">
        <f>HYPERLINK("https://patentcenter.uspto.gov/applications/17503151","Patent Center")</f>
        <v>0.0</v>
      </c>
      <c r="H1064" s="2" t="n">
        <f>HYPERLINK("https://worldwide.espacenet.com/patent/search?q=US20220030981","Espacenet")</f>
        <v>0.0</v>
      </c>
      <c r="I1064" s="2" t="n">
        <f>HYPERLINK("https://ppubs.uspto.gov/pubwebapp/external.html?q=20220030981.pn.","USPTO")</f>
        <v>0.0</v>
      </c>
      <c r="J1064" s="2" t="n">
        <f>HYPERLINK("https://image-ppubs.uspto.gov/dirsearch-public/print/downloadPdf/20220030981","USPTO PDF")</f>
        <v>0.0</v>
      </c>
      <c r="K1064" s="2" t="n">
        <f>HYPERLINK("https://sectors.patentforecast.com/pmd/US20220030981","PMD")</f>
        <v>0.0</v>
      </c>
      <c r="L1064" s="2" t="n">
        <f>HYPERLINK("https://globaldossier.uspto.gov/result/application/US/17503151/1","US20220030981")</f>
        <v>0.0</v>
      </c>
      <c r="M1064" t="s">
        <v>7356</v>
      </c>
      <c r="N1064" t="s">
        <v>7351</v>
      </c>
      <c r="O1064" t="s">
        <v>7352</v>
      </c>
      <c r="P1064" t="s">
        <v>7353</v>
      </c>
      <c r="Q1064" s="3" t="n">
        <v>44484.0</v>
      </c>
      <c r="R1064" s="3" t="n">
        <v>44595.0</v>
      </c>
      <c r="S1064" s="3" t="n">
        <v>44596.18897556713</v>
      </c>
      <c r="T1064" s="3" t="n">
        <v>44678.54932892361</v>
      </c>
      <c r="U1064" t="s">
        <v>31</v>
      </c>
      <c r="V1064" t="s">
        <v>7354</v>
      </c>
    </row>
    <row r="1065">
      <c r="A1065" t="s">
        <v>22</v>
      </c>
      <c r="B1065" t="s">
        <v>7357</v>
      </c>
      <c r="C1065" t="s">
        <v>24</v>
      </c>
      <c r="D1065" t="s">
        <v>69</v>
      </c>
      <c r="E1065" t="s">
        <v>7358</v>
      </c>
      <c r="F1065" s="2" t="n">
        <f>HYPERLINK("https://patents.google.com/patent/US20220030980","Google")</f>
        <v>0.0</v>
      </c>
      <c r="G1065" s="2" t="n">
        <f>HYPERLINK("https://patentcenter.uspto.gov/applications/17336169","Patent Center")</f>
        <v>0.0</v>
      </c>
      <c r="H1065" s="2" t="n">
        <f>HYPERLINK("https://worldwide.espacenet.com/patent/search?q=US20220030980","Espacenet")</f>
        <v>0.0</v>
      </c>
      <c r="I1065" s="2" t="n">
        <f>HYPERLINK("https://ppubs.uspto.gov/pubwebapp/external.html?q=20220030980.pn.","USPTO")</f>
        <v>0.0</v>
      </c>
      <c r="J1065" s="2" t="n">
        <f>HYPERLINK("https://image-ppubs.uspto.gov/dirsearch-public/print/downloadPdf/20220030980","USPTO PDF")</f>
        <v>0.0</v>
      </c>
      <c r="K1065" s="2" t="n">
        <f>HYPERLINK("https://sectors.patentforecast.com/pmd/US20220030980","PMD")</f>
        <v>0.0</v>
      </c>
      <c r="L1065" s="2" t="n">
        <f>HYPERLINK("https://globaldossier.uspto.gov/result/application/US/17336169/1","US20220030980")</f>
        <v>0.0</v>
      </c>
      <c r="M1065" t="s">
        <v>7359</v>
      </c>
      <c r="N1065" t="s">
        <v>7360</v>
      </c>
      <c r="O1065" t="s">
        <v>7361</v>
      </c>
      <c r="P1065" t="s">
        <v>7362</v>
      </c>
      <c r="Q1065" s="3" t="n">
        <v>44348.0</v>
      </c>
      <c r="R1065" s="3" t="n">
        <v>44595.0</v>
      </c>
      <c r="S1065" s="3" t="n">
        <v>44596.18897556713</v>
      </c>
      <c r="T1065" s="3" t="n">
        <v>44678.63169162037</v>
      </c>
      <c r="U1065" t="s">
        <v>7363</v>
      </c>
      <c r="V1065" t="s">
        <v>7364</v>
      </c>
    </row>
    <row r="1066">
      <c r="A1066" t="s">
        <v>22</v>
      </c>
      <c r="B1066" t="s">
        <v>7365</v>
      </c>
      <c r="C1066" t="s">
        <v>24</v>
      </c>
      <c r="D1066" t="s">
        <v>69</v>
      </c>
      <c r="E1066" t="s">
        <v>7366</v>
      </c>
      <c r="F1066" s="2" t="n">
        <f>HYPERLINK("https://patents.google.com/patent/US20220030971","Google")</f>
        <v>0.0</v>
      </c>
      <c r="G1066" s="2" t="n">
        <f>HYPERLINK("https://patentcenter.uspto.gov/applications/17367545","Patent Center")</f>
        <v>0.0</v>
      </c>
      <c r="H1066" s="2" t="n">
        <f>HYPERLINK("https://worldwide.espacenet.com/patent/search?q=US20220030971","Espacenet")</f>
        <v>0.0</v>
      </c>
      <c r="I1066" s="2" t="n">
        <f>HYPERLINK("https://ppubs.uspto.gov/pubwebapp/external.html?q=20220030971.pn.","USPTO")</f>
        <v>0.0</v>
      </c>
      <c r="J1066" s="2" t="n">
        <f>HYPERLINK("https://image-ppubs.uspto.gov/dirsearch-public/print/downloadPdf/20220030971","USPTO PDF")</f>
        <v>0.0</v>
      </c>
      <c r="K1066" s="2" t="n">
        <f>HYPERLINK("https://sectors.patentforecast.com/pmd/US20220030971","PMD")</f>
        <v>0.0</v>
      </c>
      <c r="L1066" s="2" t="n">
        <f>HYPERLINK("https://globaldossier.uspto.gov/result/application/US/17367545/1","US20220030971")</f>
        <v>0.0</v>
      </c>
      <c r="M1066" t="s">
        <v>7367</v>
      </c>
      <c r="N1066" t="s">
        <v>7368</v>
      </c>
      <c r="O1066" t="s">
        <v>7368</v>
      </c>
      <c r="P1066" t="s">
        <v>7369</v>
      </c>
      <c r="Q1066" s="3" t="n">
        <v>44382.0</v>
      </c>
      <c r="R1066" s="3" t="n">
        <v>44595.0</v>
      </c>
      <c r="S1066" s="3" t="n">
        <v>44596.18897556713</v>
      </c>
      <c r="T1066" s="3" t="n">
        <v>44757.744504016206</v>
      </c>
      <c r="U1066" t="s">
        <v>31</v>
      </c>
      <c r="V1066" t="s">
        <v>7370</v>
      </c>
    </row>
    <row r="1067">
      <c r="A1067" t="s">
        <v>22</v>
      </c>
      <c r="B1067" t="s">
        <v>7371</v>
      </c>
      <c r="C1067" t="s">
        <v>24</v>
      </c>
      <c r="D1067" t="s">
        <v>69</v>
      </c>
      <c r="E1067" t="s">
        <v>7372</v>
      </c>
      <c r="F1067" s="2" t="n">
        <f>HYPERLINK("https://patents.google.com/patent/US20220030970","Google")</f>
        <v>0.0</v>
      </c>
      <c r="G1067" s="2" t="n">
        <f>HYPERLINK("https://patentcenter.uspto.gov/applications/17073548","Patent Center")</f>
        <v>0.0</v>
      </c>
      <c r="H1067" s="2" t="n">
        <f>HYPERLINK("https://worldwide.espacenet.com/patent/search?q=US20220030970","Espacenet")</f>
        <v>0.0</v>
      </c>
      <c r="I1067" s="2" t="n">
        <f>HYPERLINK("https://ppubs.uspto.gov/pubwebapp/external.html?q=20220030970.pn.","USPTO")</f>
        <v>0.0</v>
      </c>
      <c r="J1067" s="2" t="n">
        <f>HYPERLINK("https://image-ppubs.uspto.gov/dirsearch-public/print/downloadPdf/20220030970","USPTO PDF")</f>
        <v>0.0</v>
      </c>
      <c r="K1067" s="2" t="n">
        <f>HYPERLINK("https://sectors.patentforecast.com/pmd/US20220030970","PMD")</f>
        <v>0.0</v>
      </c>
      <c r="L1067" s="2" t="n">
        <f>HYPERLINK("https://globaldossier.uspto.gov/result/application/US/17073548/1","US20220030970")</f>
        <v>0.0</v>
      </c>
      <c r="M1067" t="s">
        <v>7373</v>
      </c>
      <c r="N1067" t="s">
        <v>7374</v>
      </c>
      <c r="O1067" t="s">
        <v>7375</v>
      </c>
      <c r="P1067" t="s">
        <v>7376</v>
      </c>
      <c r="Q1067" s="3" t="n">
        <v>44123.0</v>
      </c>
      <c r="R1067" s="3" t="n">
        <v>44595.0</v>
      </c>
      <c r="S1067" s="3" t="n">
        <v>44596.18897556713</v>
      </c>
      <c r="T1067" s="3" t="n">
        <v>44757.74497814815</v>
      </c>
      <c r="U1067" t="s">
        <v>4145</v>
      </c>
      <c r="V1067" t="s">
        <v>7377</v>
      </c>
    </row>
    <row r="1068">
      <c r="A1068" t="s">
        <v>22</v>
      </c>
      <c r="B1068" t="s">
        <v>7378</v>
      </c>
      <c r="C1068" t="s">
        <v>24</v>
      </c>
      <c r="D1068" t="s">
        <v>69</v>
      </c>
      <c r="E1068" t="s">
        <v>7379</v>
      </c>
      <c r="F1068" s="2" t="n">
        <f>HYPERLINK("https://patents.google.com/patent/US20220030966","Google")</f>
        <v>0.0</v>
      </c>
      <c r="G1068" s="2" t="n">
        <f>HYPERLINK("https://patentcenter.uspto.gov/applications/17197117","Patent Center")</f>
        <v>0.0</v>
      </c>
      <c r="H1068" s="2" t="n">
        <f>HYPERLINK("https://worldwide.espacenet.com/patent/search?q=US20220030966","Espacenet")</f>
        <v>0.0</v>
      </c>
      <c r="I1068" s="2" t="n">
        <f>HYPERLINK("https://ppubs.uspto.gov/pubwebapp/external.html?q=20220030966.pn.","USPTO")</f>
        <v>0.0</v>
      </c>
      <c r="J1068" s="2" t="n">
        <f>HYPERLINK("https://image-ppubs.uspto.gov/dirsearch-public/print/downloadPdf/20220030966","USPTO PDF")</f>
        <v>0.0</v>
      </c>
      <c r="K1068" s="2" t="n">
        <f>HYPERLINK("https://sectors.patentforecast.com/pmd/US20220030966","PMD")</f>
        <v>0.0</v>
      </c>
      <c r="L1068" s="2" t="n">
        <f>HYPERLINK("https://globaldossier.uspto.gov/result/application/US/17197117/1","US20220030966")</f>
        <v>0.0</v>
      </c>
      <c r="M1068" t="s">
        <v>7380</v>
      </c>
      <c r="N1068" t="s">
        <v>7381</v>
      </c>
      <c r="O1068" t="s">
        <v>7382</v>
      </c>
      <c r="P1068" t="s">
        <v>7383</v>
      </c>
      <c r="Q1068" s="3" t="n">
        <v>44265.0</v>
      </c>
      <c r="R1068" s="3" t="n">
        <v>44595.0</v>
      </c>
      <c r="S1068" s="3" t="n">
        <v>44596.18897556713</v>
      </c>
      <c r="T1068" s="3" t="n">
        <v>44678.63169162037</v>
      </c>
      <c r="U1068" t="s">
        <v>7384</v>
      </c>
      <c r="V1068" t="s">
        <v>7385</v>
      </c>
    </row>
    <row r="1069">
      <c r="A1069" t="s">
        <v>22</v>
      </c>
      <c r="B1069" t="s">
        <v>7386</v>
      </c>
      <c r="C1069" t="s">
        <v>24</v>
      </c>
      <c r="D1069" t="s">
        <v>100</v>
      </c>
      <c r="E1069" t="s">
        <v>7387</v>
      </c>
      <c r="F1069" s="2" t="n">
        <f>HYPERLINK("https://patents.google.com/patent/US20220027601","Google")</f>
        <v>0.0</v>
      </c>
      <c r="G1069" s="2" t="n">
        <f>HYPERLINK("https://patentcenter.uspto.gov/applications/16937520","Patent Center")</f>
        <v>0.0</v>
      </c>
      <c r="H1069" s="2" t="n">
        <f>HYPERLINK("https://worldwide.espacenet.com/patent/search?q=US20220027601","Espacenet")</f>
        <v>0.0</v>
      </c>
      <c r="I1069" s="2" t="n">
        <f>HYPERLINK("https://ppubs.uspto.gov/pubwebapp/external.html?q=20220027601.pn.","USPTO")</f>
        <v>0.0</v>
      </c>
      <c r="J1069" s="2" t="n">
        <f>HYPERLINK("https://image-ppubs.uspto.gov/dirsearch-public/print/downloadPdf/20220027601","USPTO PDF")</f>
        <v>0.0</v>
      </c>
      <c r="K1069" s="2" t="n">
        <f>HYPERLINK("https://sectors.patentforecast.com/pmd/US20220027601","PMD")</f>
        <v>0.0</v>
      </c>
      <c r="L1069" s="2" t="n">
        <f>HYPERLINK("https://globaldossier.uspto.gov/result/application/US/16937520/1","US20220027601")</f>
        <v>0.0</v>
      </c>
      <c r="M1069" t="s">
        <v>7388</v>
      </c>
      <c r="N1069" t="s">
        <v>887</v>
      </c>
      <c r="O1069" t="s">
        <v>888</v>
      </c>
      <c r="P1069" t="s">
        <v>7389</v>
      </c>
      <c r="Q1069" s="3" t="n">
        <v>44035.0</v>
      </c>
      <c r="R1069" s="3" t="n">
        <v>44588.0</v>
      </c>
      <c r="S1069" s="3" t="n">
        <v>44589.18880938657</v>
      </c>
      <c r="T1069" s="3" t="n">
        <v>44678.61631804398</v>
      </c>
      <c r="U1069" t="s">
        <v>7390</v>
      </c>
      <c r="V1069" t="s">
        <v>7391</v>
      </c>
    </row>
    <row r="1070">
      <c r="A1070" t="s">
        <v>22</v>
      </c>
      <c r="B1070" t="s">
        <v>7392</v>
      </c>
      <c r="C1070" t="s">
        <v>24</v>
      </c>
      <c r="D1070" t="s">
        <v>51</v>
      </c>
      <c r="E1070" t="s">
        <v>7393</v>
      </c>
      <c r="F1070" s="2" t="n">
        <f>HYPERLINK("https://patents.google.com/patent/US20220027587","Google")</f>
        <v>0.0</v>
      </c>
      <c r="G1070" s="2" t="n">
        <f>HYPERLINK("https://patentcenter.uspto.gov/applications/17381063","Patent Center")</f>
        <v>0.0</v>
      </c>
      <c r="H1070" s="2" t="n">
        <f>HYPERLINK("https://worldwide.espacenet.com/patent/search?q=US20220027587","Espacenet")</f>
        <v>0.0</v>
      </c>
      <c r="I1070" s="2" t="n">
        <f>HYPERLINK("https://ppubs.uspto.gov/pubwebapp/external.html?q=20220027587.pn.","USPTO")</f>
        <v>0.0</v>
      </c>
      <c r="J1070" s="2" t="n">
        <f>HYPERLINK("https://image-ppubs.uspto.gov/dirsearch-public/print/downloadPdf/20220027587","USPTO PDF")</f>
        <v>0.0</v>
      </c>
      <c r="K1070" s="2" t="n">
        <f>HYPERLINK("https://sectors.patentforecast.com/pmd/US20220027587","PMD")</f>
        <v>0.0</v>
      </c>
      <c r="L1070" s="2" t="n">
        <f>HYPERLINK("https://globaldossier.uspto.gov/result/application/US/17381063/1","US20220027587")</f>
        <v>0.0</v>
      </c>
      <c r="M1070" t="s">
        <v>7394</v>
      </c>
      <c r="N1070" t="s">
        <v>7395</v>
      </c>
      <c r="O1070" t="s">
        <v>7396</v>
      </c>
      <c r="P1070" t="s">
        <v>7397</v>
      </c>
      <c r="Q1070" s="3" t="n">
        <v>44397.0</v>
      </c>
      <c r="R1070" s="3" t="n">
        <v>44588.0</v>
      </c>
      <c r="S1070" s="3" t="n">
        <v>44589.18880938657</v>
      </c>
      <c r="T1070" s="3" t="n">
        <v>44678.48428290509</v>
      </c>
      <c r="U1070" t="s">
        <v>7398</v>
      </c>
      <c r="V1070" t="s">
        <v>7399</v>
      </c>
    </row>
    <row r="1071">
      <c r="A1071" t="s">
        <v>22</v>
      </c>
      <c r="B1071" t="s">
        <v>7400</v>
      </c>
      <c r="C1071" t="s">
        <v>24</v>
      </c>
      <c r="D1071" t="s">
        <v>34</v>
      </c>
      <c r="E1071" t="s">
        <v>7401</v>
      </c>
      <c r="F1071" s="2" t="n">
        <f>HYPERLINK("https://patents.google.com/patent/US20220026428","Google")</f>
        <v>0.0</v>
      </c>
      <c r="G1071" s="2" t="n">
        <f>HYPERLINK("https://patentcenter.uspto.gov/applications/17444223","Patent Center")</f>
        <v>0.0</v>
      </c>
      <c r="H1071" s="2" t="n">
        <f>HYPERLINK("https://worldwide.espacenet.com/patent/search?q=US20220026428","Espacenet")</f>
        <v>0.0</v>
      </c>
      <c r="I1071" s="2" t="n">
        <f>HYPERLINK("https://ppubs.uspto.gov/pubwebapp/external.html?q=20220026428.pn.","USPTO")</f>
        <v>0.0</v>
      </c>
      <c r="J1071" s="2" t="n">
        <f>HYPERLINK("https://image-ppubs.uspto.gov/dirsearch-public/print/downloadPdf/20220026428","USPTO PDF")</f>
        <v>0.0</v>
      </c>
      <c r="K1071" s="2" t="n">
        <f>HYPERLINK("https://sectors.patentforecast.com/pmd/US20220026428","PMD")</f>
        <v>0.0</v>
      </c>
      <c r="L1071" s="2" t="n">
        <f>HYPERLINK("https://globaldossier.uspto.gov/result/application/US/17444223/1","US20220026428")</f>
        <v>0.0</v>
      </c>
      <c r="M1071" t="s">
        <v>7402</v>
      </c>
      <c r="N1071" t="s">
        <v>7403</v>
      </c>
      <c r="O1071" t="s">
        <v>7404</v>
      </c>
      <c r="P1071" t="s">
        <v>7405</v>
      </c>
      <c r="Q1071" s="3" t="n">
        <v>44410.0</v>
      </c>
      <c r="R1071" s="3" t="n">
        <v>44588.0</v>
      </c>
      <c r="S1071" s="3" t="n">
        <v>44589.18880938657</v>
      </c>
      <c r="T1071" s="3" t="n">
        <v>44638.688496076385</v>
      </c>
      <c r="U1071" t="s">
        <v>31</v>
      </c>
      <c r="V1071" t="s">
        <v>7406</v>
      </c>
    </row>
    <row r="1072">
      <c r="A1072" t="s">
        <v>22</v>
      </c>
      <c r="B1072" t="s">
        <v>7407</v>
      </c>
      <c r="C1072" t="s">
        <v>24</v>
      </c>
      <c r="D1072" t="s">
        <v>34</v>
      </c>
      <c r="E1072" t="s">
        <v>7408</v>
      </c>
      <c r="F1072" s="2" t="n">
        <f>HYPERLINK("https://patents.google.com/patent/US20220026367","Google")</f>
        <v>0.0</v>
      </c>
      <c r="G1072" s="2" t="n">
        <f>HYPERLINK("https://patentcenter.uspto.gov/applications/17380270","Patent Center")</f>
        <v>0.0</v>
      </c>
      <c r="H1072" s="2" t="n">
        <f>HYPERLINK("https://worldwide.espacenet.com/patent/search?q=US20220026367","Espacenet")</f>
        <v>0.0</v>
      </c>
      <c r="I1072" s="2" t="n">
        <f>HYPERLINK("https://ppubs.uspto.gov/pubwebapp/external.html?q=20220026367.pn.","USPTO")</f>
        <v>0.0</v>
      </c>
      <c r="J1072" s="2" t="n">
        <f>HYPERLINK("https://image-ppubs.uspto.gov/dirsearch-public/print/downloadPdf/20220026367","USPTO PDF")</f>
        <v>0.0</v>
      </c>
      <c r="K1072" s="2" t="n">
        <f>HYPERLINK("https://sectors.patentforecast.com/pmd/US20220026367","PMD")</f>
        <v>0.0</v>
      </c>
      <c r="L1072" s="2" t="n">
        <f>HYPERLINK("https://globaldossier.uspto.gov/result/application/US/17380270/1","US20220026367")</f>
        <v>0.0</v>
      </c>
      <c r="M1072" t="s">
        <v>7409</v>
      </c>
      <c r="N1072" t="s">
        <v>7410</v>
      </c>
      <c r="O1072" t="s">
        <v>7410</v>
      </c>
      <c r="P1072" t="s">
        <v>7411</v>
      </c>
      <c r="Q1072" s="3" t="n">
        <v>44397.0</v>
      </c>
      <c r="R1072" s="3" t="n">
        <v>44588.0</v>
      </c>
      <c r="S1072" s="3" t="n">
        <v>44589.18776434028</v>
      </c>
      <c r="T1072" s="3" t="n">
        <v>44678.48854599537</v>
      </c>
      <c r="U1072" t="s">
        <v>7412</v>
      </c>
      <c r="V1072" t="s">
        <v>7413</v>
      </c>
    </row>
    <row r="1073">
      <c r="A1073" t="s">
        <v>22</v>
      </c>
      <c r="B1073" t="s">
        <v>7414</v>
      </c>
      <c r="C1073" t="s">
        <v>24</v>
      </c>
      <c r="D1073" t="s">
        <v>100</v>
      </c>
      <c r="E1073" t="s">
        <v>7415</v>
      </c>
      <c r="F1073" s="2" t="n">
        <f>HYPERLINK("https://patents.google.com/patent/US20220025665","Google")</f>
        <v>0.0</v>
      </c>
      <c r="G1073" s="2" t="n">
        <f>HYPERLINK("https://patentcenter.uspto.gov/applications/16937646","Patent Center")</f>
        <v>0.0</v>
      </c>
      <c r="H1073" s="2" t="n">
        <f>HYPERLINK("https://worldwide.espacenet.com/patent/search?q=US20220025665","Espacenet")</f>
        <v>0.0</v>
      </c>
      <c r="I1073" s="2" t="n">
        <f>HYPERLINK("https://ppubs.uspto.gov/pubwebapp/external.html?q=20220025665.pn.","USPTO")</f>
        <v>0.0</v>
      </c>
      <c r="J1073" s="2" t="n">
        <f>HYPERLINK("https://image-ppubs.uspto.gov/dirsearch-public/print/downloadPdf/20220025665","USPTO PDF")</f>
        <v>0.0</v>
      </c>
      <c r="K1073" s="2" t="n">
        <f>HYPERLINK("https://sectors.patentforecast.com/pmd/US20220025665","PMD")</f>
        <v>0.0</v>
      </c>
      <c r="L1073" s="2" t="n">
        <f>HYPERLINK("https://globaldossier.uspto.gov/result/application/US/16937646/1","US20220025665")</f>
        <v>0.0</v>
      </c>
      <c r="M1073" t="s">
        <v>7416</v>
      </c>
      <c r="N1073" t="s">
        <v>7417</v>
      </c>
      <c r="O1073" t="s">
        <v>7418</v>
      </c>
      <c r="P1073" t="s">
        <v>7419</v>
      </c>
      <c r="Q1073" s="3" t="n">
        <v>44036.0</v>
      </c>
      <c r="R1073" s="3" t="n">
        <v>44588.0</v>
      </c>
      <c r="S1073" s="3" t="n">
        <v>44589.18880938657</v>
      </c>
      <c r="T1073" s="3" t="n">
        <v>44678.57928900463</v>
      </c>
      <c r="U1073" t="s">
        <v>7420</v>
      </c>
      <c r="V1073" t="s">
        <v>7421</v>
      </c>
    </row>
    <row r="1074">
      <c r="A1074" t="s">
        <v>22</v>
      </c>
      <c r="B1074" t="s">
        <v>7422</v>
      </c>
      <c r="C1074" t="s">
        <v>24</v>
      </c>
      <c r="D1074" t="s">
        <v>100</v>
      </c>
      <c r="E1074" t="s">
        <v>7423</v>
      </c>
      <c r="F1074" s="2" t="n">
        <f>HYPERLINK("https://patents.google.com/patent/US20220025218","Google")</f>
        <v>0.0</v>
      </c>
      <c r="G1074" s="2" t="n">
        <f>HYPERLINK("https://patentcenter.uspto.gov/applications/16936665","Patent Center")</f>
        <v>0.0</v>
      </c>
      <c r="H1074" s="2" t="n">
        <f>HYPERLINK("https://worldwide.espacenet.com/patent/search?q=US20220025218","Espacenet")</f>
        <v>0.0</v>
      </c>
      <c r="I1074" s="2" t="n">
        <f>HYPERLINK("https://ppubs.uspto.gov/pubwebapp/external.html?q=20220025218.pn.","USPTO")</f>
        <v>0.0</v>
      </c>
      <c r="J1074" s="2" t="n">
        <f>HYPERLINK("https://image-ppubs.uspto.gov/dirsearch-public/print/downloadPdf/20220025218","USPTO PDF")</f>
        <v>0.0</v>
      </c>
      <c r="K1074" s="2" t="n">
        <f>HYPERLINK("https://sectors.patentforecast.com/pmd/US20220025218","PMD")</f>
        <v>0.0</v>
      </c>
      <c r="L1074" s="2" t="n">
        <f>HYPERLINK("https://globaldossier.uspto.gov/result/application/US/16936665/1","US20220025218")</f>
        <v>0.0</v>
      </c>
      <c r="M1074" t="s">
        <v>7424</v>
      </c>
      <c r="N1074" t="s">
        <v>7425</v>
      </c>
      <c r="O1074" t="s">
        <v>7426</v>
      </c>
      <c r="P1074" t="s">
        <v>7427</v>
      </c>
      <c r="Q1074" s="3" t="n">
        <v>44035.0</v>
      </c>
      <c r="R1074" s="3" t="n">
        <v>44588.0</v>
      </c>
      <c r="S1074" s="3" t="n">
        <v>44589.18880938657</v>
      </c>
      <c r="T1074" s="3" t="n">
        <v>44638.70423445602</v>
      </c>
      <c r="U1074" t="s">
        <v>7428</v>
      </c>
      <c r="V1074" t="s">
        <v>7429</v>
      </c>
    </row>
    <row r="1075">
      <c r="A1075" t="s">
        <v>22</v>
      </c>
      <c r="B1075" t="s">
        <v>7430</v>
      </c>
      <c r="C1075" t="s">
        <v>60</v>
      </c>
      <c r="D1075" t="s">
        <v>696</v>
      </c>
      <c r="E1075" t="s">
        <v>7431</v>
      </c>
      <c r="F1075" s="2" t="n">
        <f>HYPERLINK("https://patents.google.com/patent/US20220025064","Google")</f>
        <v>0.0</v>
      </c>
      <c r="G1075" s="2" t="n">
        <f>HYPERLINK("https://patentcenter.uspto.gov/applications/17499127","Patent Center")</f>
        <v>0.0</v>
      </c>
      <c r="H1075" s="2" t="n">
        <f>HYPERLINK("https://worldwide.espacenet.com/patent/search?q=US20220025064","Espacenet")</f>
        <v>0.0</v>
      </c>
      <c r="I1075" s="2" t="n">
        <f>HYPERLINK("https://ppubs.uspto.gov/pubwebapp/external.html?q=20220025064.pn.","USPTO")</f>
        <v>0.0</v>
      </c>
      <c r="J1075" s="2" t="n">
        <f>HYPERLINK("https://image-ppubs.uspto.gov/dirsearch-public/print/downloadPdf/20220025064","USPTO PDF")</f>
        <v>0.0</v>
      </c>
      <c r="K1075" s="2" t="n">
        <f>HYPERLINK("https://sectors.patentforecast.com/pmd/US20220025064","PMD")</f>
        <v>0.0</v>
      </c>
      <c r="L1075" s="2" t="n">
        <f>HYPERLINK("https://globaldossier.uspto.gov/result/application/US/17499127/1","US20220025064")</f>
        <v>0.0</v>
      </c>
      <c r="M1075" t="s">
        <v>7432</v>
      </c>
      <c r="N1075" t="s">
        <v>385</v>
      </c>
      <c r="O1075" t="s">
        <v>386</v>
      </c>
      <c r="P1075" t="s">
        <v>7433</v>
      </c>
      <c r="Q1075" s="3" t="n">
        <v>44481.0</v>
      </c>
      <c r="R1075" s="3" t="n">
        <v>44588.0</v>
      </c>
      <c r="S1075" s="3" t="n">
        <v>44643.23714813658</v>
      </c>
      <c r="T1075" s="3" t="n">
        <v>44678.623324849534</v>
      </c>
      <c r="U1075" t="s">
        <v>7434</v>
      </c>
      <c r="V1075" t="s">
        <v>7435</v>
      </c>
    </row>
    <row r="1076">
      <c r="A1076" t="s">
        <v>22</v>
      </c>
      <c r="B1076" t="s">
        <v>7436</v>
      </c>
      <c r="C1076" t="s">
        <v>60</v>
      </c>
      <c r="D1076" t="s">
        <v>61</v>
      </c>
      <c r="E1076" t="s">
        <v>7437</v>
      </c>
      <c r="F1076" s="2" t="n">
        <f>HYPERLINK("https://patents.google.com/patent/US20220024988","Google")</f>
        <v>0.0</v>
      </c>
      <c r="G1076" s="2" t="n">
        <f>HYPERLINK("https://patentcenter.uspto.gov/applications/17393328","Patent Center")</f>
        <v>0.0</v>
      </c>
      <c r="H1076" s="2" t="n">
        <f>HYPERLINK("https://worldwide.espacenet.com/patent/search?q=US20220024988","Espacenet")</f>
        <v>0.0</v>
      </c>
      <c r="I1076" s="2" t="n">
        <f>HYPERLINK("https://ppubs.uspto.gov/pubwebapp/external.html?q=20220024988.pn.","USPTO")</f>
        <v>0.0</v>
      </c>
      <c r="J1076" s="2" t="n">
        <f>HYPERLINK("https://image-ppubs.uspto.gov/dirsearch-public/print/downloadPdf/20220024988","USPTO PDF")</f>
        <v>0.0</v>
      </c>
      <c r="K1076" s="2" t="n">
        <f>HYPERLINK("https://sectors.patentforecast.com/pmd/US20220024988","PMD")</f>
        <v>0.0</v>
      </c>
      <c r="L1076" s="2" t="n">
        <f>HYPERLINK("https://globaldossier.uspto.gov/result/application/US/17393328/1","US20220024988")</f>
        <v>0.0</v>
      </c>
      <c r="M1076" t="s">
        <v>7438</v>
      </c>
      <c r="N1076" t="s">
        <v>7439</v>
      </c>
      <c r="O1076" t="s">
        <v>7440</v>
      </c>
      <c r="P1076" t="s">
        <v>7441</v>
      </c>
      <c r="Q1076" s="3" t="n">
        <v>44411.0</v>
      </c>
      <c r="R1076" s="3" t="n">
        <v>44588.0</v>
      </c>
      <c r="S1076" s="3" t="n">
        <v>44589.18880938657</v>
      </c>
      <c r="T1076" s="3" t="n">
        <v>44638.69225991898</v>
      </c>
      <c r="U1076" t="s">
        <v>7442</v>
      </c>
      <c r="V1076" t="s">
        <v>7443</v>
      </c>
    </row>
    <row r="1077">
      <c r="A1077" t="s">
        <v>22</v>
      </c>
      <c r="B1077" t="s">
        <v>7444</v>
      </c>
      <c r="C1077" t="s">
        <v>24</v>
      </c>
      <c r="D1077" t="s">
        <v>69</v>
      </c>
      <c r="E1077" t="s">
        <v>7445</v>
      </c>
      <c r="F1077" s="2" t="n">
        <f>HYPERLINK("https://patents.google.com/patent/US20220023682","Google")</f>
        <v>0.0</v>
      </c>
      <c r="G1077" s="2" t="n">
        <f>HYPERLINK("https://patentcenter.uspto.gov/applications/17382206","Patent Center")</f>
        <v>0.0</v>
      </c>
      <c r="H1077" s="2" t="n">
        <f>HYPERLINK("https://worldwide.espacenet.com/patent/search?q=US20220023682","Espacenet")</f>
        <v>0.0</v>
      </c>
      <c r="I1077" s="2" t="n">
        <f>HYPERLINK("https://ppubs.uspto.gov/pubwebapp/external.html?q=20220023682.pn.","USPTO")</f>
        <v>0.0</v>
      </c>
      <c r="J1077" s="2" t="n">
        <f>HYPERLINK("https://image-ppubs.uspto.gov/dirsearch-public/print/downloadPdf/20220023682","USPTO PDF")</f>
        <v>0.0</v>
      </c>
      <c r="K1077" s="2" t="n">
        <f>HYPERLINK("https://sectors.patentforecast.com/pmd/US20220023682","PMD")</f>
        <v>0.0</v>
      </c>
      <c r="L1077" s="2" t="n">
        <f>HYPERLINK("https://globaldossier.uspto.gov/result/application/US/17382206/1","US20220023682")</f>
        <v>0.0</v>
      </c>
      <c r="M1077" t="s">
        <v>7446</v>
      </c>
      <c r="N1077" t="s">
        <v>7447</v>
      </c>
      <c r="O1077" t="s">
        <v>7448</v>
      </c>
      <c r="P1077" t="s">
        <v>7449</v>
      </c>
      <c r="Q1077" s="3" t="n">
        <v>44398.0</v>
      </c>
      <c r="R1077" s="3" t="n">
        <v>44588.0</v>
      </c>
      <c r="S1077" s="3" t="n">
        <v>44589.18880938657</v>
      </c>
      <c r="T1077" s="3" t="n">
        <v>44678.63213877315</v>
      </c>
      <c r="U1077" t="s">
        <v>7450</v>
      </c>
      <c r="V1077" t="s">
        <v>7451</v>
      </c>
    </row>
    <row r="1078">
      <c r="A1078" t="s">
        <v>22</v>
      </c>
      <c r="B1078" t="s">
        <v>7452</v>
      </c>
      <c r="C1078" t="s">
        <v>24</v>
      </c>
      <c r="D1078" t="s">
        <v>69</v>
      </c>
      <c r="E1078" t="s">
        <v>7453</v>
      </c>
      <c r="F1078" s="2" t="n">
        <f>HYPERLINK("https://patents.google.com/patent/US20220023577","Google")</f>
        <v>0.0</v>
      </c>
      <c r="G1078" s="2" t="n">
        <f>HYPERLINK("https://patentcenter.uspto.gov/applications/16940313","Patent Center")</f>
        <v>0.0</v>
      </c>
      <c r="H1078" s="2" t="n">
        <f>HYPERLINK("https://worldwide.espacenet.com/patent/search?q=US20220023577","Espacenet")</f>
        <v>0.0</v>
      </c>
      <c r="I1078" s="2" t="n">
        <f>HYPERLINK("https://ppubs.uspto.gov/pubwebapp/external.html?q=20220023577.pn.","USPTO")</f>
        <v>0.0</v>
      </c>
      <c r="J1078" s="2" t="n">
        <f>HYPERLINK("https://image-ppubs.uspto.gov/dirsearch-public/print/downloadPdf/20220023577","USPTO PDF")</f>
        <v>0.0</v>
      </c>
      <c r="K1078" s="2" t="n">
        <f>HYPERLINK("https://sectors.patentforecast.com/pmd/US20220023577","PMD")</f>
        <v>0.0</v>
      </c>
      <c r="L1078" s="2" t="n">
        <f>HYPERLINK("https://globaldossier.uspto.gov/result/application/US/16940313/1","US20220023577")</f>
        <v>0.0</v>
      </c>
      <c r="M1078" t="s">
        <v>7454</v>
      </c>
      <c r="N1078" t="s">
        <v>7455</v>
      </c>
      <c r="O1078" t="s">
        <v>7456</v>
      </c>
      <c r="P1078" t="s">
        <v>7457</v>
      </c>
      <c r="Q1078" s="3" t="n">
        <v>44039.0</v>
      </c>
      <c r="R1078" s="3" t="n">
        <v>44588.0</v>
      </c>
      <c r="S1078" s="3" t="n">
        <v>44589.18880938657</v>
      </c>
      <c r="T1078" s="3" t="n">
        <v>44678.631319155094</v>
      </c>
      <c r="U1078" t="s">
        <v>31</v>
      </c>
      <c r="V1078" t="s">
        <v>7458</v>
      </c>
    </row>
    <row r="1079">
      <c r="A1079" t="s">
        <v>22</v>
      </c>
      <c r="B1079" t="s">
        <v>7459</v>
      </c>
      <c r="C1079" t="s">
        <v>24</v>
      </c>
      <c r="D1079" t="s">
        <v>69</v>
      </c>
      <c r="E1079" t="s">
        <v>7460</v>
      </c>
      <c r="F1079" s="2" t="n">
        <f>HYPERLINK("https://patents.google.com/patent/US20220023573","Google")</f>
        <v>0.0</v>
      </c>
      <c r="G1079" s="2" t="n">
        <f>HYPERLINK("https://patentcenter.uspto.gov/applications/17383753","Patent Center")</f>
        <v>0.0</v>
      </c>
      <c r="H1079" s="2" t="n">
        <f>HYPERLINK("https://worldwide.espacenet.com/patent/search?q=US20220023573","Espacenet")</f>
        <v>0.0</v>
      </c>
      <c r="I1079" s="2" t="n">
        <f>HYPERLINK("https://ppubs.uspto.gov/pubwebapp/external.html?q=20220023573.pn.","USPTO")</f>
        <v>0.0</v>
      </c>
      <c r="J1079" s="2" t="n">
        <f>HYPERLINK("https://image-ppubs.uspto.gov/dirsearch-public/print/downloadPdf/20220023573","USPTO PDF")</f>
        <v>0.0</v>
      </c>
      <c r="K1079" s="2" t="n">
        <f>HYPERLINK("https://sectors.patentforecast.com/pmd/US20220023573","PMD")</f>
        <v>0.0</v>
      </c>
      <c r="L1079" s="2" t="n">
        <f>HYPERLINK("https://globaldossier.uspto.gov/result/application/US/17383753/1","US20220023573")</f>
        <v>0.0</v>
      </c>
      <c r="M1079" t="s">
        <v>7461</v>
      </c>
      <c r="N1079" t="s">
        <v>4193</v>
      </c>
      <c r="O1079" t="s">
        <v>4194</v>
      </c>
      <c r="P1079" t="s">
        <v>7462</v>
      </c>
      <c r="Q1079" s="3" t="n">
        <v>44400.0</v>
      </c>
      <c r="R1079" s="3" t="n">
        <v>44588.0</v>
      </c>
      <c r="S1079" s="3" t="n">
        <v>44589.18868738426</v>
      </c>
      <c r="T1079" s="3" t="n">
        <v>44678.63190804398</v>
      </c>
      <c r="U1079" t="s">
        <v>31</v>
      </c>
      <c r="V1079" t="s">
        <v>7463</v>
      </c>
    </row>
    <row r="1080">
      <c r="A1080" t="s">
        <v>22</v>
      </c>
      <c r="B1080" t="s">
        <v>7464</v>
      </c>
      <c r="C1080" t="s">
        <v>24</v>
      </c>
      <c r="D1080" t="s">
        <v>100</v>
      </c>
      <c r="E1080" t="s">
        <v>7465</v>
      </c>
      <c r="F1080" s="2" t="n">
        <f>HYPERLINK("https://patents.google.com/patent/US20220023472","Google")</f>
        <v>0.0</v>
      </c>
      <c r="G1080" s="2" t="n">
        <f>HYPERLINK("https://patentcenter.uspto.gov/applications/17137867","Patent Center")</f>
        <v>0.0</v>
      </c>
      <c r="H1080" s="2" t="n">
        <f>HYPERLINK("https://worldwide.espacenet.com/patent/search?q=US20220023472","Espacenet")</f>
        <v>0.0</v>
      </c>
      <c r="I1080" s="2" t="n">
        <f>HYPERLINK("https://ppubs.uspto.gov/pubwebapp/external.html?q=20220023472.pn.","USPTO")</f>
        <v>0.0</v>
      </c>
      <c r="J1080" s="2" t="n">
        <f>HYPERLINK("https://image-ppubs.uspto.gov/dirsearch-public/print/downloadPdf/20220023472","USPTO PDF")</f>
        <v>0.0</v>
      </c>
      <c r="K1080" s="2" t="n">
        <f>HYPERLINK("https://sectors.patentforecast.com/pmd/US20220023472","PMD")</f>
        <v>0.0</v>
      </c>
      <c r="L1080" s="2" t="n">
        <f>HYPERLINK("https://globaldossier.uspto.gov/result/application/US/17137867/1","US20220023472")</f>
        <v>0.0</v>
      </c>
      <c r="M1080" t="s">
        <v>7466</v>
      </c>
      <c r="N1080" t="s">
        <v>7467</v>
      </c>
      <c r="O1080" t="s">
        <v>7468</v>
      </c>
      <c r="P1080" t="s">
        <v>7469</v>
      </c>
      <c r="Q1080" s="3" t="n">
        <v>44195.0</v>
      </c>
      <c r="R1080" s="3" t="n">
        <v>44588.0</v>
      </c>
      <c r="S1080" s="3" t="n">
        <v>44589.18868738426</v>
      </c>
      <c r="T1080" s="3" t="n">
        <v>44757.746005925925</v>
      </c>
      <c r="U1080" t="s">
        <v>31</v>
      </c>
      <c r="V1080" t="s">
        <v>7470</v>
      </c>
    </row>
    <row r="1081">
      <c r="A1081" t="s">
        <v>22</v>
      </c>
      <c r="B1081" t="s">
        <v>7471</v>
      </c>
      <c r="C1081" t="s">
        <v>24</v>
      </c>
      <c r="D1081" t="s">
        <v>100</v>
      </c>
      <c r="E1081" t="s">
        <v>7472</v>
      </c>
      <c r="F1081" s="2" t="n">
        <f>HYPERLINK("https://patents.google.com/patent/US20220023461","Google")</f>
        <v>0.0</v>
      </c>
      <c r="G1081" s="2" t="n">
        <f>HYPERLINK("https://patentcenter.uspto.gov/applications/17090156","Patent Center")</f>
        <v>0.0</v>
      </c>
      <c r="H1081" s="2" t="n">
        <f>HYPERLINK("https://worldwide.espacenet.com/patent/search?q=US20220023461","Espacenet")</f>
        <v>0.0</v>
      </c>
      <c r="I1081" s="2" t="n">
        <f>HYPERLINK("https://ppubs.uspto.gov/pubwebapp/external.html?q=20220023461.pn.","USPTO")</f>
        <v>0.0</v>
      </c>
      <c r="J1081" s="2" t="n">
        <f>HYPERLINK("https://image-ppubs.uspto.gov/dirsearch-public/print/downloadPdf/20220023461","USPTO PDF")</f>
        <v>0.0</v>
      </c>
      <c r="K1081" s="2" t="n">
        <f>HYPERLINK("https://sectors.patentforecast.com/pmd/US20220023461","PMD")</f>
        <v>0.0</v>
      </c>
      <c r="L1081" s="2" t="n">
        <f>HYPERLINK("https://globaldossier.uspto.gov/result/application/US/17090156/1","US20220023461")</f>
        <v>0.0</v>
      </c>
      <c r="M1081" t="s">
        <v>7473</v>
      </c>
      <c r="N1081" t="s">
        <v>7474</v>
      </c>
      <c r="O1081" t="s">
        <v>7475</v>
      </c>
      <c r="P1081" t="s">
        <v>7476</v>
      </c>
      <c r="Q1081" s="3" t="n">
        <v>44140.0</v>
      </c>
      <c r="R1081" s="3" t="n">
        <v>44588.0</v>
      </c>
      <c r="S1081" s="3" t="n">
        <v>44589.18868738426</v>
      </c>
      <c r="T1081" s="3" t="n">
        <v>44757.74641799769</v>
      </c>
      <c r="U1081" t="s">
        <v>31</v>
      </c>
      <c r="V1081" t="s">
        <v>7477</v>
      </c>
    </row>
    <row r="1082">
      <c r="A1082" t="s">
        <v>22</v>
      </c>
      <c r="B1082" t="s">
        <v>7478</v>
      </c>
      <c r="C1082" t="s">
        <v>24</v>
      </c>
      <c r="D1082" t="s">
        <v>100</v>
      </c>
      <c r="E1082" t="s">
        <v>7479</v>
      </c>
      <c r="F1082" s="2" t="n">
        <f>HYPERLINK("https://patents.google.com/patent/US20220023456","Google")</f>
        <v>0.0</v>
      </c>
      <c r="G1082" s="2" t="n">
        <f>HYPERLINK("https://patentcenter.uspto.gov/applications/16938270","Patent Center")</f>
        <v>0.0</v>
      </c>
      <c r="H1082" s="2" t="n">
        <f>HYPERLINK("https://worldwide.espacenet.com/patent/search?q=US20220023456","Espacenet")</f>
        <v>0.0</v>
      </c>
      <c r="I1082" s="2" t="n">
        <f>HYPERLINK("https://ppubs.uspto.gov/pubwebapp/external.html?q=20220023456.pn.","USPTO")</f>
        <v>0.0</v>
      </c>
      <c r="J1082" s="2" t="n">
        <f>HYPERLINK("https://image-ppubs.uspto.gov/dirsearch-public/print/downloadPdf/20220023456","USPTO PDF")</f>
        <v>0.0</v>
      </c>
      <c r="K1082" s="2" t="n">
        <f>HYPERLINK("https://sectors.patentforecast.com/pmd/US20220023456","PMD")</f>
        <v>0.0</v>
      </c>
      <c r="L1082" s="2" t="n">
        <f>HYPERLINK("https://globaldossier.uspto.gov/result/application/US/16938270/1","US20220023456")</f>
        <v>0.0</v>
      </c>
      <c r="M1082" t="s">
        <v>7480</v>
      </c>
      <c r="N1082" t="s">
        <v>7481</v>
      </c>
      <c r="O1082" t="s">
        <v>7482</v>
      </c>
      <c r="P1082" t="s">
        <v>7483</v>
      </c>
      <c r="Q1082" s="3" t="n">
        <v>44036.0</v>
      </c>
      <c r="R1082" s="3" t="n">
        <v>44588.0</v>
      </c>
      <c r="S1082" s="3" t="n">
        <v>44589.18868738426</v>
      </c>
      <c r="T1082" s="3" t="n">
        <v>44678.57928900463</v>
      </c>
      <c r="U1082" t="s">
        <v>31</v>
      </c>
      <c r="V1082" t="s">
        <v>7484</v>
      </c>
    </row>
    <row r="1083">
      <c r="A1083" t="s">
        <v>22</v>
      </c>
      <c r="B1083" t="s">
        <v>7485</v>
      </c>
      <c r="C1083" t="s">
        <v>132</v>
      </c>
      <c r="D1083" t="s">
        <v>133</v>
      </c>
      <c r="E1083" t="s">
        <v>7486</v>
      </c>
      <c r="F1083" s="2" t="n">
        <f>HYPERLINK("https://patents.google.com/patent/US20220023415","Google")</f>
        <v>0.0</v>
      </c>
      <c r="G1083" s="2" t="n">
        <f>HYPERLINK("https://patentcenter.uspto.gov/applications/17448033","Patent Center")</f>
        <v>0.0</v>
      </c>
      <c r="H1083" s="2" t="n">
        <f>HYPERLINK("https://worldwide.espacenet.com/patent/search?q=US20220023415","Espacenet")</f>
        <v>0.0</v>
      </c>
      <c r="I1083" s="2" t="n">
        <f>HYPERLINK("https://ppubs.uspto.gov/pubwebapp/external.html?q=20220023415.pn.","USPTO")</f>
        <v>0.0</v>
      </c>
      <c r="J1083" s="2" t="n">
        <f>HYPERLINK("https://image-ppubs.uspto.gov/dirsearch-public/print/downloadPdf/20220023415","USPTO PDF")</f>
        <v>0.0</v>
      </c>
      <c r="K1083" s="2" t="n">
        <f>HYPERLINK("https://sectors.patentforecast.com/pmd/US20220023415","PMD")</f>
        <v>0.0</v>
      </c>
      <c r="L1083" s="2" t="n">
        <f>HYPERLINK("https://globaldossier.uspto.gov/result/application/US/17448033/1","US20220023415")</f>
        <v>0.0</v>
      </c>
      <c r="M1083" t="s">
        <v>7487</v>
      </c>
      <c r="N1083" t="s">
        <v>7488</v>
      </c>
      <c r="O1083" t="s">
        <v>7489</v>
      </c>
      <c r="P1083" t="s">
        <v>7490</v>
      </c>
      <c r="Q1083" s="3" t="n">
        <v>44456.0</v>
      </c>
      <c r="R1083" s="3" t="n">
        <v>44588.0</v>
      </c>
      <c r="S1083" s="3" t="n">
        <v>44589.18868738426</v>
      </c>
      <c r="T1083" s="3" t="n">
        <v>44638.68887864584</v>
      </c>
      <c r="U1083" t="s">
        <v>31</v>
      </c>
      <c r="V1083" t="s">
        <v>7491</v>
      </c>
    </row>
    <row r="1084">
      <c r="A1084" t="s">
        <v>22</v>
      </c>
      <c r="B1084" t="s">
        <v>7492</v>
      </c>
      <c r="C1084" t="s">
        <v>60</v>
      </c>
      <c r="D1084" t="s">
        <v>61</v>
      </c>
      <c r="E1084" t="s">
        <v>7493</v>
      </c>
      <c r="F1084" s="2" t="n">
        <f>HYPERLINK("https://patents.google.com/patent/US20220023345","Google")</f>
        <v>0.0</v>
      </c>
      <c r="G1084" s="2" t="n">
        <f>HYPERLINK("https://patentcenter.uspto.gov/applications/17377922","Patent Center")</f>
        <v>0.0</v>
      </c>
      <c r="H1084" s="2" t="n">
        <f>HYPERLINK("https://worldwide.espacenet.com/patent/search?q=US20220023345","Espacenet")</f>
        <v>0.0</v>
      </c>
      <c r="I1084" s="2" t="n">
        <f>HYPERLINK("https://ppubs.uspto.gov/pubwebapp/external.html?q=20220023345.pn.","USPTO")</f>
        <v>0.0</v>
      </c>
      <c r="J1084" s="2" t="n">
        <f>HYPERLINK("https://image-ppubs.uspto.gov/dirsearch-public/print/downloadPdf/20220023345","USPTO PDF")</f>
        <v>0.0</v>
      </c>
      <c r="K1084" s="2" t="n">
        <f>HYPERLINK("https://sectors.patentforecast.com/pmd/US20220023345","PMD")</f>
        <v>0.0</v>
      </c>
      <c r="L1084" s="2" t="n">
        <f>HYPERLINK("https://globaldossier.uspto.gov/result/application/US/17377922/1","US20220023345")</f>
        <v>0.0</v>
      </c>
      <c r="M1084" t="s">
        <v>7494</v>
      </c>
      <c r="N1084" t="s">
        <v>7495</v>
      </c>
      <c r="O1084" t="s">
        <v>7496</v>
      </c>
      <c r="P1084" t="s">
        <v>7497</v>
      </c>
      <c r="Q1084" s="3" t="n">
        <v>44393.0</v>
      </c>
      <c r="R1084" s="3" t="n">
        <v>44588.0</v>
      </c>
      <c r="S1084" s="3" t="n">
        <v>44589.18868738426</v>
      </c>
      <c r="T1084" s="3" t="n">
        <v>44638.70898427083</v>
      </c>
      <c r="U1084" t="s">
        <v>31</v>
      </c>
      <c r="V1084" t="s">
        <v>7498</v>
      </c>
    </row>
    <row r="1085">
      <c r="A1085" t="s">
        <v>22</v>
      </c>
      <c r="B1085" t="s">
        <v>7499</v>
      </c>
      <c r="C1085" t="s">
        <v>60</v>
      </c>
      <c r="D1085" t="s">
        <v>61</v>
      </c>
      <c r="E1085" t="s">
        <v>7500</v>
      </c>
      <c r="F1085" s="2" t="n">
        <f>HYPERLINK("https://patents.google.com/patent/US20220023237","Google")</f>
        <v>0.0</v>
      </c>
      <c r="G1085" s="2" t="n">
        <f>HYPERLINK("https://patentcenter.uspto.gov/applications/17383269","Patent Center")</f>
        <v>0.0</v>
      </c>
      <c r="H1085" s="2" t="n">
        <f>HYPERLINK("https://worldwide.espacenet.com/patent/search?q=US20220023237","Espacenet")</f>
        <v>0.0</v>
      </c>
      <c r="I1085" s="2" t="n">
        <f>HYPERLINK("https://ppubs.uspto.gov/pubwebapp/external.html?q=20220023237.pn.","USPTO")</f>
        <v>0.0</v>
      </c>
      <c r="J1085" s="2" t="n">
        <f>HYPERLINK("https://image-ppubs.uspto.gov/dirsearch-public/print/downloadPdf/20220023237","USPTO PDF")</f>
        <v>0.0</v>
      </c>
      <c r="K1085" s="2" t="n">
        <f>HYPERLINK("https://sectors.patentforecast.com/pmd/US20220023237","PMD")</f>
        <v>0.0</v>
      </c>
      <c r="L1085" s="2" t="n">
        <f>HYPERLINK("https://globaldossier.uspto.gov/result/application/US/17383269/1","US20220023237")</f>
        <v>0.0</v>
      </c>
      <c r="M1085" t="s">
        <v>7501</v>
      </c>
      <c r="N1085" t="s">
        <v>619</v>
      </c>
      <c r="O1085" t="s">
        <v>620</v>
      </c>
      <c r="P1085" t="s">
        <v>621</v>
      </c>
      <c r="Q1085" s="3" t="n">
        <v>44399.0</v>
      </c>
      <c r="R1085" s="3" t="n">
        <v>44588.0</v>
      </c>
      <c r="S1085" s="3" t="n">
        <v>44589.18776434028</v>
      </c>
      <c r="T1085" s="3" t="n">
        <v>44678.54257269676</v>
      </c>
      <c r="U1085" t="s">
        <v>31</v>
      </c>
      <c r="V1085" t="s">
        <v>7502</v>
      </c>
    </row>
    <row r="1086">
      <c r="A1086" t="s">
        <v>22</v>
      </c>
      <c r="B1086" t="s">
        <v>7503</v>
      </c>
      <c r="C1086" t="s">
        <v>24</v>
      </c>
      <c r="D1086" t="s">
        <v>69</v>
      </c>
      <c r="E1086" t="s">
        <v>7504</v>
      </c>
      <c r="F1086" s="2" t="n">
        <f>HYPERLINK("https://patents.google.com/patent/US20220023118","Google")</f>
        <v>0.0</v>
      </c>
      <c r="G1086" s="2" t="n">
        <f>HYPERLINK("https://patentcenter.uspto.gov/applications/17383360","Patent Center")</f>
        <v>0.0</v>
      </c>
      <c r="H1086" s="2" t="n">
        <f>HYPERLINK("https://worldwide.espacenet.com/patent/search?q=US20220023118","Espacenet")</f>
        <v>0.0</v>
      </c>
      <c r="I1086" s="2" t="n">
        <f>HYPERLINK("https://ppubs.uspto.gov/pubwebapp/external.html?q=20220023118.pn.","USPTO")</f>
        <v>0.0</v>
      </c>
      <c r="J1086" s="2" t="n">
        <f>HYPERLINK("https://image-ppubs.uspto.gov/dirsearch-public/print/downloadPdf/20220023118","USPTO PDF")</f>
        <v>0.0</v>
      </c>
      <c r="K1086" s="2" t="n">
        <f>HYPERLINK("https://sectors.patentforecast.com/pmd/US20220023118","PMD")</f>
        <v>0.0</v>
      </c>
      <c r="L1086" s="2" t="n">
        <f>HYPERLINK("https://globaldossier.uspto.gov/result/application/US/17383360/1","US20220023118")</f>
        <v>0.0</v>
      </c>
      <c r="M1086" t="s">
        <v>7505</v>
      </c>
      <c r="N1086" t="s">
        <v>7506</v>
      </c>
      <c r="O1086" t="s">
        <v>7506</v>
      </c>
      <c r="P1086" t="s">
        <v>7507</v>
      </c>
      <c r="Q1086" s="3" t="n">
        <v>44399.0</v>
      </c>
      <c r="R1086" s="3" t="n">
        <v>44588.0</v>
      </c>
      <c r="S1086" s="3" t="n">
        <v>44589.18868738426</v>
      </c>
      <c r="T1086" s="3" t="n">
        <v>44678.55791988426</v>
      </c>
      <c r="U1086" t="s">
        <v>31</v>
      </c>
      <c r="V1086" t="s">
        <v>7508</v>
      </c>
    </row>
    <row r="1087">
      <c r="A1087" t="s">
        <v>22</v>
      </c>
      <c r="B1087" t="s">
        <v>7509</v>
      </c>
      <c r="C1087" t="s">
        <v>24</v>
      </c>
      <c r="D1087" t="s">
        <v>69</v>
      </c>
      <c r="E1087" t="s">
        <v>7510</v>
      </c>
      <c r="F1087" s="2" t="n">
        <f>HYPERLINK("https://patents.google.com/patent/US20220023093","Google")</f>
        <v>0.0</v>
      </c>
      <c r="G1087" s="2" t="n">
        <f>HYPERLINK("https://patentcenter.uspto.gov/applications/17362833","Patent Center")</f>
        <v>0.0</v>
      </c>
      <c r="H1087" s="2" t="n">
        <f>HYPERLINK("https://worldwide.espacenet.com/patent/search?q=US20220023093","Espacenet")</f>
        <v>0.0</v>
      </c>
      <c r="I1087" s="2" t="n">
        <f>HYPERLINK("https://ppubs.uspto.gov/pubwebapp/external.html?q=20220023093.pn.","USPTO")</f>
        <v>0.0</v>
      </c>
      <c r="J1087" s="2" t="n">
        <f>HYPERLINK("https://image-ppubs.uspto.gov/dirsearch-public/print/downloadPdf/20220023093","USPTO PDF")</f>
        <v>0.0</v>
      </c>
      <c r="K1087" s="2" t="n">
        <f>HYPERLINK("https://sectors.patentforecast.com/pmd/US20220023093","PMD")</f>
        <v>0.0</v>
      </c>
      <c r="L1087" s="2" t="n">
        <f>HYPERLINK("https://globaldossier.uspto.gov/result/application/US/17362833/1","US20220023093")</f>
        <v>0.0</v>
      </c>
      <c r="M1087" t="s">
        <v>7511</v>
      </c>
      <c r="N1087" t="s">
        <v>7512</v>
      </c>
      <c r="O1087" t="s">
        <v>7513</v>
      </c>
      <c r="P1087" t="s">
        <v>7514</v>
      </c>
      <c r="Q1087" s="3" t="n">
        <v>44376.0</v>
      </c>
      <c r="R1087" s="3" t="n">
        <v>44588.0</v>
      </c>
      <c r="S1087" s="3" t="n">
        <v>44589.18868738426</v>
      </c>
      <c r="T1087" s="3" t="n">
        <v>44678.63213877315</v>
      </c>
      <c r="U1087" t="s">
        <v>7515</v>
      </c>
      <c r="V1087" t="s">
        <v>7516</v>
      </c>
    </row>
    <row r="1088">
      <c r="A1088" t="s">
        <v>22</v>
      </c>
      <c r="B1088" t="s">
        <v>7517</v>
      </c>
      <c r="C1088" t="s">
        <v>24</v>
      </c>
      <c r="D1088" t="s">
        <v>69</v>
      </c>
      <c r="E1088" t="s">
        <v>7518</v>
      </c>
      <c r="F1088" s="2" t="n">
        <f>HYPERLINK("https://patents.google.com/patent/US20220022829","Google")</f>
        <v>0.0</v>
      </c>
      <c r="G1088" s="2" t="n">
        <f>HYPERLINK("https://patentcenter.uspto.gov/applications/17378860","Patent Center")</f>
        <v>0.0</v>
      </c>
      <c r="H1088" s="2" t="n">
        <f>HYPERLINK("https://worldwide.espacenet.com/patent/search?q=US20220022829","Espacenet")</f>
        <v>0.0</v>
      </c>
      <c r="I1088" s="2" t="n">
        <f>HYPERLINK("https://ppubs.uspto.gov/pubwebapp/external.html?q=20220022829.pn.","USPTO")</f>
        <v>0.0</v>
      </c>
      <c r="J1088" s="2" t="n">
        <f>HYPERLINK("https://image-ppubs.uspto.gov/dirsearch-public/print/downloadPdf/20220022829","USPTO PDF")</f>
        <v>0.0</v>
      </c>
      <c r="K1088" s="2" t="n">
        <f>HYPERLINK("https://sectors.patentforecast.com/pmd/US20220022829","PMD")</f>
        <v>0.0</v>
      </c>
      <c r="L1088" s="2" t="n">
        <f>HYPERLINK("https://globaldossier.uspto.gov/result/application/US/17378860/1","US20220022829")</f>
        <v>0.0</v>
      </c>
      <c r="M1088" t="s">
        <v>7519</v>
      </c>
      <c r="N1088" t="s">
        <v>1649</v>
      </c>
      <c r="O1088" t="s">
        <v>1650</v>
      </c>
      <c r="P1088" t="s">
        <v>7520</v>
      </c>
      <c r="Q1088" s="3" t="n">
        <v>44396.0</v>
      </c>
      <c r="R1088" s="3" t="n">
        <v>44588.0</v>
      </c>
      <c r="S1088" s="3" t="n">
        <v>44589.18868738426</v>
      </c>
      <c r="T1088" s="3" t="n">
        <v>44757.746753796295</v>
      </c>
      <c r="U1088" t="s">
        <v>7521</v>
      </c>
      <c r="V1088" t="s">
        <v>7522</v>
      </c>
    </row>
    <row r="1089">
      <c r="A1089" t="s">
        <v>22</v>
      </c>
      <c r="B1089" t="s">
        <v>7523</v>
      </c>
      <c r="C1089" t="s">
        <v>24</v>
      </c>
      <c r="D1089" t="s">
        <v>69</v>
      </c>
      <c r="E1089" t="s">
        <v>7524</v>
      </c>
      <c r="F1089" s="2" t="n">
        <f>HYPERLINK("https://patents.google.com/patent/US20220022818","Google")</f>
        <v>0.0</v>
      </c>
      <c r="G1089" s="2" t="n">
        <f>HYPERLINK("https://patentcenter.uspto.gov/applications/16947149","Patent Center")</f>
        <v>0.0</v>
      </c>
      <c r="H1089" s="2" t="n">
        <f>HYPERLINK("https://worldwide.espacenet.com/patent/search?q=US20220022818","Espacenet")</f>
        <v>0.0</v>
      </c>
      <c r="I1089" s="2" t="n">
        <f>HYPERLINK("https://ppubs.uspto.gov/pubwebapp/external.html?q=20220022818.pn.","USPTO")</f>
        <v>0.0</v>
      </c>
      <c r="J1089" s="2" t="n">
        <f>HYPERLINK("https://image-ppubs.uspto.gov/dirsearch-public/print/downloadPdf/20220022818","USPTO PDF")</f>
        <v>0.0</v>
      </c>
      <c r="K1089" s="2" t="n">
        <f>HYPERLINK("https://sectors.patentforecast.com/pmd/US20220022818","PMD")</f>
        <v>0.0</v>
      </c>
      <c r="L1089" s="2" t="n">
        <f>HYPERLINK("https://globaldossier.uspto.gov/result/application/US/16947149/1","US20220022818")</f>
        <v>0.0</v>
      </c>
      <c r="M1089" t="s">
        <v>7525</v>
      </c>
      <c r="N1089" t="s">
        <v>7526</v>
      </c>
      <c r="O1089" t="s">
        <v>7527</v>
      </c>
      <c r="P1089" t="s">
        <v>7528</v>
      </c>
      <c r="Q1089" s="3" t="n">
        <v>44033.0</v>
      </c>
      <c r="R1089" s="3" t="n">
        <v>44588.0</v>
      </c>
      <c r="S1089" s="3" t="n">
        <v>44589.18868738426</v>
      </c>
      <c r="T1089" s="3" t="n">
        <v>44678.631319155094</v>
      </c>
      <c r="U1089" t="s">
        <v>31</v>
      </c>
      <c r="V1089" t="s">
        <v>7529</v>
      </c>
    </row>
    <row r="1090">
      <c r="A1090" t="s">
        <v>22</v>
      </c>
      <c r="B1090" t="s">
        <v>7530</v>
      </c>
      <c r="C1090" t="s">
        <v>312</v>
      </c>
      <c r="D1090" t="s">
        <v>313</v>
      </c>
      <c r="E1090" t="s">
        <v>7531</v>
      </c>
      <c r="F1090" s="2" t="n">
        <f>HYPERLINK("https://patents.google.com/patent/US20220022747","Google")</f>
        <v>0.0</v>
      </c>
      <c r="G1090" s="2" t="n">
        <f>HYPERLINK("https://patentcenter.uspto.gov/applications/16939023","Patent Center")</f>
        <v>0.0</v>
      </c>
      <c r="H1090" s="2" t="n">
        <f>HYPERLINK("https://worldwide.espacenet.com/patent/search?q=US20220022747","Espacenet")</f>
        <v>0.0</v>
      </c>
      <c r="I1090" s="2" t="n">
        <f>HYPERLINK("https://ppubs.uspto.gov/pubwebapp/external.html?q=20220022747.pn.","USPTO")</f>
        <v>0.0</v>
      </c>
      <c r="J1090" s="2" t="n">
        <f>HYPERLINK("https://image-ppubs.uspto.gov/dirsearch-public/print/downloadPdf/20220022747","USPTO PDF")</f>
        <v>0.0</v>
      </c>
      <c r="K1090" s="2" t="n">
        <f>HYPERLINK("https://sectors.patentforecast.com/pmd/US20220022747","PMD")</f>
        <v>0.0</v>
      </c>
      <c r="L1090" s="2" t="n">
        <f>HYPERLINK("https://globaldossier.uspto.gov/result/application/US/16939023/1","US20220022747")</f>
        <v>0.0</v>
      </c>
      <c r="M1090" t="s">
        <v>7532</v>
      </c>
      <c r="N1090" t="s">
        <v>7533</v>
      </c>
      <c r="O1090" t="s">
        <v>7533</v>
      </c>
      <c r="P1090" t="s">
        <v>7534</v>
      </c>
      <c r="Q1090" s="3" t="n">
        <v>44038.0</v>
      </c>
      <c r="R1090" s="3" t="n">
        <v>44588.0</v>
      </c>
      <c r="S1090" s="3" t="n">
        <v>44643.23911607639</v>
      </c>
      <c r="T1090" s="3" t="n">
        <v>44719.602839722225</v>
      </c>
      <c r="U1090" t="s">
        <v>31</v>
      </c>
      <c r="V1090" t="s">
        <v>7535</v>
      </c>
    </row>
    <row r="1091">
      <c r="A1091" t="s">
        <v>22</v>
      </c>
      <c r="B1091" t="s">
        <v>7536</v>
      </c>
      <c r="C1091" t="s">
        <v>24</v>
      </c>
      <c r="D1091" t="s">
        <v>100</v>
      </c>
      <c r="E1091" t="s">
        <v>7537</v>
      </c>
      <c r="F1091" s="2" t="n">
        <f>HYPERLINK("https://patents.google.com/patent/US20220022615","Google")</f>
        <v>0.0</v>
      </c>
      <c r="G1091" s="2" t="n">
        <f>HYPERLINK("https://patentcenter.uspto.gov/applications/16952299","Patent Center")</f>
        <v>0.0</v>
      </c>
      <c r="H1091" s="2" t="n">
        <f>HYPERLINK("https://worldwide.espacenet.com/patent/search?q=US20220022615","Espacenet")</f>
        <v>0.0</v>
      </c>
      <c r="I1091" s="2" t="n">
        <f>HYPERLINK("https://ppubs.uspto.gov/pubwebapp/external.html?q=20220022615.pn.","USPTO")</f>
        <v>0.0</v>
      </c>
      <c r="J1091" s="2" t="n">
        <f>HYPERLINK("https://image-ppubs.uspto.gov/dirsearch-public/print/downloadPdf/20220022615","USPTO PDF")</f>
        <v>0.0</v>
      </c>
      <c r="K1091" s="2" t="n">
        <f>HYPERLINK("https://sectors.patentforecast.com/pmd/US20220022615","PMD")</f>
        <v>0.0</v>
      </c>
      <c r="L1091" s="2" t="n">
        <f>HYPERLINK("https://globaldossier.uspto.gov/result/application/US/16952299/1","US20220022615")</f>
        <v>0.0</v>
      </c>
      <c r="M1091" t="s">
        <v>7538</v>
      </c>
      <c r="N1091" t="s">
        <v>7539</v>
      </c>
      <c r="O1091" t="s">
        <v>7539</v>
      </c>
      <c r="P1091" t="s">
        <v>7540</v>
      </c>
      <c r="Q1091" s="3" t="n">
        <v>44154.0</v>
      </c>
      <c r="R1091" s="3" t="n">
        <v>44588.0</v>
      </c>
      <c r="S1091" s="3" t="n">
        <v>44589.18868738426</v>
      </c>
      <c r="T1091" s="3" t="n">
        <v>44678.63396600694</v>
      </c>
      <c r="U1091" t="s">
        <v>31</v>
      </c>
      <c r="V1091" t="s">
        <v>7541</v>
      </c>
    </row>
    <row r="1092">
      <c r="A1092" t="s">
        <v>22</v>
      </c>
      <c r="B1092" t="s">
        <v>7542</v>
      </c>
      <c r="C1092" t="s">
        <v>24</v>
      </c>
      <c r="D1092" t="s">
        <v>69</v>
      </c>
      <c r="E1092" t="s">
        <v>7543</v>
      </c>
      <c r="F1092" s="2" t="n">
        <f>HYPERLINK("https://patents.google.com/patent/US20220022573","Google")</f>
        <v>0.0</v>
      </c>
      <c r="G1092" s="2" t="n">
        <f>HYPERLINK("https://patentcenter.uspto.gov/applications/17144636","Patent Center")</f>
        <v>0.0</v>
      </c>
      <c r="H1092" s="2" t="n">
        <f>HYPERLINK("https://worldwide.espacenet.com/patent/search?q=US20220022573","Espacenet")</f>
        <v>0.0</v>
      </c>
      <c r="I1092" s="2" t="n">
        <f>HYPERLINK("https://ppubs.uspto.gov/pubwebapp/external.html?q=20220022573.pn.","USPTO")</f>
        <v>0.0</v>
      </c>
      <c r="J1092" s="2" t="n">
        <f>HYPERLINK("https://image-ppubs.uspto.gov/dirsearch-public/print/downloadPdf/20220022573","USPTO PDF")</f>
        <v>0.0</v>
      </c>
      <c r="K1092" s="2" t="n">
        <f>HYPERLINK("https://sectors.patentforecast.com/pmd/US20220022573","PMD")</f>
        <v>0.0</v>
      </c>
      <c r="L1092" s="2" t="n">
        <f>HYPERLINK("https://globaldossier.uspto.gov/result/application/US/17144636/1","US20220022573")</f>
        <v>0.0</v>
      </c>
      <c r="M1092" t="s">
        <v>7544</v>
      </c>
      <c r="N1092" t="s">
        <v>7545</v>
      </c>
      <c r="O1092" t="s">
        <v>7545</v>
      </c>
      <c r="P1092" t="s">
        <v>7546</v>
      </c>
      <c r="Q1092" s="3" t="n">
        <v>44204.0</v>
      </c>
      <c r="R1092" s="3" t="n">
        <v>44588.0</v>
      </c>
      <c r="S1092" s="3" t="n">
        <v>44589.18868738426</v>
      </c>
      <c r="T1092" s="3" t="n">
        <v>44678.63213877315</v>
      </c>
      <c r="U1092" t="s">
        <v>7547</v>
      </c>
      <c r="V1092" t="s">
        <v>7548</v>
      </c>
    </row>
    <row r="1093">
      <c r="A1093" t="s">
        <v>22</v>
      </c>
      <c r="B1093" t="s">
        <v>7549</v>
      </c>
      <c r="C1093" t="s">
        <v>24</v>
      </c>
      <c r="D1093" t="s">
        <v>69</v>
      </c>
      <c r="E1093" t="s">
        <v>2753</v>
      </c>
      <c r="F1093" s="2" t="n">
        <f>HYPERLINK("https://patents.google.com/patent/US20220022571","Google")</f>
        <v>0.0</v>
      </c>
      <c r="G1093" s="2" t="n">
        <f>HYPERLINK("https://patentcenter.uspto.gov/applications/16937197","Patent Center")</f>
        <v>0.0</v>
      </c>
      <c r="H1093" s="2" t="n">
        <f>HYPERLINK("https://worldwide.espacenet.com/patent/search?q=US20220022571","Espacenet")</f>
        <v>0.0</v>
      </c>
      <c r="I1093" s="2" t="n">
        <f>HYPERLINK("https://ppubs.uspto.gov/pubwebapp/external.html?q=20220022571.pn.","USPTO")</f>
        <v>0.0</v>
      </c>
      <c r="J1093" s="2" t="n">
        <f>HYPERLINK("https://image-ppubs.uspto.gov/dirsearch-public/print/downloadPdf/20220022571","USPTO PDF")</f>
        <v>0.0</v>
      </c>
      <c r="K1093" s="2" t="n">
        <f>HYPERLINK("https://sectors.patentforecast.com/pmd/US20220022571","PMD")</f>
        <v>0.0</v>
      </c>
      <c r="L1093" s="2" t="n">
        <f>HYPERLINK("https://globaldossier.uspto.gov/result/application/US/16937197/1","US20220022571")</f>
        <v>0.0</v>
      </c>
      <c r="M1093" t="s">
        <v>7550</v>
      </c>
      <c r="N1093" t="s">
        <v>7551</v>
      </c>
      <c r="O1093" t="s">
        <v>7552</v>
      </c>
      <c r="P1093" t="s">
        <v>7553</v>
      </c>
      <c r="Q1093" s="3" t="n">
        <v>44035.0</v>
      </c>
      <c r="R1093" s="3" t="n">
        <v>44588.0</v>
      </c>
      <c r="S1093" s="3" t="n">
        <v>44589.18868738426</v>
      </c>
      <c r="T1093" s="3" t="n">
        <v>44643.44277216435</v>
      </c>
      <c r="U1093" t="s">
        <v>31</v>
      </c>
      <c r="V1093" t="s">
        <v>7554</v>
      </c>
    </row>
    <row r="1094">
      <c r="A1094" t="s">
        <v>22</v>
      </c>
      <c r="B1094" t="s">
        <v>7555</v>
      </c>
      <c r="C1094" t="s">
        <v>24</v>
      </c>
      <c r="D1094" t="s">
        <v>100</v>
      </c>
      <c r="E1094" t="s">
        <v>7556</v>
      </c>
      <c r="F1094" s="2" t="n">
        <f>HYPERLINK("https://patents.google.com/patent/US20220022458","Google")</f>
        <v>0.0</v>
      </c>
      <c r="G1094" s="2" t="n">
        <f>HYPERLINK("https://patentcenter.uspto.gov/applications/17384629","Patent Center")</f>
        <v>0.0</v>
      </c>
      <c r="H1094" s="2" t="n">
        <f>HYPERLINK("https://worldwide.espacenet.com/patent/search?q=US20220022458","Espacenet")</f>
        <v>0.0</v>
      </c>
      <c r="I1094" s="2" t="n">
        <f>HYPERLINK("https://ppubs.uspto.gov/pubwebapp/external.html?q=20220022458.pn.","USPTO")</f>
        <v>0.0</v>
      </c>
      <c r="J1094" s="2" t="n">
        <f>HYPERLINK("https://image-ppubs.uspto.gov/dirsearch-public/print/downloadPdf/20220022458","USPTO PDF")</f>
        <v>0.0</v>
      </c>
      <c r="K1094" s="2" t="n">
        <f>HYPERLINK("https://sectors.patentforecast.com/pmd/US20220022458","PMD")</f>
        <v>0.0</v>
      </c>
      <c r="L1094" s="2" t="n">
        <f>HYPERLINK("https://globaldossier.uspto.gov/result/application/US/17384629/1","US20220022458")</f>
        <v>0.0</v>
      </c>
      <c r="M1094" t="s">
        <v>7557</v>
      </c>
      <c r="N1094" t="s">
        <v>7558</v>
      </c>
      <c r="O1094" t="s">
        <v>7559</v>
      </c>
      <c r="P1094" t="s">
        <v>7560</v>
      </c>
      <c r="Q1094" s="3" t="n">
        <v>44400.0</v>
      </c>
      <c r="R1094" s="3" t="n">
        <v>44588.0</v>
      </c>
      <c r="S1094" s="3" t="n">
        <v>44589.18868738426</v>
      </c>
      <c r="T1094" s="3" t="n">
        <v>44678.57928900463</v>
      </c>
      <c r="U1094" t="s">
        <v>7561</v>
      </c>
      <c r="V1094" t="s">
        <v>7562</v>
      </c>
    </row>
    <row r="1095">
      <c r="A1095" t="s">
        <v>22</v>
      </c>
      <c r="B1095" t="s">
        <v>7563</v>
      </c>
      <c r="C1095" t="s">
        <v>24</v>
      </c>
      <c r="D1095" t="s">
        <v>100</v>
      </c>
      <c r="E1095" t="s">
        <v>7564</v>
      </c>
      <c r="F1095" s="2" t="n">
        <f>HYPERLINK("https://patents.google.com/patent/US20220022452","Google")</f>
        <v>0.0</v>
      </c>
      <c r="G1095" s="2" t="n">
        <f>HYPERLINK("https://patentcenter.uspto.gov/applications/16947256","Patent Center")</f>
        <v>0.0</v>
      </c>
      <c r="H1095" s="2" t="n">
        <f>HYPERLINK("https://worldwide.espacenet.com/patent/search?q=US20220022452","Espacenet")</f>
        <v>0.0</v>
      </c>
      <c r="I1095" s="2" t="n">
        <f>HYPERLINK("https://ppubs.uspto.gov/pubwebapp/external.html?q=20220022452.pn.","USPTO")</f>
        <v>0.0</v>
      </c>
      <c r="J1095" s="2" t="n">
        <f>HYPERLINK("https://image-ppubs.uspto.gov/dirsearch-public/print/downloadPdf/20220022452","USPTO PDF")</f>
        <v>0.0</v>
      </c>
      <c r="K1095" s="2" t="n">
        <f>HYPERLINK("https://sectors.patentforecast.com/pmd/US20220022452","PMD")</f>
        <v>0.0</v>
      </c>
      <c r="L1095" s="2" t="n">
        <f>HYPERLINK("https://globaldossier.uspto.gov/result/application/US/16947256/1","US20220022452")</f>
        <v>0.0</v>
      </c>
      <c r="M1095" t="s">
        <v>7565</v>
      </c>
      <c r="N1095" t="s">
        <v>6058</v>
      </c>
      <c r="O1095" t="s">
        <v>6058</v>
      </c>
      <c r="P1095" t="s">
        <v>7566</v>
      </c>
      <c r="Q1095" s="3" t="n">
        <v>44036.0</v>
      </c>
      <c r="R1095" s="3" t="n">
        <v>44588.0</v>
      </c>
      <c r="S1095" s="3" t="n">
        <v>44589.18776434028</v>
      </c>
      <c r="T1095" s="3" t="n">
        <v>44678.48204512731</v>
      </c>
      <c r="U1095" t="s">
        <v>31</v>
      </c>
      <c r="V1095" t="s">
        <v>7567</v>
      </c>
    </row>
    <row r="1096">
      <c r="A1096" t="s">
        <v>22</v>
      </c>
      <c r="B1096" t="s">
        <v>7568</v>
      </c>
      <c r="C1096" t="s">
        <v>312</v>
      </c>
      <c r="D1096" t="s">
        <v>976</v>
      </c>
      <c r="E1096" t="s">
        <v>7569</v>
      </c>
      <c r="F1096" s="2" t="n">
        <f>HYPERLINK("https://patents.google.com/patent/US20220020503","Google")</f>
        <v>0.0</v>
      </c>
      <c r="G1096" s="2" t="n">
        <f>HYPERLINK("https://patentcenter.uspto.gov/applications/17207485","Patent Center")</f>
        <v>0.0</v>
      </c>
      <c r="H1096" s="2" t="n">
        <f>HYPERLINK("https://worldwide.espacenet.com/patent/search?q=US20220020503","Espacenet")</f>
        <v>0.0</v>
      </c>
      <c r="I1096" s="2" t="n">
        <f>HYPERLINK("https://ppubs.uspto.gov/pubwebapp/external.html?q=20220020503.pn.","USPTO")</f>
        <v>0.0</v>
      </c>
      <c r="J1096" s="2" t="n">
        <f>HYPERLINK("https://image-ppubs.uspto.gov/dirsearch-public/print/downloadPdf/20220020503","USPTO PDF")</f>
        <v>0.0</v>
      </c>
      <c r="K1096" s="2" t="n">
        <f>HYPERLINK("https://sectors.patentforecast.com/pmd/US20220020503","PMD")</f>
        <v>0.0</v>
      </c>
      <c r="L1096" s="2" t="n">
        <f>HYPERLINK("https://globaldossier.uspto.gov/result/application/US/17207485/1","US20220020503")</f>
        <v>0.0</v>
      </c>
      <c r="M1096" t="s">
        <v>7570</v>
      </c>
      <c r="N1096" t="s">
        <v>7571</v>
      </c>
      <c r="O1096" t="s">
        <v>7572</v>
      </c>
      <c r="P1096" t="s">
        <v>7573</v>
      </c>
      <c r="Q1096" s="3" t="n">
        <v>44274.0</v>
      </c>
      <c r="R1096" s="3" t="n">
        <v>44581.0</v>
      </c>
      <c r="S1096" s="3" t="n">
        <v>44582.18903996528</v>
      </c>
      <c r="T1096" s="3" t="n">
        <v>44678.55742734954</v>
      </c>
      <c r="U1096" t="s">
        <v>31</v>
      </c>
      <c r="V1096" t="s">
        <v>7574</v>
      </c>
    </row>
    <row r="1097">
      <c r="A1097" t="s">
        <v>22</v>
      </c>
      <c r="B1097" t="s">
        <v>7575</v>
      </c>
      <c r="C1097" t="s">
        <v>24</v>
      </c>
      <c r="D1097" t="s">
        <v>69</v>
      </c>
      <c r="E1097" t="s">
        <v>7576</v>
      </c>
      <c r="F1097" s="2" t="n">
        <f>HYPERLINK("https://patents.google.com/patent/US20220020236","Google")</f>
        <v>0.0</v>
      </c>
      <c r="G1097" s="2" t="n">
        <f>HYPERLINK("https://patentcenter.uspto.gov/applications/17208754","Patent Center")</f>
        <v>0.0</v>
      </c>
      <c r="H1097" s="2" t="n">
        <f>HYPERLINK("https://worldwide.espacenet.com/patent/search?q=US20220020236","Espacenet")</f>
        <v>0.0</v>
      </c>
      <c r="I1097" s="2" t="n">
        <f>HYPERLINK("https://ppubs.uspto.gov/pubwebapp/external.html?q=20220020236.pn.","USPTO")</f>
        <v>0.0</v>
      </c>
      <c r="J1097" s="2" t="n">
        <f>HYPERLINK("https://image-ppubs.uspto.gov/dirsearch-public/print/downloadPdf/20220020236","USPTO PDF")</f>
        <v>0.0</v>
      </c>
      <c r="K1097" s="2" t="n">
        <f>HYPERLINK("https://sectors.patentforecast.com/pmd/US20220020236","PMD")</f>
        <v>0.0</v>
      </c>
      <c r="L1097" s="2" t="n">
        <f>HYPERLINK("https://globaldossier.uspto.gov/result/application/US/17208754/1","US20220020236")</f>
        <v>0.0</v>
      </c>
      <c r="M1097" t="s">
        <v>7577</v>
      </c>
      <c r="N1097" t="s">
        <v>6851</v>
      </c>
      <c r="O1097" t="s">
        <v>6852</v>
      </c>
      <c r="P1097" t="s">
        <v>7578</v>
      </c>
      <c r="Q1097" s="3" t="n">
        <v>44277.0</v>
      </c>
      <c r="R1097" s="3" t="n">
        <v>44581.0</v>
      </c>
      <c r="S1097" s="3" t="n">
        <v>44582.18903996528</v>
      </c>
      <c r="T1097" s="3" t="n">
        <v>44757.74726429398</v>
      </c>
      <c r="U1097" t="s">
        <v>7579</v>
      </c>
      <c r="V1097" t="s">
        <v>7580</v>
      </c>
    </row>
    <row r="1098">
      <c r="A1098" t="s">
        <v>22</v>
      </c>
      <c r="B1098" t="s">
        <v>7581</v>
      </c>
      <c r="C1098" t="s">
        <v>24</v>
      </c>
      <c r="D1098" t="s">
        <v>258</v>
      </c>
      <c r="E1098" t="s">
        <v>7582</v>
      </c>
      <c r="F1098" s="2" t="n">
        <f>HYPERLINK("https://patents.google.com/patent/US20220020229","Google")</f>
        <v>0.0</v>
      </c>
      <c r="G1098" s="2" t="n">
        <f>HYPERLINK("https://patentcenter.uspto.gov/applications/17374557","Patent Center")</f>
        <v>0.0</v>
      </c>
      <c r="H1098" s="2" t="n">
        <f>HYPERLINK("https://worldwide.espacenet.com/patent/search?q=US20220020229","Espacenet")</f>
        <v>0.0</v>
      </c>
      <c r="I1098" s="2" t="n">
        <f>HYPERLINK("https://ppubs.uspto.gov/pubwebapp/external.html?q=20220020229.pn.","USPTO")</f>
        <v>0.0</v>
      </c>
      <c r="J1098" s="2" t="n">
        <f>HYPERLINK("https://image-ppubs.uspto.gov/dirsearch-public/print/downloadPdf/20220020229","USPTO PDF")</f>
        <v>0.0</v>
      </c>
      <c r="K1098" s="2" t="n">
        <f>HYPERLINK("https://sectors.patentforecast.com/pmd/US20220020229","PMD")</f>
        <v>0.0</v>
      </c>
      <c r="L1098" s="2" t="n">
        <f>HYPERLINK("https://globaldossier.uspto.gov/result/application/US/17374557/1","US20220020229")</f>
        <v>0.0</v>
      </c>
      <c r="M1098" t="s">
        <v>7583</v>
      </c>
      <c r="N1098" t="s">
        <v>7584</v>
      </c>
      <c r="O1098" t="s">
        <v>7585</v>
      </c>
      <c r="P1098" t="s">
        <v>7586</v>
      </c>
      <c r="Q1098" s="3" t="n">
        <v>44390.0</v>
      </c>
      <c r="R1098" s="3" t="n">
        <v>44581.0</v>
      </c>
      <c r="S1098" s="3" t="n">
        <v>44657.230899409726</v>
      </c>
      <c r="T1098" s="3" t="n">
        <v>44719.60303237269</v>
      </c>
      <c r="U1098" t="s">
        <v>7587</v>
      </c>
      <c r="V1098" t="s">
        <v>7588</v>
      </c>
    </row>
    <row r="1099">
      <c r="A1099" t="s">
        <v>22</v>
      </c>
      <c r="B1099" t="s">
        <v>7589</v>
      </c>
      <c r="C1099" t="s">
        <v>24</v>
      </c>
      <c r="D1099" t="s">
        <v>34</v>
      </c>
      <c r="E1099" t="s">
        <v>7590</v>
      </c>
      <c r="F1099" s="2" t="n">
        <f>HYPERLINK("https://patents.google.com/patent/US20220020145","Google")</f>
        <v>0.0</v>
      </c>
      <c r="G1099" s="2" t="n">
        <f>HYPERLINK("https://patentcenter.uspto.gov/applications/17305631","Patent Center")</f>
        <v>0.0</v>
      </c>
      <c r="H1099" s="2" t="n">
        <f>HYPERLINK("https://worldwide.espacenet.com/patent/search?q=US20220020145","Espacenet")</f>
        <v>0.0</v>
      </c>
      <c r="I1099" s="2" t="n">
        <f>HYPERLINK("https://ppubs.uspto.gov/pubwebapp/external.html?q=20220020145.pn.","USPTO")</f>
        <v>0.0</v>
      </c>
      <c r="J1099" s="2" t="n">
        <f>HYPERLINK("https://image-ppubs.uspto.gov/dirsearch-public/print/downloadPdf/20220020145","USPTO PDF")</f>
        <v>0.0</v>
      </c>
      <c r="K1099" s="2" t="n">
        <f>HYPERLINK("https://sectors.patentforecast.com/pmd/US20220020145","PMD")</f>
        <v>0.0</v>
      </c>
      <c r="L1099" s="2" t="n">
        <f>HYPERLINK("https://globaldossier.uspto.gov/result/application/US/17305631/1","US20220020145")</f>
        <v>0.0</v>
      </c>
      <c r="M1099" t="s">
        <v>7591</v>
      </c>
      <c r="N1099" t="s">
        <v>7526</v>
      </c>
      <c r="O1099" t="s">
        <v>7527</v>
      </c>
      <c r="P1099" t="s">
        <v>7592</v>
      </c>
      <c r="Q1099" s="3" t="n">
        <v>44389.0</v>
      </c>
      <c r="R1099" s="3" t="n">
        <v>44581.0</v>
      </c>
      <c r="S1099" s="3" t="n">
        <v>44582.18903996528</v>
      </c>
      <c r="T1099" s="3" t="n">
        <v>44638.701338900464</v>
      </c>
      <c r="U1099" t="s">
        <v>31</v>
      </c>
      <c r="V1099" t="s">
        <v>7593</v>
      </c>
    </row>
    <row r="1100">
      <c r="A1100" t="s">
        <v>22</v>
      </c>
      <c r="B1100" t="s">
        <v>7594</v>
      </c>
      <c r="C1100" t="s">
        <v>24</v>
      </c>
      <c r="D1100" t="s">
        <v>34</v>
      </c>
      <c r="E1100" t="s">
        <v>7595</v>
      </c>
      <c r="F1100" s="2" t="n">
        <f>HYPERLINK("https://patents.google.com/patent/US20220018850","Google")</f>
        <v>0.0</v>
      </c>
      <c r="G1100" s="2" t="n">
        <f>HYPERLINK("https://patentcenter.uspto.gov/applications/17376058","Patent Center")</f>
        <v>0.0</v>
      </c>
      <c r="H1100" s="2" t="n">
        <f>HYPERLINK("https://worldwide.espacenet.com/patent/search?q=US20220018850","Espacenet")</f>
        <v>0.0</v>
      </c>
      <c r="I1100" s="2" t="n">
        <f>HYPERLINK("https://ppubs.uspto.gov/pubwebapp/external.html?q=20220018850.pn.","USPTO")</f>
        <v>0.0</v>
      </c>
      <c r="J1100" s="2" t="n">
        <f>HYPERLINK("https://image-ppubs.uspto.gov/dirsearch-public/print/downloadPdf/20220018850","USPTO PDF")</f>
        <v>0.0</v>
      </c>
      <c r="K1100" s="2" t="n">
        <f>HYPERLINK("https://sectors.patentforecast.com/pmd/US20220018850","PMD")</f>
        <v>0.0</v>
      </c>
      <c r="L1100" s="2" t="n">
        <f>HYPERLINK("https://globaldossier.uspto.gov/result/application/US/17376058/1","US20220018850")</f>
        <v>0.0</v>
      </c>
      <c r="M1100" t="s">
        <v>7596</v>
      </c>
      <c r="N1100" t="s">
        <v>7597</v>
      </c>
      <c r="O1100" t="s">
        <v>7598</v>
      </c>
      <c r="P1100" t="s">
        <v>7599</v>
      </c>
      <c r="Q1100" s="3" t="n">
        <v>44391.0</v>
      </c>
      <c r="R1100" s="3" t="n">
        <v>44581.0</v>
      </c>
      <c r="S1100" s="3" t="n">
        <v>44582.18903996528</v>
      </c>
      <c r="T1100" s="3" t="n">
        <v>44638.688496076385</v>
      </c>
      <c r="U1100" t="s">
        <v>7600</v>
      </c>
      <c r="V1100" t="s">
        <v>7601</v>
      </c>
    </row>
    <row r="1101">
      <c r="A1101" t="s">
        <v>22</v>
      </c>
      <c r="B1101" t="s">
        <v>7602</v>
      </c>
      <c r="C1101" t="s">
        <v>24</v>
      </c>
      <c r="D1101" t="s">
        <v>25</v>
      </c>
      <c r="E1101" t="s">
        <v>7603</v>
      </c>
      <c r="F1101" s="2" t="n">
        <f>HYPERLINK("https://patents.google.com/patent/US20220018797","Google")</f>
        <v>0.0</v>
      </c>
      <c r="G1101" s="2" t="n">
        <f>HYPERLINK("https://patentcenter.uspto.gov/applications/17373515","Patent Center")</f>
        <v>0.0</v>
      </c>
      <c r="H1101" s="2" t="n">
        <f>HYPERLINK("https://worldwide.espacenet.com/patent/search?q=US20220018797","Espacenet")</f>
        <v>0.0</v>
      </c>
      <c r="I1101" s="2" t="n">
        <f>HYPERLINK("https://ppubs.uspto.gov/pubwebapp/external.html?q=20220018797.pn.","USPTO")</f>
        <v>0.0</v>
      </c>
      <c r="J1101" s="2" t="n">
        <f>HYPERLINK("https://image-ppubs.uspto.gov/dirsearch-public/print/downloadPdf/20220018797","USPTO PDF")</f>
        <v>0.0</v>
      </c>
      <c r="K1101" s="2" t="n">
        <f>HYPERLINK("https://sectors.patentforecast.com/pmd/US20220018797","PMD")</f>
        <v>0.0</v>
      </c>
      <c r="L1101" s="2" t="n">
        <f>HYPERLINK("https://globaldossier.uspto.gov/result/application/US/17373515/1","US20220018797")</f>
        <v>0.0</v>
      </c>
      <c r="M1101" t="s">
        <v>7604</v>
      </c>
      <c r="N1101" t="s">
        <v>7605</v>
      </c>
      <c r="O1101" t="s">
        <v>7605</v>
      </c>
      <c r="P1101" t="s">
        <v>7606</v>
      </c>
      <c r="Q1101" s="3" t="n">
        <v>44389.0</v>
      </c>
      <c r="R1101" s="3" t="n">
        <v>44581.0</v>
      </c>
      <c r="S1101" s="3" t="n">
        <v>44582.18903996528</v>
      </c>
      <c r="T1101" s="3" t="n">
        <v>44638.7029003125</v>
      </c>
      <c r="U1101" t="s">
        <v>31</v>
      </c>
      <c r="V1101" t="s">
        <v>7607</v>
      </c>
    </row>
    <row r="1102">
      <c r="A1102" t="s">
        <v>22</v>
      </c>
      <c r="B1102" t="s">
        <v>7608</v>
      </c>
      <c r="C1102" t="s">
        <v>24</v>
      </c>
      <c r="D1102" t="s">
        <v>25</v>
      </c>
      <c r="E1102" t="s">
        <v>7609</v>
      </c>
      <c r="F1102" s="2" t="n">
        <f>HYPERLINK("https://patents.google.com/patent/US20220018715","Google")</f>
        <v>0.0</v>
      </c>
      <c r="G1102" s="2" t="n">
        <f>HYPERLINK("https://patentcenter.uspto.gov/applications/17330178","Patent Center")</f>
        <v>0.0</v>
      </c>
      <c r="H1102" s="2" t="n">
        <f>HYPERLINK("https://worldwide.espacenet.com/patent/search?q=US20220018715","Espacenet")</f>
        <v>0.0</v>
      </c>
      <c r="I1102" s="2" t="n">
        <f>HYPERLINK("https://ppubs.uspto.gov/pubwebapp/external.html?q=20220018715.pn.","USPTO")</f>
        <v>0.0</v>
      </c>
      <c r="J1102" s="2" t="n">
        <f>HYPERLINK("https://image-ppubs.uspto.gov/dirsearch-public/print/downloadPdf/20220018715","USPTO PDF")</f>
        <v>0.0</v>
      </c>
      <c r="K1102" s="2" t="n">
        <f>HYPERLINK("https://sectors.patentforecast.com/pmd/US20220018715","PMD")</f>
        <v>0.0</v>
      </c>
      <c r="L1102" s="2" t="n">
        <f>HYPERLINK("https://globaldossier.uspto.gov/result/application/US/17330178/1","US20220018715")</f>
        <v>0.0</v>
      </c>
      <c r="M1102" t="s">
        <v>7610</v>
      </c>
      <c r="N1102" t="s">
        <v>7611</v>
      </c>
      <c r="O1102" t="s">
        <v>7612</v>
      </c>
      <c r="P1102" t="s">
        <v>7613</v>
      </c>
      <c r="Q1102" s="3" t="n">
        <v>44341.0</v>
      </c>
      <c r="R1102" s="3" t="n">
        <v>44581.0</v>
      </c>
      <c r="S1102" s="3" t="n">
        <v>44582.18903996528</v>
      </c>
      <c r="T1102" s="3" t="n">
        <v>44678.64646076389</v>
      </c>
      <c r="U1102" t="s">
        <v>31</v>
      </c>
      <c r="V1102" t="s">
        <v>7614</v>
      </c>
    </row>
    <row r="1103">
      <c r="A1103" t="s">
        <v>22</v>
      </c>
      <c r="B1103" t="s">
        <v>7615</v>
      </c>
      <c r="C1103" t="s">
        <v>24</v>
      </c>
      <c r="D1103" t="s">
        <v>100</v>
      </c>
      <c r="E1103" t="s">
        <v>7616</v>
      </c>
      <c r="F1103" s="2" t="n">
        <f>HYPERLINK("https://patents.google.com/patent/US20220018051","Google")</f>
        <v>0.0</v>
      </c>
      <c r="G1103" s="2" t="n">
        <f>HYPERLINK("https://patentcenter.uspto.gov/applications/17375716","Patent Center")</f>
        <v>0.0</v>
      </c>
      <c r="H1103" s="2" t="n">
        <f>HYPERLINK("https://worldwide.espacenet.com/patent/search?q=US20220018051","Espacenet")</f>
        <v>0.0</v>
      </c>
      <c r="I1103" s="2" t="n">
        <f>HYPERLINK("https://ppubs.uspto.gov/pubwebapp/external.html?q=20220018051.pn.","USPTO")</f>
        <v>0.0</v>
      </c>
      <c r="J1103" s="2" t="n">
        <f>HYPERLINK("https://image-ppubs.uspto.gov/dirsearch-public/print/downloadPdf/20220018051","USPTO PDF")</f>
        <v>0.0</v>
      </c>
      <c r="K1103" s="2" t="n">
        <f>HYPERLINK("https://sectors.patentforecast.com/pmd/US20220018051","PMD")</f>
        <v>0.0</v>
      </c>
      <c r="L1103" s="2" t="n">
        <f>HYPERLINK("https://globaldossier.uspto.gov/result/application/US/17375716/1","US20220018051")</f>
        <v>0.0</v>
      </c>
      <c r="M1103" t="s">
        <v>7617</v>
      </c>
      <c r="N1103" t="s">
        <v>7618</v>
      </c>
      <c r="O1103" t="s">
        <v>7618</v>
      </c>
      <c r="P1103" t="s">
        <v>7619</v>
      </c>
      <c r="Q1103" s="3" t="n">
        <v>44391.0</v>
      </c>
      <c r="R1103" s="3" t="n">
        <v>44581.0</v>
      </c>
      <c r="S1103" s="3" t="n">
        <v>44582.18903996528</v>
      </c>
      <c r="T1103" s="3" t="n">
        <v>44678.57928900463</v>
      </c>
      <c r="U1103" t="s">
        <v>7620</v>
      </c>
      <c r="V1103" t="s">
        <v>7621</v>
      </c>
    </row>
    <row r="1104">
      <c r="A1104" t="s">
        <v>22</v>
      </c>
      <c r="B1104" t="s">
        <v>7622</v>
      </c>
      <c r="C1104" t="s">
        <v>60</v>
      </c>
      <c r="D1104" t="s">
        <v>77</v>
      </c>
      <c r="E1104" t="s">
        <v>7623</v>
      </c>
      <c r="F1104" s="2" t="n">
        <f>HYPERLINK("https://patents.google.com/patent/US20220017604","Google")</f>
        <v>0.0</v>
      </c>
      <c r="G1104" s="2" t="n">
        <f>HYPERLINK("https://patentcenter.uspto.gov/applications/17232796","Patent Center")</f>
        <v>0.0</v>
      </c>
      <c r="H1104" s="2" t="n">
        <f>HYPERLINK("https://worldwide.espacenet.com/patent/search?q=US20220017604","Espacenet")</f>
        <v>0.0</v>
      </c>
      <c r="I1104" s="2" t="n">
        <f>HYPERLINK("https://ppubs.uspto.gov/pubwebapp/external.html?q=20220017604.pn.","USPTO")</f>
        <v>0.0</v>
      </c>
      <c r="J1104" s="2" t="n">
        <f>HYPERLINK("https://image-ppubs.uspto.gov/dirsearch-public/print/downloadPdf/20220017604","USPTO PDF")</f>
        <v>0.0</v>
      </c>
      <c r="K1104" s="2" t="n">
        <f>HYPERLINK("https://sectors.patentforecast.com/pmd/US20220017604","PMD")</f>
        <v>0.0</v>
      </c>
      <c r="L1104" s="2" t="n">
        <f>HYPERLINK("https://globaldossier.uspto.gov/result/application/US/17232796/1","US20220017604")</f>
        <v>0.0</v>
      </c>
      <c r="M1104" t="s">
        <v>7624</v>
      </c>
      <c r="N1104" t="s">
        <v>3284</v>
      </c>
      <c r="O1104" t="s">
        <v>3285</v>
      </c>
      <c r="P1104" t="s">
        <v>7625</v>
      </c>
      <c r="Q1104" s="3" t="n">
        <v>44302.0</v>
      </c>
      <c r="R1104" s="3" t="n">
        <v>44581.0</v>
      </c>
      <c r="S1104" s="3" t="n">
        <v>44582.18903996528</v>
      </c>
      <c r="T1104" s="3" t="n">
        <v>44638.68709002315</v>
      </c>
      <c r="U1104" t="s">
        <v>31</v>
      </c>
      <c r="V1104" t="s">
        <v>7626</v>
      </c>
    </row>
    <row r="1105">
      <c r="A1105" t="s">
        <v>22</v>
      </c>
      <c r="B1105" t="s">
        <v>7627</v>
      </c>
      <c r="C1105" t="s">
        <v>60</v>
      </c>
      <c r="D1105" t="s">
        <v>61</v>
      </c>
      <c r="E1105" t="s">
        <v>7628</v>
      </c>
      <c r="F1105" s="2" t="n">
        <f>HYPERLINK("https://patents.google.com/patent/US20220017548","Google")</f>
        <v>0.0</v>
      </c>
      <c r="G1105" s="2" t="n">
        <f>HYPERLINK("https://patentcenter.uspto.gov/applications/17365213","Patent Center")</f>
        <v>0.0</v>
      </c>
      <c r="H1105" s="2" t="n">
        <f>HYPERLINK("https://worldwide.espacenet.com/patent/search?q=US20220017548","Espacenet")</f>
        <v>0.0</v>
      </c>
      <c r="I1105" s="2" t="n">
        <f>HYPERLINK("https://ppubs.uspto.gov/pubwebapp/external.html?q=20220017548.pn.","USPTO")</f>
        <v>0.0</v>
      </c>
      <c r="J1105" s="2" t="n">
        <f>HYPERLINK("https://image-ppubs.uspto.gov/dirsearch-public/print/downloadPdf/20220017548","USPTO PDF")</f>
        <v>0.0</v>
      </c>
      <c r="K1105" s="2" t="n">
        <f>HYPERLINK("https://sectors.patentforecast.com/pmd/US20220017548","PMD")</f>
        <v>0.0</v>
      </c>
      <c r="L1105" s="2" t="n">
        <f>HYPERLINK("https://globaldossier.uspto.gov/result/application/US/17365213/1","US20220017548")</f>
        <v>0.0</v>
      </c>
      <c r="M1105" t="s">
        <v>7629</v>
      </c>
      <c r="N1105" t="s">
        <v>691</v>
      </c>
      <c r="O1105" t="s">
        <v>692</v>
      </c>
      <c r="P1105" t="s">
        <v>7630</v>
      </c>
      <c r="Q1105" s="3" t="n">
        <v>44378.0</v>
      </c>
      <c r="R1105" s="3" t="n">
        <v>44581.0</v>
      </c>
      <c r="S1105" s="3" t="n">
        <v>44582.18903996528</v>
      </c>
      <c r="T1105" s="3" t="n">
        <v>44678.5431090625</v>
      </c>
      <c r="U1105" t="s">
        <v>31</v>
      </c>
      <c r="V1105" t="s">
        <v>7631</v>
      </c>
    </row>
    <row r="1106">
      <c r="A1106" t="s">
        <v>22</v>
      </c>
      <c r="B1106" t="s">
        <v>7632</v>
      </c>
      <c r="C1106" t="s">
        <v>24</v>
      </c>
      <c r="D1106" t="s">
        <v>69</v>
      </c>
      <c r="E1106" t="s">
        <v>7633</v>
      </c>
      <c r="F1106" s="2" t="n">
        <f>HYPERLINK("https://patents.google.com/patent/US20220016453","Google")</f>
        <v>0.0</v>
      </c>
      <c r="G1106" s="2" t="n">
        <f>HYPERLINK("https://patentcenter.uspto.gov/applications/17377028","Patent Center")</f>
        <v>0.0</v>
      </c>
      <c r="H1106" s="2" t="n">
        <f>HYPERLINK("https://worldwide.espacenet.com/patent/search?q=US20220016453","Espacenet")</f>
        <v>0.0</v>
      </c>
      <c r="I1106" s="2" t="n">
        <f>HYPERLINK("https://ppubs.uspto.gov/pubwebapp/external.html?q=20220016453.pn.","USPTO")</f>
        <v>0.0</v>
      </c>
      <c r="J1106" s="2" t="n">
        <f>HYPERLINK("https://image-ppubs.uspto.gov/dirsearch-public/print/downloadPdf/20220016453","USPTO PDF")</f>
        <v>0.0</v>
      </c>
      <c r="K1106" s="2" t="n">
        <f>HYPERLINK("https://sectors.patentforecast.com/pmd/US20220016453","PMD")</f>
        <v>0.0</v>
      </c>
      <c r="L1106" s="2" t="n">
        <f>HYPERLINK("https://globaldossier.uspto.gov/result/application/US/17377028/1","US20220016453")</f>
        <v>0.0</v>
      </c>
      <c r="M1106" t="s">
        <v>7634</v>
      </c>
      <c r="N1106" t="s">
        <v>7635</v>
      </c>
      <c r="O1106" t="s">
        <v>7636</v>
      </c>
      <c r="P1106" t="s">
        <v>7637</v>
      </c>
      <c r="Q1106" s="3" t="n">
        <v>44392.0</v>
      </c>
      <c r="R1106" s="3" t="n">
        <v>44581.0</v>
      </c>
      <c r="S1106" s="3" t="n">
        <v>44582.18903996528</v>
      </c>
      <c r="T1106" s="3" t="n">
        <v>44638.70440702546</v>
      </c>
      <c r="U1106" t="s">
        <v>31</v>
      </c>
      <c r="V1106" t="s">
        <v>7638</v>
      </c>
    </row>
    <row r="1107">
      <c r="A1107" t="s">
        <v>22</v>
      </c>
      <c r="B1107" t="s">
        <v>7639</v>
      </c>
      <c r="C1107" t="s">
        <v>24</v>
      </c>
      <c r="D1107" t="s">
        <v>69</v>
      </c>
      <c r="E1107" t="s">
        <v>7640</v>
      </c>
      <c r="F1107" s="2" t="n">
        <f>HYPERLINK("https://patents.google.com/patent/US20220016437","Google")</f>
        <v>0.0</v>
      </c>
      <c r="G1107" s="2" t="n">
        <f>HYPERLINK("https://patentcenter.uspto.gov/applications/16932710","Patent Center")</f>
        <v>0.0</v>
      </c>
      <c r="H1107" s="2" t="n">
        <f>HYPERLINK("https://worldwide.espacenet.com/patent/search?q=US20220016437","Espacenet")</f>
        <v>0.0</v>
      </c>
      <c r="I1107" s="2" t="n">
        <f>HYPERLINK("https://ppubs.uspto.gov/pubwebapp/external.html?q=20220016437.pn.","USPTO")</f>
        <v>0.0</v>
      </c>
      <c r="J1107" s="2" t="n">
        <f>HYPERLINK("https://image-ppubs.uspto.gov/dirsearch-public/print/downloadPdf/20220016437","USPTO PDF")</f>
        <v>0.0</v>
      </c>
      <c r="K1107" s="2" t="n">
        <f>HYPERLINK("https://sectors.patentforecast.com/pmd/US20220016437","PMD")</f>
        <v>0.0</v>
      </c>
      <c r="L1107" s="2" t="n">
        <f>HYPERLINK("https://globaldossier.uspto.gov/result/application/US/16932710/1","US20220016437")</f>
        <v>0.0</v>
      </c>
      <c r="M1107" t="s">
        <v>7641</v>
      </c>
      <c r="N1107" t="s">
        <v>7642</v>
      </c>
      <c r="O1107" t="s">
        <v>7642</v>
      </c>
      <c r="P1107" t="s">
        <v>7643</v>
      </c>
      <c r="Q1107" s="3" t="n">
        <v>44030.0</v>
      </c>
      <c r="R1107" s="3" t="n">
        <v>44581.0</v>
      </c>
      <c r="S1107" s="3" t="n">
        <v>44582.18903996528</v>
      </c>
      <c r="T1107" s="3" t="n">
        <v>44678.42698736111</v>
      </c>
      <c r="U1107" t="s">
        <v>7644</v>
      </c>
      <c r="V1107" t="s">
        <v>7645</v>
      </c>
    </row>
    <row r="1108">
      <c r="A1108" t="s">
        <v>22</v>
      </c>
      <c r="B1108" t="s">
        <v>7646</v>
      </c>
      <c r="C1108" t="s">
        <v>24</v>
      </c>
      <c r="D1108" t="s">
        <v>100</v>
      </c>
      <c r="E1108" t="s">
        <v>7647</v>
      </c>
      <c r="F1108" s="2" t="n">
        <f>HYPERLINK("https://patents.google.com/patent/US20220016297","Google")</f>
        <v>0.0</v>
      </c>
      <c r="G1108" s="2" t="n">
        <f>HYPERLINK("https://patentcenter.uspto.gov/applications/16947682","Patent Center")</f>
        <v>0.0</v>
      </c>
      <c r="H1108" s="2" t="n">
        <f>HYPERLINK("https://worldwide.espacenet.com/patent/search?q=US20220016297","Espacenet")</f>
        <v>0.0</v>
      </c>
      <c r="I1108" s="2" t="n">
        <f>HYPERLINK("https://ppubs.uspto.gov/pubwebapp/external.html?q=20220016297.pn.","USPTO")</f>
        <v>0.0</v>
      </c>
      <c r="J1108" s="2" t="n">
        <f>HYPERLINK("https://image-ppubs.uspto.gov/dirsearch-public/print/downloadPdf/20220016297","USPTO PDF")</f>
        <v>0.0</v>
      </c>
      <c r="K1108" s="2" t="n">
        <f>HYPERLINK("https://sectors.patentforecast.com/pmd/US20220016297","PMD")</f>
        <v>0.0</v>
      </c>
      <c r="L1108" s="2" t="n">
        <f>HYPERLINK("https://globaldossier.uspto.gov/result/application/US/16947682/1","US20220016297")</f>
        <v>0.0</v>
      </c>
      <c r="M1108" t="s">
        <v>7648</v>
      </c>
      <c r="N1108" t="s">
        <v>7649</v>
      </c>
      <c r="O1108" t="s">
        <v>7650</v>
      </c>
      <c r="P1108" t="s">
        <v>7651</v>
      </c>
      <c r="Q1108" s="3" t="n">
        <v>44055.0</v>
      </c>
      <c r="R1108" s="3" t="n">
        <v>44581.0</v>
      </c>
      <c r="S1108" s="3" t="n">
        <v>44582.18903996528</v>
      </c>
      <c r="T1108" s="3" t="n">
        <v>44678.6477765625</v>
      </c>
      <c r="U1108" t="s">
        <v>7652</v>
      </c>
      <c r="V1108" t="s">
        <v>7653</v>
      </c>
    </row>
    <row r="1109">
      <c r="A1109" t="s">
        <v>22</v>
      </c>
      <c r="B1109" t="s">
        <v>7654</v>
      </c>
      <c r="C1109" t="s">
        <v>24</v>
      </c>
      <c r="D1109" t="s">
        <v>100</v>
      </c>
      <c r="E1109" t="s">
        <v>7655</v>
      </c>
      <c r="F1109" s="2" t="n">
        <f>HYPERLINK("https://patents.google.com/patent/US20220016291","Google")</f>
        <v>0.0</v>
      </c>
      <c r="G1109" s="2" t="n">
        <f>HYPERLINK("https://patentcenter.uspto.gov/applications/17140554","Patent Center")</f>
        <v>0.0</v>
      </c>
      <c r="H1109" s="2" t="n">
        <f>HYPERLINK("https://worldwide.espacenet.com/patent/search?q=US20220016291","Espacenet")</f>
        <v>0.0</v>
      </c>
      <c r="I1109" s="2" t="n">
        <f>HYPERLINK("https://ppubs.uspto.gov/pubwebapp/external.html?q=20220016291.pn.","USPTO")</f>
        <v>0.0</v>
      </c>
      <c r="J1109" s="2" t="n">
        <f>HYPERLINK("https://image-ppubs.uspto.gov/dirsearch-public/print/downloadPdf/20220016291","USPTO PDF")</f>
        <v>0.0</v>
      </c>
      <c r="K1109" s="2" t="n">
        <f>HYPERLINK("https://sectors.patentforecast.com/pmd/US20220016291","PMD")</f>
        <v>0.0</v>
      </c>
      <c r="L1109" s="2" t="n">
        <f>HYPERLINK("https://globaldossier.uspto.gov/result/application/US/17140554/1","US20220016291")</f>
        <v>0.0</v>
      </c>
      <c r="M1109" t="s">
        <v>7656</v>
      </c>
      <c r="N1109" t="s">
        <v>7657</v>
      </c>
      <c r="O1109" t="s">
        <v>7658</v>
      </c>
      <c r="P1109" t="s">
        <v>7659</v>
      </c>
      <c r="Q1109" s="3" t="n">
        <v>44200.0</v>
      </c>
      <c r="R1109" s="3" t="n">
        <v>44581.0</v>
      </c>
      <c r="S1109" s="3" t="n">
        <v>44582.18903996528</v>
      </c>
      <c r="T1109" s="3" t="n">
        <v>44678.57928900463</v>
      </c>
      <c r="U1109" t="s">
        <v>31</v>
      </c>
      <c r="V1109" t="s">
        <v>7660</v>
      </c>
    </row>
    <row r="1110">
      <c r="A1110" t="s">
        <v>22</v>
      </c>
      <c r="B1110" t="s">
        <v>7661</v>
      </c>
      <c r="C1110" t="s">
        <v>24</v>
      </c>
      <c r="D1110" t="s">
        <v>34</v>
      </c>
      <c r="E1110" t="s">
        <v>7662</v>
      </c>
      <c r="F1110" s="2" t="n">
        <f>HYPERLINK("https://patents.google.com/patent/US20220016266","Google")</f>
        <v>0.0</v>
      </c>
      <c r="G1110" s="2" t="n">
        <f>HYPERLINK("https://patentcenter.uspto.gov/applications/17375591","Patent Center")</f>
        <v>0.0</v>
      </c>
      <c r="H1110" s="2" t="n">
        <f>HYPERLINK("https://worldwide.espacenet.com/patent/search?q=US20220016266","Espacenet")</f>
        <v>0.0</v>
      </c>
      <c r="I1110" s="2" t="n">
        <f>HYPERLINK("https://ppubs.uspto.gov/pubwebapp/external.html?q=20220016266.pn.","USPTO")</f>
        <v>0.0</v>
      </c>
      <c r="J1110" s="2" t="n">
        <f>HYPERLINK("https://image-ppubs.uspto.gov/dirsearch-public/print/downloadPdf/20220016266","USPTO PDF")</f>
        <v>0.0</v>
      </c>
      <c r="K1110" s="2" t="n">
        <f>HYPERLINK("https://sectors.patentforecast.com/pmd/US20220016266","PMD")</f>
        <v>0.0</v>
      </c>
      <c r="L1110" s="2" t="n">
        <f>HYPERLINK("https://globaldossier.uspto.gov/result/application/US/17375591/1","US20220016266")</f>
        <v>0.0</v>
      </c>
      <c r="M1110" t="s">
        <v>7663</v>
      </c>
      <c r="N1110" t="s">
        <v>7664</v>
      </c>
      <c r="O1110" t="s">
        <v>7665</v>
      </c>
      <c r="P1110" t="s">
        <v>7666</v>
      </c>
      <c r="Q1110" s="3" t="n">
        <v>44391.0</v>
      </c>
      <c r="R1110" s="3" t="n">
        <v>44581.0</v>
      </c>
      <c r="S1110" s="3" t="n">
        <v>44582.18903996528</v>
      </c>
      <c r="T1110" s="3" t="n">
        <v>44678.556757604165</v>
      </c>
      <c r="U1110" t="s">
        <v>31</v>
      </c>
      <c r="V1110" t="s">
        <v>7667</v>
      </c>
    </row>
    <row r="1111">
      <c r="A1111" t="s">
        <v>22</v>
      </c>
      <c r="B1111" t="s">
        <v>7668</v>
      </c>
      <c r="C1111" t="s">
        <v>132</v>
      </c>
      <c r="D1111" t="s">
        <v>133</v>
      </c>
      <c r="E1111" t="s">
        <v>7669</v>
      </c>
      <c r="F1111" s="2" t="n">
        <f>HYPERLINK("https://patents.google.com/patent/US20220016235","Google")</f>
        <v>0.0</v>
      </c>
      <c r="G1111" s="2" t="n">
        <f>HYPERLINK("https://patentcenter.uspto.gov/applications/17489572","Patent Center")</f>
        <v>0.0</v>
      </c>
      <c r="H1111" s="2" t="n">
        <f>HYPERLINK("https://worldwide.espacenet.com/patent/search?q=US20220016235","Espacenet")</f>
        <v>0.0</v>
      </c>
      <c r="I1111" s="2" t="n">
        <f>HYPERLINK("https://ppubs.uspto.gov/pubwebapp/external.html?q=20220016235.pn.","USPTO")</f>
        <v>0.0</v>
      </c>
      <c r="J1111" s="2" t="n">
        <f>HYPERLINK("https://image-ppubs.uspto.gov/dirsearch-public/print/downloadPdf/20220016235","USPTO PDF")</f>
        <v>0.0</v>
      </c>
      <c r="K1111" s="2" t="n">
        <f>HYPERLINK("https://sectors.patentforecast.com/pmd/US20220016235","PMD")</f>
        <v>0.0</v>
      </c>
      <c r="L1111" s="2" t="n">
        <f>HYPERLINK("https://globaldossier.uspto.gov/result/application/US/17489572/1","US20220016235")</f>
        <v>0.0</v>
      </c>
      <c r="M1111" t="s">
        <v>7670</v>
      </c>
      <c r="N1111" t="s">
        <v>7671</v>
      </c>
      <c r="O1111" t="s">
        <v>7672</v>
      </c>
      <c r="P1111" t="s">
        <v>7673</v>
      </c>
      <c r="Q1111" s="3" t="n">
        <v>44468.0</v>
      </c>
      <c r="R1111" s="3" t="n">
        <v>44581.0</v>
      </c>
      <c r="S1111" s="3" t="n">
        <v>44582.18903996528</v>
      </c>
      <c r="T1111" s="3" t="n">
        <v>44638.68962553241</v>
      </c>
      <c r="U1111" t="s">
        <v>31</v>
      </c>
      <c r="V1111" t="s">
        <v>7674</v>
      </c>
    </row>
    <row r="1112">
      <c r="A1112" t="s">
        <v>22</v>
      </c>
      <c r="B1112" t="s">
        <v>7675</v>
      </c>
      <c r="C1112" t="s">
        <v>132</v>
      </c>
      <c r="D1112" t="s">
        <v>133</v>
      </c>
      <c r="E1112" t="s">
        <v>7486</v>
      </c>
      <c r="F1112" s="2" t="n">
        <f>HYPERLINK("https://patents.google.com/patent/US20220016234","Google")</f>
        <v>0.0</v>
      </c>
      <c r="G1112" s="2" t="n">
        <f>HYPERLINK("https://patentcenter.uspto.gov/applications/17405393","Patent Center")</f>
        <v>0.0</v>
      </c>
      <c r="H1112" s="2" t="n">
        <f>HYPERLINK("https://worldwide.espacenet.com/patent/search?q=US20220016234","Espacenet")</f>
        <v>0.0</v>
      </c>
      <c r="I1112" s="2" t="n">
        <f>HYPERLINK("https://ppubs.uspto.gov/pubwebapp/external.html?q=20220016234.pn.","USPTO")</f>
        <v>0.0</v>
      </c>
      <c r="J1112" s="2" t="n">
        <f>HYPERLINK("https://image-ppubs.uspto.gov/dirsearch-public/print/downloadPdf/20220016234","USPTO PDF")</f>
        <v>0.0</v>
      </c>
      <c r="K1112" s="2" t="n">
        <f>HYPERLINK("https://sectors.patentforecast.com/pmd/US20220016234","PMD")</f>
        <v>0.0</v>
      </c>
      <c r="L1112" s="2" t="n">
        <f>HYPERLINK("https://globaldossier.uspto.gov/result/application/US/17405393/1","US20220016234")</f>
        <v>0.0</v>
      </c>
      <c r="M1112" t="s">
        <v>7676</v>
      </c>
      <c r="N1112" t="s">
        <v>7677</v>
      </c>
      <c r="O1112" t="s">
        <v>7678</v>
      </c>
      <c r="P1112" t="s">
        <v>7679</v>
      </c>
      <c r="Q1112" s="3" t="n">
        <v>44426.0</v>
      </c>
      <c r="R1112" s="3" t="n">
        <v>44581.0</v>
      </c>
      <c r="S1112" s="3" t="n">
        <v>44582.18857440972</v>
      </c>
      <c r="T1112" s="3" t="n">
        <v>44638.68892390046</v>
      </c>
      <c r="U1112" t="s">
        <v>31</v>
      </c>
      <c r="V1112" t="s">
        <v>7680</v>
      </c>
    </row>
    <row r="1113">
      <c r="A1113" t="s">
        <v>22</v>
      </c>
      <c r="B1113" t="s">
        <v>7681</v>
      </c>
      <c r="C1113" t="s">
        <v>60</v>
      </c>
      <c r="D1113" t="s">
        <v>61</v>
      </c>
      <c r="E1113" t="s">
        <v>7682</v>
      </c>
      <c r="F1113" s="2" t="n">
        <f>HYPERLINK("https://patents.google.com/patent/US20220016233","Google")</f>
        <v>0.0</v>
      </c>
      <c r="G1113" s="2" t="n">
        <f>HYPERLINK("https://patentcenter.uspto.gov/applications/17371555","Patent Center")</f>
        <v>0.0</v>
      </c>
      <c r="H1113" s="2" t="n">
        <f>HYPERLINK("https://worldwide.espacenet.com/patent/search?q=US20220016233","Espacenet")</f>
        <v>0.0</v>
      </c>
      <c r="I1113" s="2" t="n">
        <f>HYPERLINK("https://ppubs.uspto.gov/pubwebapp/external.html?q=20220016233.pn.","USPTO")</f>
        <v>0.0</v>
      </c>
      <c r="J1113" s="2" t="n">
        <f>HYPERLINK("https://image-ppubs.uspto.gov/dirsearch-public/print/downloadPdf/20220016233","USPTO PDF")</f>
        <v>0.0</v>
      </c>
      <c r="K1113" s="2" t="n">
        <f>HYPERLINK("https://sectors.patentforecast.com/pmd/US20220016233","PMD")</f>
        <v>0.0</v>
      </c>
      <c r="L1113" s="2" t="n">
        <f>HYPERLINK("https://globaldossier.uspto.gov/result/application/US/17371555/1","US20220016233")</f>
        <v>0.0</v>
      </c>
      <c r="M1113" t="s">
        <v>7683</v>
      </c>
      <c r="N1113" t="s">
        <v>2427</v>
      </c>
      <c r="O1113" t="s">
        <v>2428</v>
      </c>
      <c r="P1113" t="s">
        <v>7684</v>
      </c>
      <c r="Q1113" s="3" t="n">
        <v>44386.0</v>
      </c>
      <c r="R1113" s="3" t="n">
        <v>44581.0</v>
      </c>
      <c r="S1113" s="3" t="n">
        <v>44582.187763483795</v>
      </c>
      <c r="T1113" s="3" t="n">
        <v>44757.74766395833</v>
      </c>
      <c r="U1113" t="s">
        <v>31</v>
      </c>
      <c r="V1113" t="s">
        <v>7685</v>
      </c>
    </row>
    <row r="1114">
      <c r="A1114" t="s">
        <v>22</v>
      </c>
      <c r="B1114" t="s">
        <v>7686</v>
      </c>
      <c r="C1114" t="s">
        <v>60</v>
      </c>
      <c r="D1114" t="s">
        <v>61</v>
      </c>
      <c r="E1114" t="s">
        <v>7687</v>
      </c>
      <c r="F1114" s="2" t="n">
        <f>HYPERLINK("https://patents.google.com/patent/US20220016222","Google")</f>
        <v>0.0</v>
      </c>
      <c r="G1114" s="2" t="n">
        <f>HYPERLINK("https://patentcenter.uspto.gov/applications/17030524","Patent Center")</f>
        <v>0.0</v>
      </c>
      <c r="H1114" s="2" t="n">
        <f>HYPERLINK("https://worldwide.espacenet.com/patent/search?q=US20220016222","Espacenet")</f>
        <v>0.0</v>
      </c>
      <c r="I1114" s="2" t="n">
        <f>HYPERLINK("https://ppubs.uspto.gov/pubwebapp/external.html?q=20220016222.pn.","USPTO")</f>
        <v>0.0</v>
      </c>
      <c r="J1114" s="2" t="n">
        <f>HYPERLINK("https://image-ppubs.uspto.gov/dirsearch-public/print/downloadPdf/20220016222","USPTO PDF")</f>
        <v>0.0</v>
      </c>
      <c r="K1114" s="2" t="n">
        <f>HYPERLINK("https://sectors.patentforecast.com/pmd/US20220016222","PMD")</f>
        <v>0.0</v>
      </c>
      <c r="L1114" s="2" t="n">
        <f>HYPERLINK("https://globaldossier.uspto.gov/result/application/US/17030524/1","US20220016222")</f>
        <v>0.0</v>
      </c>
      <c r="M1114" t="s">
        <v>7688</v>
      </c>
      <c r="N1114" t="s">
        <v>7689</v>
      </c>
      <c r="O1114" t="s">
        <v>7690</v>
      </c>
      <c r="P1114" t="s">
        <v>7691</v>
      </c>
      <c r="Q1114" s="3" t="n">
        <v>44098.0</v>
      </c>
      <c r="R1114" s="3" t="n">
        <v>44581.0</v>
      </c>
      <c r="S1114" s="3" t="n">
        <v>44582.18857440972</v>
      </c>
      <c r="T1114" s="3" t="n">
        <v>44672.32723069444</v>
      </c>
      <c r="U1114" t="s">
        <v>31</v>
      </c>
      <c r="V1114" t="s">
        <v>7692</v>
      </c>
    </row>
    <row r="1115">
      <c r="A1115" t="s">
        <v>22</v>
      </c>
      <c r="B1115" t="s">
        <v>7693</v>
      </c>
      <c r="C1115" t="s">
        <v>132</v>
      </c>
      <c r="D1115" t="s">
        <v>133</v>
      </c>
      <c r="E1115" t="s">
        <v>7694</v>
      </c>
      <c r="F1115" s="2" t="n">
        <f>HYPERLINK("https://patents.google.com/patent/US20220016163","Google")</f>
        <v>0.0</v>
      </c>
      <c r="G1115" s="2" t="n">
        <f>HYPERLINK("https://patentcenter.uspto.gov/applications/16948930","Patent Center")</f>
        <v>0.0</v>
      </c>
      <c r="H1115" s="2" t="n">
        <f>HYPERLINK("https://worldwide.espacenet.com/patent/search?q=US20220016163","Espacenet")</f>
        <v>0.0</v>
      </c>
      <c r="I1115" s="2" t="n">
        <f>HYPERLINK("https://ppubs.uspto.gov/pubwebapp/external.html?q=20220016163.pn.","USPTO")</f>
        <v>0.0</v>
      </c>
      <c r="J1115" s="2" t="n">
        <f>HYPERLINK("https://image-ppubs.uspto.gov/dirsearch-public/print/downloadPdf/20220016163","USPTO PDF")</f>
        <v>0.0</v>
      </c>
      <c r="K1115" s="2" t="n">
        <f>HYPERLINK("https://sectors.patentforecast.com/pmd/US20220016163","PMD")</f>
        <v>0.0</v>
      </c>
      <c r="L1115" s="2" t="n">
        <f>HYPERLINK("https://globaldossier.uspto.gov/result/application/US/16948930/1","US20220016163")</f>
        <v>0.0</v>
      </c>
      <c r="M1115" t="s">
        <v>7695</v>
      </c>
      <c r="N1115" t="s">
        <v>7696</v>
      </c>
      <c r="O1115" t="s">
        <v>7697</v>
      </c>
      <c r="P1115" t="s">
        <v>7698</v>
      </c>
      <c r="Q1115" s="3" t="n">
        <v>44110.0</v>
      </c>
      <c r="R1115" s="3" t="n">
        <v>44581.0</v>
      </c>
      <c r="S1115" s="3" t="n">
        <v>44582.187763483795</v>
      </c>
      <c r="T1115" s="3" t="n">
        <v>44678.61459590278</v>
      </c>
      <c r="U1115" t="s">
        <v>7699</v>
      </c>
      <c r="V1115" t="s">
        <v>7700</v>
      </c>
    </row>
    <row r="1116">
      <c r="A1116" t="s">
        <v>22</v>
      </c>
      <c r="B1116" t="s">
        <v>7701</v>
      </c>
      <c r="C1116" t="s">
        <v>60</v>
      </c>
      <c r="D1116" t="s">
        <v>61</v>
      </c>
      <c r="E1116" t="s">
        <v>7702</v>
      </c>
      <c r="F1116" s="2" t="n">
        <f>HYPERLINK("https://patents.google.com/patent/US20220016129","Google")</f>
        <v>0.0</v>
      </c>
      <c r="G1116" s="2" t="n">
        <f>HYPERLINK("https://patentcenter.uspto.gov/applications/17407689","Patent Center")</f>
        <v>0.0</v>
      </c>
      <c r="H1116" s="2" t="n">
        <f>HYPERLINK("https://worldwide.espacenet.com/patent/search?q=US20220016129","Espacenet")</f>
        <v>0.0</v>
      </c>
      <c r="I1116" s="2" t="n">
        <f>HYPERLINK("https://ppubs.uspto.gov/pubwebapp/external.html?q=20220016129.pn.","USPTO")</f>
        <v>0.0</v>
      </c>
      <c r="J1116" s="2" t="n">
        <f>HYPERLINK("https://image-ppubs.uspto.gov/dirsearch-public/print/downloadPdf/20220016129","USPTO PDF")</f>
        <v>0.0</v>
      </c>
      <c r="K1116" s="2" t="n">
        <f>HYPERLINK("https://sectors.patentforecast.com/pmd/US20220016129","PMD")</f>
        <v>0.0</v>
      </c>
      <c r="L1116" s="2" t="n">
        <f>HYPERLINK("https://globaldossier.uspto.gov/result/application/US/17407689/1","US20220016129")</f>
        <v>0.0</v>
      </c>
      <c r="M1116" t="s">
        <v>7703</v>
      </c>
      <c r="N1116" t="s">
        <v>7704</v>
      </c>
      <c r="O1116" t="s">
        <v>7705</v>
      </c>
      <c r="P1116" t="s">
        <v>7706</v>
      </c>
      <c r="Q1116" s="3" t="n">
        <v>44428.0</v>
      </c>
      <c r="R1116" s="3" t="n">
        <v>44581.0</v>
      </c>
      <c r="S1116" s="3" t="n">
        <v>44582.18857440972</v>
      </c>
      <c r="T1116" s="3" t="n">
        <v>44638.6913849537</v>
      </c>
      <c r="U1116" t="s">
        <v>31</v>
      </c>
      <c r="V1116" t="s">
        <v>7707</v>
      </c>
    </row>
    <row r="1117">
      <c r="A1117" t="s">
        <v>22</v>
      </c>
      <c r="B1117" t="s">
        <v>7708</v>
      </c>
      <c r="C1117" t="s">
        <v>60</v>
      </c>
      <c r="D1117" t="s">
        <v>61</v>
      </c>
      <c r="E1117" t="s">
        <v>7709</v>
      </c>
      <c r="F1117" s="2" t="n">
        <f>HYPERLINK("https://patents.google.com/patent/US20220016053","Google")</f>
        <v>0.0</v>
      </c>
      <c r="G1117" s="2" t="n">
        <f>HYPERLINK("https://patentcenter.uspto.gov/applications/17357388","Patent Center")</f>
        <v>0.0</v>
      </c>
      <c r="H1117" s="2" t="n">
        <f>HYPERLINK("https://worldwide.espacenet.com/patent/search?q=US20220016053","Espacenet")</f>
        <v>0.0</v>
      </c>
      <c r="I1117" s="2" t="n">
        <f>HYPERLINK("https://ppubs.uspto.gov/pubwebapp/external.html?q=20220016053.pn.","USPTO")</f>
        <v>0.0</v>
      </c>
      <c r="J1117" s="2" t="n">
        <f>HYPERLINK("https://image-ppubs.uspto.gov/dirsearch-public/print/downloadPdf/20220016053","USPTO PDF")</f>
        <v>0.0</v>
      </c>
      <c r="K1117" s="2" t="n">
        <f>HYPERLINK("https://sectors.patentforecast.com/pmd/US20220016053","PMD")</f>
        <v>0.0</v>
      </c>
      <c r="L1117" s="2" t="n">
        <f>HYPERLINK("https://globaldossier.uspto.gov/result/application/US/17357388/1","US20220016053")</f>
        <v>0.0</v>
      </c>
      <c r="M1117" t="s">
        <v>7710</v>
      </c>
      <c r="N1117" t="s">
        <v>7711</v>
      </c>
      <c r="O1117" t="s">
        <v>7712</v>
      </c>
      <c r="P1117" t="s">
        <v>7713</v>
      </c>
      <c r="Q1117" s="3" t="n">
        <v>44371.0</v>
      </c>
      <c r="R1117" s="3" t="n">
        <v>44581.0</v>
      </c>
      <c r="S1117" s="3" t="n">
        <v>44582.18857440972</v>
      </c>
      <c r="T1117" s="3" t="n">
        <v>44638.708227372685</v>
      </c>
      <c r="U1117" t="s">
        <v>31</v>
      </c>
      <c r="V1117" t="s">
        <v>7714</v>
      </c>
    </row>
    <row r="1118">
      <c r="A1118" t="s">
        <v>22</v>
      </c>
      <c r="B1118" t="s">
        <v>7715</v>
      </c>
      <c r="C1118" t="s">
        <v>24</v>
      </c>
      <c r="D1118" t="s">
        <v>25</v>
      </c>
      <c r="E1118" t="s">
        <v>7716</v>
      </c>
      <c r="F1118" s="2" t="n">
        <f>HYPERLINK("https://patents.google.com/patent/US20220015700","Google")</f>
        <v>0.0</v>
      </c>
      <c r="G1118" s="2" t="n">
        <f>HYPERLINK("https://patentcenter.uspto.gov/applications/17381058","Patent Center")</f>
        <v>0.0</v>
      </c>
      <c r="H1118" s="2" t="n">
        <f>HYPERLINK("https://worldwide.espacenet.com/patent/search?q=US20220015700","Espacenet")</f>
        <v>0.0</v>
      </c>
      <c r="I1118" s="2" t="n">
        <f>HYPERLINK("https://ppubs.uspto.gov/pubwebapp/external.html?q=20220015700.pn.","USPTO")</f>
        <v>0.0</v>
      </c>
      <c r="J1118" s="2" t="n">
        <f>HYPERLINK("https://image-ppubs.uspto.gov/dirsearch-public/print/downloadPdf/20220015700","USPTO PDF")</f>
        <v>0.0</v>
      </c>
      <c r="K1118" s="2" t="n">
        <f>HYPERLINK("https://sectors.patentforecast.com/pmd/US20220015700","PMD")</f>
        <v>0.0</v>
      </c>
      <c r="L1118" s="2" t="n">
        <f>HYPERLINK("https://globaldossier.uspto.gov/result/application/US/17381058/1","US20220015700")</f>
        <v>0.0</v>
      </c>
      <c r="M1118" t="s">
        <v>7717</v>
      </c>
      <c r="N1118" t="s">
        <v>7718</v>
      </c>
      <c r="O1118" t="s">
        <v>7719</v>
      </c>
      <c r="P1118" t="s">
        <v>7720</v>
      </c>
      <c r="Q1118" s="3" t="n">
        <v>44397.0</v>
      </c>
      <c r="R1118" s="3" t="n">
        <v>44581.0</v>
      </c>
      <c r="S1118" s="3" t="n">
        <v>44582.18857440972</v>
      </c>
      <c r="T1118" s="3" t="n">
        <v>44678.485058969905</v>
      </c>
      <c r="U1118" t="s">
        <v>7721</v>
      </c>
      <c r="V1118" t="s">
        <v>7722</v>
      </c>
    </row>
    <row r="1119">
      <c r="A1119" t="s">
        <v>22</v>
      </c>
      <c r="B1119" t="s">
        <v>7723</v>
      </c>
      <c r="C1119" t="s">
        <v>24</v>
      </c>
      <c r="D1119" t="s">
        <v>25</v>
      </c>
      <c r="E1119" t="s">
        <v>7724</v>
      </c>
      <c r="F1119" s="2" t="n">
        <f>HYPERLINK("https://patents.google.com/patent/US20220015637","Google")</f>
        <v>0.0</v>
      </c>
      <c r="G1119" s="2" t="n">
        <f>HYPERLINK("https://patentcenter.uspto.gov/applications/17079649","Patent Center")</f>
        <v>0.0</v>
      </c>
      <c r="H1119" s="2" t="n">
        <f>HYPERLINK("https://worldwide.espacenet.com/patent/search?q=US20220015637","Espacenet")</f>
        <v>0.0</v>
      </c>
      <c r="I1119" s="2" t="n">
        <f>HYPERLINK("https://ppubs.uspto.gov/pubwebapp/external.html?q=20220015637.pn.","USPTO")</f>
        <v>0.0</v>
      </c>
      <c r="J1119" s="2" t="n">
        <f>HYPERLINK("https://image-ppubs.uspto.gov/dirsearch-public/print/downloadPdf/20220015637","USPTO PDF")</f>
        <v>0.0</v>
      </c>
      <c r="K1119" s="2" t="n">
        <f>HYPERLINK("https://sectors.patentforecast.com/pmd/US20220015637","PMD")</f>
        <v>0.0</v>
      </c>
      <c r="L1119" s="2" t="n">
        <f>HYPERLINK("https://globaldossier.uspto.gov/result/application/US/17079649/1","US20220015637")</f>
        <v>0.0</v>
      </c>
      <c r="M1119" t="s">
        <v>7725</v>
      </c>
      <c r="N1119" t="s">
        <v>7718</v>
      </c>
      <c r="O1119" t="s">
        <v>7719</v>
      </c>
      <c r="P1119" t="s">
        <v>7726</v>
      </c>
      <c r="Q1119" s="3" t="n">
        <v>44130.0</v>
      </c>
      <c r="R1119" s="3" t="n">
        <v>44581.0</v>
      </c>
      <c r="S1119" s="3" t="n">
        <v>44582.18857440972</v>
      </c>
      <c r="T1119" s="3" t="n">
        <v>44672.33077028935</v>
      </c>
      <c r="U1119" t="s">
        <v>31</v>
      </c>
      <c r="V1119" t="s">
        <v>7727</v>
      </c>
    </row>
    <row r="1120">
      <c r="A1120" t="s">
        <v>22</v>
      </c>
      <c r="B1120" t="s">
        <v>7728</v>
      </c>
      <c r="C1120" t="s">
        <v>24</v>
      </c>
      <c r="D1120" t="s">
        <v>69</v>
      </c>
      <c r="E1120" t="s">
        <v>7729</v>
      </c>
      <c r="F1120" s="2" t="n">
        <f>HYPERLINK("https://patents.google.com/patent/US20220015619","Google")</f>
        <v>0.0</v>
      </c>
      <c r="G1120" s="2" t="n">
        <f>HYPERLINK("https://patentcenter.uspto.gov/applications/17221800","Patent Center")</f>
        <v>0.0</v>
      </c>
      <c r="H1120" s="2" t="n">
        <f>HYPERLINK("https://worldwide.espacenet.com/patent/search?q=US20220015619","Espacenet")</f>
        <v>0.0</v>
      </c>
      <c r="I1120" s="2" t="n">
        <f>HYPERLINK("https://ppubs.uspto.gov/pubwebapp/external.html?q=20220015619.pn.","USPTO")</f>
        <v>0.0</v>
      </c>
      <c r="J1120" s="2" t="n">
        <f>HYPERLINK("https://image-ppubs.uspto.gov/dirsearch-public/print/downloadPdf/20220015619","USPTO PDF")</f>
        <v>0.0</v>
      </c>
      <c r="K1120" s="2" t="n">
        <f>HYPERLINK("https://sectors.patentforecast.com/pmd/US20220015619","PMD")</f>
        <v>0.0</v>
      </c>
      <c r="L1120" s="2" t="n">
        <f>HYPERLINK("https://globaldossier.uspto.gov/result/application/US/17221800/1","US20220015619")</f>
        <v>0.0</v>
      </c>
      <c r="M1120" t="s">
        <v>7730</v>
      </c>
      <c r="N1120" t="s">
        <v>7731</v>
      </c>
      <c r="O1120" t="s">
        <v>7732</v>
      </c>
      <c r="P1120" t="s">
        <v>7733</v>
      </c>
      <c r="Q1120" s="3" t="n">
        <v>44290.0</v>
      </c>
      <c r="R1120" s="3" t="n">
        <v>44581.0</v>
      </c>
      <c r="S1120" s="3" t="n">
        <v>44582.18857440972</v>
      </c>
      <c r="T1120" s="3" t="n">
        <v>44678.638576875</v>
      </c>
      <c r="U1120" t="s">
        <v>31</v>
      </c>
      <c r="V1120" t="s">
        <v>7734</v>
      </c>
    </row>
    <row r="1121">
      <c r="A1121" t="s">
        <v>22</v>
      </c>
      <c r="B1121" t="s">
        <v>7735</v>
      </c>
      <c r="C1121" t="s">
        <v>24</v>
      </c>
      <c r="D1121" t="s">
        <v>100</v>
      </c>
      <c r="E1121" t="s">
        <v>7736</v>
      </c>
      <c r="F1121" s="2" t="n">
        <f>HYPERLINK("https://patents.google.com/patent/US20220015583","Google")</f>
        <v>0.0</v>
      </c>
      <c r="G1121" s="2" t="n">
        <f>HYPERLINK("https://patentcenter.uspto.gov/applications/17407386","Patent Center")</f>
        <v>0.0</v>
      </c>
      <c r="H1121" s="2" t="n">
        <f>HYPERLINK("https://worldwide.espacenet.com/patent/search?q=US20220015583","Espacenet")</f>
        <v>0.0</v>
      </c>
      <c r="I1121" s="2" t="n">
        <f>HYPERLINK("https://ppubs.uspto.gov/pubwebapp/external.html?q=20220015583.pn.","USPTO")</f>
        <v>0.0</v>
      </c>
      <c r="J1121" s="2" t="n">
        <f>HYPERLINK("https://image-ppubs.uspto.gov/dirsearch-public/print/downloadPdf/20220015583","USPTO PDF")</f>
        <v>0.0</v>
      </c>
      <c r="K1121" s="2" t="n">
        <f>HYPERLINK("https://sectors.patentforecast.com/pmd/US20220015583","PMD")</f>
        <v>0.0</v>
      </c>
      <c r="L1121" s="2" t="n">
        <f>HYPERLINK("https://globaldossier.uspto.gov/result/application/US/17407386/1","US20220015583")</f>
        <v>0.0</v>
      </c>
      <c r="M1121" t="s">
        <v>7737</v>
      </c>
      <c r="N1121" t="s">
        <v>7738</v>
      </c>
      <c r="O1121" t="s">
        <v>7739</v>
      </c>
      <c r="P1121" t="s">
        <v>7740</v>
      </c>
      <c r="Q1121" s="3" t="n">
        <v>44428.0</v>
      </c>
      <c r="R1121" s="3" t="n">
        <v>44581.0</v>
      </c>
      <c r="S1121" s="3" t="n">
        <v>44582.18857440972</v>
      </c>
      <c r="T1121" s="3" t="n">
        <v>44678.57928900463</v>
      </c>
      <c r="U1121" t="s">
        <v>31</v>
      </c>
      <c r="V1121" t="s">
        <v>7741</v>
      </c>
    </row>
    <row r="1122">
      <c r="A1122" t="s">
        <v>22</v>
      </c>
      <c r="B1122" t="s">
        <v>7742</v>
      </c>
      <c r="C1122" t="s">
        <v>24</v>
      </c>
      <c r="D1122" t="s">
        <v>69</v>
      </c>
      <c r="E1122" t="s">
        <v>7743</v>
      </c>
      <c r="F1122" s="2" t="n">
        <f>HYPERLINK("https://patents.google.com/patent/US20220015474","Google")</f>
        <v>0.0</v>
      </c>
      <c r="G1122" s="2" t="n">
        <f>HYPERLINK("https://patentcenter.uspto.gov/applications/17378363","Patent Center")</f>
        <v>0.0</v>
      </c>
      <c r="H1122" s="2" t="n">
        <f>HYPERLINK("https://worldwide.espacenet.com/patent/search?q=US20220015474","Espacenet")</f>
        <v>0.0</v>
      </c>
      <c r="I1122" s="2" t="n">
        <f>HYPERLINK("https://ppubs.uspto.gov/pubwebapp/external.html?q=20220015474.pn.","USPTO")</f>
        <v>0.0</v>
      </c>
      <c r="J1122" s="2" t="n">
        <f>HYPERLINK("https://image-ppubs.uspto.gov/dirsearch-public/print/downloadPdf/20220015474","USPTO PDF")</f>
        <v>0.0</v>
      </c>
      <c r="K1122" s="2" t="n">
        <f>HYPERLINK("https://sectors.patentforecast.com/pmd/US20220015474","PMD")</f>
        <v>0.0</v>
      </c>
      <c r="L1122" s="2" t="n">
        <f>HYPERLINK("https://globaldossier.uspto.gov/result/application/US/17378363/1","US20220015474")</f>
        <v>0.0</v>
      </c>
      <c r="M1122" t="s">
        <v>7744</v>
      </c>
      <c r="N1122" t="s">
        <v>5302</v>
      </c>
      <c r="O1122" t="s">
        <v>5303</v>
      </c>
      <c r="P1122" t="s">
        <v>7745</v>
      </c>
      <c r="Q1122" s="3" t="n">
        <v>44393.0</v>
      </c>
      <c r="R1122" s="3" t="n">
        <v>44581.0</v>
      </c>
      <c r="S1122" s="3" t="n">
        <v>44582.18857440972</v>
      </c>
      <c r="T1122" s="3" t="n">
        <v>44678.631319155094</v>
      </c>
      <c r="U1122" t="s">
        <v>7746</v>
      </c>
      <c r="V1122" t="s">
        <v>7747</v>
      </c>
    </row>
    <row r="1123">
      <c r="A1123" t="s">
        <v>22</v>
      </c>
      <c r="B1123" t="s">
        <v>7748</v>
      </c>
      <c r="C1123" t="s">
        <v>24</v>
      </c>
      <c r="D1123" t="s">
        <v>69</v>
      </c>
      <c r="E1123" t="s">
        <v>7749</v>
      </c>
      <c r="F1123" s="2" t="n">
        <f>HYPERLINK("https://patents.google.com/patent/US20220015473","Google")</f>
        <v>0.0</v>
      </c>
      <c r="G1123" s="2" t="n">
        <f>HYPERLINK("https://patentcenter.uspto.gov/applications/17381183","Patent Center")</f>
        <v>0.0</v>
      </c>
      <c r="H1123" s="2" t="n">
        <f>HYPERLINK("https://worldwide.espacenet.com/patent/search?q=US20220015473","Espacenet")</f>
        <v>0.0</v>
      </c>
      <c r="I1123" s="2" t="n">
        <f>HYPERLINK("https://ppubs.uspto.gov/pubwebapp/external.html?q=20220015473.pn.","USPTO")</f>
        <v>0.0</v>
      </c>
      <c r="J1123" s="2" t="n">
        <f>HYPERLINK("https://image-ppubs.uspto.gov/dirsearch-public/print/downloadPdf/20220015473","USPTO PDF")</f>
        <v>0.0</v>
      </c>
      <c r="K1123" s="2" t="n">
        <f>HYPERLINK("https://sectors.patentforecast.com/pmd/US20220015473","PMD")</f>
        <v>0.0</v>
      </c>
      <c r="L1123" s="2" t="n">
        <f>HYPERLINK("https://globaldossier.uspto.gov/result/application/US/17381183/1","US20220015473")</f>
        <v>0.0</v>
      </c>
      <c r="M1123" t="s">
        <v>7750</v>
      </c>
      <c r="N1123" t="s">
        <v>7751</v>
      </c>
      <c r="O1123" t="s">
        <v>7752</v>
      </c>
      <c r="P1123" t="s">
        <v>7753</v>
      </c>
      <c r="Q1123" s="3" t="n">
        <v>44397.0</v>
      </c>
      <c r="R1123" s="3" t="n">
        <v>44581.0</v>
      </c>
      <c r="S1123" s="3" t="n">
        <v>44582.18857440972</v>
      </c>
      <c r="T1123" s="3" t="n">
        <v>44757.748001921296</v>
      </c>
      <c r="U1123" t="s">
        <v>31</v>
      </c>
      <c r="V1123" t="s">
        <v>7754</v>
      </c>
    </row>
    <row r="1124">
      <c r="A1124" t="s">
        <v>22</v>
      </c>
      <c r="B1124" t="s">
        <v>7755</v>
      </c>
      <c r="C1124" t="s">
        <v>24</v>
      </c>
      <c r="D1124" t="s">
        <v>69</v>
      </c>
      <c r="E1124" t="s">
        <v>7756</v>
      </c>
      <c r="F1124" s="2" t="n">
        <f>HYPERLINK("https://patents.google.com/patent/US20220015472","Google")</f>
        <v>0.0</v>
      </c>
      <c r="G1124" s="2" t="n">
        <f>HYPERLINK("https://patentcenter.uspto.gov/applications/16928236","Patent Center")</f>
        <v>0.0</v>
      </c>
      <c r="H1124" s="2" t="n">
        <f>HYPERLINK("https://worldwide.espacenet.com/patent/search?q=US20220015472","Espacenet")</f>
        <v>0.0</v>
      </c>
      <c r="I1124" s="2" t="n">
        <f>HYPERLINK("https://ppubs.uspto.gov/pubwebapp/external.html?q=20220015472.pn.","USPTO")</f>
        <v>0.0</v>
      </c>
      <c r="J1124" s="2" t="n">
        <f>HYPERLINK("https://image-ppubs.uspto.gov/dirsearch-public/print/downloadPdf/20220015472","USPTO PDF")</f>
        <v>0.0</v>
      </c>
      <c r="K1124" s="2" t="n">
        <f>HYPERLINK("https://sectors.patentforecast.com/pmd/US20220015472","PMD")</f>
        <v>0.0</v>
      </c>
      <c r="L1124" s="2" t="n">
        <f>HYPERLINK("https://globaldossier.uspto.gov/result/application/US/16928236/1","US20220015472")</f>
        <v>0.0</v>
      </c>
      <c r="M1124" t="s">
        <v>7757</v>
      </c>
      <c r="N1124" t="s">
        <v>7758</v>
      </c>
      <c r="O1124" t="s">
        <v>7759</v>
      </c>
      <c r="P1124" t="s">
        <v>7760</v>
      </c>
      <c r="Q1124" s="3" t="n">
        <v>44026.0</v>
      </c>
      <c r="R1124" s="3" t="n">
        <v>44581.0</v>
      </c>
      <c r="S1124" s="3" t="n">
        <v>44582.18857440972</v>
      </c>
      <c r="T1124" s="3" t="n">
        <v>44757.74788927083</v>
      </c>
      <c r="U1124" t="s">
        <v>31</v>
      </c>
      <c r="V1124" t="s">
        <v>7761</v>
      </c>
    </row>
    <row r="1125">
      <c r="A1125" t="s">
        <v>22</v>
      </c>
      <c r="B1125" t="s">
        <v>7762</v>
      </c>
      <c r="C1125" t="s">
        <v>24</v>
      </c>
      <c r="D1125" t="s">
        <v>69</v>
      </c>
      <c r="E1125" t="s">
        <v>7763</v>
      </c>
      <c r="F1125" s="2" t="n">
        <f>HYPERLINK("https://patents.google.com/patent/US20220015468","Google")</f>
        <v>0.0</v>
      </c>
      <c r="G1125" s="2" t="n">
        <f>HYPERLINK("https://patentcenter.uspto.gov/applications/16933352","Patent Center")</f>
        <v>0.0</v>
      </c>
      <c r="H1125" s="2" t="n">
        <f>HYPERLINK("https://worldwide.espacenet.com/patent/search?q=US20220015468","Espacenet")</f>
        <v>0.0</v>
      </c>
      <c r="I1125" s="2" t="n">
        <f>HYPERLINK("https://ppubs.uspto.gov/pubwebapp/external.html?q=20220015468.pn.","USPTO")</f>
        <v>0.0</v>
      </c>
      <c r="J1125" s="2" t="n">
        <f>HYPERLINK("https://image-ppubs.uspto.gov/dirsearch-public/print/downloadPdf/20220015468","USPTO PDF")</f>
        <v>0.0</v>
      </c>
      <c r="K1125" s="2" t="n">
        <f>HYPERLINK("https://sectors.patentforecast.com/pmd/US20220015468","PMD")</f>
        <v>0.0</v>
      </c>
      <c r="L1125" s="2" t="n">
        <f>HYPERLINK("https://globaldossier.uspto.gov/result/application/US/16933352/1","US20220015468")</f>
        <v>0.0</v>
      </c>
      <c r="M1125" t="s">
        <v>7764</v>
      </c>
      <c r="N1125" t="s">
        <v>7765</v>
      </c>
      <c r="O1125" t="s">
        <v>7766</v>
      </c>
      <c r="P1125" t="s">
        <v>7767</v>
      </c>
      <c r="Q1125" s="3" t="n">
        <v>44032.0</v>
      </c>
      <c r="R1125" s="3" t="n">
        <v>44581.0</v>
      </c>
      <c r="S1125" s="3" t="n">
        <v>44582.18857440972</v>
      </c>
      <c r="T1125" s="3" t="n">
        <v>44678.638576875</v>
      </c>
      <c r="U1125" t="s">
        <v>7768</v>
      </c>
      <c r="V1125" t="s">
        <v>7769</v>
      </c>
    </row>
    <row r="1126">
      <c r="A1126" t="s">
        <v>22</v>
      </c>
      <c r="B1126" t="s">
        <v>7770</v>
      </c>
      <c r="C1126" t="s">
        <v>24</v>
      </c>
      <c r="D1126" t="s">
        <v>43</v>
      </c>
      <c r="E1126" t="s">
        <v>7771</v>
      </c>
      <c r="F1126" s="2" t="n">
        <f>HYPERLINK("https://patents.google.com/patent/US20220014876","Google")</f>
        <v>0.0</v>
      </c>
      <c r="G1126" s="2" t="n">
        <f>HYPERLINK("https://patentcenter.uspto.gov/applications/17231458","Patent Center")</f>
        <v>0.0</v>
      </c>
      <c r="H1126" s="2" t="n">
        <f>HYPERLINK("https://worldwide.espacenet.com/patent/search?q=US20220014876","Espacenet")</f>
        <v>0.0</v>
      </c>
      <c r="I1126" s="2" t="n">
        <f>HYPERLINK("https://ppubs.uspto.gov/pubwebapp/external.html?q=20220014876.pn.","USPTO")</f>
        <v>0.0</v>
      </c>
      <c r="J1126" s="2" t="n">
        <f>HYPERLINK("https://image-ppubs.uspto.gov/dirsearch-public/print/downloadPdf/20220014876","USPTO PDF")</f>
        <v>0.0</v>
      </c>
      <c r="K1126" s="2" t="n">
        <f>HYPERLINK("https://sectors.patentforecast.com/pmd/US20220014876","PMD")</f>
        <v>0.0</v>
      </c>
      <c r="L1126" s="2" t="n">
        <f>HYPERLINK("https://globaldossier.uspto.gov/result/application/US/17231458/1","US20220014876")</f>
        <v>0.0</v>
      </c>
      <c r="M1126" t="s">
        <v>7772</v>
      </c>
      <c r="N1126" t="s">
        <v>6663</v>
      </c>
      <c r="O1126" t="s">
        <v>6664</v>
      </c>
      <c r="P1126" t="s">
        <v>6665</v>
      </c>
      <c r="Q1126" s="3" t="n">
        <v>44301.0</v>
      </c>
      <c r="R1126" s="3" t="n">
        <v>44574.0</v>
      </c>
      <c r="S1126" s="3" t="n">
        <v>44575.188915555555</v>
      </c>
      <c r="T1126" s="3" t="n">
        <v>44672.45096890046</v>
      </c>
      <c r="U1126" t="s">
        <v>7773</v>
      </c>
      <c r="V1126" t="s">
        <v>7774</v>
      </c>
    </row>
    <row r="1127">
      <c r="A1127" t="s">
        <v>22</v>
      </c>
      <c r="B1127" t="s">
        <v>7775</v>
      </c>
      <c r="C1127" t="s">
        <v>24</v>
      </c>
      <c r="D1127" t="s">
        <v>204</v>
      </c>
      <c r="E1127" t="s">
        <v>7776</v>
      </c>
      <c r="F1127" s="2" t="n">
        <f>HYPERLINK("https://patents.google.com/patent/US20220013241","Google")</f>
        <v>0.0</v>
      </c>
      <c r="G1127" s="2" t="n">
        <f>HYPERLINK("https://patentcenter.uspto.gov/applications/17355971","Patent Center")</f>
        <v>0.0</v>
      </c>
      <c r="H1127" s="2" t="n">
        <f>HYPERLINK("https://worldwide.espacenet.com/patent/search?q=US20220013241","Espacenet")</f>
        <v>0.0</v>
      </c>
      <c r="I1127" s="2" t="n">
        <f>HYPERLINK("https://ppubs.uspto.gov/pubwebapp/external.html?q=20220013241.pn.","USPTO")</f>
        <v>0.0</v>
      </c>
      <c r="J1127" s="2" t="n">
        <f>HYPERLINK("https://image-ppubs.uspto.gov/dirsearch-public/print/downloadPdf/20220013241","USPTO PDF")</f>
        <v>0.0</v>
      </c>
      <c r="K1127" s="2" t="n">
        <f>HYPERLINK("https://sectors.patentforecast.com/pmd/US20220013241","PMD")</f>
        <v>0.0</v>
      </c>
      <c r="L1127" s="2" t="n">
        <f>HYPERLINK("https://globaldossier.uspto.gov/result/application/US/17355971/1","US20220013241")</f>
        <v>0.0</v>
      </c>
      <c r="M1127" t="s">
        <v>7777</v>
      </c>
      <c r="N1127" t="s">
        <v>7778</v>
      </c>
      <c r="O1127" t="s">
        <v>7779</v>
      </c>
      <c r="P1127" t="s">
        <v>7780</v>
      </c>
      <c r="Q1127" s="3" t="n">
        <v>44370.0</v>
      </c>
      <c r="R1127" s="3" t="n">
        <v>44574.0</v>
      </c>
      <c r="S1127" s="3" t="n">
        <v>44575.188915555555</v>
      </c>
      <c r="T1127" s="3" t="n">
        <v>44578.78419201389</v>
      </c>
      <c r="U1127" t="s">
        <v>31</v>
      </c>
      <c r="V1127" t="s">
        <v>7781</v>
      </c>
    </row>
    <row r="1128">
      <c r="A1128" t="s">
        <v>22</v>
      </c>
      <c r="B1128" t="s">
        <v>7782</v>
      </c>
      <c r="C1128" t="s">
        <v>24</v>
      </c>
      <c r="D1128" t="s">
        <v>25</v>
      </c>
      <c r="E1128" t="s">
        <v>7783</v>
      </c>
      <c r="F1128" s="2" t="n">
        <f>HYPERLINK("https://patents.google.com/patent/US20220013236","Google")</f>
        <v>0.0</v>
      </c>
      <c r="G1128" s="2" t="n">
        <f>HYPERLINK("https://patentcenter.uspto.gov/applications/17485027","Patent Center")</f>
        <v>0.0</v>
      </c>
      <c r="H1128" s="2" t="n">
        <f>HYPERLINK("https://worldwide.espacenet.com/patent/search?q=US20220013236","Espacenet")</f>
        <v>0.0</v>
      </c>
      <c r="I1128" s="2" t="n">
        <f>HYPERLINK("https://ppubs.uspto.gov/pubwebapp/external.html?q=20220013236.pn.","USPTO")</f>
        <v>0.0</v>
      </c>
      <c r="J1128" s="2" t="n">
        <f>HYPERLINK("https://image-ppubs.uspto.gov/dirsearch-public/print/downloadPdf/20220013236","USPTO PDF")</f>
        <v>0.0</v>
      </c>
      <c r="K1128" s="2" t="n">
        <f>HYPERLINK("https://sectors.patentforecast.com/pmd/US20220013236","PMD")</f>
        <v>0.0</v>
      </c>
      <c r="L1128" s="2" t="n">
        <f>HYPERLINK("https://globaldossier.uspto.gov/result/application/US/17485027/1","US20220013236")</f>
        <v>0.0</v>
      </c>
      <c r="M1128" t="s">
        <v>7784</v>
      </c>
      <c r="N1128" t="s">
        <v>7785</v>
      </c>
      <c r="O1128" t="s">
        <v>7786</v>
      </c>
      <c r="P1128" t="s">
        <v>7787</v>
      </c>
      <c r="Q1128" s="3" t="n">
        <v>44463.0</v>
      </c>
      <c r="R1128" s="3" t="n">
        <v>44574.0</v>
      </c>
      <c r="S1128" s="3" t="n">
        <v>44575.188915555555</v>
      </c>
      <c r="T1128" s="3" t="n">
        <v>44578.78478076389</v>
      </c>
      <c r="U1128" t="s">
        <v>31</v>
      </c>
      <c r="V1128" t="s">
        <v>7788</v>
      </c>
    </row>
    <row r="1129">
      <c r="A1129" t="s">
        <v>22</v>
      </c>
      <c r="B1129" t="s">
        <v>7789</v>
      </c>
      <c r="C1129" t="s">
        <v>24</v>
      </c>
      <c r="D1129" t="s">
        <v>43</v>
      </c>
      <c r="E1129" t="s">
        <v>7790</v>
      </c>
      <c r="F1129" s="2" t="n">
        <f>HYPERLINK("https://patents.google.com/patent/US20220013200","Google")</f>
        <v>0.0</v>
      </c>
      <c r="G1129" s="2" t="n">
        <f>HYPERLINK("https://patentcenter.uspto.gov/applications/17347522","Patent Center")</f>
        <v>0.0</v>
      </c>
      <c r="H1129" s="2" t="n">
        <f>HYPERLINK("https://worldwide.espacenet.com/patent/search?q=US20220013200","Espacenet")</f>
        <v>0.0</v>
      </c>
      <c r="I1129" s="2" t="n">
        <f>HYPERLINK("https://ppubs.uspto.gov/pubwebapp/external.html?q=20220013200.pn.","USPTO")</f>
        <v>0.0</v>
      </c>
      <c r="J1129" s="2" t="n">
        <f>HYPERLINK("https://image-ppubs.uspto.gov/dirsearch-public/print/downloadPdf/20220013200","USPTO PDF")</f>
        <v>0.0</v>
      </c>
      <c r="K1129" s="2" t="n">
        <f>HYPERLINK("https://sectors.patentforecast.com/pmd/US20220013200","PMD")</f>
        <v>0.0</v>
      </c>
      <c r="L1129" s="2" t="n">
        <f>HYPERLINK("https://globaldossier.uspto.gov/result/application/US/17347522/1","US20220013200")</f>
        <v>0.0</v>
      </c>
      <c r="M1129" t="s">
        <v>7791</v>
      </c>
      <c r="N1129" t="s">
        <v>7792</v>
      </c>
      <c r="O1129" t="s">
        <v>7792</v>
      </c>
      <c r="P1129" t="s">
        <v>7793</v>
      </c>
      <c r="Q1129" s="3" t="n">
        <v>44361.0</v>
      </c>
      <c r="R1129" s="3" t="n">
        <v>44574.0</v>
      </c>
      <c r="S1129" s="3" t="n">
        <v>44575.188915555555</v>
      </c>
      <c r="T1129" s="3" t="n">
        <v>44678.60968314815</v>
      </c>
      <c r="U1129" t="s">
        <v>7794</v>
      </c>
      <c r="V1129" t="s">
        <v>7795</v>
      </c>
    </row>
    <row r="1130">
      <c r="A1130" t="s">
        <v>22</v>
      </c>
      <c r="B1130" t="s">
        <v>7796</v>
      </c>
      <c r="C1130" t="s">
        <v>24</v>
      </c>
      <c r="D1130" t="s">
        <v>51</v>
      </c>
      <c r="E1130" t="s">
        <v>7797</v>
      </c>
      <c r="F1130" s="2" t="n">
        <f>HYPERLINK("https://patents.google.com/patent/US20220011309","Google")</f>
        <v>0.0</v>
      </c>
      <c r="G1130" s="2" t="n">
        <f>HYPERLINK("https://patentcenter.uspto.gov/applications/17370514","Patent Center")</f>
        <v>0.0</v>
      </c>
      <c r="H1130" s="2" t="n">
        <f>HYPERLINK("https://worldwide.espacenet.com/patent/search?q=US20220011309","Espacenet")</f>
        <v>0.0</v>
      </c>
      <c r="I1130" s="2" t="n">
        <f>HYPERLINK("https://ppubs.uspto.gov/pubwebapp/external.html?q=20220011309.pn.","USPTO")</f>
        <v>0.0</v>
      </c>
      <c r="J1130" s="2" t="n">
        <f>HYPERLINK("https://image-ppubs.uspto.gov/dirsearch-public/print/downloadPdf/20220011309","USPTO PDF")</f>
        <v>0.0</v>
      </c>
      <c r="K1130" s="2" t="n">
        <f>HYPERLINK("https://sectors.patentforecast.com/pmd/US20220011309","PMD")</f>
        <v>0.0</v>
      </c>
      <c r="L1130" s="2" t="n">
        <f>HYPERLINK("https://globaldossier.uspto.gov/result/application/US/17370514/1","US20220011309")</f>
        <v>0.0</v>
      </c>
      <c r="M1130" t="s">
        <v>7798</v>
      </c>
      <c r="N1130" t="s">
        <v>555</v>
      </c>
      <c r="O1130" t="s">
        <v>556</v>
      </c>
      <c r="P1130" t="s">
        <v>7799</v>
      </c>
      <c r="Q1130" s="3" t="n">
        <v>44385.0</v>
      </c>
      <c r="R1130" s="3" t="n">
        <v>44574.0</v>
      </c>
      <c r="S1130" s="3" t="n">
        <v>44575.188915555555</v>
      </c>
      <c r="T1130" s="3" t="n">
        <v>44678.488049583335</v>
      </c>
      <c r="U1130" t="s">
        <v>31</v>
      </c>
      <c r="V1130" t="s">
        <v>7800</v>
      </c>
    </row>
    <row r="1131">
      <c r="A1131" t="s">
        <v>22</v>
      </c>
      <c r="B1131" t="s">
        <v>7801</v>
      </c>
      <c r="C1131" t="s">
        <v>24</v>
      </c>
      <c r="D1131" t="s">
        <v>34</v>
      </c>
      <c r="E1131" t="s">
        <v>3112</v>
      </c>
      <c r="F1131" s="2" t="n">
        <f>HYPERLINK("https://patents.google.com/patent/US20220011293","Google")</f>
        <v>0.0</v>
      </c>
      <c r="G1131" s="2" t="n">
        <f>HYPERLINK("https://patentcenter.uspto.gov/applications/17324085","Patent Center")</f>
        <v>0.0</v>
      </c>
      <c r="H1131" s="2" t="n">
        <f>HYPERLINK("https://worldwide.espacenet.com/patent/search?q=US20220011293","Espacenet")</f>
        <v>0.0</v>
      </c>
      <c r="I1131" s="2" t="n">
        <f>HYPERLINK("https://ppubs.uspto.gov/pubwebapp/external.html?q=20220011293.pn.","USPTO")</f>
        <v>0.0</v>
      </c>
      <c r="J1131" s="2" t="n">
        <f>HYPERLINK("https://image-ppubs.uspto.gov/dirsearch-public/print/downloadPdf/20220011293","USPTO PDF")</f>
        <v>0.0</v>
      </c>
      <c r="K1131" s="2" t="n">
        <f>HYPERLINK("https://sectors.patentforecast.com/pmd/US20220011293","PMD")</f>
        <v>0.0</v>
      </c>
      <c r="L1131" s="2" t="n">
        <f>HYPERLINK("https://globaldossier.uspto.gov/result/application/US/17324085/1","US20220011293")</f>
        <v>0.0</v>
      </c>
      <c r="M1131" t="s">
        <v>7802</v>
      </c>
      <c r="N1131" t="s">
        <v>7803</v>
      </c>
      <c r="O1131" t="s">
        <v>7804</v>
      </c>
      <c r="P1131" t="s">
        <v>7805</v>
      </c>
      <c r="Q1131" s="3" t="n">
        <v>44334.0</v>
      </c>
      <c r="R1131" s="3" t="n">
        <v>44574.0</v>
      </c>
      <c r="S1131" s="3" t="n">
        <v>44575.188915555555</v>
      </c>
      <c r="T1131" s="3" t="n">
        <v>44578.78902993056</v>
      </c>
      <c r="U1131" t="s">
        <v>31</v>
      </c>
      <c r="V1131" t="s">
        <v>7806</v>
      </c>
    </row>
    <row r="1132">
      <c r="A1132" t="s">
        <v>22</v>
      </c>
      <c r="B1132" t="s">
        <v>7807</v>
      </c>
      <c r="C1132" t="s">
        <v>24</v>
      </c>
      <c r="D1132" t="s">
        <v>34</v>
      </c>
      <c r="E1132" t="s">
        <v>7808</v>
      </c>
      <c r="F1132" s="2" t="n">
        <f>HYPERLINK("https://patents.google.com/patent/US20220011224","Google")</f>
        <v>0.0</v>
      </c>
      <c r="G1132" s="2" t="n">
        <f>HYPERLINK("https://patentcenter.uspto.gov/applications/17368793","Patent Center")</f>
        <v>0.0</v>
      </c>
      <c r="H1132" s="2" t="n">
        <f>HYPERLINK("https://worldwide.espacenet.com/patent/search?q=US20220011224","Espacenet")</f>
        <v>0.0</v>
      </c>
      <c r="I1132" s="2" t="n">
        <f>HYPERLINK("https://ppubs.uspto.gov/pubwebapp/external.html?q=20220011224.pn.","USPTO")</f>
        <v>0.0</v>
      </c>
      <c r="J1132" s="2" t="n">
        <f>HYPERLINK("https://image-ppubs.uspto.gov/dirsearch-public/print/downloadPdf/20220011224","USPTO PDF")</f>
        <v>0.0</v>
      </c>
      <c r="K1132" s="2" t="n">
        <f>HYPERLINK("https://sectors.patentforecast.com/pmd/US20220011224","PMD")</f>
        <v>0.0</v>
      </c>
      <c r="L1132" s="2" t="n">
        <f>HYPERLINK("https://globaldossier.uspto.gov/result/application/US/17368793/1","US20220011224")</f>
        <v>0.0</v>
      </c>
      <c r="M1132" t="s">
        <v>7809</v>
      </c>
      <c r="N1132" t="s">
        <v>7810</v>
      </c>
      <c r="O1132" t="s">
        <v>7811</v>
      </c>
      <c r="P1132" t="s">
        <v>7812</v>
      </c>
      <c r="Q1132" s="3" t="n">
        <v>44383.0</v>
      </c>
      <c r="R1132" s="3" t="n">
        <v>44574.0</v>
      </c>
      <c r="S1132" s="3" t="n">
        <v>44575.188915555555</v>
      </c>
      <c r="T1132" s="3" t="n">
        <v>44578.7894159375</v>
      </c>
      <c r="U1132" t="s">
        <v>7813</v>
      </c>
      <c r="V1132" t="s">
        <v>7814</v>
      </c>
    </row>
    <row r="1133">
      <c r="A1133" t="s">
        <v>22</v>
      </c>
      <c r="B1133" t="s">
        <v>7815</v>
      </c>
      <c r="C1133" t="s">
        <v>24</v>
      </c>
      <c r="D1133" t="s">
        <v>34</v>
      </c>
      <c r="E1133" t="s">
        <v>7808</v>
      </c>
      <c r="F1133" s="2" t="n">
        <f>HYPERLINK("https://patents.google.com/patent/US20220011219","Google")</f>
        <v>0.0</v>
      </c>
      <c r="G1133" s="2" t="n">
        <f>HYPERLINK("https://patentcenter.uspto.gov/applications/17368803","Patent Center")</f>
        <v>0.0</v>
      </c>
      <c r="H1133" s="2" t="n">
        <f>HYPERLINK("https://worldwide.espacenet.com/patent/search?q=US20220011219","Espacenet")</f>
        <v>0.0</v>
      </c>
      <c r="I1133" s="2" t="n">
        <f>HYPERLINK("https://ppubs.uspto.gov/pubwebapp/external.html?q=20220011219.pn.","USPTO")</f>
        <v>0.0</v>
      </c>
      <c r="J1133" s="2" t="n">
        <f>HYPERLINK("https://image-ppubs.uspto.gov/dirsearch-public/print/downloadPdf/20220011219","USPTO PDF")</f>
        <v>0.0</v>
      </c>
      <c r="K1133" s="2" t="n">
        <f>HYPERLINK("https://sectors.patentforecast.com/pmd/US20220011219","PMD")</f>
        <v>0.0</v>
      </c>
      <c r="L1133" s="2" t="n">
        <f>HYPERLINK("https://globaldossier.uspto.gov/result/application/US/17368803/1","US20220011219")</f>
        <v>0.0</v>
      </c>
      <c r="M1133" t="s">
        <v>7816</v>
      </c>
      <c r="N1133" t="s">
        <v>7810</v>
      </c>
      <c r="O1133" t="s">
        <v>7811</v>
      </c>
      <c r="P1133" t="s">
        <v>7817</v>
      </c>
      <c r="Q1133" s="3" t="n">
        <v>44383.0</v>
      </c>
      <c r="R1133" s="3" t="n">
        <v>44574.0</v>
      </c>
      <c r="S1133" s="3" t="n">
        <v>44575.188915555555</v>
      </c>
      <c r="T1133" s="3" t="n">
        <v>44578.78960517361</v>
      </c>
      <c r="U1133" t="s">
        <v>31</v>
      </c>
      <c r="V1133" t="s">
        <v>7814</v>
      </c>
    </row>
    <row r="1134">
      <c r="A1134" t="s">
        <v>22</v>
      </c>
      <c r="B1134" t="s">
        <v>7818</v>
      </c>
      <c r="C1134" t="s">
        <v>24</v>
      </c>
      <c r="D1134" t="s">
        <v>100</v>
      </c>
      <c r="E1134" t="s">
        <v>7819</v>
      </c>
      <c r="F1134" s="2" t="n">
        <f>HYPERLINK("https://patents.google.com/patent/US20220011013","Google")</f>
        <v>0.0</v>
      </c>
      <c r="G1134" s="2" t="n">
        <f>HYPERLINK("https://patentcenter.uspto.gov/applications/17370212","Patent Center")</f>
        <v>0.0</v>
      </c>
      <c r="H1134" s="2" t="n">
        <f>HYPERLINK("https://worldwide.espacenet.com/patent/search?q=US20220011013","Espacenet")</f>
        <v>0.0</v>
      </c>
      <c r="I1134" s="2" t="n">
        <f>HYPERLINK("https://ppubs.uspto.gov/pubwebapp/external.html?q=20220011013.pn.","USPTO")</f>
        <v>0.0</v>
      </c>
      <c r="J1134" s="2" t="n">
        <f>HYPERLINK("https://image-ppubs.uspto.gov/dirsearch-public/print/downloadPdf/20220011013","USPTO PDF")</f>
        <v>0.0</v>
      </c>
      <c r="K1134" s="2" t="n">
        <f>HYPERLINK("https://sectors.patentforecast.com/pmd/US20220011013","PMD")</f>
        <v>0.0</v>
      </c>
      <c r="L1134" s="2" t="n">
        <f>HYPERLINK("https://globaldossier.uspto.gov/result/application/US/17370212/1","US20220011013")</f>
        <v>0.0</v>
      </c>
      <c r="M1134" t="s">
        <v>7820</v>
      </c>
      <c r="N1134" t="s">
        <v>7821</v>
      </c>
      <c r="O1134" t="s">
        <v>7822</v>
      </c>
      <c r="P1134" t="s">
        <v>7823</v>
      </c>
      <c r="Q1134" s="3" t="n">
        <v>44385.0</v>
      </c>
      <c r="R1134" s="3" t="n">
        <v>44574.0</v>
      </c>
      <c r="S1134" s="3" t="n">
        <v>44575.188915555555</v>
      </c>
      <c r="T1134" s="3" t="n">
        <v>44578.79017521991</v>
      </c>
      <c r="U1134" t="s">
        <v>7824</v>
      </c>
      <c r="V1134" t="s">
        <v>7825</v>
      </c>
    </row>
    <row r="1135">
      <c r="A1135" t="s">
        <v>22</v>
      </c>
      <c r="B1135" t="s">
        <v>7826</v>
      </c>
      <c r="C1135" t="s">
        <v>24</v>
      </c>
      <c r="D1135" t="s">
        <v>69</v>
      </c>
      <c r="E1135" t="s">
        <v>7827</v>
      </c>
      <c r="F1135" s="2" t="n">
        <f>HYPERLINK("https://patents.google.com/patent/US20220010994","Google")</f>
        <v>0.0</v>
      </c>
      <c r="G1135" s="2" t="n">
        <f>HYPERLINK("https://patentcenter.uspto.gov/applications/17144236","Patent Center")</f>
        <v>0.0</v>
      </c>
      <c r="H1135" s="2" t="n">
        <f>HYPERLINK("https://worldwide.espacenet.com/patent/search?q=US20220010994","Espacenet")</f>
        <v>0.0</v>
      </c>
      <c r="I1135" s="2" t="n">
        <f>HYPERLINK("https://ppubs.uspto.gov/pubwebapp/external.html?q=20220010994.pn.","USPTO")</f>
        <v>0.0</v>
      </c>
      <c r="J1135" s="2" t="n">
        <f>HYPERLINK("https://image-ppubs.uspto.gov/dirsearch-public/print/downloadPdf/20220010994","USPTO PDF")</f>
        <v>0.0</v>
      </c>
      <c r="K1135" s="2" t="n">
        <f>HYPERLINK("https://sectors.patentforecast.com/pmd/US20220010994","PMD")</f>
        <v>0.0</v>
      </c>
      <c r="L1135" s="2" t="n">
        <f>HYPERLINK("https://globaldossier.uspto.gov/result/application/US/17144236/1","US20220010994")</f>
        <v>0.0</v>
      </c>
      <c r="M1135" t="s">
        <v>7828</v>
      </c>
      <c r="N1135" t="s">
        <v>4982</v>
      </c>
      <c r="O1135" t="s">
        <v>4983</v>
      </c>
      <c r="P1135" t="s">
        <v>6706</v>
      </c>
      <c r="Q1135" s="3" t="n">
        <v>44204.0</v>
      </c>
      <c r="R1135" s="3" t="n">
        <v>44574.0</v>
      </c>
      <c r="S1135" s="3" t="n">
        <v>44575.188915555555</v>
      </c>
      <c r="T1135" s="3" t="n">
        <v>44578.79127829861</v>
      </c>
      <c r="U1135" t="s">
        <v>7829</v>
      </c>
      <c r="V1135" t="s">
        <v>7830</v>
      </c>
    </row>
    <row r="1136">
      <c r="A1136" t="s">
        <v>22</v>
      </c>
      <c r="B1136" t="s">
        <v>7831</v>
      </c>
      <c r="C1136" t="s">
        <v>24</v>
      </c>
      <c r="D1136" t="s">
        <v>69</v>
      </c>
      <c r="E1136" t="s">
        <v>7832</v>
      </c>
      <c r="F1136" s="2" t="n">
        <f>HYPERLINK("https://patents.google.com/patent/US20220010989","Google")</f>
        <v>0.0</v>
      </c>
      <c r="G1136" s="2" t="n">
        <f>HYPERLINK("https://patentcenter.uspto.gov/applications/17360106","Patent Center")</f>
        <v>0.0</v>
      </c>
      <c r="H1136" s="2" t="n">
        <f>HYPERLINK("https://worldwide.espacenet.com/patent/search?q=US20220010989","Espacenet")</f>
        <v>0.0</v>
      </c>
      <c r="I1136" s="2" t="n">
        <f>HYPERLINK("https://ppubs.uspto.gov/pubwebapp/external.html?q=20220010989.pn.","USPTO")</f>
        <v>0.0</v>
      </c>
      <c r="J1136" s="2" t="n">
        <f>HYPERLINK("https://image-ppubs.uspto.gov/dirsearch-public/print/downloadPdf/20220010989","USPTO PDF")</f>
        <v>0.0</v>
      </c>
      <c r="K1136" s="2" t="n">
        <f>HYPERLINK("https://sectors.patentforecast.com/pmd/US20220010989","PMD")</f>
        <v>0.0</v>
      </c>
      <c r="L1136" s="2" t="n">
        <f>HYPERLINK("https://globaldossier.uspto.gov/result/application/US/17360106/1","US20220010989")</f>
        <v>0.0</v>
      </c>
      <c r="M1136" t="s">
        <v>7833</v>
      </c>
      <c r="N1136" t="s">
        <v>7834</v>
      </c>
      <c r="O1136" t="s">
        <v>7835</v>
      </c>
      <c r="P1136" t="s">
        <v>7836</v>
      </c>
      <c r="Q1136" s="3" t="n">
        <v>44375.0</v>
      </c>
      <c r="R1136" s="3" t="n">
        <v>44574.0</v>
      </c>
      <c r="S1136" s="3" t="n">
        <v>44575.188915555555</v>
      </c>
      <c r="T1136" s="3" t="n">
        <v>44578.792012025464</v>
      </c>
      <c r="U1136" t="s">
        <v>31</v>
      </c>
      <c r="V1136" t="s">
        <v>7837</v>
      </c>
    </row>
    <row r="1137">
      <c r="A1137" t="s">
        <v>22</v>
      </c>
      <c r="B1137" t="s">
        <v>7838</v>
      </c>
      <c r="C1137" t="s">
        <v>24</v>
      </c>
      <c r="D1137" t="s">
        <v>69</v>
      </c>
      <c r="E1137" t="s">
        <v>7839</v>
      </c>
      <c r="F1137" s="2" t="n">
        <f>HYPERLINK("https://patents.google.com/patent/US20220010988","Google")</f>
        <v>0.0</v>
      </c>
      <c r="G1137" s="2" t="n">
        <f>HYPERLINK("https://patentcenter.uspto.gov/applications/16923681","Patent Center")</f>
        <v>0.0</v>
      </c>
      <c r="H1137" s="2" t="n">
        <f>HYPERLINK("https://worldwide.espacenet.com/patent/search?q=US20220010988","Espacenet")</f>
        <v>0.0</v>
      </c>
      <c r="I1137" s="2" t="n">
        <f>HYPERLINK("https://ppubs.uspto.gov/pubwebapp/external.html?q=20220010988.pn.","USPTO")</f>
        <v>0.0</v>
      </c>
      <c r="J1137" s="2" t="n">
        <f>HYPERLINK("https://image-ppubs.uspto.gov/dirsearch-public/print/downloadPdf/20220010988","USPTO PDF")</f>
        <v>0.0</v>
      </c>
      <c r="K1137" s="2" t="n">
        <f>HYPERLINK("https://sectors.patentforecast.com/pmd/US20220010988","PMD")</f>
        <v>0.0</v>
      </c>
      <c r="L1137" s="2" t="n">
        <f>HYPERLINK("https://globaldossier.uspto.gov/result/application/US/16923681/1","US20220010988")</f>
        <v>0.0</v>
      </c>
      <c r="M1137" t="s">
        <v>7840</v>
      </c>
      <c r="N1137" t="s">
        <v>7841</v>
      </c>
      <c r="O1137" t="s">
        <v>7842</v>
      </c>
      <c r="P1137" t="s">
        <v>7843</v>
      </c>
      <c r="Q1137" s="3" t="n">
        <v>44020.0</v>
      </c>
      <c r="R1137" s="3" t="n">
        <v>44574.0</v>
      </c>
      <c r="S1137" s="3" t="n">
        <v>44575.188915555555</v>
      </c>
      <c r="T1137" s="3" t="n">
        <v>44678.640650104164</v>
      </c>
      <c r="U1137" t="s">
        <v>7844</v>
      </c>
      <c r="V1137" t="s">
        <v>7845</v>
      </c>
    </row>
    <row r="1138">
      <c r="A1138" t="s">
        <v>22</v>
      </c>
      <c r="B1138" t="s">
        <v>7846</v>
      </c>
      <c r="C1138" t="s">
        <v>60</v>
      </c>
      <c r="D1138" t="s">
        <v>61</v>
      </c>
      <c r="E1138" t="s">
        <v>244</v>
      </c>
      <c r="F1138" s="2" t="n">
        <f>HYPERLINK("https://patents.google.com/patent/US20220010002","Google")</f>
        <v>0.0</v>
      </c>
      <c r="G1138" s="2" t="n">
        <f>HYPERLINK("https://patentcenter.uspto.gov/applications/17405246","Patent Center")</f>
        <v>0.0</v>
      </c>
      <c r="H1138" s="2" t="n">
        <f>HYPERLINK("https://worldwide.espacenet.com/patent/search?q=US20220010002","Espacenet")</f>
        <v>0.0</v>
      </c>
      <c r="I1138" s="2" t="n">
        <f>HYPERLINK("https://ppubs.uspto.gov/pubwebapp/external.html?q=20220010002.pn.","USPTO")</f>
        <v>0.0</v>
      </c>
      <c r="J1138" s="2" t="n">
        <f>HYPERLINK("https://image-ppubs.uspto.gov/dirsearch-public/print/downloadPdf/20220010002","USPTO PDF")</f>
        <v>0.0</v>
      </c>
      <c r="K1138" s="2" t="n">
        <f>HYPERLINK("https://sectors.patentforecast.com/pmd/US20220010002","PMD")</f>
        <v>0.0</v>
      </c>
      <c r="L1138" s="2" t="n">
        <f>HYPERLINK("https://globaldossier.uspto.gov/result/application/US/17405246/1","US20220010002")</f>
        <v>0.0</v>
      </c>
      <c r="M1138" t="s">
        <v>7847</v>
      </c>
      <c r="N1138" t="s">
        <v>7848</v>
      </c>
      <c r="O1138" t="s">
        <v>7849</v>
      </c>
      <c r="P1138" t="s">
        <v>248</v>
      </c>
      <c r="Q1138" s="3" t="n">
        <v>44426.0</v>
      </c>
      <c r="R1138" s="3" t="n">
        <v>44574.0</v>
      </c>
      <c r="S1138" s="3" t="n">
        <v>44575.188915555555</v>
      </c>
      <c r="T1138" s="3" t="n">
        <v>44638.69112454861</v>
      </c>
      <c r="U1138" t="s">
        <v>7850</v>
      </c>
      <c r="V1138" t="s">
        <v>249</v>
      </c>
    </row>
    <row r="1139">
      <c r="A1139" t="s">
        <v>22</v>
      </c>
      <c r="B1139" t="s">
        <v>7851</v>
      </c>
      <c r="C1139" t="s">
        <v>132</v>
      </c>
      <c r="D1139" t="s">
        <v>2629</v>
      </c>
      <c r="E1139" t="s">
        <v>7852</v>
      </c>
      <c r="F1139" s="2" t="n">
        <f>HYPERLINK("https://patents.google.com/patent/US20220009971","Google")</f>
        <v>0.0</v>
      </c>
      <c r="G1139" s="2" t="n">
        <f>HYPERLINK("https://patentcenter.uspto.gov/applications/17474732","Patent Center")</f>
        <v>0.0</v>
      </c>
      <c r="H1139" s="2" t="n">
        <f>HYPERLINK("https://worldwide.espacenet.com/patent/search?q=US20220009971","Espacenet")</f>
        <v>0.0</v>
      </c>
      <c r="I1139" s="2" t="n">
        <f>HYPERLINK("https://ppubs.uspto.gov/pubwebapp/external.html?q=20220009971.pn.","USPTO")</f>
        <v>0.0</v>
      </c>
      <c r="J1139" s="2" t="n">
        <f>HYPERLINK("https://image-ppubs.uspto.gov/dirsearch-public/print/downloadPdf/20220009971","USPTO PDF")</f>
        <v>0.0</v>
      </c>
      <c r="K1139" s="2" t="n">
        <f>HYPERLINK("https://sectors.patentforecast.com/pmd/US20220009971","PMD")</f>
        <v>0.0</v>
      </c>
      <c r="L1139" s="2" t="n">
        <f>HYPERLINK("https://globaldossier.uspto.gov/result/application/US/17474732/1","US20220009971")</f>
        <v>0.0</v>
      </c>
      <c r="M1139" t="s">
        <v>7853</v>
      </c>
      <c r="N1139" t="s">
        <v>7854</v>
      </c>
      <c r="O1139" t="s">
        <v>7855</v>
      </c>
      <c r="P1139" t="s">
        <v>7856</v>
      </c>
      <c r="Q1139" s="3" t="n">
        <v>44453.0</v>
      </c>
      <c r="R1139" s="3" t="n">
        <v>44574.0</v>
      </c>
      <c r="S1139" s="3" t="n">
        <v>44587.19294369213</v>
      </c>
      <c r="T1139" s="3" t="n">
        <v>44643.43802313657</v>
      </c>
      <c r="U1139" t="s">
        <v>7857</v>
      </c>
      <c r="V1139" t="s">
        <v>7858</v>
      </c>
    </row>
    <row r="1140">
      <c r="A1140" t="s">
        <v>22</v>
      </c>
      <c r="B1140" t="s">
        <v>7859</v>
      </c>
      <c r="C1140" t="s">
        <v>60</v>
      </c>
      <c r="D1140" t="s">
        <v>61</v>
      </c>
      <c r="E1140" t="s">
        <v>7860</v>
      </c>
      <c r="F1140" s="2" t="n">
        <f>HYPERLINK("https://patents.google.com/patent/US20220009903","Google")</f>
        <v>0.0</v>
      </c>
      <c r="G1140" s="2" t="n">
        <f>HYPERLINK("https://patentcenter.uspto.gov/applications/17303815","Patent Center")</f>
        <v>0.0</v>
      </c>
      <c r="H1140" s="2" t="n">
        <f>HYPERLINK("https://worldwide.espacenet.com/patent/search?q=US20220009903","Espacenet")</f>
        <v>0.0</v>
      </c>
      <c r="I1140" s="2" t="n">
        <f>HYPERLINK("https://ppubs.uspto.gov/pubwebapp/external.html?q=20220009903.pn.","USPTO")</f>
        <v>0.0</v>
      </c>
      <c r="J1140" s="2" t="n">
        <f>HYPERLINK("https://image-ppubs.uspto.gov/dirsearch-public/print/downloadPdf/20220009903","USPTO PDF")</f>
        <v>0.0</v>
      </c>
      <c r="K1140" s="2" t="n">
        <f>HYPERLINK("https://sectors.patentforecast.com/pmd/US20220009903","PMD")</f>
        <v>0.0</v>
      </c>
      <c r="L1140" s="2" t="n">
        <f>HYPERLINK("https://globaldossier.uspto.gov/result/application/US/17303815/1","US20220009903")</f>
        <v>0.0</v>
      </c>
      <c r="M1140" t="s">
        <v>7861</v>
      </c>
      <c r="N1140" t="s">
        <v>7862</v>
      </c>
      <c r="O1140" t="s">
        <v>7863</v>
      </c>
      <c r="P1140" t="s">
        <v>7864</v>
      </c>
      <c r="Q1140" s="3" t="n">
        <v>44355.0</v>
      </c>
      <c r="R1140" s="3" t="n">
        <v>44574.0</v>
      </c>
      <c r="S1140" s="3" t="n">
        <v>44575.188915555555</v>
      </c>
      <c r="T1140" s="3" t="n">
        <v>44757.748141145836</v>
      </c>
      <c r="U1140" t="s">
        <v>31</v>
      </c>
      <c r="V1140" t="s">
        <v>7865</v>
      </c>
    </row>
    <row r="1141">
      <c r="A1141" t="s">
        <v>22</v>
      </c>
      <c r="B1141" t="s">
        <v>7866</v>
      </c>
      <c r="C1141" t="s">
        <v>24</v>
      </c>
      <c r="D1141" t="s">
        <v>69</v>
      </c>
      <c r="E1141" t="s">
        <v>7867</v>
      </c>
      <c r="F1141" s="2" t="n">
        <f>HYPERLINK("https://patents.google.com/patent/US20220008763","Google")</f>
        <v>0.0</v>
      </c>
      <c r="G1141" s="2" t="n">
        <f>HYPERLINK("https://patentcenter.uspto.gov/applications/17373226","Patent Center")</f>
        <v>0.0</v>
      </c>
      <c r="H1141" s="2" t="n">
        <f>HYPERLINK("https://worldwide.espacenet.com/patent/search?q=US20220008763","Espacenet")</f>
        <v>0.0</v>
      </c>
      <c r="I1141" s="2" t="n">
        <f>HYPERLINK("https://ppubs.uspto.gov/pubwebapp/external.html?q=20220008763.pn.","USPTO")</f>
        <v>0.0</v>
      </c>
      <c r="J1141" s="2" t="n">
        <f>HYPERLINK("https://image-ppubs.uspto.gov/dirsearch-public/print/downloadPdf/20220008763","USPTO PDF")</f>
        <v>0.0</v>
      </c>
      <c r="K1141" s="2" t="n">
        <f>HYPERLINK("https://sectors.patentforecast.com/pmd/US20220008763","PMD")</f>
        <v>0.0</v>
      </c>
      <c r="L1141" s="2" t="n">
        <f>HYPERLINK("https://globaldossier.uspto.gov/result/application/US/17373226/1","US20220008763")</f>
        <v>0.0</v>
      </c>
      <c r="M1141" t="s">
        <v>7868</v>
      </c>
      <c r="N1141" t="s">
        <v>5649</v>
      </c>
      <c r="O1141" t="s">
        <v>5650</v>
      </c>
      <c r="P1141" t="s">
        <v>7869</v>
      </c>
      <c r="Q1141" s="3" t="n">
        <v>44389.0</v>
      </c>
      <c r="R1141" s="3" t="n">
        <v>44574.0</v>
      </c>
      <c r="S1141" s="3" t="n">
        <v>44575.188915555555</v>
      </c>
      <c r="T1141" s="3" t="n">
        <v>44678.54796988426</v>
      </c>
      <c r="U1141" t="s">
        <v>7870</v>
      </c>
      <c r="V1141" t="s">
        <v>7871</v>
      </c>
    </row>
    <row r="1142">
      <c r="A1142" t="s">
        <v>22</v>
      </c>
      <c r="B1142" t="s">
        <v>7872</v>
      </c>
      <c r="C1142" t="s">
        <v>24</v>
      </c>
      <c r="D1142" t="s">
        <v>69</v>
      </c>
      <c r="E1142" t="s">
        <v>7873</v>
      </c>
      <c r="F1142" s="2" t="n">
        <f>HYPERLINK("https://patents.google.com/patent/US20220008762","Google")</f>
        <v>0.0</v>
      </c>
      <c r="G1142" s="2" t="n">
        <f>HYPERLINK("https://patentcenter.uspto.gov/applications/17372170","Patent Center")</f>
        <v>0.0</v>
      </c>
      <c r="H1142" s="2" t="n">
        <f>HYPERLINK("https://worldwide.espacenet.com/patent/search?q=US20220008762","Espacenet")</f>
        <v>0.0</v>
      </c>
      <c r="I1142" s="2" t="n">
        <f>HYPERLINK("https://ppubs.uspto.gov/pubwebapp/external.html?q=20220008762.pn.","USPTO")</f>
        <v>0.0</v>
      </c>
      <c r="J1142" s="2" t="n">
        <f>HYPERLINK("https://image-ppubs.uspto.gov/dirsearch-public/print/downloadPdf/20220008762","USPTO PDF")</f>
        <v>0.0</v>
      </c>
      <c r="K1142" s="2" t="n">
        <f>HYPERLINK("https://sectors.patentforecast.com/pmd/US20220008762","PMD")</f>
        <v>0.0</v>
      </c>
      <c r="L1142" s="2" t="n">
        <f>HYPERLINK("https://globaldossier.uspto.gov/result/application/US/17372170/1","US20220008762")</f>
        <v>0.0</v>
      </c>
      <c r="M1142" t="s">
        <v>7874</v>
      </c>
      <c r="N1142" t="s">
        <v>7875</v>
      </c>
      <c r="O1142" t="s">
        <v>7876</v>
      </c>
      <c r="P1142" t="s">
        <v>7877</v>
      </c>
      <c r="Q1142" s="3" t="n">
        <v>44386.0</v>
      </c>
      <c r="R1142" s="3" t="n">
        <v>44574.0</v>
      </c>
      <c r="S1142" s="3" t="n">
        <v>44575.188915555555</v>
      </c>
      <c r="T1142" s="3" t="n">
        <v>44678.631319155094</v>
      </c>
      <c r="U1142" t="s">
        <v>31</v>
      </c>
      <c r="V1142" t="s">
        <v>7878</v>
      </c>
    </row>
    <row r="1143">
      <c r="A1143" t="s">
        <v>22</v>
      </c>
      <c r="B1143" t="s">
        <v>7879</v>
      </c>
      <c r="C1143" t="s">
        <v>24</v>
      </c>
      <c r="D1143" t="s">
        <v>69</v>
      </c>
      <c r="E1143" t="s">
        <v>5905</v>
      </c>
      <c r="F1143" s="2" t="n">
        <f>HYPERLINK("https://patents.google.com/patent/US20220008761","Google")</f>
        <v>0.0</v>
      </c>
      <c r="G1143" s="2" t="n">
        <f>HYPERLINK("https://patentcenter.uspto.gov/applications/17300299","Patent Center")</f>
        <v>0.0</v>
      </c>
      <c r="H1143" s="2" t="n">
        <f>HYPERLINK("https://worldwide.espacenet.com/patent/search?q=US20220008761","Espacenet")</f>
        <v>0.0</v>
      </c>
      <c r="I1143" s="2" t="n">
        <f>HYPERLINK("https://ppubs.uspto.gov/pubwebapp/external.html?q=20220008761.pn.","USPTO")</f>
        <v>0.0</v>
      </c>
      <c r="J1143" s="2" t="n">
        <f>HYPERLINK("https://image-ppubs.uspto.gov/dirsearch-public/print/downloadPdf/20220008761","USPTO PDF")</f>
        <v>0.0</v>
      </c>
      <c r="K1143" s="2" t="n">
        <f>HYPERLINK("https://sectors.patentforecast.com/pmd/US20220008761","PMD")</f>
        <v>0.0</v>
      </c>
      <c r="L1143" s="2" t="n">
        <f>HYPERLINK("https://globaldossier.uspto.gov/result/application/US/17300299/1","US20220008761")</f>
        <v>0.0</v>
      </c>
      <c r="M1143" t="s">
        <v>7880</v>
      </c>
      <c r="N1143" t="s">
        <v>5907</v>
      </c>
      <c r="O1143" t="s">
        <v>5908</v>
      </c>
      <c r="P1143" t="s">
        <v>5909</v>
      </c>
      <c r="Q1143" s="3" t="n">
        <v>44022.0</v>
      </c>
      <c r="R1143" s="3" t="n">
        <v>44574.0</v>
      </c>
      <c r="S1143" s="3" t="n">
        <v>44575.188915555555</v>
      </c>
      <c r="T1143" s="3" t="n">
        <v>44678.640061666665</v>
      </c>
      <c r="U1143" t="s">
        <v>31</v>
      </c>
      <c r="V1143" t="s">
        <v>7881</v>
      </c>
    </row>
    <row r="1144">
      <c r="A1144" t="s">
        <v>22</v>
      </c>
      <c r="B1144" t="s">
        <v>7882</v>
      </c>
      <c r="C1144" t="s">
        <v>24</v>
      </c>
      <c r="D1144" t="s">
        <v>69</v>
      </c>
      <c r="E1144" t="s">
        <v>7883</v>
      </c>
      <c r="F1144" s="2" t="n">
        <f>HYPERLINK("https://patents.google.com/patent/US20220008757","Google")</f>
        <v>0.0</v>
      </c>
      <c r="G1144" s="2" t="n">
        <f>HYPERLINK("https://patentcenter.uspto.gov/applications/17369455","Patent Center")</f>
        <v>0.0</v>
      </c>
      <c r="H1144" s="2" t="n">
        <f>HYPERLINK("https://worldwide.espacenet.com/patent/search?q=US20220008757","Espacenet")</f>
        <v>0.0</v>
      </c>
      <c r="I1144" s="2" t="n">
        <f>HYPERLINK("https://ppubs.uspto.gov/pubwebapp/external.html?q=20220008757.pn.","USPTO")</f>
        <v>0.0</v>
      </c>
      <c r="J1144" s="2" t="n">
        <f>HYPERLINK("https://image-ppubs.uspto.gov/dirsearch-public/print/downloadPdf/20220008757","USPTO PDF")</f>
        <v>0.0</v>
      </c>
      <c r="K1144" s="2" t="n">
        <f>HYPERLINK("https://sectors.patentforecast.com/pmd/US20220008757","PMD")</f>
        <v>0.0</v>
      </c>
      <c r="L1144" s="2" t="n">
        <f>HYPERLINK("https://globaldossier.uspto.gov/result/application/US/17369455/1","US20220008757")</f>
        <v>0.0</v>
      </c>
      <c r="M1144" t="s">
        <v>7884</v>
      </c>
      <c r="N1144" t="s">
        <v>7885</v>
      </c>
      <c r="O1144" t="s">
        <v>7885</v>
      </c>
      <c r="P1144" t="s">
        <v>7886</v>
      </c>
      <c r="Q1144" s="3" t="n">
        <v>44384.0</v>
      </c>
      <c r="R1144" s="3" t="n">
        <v>44574.0</v>
      </c>
      <c r="S1144" s="3" t="n">
        <v>44575.188915555555</v>
      </c>
      <c r="T1144" s="3" t="n">
        <v>44678.638378310185</v>
      </c>
      <c r="U1144" t="s">
        <v>7887</v>
      </c>
      <c r="V1144" t="s">
        <v>7888</v>
      </c>
    </row>
    <row r="1145">
      <c r="A1145" t="s">
        <v>22</v>
      </c>
      <c r="B1145" t="s">
        <v>7889</v>
      </c>
      <c r="C1145" t="s">
        <v>24</v>
      </c>
      <c r="D1145" t="s">
        <v>69</v>
      </c>
      <c r="E1145" t="s">
        <v>7890</v>
      </c>
      <c r="F1145" s="2" t="n">
        <f>HYPERLINK("https://patents.google.com/patent/US20220008756","Google")</f>
        <v>0.0</v>
      </c>
      <c r="G1145" s="2" t="n">
        <f>HYPERLINK("https://patentcenter.uspto.gov/applications/17334963","Patent Center")</f>
        <v>0.0</v>
      </c>
      <c r="H1145" s="2" t="n">
        <f>HYPERLINK("https://worldwide.espacenet.com/patent/search?q=US20220008756","Espacenet")</f>
        <v>0.0</v>
      </c>
      <c r="I1145" s="2" t="n">
        <f>HYPERLINK("https://ppubs.uspto.gov/pubwebapp/external.html?q=20220008756.pn.","USPTO")</f>
        <v>0.0</v>
      </c>
      <c r="J1145" s="2" t="n">
        <f>HYPERLINK("https://image-ppubs.uspto.gov/dirsearch-public/print/downloadPdf/20220008756","USPTO PDF")</f>
        <v>0.0</v>
      </c>
      <c r="K1145" s="2" t="n">
        <f>HYPERLINK("https://sectors.patentforecast.com/pmd/US20220008756","PMD")</f>
        <v>0.0</v>
      </c>
      <c r="L1145" s="2" t="n">
        <f>HYPERLINK("https://globaldossier.uspto.gov/result/application/US/17334963/1","US20220008756")</f>
        <v>0.0</v>
      </c>
      <c r="M1145" t="s">
        <v>7891</v>
      </c>
      <c r="N1145" t="s">
        <v>7892</v>
      </c>
      <c r="O1145" t="s">
        <v>7892</v>
      </c>
      <c r="P1145" t="s">
        <v>7893</v>
      </c>
      <c r="Q1145" s="3" t="n">
        <v>44347.0</v>
      </c>
      <c r="R1145" s="3" t="n">
        <v>44574.0</v>
      </c>
      <c r="S1145" s="3" t="n">
        <v>44575.188915555555</v>
      </c>
      <c r="T1145" s="3" t="n">
        <v>44678.557739675925</v>
      </c>
      <c r="U1145" t="s">
        <v>7894</v>
      </c>
      <c r="V1145" t="s">
        <v>7895</v>
      </c>
    </row>
    <row r="1146">
      <c r="A1146" t="s">
        <v>22</v>
      </c>
      <c r="B1146" t="s">
        <v>7896</v>
      </c>
      <c r="C1146" t="s">
        <v>24</v>
      </c>
      <c r="D1146" t="s">
        <v>69</v>
      </c>
      <c r="E1146" t="s">
        <v>7897</v>
      </c>
      <c r="F1146" s="2" t="n">
        <f>HYPERLINK("https://patents.google.com/patent/US20220008668","Google")</f>
        <v>0.0</v>
      </c>
      <c r="G1146" s="2" t="n">
        <f>HYPERLINK("https://patentcenter.uspto.gov/applications/17374026","Patent Center")</f>
        <v>0.0</v>
      </c>
      <c r="H1146" s="2" t="n">
        <f>HYPERLINK("https://worldwide.espacenet.com/patent/search?q=US20220008668","Espacenet")</f>
        <v>0.0</v>
      </c>
      <c r="I1146" s="2" t="n">
        <f>HYPERLINK("https://ppubs.uspto.gov/pubwebapp/external.html?q=20220008668.pn.","USPTO")</f>
        <v>0.0</v>
      </c>
      <c r="J1146" s="2" t="n">
        <f>HYPERLINK("https://image-ppubs.uspto.gov/dirsearch-public/print/downloadPdf/20220008668","USPTO PDF")</f>
        <v>0.0</v>
      </c>
      <c r="K1146" s="2" t="n">
        <f>HYPERLINK("https://sectors.patentforecast.com/pmd/US20220008668","PMD")</f>
        <v>0.0</v>
      </c>
      <c r="L1146" s="2" t="n">
        <f>HYPERLINK("https://globaldossier.uspto.gov/result/application/US/17374026/1","US20220008668")</f>
        <v>0.0</v>
      </c>
      <c r="M1146" t="s">
        <v>7898</v>
      </c>
      <c r="N1146" t="s">
        <v>7899</v>
      </c>
      <c r="O1146" t="s">
        <v>7900</v>
      </c>
      <c r="P1146" t="s">
        <v>7901</v>
      </c>
      <c r="Q1146" s="3" t="n">
        <v>44390.0</v>
      </c>
      <c r="R1146" s="3" t="n">
        <v>44574.0</v>
      </c>
      <c r="S1146" s="3" t="n">
        <v>44575.188915555555</v>
      </c>
      <c r="T1146" s="3" t="n">
        <v>44678.63169162037</v>
      </c>
      <c r="U1146" t="s">
        <v>7902</v>
      </c>
      <c r="V1146" t="s">
        <v>7903</v>
      </c>
    </row>
    <row r="1147">
      <c r="A1147" t="s">
        <v>22</v>
      </c>
      <c r="B1147" t="s">
        <v>7904</v>
      </c>
      <c r="C1147" t="s">
        <v>24</v>
      </c>
      <c r="D1147" t="s">
        <v>100</v>
      </c>
      <c r="E1147" t="s">
        <v>7905</v>
      </c>
      <c r="F1147" s="2" t="n">
        <f>HYPERLINK("https://patents.google.com/patent/US20220008606","Google")</f>
        <v>0.0</v>
      </c>
      <c r="G1147" s="2" t="n">
        <f>HYPERLINK("https://patentcenter.uspto.gov/applications/17366876","Patent Center")</f>
        <v>0.0</v>
      </c>
      <c r="H1147" s="2" t="n">
        <f>HYPERLINK("https://worldwide.espacenet.com/patent/search?q=US20220008606","Espacenet")</f>
        <v>0.0</v>
      </c>
      <c r="I1147" s="2" t="n">
        <f>HYPERLINK("https://ppubs.uspto.gov/pubwebapp/external.html?q=20220008606.pn.","USPTO")</f>
        <v>0.0</v>
      </c>
      <c r="J1147" s="2" t="n">
        <f>HYPERLINK("https://image-ppubs.uspto.gov/dirsearch-public/print/downloadPdf/20220008606","USPTO PDF")</f>
        <v>0.0</v>
      </c>
      <c r="K1147" s="2" t="n">
        <f>HYPERLINK("https://sectors.patentforecast.com/pmd/US20220008606","PMD")</f>
        <v>0.0</v>
      </c>
      <c r="L1147" s="2" t="n">
        <f>HYPERLINK("https://globaldossier.uspto.gov/result/application/US/17366876/1","US20220008606")</f>
        <v>0.0</v>
      </c>
      <c r="M1147" t="s">
        <v>7906</v>
      </c>
      <c r="N1147" t="s">
        <v>7907</v>
      </c>
      <c r="O1147" t="s">
        <v>7908</v>
      </c>
      <c r="P1147" t="s">
        <v>7909</v>
      </c>
      <c r="Q1147" s="3" t="n">
        <v>44379.0</v>
      </c>
      <c r="R1147" s="3" t="n">
        <v>44574.0</v>
      </c>
      <c r="S1147" s="3" t="n">
        <v>44575.188915555555</v>
      </c>
      <c r="T1147" s="3" t="n">
        <v>44678.57928900463</v>
      </c>
      <c r="U1147" t="s">
        <v>31</v>
      </c>
      <c r="V1147" t="s">
        <v>7910</v>
      </c>
    </row>
    <row r="1148">
      <c r="A1148" t="s">
        <v>22</v>
      </c>
      <c r="B1148" t="s">
        <v>7911</v>
      </c>
      <c r="C1148" t="s">
        <v>24</v>
      </c>
      <c r="D1148" t="s">
        <v>100</v>
      </c>
      <c r="E1148" t="s">
        <v>7912</v>
      </c>
      <c r="F1148" s="2" t="n">
        <f>HYPERLINK("https://patents.google.com/patent/US20220008598","Google")</f>
        <v>0.0</v>
      </c>
      <c r="G1148" s="2" t="n">
        <f>HYPERLINK("https://patentcenter.uspto.gov/applications/17124828","Patent Center")</f>
        <v>0.0</v>
      </c>
      <c r="H1148" s="2" t="n">
        <f>HYPERLINK("https://worldwide.espacenet.com/patent/search?q=US20220008598","Espacenet")</f>
        <v>0.0</v>
      </c>
      <c r="I1148" s="2" t="n">
        <f>HYPERLINK("https://ppubs.uspto.gov/pubwebapp/external.html?q=20220008598.pn.","USPTO")</f>
        <v>0.0</v>
      </c>
      <c r="J1148" s="2" t="n">
        <f>HYPERLINK("https://image-ppubs.uspto.gov/dirsearch-public/print/downloadPdf/20220008598","USPTO PDF")</f>
        <v>0.0</v>
      </c>
      <c r="K1148" s="2" t="n">
        <f>HYPERLINK("https://sectors.patentforecast.com/pmd/US20220008598","PMD")</f>
        <v>0.0</v>
      </c>
      <c r="L1148" s="2" t="n">
        <f>HYPERLINK("https://globaldossier.uspto.gov/result/application/US/17124828/1","US20220008598")</f>
        <v>0.0</v>
      </c>
      <c r="M1148" t="s">
        <v>7913</v>
      </c>
      <c r="N1148" t="s">
        <v>7914</v>
      </c>
      <c r="O1148" t="s">
        <v>7914</v>
      </c>
      <c r="P1148" t="s">
        <v>7915</v>
      </c>
      <c r="Q1148" s="3" t="n">
        <v>44182.0</v>
      </c>
      <c r="R1148" s="3" t="n">
        <v>44574.0</v>
      </c>
      <c r="S1148" s="3" t="n">
        <v>44575.18879846065</v>
      </c>
      <c r="T1148" s="3" t="n">
        <v>44678.57928900463</v>
      </c>
      <c r="U1148" t="s">
        <v>31</v>
      </c>
      <c r="V1148" t="s">
        <v>7916</v>
      </c>
    </row>
    <row r="1149">
      <c r="A1149" t="s">
        <v>22</v>
      </c>
      <c r="B1149" t="s">
        <v>7917</v>
      </c>
      <c r="C1149" t="s">
        <v>24</v>
      </c>
      <c r="D1149" t="s">
        <v>100</v>
      </c>
      <c r="E1149" t="s">
        <v>7918</v>
      </c>
      <c r="F1149" s="2" t="n">
        <f>HYPERLINK("https://patents.google.com/patent/US20220008596","Google")</f>
        <v>0.0</v>
      </c>
      <c r="G1149" s="2" t="n">
        <f>HYPERLINK("https://patentcenter.uspto.gov/applications/17240953","Patent Center")</f>
        <v>0.0</v>
      </c>
      <c r="H1149" s="2" t="n">
        <f>HYPERLINK("https://worldwide.espacenet.com/patent/search?q=US20220008596","Espacenet")</f>
        <v>0.0</v>
      </c>
      <c r="I1149" s="2" t="n">
        <f>HYPERLINK("https://ppubs.uspto.gov/pubwebapp/external.html?q=20220008596.pn.","USPTO")</f>
        <v>0.0</v>
      </c>
      <c r="J1149" s="2" t="n">
        <f>HYPERLINK("https://image-ppubs.uspto.gov/dirsearch-public/print/downloadPdf/20220008596","USPTO PDF")</f>
        <v>0.0</v>
      </c>
      <c r="K1149" s="2" t="n">
        <f>HYPERLINK("https://sectors.patentforecast.com/pmd/US20220008596","PMD")</f>
        <v>0.0</v>
      </c>
      <c r="L1149" s="2" t="n">
        <f>HYPERLINK("https://globaldossier.uspto.gov/result/application/US/17240953/1","US20220008596")</f>
        <v>0.0</v>
      </c>
      <c r="M1149" t="s">
        <v>7919</v>
      </c>
      <c r="N1149" t="s">
        <v>7920</v>
      </c>
      <c r="O1149" t="s">
        <v>7921</v>
      </c>
      <c r="P1149" t="s">
        <v>7922</v>
      </c>
      <c r="Q1149" s="3" t="n">
        <v>44312.0</v>
      </c>
      <c r="R1149" s="3" t="n">
        <v>44574.0</v>
      </c>
      <c r="S1149" s="3" t="n">
        <v>44575.18879846065</v>
      </c>
      <c r="T1149" s="3" t="n">
        <v>44757.74826634259</v>
      </c>
      <c r="U1149" t="s">
        <v>7923</v>
      </c>
      <c r="V1149" t="s">
        <v>7924</v>
      </c>
    </row>
    <row r="1150">
      <c r="A1150" t="s">
        <v>22</v>
      </c>
      <c r="B1150" t="s">
        <v>7925</v>
      </c>
      <c r="C1150" t="s">
        <v>24</v>
      </c>
      <c r="D1150" t="s">
        <v>100</v>
      </c>
      <c r="E1150" t="s">
        <v>7926</v>
      </c>
      <c r="F1150" s="2" t="n">
        <f>HYPERLINK("https://patents.google.com/patent/US20220008594","Google")</f>
        <v>0.0</v>
      </c>
      <c r="G1150" s="2" t="n">
        <f>HYPERLINK("https://patentcenter.uspto.gov/applications/17380468","Patent Center")</f>
        <v>0.0</v>
      </c>
      <c r="H1150" s="2" t="n">
        <f>HYPERLINK("https://worldwide.espacenet.com/patent/search?q=US20220008594","Espacenet")</f>
        <v>0.0</v>
      </c>
      <c r="I1150" s="2" t="n">
        <f>HYPERLINK("https://ppubs.uspto.gov/pubwebapp/external.html?q=20220008594.pn.","USPTO")</f>
        <v>0.0</v>
      </c>
      <c r="J1150" s="2" t="n">
        <f>HYPERLINK("https://image-ppubs.uspto.gov/dirsearch-public/print/downloadPdf/20220008594","USPTO PDF")</f>
        <v>0.0</v>
      </c>
      <c r="K1150" s="2" t="n">
        <f>HYPERLINK("https://sectors.patentforecast.com/pmd/US20220008594","PMD")</f>
        <v>0.0</v>
      </c>
      <c r="L1150" s="2" t="n">
        <f>HYPERLINK("https://globaldossier.uspto.gov/result/application/US/17380468/1","US20220008594")</f>
        <v>0.0</v>
      </c>
      <c r="M1150" t="s">
        <v>7927</v>
      </c>
      <c r="N1150" t="s">
        <v>7928</v>
      </c>
      <c r="O1150" t="s">
        <v>7929</v>
      </c>
      <c r="P1150" t="s">
        <v>7930</v>
      </c>
      <c r="Q1150" s="3" t="n">
        <v>44397.0</v>
      </c>
      <c r="R1150" s="3" t="n">
        <v>44574.0</v>
      </c>
      <c r="S1150" s="3" t="n">
        <v>44643.24316675926</v>
      </c>
      <c r="T1150" s="3" t="n">
        <v>44658.59053835648</v>
      </c>
      <c r="U1150" t="s">
        <v>31</v>
      </c>
      <c r="V1150" t="s">
        <v>7931</v>
      </c>
    </row>
    <row r="1151">
      <c r="A1151" t="s">
        <v>22</v>
      </c>
      <c r="B1151" t="s">
        <v>7932</v>
      </c>
      <c r="C1151" t="s">
        <v>60</v>
      </c>
      <c r="D1151" t="s">
        <v>715</v>
      </c>
      <c r="E1151" t="s">
        <v>7933</v>
      </c>
      <c r="F1151" s="2" t="n">
        <f>HYPERLINK("https://patents.google.com/patent/US20220008585","Google")</f>
        <v>0.0</v>
      </c>
      <c r="G1151" s="2" t="n">
        <f>HYPERLINK("https://patentcenter.uspto.gov/applications/17016348","Patent Center")</f>
        <v>0.0</v>
      </c>
      <c r="H1151" s="2" t="n">
        <f>HYPERLINK("https://worldwide.espacenet.com/patent/search?q=US20220008585","Espacenet")</f>
        <v>0.0</v>
      </c>
      <c r="I1151" s="2" t="n">
        <f>HYPERLINK("https://ppubs.uspto.gov/pubwebapp/external.html?q=20220008585.pn.","USPTO")</f>
        <v>0.0</v>
      </c>
      <c r="J1151" s="2" t="n">
        <f>HYPERLINK("https://image-ppubs.uspto.gov/dirsearch-public/print/downloadPdf/20220008585","USPTO PDF")</f>
        <v>0.0</v>
      </c>
      <c r="K1151" s="2" t="n">
        <f>HYPERLINK("https://sectors.patentforecast.com/pmd/US20220008585","PMD")</f>
        <v>0.0</v>
      </c>
      <c r="L1151" s="2" t="n">
        <f>HYPERLINK("https://globaldossier.uspto.gov/result/application/US/17016348/1","US20220008585")</f>
        <v>0.0</v>
      </c>
      <c r="M1151" t="s">
        <v>7934</v>
      </c>
      <c r="N1151" t="s">
        <v>7935</v>
      </c>
      <c r="O1151" t="s">
        <v>7936</v>
      </c>
      <c r="P1151" t="s">
        <v>7937</v>
      </c>
      <c r="Q1151" s="3" t="n">
        <v>44083.0</v>
      </c>
      <c r="R1151" s="3" t="n">
        <v>44574.0</v>
      </c>
      <c r="S1151" s="3" t="n">
        <v>44575.18879846065</v>
      </c>
      <c r="T1151" s="3" t="n">
        <v>44678.54759974537</v>
      </c>
      <c r="U1151" t="s">
        <v>7938</v>
      </c>
      <c r="V1151" t="s">
        <v>7939</v>
      </c>
    </row>
    <row r="1152">
      <c r="A1152" t="s">
        <v>22</v>
      </c>
      <c r="B1152" t="s">
        <v>7940</v>
      </c>
      <c r="C1152" t="s">
        <v>24</v>
      </c>
      <c r="D1152" t="s">
        <v>100</v>
      </c>
      <c r="E1152" t="s">
        <v>7941</v>
      </c>
      <c r="F1152" s="2" t="n">
        <f>HYPERLINK("https://patents.google.com/patent/US20220008579","Google")</f>
        <v>0.0</v>
      </c>
      <c r="G1152" s="2" t="n">
        <f>HYPERLINK("https://patentcenter.uspto.gov/applications/17339304","Patent Center")</f>
        <v>0.0</v>
      </c>
      <c r="H1152" s="2" t="n">
        <f>HYPERLINK("https://worldwide.espacenet.com/patent/search?q=US20220008579","Espacenet")</f>
        <v>0.0</v>
      </c>
      <c r="I1152" s="2" t="n">
        <f>HYPERLINK("https://ppubs.uspto.gov/pubwebapp/external.html?q=20220008579.pn.","USPTO")</f>
        <v>0.0</v>
      </c>
      <c r="J1152" s="2" t="n">
        <f>HYPERLINK("https://image-ppubs.uspto.gov/dirsearch-public/print/downloadPdf/20220008579","USPTO PDF")</f>
        <v>0.0</v>
      </c>
      <c r="K1152" s="2" t="n">
        <f>HYPERLINK("https://sectors.patentforecast.com/pmd/US20220008579","PMD")</f>
        <v>0.0</v>
      </c>
      <c r="L1152" s="2" t="n">
        <f>HYPERLINK("https://globaldossier.uspto.gov/result/application/US/17339304/1","US20220008579")</f>
        <v>0.0</v>
      </c>
      <c r="M1152" t="s">
        <v>7942</v>
      </c>
      <c r="N1152" t="s">
        <v>7943</v>
      </c>
      <c r="O1152" t="s">
        <v>7944</v>
      </c>
      <c r="P1152" t="s">
        <v>7945</v>
      </c>
      <c r="Q1152" s="3" t="n">
        <v>44351.0</v>
      </c>
      <c r="R1152" s="3" t="n">
        <v>44574.0</v>
      </c>
      <c r="S1152" s="3" t="n">
        <v>44643.24316675926</v>
      </c>
      <c r="T1152" s="3" t="n">
        <v>44658.62137291667</v>
      </c>
      <c r="U1152" t="s">
        <v>31</v>
      </c>
      <c r="V1152" t="s">
        <v>7946</v>
      </c>
    </row>
    <row r="1153">
      <c r="A1153" t="s">
        <v>22</v>
      </c>
      <c r="B1153" t="s">
        <v>7947</v>
      </c>
      <c r="C1153" t="s">
        <v>24</v>
      </c>
      <c r="D1153" t="s">
        <v>100</v>
      </c>
      <c r="E1153" t="s">
        <v>7948</v>
      </c>
      <c r="F1153" s="2" t="n">
        <f>HYPERLINK("https://patents.google.com/patent/US20220008572","Google")</f>
        <v>0.0</v>
      </c>
      <c r="G1153" s="2" t="n">
        <f>HYPERLINK("https://patentcenter.uspto.gov/applications/17319951","Patent Center")</f>
        <v>0.0</v>
      </c>
      <c r="H1153" s="2" t="n">
        <f>HYPERLINK("https://worldwide.espacenet.com/patent/search?q=US20220008572","Espacenet")</f>
        <v>0.0</v>
      </c>
      <c r="I1153" s="2" t="n">
        <f>HYPERLINK("https://ppubs.uspto.gov/pubwebapp/external.html?q=20220008572.pn.","USPTO")</f>
        <v>0.0</v>
      </c>
      <c r="J1153" s="2" t="n">
        <f>HYPERLINK("https://image-ppubs.uspto.gov/dirsearch-public/print/downloadPdf/20220008572","USPTO PDF")</f>
        <v>0.0</v>
      </c>
      <c r="K1153" s="2" t="n">
        <f>HYPERLINK("https://sectors.patentforecast.com/pmd/US20220008572","PMD")</f>
        <v>0.0</v>
      </c>
      <c r="L1153" s="2" t="n">
        <f>HYPERLINK("https://globaldossier.uspto.gov/result/application/US/17319951/1","US20220008572")</f>
        <v>0.0</v>
      </c>
      <c r="M1153" t="s">
        <v>7949</v>
      </c>
      <c r="N1153" t="s">
        <v>7950</v>
      </c>
      <c r="O1153" t="s">
        <v>7951</v>
      </c>
      <c r="P1153" t="s">
        <v>7952</v>
      </c>
      <c r="Q1153" s="3" t="n">
        <v>44329.0</v>
      </c>
      <c r="R1153" s="3" t="n">
        <v>44574.0</v>
      </c>
      <c r="S1153" s="3" t="n">
        <v>44575.18879846065</v>
      </c>
      <c r="T1153" s="3" t="n">
        <v>44678.61040414352</v>
      </c>
      <c r="U1153" t="s">
        <v>31</v>
      </c>
      <c r="V1153" t="s">
        <v>7953</v>
      </c>
    </row>
    <row r="1154">
      <c r="A1154" t="s">
        <v>22</v>
      </c>
      <c r="B1154" t="s">
        <v>7954</v>
      </c>
      <c r="C1154" t="s">
        <v>132</v>
      </c>
      <c r="D1154" t="s">
        <v>133</v>
      </c>
      <c r="E1154" t="s">
        <v>7955</v>
      </c>
      <c r="F1154" s="2" t="n">
        <f>HYPERLINK("https://patents.google.com/patent/US20220008531","Google")</f>
        <v>0.0</v>
      </c>
      <c r="G1154" s="2" t="n">
        <f>HYPERLINK("https://patentcenter.uspto.gov/applications/17484648","Patent Center")</f>
        <v>0.0</v>
      </c>
      <c r="H1154" s="2" t="n">
        <f>HYPERLINK("https://worldwide.espacenet.com/patent/search?q=US20220008531","Espacenet")</f>
        <v>0.0</v>
      </c>
      <c r="I1154" s="2" t="n">
        <f>HYPERLINK("https://ppubs.uspto.gov/pubwebapp/external.html?q=20220008531.pn.","USPTO")</f>
        <v>0.0</v>
      </c>
      <c r="J1154" s="2" t="n">
        <f>HYPERLINK("https://image-ppubs.uspto.gov/dirsearch-public/print/downloadPdf/20220008531","USPTO PDF")</f>
        <v>0.0</v>
      </c>
      <c r="K1154" s="2" t="n">
        <f>HYPERLINK("https://sectors.patentforecast.com/pmd/US20220008531","PMD")</f>
        <v>0.0</v>
      </c>
      <c r="L1154" s="2" t="n">
        <f>HYPERLINK("https://globaldossier.uspto.gov/result/application/US/17484648/1","US20220008531")</f>
        <v>0.0</v>
      </c>
      <c r="M1154" t="s">
        <v>7956</v>
      </c>
      <c r="N1154" t="s">
        <v>5964</v>
      </c>
      <c r="O1154" t="s">
        <v>5964</v>
      </c>
      <c r="P1154" t="s">
        <v>5965</v>
      </c>
      <c r="Q1154" s="3" t="n">
        <v>44463.0</v>
      </c>
      <c r="R1154" s="3" t="n">
        <v>44574.0</v>
      </c>
      <c r="S1154" s="3" t="n">
        <v>44587.19201756945</v>
      </c>
      <c r="T1154" s="3" t="n">
        <v>44678.339170266205</v>
      </c>
      <c r="U1154" t="s">
        <v>7957</v>
      </c>
      <c r="V1154" t="s">
        <v>5967</v>
      </c>
    </row>
    <row r="1155">
      <c r="A1155" t="s">
        <v>22</v>
      </c>
      <c r="B1155" t="s">
        <v>7958</v>
      </c>
      <c r="C1155" t="s">
        <v>132</v>
      </c>
      <c r="D1155" t="s">
        <v>133</v>
      </c>
      <c r="E1155" t="s">
        <v>7959</v>
      </c>
      <c r="F1155" s="2" t="n">
        <f>HYPERLINK("https://patents.google.com/patent/US20220008530","Google")</f>
        <v>0.0</v>
      </c>
      <c r="G1155" s="2" t="n">
        <f>HYPERLINK("https://patentcenter.uspto.gov/applications/17484557","Patent Center")</f>
        <v>0.0</v>
      </c>
      <c r="H1155" s="2" t="n">
        <f>HYPERLINK("https://worldwide.espacenet.com/patent/search?q=US20220008530","Espacenet")</f>
        <v>0.0</v>
      </c>
      <c r="I1155" s="2" t="n">
        <f>HYPERLINK("https://ppubs.uspto.gov/pubwebapp/external.html?q=20220008530.pn.","USPTO")</f>
        <v>0.0</v>
      </c>
      <c r="J1155" s="2" t="n">
        <f>HYPERLINK("https://image-ppubs.uspto.gov/dirsearch-public/print/downloadPdf/20220008530","USPTO PDF")</f>
        <v>0.0</v>
      </c>
      <c r="K1155" s="2" t="n">
        <f>HYPERLINK("https://sectors.patentforecast.com/pmd/US20220008530","PMD")</f>
        <v>0.0</v>
      </c>
      <c r="L1155" s="2" t="n">
        <f>HYPERLINK("https://globaldossier.uspto.gov/result/application/US/17484557/1","US20220008530")</f>
        <v>0.0</v>
      </c>
      <c r="M1155" t="s">
        <v>7960</v>
      </c>
      <c r="N1155" t="s">
        <v>5964</v>
      </c>
      <c r="O1155" t="s">
        <v>5964</v>
      </c>
      <c r="P1155" t="s">
        <v>5965</v>
      </c>
      <c r="Q1155" s="3" t="n">
        <v>44463.0</v>
      </c>
      <c r="R1155" s="3" t="n">
        <v>44574.0</v>
      </c>
      <c r="S1155" s="3" t="n">
        <v>44587.19201756945</v>
      </c>
      <c r="T1155" s="3" t="n">
        <v>44678.339220856484</v>
      </c>
      <c r="U1155" t="s">
        <v>31</v>
      </c>
      <c r="V1155" t="s">
        <v>5967</v>
      </c>
    </row>
    <row r="1156">
      <c r="A1156" t="s">
        <v>22</v>
      </c>
      <c r="B1156" t="s">
        <v>7961</v>
      </c>
      <c r="C1156" t="s">
        <v>60</v>
      </c>
      <c r="D1156" t="s">
        <v>61</v>
      </c>
      <c r="E1156" t="s">
        <v>7962</v>
      </c>
      <c r="F1156" s="2" t="n">
        <f>HYPERLINK("https://patents.google.com/patent/US20220008519","Google")</f>
        <v>0.0</v>
      </c>
      <c r="G1156" s="2" t="n">
        <f>HYPERLINK("https://patentcenter.uspto.gov/applications/17073685","Patent Center")</f>
        <v>0.0</v>
      </c>
      <c r="H1156" s="2" t="n">
        <f>HYPERLINK("https://worldwide.espacenet.com/patent/search?q=US20220008519","Espacenet")</f>
        <v>0.0</v>
      </c>
      <c r="I1156" s="2" t="n">
        <f>HYPERLINK("https://ppubs.uspto.gov/pubwebapp/external.html?q=20220008519.pn.","USPTO")</f>
        <v>0.0</v>
      </c>
      <c r="J1156" s="2" t="n">
        <f>HYPERLINK("https://image-ppubs.uspto.gov/dirsearch-public/print/downloadPdf/20220008519","USPTO PDF")</f>
        <v>0.0</v>
      </c>
      <c r="K1156" s="2" t="n">
        <f>HYPERLINK("https://sectors.patentforecast.com/pmd/US20220008519","PMD")</f>
        <v>0.0</v>
      </c>
      <c r="L1156" s="2" t="n">
        <f>HYPERLINK("https://globaldossier.uspto.gov/result/application/US/17073685/1","US20220008519")</f>
        <v>0.0</v>
      </c>
      <c r="M1156" t="s">
        <v>7963</v>
      </c>
      <c r="N1156" t="s">
        <v>7964</v>
      </c>
      <c r="O1156" t="s">
        <v>7965</v>
      </c>
      <c r="P1156" t="s">
        <v>7966</v>
      </c>
      <c r="Q1156" s="3" t="n">
        <v>44123.0</v>
      </c>
      <c r="R1156" s="3" t="n">
        <v>44574.0</v>
      </c>
      <c r="S1156" s="3" t="n">
        <v>44575.18879846065</v>
      </c>
      <c r="T1156" s="3" t="n">
        <v>44638.69162164352</v>
      </c>
      <c r="U1156" t="s">
        <v>7967</v>
      </c>
      <c r="V1156" t="s">
        <v>7968</v>
      </c>
    </row>
    <row r="1157">
      <c r="A1157" t="s">
        <v>22</v>
      </c>
      <c r="B1157" t="s">
        <v>7969</v>
      </c>
      <c r="C1157" t="s">
        <v>60</v>
      </c>
      <c r="D1157" t="s">
        <v>61</v>
      </c>
      <c r="E1157" t="s">
        <v>7970</v>
      </c>
      <c r="F1157" s="2" t="n">
        <f>HYPERLINK("https://patents.google.com/patent/US20220008517","Google")</f>
        <v>0.0</v>
      </c>
      <c r="G1157" s="2" t="n">
        <f>HYPERLINK("https://patentcenter.uspto.gov/applications/17482144","Patent Center")</f>
        <v>0.0</v>
      </c>
      <c r="H1157" s="2" t="n">
        <f>HYPERLINK("https://worldwide.espacenet.com/patent/search?q=US20220008517","Espacenet")</f>
        <v>0.0</v>
      </c>
      <c r="I1157" s="2" t="n">
        <f>HYPERLINK("https://ppubs.uspto.gov/pubwebapp/external.html?q=20220008517.pn.","USPTO")</f>
        <v>0.0</v>
      </c>
      <c r="J1157" s="2" t="n">
        <f>HYPERLINK("https://image-ppubs.uspto.gov/dirsearch-public/print/downloadPdf/20220008517","USPTO PDF")</f>
        <v>0.0</v>
      </c>
      <c r="K1157" s="2" t="n">
        <f>HYPERLINK("https://sectors.patentforecast.com/pmd/US20220008517","PMD")</f>
        <v>0.0</v>
      </c>
      <c r="L1157" s="2" t="n">
        <f>HYPERLINK("https://globaldossier.uspto.gov/result/application/US/17482144/1","US20220008517")</f>
        <v>0.0</v>
      </c>
      <c r="M1157" t="s">
        <v>7971</v>
      </c>
      <c r="N1157" t="s">
        <v>7972</v>
      </c>
      <c r="O1157" t="s">
        <v>7973</v>
      </c>
      <c r="P1157" t="s">
        <v>7974</v>
      </c>
      <c r="Q1157" s="3" t="n">
        <v>44461.0</v>
      </c>
      <c r="R1157" s="3" t="n">
        <v>44574.0</v>
      </c>
      <c r="S1157" s="3" t="n">
        <v>44575.18879846065</v>
      </c>
      <c r="T1157" s="3" t="n">
        <v>44757.74843918982</v>
      </c>
      <c r="U1157" t="s">
        <v>7975</v>
      </c>
      <c r="V1157" t="s">
        <v>7976</v>
      </c>
    </row>
    <row r="1158">
      <c r="A1158" t="s">
        <v>22</v>
      </c>
      <c r="B1158" t="s">
        <v>7977</v>
      </c>
      <c r="C1158" t="s">
        <v>60</v>
      </c>
      <c r="D1158" t="s">
        <v>61</v>
      </c>
      <c r="E1158" t="s">
        <v>7978</v>
      </c>
      <c r="F1158" s="2" t="n">
        <f>HYPERLINK("https://patents.google.com/patent/US20220008507","Google")</f>
        <v>0.0</v>
      </c>
      <c r="G1158" s="2" t="n">
        <f>HYPERLINK("https://patentcenter.uspto.gov/applications/17487099","Patent Center")</f>
        <v>0.0</v>
      </c>
      <c r="H1158" s="2" t="n">
        <f>HYPERLINK("https://worldwide.espacenet.com/patent/search?q=US20220008507","Espacenet")</f>
        <v>0.0</v>
      </c>
      <c r="I1158" s="2" t="n">
        <f>HYPERLINK("https://ppubs.uspto.gov/pubwebapp/external.html?q=20220008507.pn.","USPTO")</f>
        <v>0.0</v>
      </c>
      <c r="J1158" s="2" t="n">
        <f>HYPERLINK("https://image-ppubs.uspto.gov/dirsearch-public/print/downloadPdf/20220008507","USPTO PDF")</f>
        <v>0.0</v>
      </c>
      <c r="K1158" s="2" t="n">
        <f>HYPERLINK("https://sectors.patentforecast.com/pmd/US20220008507","PMD")</f>
        <v>0.0</v>
      </c>
      <c r="L1158" s="2" t="n">
        <f>HYPERLINK("https://globaldossier.uspto.gov/result/application/US/17487099/1","US20220008507")</f>
        <v>0.0</v>
      </c>
      <c r="M1158" t="s">
        <v>7979</v>
      </c>
      <c r="N1158" t="s">
        <v>7980</v>
      </c>
      <c r="O1158" t="s">
        <v>7980</v>
      </c>
      <c r="P1158" t="s">
        <v>7981</v>
      </c>
      <c r="Q1158" s="3" t="n">
        <v>44467.0</v>
      </c>
      <c r="R1158" s="3" t="n">
        <v>44574.0</v>
      </c>
      <c r="S1158" s="3" t="n">
        <v>44575.18879846065</v>
      </c>
      <c r="T1158" s="3" t="n">
        <v>44678.54520756944</v>
      </c>
      <c r="U1158" t="s">
        <v>31</v>
      </c>
      <c r="V1158" t="s">
        <v>7982</v>
      </c>
    </row>
    <row r="1159">
      <c r="A1159" t="s">
        <v>22</v>
      </c>
      <c r="B1159" t="s">
        <v>7983</v>
      </c>
      <c r="C1159" t="s">
        <v>60</v>
      </c>
      <c r="D1159" t="s">
        <v>61</v>
      </c>
      <c r="E1159" t="s">
        <v>7984</v>
      </c>
      <c r="F1159" s="2" t="n">
        <f>HYPERLINK("https://patents.google.com/patent/US20220008488","Google")</f>
        <v>0.0</v>
      </c>
      <c r="G1159" s="2" t="n">
        <f>HYPERLINK("https://patentcenter.uspto.gov/applications/17240433","Patent Center")</f>
        <v>0.0</v>
      </c>
      <c r="H1159" s="2" t="n">
        <f>HYPERLINK("https://worldwide.espacenet.com/patent/search?q=US20220008488","Espacenet")</f>
        <v>0.0</v>
      </c>
      <c r="I1159" s="2" t="n">
        <f>HYPERLINK("https://ppubs.uspto.gov/pubwebapp/external.html?q=20220008488.pn.","USPTO")</f>
        <v>0.0</v>
      </c>
      <c r="J1159" s="2" t="n">
        <f>HYPERLINK("https://image-ppubs.uspto.gov/dirsearch-public/print/downloadPdf/20220008488","USPTO PDF")</f>
        <v>0.0</v>
      </c>
      <c r="K1159" s="2" t="n">
        <f>HYPERLINK("https://sectors.patentforecast.com/pmd/US20220008488","PMD")</f>
        <v>0.0</v>
      </c>
      <c r="L1159" s="2" t="n">
        <f>HYPERLINK("https://globaldossier.uspto.gov/result/application/US/17240433/1","US20220008488")</f>
        <v>0.0</v>
      </c>
      <c r="M1159" t="s">
        <v>7985</v>
      </c>
      <c r="N1159" t="s">
        <v>7986</v>
      </c>
      <c r="O1159" t="s">
        <v>7986</v>
      </c>
      <c r="P1159" t="s">
        <v>7987</v>
      </c>
      <c r="Q1159" s="3" t="n">
        <v>44312.0</v>
      </c>
      <c r="R1159" s="3" t="n">
        <v>44574.0</v>
      </c>
      <c r="S1159" s="3" t="n">
        <v>44575.18879846065</v>
      </c>
      <c r="T1159" s="3" t="n">
        <v>44638.69210298611</v>
      </c>
      <c r="U1159" t="s">
        <v>7988</v>
      </c>
      <c r="V1159" t="s">
        <v>7989</v>
      </c>
    </row>
    <row r="1160">
      <c r="A1160" t="s">
        <v>22</v>
      </c>
      <c r="B1160" t="s">
        <v>7990</v>
      </c>
      <c r="C1160" t="s">
        <v>60</v>
      </c>
      <c r="D1160" t="s">
        <v>2262</v>
      </c>
      <c r="E1160" t="s">
        <v>7991</v>
      </c>
      <c r="F1160" s="2" t="n">
        <f>HYPERLINK("https://patents.google.com/patent/US20220008438","Google")</f>
        <v>0.0</v>
      </c>
      <c r="G1160" s="2" t="n">
        <f>HYPERLINK("https://patentcenter.uspto.gov/applications/17370768","Patent Center")</f>
        <v>0.0</v>
      </c>
      <c r="H1160" s="2" t="n">
        <f>HYPERLINK("https://worldwide.espacenet.com/patent/search?q=US20220008438","Espacenet")</f>
        <v>0.0</v>
      </c>
      <c r="I1160" s="2" t="n">
        <f>HYPERLINK("https://ppubs.uspto.gov/pubwebapp/external.html?q=20220008438.pn.","USPTO")</f>
        <v>0.0</v>
      </c>
      <c r="J1160" s="2" t="n">
        <f>HYPERLINK("https://image-ppubs.uspto.gov/dirsearch-public/print/downloadPdf/20220008438","USPTO PDF")</f>
        <v>0.0</v>
      </c>
      <c r="K1160" s="2" t="n">
        <f>HYPERLINK("https://sectors.patentforecast.com/pmd/US20220008438","PMD")</f>
        <v>0.0</v>
      </c>
      <c r="L1160" s="2" t="n">
        <f>HYPERLINK("https://globaldossier.uspto.gov/result/application/US/17370768/1","US20220008438")</f>
        <v>0.0</v>
      </c>
      <c r="M1160" t="s">
        <v>7992</v>
      </c>
      <c r="N1160" t="s">
        <v>7993</v>
      </c>
      <c r="O1160" t="s">
        <v>7993</v>
      </c>
      <c r="P1160" t="s">
        <v>7994</v>
      </c>
      <c r="Q1160" s="3" t="n">
        <v>44385.0</v>
      </c>
      <c r="R1160" s="3" t="n">
        <v>44574.0</v>
      </c>
      <c r="S1160" s="3" t="n">
        <v>44575.18775377315</v>
      </c>
      <c r="T1160" s="3" t="n">
        <v>44678.48959869213</v>
      </c>
      <c r="U1160" t="s">
        <v>31</v>
      </c>
      <c r="V1160" t="s">
        <v>7995</v>
      </c>
    </row>
    <row r="1161">
      <c r="A1161" t="s">
        <v>22</v>
      </c>
      <c r="B1161" t="s">
        <v>7996</v>
      </c>
      <c r="C1161" t="s">
        <v>60</v>
      </c>
      <c r="D1161" t="s">
        <v>61</v>
      </c>
      <c r="E1161" t="s">
        <v>7997</v>
      </c>
      <c r="F1161" s="2" t="n">
        <f>HYPERLINK("https://patents.google.com/patent/US20220008404","Google")</f>
        <v>0.0</v>
      </c>
      <c r="G1161" s="2" t="n">
        <f>HYPERLINK("https://patentcenter.uspto.gov/applications/17372129","Patent Center")</f>
        <v>0.0</v>
      </c>
      <c r="H1161" s="2" t="n">
        <f>HYPERLINK("https://worldwide.espacenet.com/patent/search?q=US20220008404","Espacenet")</f>
        <v>0.0</v>
      </c>
      <c r="I1161" s="2" t="n">
        <f>HYPERLINK("https://ppubs.uspto.gov/pubwebapp/external.html?q=20220008404.pn.","USPTO")</f>
        <v>0.0</v>
      </c>
      <c r="J1161" s="2" t="n">
        <f>HYPERLINK("https://image-ppubs.uspto.gov/dirsearch-public/print/downloadPdf/20220008404","USPTO PDF")</f>
        <v>0.0</v>
      </c>
      <c r="K1161" s="2" t="n">
        <f>HYPERLINK("https://sectors.patentforecast.com/pmd/US20220008404","PMD")</f>
        <v>0.0</v>
      </c>
      <c r="L1161" s="2" t="n">
        <f>HYPERLINK("https://globaldossier.uspto.gov/result/application/US/17372129/1","US20220008404")</f>
        <v>0.0</v>
      </c>
      <c r="M1161" t="s">
        <v>7998</v>
      </c>
      <c r="N1161" t="s">
        <v>7999</v>
      </c>
      <c r="O1161" t="s">
        <v>7999</v>
      </c>
      <c r="P1161" t="s">
        <v>8000</v>
      </c>
      <c r="Q1161" s="3" t="n">
        <v>44386.0</v>
      </c>
      <c r="R1161" s="3" t="n">
        <v>44574.0</v>
      </c>
      <c r="S1161" s="3" t="n">
        <v>44575.18879846065</v>
      </c>
      <c r="T1161" s="3" t="n">
        <v>44638.691786180556</v>
      </c>
      <c r="U1161" t="s">
        <v>8001</v>
      </c>
      <c r="V1161" t="s">
        <v>8002</v>
      </c>
    </row>
    <row r="1162">
      <c r="A1162" t="s">
        <v>22</v>
      </c>
      <c r="B1162" t="s">
        <v>8003</v>
      </c>
      <c r="C1162" t="s">
        <v>60</v>
      </c>
      <c r="D1162" t="s">
        <v>61</v>
      </c>
      <c r="E1162" t="s">
        <v>8004</v>
      </c>
      <c r="F1162" s="2" t="n">
        <f>HYPERLINK("https://patents.google.com/patent/US20220008380","Google")</f>
        <v>0.0</v>
      </c>
      <c r="G1162" s="2" t="n">
        <f>HYPERLINK("https://patentcenter.uspto.gov/applications/17368911","Patent Center")</f>
        <v>0.0</v>
      </c>
      <c r="H1162" s="2" t="n">
        <f>HYPERLINK("https://worldwide.espacenet.com/patent/search?q=US20220008380","Espacenet")</f>
        <v>0.0</v>
      </c>
      <c r="I1162" s="2" t="n">
        <f>HYPERLINK("https://ppubs.uspto.gov/pubwebapp/external.html?q=20220008380.pn.","USPTO")</f>
        <v>0.0</v>
      </c>
      <c r="J1162" s="2" t="n">
        <f>HYPERLINK("https://image-ppubs.uspto.gov/dirsearch-public/print/downloadPdf/20220008380","USPTO PDF")</f>
        <v>0.0</v>
      </c>
      <c r="K1162" s="2" t="n">
        <f>HYPERLINK("https://sectors.patentforecast.com/pmd/US20220008380","PMD")</f>
        <v>0.0</v>
      </c>
      <c r="L1162" s="2" t="n">
        <f>HYPERLINK("https://globaldossier.uspto.gov/result/application/US/17368911/1","US20220008380")</f>
        <v>0.0</v>
      </c>
      <c r="M1162" t="s">
        <v>8005</v>
      </c>
      <c r="N1162" t="s">
        <v>979</v>
      </c>
      <c r="O1162" t="s">
        <v>980</v>
      </c>
      <c r="P1162" t="s">
        <v>8006</v>
      </c>
      <c r="Q1162" s="3" t="n">
        <v>44384.0</v>
      </c>
      <c r="R1162" s="3" t="n">
        <v>44574.0</v>
      </c>
      <c r="S1162" s="3" t="n">
        <v>44575.18879846065</v>
      </c>
      <c r="T1162" s="3" t="n">
        <v>44678.546647511575</v>
      </c>
      <c r="U1162" t="s">
        <v>31</v>
      </c>
      <c r="V1162" t="s">
        <v>8007</v>
      </c>
    </row>
    <row r="1163">
      <c r="A1163" t="s">
        <v>22</v>
      </c>
      <c r="B1163" t="s">
        <v>8008</v>
      </c>
      <c r="C1163" t="s">
        <v>60</v>
      </c>
      <c r="D1163" t="s">
        <v>61</v>
      </c>
      <c r="E1163" t="s">
        <v>8009</v>
      </c>
      <c r="F1163" s="2" t="n">
        <f>HYPERLINK("https://patents.google.com/patent/US20220008373","Google")</f>
        <v>0.0</v>
      </c>
      <c r="G1163" s="2" t="n">
        <f>HYPERLINK("https://patentcenter.uspto.gov/applications/17372158","Patent Center")</f>
        <v>0.0</v>
      </c>
      <c r="H1163" s="2" t="n">
        <f>HYPERLINK("https://worldwide.espacenet.com/patent/search?q=US20220008373","Espacenet")</f>
        <v>0.0</v>
      </c>
      <c r="I1163" s="2" t="n">
        <f>HYPERLINK("https://ppubs.uspto.gov/pubwebapp/external.html?q=20220008373.pn.","USPTO")</f>
        <v>0.0</v>
      </c>
      <c r="J1163" s="2" t="n">
        <f>HYPERLINK("https://image-ppubs.uspto.gov/dirsearch-public/print/downloadPdf/20220008373","USPTO PDF")</f>
        <v>0.0</v>
      </c>
      <c r="K1163" s="2" t="n">
        <f>HYPERLINK("https://sectors.patentforecast.com/pmd/US20220008373","PMD")</f>
        <v>0.0</v>
      </c>
      <c r="L1163" s="2" t="n">
        <f>HYPERLINK("https://globaldossier.uspto.gov/result/application/US/17372158/1","US20220008373")</f>
        <v>0.0</v>
      </c>
      <c r="M1163" t="s">
        <v>8010</v>
      </c>
      <c r="N1163" t="s">
        <v>8011</v>
      </c>
      <c r="O1163" t="s">
        <v>8012</v>
      </c>
      <c r="P1163" t="s">
        <v>8013</v>
      </c>
      <c r="Q1163" s="3" t="n">
        <v>44386.0</v>
      </c>
      <c r="R1163" s="3" t="n">
        <v>44574.0</v>
      </c>
      <c r="S1163" s="3" t="n">
        <v>44575.18879846065</v>
      </c>
      <c r="T1163" s="3" t="n">
        <v>44638.70903012731</v>
      </c>
      <c r="U1163" t="s">
        <v>31</v>
      </c>
      <c r="V1163" t="s">
        <v>8014</v>
      </c>
    </row>
    <row r="1164">
      <c r="A1164" t="s">
        <v>22</v>
      </c>
      <c r="B1164" t="s">
        <v>8015</v>
      </c>
      <c r="C1164" t="s">
        <v>60</v>
      </c>
      <c r="D1164" t="s">
        <v>715</v>
      </c>
      <c r="E1164" t="s">
        <v>8016</v>
      </c>
      <c r="F1164" s="2" t="n">
        <f>HYPERLINK("https://patents.google.com/patent/US20220008276","Google")</f>
        <v>0.0</v>
      </c>
      <c r="G1164" s="2" t="n">
        <f>HYPERLINK("https://patentcenter.uspto.gov/applications/17369803","Patent Center")</f>
        <v>0.0</v>
      </c>
      <c r="H1164" s="2" t="n">
        <f>HYPERLINK("https://worldwide.espacenet.com/patent/search?q=US20220008276","Espacenet")</f>
        <v>0.0</v>
      </c>
      <c r="I1164" s="2" t="n">
        <f>HYPERLINK("https://ppubs.uspto.gov/pubwebapp/external.html?q=20220008276.pn.","USPTO")</f>
        <v>0.0</v>
      </c>
      <c r="J1164" s="2" t="n">
        <f>HYPERLINK("https://image-ppubs.uspto.gov/dirsearch-public/print/downloadPdf/20220008276","USPTO PDF")</f>
        <v>0.0</v>
      </c>
      <c r="K1164" s="2" t="n">
        <f>HYPERLINK("https://sectors.patentforecast.com/pmd/US20220008276","PMD")</f>
        <v>0.0</v>
      </c>
      <c r="L1164" s="2" t="n">
        <f>HYPERLINK("https://globaldossier.uspto.gov/result/application/US/17369803/1","US20220008276")</f>
        <v>0.0</v>
      </c>
      <c r="M1164" t="s">
        <v>8017</v>
      </c>
      <c r="N1164" t="s">
        <v>8018</v>
      </c>
      <c r="O1164" t="s">
        <v>8019</v>
      </c>
      <c r="P1164" t="s">
        <v>8020</v>
      </c>
      <c r="Q1164" s="3" t="n">
        <v>44384.0</v>
      </c>
      <c r="R1164" s="3" t="n">
        <v>44574.0</v>
      </c>
      <c r="S1164" s="3" t="n">
        <v>44575.18879846065</v>
      </c>
      <c r="T1164" s="3" t="n">
        <v>44678.5441955787</v>
      </c>
      <c r="U1164" t="s">
        <v>8021</v>
      </c>
      <c r="V1164" t="s">
        <v>8022</v>
      </c>
    </row>
    <row r="1165">
      <c r="A1165" t="s">
        <v>22</v>
      </c>
      <c r="B1165" t="s">
        <v>8023</v>
      </c>
      <c r="C1165" t="s">
        <v>24</v>
      </c>
      <c r="D1165" t="s">
        <v>69</v>
      </c>
      <c r="E1165" t="s">
        <v>8024</v>
      </c>
      <c r="F1165" s="2" t="n">
        <f>HYPERLINK("https://patents.google.com/patent/US20220007775","Google")</f>
        <v>0.0</v>
      </c>
      <c r="G1165" s="2" t="n">
        <f>HYPERLINK("https://patentcenter.uspto.gov/applications/17245968","Patent Center")</f>
        <v>0.0</v>
      </c>
      <c r="H1165" s="2" t="n">
        <f>HYPERLINK("https://worldwide.espacenet.com/patent/search?q=US20220007775","Espacenet")</f>
        <v>0.0</v>
      </c>
      <c r="I1165" s="2" t="n">
        <f>HYPERLINK("https://ppubs.uspto.gov/pubwebapp/external.html?q=20220007775.pn.","USPTO")</f>
        <v>0.0</v>
      </c>
      <c r="J1165" s="2" t="n">
        <f>HYPERLINK("https://image-ppubs.uspto.gov/dirsearch-public/print/downloadPdf/20220007775","USPTO PDF")</f>
        <v>0.0</v>
      </c>
      <c r="K1165" s="2" t="n">
        <f>HYPERLINK("https://sectors.patentforecast.com/pmd/US20220007775","PMD")</f>
        <v>0.0</v>
      </c>
      <c r="L1165" s="2" t="n">
        <f>HYPERLINK("https://globaldossier.uspto.gov/result/application/US/17245968/1","US20220007775")</f>
        <v>0.0</v>
      </c>
      <c r="M1165" t="s">
        <v>8025</v>
      </c>
      <c r="N1165" t="s">
        <v>8026</v>
      </c>
      <c r="O1165" t="s">
        <v>8026</v>
      </c>
      <c r="P1165" t="s">
        <v>8027</v>
      </c>
      <c r="Q1165" s="3" t="n">
        <v>44316.0</v>
      </c>
      <c r="R1165" s="3" t="n">
        <v>44574.0</v>
      </c>
      <c r="S1165" s="3" t="n">
        <v>44575.18879846065</v>
      </c>
      <c r="T1165" s="3" t="n">
        <v>44678.489052164354</v>
      </c>
      <c r="U1165" t="s">
        <v>8028</v>
      </c>
      <c r="V1165" t="s">
        <v>8029</v>
      </c>
    </row>
    <row r="1166">
      <c r="A1166" t="s">
        <v>22</v>
      </c>
      <c r="B1166" t="s">
        <v>8030</v>
      </c>
      <c r="C1166" t="s">
        <v>24</v>
      </c>
      <c r="D1166" t="s">
        <v>69</v>
      </c>
      <c r="E1166" t="s">
        <v>8031</v>
      </c>
      <c r="F1166" s="2" t="n">
        <f>HYPERLINK("https://patents.google.com/patent/US20220007764","Google")</f>
        <v>0.0</v>
      </c>
      <c r="G1166" s="2" t="n">
        <f>HYPERLINK("https://patentcenter.uspto.gov/applications/17374165","Patent Center")</f>
        <v>0.0</v>
      </c>
      <c r="H1166" s="2" t="n">
        <f>HYPERLINK("https://worldwide.espacenet.com/patent/search?q=US20220007764","Espacenet")</f>
        <v>0.0</v>
      </c>
      <c r="I1166" s="2" t="n">
        <f>HYPERLINK("https://ppubs.uspto.gov/pubwebapp/external.html?q=20220007764.pn.","USPTO")</f>
        <v>0.0</v>
      </c>
      <c r="J1166" s="2" t="n">
        <f>HYPERLINK("https://image-ppubs.uspto.gov/dirsearch-public/print/downloadPdf/20220007764","USPTO PDF")</f>
        <v>0.0</v>
      </c>
      <c r="K1166" s="2" t="n">
        <f>HYPERLINK("https://sectors.patentforecast.com/pmd/US20220007764","PMD")</f>
        <v>0.0</v>
      </c>
      <c r="L1166" s="2" t="n">
        <f>HYPERLINK("https://globaldossier.uspto.gov/result/application/US/17374165/1","US20220007764")</f>
        <v>0.0</v>
      </c>
      <c r="M1166" t="s">
        <v>8032</v>
      </c>
      <c r="N1166" t="s">
        <v>8033</v>
      </c>
      <c r="O1166" t="s">
        <v>8034</v>
      </c>
      <c r="P1166" t="s">
        <v>8035</v>
      </c>
      <c r="Q1166" s="3" t="n">
        <v>44390.0</v>
      </c>
      <c r="R1166" s="3" t="n">
        <v>44574.0</v>
      </c>
      <c r="S1166" s="3" t="n">
        <v>44575.18879846065</v>
      </c>
      <c r="T1166" s="3" t="n">
        <v>44678.63980457176</v>
      </c>
      <c r="U1166" t="s">
        <v>8036</v>
      </c>
      <c r="V1166" t="s">
        <v>8037</v>
      </c>
    </row>
    <row r="1167">
      <c r="A1167" t="s">
        <v>22</v>
      </c>
      <c r="B1167" t="s">
        <v>8038</v>
      </c>
      <c r="C1167" t="s">
        <v>24</v>
      </c>
      <c r="D1167" t="s">
        <v>69</v>
      </c>
      <c r="E1167" t="s">
        <v>8039</v>
      </c>
      <c r="F1167" s="2" t="n">
        <f>HYPERLINK("https://patents.google.com/patent/US20220007763","Google")</f>
        <v>0.0</v>
      </c>
      <c r="G1167" s="2" t="n">
        <f>HYPERLINK("https://patentcenter.uspto.gov/applications/17369283","Patent Center")</f>
        <v>0.0</v>
      </c>
      <c r="H1167" s="2" t="n">
        <f>HYPERLINK("https://worldwide.espacenet.com/patent/search?q=US20220007763","Espacenet")</f>
        <v>0.0</v>
      </c>
      <c r="I1167" s="2" t="n">
        <f>HYPERLINK("https://ppubs.uspto.gov/pubwebapp/external.html?q=20220007763.pn.","USPTO")</f>
        <v>0.0</v>
      </c>
      <c r="J1167" s="2" t="n">
        <f>HYPERLINK("https://image-ppubs.uspto.gov/dirsearch-public/print/downloadPdf/20220007763","USPTO PDF")</f>
        <v>0.0</v>
      </c>
      <c r="K1167" s="2" t="n">
        <f>HYPERLINK("https://sectors.patentforecast.com/pmd/US20220007763","PMD")</f>
        <v>0.0</v>
      </c>
      <c r="L1167" s="2" t="n">
        <f>HYPERLINK("https://globaldossier.uspto.gov/result/application/US/17369283/1","US20220007763")</f>
        <v>0.0</v>
      </c>
      <c r="M1167" t="s">
        <v>8040</v>
      </c>
      <c r="N1167" t="s">
        <v>1656</v>
      </c>
      <c r="O1167" t="s">
        <v>1657</v>
      </c>
      <c r="P1167" t="s">
        <v>8041</v>
      </c>
      <c r="Q1167" s="3" t="n">
        <v>44384.0</v>
      </c>
      <c r="R1167" s="3" t="n">
        <v>44574.0</v>
      </c>
      <c r="S1167" s="3" t="n">
        <v>44575.18879846065</v>
      </c>
      <c r="T1167" s="3" t="n">
        <v>44678.6453484375</v>
      </c>
      <c r="U1167" t="s">
        <v>8042</v>
      </c>
      <c r="V1167" t="s">
        <v>8043</v>
      </c>
    </row>
    <row r="1168">
      <c r="A1168" t="s">
        <v>22</v>
      </c>
      <c r="B1168" t="s">
        <v>8044</v>
      </c>
      <c r="C1168" t="s">
        <v>24</v>
      </c>
      <c r="D1168" t="s">
        <v>69</v>
      </c>
      <c r="E1168" t="s">
        <v>8045</v>
      </c>
      <c r="F1168" s="2" t="n">
        <f>HYPERLINK("https://patents.google.com/patent/US20220007762","Google")</f>
        <v>0.0</v>
      </c>
      <c r="G1168" s="2" t="n">
        <f>HYPERLINK("https://patentcenter.uspto.gov/applications/16926667","Patent Center")</f>
        <v>0.0</v>
      </c>
      <c r="H1168" s="2" t="n">
        <f>HYPERLINK("https://worldwide.espacenet.com/patent/search?q=US20220007762","Espacenet")</f>
        <v>0.0</v>
      </c>
      <c r="I1168" s="2" t="n">
        <f>HYPERLINK("https://ppubs.uspto.gov/pubwebapp/external.html?q=20220007762.pn.","USPTO")</f>
        <v>0.0</v>
      </c>
      <c r="J1168" s="2" t="n">
        <f>HYPERLINK("https://image-ppubs.uspto.gov/dirsearch-public/print/downloadPdf/20220007762","USPTO PDF")</f>
        <v>0.0</v>
      </c>
      <c r="K1168" s="2" t="n">
        <f>HYPERLINK("https://sectors.patentforecast.com/pmd/US20220007762","PMD")</f>
        <v>0.0</v>
      </c>
      <c r="L1168" s="2" t="n">
        <f>HYPERLINK("https://globaldossier.uspto.gov/result/application/US/16926667/1","US20220007762")</f>
        <v>0.0</v>
      </c>
      <c r="M1168" t="s">
        <v>8046</v>
      </c>
      <c r="N1168" t="s">
        <v>8047</v>
      </c>
      <c r="O1168" t="s">
        <v>8047</v>
      </c>
      <c r="P1168" t="s">
        <v>8048</v>
      </c>
      <c r="Q1168" s="3" t="n">
        <v>44023.0</v>
      </c>
      <c r="R1168" s="3" t="n">
        <v>44574.0</v>
      </c>
      <c r="S1168" s="3" t="n">
        <v>44575.18879846065</v>
      </c>
      <c r="T1168" s="3" t="n">
        <v>44757.74920849537</v>
      </c>
      <c r="U1168" t="s">
        <v>31</v>
      </c>
      <c r="V1168" t="s">
        <v>8049</v>
      </c>
    </row>
    <row r="1169">
      <c r="A1169" t="s">
        <v>22</v>
      </c>
      <c r="B1169" t="s">
        <v>8050</v>
      </c>
      <c r="C1169" t="s">
        <v>24</v>
      </c>
      <c r="D1169" t="s">
        <v>69</v>
      </c>
      <c r="E1169" t="s">
        <v>1405</v>
      </c>
      <c r="F1169" s="2" t="n">
        <f>HYPERLINK("https://patents.google.com/patent/US20220007759","Google")</f>
        <v>0.0</v>
      </c>
      <c r="G1169" s="2" t="n">
        <f>HYPERLINK("https://patentcenter.uspto.gov/applications/17061107","Patent Center")</f>
        <v>0.0</v>
      </c>
      <c r="H1169" s="2" t="n">
        <f>HYPERLINK("https://worldwide.espacenet.com/patent/search?q=US20220007759","Espacenet")</f>
        <v>0.0</v>
      </c>
      <c r="I1169" s="2" t="n">
        <f>HYPERLINK("https://ppubs.uspto.gov/pubwebapp/external.html?q=20220007759.pn.","USPTO")</f>
        <v>0.0</v>
      </c>
      <c r="J1169" s="2" t="n">
        <f>HYPERLINK("https://image-ppubs.uspto.gov/dirsearch-public/print/downloadPdf/20220007759","USPTO PDF")</f>
        <v>0.0</v>
      </c>
      <c r="K1169" s="2" t="n">
        <f>HYPERLINK("https://sectors.patentforecast.com/pmd/US20220007759","PMD")</f>
        <v>0.0</v>
      </c>
      <c r="L1169" s="2" t="n">
        <f>HYPERLINK("https://globaldossier.uspto.gov/result/application/US/17061107/1","US20220007759")</f>
        <v>0.0</v>
      </c>
      <c r="M1169" t="s">
        <v>8051</v>
      </c>
      <c r="N1169" t="s">
        <v>8052</v>
      </c>
      <c r="O1169" t="s">
        <v>8053</v>
      </c>
      <c r="P1169" t="s">
        <v>1408</v>
      </c>
      <c r="Q1169" s="3" t="n">
        <v>44105.0</v>
      </c>
      <c r="R1169" s="3" t="n">
        <v>44574.0</v>
      </c>
      <c r="S1169" s="3" t="n">
        <v>44575.18879846065</v>
      </c>
      <c r="T1169" s="3" t="n">
        <v>44757.74934861111</v>
      </c>
      <c r="U1169" t="s">
        <v>31</v>
      </c>
      <c r="V1169" t="s">
        <v>1410</v>
      </c>
    </row>
    <row r="1170">
      <c r="A1170" t="s">
        <v>22</v>
      </c>
      <c r="B1170" t="s">
        <v>8054</v>
      </c>
      <c r="C1170" t="s">
        <v>24</v>
      </c>
      <c r="D1170" t="s">
        <v>25</v>
      </c>
      <c r="E1170" t="s">
        <v>8055</v>
      </c>
      <c r="F1170" s="2" t="n">
        <f>HYPERLINK("https://patents.google.com/patent/US20220006813","Google")</f>
        <v>0.0</v>
      </c>
      <c r="G1170" s="2" t="n">
        <f>HYPERLINK("https://patentcenter.uspto.gov/applications/17478021","Patent Center")</f>
        <v>0.0</v>
      </c>
      <c r="H1170" s="2" t="n">
        <f>HYPERLINK("https://worldwide.espacenet.com/patent/search?q=US20220006813","Espacenet")</f>
        <v>0.0</v>
      </c>
      <c r="I1170" s="2" t="n">
        <f>HYPERLINK("https://ppubs.uspto.gov/pubwebapp/external.html?q=20220006813.pn.","USPTO")</f>
        <v>0.0</v>
      </c>
      <c r="J1170" s="2" t="n">
        <f>HYPERLINK("https://image-ppubs.uspto.gov/dirsearch-public/print/downloadPdf/20220006813","USPTO PDF")</f>
        <v>0.0</v>
      </c>
      <c r="K1170" s="2" t="n">
        <f>HYPERLINK("https://sectors.patentforecast.com/pmd/US20220006813","PMD")</f>
        <v>0.0</v>
      </c>
      <c r="L1170" s="2" t="n">
        <f>HYPERLINK("https://globaldossier.uspto.gov/result/application/US/17478021/1","US20220006813")</f>
        <v>0.0</v>
      </c>
      <c r="M1170" t="s">
        <v>8056</v>
      </c>
      <c r="N1170" t="s">
        <v>8057</v>
      </c>
      <c r="O1170" t="s">
        <v>8058</v>
      </c>
      <c r="P1170" t="s">
        <v>8059</v>
      </c>
      <c r="Q1170" s="3" t="n">
        <v>44456.0</v>
      </c>
      <c r="R1170" s="3" t="n">
        <v>44567.0</v>
      </c>
      <c r="S1170" s="3" t="n">
        <v>44643.24119975694</v>
      </c>
      <c r="T1170" s="3" t="n">
        <v>44719.60315034722</v>
      </c>
      <c r="U1170" t="s">
        <v>8060</v>
      </c>
      <c r="V1170" t="s">
        <v>8061</v>
      </c>
    </row>
    <row r="1171">
      <c r="A1171" t="s">
        <v>22</v>
      </c>
      <c r="B1171" t="s">
        <v>8062</v>
      </c>
      <c r="C1171" t="s">
        <v>24</v>
      </c>
      <c r="D1171" t="s">
        <v>69</v>
      </c>
      <c r="E1171" t="s">
        <v>4644</v>
      </c>
      <c r="F1171" s="2" t="n">
        <f>HYPERLINK("https://patents.google.com/patent/US20220005298","Google")</f>
        <v>0.0</v>
      </c>
      <c r="G1171" s="2" t="n">
        <f>HYPERLINK("https://patentcenter.uspto.gov/applications/16929296","Patent Center")</f>
        <v>0.0</v>
      </c>
      <c r="H1171" s="2" t="n">
        <f>HYPERLINK("https://worldwide.espacenet.com/patent/search?q=US20220005298","Espacenet")</f>
        <v>0.0</v>
      </c>
      <c r="I1171" s="2" t="n">
        <f>HYPERLINK("https://ppubs.uspto.gov/pubwebapp/external.html?q=20220005298.pn.","USPTO")</f>
        <v>0.0</v>
      </c>
      <c r="J1171" s="2" t="n">
        <f>HYPERLINK("https://image-ppubs.uspto.gov/dirsearch-public/print/downloadPdf/20220005298","USPTO PDF")</f>
        <v>0.0</v>
      </c>
      <c r="K1171" s="2" t="n">
        <f>HYPERLINK("https://sectors.patentforecast.com/pmd/US20220005298","PMD")</f>
        <v>0.0</v>
      </c>
      <c r="L1171" s="2" t="n">
        <f>HYPERLINK("https://globaldossier.uspto.gov/result/application/US/16929296/1","US20220005298")</f>
        <v>0.0</v>
      </c>
      <c r="M1171" t="s">
        <v>8063</v>
      </c>
      <c r="N1171" t="s">
        <v>4646</v>
      </c>
      <c r="O1171" t="s">
        <v>4647</v>
      </c>
      <c r="P1171" t="s">
        <v>4648</v>
      </c>
      <c r="Q1171" s="3" t="n">
        <v>44027.0</v>
      </c>
      <c r="R1171" s="3" t="n">
        <v>44567.0</v>
      </c>
      <c r="S1171" s="3" t="n">
        <v>44568.18887421296</v>
      </c>
      <c r="T1171" s="3" t="n">
        <v>44757.749626157405</v>
      </c>
      <c r="U1171" t="s">
        <v>4649</v>
      </c>
      <c r="V1171" t="s">
        <v>4650</v>
      </c>
    </row>
    <row r="1172">
      <c r="A1172" t="s">
        <v>22</v>
      </c>
      <c r="B1172" t="s">
        <v>8064</v>
      </c>
      <c r="C1172" t="s">
        <v>24</v>
      </c>
      <c r="D1172" t="s">
        <v>34</v>
      </c>
      <c r="E1172" t="s">
        <v>8065</v>
      </c>
      <c r="F1172" s="2" t="n">
        <f>HYPERLINK("https://patents.google.com/patent/US20220003766","Google")</f>
        <v>0.0</v>
      </c>
      <c r="G1172" s="2" t="n">
        <f>HYPERLINK("https://patentcenter.uspto.gov/applications/17246360","Patent Center")</f>
        <v>0.0</v>
      </c>
      <c r="H1172" s="2" t="n">
        <f>HYPERLINK("https://worldwide.espacenet.com/patent/search?q=US20220003766","Espacenet")</f>
        <v>0.0</v>
      </c>
      <c r="I1172" s="2" t="n">
        <f>HYPERLINK("https://ppubs.uspto.gov/pubwebapp/external.html?q=20220003766.pn.","USPTO")</f>
        <v>0.0</v>
      </c>
      <c r="J1172" s="2" t="n">
        <f>HYPERLINK("https://image-ppubs.uspto.gov/dirsearch-public/print/downloadPdf/20220003766","USPTO PDF")</f>
        <v>0.0</v>
      </c>
      <c r="K1172" s="2" t="n">
        <f>HYPERLINK("https://sectors.patentforecast.com/pmd/US20220003766","PMD")</f>
        <v>0.0</v>
      </c>
      <c r="L1172" s="2" t="n">
        <f>HYPERLINK("https://globaldossier.uspto.gov/result/application/US/17246360/1","US20220003766")</f>
        <v>0.0</v>
      </c>
      <c r="M1172" t="s">
        <v>8066</v>
      </c>
      <c r="N1172" t="s">
        <v>8067</v>
      </c>
      <c r="O1172" t="s">
        <v>8068</v>
      </c>
      <c r="P1172" t="s">
        <v>8069</v>
      </c>
      <c r="Q1172" s="3" t="n">
        <v>44316.0</v>
      </c>
      <c r="R1172" s="3" t="n">
        <v>44567.0</v>
      </c>
      <c r="S1172" s="3" t="n">
        <v>44568.18887421296</v>
      </c>
      <c r="T1172" s="3" t="n">
        <v>44638.707515462964</v>
      </c>
      <c r="U1172" t="s">
        <v>8070</v>
      </c>
      <c r="V1172" t="s">
        <v>8071</v>
      </c>
    </row>
    <row r="1173">
      <c r="A1173" t="s">
        <v>22</v>
      </c>
      <c r="B1173" t="s">
        <v>8072</v>
      </c>
      <c r="C1173" t="s">
        <v>24</v>
      </c>
      <c r="D1173" t="s">
        <v>25</v>
      </c>
      <c r="E1173" t="s">
        <v>8073</v>
      </c>
      <c r="F1173" s="2" t="n">
        <f>HYPERLINK("https://patents.google.com/patent/US20220003670","Google")</f>
        <v>0.0</v>
      </c>
      <c r="G1173" s="2" t="n">
        <f>HYPERLINK("https://patentcenter.uspto.gov/applications/17447998","Patent Center")</f>
        <v>0.0</v>
      </c>
      <c r="H1173" s="2" t="n">
        <f>HYPERLINK("https://worldwide.espacenet.com/patent/search?q=US20220003670","Espacenet")</f>
        <v>0.0</v>
      </c>
      <c r="I1173" s="2" t="n">
        <f>HYPERLINK("https://ppubs.uspto.gov/pubwebapp/external.html?q=20220003670.pn.","USPTO")</f>
        <v>0.0</v>
      </c>
      <c r="J1173" s="2" t="n">
        <f>HYPERLINK("https://image-ppubs.uspto.gov/dirsearch-public/print/downloadPdf/20220003670","USPTO PDF")</f>
        <v>0.0</v>
      </c>
      <c r="K1173" s="2" t="n">
        <f>HYPERLINK("https://sectors.patentforecast.com/pmd/US20220003670","PMD")</f>
        <v>0.0</v>
      </c>
      <c r="L1173" s="2" t="n">
        <f>HYPERLINK("https://globaldossier.uspto.gov/result/application/US/17447998/1","US20220003670")</f>
        <v>0.0</v>
      </c>
      <c r="M1173" t="s">
        <v>8074</v>
      </c>
      <c r="N1173" t="s">
        <v>2232</v>
      </c>
      <c r="O1173" t="s">
        <v>2232</v>
      </c>
      <c r="P1173" t="s">
        <v>8075</v>
      </c>
      <c r="Q1173" s="3" t="n">
        <v>44456.0</v>
      </c>
      <c r="R1173" s="3" t="n">
        <v>44567.0</v>
      </c>
      <c r="S1173" s="3" t="n">
        <v>44568.188874155094</v>
      </c>
      <c r="T1173" s="3" t="n">
        <v>44678.36698733796</v>
      </c>
      <c r="U1173" t="s">
        <v>31</v>
      </c>
      <c r="V1173" t="s">
        <v>8076</v>
      </c>
    </row>
    <row r="1174">
      <c r="A1174" t="s">
        <v>22</v>
      </c>
      <c r="B1174" t="s">
        <v>8077</v>
      </c>
      <c r="C1174" t="s">
        <v>24</v>
      </c>
      <c r="D1174" t="s">
        <v>25</v>
      </c>
      <c r="E1174" t="s">
        <v>8073</v>
      </c>
      <c r="F1174" s="2" t="n">
        <f>HYPERLINK("https://patents.google.com/patent/US20220003669","Google")</f>
        <v>0.0</v>
      </c>
      <c r="G1174" s="2" t="n">
        <f>HYPERLINK("https://patentcenter.uspto.gov/applications/17447996","Patent Center")</f>
        <v>0.0</v>
      </c>
      <c r="H1174" s="2" t="n">
        <f>HYPERLINK("https://worldwide.espacenet.com/patent/search?q=US20220003669","Espacenet")</f>
        <v>0.0</v>
      </c>
      <c r="I1174" s="2" t="n">
        <f>HYPERLINK("https://ppubs.uspto.gov/pubwebapp/external.html?q=20220003669.pn.","USPTO")</f>
        <v>0.0</v>
      </c>
      <c r="J1174" s="2" t="n">
        <f>HYPERLINK("https://image-ppubs.uspto.gov/dirsearch-public/print/downloadPdf/20220003669","USPTO PDF")</f>
        <v>0.0</v>
      </c>
      <c r="K1174" s="2" t="n">
        <f>HYPERLINK("https://sectors.patentforecast.com/pmd/US20220003669","PMD")</f>
        <v>0.0</v>
      </c>
      <c r="L1174" s="2" t="n">
        <f>HYPERLINK("https://globaldossier.uspto.gov/result/application/US/17447996/1","US20220003669")</f>
        <v>0.0</v>
      </c>
      <c r="M1174" t="s">
        <v>8078</v>
      </c>
      <c r="N1174" t="s">
        <v>2232</v>
      </c>
      <c r="O1174" t="s">
        <v>2232</v>
      </c>
      <c r="P1174" t="s">
        <v>8079</v>
      </c>
      <c r="Q1174" s="3" t="n">
        <v>44456.0</v>
      </c>
      <c r="R1174" s="3" t="n">
        <v>44567.0</v>
      </c>
      <c r="S1174" s="3" t="n">
        <v>44568.18887414352</v>
      </c>
      <c r="T1174" s="3" t="n">
        <v>44678.3669925</v>
      </c>
      <c r="U1174" t="s">
        <v>8080</v>
      </c>
      <c r="V1174" t="s">
        <v>8076</v>
      </c>
    </row>
    <row r="1175">
      <c r="A1175" t="s">
        <v>22</v>
      </c>
      <c r="B1175" t="s">
        <v>8081</v>
      </c>
      <c r="C1175" t="s">
        <v>24</v>
      </c>
      <c r="D1175" t="s">
        <v>25</v>
      </c>
      <c r="E1175" t="s">
        <v>8073</v>
      </c>
      <c r="F1175" s="2" t="n">
        <f>HYPERLINK("https://patents.google.com/patent/US20220003668","Google")</f>
        <v>0.0</v>
      </c>
      <c r="G1175" s="2" t="n">
        <f>HYPERLINK("https://patentcenter.uspto.gov/applications/17447995","Patent Center")</f>
        <v>0.0</v>
      </c>
      <c r="H1175" s="2" t="n">
        <f>HYPERLINK("https://worldwide.espacenet.com/patent/search?q=US20220003668","Espacenet")</f>
        <v>0.0</v>
      </c>
      <c r="I1175" s="2" t="n">
        <f>HYPERLINK("https://ppubs.uspto.gov/pubwebapp/external.html?q=20220003668.pn.","USPTO")</f>
        <v>0.0</v>
      </c>
      <c r="J1175" s="2" t="n">
        <f>HYPERLINK("https://image-ppubs.uspto.gov/dirsearch-public/print/downloadPdf/20220003668","USPTO PDF")</f>
        <v>0.0</v>
      </c>
      <c r="K1175" s="2" t="n">
        <f>HYPERLINK("https://sectors.patentforecast.com/pmd/US20220003668","PMD")</f>
        <v>0.0</v>
      </c>
      <c r="L1175" s="2" t="n">
        <f>HYPERLINK("https://globaldossier.uspto.gov/result/application/US/17447995/1","US20220003668")</f>
        <v>0.0</v>
      </c>
      <c r="M1175" t="s">
        <v>8082</v>
      </c>
      <c r="N1175" t="s">
        <v>2232</v>
      </c>
      <c r="O1175" t="s">
        <v>2232</v>
      </c>
      <c r="P1175" t="s">
        <v>8079</v>
      </c>
      <c r="Q1175" s="3" t="n">
        <v>44456.0</v>
      </c>
      <c r="R1175" s="3" t="n">
        <v>44567.0</v>
      </c>
      <c r="S1175" s="3" t="n">
        <v>44568.18887420139</v>
      </c>
      <c r="T1175" s="3" t="n">
        <v>44678.36699879629</v>
      </c>
      <c r="U1175" t="s">
        <v>31</v>
      </c>
      <c r="V1175" t="s">
        <v>8083</v>
      </c>
    </row>
    <row r="1176">
      <c r="A1176" t="s">
        <v>22</v>
      </c>
      <c r="B1176" t="s">
        <v>8084</v>
      </c>
      <c r="C1176" t="s">
        <v>24</v>
      </c>
      <c r="D1176" t="s">
        <v>25</v>
      </c>
      <c r="E1176" t="s">
        <v>8073</v>
      </c>
      <c r="F1176" s="2" t="n">
        <f>HYPERLINK("https://patents.google.com/patent/US20220003667","Google")</f>
        <v>0.0</v>
      </c>
      <c r="G1176" s="2" t="n">
        <f>HYPERLINK("https://patentcenter.uspto.gov/applications/17447994","Patent Center")</f>
        <v>0.0</v>
      </c>
      <c r="H1176" s="2" t="n">
        <f>HYPERLINK("https://worldwide.espacenet.com/patent/search?q=US20220003667","Espacenet")</f>
        <v>0.0</v>
      </c>
      <c r="I1176" s="2" t="n">
        <f>HYPERLINK("https://ppubs.uspto.gov/pubwebapp/external.html?q=20220003667.pn.","USPTO")</f>
        <v>0.0</v>
      </c>
      <c r="J1176" s="2" t="n">
        <f>HYPERLINK("https://image-ppubs.uspto.gov/dirsearch-public/print/downloadPdf/20220003667","USPTO PDF")</f>
        <v>0.0</v>
      </c>
      <c r="K1176" s="2" t="n">
        <f>HYPERLINK("https://sectors.patentforecast.com/pmd/US20220003667","PMD")</f>
        <v>0.0</v>
      </c>
      <c r="L1176" s="2" t="n">
        <f>HYPERLINK("https://globaldossier.uspto.gov/result/application/US/17447994/1","US20220003667")</f>
        <v>0.0</v>
      </c>
      <c r="M1176" t="s">
        <v>8085</v>
      </c>
      <c r="N1176" t="s">
        <v>2232</v>
      </c>
      <c r="O1176" t="s">
        <v>2232</v>
      </c>
      <c r="P1176" t="s">
        <v>8086</v>
      </c>
      <c r="Q1176" s="3" t="n">
        <v>44456.0</v>
      </c>
      <c r="R1176" s="3" t="n">
        <v>44567.0</v>
      </c>
      <c r="S1176" s="3" t="n">
        <v>44568.18887414352</v>
      </c>
      <c r="T1176" s="3" t="n">
        <v>44678.367005486114</v>
      </c>
      <c r="U1176" t="s">
        <v>31</v>
      </c>
      <c r="V1176" t="s">
        <v>8083</v>
      </c>
    </row>
    <row r="1177">
      <c r="A1177" t="s">
        <v>22</v>
      </c>
      <c r="B1177" t="s">
        <v>8087</v>
      </c>
      <c r="C1177" t="s">
        <v>24</v>
      </c>
      <c r="D1177" t="s">
        <v>51</v>
      </c>
      <c r="E1177" t="s">
        <v>8088</v>
      </c>
      <c r="F1177" s="2" t="n">
        <f>HYPERLINK("https://patents.google.com/patent/US20220002823","Google")</f>
        <v>0.0</v>
      </c>
      <c r="G1177" s="2" t="n">
        <f>HYPERLINK("https://patentcenter.uspto.gov/applications/17466906","Patent Center")</f>
        <v>0.0</v>
      </c>
      <c r="H1177" s="2" t="n">
        <f>HYPERLINK("https://worldwide.espacenet.com/patent/search?q=US20220002823","Espacenet")</f>
        <v>0.0</v>
      </c>
      <c r="I1177" s="2" t="n">
        <f>HYPERLINK("https://ppubs.uspto.gov/pubwebapp/external.html?q=20220002823.pn.","USPTO")</f>
        <v>0.0</v>
      </c>
      <c r="J1177" s="2" t="n">
        <f>HYPERLINK("https://image-ppubs.uspto.gov/dirsearch-public/print/downloadPdf/20220002823","USPTO PDF")</f>
        <v>0.0</v>
      </c>
      <c r="K1177" s="2" t="n">
        <f>HYPERLINK("https://sectors.patentforecast.com/pmd/US20220002823","PMD")</f>
        <v>0.0</v>
      </c>
      <c r="L1177" s="2" t="n">
        <f>HYPERLINK("https://globaldossier.uspto.gov/result/application/US/17466906/1","US20220002823")</f>
        <v>0.0</v>
      </c>
      <c r="M1177" t="s">
        <v>8089</v>
      </c>
      <c r="N1177" t="s">
        <v>8090</v>
      </c>
      <c r="O1177" t="s">
        <v>8091</v>
      </c>
      <c r="P1177" t="s">
        <v>8092</v>
      </c>
      <c r="Q1177" s="3" t="n">
        <v>44442.0</v>
      </c>
      <c r="R1177" s="3" t="n">
        <v>44567.0</v>
      </c>
      <c r="S1177" s="3" t="n">
        <v>44568.18887416667</v>
      </c>
      <c r="T1177" s="3" t="n">
        <v>44678.54788153935</v>
      </c>
      <c r="U1177" t="s">
        <v>31</v>
      </c>
      <c r="V1177" t="s">
        <v>8093</v>
      </c>
    </row>
    <row r="1178">
      <c r="A1178" t="s">
        <v>22</v>
      </c>
      <c r="B1178" t="s">
        <v>8094</v>
      </c>
      <c r="C1178" t="s">
        <v>60</v>
      </c>
      <c r="D1178" t="s">
        <v>61</v>
      </c>
      <c r="E1178" t="s">
        <v>8095</v>
      </c>
      <c r="F1178" s="2" t="n">
        <f>HYPERLINK("https://patents.google.com/patent/US20220002701","Google")</f>
        <v>0.0</v>
      </c>
      <c r="G1178" s="2" t="n">
        <f>HYPERLINK("https://patentcenter.uspto.gov/applications/17324585","Patent Center")</f>
        <v>0.0</v>
      </c>
      <c r="H1178" s="2" t="n">
        <f>HYPERLINK("https://worldwide.espacenet.com/patent/search?q=US20220002701","Espacenet")</f>
        <v>0.0</v>
      </c>
      <c r="I1178" s="2" t="n">
        <f>HYPERLINK("https://ppubs.uspto.gov/pubwebapp/external.html?q=20220002701.pn.","USPTO")</f>
        <v>0.0</v>
      </c>
      <c r="J1178" s="2" t="n">
        <f>HYPERLINK("https://image-ppubs.uspto.gov/dirsearch-public/print/downloadPdf/20220002701","USPTO PDF")</f>
        <v>0.0</v>
      </c>
      <c r="K1178" s="2" t="n">
        <f>HYPERLINK("https://sectors.patentforecast.com/pmd/US20220002701","PMD")</f>
        <v>0.0</v>
      </c>
      <c r="L1178" s="2" t="n">
        <f>HYPERLINK("https://globaldossier.uspto.gov/result/application/US/17324585/1","US20220002701")</f>
        <v>0.0</v>
      </c>
      <c r="M1178" t="s">
        <v>8096</v>
      </c>
      <c r="N1178" t="s">
        <v>8097</v>
      </c>
      <c r="O1178" t="s">
        <v>8098</v>
      </c>
      <c r="P1178" t="s">
        <v>8099</v>
      </c>
      <c r="Q1178" s="3" t="n">
        <v>44335.0</v>
      </c>
      <c r="R1178" s="3" t="n">
        <v>44567.0</v>
      </c>
      <c r="S1178" s="3" t="n">
        <v>44568.18887414352</v>
      </c>
      <c r="T1178" s="3" t="n">
        <v>44638.70940344907</v>
      </c>
      <c r="U1178" t="s">
        <v>31</v>
      </c>
      <c r="V1178" t="s">
        <v>8100</v>
      </c>
    </row>
    <row r="1179">
      <c r="A1179" t="s">
        <v>22</v>
      </c>
      <c r="B1179" t="s">
        <v>8101</v>
      </c>
      <c r="C1179" t="s">
        <v>60</v>
      </c>
      <c r="D1179" t="s">
        <v>696</v>
      </c>
      <c r="E1179" t="s">
        <v>8102</v>
      </c>
      <c r="F1179" s="2" t="n">
        <f>HYPERLINK("https://patents.google.com/patent/US20220002675","Google")</f>
        <v>0.0</v>
      </c>
      <c r="G1179" s="2" t="n">
        <f>HYPERLINK("https://patentcenter.uspto.gov/applications/17477486","Patent Center")</f>
        <v>0.0</v>
      </c>
      <c r="H1179" s="2" t="n">
        <f>HYPERLINK("https://worldwide.espacenet.com/patent/search?q=US20220002675","Espacenet")</f>
        <v>0.0</v>
      </c>
      <c r="I1179" s="2" t="n">
        <f>HYPERLINK("https://ppubs.uspto.gov/pubwebapp/external.html?q=20220002675.pn.","USPTO")</f>
        <v>0.0</v>
      </c>
      <c r="J1179" s="2" t="n">
        <f>HYPERLINK("https://image-ppubs.uspto.gov/dirsearch-public/print/downloadPdf/20220002675","USPTO PDF")</f>
        <v>0.0</v>
      </c>
      <c r="K1179" s="2" t="n">
        <f>HYPERLINK("https://sectors.patentforecast.com/pmd/US20220002675","PMD")</f>
        <v>0.0</v>
      </c>
      <c r="L1179" s="2" t="n">
        <f>HYPERLINK("https://globaldossier.uspto.gov/result/application/US/17477486/1","US20220002675")</f>
        <v>0.0</v>
      </c>
      <c r="M1179" t="s">
        <v>8103</v>
      </c>
      <c r="N1179" t="s">
        <v>8104</v>
      </c>
      <c r="O1179" t="s">
        <v>8105</v>
      </c>
      <c r="P1179" t="s">
        <v>8106</v>
      </c>
      <c r="Q1179" s="3" t="n">
        <v>44455.0</v>
      </c>
      <c r="R1179" s="3" t="n">
        <v>44567.0</v>
      </c>
      <c r="S1179" s="3" t="n">
        <v>44568.18887417824</v>
      </c>
      <c r="T1179" s="3" t="n">
        <v>44678.33098353009</v>
      </c>
      <c r="U1179" t="s">
        <v>8107</v>
      </c>
      <c r="V1179" t="s">
        <v>8108</v>
      </c>
    </row>
    <row r="1180">
      <c r="A1180" t="s">
        <v>22</v>
      </c>
      <c r="B1180" t="s">
        <v>8109</v>
      </c>
      <c r="C1180" t="s">
        <v>24</v>
      </c>
      <c r="D1180" t="s">
        <v>69</v>
      </c>
      <c r="E1180" t="s">
        <v>8110</v>
      </c>
      <c r="F1180" s="2" t="n">
        <f>HYPERLINK("https://patents.google.com/patent/US20220001989","Google")</f>
        <v>0.0</v>
      </c>
      <c r="G1180" s="2" t="n">
        <f>HYPERLINK("https://patentcenter.uspto.gov/applications/17368452","Patent Center")</f>
        <v>0.0</v>
      </c>
      <c r="H1180" s="2" t="n">
        <f>HYPERLINK("https://worldwide.espacenet.com/patent/search?q=US20220001989","Espacenet")</f>
        <v>0.0</v>
      </c>
      <c r="I1180" s="2" t="n">
        <f>HYPERLINK("https://ppubs.uspto.gov/pubwebapp/external.html?q=20220001989.pn.","USPTO")</f>
        <v>0.0</v>
      </c>
      <c r="J1180" s="2" t="n">
        <f>HYPERLINK("https://image-ppubs.uspto.gov/dirsearch-public/print/downloadPdf/20220001989","USPTO PDF")</f>
        <v>0.0</v>
      </c>
      <c r="K1180" s="2" t="n">
        <f>HYPERLINK("https://sectors.patentforecast.com/pmd/US20220001989","PMD")</f>
        <v>0.0</v>
      </c>
      <c r="L1180" s="2" t="n">
        <f>HYPERLINK("https://globaldossier.uspto.gov/result/application/US/17368452/1","US20220001989")</f>
        <v>0.0</v>
      </c>
      <c r="M1180" t="s">
        <v>8111</v>
      </c>
      <c r="N1180" t="s">
        <v>5383</v>
      </c>
      <c r="O1180" t="s">
        <v>5384</v>
      </c>
      <c r="P1180" t="s">
        <v>8112</v>
      </c>
      <c r="Q1180" s="3" t="n">
        <v>44383.0</v>
      </c>
      <c r="R1180" s="3" t="n">
        <v>44567.0</v>
      </c>
      <c r="S1180" s="3" t="n">
        <v>44568.188874189815</v>
      </c>
      <c r="T1180" s="3" t="n">
        <v>44757.749976493054</v>
      </c>
      <c r="U1180" t="s">
        <v>31</v>
      </c>
      <c r="V1180" t="s">
        <v>8113</v>
      </c>
    </row>
    <row r="1181">
      <c r="A1181" t="s">
        <v>22</v>
      </c>
      <c r="B1181" t="s">
        <v>8114</v>
      </c>
      <c r="C1181" t="s">
        <v>24</v>
      </c>
      <c r="D1181" t="s">
        <v>100</v>
      </c>
      <c r="E1181" t="s">
        <v>8115</v>
      </c>
      <c r="F1181" s="2" t="n">
        <f>HYPERLINK("https://patents.google.com/patent/US20220001988","Google")</f>
        <v>0.0</v>
      </c>
      <c r="G1181" s="2" t="n">
        <f>HYPERLINK("https://patentcenter.uspto.gov/applications/17368422","Patent Center")</f>
        <v>0.0</v>
      </c>
      <c r="H1181" s="2" t="n">
        <f>HYPERLINK("https://worldwide.espacenet.com/patent/search?q=US20220001988","Espacenet")</f>
        <v>0.0</v>
      </c>
      <c r="I1181" s="2" t="n">
        <f>HYPERLINK("https://ppubs.uspto.gov/pubwebapp/external.html?q=20220001988.pn.","USPTO")</f>
        <v>0.0</v>
      </c>
      <c r="J1181" s="2" t="n">
        <f>HYPERLINK("https://image-ppubs.uspto.gov/dirsearch-public/print/downloadPdf/20220001988","USPTO PDF")</f>
        <v>0.0</v>
      </c>
      <c r="K1181" s="2" t="n">
        <f>HYPERLINK("https://sectors.patentforecast.com/pmd/US20220001988","PMD")</f>
        <v>0.0</v>
      </c>
      <c r="L1181" s="2" t="n">
        <f>HYPERLINK("https://globaldossier.uspto.gov/result/application/US/17368422/1","US20220001988")</f>
        <v>0.0</v>
      </c>
      <c r="M1181" t="s">
        <v>8116</v>
      </c>
      <c r="N1181" t="s">
        <v>5383</v>
      </c>
      <c r="O1181" t="s">
        <v>5384</v>
      </c>
      <c r="P1181" t="s">
        <v>8117</v>
      </c>
      <c r="Q1181" s="3" t="n">
        <v>44383.0</v>
      </c>
      <c r="R1181" s="3" t="n">
        <v>44567.0</v>
      </c>
      <c r="S1181" s="3" t="n">
        <v>44568.18887417824</v>
      </c>
      <c r="T1181" s="3" t="n">
        <v>44643.44606670139</v>
      </c>
      <c r="U1181" t="s">
        <v>8118</v>
      </c>
      <c r="V1181" t="s">
        <v>8119</v>
      </c>
    </row>
    <row r="1182">
      <c r="A1182" t="s">
        <v>22</v>
      </c>
      <c r="B1182" t="s">
        <v>8120</v>
      </c>
      <c r="C1182" t="s">
        <v>24</v>
      </c>
      <c r="D1182" t="s">
        <v>100</v>
      </c>
      <c r="E1182" t="s">
        <v>8121</v>
      </c>
      <c r="F1182" s="2" t="n">
        <f>HYPERLINK("https://patents.google.com/patent/US20220001987","Google")</f>
        <v>0.0</v>
      </c>
      <c r="G1182" s="2" t="n">
        <f>HYPERLINK("https://patentcenter.uspto.gov/applications/17364183","Patent Center")</f>
        <v>0.0</v>
      </c>
      <c r="H1182" s="2" t="n">
        <f>HYPERLINK("https://worldwide.espacenet.com/patent/search?q=US20220001987","Espacenet")</f>
        <v>0.0</v>
      </c>
      <c r="I1182" s="2" t="n">
        <f>HYPERLINK("https://ppubs.uspto.gov/pubwebapp/external.html?q=20220001987.pn.","USPTO")</f>
        <v>0.0</v>
      </c>
      <c r="J1182" s="2" t="n">
        <f>HYPERLINK("https://image-ppubs.uspto.gov/dirsearch-public/print/downloadPdf/20220001987","USPTO PDF")</f>
        <v>0.0</v>
      </c>
      <c r="K1182" s="2" t="n">
        <f>HYPERLINK("https://sectors.patentforecast.com/pmd/US20220001987","PMD")</f>
        <v>0.0</v>
      </c>
      <c r="L1182" s="2" t="n">
        <f>HYPERLINK("https://globaldossier.uspto.gov/result/application/US/17364183/1","US20220001987")</f>
        <v>0.0</v>
      </c>
      <c r="M1182" t="s">
        <v>8122</v>
      </c>
      <c r="N1182" t="s">
        <v>5383</v>
      </c>
      <c r="O1182" t="s">
        <v>5384</v>
      </c>
      <c r="P1182" t="s">
        <v>8123</v>
      </c>
      <c r="Q1182" s="3" t="n">
        <v>44377.0</v>
      </c>
      <c r="R1182" s="3" t="n">
        <v>44567.0</v>
      </c>
      <c r="S1182" s="3" t="n">
        <v>44568.188874155094</v>
      </c>
      <c r="T1182" s="3" t="n">
        <v>44643.446137210645</v>
      </c>
      <c r="U1182" t="s">
        <v>8124</v>
      </c>
      <c r="V1182" t="s">
        <v>8125</v>
      </c>
    </row>
    <row r="1183">
      <c r="A1183" t="s">
        <v>22</v>
      </c>
      <c r="B1183" t="s">
        <v>8126</v>
      </c>
      <c r="C1183" t="s">
        <v>24</v>
      </c>
      <c r="D1183" t="s">
        <v>100</v>
      </c>
      <c r="E1183" t="s">
        <v>8127</v>
      </c>
      <c r="F1183" s="2" t="n">
        <f>HYPERLINK("https://patents.google.com/patent/US20220001069","Google")</f>
        <v>0.0</v>
      </c>
      <c r="G1183" s="2" t="n">
        <f>HYPERLINK("https://patentcenter.uspto.gov/applications/17475973","Patent Center")</f>
        <v>0.0</v>
      </c>
      <c r="H1183" s="2" t="n">
        <f>HYPERLINK("https://worldwide.espacenet.com/patent/search?q=US20220001069","Espacenet")</f>
        <v>0.0</v>
      </c>
      <c r="I1183" s="2" t="n">
        <f>HYPERLINK("https://ppubs.uspto.gov/pubwebapp/external.html?q=20220001069.pn.","USPTO")</f>
        <v>0.0</v>
      </c>
      <c r="J1183" s="2" t="n">
        <f>HYPERLINK("https://image-ppubs.uspto.gov/dirsearch-public/print/downloadPdf/20220001069","USPTO PDF")</f>
        <v>0.0</v>
      </c>
      <c r="K1183" s="2" t="n">
        <f>HYPERLINK("https://sectors.patentforecast.com/pmd/US20220001069","PMD")</f>
        <v>0.0</v>
      </c>
      <c r="L1183" s="2" t="n">
        <f>HYPERLINK("https://globaldossier.uspto.gov/result/application/US/17475973/1","US20220001069")</f>
        <v>0.0</v>
      </c>
      <c r="M1183" t="s">
        <v>8128</v>
      </c>
      <c r="N1183" t="s">
        <v>8129</v>
      </c>
      <c r="O1183" t="s">
        <v>8130</v>
      </c>
      <c r="P1183" t="s">
        <v>8131</v>
      </c>
      <c r="Q1183" s="3" t="n">
        <v>44454.0</v>
      </c>
      <c r="R1183" s="3" t="n">
        <v>44567.0</v>
      </c>
      <c r="S1183" s="3" t="n">
        <v>44643.24316675926</v>
      </c>
      <c r="T1183" s="3" t="n">
        <v>44658.62137291667</v>
      </c>
      <c r="U1183" t="s">
        <v>8132</v>
      </c>
      <c r="V1183" t="s">
        <v>8133</v>
      </c>
    </row>
    <row r="1184">
      <c r="A1184" t="s">
        <v>22</v>
      </c>
      <c r="B1184" t="s">
        <v>8134</v>
      </c>
      <c r="C1184" t="s">
        <v>24</v>
      </c>
      <c r="D1184" t="s">
        <v>69</v>
      </c>
      <c r="E1184" t="s">
        <v>8135</v>
      </c>
      <c r="F1184" s="2" t="n">
        <f>HYPERLINK("https://patents.google.com/patent/US20220001049","Google")</f>
        <v>0.0</v>
      </c>
      <c r="G1184" s="2" t="n">
        <f>HYPERLINK("https://patentcenter.uspto.gov/applications/17013611","Patent Center")</f>
        <v>0.0</v>
      </c>
      <c r="H1184" s="2" t="n">
        <f>HYPERLINK("https://worldwide.espacenet.com/patent/search?q=US20220001049","Espacenet")</f>
        <v>0.0</v>
      </c>
      <c r="I1184" s="2" t="n">
        <f>HYPERLINK("https://ppubs.uspto.gov/pubwebapp/external.html?q=20220001049.pn.","USPTO")</f>
        <v>0.0</v>
      </c>
      <c r="J1184" s="2" t="n">
        <f>HYPERLINK("https://image-ppubs.uspto.gov/dirsearch-public/print/downloadPdf/20220001049","USPTO PDF")</f>
        <v>0.0</v>
      </c>
      <c r="K1184" s="2" t="n">
        <f>HYPERLINK("https://sectors.patentforecast.com/pmd/US20220001049","PMD")</f>
        <v>0.0</v>
      </c>
      <c r="L1184" s="2" t="n">
        <f>HYPERLINK("https://globaldossier.uspto.gov/result/application/US/17013611/1","US20220001049")</f>
        <v>0.0</v>
      </c>
      <c r="M1184" t="s">
        <v>8136</v>
      </c>
      <c r="N1184" t="s">
        <v>8137</v>
      </c>
      <c r="O1184" t="s">
        <v>8138</v>
      </c>
      <c r="P1184" t="s">
        <v>8139</v>
      </c>
      <c r="Q1184" s="3" t="n">
        <v>44080.0</v>
      </c>
      <c r="R1184" s="3" t="n">
        <v>44567.0</v>
      </c>
      <c r="S1184" s="3" t="n">
        <v>44643.23911607639</v>
      </c>
      <c r="T1184" s="3" t="n">
        <v>44658.60925329861</v>
      </c>
      <c r="U1184" t="s">
        <v>8140</v>
      </c>
      <c r="V1184" t="s">
        <v>8141</v>
      </c>
    </row>
    <row r="1185">
      <c r="A1185" t="s">
        <v>22</v>
      </c>
      <c r="B1185" t="s">
        <v>8142</v>
      </c>
      <c r="C1185" t="s">
        <v>60</v>
      </c>
      <c r="D1185" t="s">
        <v>715</v>
      </c>
      <c r="E1185" t="s">
        <v>8143</v>
      </c>
      <c r="F1185" s="2" t="n">
        <f>HYPERLINK("https://patents.google.com/patent/US20220001048","Google")</f>
        <v>0.0</v>
      </c>
      <c r="G1185" s="2" t="n">
        <f>HYPERLINK("https://patentcenter.uspto.gov/applications/17366440","Patent Center")</f>
        <v>0.0</v>
      </c>
      <c r="H1185" s="2" t="n">
        <f>HYPERLINK("https://worldwide.espacenet.com/patent/search?q=US20220001048","Espacenet")</f>
        <v>0.0</v>
      </c>
      <c r="I1185" s="2" t="n">
        <f>HYPERLINK("https://ppubs.uspto.gov/pubwebapp/external.html?q=20220001048.pn.","USPTO")</f>
        <v>0.0</v>
      </c>
      <c r="J1185" s="2" t="n">
        <f>HYPERLINK("https://image-ppubs.uspto.gov/dirsearch-public/print/downloadPdf/20220001048","USPTO PDF")</f>
        <v>0.0</v>
      </c>
      <c r="K1185" s="2" t="n">
        <f>HYPERLINK("https://sectors.patentforecast.com/pmd/US20220001048","PMD")</f>
        <v>0.0</v>
      </c>
      <c r="L1185" s="2" t="n">
        <f>HYPERLINK("https://globaldossier.uspto.gov/result/application/US/17366440/1","US20220001048")</f>
        <v>0.0</v>
      </c>
      <c r="M1185" t="s">
        <v>8144</v>
      </c>
      <c r="N1185" t="s">
        <v>3284</v>
      </c>
      <c r="O1185" t="s">
        <v>3285</v>
      </c>
      <c r="P1185" t="s">
        <v>8145</v>
      </c>
      <c r="Q1185" s="3" t="n">
        <v>44379.0</v>
      </c>
      <c r="R1185" s="3" t="n">
        <v>44567.0</v>
      </c>
      <c r="S1185" s="3" t="n">
        <v>44568.18887420139</v>
      </c>
      <c r="T1185" s="3" t="n">
        <v>44678.635590543985</v>
      </c>
      <c r="U1185" t="s">
        <v>31</v>
      </c>
      <c r="V1185" t="s">
        <v>8146</v>
      </c>
    </row>
    <row r="1186">
      <c r="A1186" t="s">
        <v>22</v>
      </c>
      <c r="B1186" t="s">
        <v>8147</v>
      </c>
      <c r="C1186" t="s">
        <v>24</v>
      </c>
      <c r="D1186" t="s">
        <v>100</v>
      </c>
      <c r="E1186" t="s">
        <v>8148</v>
      </c>
      <c r="F1186" s="2" t="n">
        <f>HYPERLINK("https://patents.google.com/patent/US20220001045","Google")</f>
        <v>0.0</v>
      </c>
      <c r="G1186" s="2" t="n">
        <f>HYPERLINK("https://patentcenter.uspto.gov/applications/17239657","Patent Center")</f>
        <v>0.0</v>
      </c>
      <c r="H1186" s="2" t="n">
        <f>HYPERLINK("https://worldwide.espacenet.com/patent/search?q=US20220001045","Espacenet")</f>
        <v>0.0</v>
      </c>
      <c r="I1186" s="2" t="n">
        <f>HYPERLINK("https://ppubs.uspto.gov/pubwebapp/external.html?q=20220001045.pn.","USPTO")</f>
        <v>0.0</v>
      </c>
      <c r="J1186" s="2" t="n">
        <f>HYPERLINK("https://image-ppubs.uspto.gov/dirsearch-public/print/downloadPdf/20220001045","USPTO PDF")</f>
        <v>0.0</v>
      </c>
      <c r="K1186" s="2" t="n">
        <f>HYPERLINK("https://sectors.patentforecast.com/pmd/US20220001045","PMD")</f>
        <v>0.0</v>
      </c>
      <c r="L1186" s="2" t="n">
        <f>HYPERLINK("https://globaldossier.uspto.gov/result/application/US/17239657/1","US20220001045")</f>
        <v>0.0</v>
      </c>
      <c r="M1186" t="s">
        <v>8149</v>
      </c>
      <c r="N1186" t="s">
        <v>8150</v>
      </c>
      <c r="O1186" t="s">
        <v>8151</v>
      </c>
      <c r="P1186" t="s">
        <v>8152</v>
      </c>
      <c r="Q1186" s="3" t="n">
        <v>44311.0</v>
      </c>
      <c r="R1186" s="3" t="n">
        <v>44567.0</v>
      </c>
      <c r="S1186" s="3" t="n">
        <v>44568.18887416667</v>
      </c>
      <c r="T1186" s="3" t="n">
        <v>44678.57928900463</v>
      </c>
      <c r="U1186" t="s">
        <v>8153</v>
      </c>
      <c r="V1186" t="s">
        <v>8154</v>
      </c>
    </row>
    <row r="1187">
      <c r="A1187" t="s">
        <v>22</v>
      </c>
      <c r="B1187" t="s">
        <v>8155</v>
      </c>
      <c r="C1187" t="s">
        <v>24</v>
      </c>
      <c r="D1187" t="s">
        <v>100</v>
      </c>
      <c r="E1187" t="s">
        <v>8156</v>
      </c>
      <c r="F1187" s="2" t="n">
        <f>HYPERLINK("https://patents.google.com/patent/US20220001044","Google")</f>
        <v>0.0</v>
      </c>
      <c r="G1187" s="2" t="n">
        <f>HYPERLINK("https://patentcenter.uspto.gov/applications/17364503","Patent Center")</f>
        <v>0.0</v>
      </c>
      <c r="H1187" s="2" t="n">
        <f>HYPERLINK("https://worldwide.espacenet.com/patent/search?q=US20220001044","Espacenet")</f>
        <v>0.0</v>
      </c>
      <c r="I1187" s="2" t="n">
        <f>HYPERLINK("https://ppubs.uspto.gov/pubwebapp/external.html?q=20220001044.pn.","USPTO")</f>
        <v>0.0</v>
      </c>
      <c r="J1187" s="2" t="n">
        <f>HYPERLINK("https://image-ppubs.uspto.gov/dirsearch-public/print/downloadPdf/20220001044","USPTO PDF")</f>
        <v>0.0</v>
      </c>
      <c r="K1187" s="2" t="n">
        <f>HYPERLINK("https://sectors.patentforecast.com/pmd/US20220001044","PMD")</f>
        <v>0.0</v>
      </c>
      <c r="L1187" s="2" t="n">
        <f>HYPERLINK("https://globaldossier.uspto.gov/result/application/US/17364503/1","US20220001044")</f>
        <v>0.0</v>
      </c>
      <c r="M1187" t="s">
        <v>8157</v>
      </c>
      <c r="N1187" t="s">
        <v>5383</v>
      </c>
      <c r="O1187" t="s">
        <v>5384</v>
      </c>
      <c r="P1187" t="s">
        <v>8158</v>
      </c>
      <c r="Q1187" s="3" t="n">
        <v>44377.0</v>
      </c>
      <c r="R1187" s="3" t="n">
        <v>44567.0</v>
      </c>
      <c r="S1187" s="3" t="n">
        <v>44568.18887421296</v>
      </c>
      <c r="T1187" s="3" t="n">
        <v>44678.57928900463</v>
      </c>
      <c r="U1187" t="s">
        <v>31</v>
      </c>
      <c r="V1187" t="s">
        <v>8159</v>
      </c>
    </row>
    <row r="1188">
      <c r="A1188" t="s">
        <v>22</v>
      </c>
      <c r="B1188" t="s">
        <v>8160</v>
      </c>
      <c r="C1188" t="s">
        <v>60</v>
      </c>
      <c r="D1188" t="s">
        <v>61</v>
      </c>
      <c r="E1188" t="s">
        <v>8161</v>
      </c>
      <c r="F1188" s="2" t="n">
        <f>HYPERLINK("https://patents.google.com/patent/US20220001014","Google")</f>
        <v>0.0</v>
      </c>
      <c r="G1188" s="2" t="n">
        <f>HYPERLINK("https://patentcenter.uspto.gov/applications/17366007","Patent Center")</f>
        <v>0.0</v>
      </c>
      <c r="H1188" s="2" t="n">
        <f>HYPERLINK("https://worldwide.espacenet.com/patent/search?q=US20220001014","Espacenet")</f>
        <v>0.0</v>
      </c>
      <c r="I1188" s="2" t="n">
        <f>HYPERLINK("https://ppubs.uspto.gov/pubwebapp/external.html?q=20220001014.pn.","USPTO")</f>
        <v>0.0</v>
      </c>
      <c r="J1188" s="2" t="n">
        <f>HYPERLINK("https://image-ppubs.uspto.gov/dirsearch-public/print/downloadPdf/20220001014","USPTO PDF")</f>
        <v>0.0</v>
      </c>
      <c r="K1188" s="2" t="n">
        <f>HYPERLINK("https://sectors.patentforecast.com/pmd/US20220001014","PMD")</f>
        <v>0.0</v>
      </c>
      <c r="L1188" s="2" t="n">
        <f>HYPERLINK("https://globaldossier.uspto.gov/result/application/US/17366007/1","US20220001014")</f>
        <v>0.0</v>
      </c>
      <c r="M1188" t="s">
        <v>8162</v>
      </c>
      <c r="N1188" t="s">
        <v>8163</v>
      </c>
      <c r="O1188" t="s">
        <v>8163</v>
      </c>
      <c r="P1188" t="s">
        <v>8164</v>
      </c>
      <c r="Q1188" s="3" t="n">
        <v>44378.0</v>
      </c>
      <c r="R1188" s="3" t="n">
        <v>44567.0</v>
      </c>
      <c r="S1188" s="3" t="n">
        <v>44568.187827152775</v>
      </c>
      <c r="T1188" s="3" t="n">
        <v>44678.5431090625</v>
      </c>
      <c r="U1188" t="s">
        <v>31</v>
      </c>
      <c r="V1188" t="s">
        <v>8165</v>
      </c>
    </row>
    <row r="1189">
      <c r="A1189" t="s">
        <v>22</v>
      </c>
      <c r="B1189" t="s">
        <v>8166</v>
      </c>
      <c r="C1189" t="s">
        <v>60</v>
      </c>
      <c r="D1189" t="s">
        <v>61</v>
      </c>
      <c r="E1189" t="s">
        <v>8167</v>
      </c>
      <c r="F1189" s="2" t="n">
        <f>HYPERLINK("https://patents.google.com/patent/US20220000993","Google")</f>
        <v>0.0</v>
      </c>
      <c r="G1189" s="2" t="n">
        <f>HYPERLINK("https://patentcenter.uspto.gov/applications/17367962","Patent Center")</f>
        <v>0.0</v>
      </c>
      <c r="H1189" s="2" t="n">
        <f>HYPERLINK("https://worldwide.espacenet.com/patent/search?q=US20220000993","Espacenet")</f>
        <v>0.0</v>
      </c>
      <c r="I1189" s="2" t="n">
        <f>HYPERLINK("https://ppubs.uspto.gov/pubwebapp/external.html?q=20220000993.pn.","USPTO")</f>
        <v>0.0</v>
      </c>
      <c r="J1189" s="2" t="n">
        <f>HYPERLINK("https://image-ppubs.uspto.gov/dirsearch-public/print/downloadPdf/20220000993","USPTO PDF")</f>
        <v>0.0</v>
      </c>
      <c r="K1189" s="2" t="n">
        <f>HYPERLINK("https://sectors.patentforecast.com/pmd/US20220000993","PMD")</f>
        <v>0.0</v>
      </c>
      <c r="L1189" s="2" t="n">
        <f>HYPERLINK("https://globaldossier.uspto.gov/result/application/US/17367962/1","US20220000993")</f>
        <v>0.0</v>
      </c>
      <c r="M1189" t="s">
        <v>8168</v>
      </c>
      <c r="N1189" t="s">
        <v>8169</v>
      </c>
      <c r="O1189" t="s">
        <v>8170</v>
      </c>
      <c r="P1189" t="s">
        <v>8171</v>
      </c>
      <c r="Q1189" s="3" t="n">
        <v>44383.0</v>
      </c>
      <c r="R1189" s="3" t="n">
        <v>44567.0</v>
      </c>
      <c r="S1189" s="3" t="n">
        <v>44568.18887416667</v>
      </c>
      <c r="T1189" s="3" t="n">
        <v>44678.610501979165</v>
      </c>
      <c r="U1189" t="s">
        <v>31</v>
      </c>
      <c r="V1189" t="s">
        <v>8172</v>
      </c>
    </row>
    <row r="1190">
      <c r="A1190" t="s">
        <v>22</v>
      </c>
      <c r="B1190" t="s">
        <v>8173</v>
      </c>
      <c r="C1190" t="s">
        <v>60</v>
      </c>
      <c r="D1190" t="s">
        <v>2262</v>
      </c>
      <c r="E1190" t="s">
        <v>8174</v>
      </c>
      <c r="F1190" s="2" t="n">
        <f>HYPERLINK("https://patents.google.com/patent/US20220000958","Google")</f>
        <v>0.0</v>
      </c>
      <c r="G1190" s="2" t="n">
        <f>HYPERLINK("https://patentcenter.uspto.gov/applications/16920961","Patent Center")</f>
        <v>0.0</v>
      </c>
      <c r="H1190" s="2" t="n">
        <f>HYPERLINK("https://worldwide.espacenet.com/patent/search?q=US20220000958","Espacenet")</f>
        <v>0.0</v>
      </c>
      <c r="I1190" s="2" t="n">
        <f>HYPERLINK("https://ppubs.uspto.gov/pubwebapp/external.html?q=20220000958.pn.","USPTO")</f>
        <v>0.0</v>
      </c>
      <c r="J1190" s="2" t="n">
        <f>HYPERLINK("https://image-ppubs.uspto.gov/dirsearch-public/print/downloadPdf/20220000958","USPTO PDF")</f>
        <v>0.0</v>
      </c>
      <c r="K1190" s="2" t="n">
        <f>HYPERLINK("https://sectors.patentforecast.com/pmd/US20220000958","PMD")</f>
        <v>0.0</v>
      </c>
      <c r="L1190" s="2" t="n">
        <f>HYPERLINK("https://globaldossier.uspto.gov/result/application/US/16920961/1","US20220000958")</f>
        <v>0.0</v>
      </c>
      <c r="M1190" t="s">
        <v>8175</v>
      </c>
      <c r="N1190" t="s">
        <v>8176</v>
      </c>
      <c r="O1190" t="s">
        <v>8177</v>
      </c>
      <c r="P1190" t="s">
        <v>8178</v>
      </c>
      <c r="Q1190" s="3" t="n">
        <v>44018.0</v>
      </c>
      <c r="R1190" s="3" t="n">
        <v>44567.0</v>
      </c>
      <c r="S1190" s="3" t="n">
        <v>44568.18904790509</v>
      </c>
      <c r="T1190" s="3" t="n">
        <v>44678.543371493055</v>
      </c>
      <c r="U1190" t="s">
        <v>8179</v>
      </c>
      <c r="V1190" t="s">
        <v>8180</v>
      </c>
    </row>
    <row r="1191">
      <c r="A1191" t="s">
        <v>22</v>
      </c>
      <c r="B1191" t="s">
        <v>8181</v>
      </c>
      <c r="C1191" t="s">
        <v>60</v>
      </c>
      <c r="D1191" t="s">
        <v>61</v>
      </c>
      <c r="E1191" t="s">
        <v>8182</v>
      </c>
      <c r="F1191" s="2" t="n">
        <f>HYPERLINK("https://patents.google.com/patent/US20220000919","Google")</f>
        <v>0.0</v>
      </c>
      <c r="G1191" s="2" t="n">
        <f>HYPERLINK("https://patentcenter.uspto.gov/applications/17163316","Patent Center")</f>
        <v>0.0</v>
      </c>
      <c r="H1191" s="2" t="n">
        <f>HYPERLINK("https://worldwide.espacenet.com/patent/search?q=US20220000919","Espacenet")</f>
        <v>0.0</v>
      </c>
      <c r="I1191" s="2" t="n">
        <f>HYPERLINK("https://ppubs.uspto.gov/pubwebapp/external.html?q=20220000919.pn.","USPTO")</f>
        <v>0.0</v>
      </c>
      <c r="J1191" s="2" t="n">
        <f>HYPERLINK("https://image-ppubs.uspto.gov/dirsearch-public/print/downloadPdf/20220000919","USPTO PDF")</f>
        <v>0.0</v>
      </c>
      <c r="K1191" s="2" t="n">
        <f>HYPERLINK("https://sectors.patentforecast.com/pmd/US20220000919","PMD")</f>
        <v>0.0</v>
      </c>
      <c r="L1191" s="2" t="n">
        <f>HYPERLINK("https://globaldossier.uspto.gov/result/application/US/17163316/1","US20220000919")</f>
        <v>0.0</v>
      </c>
      <c r="M1191" t="s">
        <v>8183</v>
      </c>
      <c r="N1191" t="s">
        <v>8184</v>
      </c>
      <c r="O1191" t="s">
        <v>8185</v>
      </c>
      <c r="P1191" t="s">
        <v>8186</v>
      </c>
      <c r="Q1191" s="3" t="n">
        <v>44225.0</v>
      </c>
      <c r="R1191" s="3" t="n">
        <v>44567.0</v>
      </c>
      <c r="S1191" s="3" t="n">
        <v>44568.18904790509</v>
      </c>
      <c r="T1191" s="3" t="n">
        <v>44638.69216436343</v>
      </c>
      <c r="U1191" t="s">
        <v>8187</v>
      </c>
      <c r="V1191" t="s">
        <v>8188</v>
      </c>
    </row>
    <row r="1192">
      <c r="A1192" t="s">
        <v>22</v>
      </c>
      <c r="B1192" t="s">
        <v>8189</v>
      </c>
      <c r="C1192" t="s">
        <v>60</v>
      </c>
      <c r="D1192" t="s">
        <v>696</v>
      </c>
      <c r="E1192" t="s">
        <v>8102</v>
      </c>
      <c r="F1192" s="2" t="n">
        <f>HYPERLINK("https://patents.google.com/patent/US20220000918","Google")</f>
        <v>0.0</v>
      </c>
      <c r="G1192" s="2" t="n">
        <f>HYPERLINK("https://patentcenter.uspto.gov/applications/17477494","Patent Center")</f>
        <v>0.0</v>
      </c>
      <c r="H1192" s="2" t="n">
        <f>HYPERLINK("https://worldwide.espacenet.com/patent/search?q=US20220000918","Espacenet")</f>
        <v>0.0</v>
      </c>
      <c r="I1192" s="2" t="n">
        <f>HYPERLINK("https://ppubs.uspto.gov/pubwebapp/external.html?q=20220000918.pn.","USPTO")</f>
        <v>0.0</v>
      </c>
      <c r="J1192" s="2" t="n">
        <f>HYPERLINK("https://image-ppubs.uspto.gov/dirsearch-public/print/downloadPdf/20220000918","USPTO PDF")</f>
        <v>0.0</v>
      </c>
      <c r="K1192" s="2" t="n">
        <f>HYPERLINK("https://sectors.patentforecast.com/pmd/US20220000918","PMD")</f>
        <v>0.0</v>
      </c>
      <c r="L1192" s="2" t="n">
        <f>HYPERLINK("https://globaldossier.uspto.gov/result/application/US/17477494/1","US20220000918")</f>
        <v>0.0</v>
      </c>
      <c r="M1192" t="s">
        <v>8190</v>
      </c>
      <c r="N1192" t="s">
        <v>8104</v>
      </c>
      <c r="O1192" t="s">
        <v>8105</v>
      </c>
      <c r="P1192" t="s">
        <v>8106</v>
      </c>
      <c r="Q1192" s="3" t="n">
        <v>44455.0</v>
      </c>
      <c r="R1192" s="3" t="n">
        <v>44567.0</v>
      </c>
      <c r="S1192" s="3" t="n">
        <v>44568.18904789352</v>
      </c>
      <c r="T1192" s="3" t="n">
        <v>44678.33098353009</v>
      </c>
      <c r="U1192" t="s">
        <v>8191</v>
      </c>
      <c r="V1192" t="s">
        <v>8108</v>
      </c>
    </row>
    <row r="1193">
      <c r="A1193" t="s">
        <v>22</v>
      </c>
      <c r="B1193" t="s">
        <v>8192</v>
      </c>
      <c r="C1193" t="s">
        <v>60</v>
      </c>
      <c r="D1193" t="s">
        <v>696</v>
      </c>
      <c r="E1193" t="s">
        <v>8102</v>
      </c>
      <c r="F1193" s="2" t="n">
        <f>HYPERLINK("https://patents.google.com/patent/US20220000917","Google")</f>
        <v>0.0</v>
      </c>
      <c r="G1193" s="2" t="n">
        <f>HYPERLINK("https://patentcenter.uspto.gov/applications/17477491","Patent Center")</f>
        <v>0.0</v>
      </c>
      <c r="H1193" s="2" t="n">
        <f>HYPERLINK("https://worldwide.espacenet.com/patent/search?q=US20220000917","Espacenet")</f>
        <v>0.0</v>
      </c>
      <c r="I1193" s="2" t="n">
        <f>HYPERLINK("https://ppubs.uspto.gov/pubwebapp/external.html?q=20220000917.pn.","USPTO")</f>
        <v>0.0</v>
      </c>
      <c r="J1193" s="2" t="n">
        <f>HYPERLINK("https://image-ppubs.uspto.gov/dirsearch-public/print/downloadPdf/20220000917","USPTO PDF")</f>
        <v>0.0</v>
      </c>
      <c r="K1193" s="2" t="n">
        <f>HYPERLINK("https://sectors.patentforecast.com/pmd/US20220000917","PMD")</f>
        <v>0.0</v>
      </c>
      <c r="L1193" s="2" t="n">
        <f>HYPERLINK("https://globaldossier.uspto.gov/result/application/US/17477491/1","US20220000917")</f>
        <v>0.0</v>
      </c>
      <c r="M1193" t="s">
        <v>8193</v>
      </c>
      <c r="N1193" t="s">
        <v>8104</v>
      </c>
      <c r="O1193" t="s">
        <v>8105</v>
      </c>
      <c r="P1193" t="s">
        <v>8106</v>
      </c>
      <c r="Q1193" s="3" t="n">
        <v>44455.0</v>
      </c>
      <c r="R1193" s="3" t="n">
        <v>44567.0</v>
      </c>
      <c r="S1193" s="3" t="n">
        <v>44568.18904788195</v>
      </c>
      <c r="T1193" s="3" t="n">
        <v>44678.33098353009</v>
      </c>
      <c r="U1193" t="s">
        <v>31</v>
      </c>
      <c r="V1193" t="s">
        <v>8108</v>
      </c>
    </row>
    <row r="1194">
      <c r="A1194" t="s">
        <v>22</v>
      </c>
      <c r="B1194" t="s">
        <v>8194</v>
      </c>
      <c r="C1194" t="s">
        <v>60</v>
      </c>
      <c r="D1194" t="s">
        <v>61</v>
      </c>
      <c r="E1194" t="s">
        <v>8195</v>
      </c>
      <c r="F1194" s="2" t="n">
        <f>HYPERLINK("https://patents.google.com/patent/US20220000904","Google")</f>
        <v>0.0</v>
      </c>
      <c r="G1194" s="2" t="n">
        <f>HYPERLINK("https://patentcenter.uspto.gov/applications/17244272","Patent Center")</f>
        <v>0.0</v>
      </c>
      <c r="H1194" s="2" t="n">
        <f>HYPERLINK("https://worldwide.espacenet.com/patent/search?q=US20220000904","Espacenet")</f>
        <v>0.0</v>
      </c>
      <c r="I1194" s="2" t="n">
        <f>HYPERLINK("https://ppubs.uspto.gov/pubwebapp/external.html?q=20220000904.pn.","USPTO")</f>
        <v>0.0</v>
      </c>
      <c r="J1194" s="2" t="n">
        <f>HYPERLINK("https://image-ppubs.uspto.gov/dirsearch-public/print/downloadPdf/20220000904","USPTO PDF")</f>
        <v>0.0</v>
      </c>
      <c r="K1194" s="2" t="n">
        <f>HYPERLINK("https://sectors.patentforecast.com/pmd/US20220000904","PMD")</f>
        <v>0.0</v>
      </c>
      <c r="L1194" s="2" t="n">
        <f>HYPERLINK("https://globaldossier.uspto.gov/result/application/US/17244272/1","US20220000904")</f>
        <v>0.0</v>
      </c>
      <c r="M1194" t="s">
        <v>8196</v>
      </c>
      <c r="N1194" t="s">
        <v>8197</v>
      </c>
      <c r="O1194" t="s">
        <v>8197</v>
      </c>
      <c r="P1194" t="s">
        <v>8198</v>
      </c>
      <c r="Q1194" s="3" t="n">
        <v>44315.0</v>
      </c>
      <c r="R1194" s="3" t="n">
        <v>44567.0</v>
      </c>
      <c r="S1194" s="3" t="n">
        <v>44568.18904787037</v>
      </c>
      <c r="T1194" s="3" t="n">
        <v>44638.69412517361</v>
      </c>
      <c r="U1194" t="s">
        <v>31</v>
      </c>
      <c r="V1194" t="s">
        <v>8199</v>
      </c>
    </row>
    <row r="1195">
      <c r="A1195" t="s">
        <v>22</v>
      </c>
      <c r="B1195" t="s">
        <v>8200</v>
      </c>
      <c r="C1195" t="s">
        <v>60</v>
      </c>
      <c r="D1195" t="s">
        <v>61</v>
      </c>
      <c r="E1195" t="s">
        <v>8201</v>
      </c>
      <c r="F1195" s="2" t="n">
        <f>HYPERLINK("https://patents.google.com/patent/US20220000827","Google")</f>
        <v>0.0</v>
      </c>
      <c r="G1195" s="2" t="n">
        <f>HYPERLINK("https://patentcenter.uspto.gov/applications/17366668","Patent Center")</f>
        <v>0.0</v>
      </c>
      <c r="H1195" s="2" t="n">
        <f>HYPERLINK("https://worldwide.espacenet.com/patent/search?q=US20220000827","Espacenet")</f>
        <v>0.0</v>
      </c>
      <c r="I1195" s="2" t="n">
        <f>HYPERLINK("https://ppubs.uspto.gov/pubwebapp/external.html?q=20220000827.pn.","USPTO")</f>
        <v>0.0</v>
      </c>
      <c r="J1195" s="2" t="n">
        <f>HYPERLINK("https://image-ppubs.uspto.gov/dirsearch-public/print/downloadPdf/20220000827","USPTO PDF")</f>
        <v>0.0</v>
      </c>
      <c r="K1195" s="2" t="n">
        <f>HYPERLINK("https://sectors.patentforecast.com/pmd/US20220000827","PMD")</f>
        <v>0.0</v>
      </c>
      <c r="L1195" s="2" t="n">
        <f>HYPERLINK("https://globaldossier.uspto.gov/result/application/US/17366668/1","US20220000827")</f>
        <v>0.0</v>
      </c>
      <c r="M1195" t="s">
        <v>8202</v>
      </c>
      <c r="N1195" t="s">
        <v>8203</v>
      </c>
      <c r="O1195" t="s">
        <v>8204</v>
      </c>
      <c r="P1195" t="s">
        <v>8205</v>
      </c>
      <c r="Q1195" s="3" t="n">
        <v>44379.0</v>
      </c>
      <c r="R1195" s="3" t="n">
        <v>44567.0</v>
      </c>
      <c r="S1195" s="3" t="n">
        <v>44568.18904789352</v>
      </c>
      <c r="T1195" s="3" t="n">
        <v>44638.69491068287</v>
      </c>
      <c r="U1195" t="s">
        <v>31</v>
      </c>
      <c r="V1195" t="s">
        <v>8206</v>
      </c>
    </row>
    <row r="1196">
      <c r="A1196" t="s">
        <v>22</v>
      </c>
      <c r="B1196" t="s">
        <v>8207</v>
      </c>
      <c r="C1196" t="s">
        <v>60</v>
      </c>
      <c r="D1196" t="s">
        <v>61</v>
      </c>
      <c r="E1196" t="s">
        <v>8208</v>
      </c>
      <c r="F1196" s="2" t="n">
        <f>HYPERLINK("https://patents.google.com/patent/US20220000808","Google")</f>
        <v>0.0</v>
      </c>
      <c r="G1196" s="2" t="n">
        <f>HYPERLINK("https://patentcenter.uspto.gov/applications/17476192","Patent Center")</f>
        <v>0.0</v>
      </c>
      <c r="H1196" s="2" t="n">
        <f>HYPERLINK("https://worldwide.espacenet.com/patent/search?q=US20220000808","Espacenet")</f>
        <v>0.0</v>
      </c>
      <c r="I1196" s="2" t="n">
        <f>HYPERLINK("https://ppubs.uspto.gov/pubwebapp/external.html?q=20220000808.pn.","USPTO")</f>
        <v>0.0</v>
      </c>
      <c r="J1196" s="2" t="n">
        <f>HYPERLINK("https://image-ppubs.uspto.gov/dirsearch-public/print/downloadPdf/20220000808","USPTO PDF")</f>
        <v>0.0</v>
      </c>
      <c r="K1196" s="2" t="n">
        <f>HYPERLINK("https://sectors.patentforecast.com/pmd/US20220000808","PMD")</f>
        <v>0.0</v>
      </c>
      <c r="L1196" s="2" t="n">
        <f>HYPERLINK("https://globaldossier.uspto.gov/result/application/US/17476192/1","US20220000808")</f>
        <v>0.0</v>
      </c>
      <c r="M1196" t="s">
        <v>8209</v>
      </c>
      <c r="N1196" t="s">
        <v>8210</v>
      </c>
      <c r="O1196" t="s">
        <v>8211</v>
      </c>
      <c r="P1196" t="s">
        <v>8212</v>
      </c>
      <c r="Q1196" s="3" t="n">
        <v>44454.0</v>
      </c>
      <c r="R1196" s="3" t="n">
        <v>44567.0</v>
      </c>
      <c r="S1196" s="3" t="n">
        <v>44568.187827152775</v>
      </c>
      <c r="T1196" s="3" t="n">
        <v>44638.709259456016</v>
      </c>
      <c r="U1196" t="s">
        <v>31</v>
      </c>
      <c r="V1196" t="s">
        <v>8213</v>
      </c>
    </row>
    <row r="1197">
      <c r="A1197" t="s">
        <v>22</v>
      </c>
      <c r="B1197" t="s">
        <v>8214</v>
      </c>
      <c r="C1197" t="s">
        <v>24</v>
      </c>
      <c r="D1197" t="s">
        <v>204</v>
      </c>
      <c r="E1197" t="s">
        <v>8215</v>
      </c>
      <c r="F1197" s="2" t="n">
        <f>HYPERLINK("https://patents.google.com/patent/US20220000581","Google")</f>
        <v>0.0</v>
      </c>
      <c r="G1197" s="2" t="n">
        <f>HYPERLINK("https://patentcenter.uspto.gov/applications/16921597","Patent Center")</f>
        <v>0.0</v>
      </c>
      <c r="H1197" s="2" t="n">
        <f>HYPERLINK("https://worldwide.espacenet.com/patent/search?q=US20220000581","Espacenet")</f>
        <v>0.0</v>
      </c>
      <c r="I1197" s="2" t="n">
        <f>HYPERLINK("https://ppubs.uspto.gov/pubwebapp/external.html?q=20220000581.pn.","USPTO")</f>
        <v>0.0</v>
      </c>
      <c r="J1197" s="2" t="n">
        <f>HYPERLINK("https://image-ppubs.uspto.gov/dirsearch-public/print/downloadPdf/20220000581","USPTO PDF")</f>
        <v>0.0</v>
      </c>
      <c r="K1197" s="2" t="n">
        <f>HYPERLINK("https://sectors.patentforecast.com/pmd/US20220000581","PMD")</f>
        <v>0.0</v>
      </c>
      <c r="L1197" s="2" t="n">
        <f>HYPERLINK("https://globaldossier.uspto.gov/result/application/US/16921597/1","US20220000581")</f>
        <v>0.0</v>
      </c>
      <c r="M1197" t="s">
        <v>8216</v>
      </c>
      <c r="N1197" t="s">
        <v>8217</v>
      </c>
      <c r="O1197" t="s">
        <v>8218</v>
      </c>
      <c r="P1197" t="s">
        <v>8219</v>
      </c>
      <c r="Q1197" s="3" t="n">
        <v>44018.0</v>
      </c>
      <c r="R1197" s="3" t="n">
        <v>44567.0</v>
      </c>
      <c r="S1197" s="3" t="n">
        <v>44568.18904790509</v>
      </c>
      <c r="T1197" s="3" t="n">
        <v>44643.383297002314</v>
      </c>
      <c r="U1197" t="s">
        <v>8220</v>
      </c>
      <c r="V1197" t="s">
        <v>8221</v>
      </c>
    </row>
    <row r="1198">
      <c r="A1198" t="s">
        <v>22</v>
      </c>
      <c r="B1198" t="s">
        <v>8222</v>
      </c>
      <c r="C1198" t="s">
        <v>24</v>
      </c>
      <c r="D1198" t="s">
        <v>69</v>
      </c>
      <c r="E1198" t="s">
        <v>8223</v>
      </c>
      <c r="F1198" s="2" t="n">
        <f>HYPERLINK("https://patents.google.com/patent/US20220000575","Google")</f>
        <v>0.0</v>
      </c>
      <c r="G1198" s="2" t="n">
        <f>HYPERLINK("https://patentcenter.uspto.gov/applications/17188846","Patent Center")</f>
        <v>0.0</v>
      </c>
      <c r="H1198" s="2" t="n">
        <f>HYPERLINK("https://worldwide.espacenet.com/patent/search?q=US20220000575","Espacenet")</f>
        <v>0.0</v>
      </c>
      <c r="I1198" s="2" t="n">
        <f>HYPERLINK("https://ppubs.uspto.gov/pubwebapp/external.html?q=20220000575.pn.","USPTO")</f>
        <v>0.0</v>
      </c>
      <c r="J1198" s="2" t="n">
        <f>HYPERLINK("https://image-ppubs.uspto.gov/dirsearch-public/print/downloadPdf/20220000575","USPTO PDF")</f>
        <v>0.0</v>
      </c>
      <c r="K1198" s="2" t="n">
        <f>HYPERLINK("https://sectors.patentforecast.com/pmd/US20220000575","PMD")</f>
        <v>0.0</v>
      </c>
      <c r="L1198" s="2" t="n">
        <f>HYPERLINK("https://globaldossier.uspto.gov/result/application/US/17188846/1","US20220000575")</f>
        <v>0.0</v>
      </c>
      <c r="M1198" t="s">
        <v>8224</v>
      </c>
      <c r="N1198" t="s">
        <v>8225</v>
      </c>
      <c r="O1198" t="s">
        <v>8226</v>
      </c>
      <c r="P1198" t="s">
        <v>8227</v>
      </c>
      <c r="Q1198" s="3" t="n">
        <v>44256.0</v>
      </c>
      <c r="R1198" s="3" t="n">
        <v>44567.0</v>
      </c>
      <c r="S1198" s="3" t="n">
        <v>44568.18904791667</v>
      </c>
      <c r="T1198" s="3" t="n">
        <v>44678.63315255787</v>
      </c>
      <c r="U1198" t="s">
        <v>8228</v>
      </c>
      <c r="V1198" t="s">
        <v>8229</v>
      </c>
    </row>
    <row r="1199">
      <c r="A1199" t="s">
        <v>22</v>
      </c>
      <c r="B1199" t="s">
        <v>8230</v>
      </c>
      <c r="C1199" t="s">
        <v>24</v>
      </c>
      <c r="D1199" t="s">
        <v>69</v>
      </c>
      <c r="E1199" t="s">
        <v>8231</v>
      </c>
      <c r="F1199" s="2" t="n">
        <f>HYPERLINK("https://patents.google.com/patent/US20220000196","Google")</f>
        <v>0.0</v>
      </c>
      <c r="G1199" s="2" t="n">
        <f>HYPERLINK("https://patentcenter.uspto.gov/applications/17367146","Patent Center")</f>
        <v>0.0</v>
      </c>
      <c r="H1199" s="2" t="n">
        <f>HYPERLINK("https://worldwide.espacenet.com/patent/search?q=US20220000196","Espacenet")</f>
        <v>0.0</v>
      </c>
      <c r="I1199" s="2" t="n">
        <f>HYPERLINK("https://ppubs.uspto.gov/pubwebapp/external.html?q=20220000196.pn.","USPTO")</f>
        <v>0.0</v>
      </c>
      <c r="J1199" s="2" t="n">
        <f>HYPERLINK("https://image-ppubs.uspto.gov/dirsearch-public/print/downloadPdf/20220000196","USPTO PDF")</f>
        <v>0.0</v>
      </c>
      <c r="K1199" s="2" t="n">
        <f>HYPERLINK("https://sectors.patentforecast.com/pmd/US20220000196","PMD")</f>
        <v>0.0</v>
      </c>
      <c r="L1199" s="2" t="n">
        <f>HYPERLINK("https://globaldossier.uspto.gov/result/application/US/17367146/1","US20220000196")</f>
        <v>0.0</v>
      </c>
      <c r="M1199" t="s">
        <v>8232</v>
      </c>
      <c r="N1199" t="s">
        <v>8233</v>
      </c>
      <c r="O1199" t="s">
        <v>8234</v>
      </c>
      <c r="P1199" t="s">
        <v>8235</v>
      </c>
      <c r="Q1199" s="3" t="n">
        <v>44379.0</v>
      </c>
      <c r="R1199" s="3" t="n">
        <v>44567.0</v>
      </c>
      <c r="S1199" s="3" t="n">
        <v>44568.18904788195</v>
      </c>
      <c r="T1199" s="3" t="n">
        <v>44678.63829520834</v>
      </c>
      <c r="U1199" t="s">
        <v>31</v>
      </c>
      <c r="V1199" t="s">
        <v>8236</v>
      </c>
    </row>
    <row r="1200">
      <c r="A1200" t="s">
        <v>22</v>
      </c>
      <c r="B1200" t="s">
        <v>8237</v>
      </c>
      <c r="C1200" t="s">
        <v>24</v>
      </c>
      <c r="D1200" t="s">
        <v>69</v>
      </c>
      <c r="E1200" t="s">
        <v>8238</v>
      </c>
      <c r="F1200" s="2" t="n">
        <f>HYPERLINK("https://patents.google.com/patent/US20210409899","Google")</f>
        <v>0.0</v>
      </c>
      <c r="G1200" s="2" t="n">
        <f>HYPERLINK("https://patentcenter.uspto.gov/applications/17355003","Patent Center")</f>
        <v>0.0</v>
      </c>
      <c r="H1200" s="2" t="n">
        <f>HYPERLINK("https://worldwide.espacenet.com/patent/search?q=US20210409899","Espacenet")</f>
        <v>0.0</v>
      </c>
      <c r="I1200" s="2" t="n">
        <f>HYPERLINK("https://ppubs.uspto.gov/pubwebapp/external.html?q=20210409899.pn.","USPTO")</f>
        <v>0.0</v>
      </c>
      <c r="J1200" s="2" t="n">
        <f>HYPERLINK("https://image-ppubs.uspto.gov/dirsearch-public/print/downloadPdf/20210409899","USPTO PDF")</f>
        <v>0.0</v>
      </c>
      <c r="K1200" s="2" t="n">
        <f>HYPERLINK("https://sectors.patentforecast.com/pmd/US20210409899","PMD")</f>
        <v>0.0</v>
      </c>
      <c r="L1200" s="2" t="n">
        <f>HYPERLINK("https://globaldossier.uspto.gov/result/application/US/17355003/1","US20210409899")</f>
        <v>0.0</v>
      </c>
      <c r="M1200" t="s">
        <v>8239</v>
      </c>
      <c r="N1200" t="s">
        <v>8240</v>
      </c>
      <c r="O1200" t="s">
        <v>8241</v>
      </c>
      <c r="P1200" t="s">
        <v>8242</v>
      </c>
      <c r="Q1200" s="3" t="n">
        <v>44369.0</v>
      </c>
      <c r="R1200" s="3" t="n">
        <v>44560.0</v>
      </c>
      <c r="S1200" s="3" t="n">
        <v>44561.18889625</v>
      </c>
      <c r="T1200" s="3" t="n">
        <v>44678.48817179398</v>
      </c>
      <c r="U1200" t="s">
        <v>8243</v>
      </c>
      <c r="V1200" t="s">
        <v>8244</v>
      </c>
    </row>
    <row r="1201">
      <c r="A1201" t="s">
        <v>22</v>
      </c>
      <c r="B1201" t="s">
        <v>8245</v>
      </c>
      <c r="C1201" t="s">
        <v>24</v>
      </c>
      <c r="D1201" t="s">
        <v>43</v>
      </c>
      <c r="E1201" t="s">
        <v>8246</v>
      </c>
      <c r="F1201" s="2" t="n">
        <f>HYPERLINK("https://patents.google.com/patent/US20210407689","Google")</f>
        <v>0.0</v>
      </c>
      <c r="G1201" s="2" t="n">
        <f>HYPERLINK("https://patentcenter.uspto.gov/applications/16914433","Patent Center")</f>
        <v>0.0</v>
      </c>
      <c r="H1201" s="2" t="n">
        <f>HYPERLINK("https://worldwide.espacenet.com/patent/search?q=US20210407689","Espacenet")</f>
        <v>0.0</v>
      </c>
      <c r="I1201" s="2" t="n">
        <f>HYPERLINK("https://ppubs.uspto.gov/pubwebapp/external.html?q=20210407689.pn.","USPTO")</f>
        <v>0.0</v>
      </c>
      <c r="J1201" s="2" t="n">
        <f>HYPERLINK("https://image-ppubs.uspto.gov/dirsearch-public/print/downloadPdf/20210407689","USPTO PDF")</f>
        <v>0.0</v>
      </c>
      <c r="K1201" s="2" t="n">
        <f>HYPERLINK("https://sectors.patentforecast.com/pmd/US20210407689","PMD")</f>
        <v>0.0</v>
      </c>
      <c r="L1201" s="2" t="n">
        <f>HYPERLINK("https://globaldossier.uspto.gov/result/application/US/16914433/1","US20210407689")</f>
        <v>0.0</v>
      </c>
      <c r="M1201" t="s">
        <v>8247</v>
      </c>
      <c r="N1201" t="s">
        <v>8248</v>
      </c>
      <c r="O1201" t="s">
        <v>8249</v>
      </c>
      <c r="P1201" t="s">
        <v>8250</v>
      </c>
      <c r="Q1201" s="3" t="n">
        <v>44010.0</v>
      </c>
      <c r="R1201" s="3" t="n">
        <v>44560.0</v>
      </c>
      <c r="S1201" s="3" t="n">
        <v>44561.18785297454</v>
      </c>
      <c r="T1201" s="3" t="n">
        <v>44678.48984635417</v>
      </c>
      <c r="U1201" t="s">
        <v>8251</v>
      </c>
      <c r="V1201" t="s">
        <v>8252</v>
      </c>
    </row>
    <row r="1202">
      <c r="A1202" t="s">
        <v>22</v>
      </c>
      <c r="B1202" t="s">
        <v>8253</v>
      </c>
      <c r="C1202" t="s">
        <v>60</v>
      </c>
      <c r="D1202" t="s">
        <v>845</v>
      </c>
      <c r="E1202" t="s">
        <v>8254</v>
      </c>
      <c r="F1202" s="2" t="n">
        <f>HYPERLINK("https://patents.google.com/patent/US20210407683","Google")</f>
        <v>0.0</v>
      </c>
      <c r="G1202" s="2" t="n">
        <f>HYPERLINK("https://patentcenter.uspto.gov/applications/16916946","Patent Center")</f>
        <v>0.0</v>
      </c>
      <c r="H1202" s="2" t="n">
        <f>HYPERLINK("https://worldwide.espacenet.com/patent/search?q=US20210407683","Espacenet")</f>
        <v>0.0</v>
      </c>
      <c r="I1202" s="2" t="n">
        <f>HYPERLINK("https://ppubs.uspto.gov/pubwebapp/external.html?q=20210407683.pn.","USPTO")</f>
        <v>0.0</v>
      </c>
      <c r="J1202" s="2" t="n">
        <f>HYPERLINK("https://image-ppubs.uspto.gov/dirsearch-public/print/downloadPdf/20210407683","USPTO PDF")</f>
        <v>0.0</v>
      </c>
      <c r="K1202" s="2" t="n">
        <f>HYPERLINK("https://sectors.patentforecast.com/pmd/US20210407683","PMD")</f>
        <v>0.0</v>
      </c>
      <c r="L1202" s="2" t="n">
        <f>HYPERLINK("https://globaldossier.uspto.gov/result/application/US/16916946/1","US20210407683")</f>
        <v>0.0</v>
      </c>
      <c r="M1202" t="s">
        <v>8255</v>
      </c>
      <c r="N1202" t="s">
        <v>8256</v>
      </c>
      <c r="O1202" t="s">
        <v>8257</v>
      </c>
      <c r="P1202" t="s">
        <v>8258</v>
      </c>
      <c r="Q1202" s="3" t="n">
        <v>44012.0</v>
      </c>
      <c r="R1202" s="3" t="n">
        <v>44560.0</v>
      </c>
      <c r="S1202" s="3" t="n">
        <v>44643.2380796412</v>
      </c>
      <c r="T1202" s="3" t="n">
        <v>44672.49386241898</v>
      </c>
      <c r="U1202" t="s">
        <v>8259</v>
      </c>
      <c r="V1202" t="s">
        <v>8260</v>
      </c>
    </row>
    <row r="1203">
      <c r="A1203" t="s">
        <v>22</v>
      </c>
      <c r="B1203" t="s">
        <v>8261</v>
      </c>
      <c r="C1203" t="s">
        <v>132</v>
      </c>
      <c r="D1203" t="s">
        <v>133</v>
      </c>
      <c r="E1203" t="s">
        <v>8262</v>
      </c>
      <c r="F1203" s="2" t="n">
        <f>HYPERLINK("https://patents.google.com/patent/US20210407626","Google")</f>
        <v>0.0</v>
      </c>
      <c r="G1203" s="2" t="n">
        <f>HYPERLINK("https://patentcenter.uspto.gov/applications/17139287","Patent Center")</f>
        <v>0.0</v>
      </c>
      <c r="H1203" s="2" t="n">
        <f>HYPERLINK("https://worldwide.espacenet.com/patent/search?q=US20210407626","Espacenet")</f>
        <v>0.0</v>
      </c>
      <c r="I1203" s="2" t="n">
        <f>HYPERLINK("https://ppubs.uspto.gov/pubwebapp/external.html?q=20210407626.pn.","USPTO")</f>
        <v>0.0</v>
      </c>
      <c r="J1203" s="2" t="n">
        <f>HYPERLINK("https://image-ppubs.uspto.gov/dirsearch-public/print/downloadPdf/20210407626","USPTO PDF")</f>
        <v>0.0</v>
      </c>
      <c r="K1203" s="2" t="n">
        <f>HYPERLINK("https://sectors.patentforecast.com/pmd/US20210407626","PMD")</f>
        <v>0.0</v>
      </c>
      <c r="L1203" s="2" t="n">
        <f>HYPERLINK("https://globaldossier.uspto.gov/result/application/US/17139287/1","US20210407626")</f>
        <v>0.0</v>
      </c>
      <c r="M1203" t="s">
        <v>8263</v>
      </c>
      <c r="N1203" t="s">
        <v>8264</v>
      </c>
      <c r="O1203" t="s">
        <v>8265</v>
      </c>
      <c r="P1203" t="s">
        <v>8266</v>
      </c>
      <c r="Q1203" s="3" t="n">
        <v>44196.0</v>
      </c>
      <c r="R1203" s="3" t="n">
        <v>44560.0</v>
      </c>
      <c r="S1203" s="3" t="n">
        <v>44561.18889625</v>
      </c>
      <c r="T1203" s="3" t="n">
        <v>44678.483808391204</v>
      </c>
      <c r="U1203" t="s">
        <v>8267</v>
      </c>
      <c r="V1203" t="s">
        <v>8268</v>
      </c>
    </row>
    <row r="1204">
      <c r="A1204" t="s">
        <v>22</v>
      </c>
      <c r="B1204" t="s">
        <v>8269</v>
      </c>
      <c r="C1204" t="s">
        <v>24</v>
      </c>
      <c r="D1204" t="s">
        <v>100</v>
      </c>
      <c r="E1204" t="s">
        <v>8270</v>
      </c>
      <c r="F1204" s="2" t="n">
        <f>HYPERLINK("https://patents.google.com/patent/US20210407278","Google")</f>
        <v>0.0</v>
      </c>
      <c r="G1204" s="2" t="n">
        <f>HYPERLINK("https://patentcenter.uspto.gov/applications/17353990","Patent Center")</f>
        <v>0.0</v>
      </c>
      <c r="H1204" s="2" t="n">
        <f>HYPERLINK("https://worldwide.espacenet.com/patent/search?q=US20210407278","Espacenet")</f>
        <v>0.0</v>
      </c>
      <c r="I1204" s="2" t="n">
        <f>HYPERLINK("https://ppubs.uspto.gov/pubwebapp/external.html?q=20210407278.pn.","USPTO")</f>
        <v>0.0</v>
      </c>
      <c r="J1204" s="2" t="n">
        <f>HYPERLINK("https://image-ppubs.uspto.gov/dirsearch-public/print/downloadPdf/20210407278","USPTO PDF")</f>
        <v>0.0</v>
      </c>
      <c r="K1204" s="2" t="n">
        <f>HYPERLINK("https://sectors.patentforecast.com/pmd/US20210407278","PMD")</f>
        <v>0.0</v>
      </c>
      <c r="L1204" s="2" t="n">
        <f>HYPERLINK("https://globaldossier.uspto.gov/result/application/US/17353990/1","US20210407278")</f>
        <v>0.0</v>
      </c>
      <c r="M1204" t="s">
        <v>8271</v>
      </c>
      <c r="N1204" t="s">
        <v>8272</v>
      </c>
      <c r="O1204" t="s">
        <v>8273</v>
      </c>
      <c r="P1204" t="s">
        <v>8274</v>
      </c>
      <c r="Q1204" s="3" t="n">
        <v>44369.0</v>
      </c>
      <c r="R1204" s="3" t="n">
        <v>44560.0</v>
      </c>
      <c r="S1204" s="3" t="n">
        <v>44561.18889625</v>
      </c>
      <c r="T1204" s="3" t="n">
        <v>44678.57928900463</v>
      </c>
      <c r="U1204" t="s">
        <v>8275</v>
      </c>
      <c r="V1204" t="s">
        <v>8276</v>
      </c>
    </row>
    <row r="1205">
      <c r="A1205" t="s">
        <v>22</v>
      </c>
      <c r="B1205" t="s">
        <v>8277</v>
      </c>
      <c r="C1205" t="s">
        <v>24</v>
      </c>
      <c r="D1205" t="s">
        <v>69</v>
      </c>
      <c r="E1205" t="s">
        <v>8278</v>
      </c>
      <c r="F1205" s="2" t="n">
        <f>HYPERLINK("https://patents.google.com/patent/US20210405689","Google")</f>
        <v>0.0</v>
      </c>
      <c r="G1205" s="2" t="n">
        <f>HYPERLINK("https://patentcenter.uspto.gov/applications/17474090","Patent Center")</f>
        <v>0.0</v>
      </c>
      <c r="H1205" s="2" t="n">
        <f>HYPERLINK("https://worldwide.espacenet.com/patent/search?q=US20210405689","Espacenet")</f>
        <v>0.0</v>
      </c>
      <c r="I1205" s="2" t="n">
        <f>HYPERLINK("https://ppubs.uspto.gov/pubwebapp/external.html?q=20210405689.pn.","USPTO")</f>
        <v>0.0</v>
      </c>
      <c r="J1205" s="2" t="n">
        <f>HYPERLINK("https://image-ppubs.uspto.gov/dirsearch-public/print/downloadPdf/20210405689","USPTO PDF")</f>
        <v>0.0</v>
      </c>
      <c r="K1205" s="2" t="n">
        <f>HYPERLINK("https://sectors.patentforecast.com/pmd/US20210405689","PMD")</f>
        <v>0.0</v>
      </c>
      <c r="L1205" s="2" t="n">
        <f>HYPERLINK("https://globaldossier.uspto.gov/result/application/US/17474090/1","US20210405689")</f>
        <v>0.0</v>
      </c>
      <c r="M1205" t="s">
        <v>8279</v>
      </c>
      <c r="N1205" t="s">
        <v>8280</v>
      </c>
      <c r="O1205" t="s">
        <v>8280</v>
      </c>
      <c r="P1205" t="s">
        <v>8281</v>
      </c>
      <c r="Q1205" s="3" t="n">
        <v>44453.0</v>
      </c>
      <c r="R1205" s="3" t="n">
        <v>44560.0</v>
      </c>
      <c r="S1205" s="3" t="n">
        <v>44561.18889625</v>
      </c>
      <c r="T1205" s="3" t="n">
        <v>44678.64499375</v>
      </c>
      <c r="U1205" t="s">
        <v>8282</v>
      </c>
      <c r="V1205" t="s">
        <v>8283</v>
      </c>
    </row>
    <row r="1206">
      <c r="A1206" t="s">
        <v>22</v>
      </c>
      <c r="B1206" t="s">
        <v>8284</v>
      </c>
      <c r="C1206" t="s">
        <v>24</v>
      </c>
      <c r="D1206" t="s">
        <v>204</v>
      </c>
      <c r="E1206" t="s">
        <v>6841</v>
      </c>
      <c r="F1206" s="2" t="n">
        <f>HYPERLINK("https://patents.google.com/patent/US20210405366","Google")</f>
        <v>0.0</v>
      </c>
      <c r="G1206" s="2" t="n">
        <f>HYPERLINK("https://patentcenter.uspto.gov/applications/17389798","Patent Center")</f>
        <v>0.0</v>
      </c>
      <c r="H1206" s="2" t="n">
        <f>HYPERLINK("https://worldwide.espacenet.com/patent/search?q=US20210405366","Espacenet")</f>
        <v>0.0</v>
      </c>
      <c r="I1206" s="2" t="n">
        <f>HYPERLINK("https://ppubs.uspto.gov/pubwebapp/external.html?q=20210405366.pn.","USPTO")</f>
        <v>0.0</v>
      </c>
      <c r="J1206" s="2" t="n">
        <f>HYPERLINK("https://image-ppubs.uspto.gov/dirsearch-public/print/downloadPdf/20210405366","USPTO PDF")</f>
        <v>0.0</v>
      </c>
      <c r="K1206" s="2" t="n">
        <f>HYPERLINK("https://sectors.patentforecast.com/pmd/US20210405366","PMD")</f>
        <v>0.0</v>
      </c>
      <c r="L1206" s="2" t="n">
        <f>HYPERLINK("https://globaldossier.uspto.gov/result/application/US/17389798/1","US20210405366")</f>
        <v>0.0</v>
      </c>
      <c r="M1206" t="s">
        <v>8285</v>
      </c>
      <c r="N1206" t="s">
        <v>6843</v>
      </c>
      <c r="O1206" t="s">
        <v>6844</v>
      </c>
      <c r="P1206" t="s">
        <v>6845</v>
      </c>
      <c r="Q1206" s="3" t="n">
        <v>44407.0</v>
      </c>
      <c r="R1206" s="3" t="n">
        <v>44560.0</v>
      </c>
      <c r="S1206" s="3" t="n">
        <v>44643.23911607639</v>
      </c>
      <c r="T1206" s="3" t="n">
        <v>44719.60323010416</v>
      </c>
      <c r="U1206" t="s">
        <v>8286</v>
      </c>
      <c r="V1206" t="s">
        <v>6847</v>
      </c>
    </row>
    <row r="1207">
      <c r="A1207" t="s">
        <v>22</v>
      </c>
      <c r="B1207" t="s">
        <v>8287</v>
      </c>
      <c r="C1207" t="s">
        <v>24</v>
      </c>
      <c r="D1207" t="s">
        <v>51</v>
      </c>
      <c r="E1207" t="s">
        <v>8288</v>
      </c>
      <c r="F1207" s="2" t="n">
        <f>HYPERLINK("https://patents.google.com/patent/US20210405051","Google")</f>
        <v>0.0</v>
      </c>
      <c r="G1207" s="2" t="n">
        <f>HYPERLINK("https://patentcenter.uspto.gov/applications/17338640","Patent Center")</f>
        <v>0.0</v>
      </c>
      <c r="H1207" s="2" t="n">
        <f>HYPERLINK("https://worldwide.espacenet.com/patent/search?q=US20210405051","Espacenet")</f>
        <v>0.0</v>
      </c>
      <c r="I1207" s="2" t="n">
        <f>HYPERLINK("https://ppubs.uspto.gov/pubwebapp/external.html?q=20210405051.pn.","USPTO")</f>
        <v>0.0</v>
      </c>
      <c r="J1207" s="2" t="n">
        <f>HYPERLINK("https://image-ppubs.uspto.gov/dirsearch-public/print/downloadPdf/20210405051","USPTO PDF")</f>
        <v>0.0</v>
      </c>
      <c r="K1207" s="2" t="n">
        <f>HYPERLINK("https://sectors.patentforecast.com/pmd/US20210405051","PMD")</f>
        <v>0.0</v>
      </c>
      <c r="L1207" s="2" t="n">
        <f>HYPERLINK("https://globaldossier.uspto.gov/result/application/US/17338640/1","US20210405051")</f>
        <v>0.0</v>
      </c>
      <c r="M1207" t="s">
        <v>8289</v>
      </c>
      <c r="N1207" t="s">
        <v>8290</v>
      </c>
      <c r="O1207" t="s">
        <v>8290</v>
      </c>
      <c r="P1207" t="s">
        <v>8291</v>
      </c>
      <c r="Q1207" s="3" t="n">
        <v>44350.0</v>
      </c>
      <c r="R1207" s="3" t="n">
        <v>44560.0</v>
      </c>
      <c r="S1207" s="3" t="n">
        <v>44561.18889625</v>
      </c>
      <c r="T1207" s="3" t="n">
        <v>44678.55549491898</v>
      </c>
      <c r="U1207" t="s">
        <v>8292</v>
      </c>
      <c r="V1207" t="s">
        <v>8293</v>
      </c>
    </row>
    <row r="1208">
      <c r="A1208" t="s">
        <v>22</v>
      </c>
      <c r="B1208" t="s">
        <v>8294</v>
      </c>
      <c r="C1208" t="s">
        <v>24</v>
      </c>
      <c r="D1208" t="s">
        <v>34</v>
      </c>
      <c r="E1208" t="s">
        <v>8295</v>
      </c>
      <c r="F1208" s="2" t="n">
        <f>HYPERLINK("https://patents.google.com/patent/US20210404023","Google")</f>
        <v>0.0</v>
      </c>
      <c r="G1208" s="2" t="n">
        <f>HYPERLINK("https://patentcenter.uspto.gov/applications/16760945","Patent Center")</f>
        <v>0.0</v>
      </c>
      <c r="H1208" s="2" t="n">
        <f>HYPERLINK("https://worldwide.espacenet.com/patent/search?q=US20210404023","Espacenet")</f>
        <v>0.0</v>
      </c>
      <c r="I1208" s="2" t="n">
        <f>HYPERLINK("https://ppubs.uspto.gov/pubwebapp/external.html?q=20210404023.pn.","USPTO")</f>
        <v>0.0</v>
      </c>
      <c r="J1208" s="2" t="n">
        <f>HYPERLINK("https://image-ppubs.uspto.gov/dirsearch-public/print/downloadPdf/20210404023","USPTO PDF")</f>
        <v>0.0</v>
      </c>
      <c r="K1208" s="2" t="n">
        <f>HYPERLINK("https://sectors.patentforecast.com/pmd/US20210404023","PMD")</f>
        <v>0.0</v>
      </c>
      <c r="L1208" s="2" t="n">
        <f>HYPERLINK("https://globaldossier.uspto.gov/result/application/US/16760945/1","US20210404023")</f>
        <v>0.0</v>
      </c>
      <c r="M1208" t="s">
        <v>8296</v>
      </c>
      <c r="N1208" t="s">
        <v>8297</v>
      </c>
      <c r="O1208" t="s">
        <v>8298</v>
      </c>
      <c r="P1208" t="s">
        <v>8299</v>
      </c>
      <c r="Q1208" s="3" t="n">
        <v>40278.0</v>
      </c>
      <c r="R1208" s="3" t="n">
        <v>44560.0</v>
      </c>
      <c r="S1208" s="3" t="n">
        <v>44561.18889625</v>
      </c>
      <c r="T1208" s="3" t="n">
        <v>44638.70319829861</v>
      </c>
      <c r="U1208" t="s">
        <v>8300</v>
      </c>
      <c r="V1208" t="s">
        <v>8301</v>
      </c>
    </row>
    <row r="1209">
      <c r="A1209" t="s">
        <v>22</v>
      </c>
      <c r="B1209" t="s">
        <v>8302</v>
      </c>
      <c r="C1209" t="s">
        <v>132</v>
      </c>
      <c r="D1209" t="s">
        <v>133</v>
      </c>
      <c r="E1209" t="s">
        <v>8303</v>
      </c>
      <c r="F1209" s="2" t="n">
        <f>HYPERLINK("https://patents.google.com/patent/US20210403880","Google")</f>
        <v>0.0</v>
      </c>
      <c r="G1209" s="2" t="n">
        <f>HYPERLINK("https://patentcenter.uspto.gov/applications/17138065","Patent Center")</f>
        <v>0.0</v>
      </c>
      <c r="H1209" s="2" t="n">
        <f>HYPERLINK("https://worldwide.espacenet.com/patent/search?q=US20210403880","Espacenet")</f>
        <v>0.0</v>
      </c>
      <c r="I1209" s="2" t="n">
        <f>HYPERLINK("https://ppubs.uspto.gov/pubwebapp/external.html?q=20210403880.pn.","USPTO")</f>
        <v>0.0</v>
      </c>
      <c r="J1209" s="2" t="n">
        <f>HYPERLINK("https://image-ppubs.uspto.gov/dirsearch-public/print/downloadPdf/20210403880","USPTO PDF")</f>
        <v>0.0</v>
      </c>
      <c r="K1209" s="2" t="n">
        <f>HYPERLINK("https://sectors.patentforecast.com/pmd/US20210403880","PMD")</f>
        <v>0.0</v>
      </c>
      <c r="L1209" s="2" t="n">
        <f>HYPERLINK("https://globaldossier.uspto.gov/result/application/US/17138065/1","US20210403880")</f>
        <v>0.0</v>
      </c>
      <c r="M1209" t="s">
        <v>8304</v>
      </c>
      <c r="N1209" t="s">
        <v>8264</v>
      </c>
      <c r="O1209" t="s">
        <v>8265</v>
      </c>
      <c r="P1209" t="s">
        <v>8266</v>
      </c>
      <c r="Q1209" s="3" t="n">
        <v>44195.0</v>
      </c>
      <c r="R1209" s="3" t="n">
        <v>44560.0</v>
      </c>
      <c r="S1209" s="3" t="n">
        <v>44561.18889625</v>
      </c>
      <c r="T1209" s="3" t="n">
        <v>44678.48379303241</v>
      </c>
      <c r="U1209" t="s">
        <v>8305</v>
      </c>
      <c r="V1209" t="s">
        <v>8306</v>
      </c>
    </row>
    <row r="1210">
      <c r="A1210" t="s">
        <v>22</v>
      </c>
      <c r="B1210" t="s">
        <v>8307</v>
      </c>
      <c r="C1210" t="s">
        <v>24</v>
      </c>
      <c r="D1210" t="s">
        <v>25</v>
      </c>
      <c r="E1210" t="s">
        <v>8308</v>
      </c>
      <c r="F1210" s="2" t="n">
        <f>HYPERLINK("https://patents.google.com/patent/US20210403537","Google")</f>
        <v>0.0</v>
      </c>
      <c r="G1210" s="2" t="n">
        <f>HYPERLINK("https://patentcenter.uspto.gov/applications/17024392","Patent Center")</f>
        <v>0.0</v>
      </c>
      <c r="H1210" s="2" t="n">
        <f>HYPERLINK("https://worldwide.espacenet.com/patent/search?q=US20210403537","Espacenet")</f>
        <v>0.0</v>
      </c>
      <c r="I1210" s="2" t="n">
        <f>HYPERLINK("https://ppubs.uspto.gov/pubwebapp/external.html?q=20210403537.pn.","USPTO")</f>
        <v>0.0</v>
      </c>
      <c r="J1210" s="2" t="n">
        <f>HYPERLINK("https://image-ppubs.uspto.gov/dirsearch-public/print/downloadPdf/20210403537","USPTO PDF")</f>
        <v>0.0</v>
      </c>
      <c r="K1210" s="2" t="n">
        <f>HYPERLINK("https://sectors.patentforecast.com/pmd/US20210403537","PMD")</f>
        <v>0.0</v>
      </c>
      <c r="L1210" s="2" t="n">
        <f>HYPERLINK("https://globaldossier.uspto.gov/result/application/US/17024392/1","US20210403537")</f>
        <v>0.0</v>
      </c>
      <c r="M1210" t="s">
        <v>8309</v>
      </c>
      <c r="N1210" t="s">
        <v>5260</v>
      </c>
      <c r="O1210" t="s">
        <v>5261</v>
      </c>
      <c r="P1210" t="s">
        <v>5262</v>
      </c>
      <c r="Q1210" s="3" t="n">
        <v>44091.0</v>
      </c>
      <c r="R1210" s="3" t="n">
        <v>44560.0</v>
      </c>
      <c r="S1210" s="3" t="n">
        <v>44561.18889625</v>
      </c>
      <c r="T1210" s="3" t="n">
        <v>44638.6956806713</v>
      </c>
      <c r="U1210" t="s">
        <v>8310</v>
      </c>
      <c r="V1210" t="s">
        <v>5263</v>
      </c>
    </row>
    <row r="1211">
      <c r="A1211" t="s">
        <v>22</v>
      </c>
      <c r="B1211" t="s">
        <v>8311</v>
      </c>
      <c r="C1211" t="s">
        <v>24</v>
      </c>
      <c r="D1211" t="s">
        <v>25</v>
      </c>
      <c r="E1211" t="s">
        <v>8312</v>
      </c>
      <c r="F1211" s="2" t="n">
        <f>HYPERLINK("https://patents.google.com/patent/US20210402392","Google")</f>
        <v>0.0</v>
      </c>
      <c r="G1211" s="2" t="n">
        <f>HYPERLINK("https://patentcenter.uspto.gov/applications/17083113","Patent Center")</f>
        <v>0.0</v>
      </c>
      <c r="H1211" s="2" t="n">
        <f>HYPERLINK("https://worldwide.espacenet.com/patent/search?q=US20210402392","Espacenet")</f>
        <v>0.0</v>
      </c>
      <c r="I1211" s="2" t="n">
        <f>HYPERLINK("https://ppubs.uspto.gov/pubwebapp/external.html?q=20210402392.pn.","USPTO")</f>
        <v>0.0</v>
      </c>
      <c r="J1211" s="2" t="n">
        <f>HYPERLINK("https://image-ppubs.uspto.gov/dirsearch-public/print/downloadPdf/20210402392","USPTO PDF")</f>
        <v>0.0</v>
      </c>
      <c r="K1211" s="2" t="n">
        <f>HYPERLINK("https://sectors.patentforecast.com/pmd/US20210402392","PMD")</f>
        <v>0.0</v>
      </c>
      <c r="L1211" s="2" t="n">
        <f>HYPERLINK("https://globaldossier.uspto.gov/result/application/US/17083113/1","US20210402392")</f>
        <v>0.0</v>
      </c>
      <c r="M1211" t="s">
        <v>8313</v>
      </c>
      <c r="N1211" t="s">
        <v>8314</v>
      </c>
      <c r="O1211" t="s">
        <v>8315</v>
      </c>
      <c r="P1211" t="s">
        <v>8316</v>
      </c>
      <c r="Q1211" s="3" t="n">
        <v>44132.0</v>
      </c>
      <c r="R1211" s="3" t="n">
        <v>44560.0</v>
      </c>
      <c r="S1211" s="3" t="n">
        <v>44561.188897430555</v>
      </c>
      <c r="T1211" s="3" t="n">
        <v>44638.643938009256</v>
      </c>
      <c r="U1211" t="s">
        <v>8317</v>
      </c>
      <c r="V1211" t="s">
        <v>8318</v>
      </c>
    </row>
    <row r="1212">
      <c r="A1212" t="s">
        <v>22</v>
      </c>
      <c r="B1212" t="s">
        <v>8319</v>
      </c>
      <c r="C1212" t="s">
        <v>24</v>
      </c>
      <c r="D1212" t="s">
        <v>69</v>
      </c>
      <c r="E1212" t="s">
        <v>8320</v>
      </c>
      <c r="F1212" s="2" t="n">
        <f>HYPERLINK("https://patents.google.com/patent/US20210402230","Google")</f>
        <v>0.0</v>
      </c>
      <c r="G1212" s="2" t="n">
        <f>HYPERLINK("https://patentcenter.uspto.gov/applications/17341352","Patent Center")</f>
        <v>0.0</v>
      </c>
      <c r="H1212" s="2" t="n">
        <f>HYPERLINK("https://worldwide.espacenet.com/patent/search?q=US20210402230","Espacenet")</f>
        <v>0.0</v>
      </c>
      <c r="I1212" s="2" t="n">
        <f>HYPERLINK("https://ppubs.uspto.gov/pubwebapp/external.html?q=20210402230.pn.","USPTO")</f>
        <v>0.0</v>
      </c>
      <c r="J1212" s="2" t="n">
        <f>HYPERLINK("https://image-ppubs.uspto.gov/dirsearch-public/print/downloadPdf/20210402230","USPTO PDF")</f>
        <v>0.0</v>
      </c>
      <c r="K1212" s="2" t="n">
        <f>HYPERLINK("https://sectors.patentforecast.com/pmd/US20210402230","PMD")</f>
        <v>0.0</v>
      </c>
      <c r="L1212" s="2" t="n">
        <f>HYPERLINK("https://globaldossier.uspto.gov/result/application/US/17341352/1","US20210402230")</f>
        <v>0.0</v>
      </c>
      <c r="M1212" t="s">
        <v>8321</v>
      </c>
      <c r="N1212" t="s">
        <v>8322</v>
      </c>
      <c r="O1212" t="s">
        <v>8323</v>
      </c>
      <c r="P1212" t="s">
        <v>8324</v>
      </c>
      <c r="Q1212" s="3" t="n">
        <v>44354.0</v>
      </c>
      <c r="R1212" s="3" t="n">
        <v>44560.0</v>
      </c>
      <c r="S1212" s="3" t="n">
        <v>44561.188897430555</v>
      </c>
      <c r="T1212" s="3" t="n">
        <v>44678.48878128472</v>
      </c>
      <c r="U1212" t="s">
        <v>8325</v>
      </c>
      <c r="V1212" t="s">
        <v>8326</v>
      </c>
    </row>
    <row r="1213">
      <c r="A1213" t="s">
        <v>22</v>
      </c>
      <c r="B1213" t="s">
        <v>8327</v>
      </c>
      <c r="C1213" t="s">
        <v>24</v>
      </c>
      <c r="D1213" t="s">
        <v>69</v>
      </c>
      <c r="E1213" t="s">
        <v>8328</v>
      </c>
      <c r="F1213" s="2" t="n">
        <f>HYPERLINK("https://patents.google.com/patent/US20210402228","Google")</f>
        <v>0.0</v>
      </c>
      <c r="G1213" s="2" t="n">
        <f>HYPERLINK("https://patentcenter.uspto.gov/applications/17326656","Patent Center")</f>
        <v>0.0</v>
      </c>
      <c r="H1213" s="2" t="n">
        <f>HYPERLINK("https://worldwide.espacenet.com/patent/search?q=US20210402228","Espacenet")</f>
        <v>0.0</v>
      </c>
      <c r="I1213" s="2" t="n">
        <f>HYPERLINK("https://ppubs.uspto.gov/pubwebapp/external.html?q=20210402228.pn.","USPTO")</f>
        <v>0.0</v>
      </c>
      <c r="J1213" s="2" t="n">
        <f>HYPERLINK("https://image-ppubs.uspto.gov/dirsearch-public/print/downloadPdf/20210402228","USPTO PDF")</f>
        <v>0.0</v>
      </c>
      <c r="K1213" s="2" t="n">
        <f>HYPERLINK("https://sectors.patentforecast.com/pmd/US20210402228","PMD")</f>
        <v>0.0</v>
      </c>
      <c r="L1213" s="2" t="n">
        <f>HYPERLINK("https://globaldossier.uspto.gov/result/application/US/17326656/1","US20210402228")</f>
        <v>0.0</v>
      </c>
      <c r="M1213" t="s">
        <v>8329</v>
      </c>
      <c r="N1213" t="s">
        <v>8330</v>
      </c>
      <c r="O1213" t="s">
        <v>8330</v>
      </c>
      <c r="P1213" t="s">
        <v>8331</v>
      </c>
      <c r="Q1213" s="3" t="n">
        <v>44337.0</v>
      </c>
      <c r="R1213" s="3" t="n">
        <v>44560.0</v>
      </c>
      <c r="S1213" s="3" t="n">
        <v>44561.188897430555</v>
      </c>
      <c r="T1213" s="3" t="n">
        <v>44678.63997150463</v>
      </c>
      <c r="U1213" t="s">
        <v>8332</v>
      </c>
      <c r="V1213" t="s">
        <v>8333</v>
      </c>
    </row>
    <row r="1214">
      <c r="A1214" t="s">
        <v>22</v>
      </c>
      <c r="B1214" t="s">
        <v>8334</v>
      </c>
      <c r="C1214" t="s">
        <v>24</v>
      </c>
      <c r="D1214" t="s">
        <v>69</v>
      </c>
      <c r="E1214" t="s">
        <v>8335</v>
      </c>
      <c r="F1214" s="2" t="n">
        <f>HYPERLINK("https://patents.google.com/patent/US20210402225","Google")</f>
        <v>0.0</v>
      </c>
      <c r="G1214" s="2" t="n">
        <f>HYPERLINK("https://patentcenter.uspto.gov/applications/16910287","Patent Center")</f>
        <v>0.0</v>
      </c>
      <c r="H1214" s="2" t="n">
        <f>HYPERLINK("https://worldwide.espacenet.com/patent/search?q=US20210402225","Espacenet")</f>
        <v>0.0</v>
      </c>
      <c r="I1214" s="2" t="n">
        <f>HYPERLINK("https://ppubs.uspto.gov/pubwebapp/external.html?q=20210402225.pn.","USPTO")</f>
        <v>0.0</v>
      </c>
      <c r="J1214" s="2" t="n">
        <f>HYPERLINK("https://image-ppubs.uspto.gov/dirsearch-public/print/downloadPdf/20210402225","USPTO PDF")</f>
        <v>0.0</v>
      </c>
      <c r="K1214" s="2" t="n">
        <f>HYPERLINK("https://sectors.patentforecast.com/pmd/US20210402225","PMD")</f>
        <v>0.0</v>
      </c>
      <c r="L1214" s="2" t="n">
        <f>HYPERLINK("https://globaldossier.uspto.gov/result/application/US/16910287/1","US20210402225")</f>
        <v>0.0</v>
      </c>
      <c r="M1214" t="s">
        <v>8336</v>
      </c>
      <c r="N1214" t="s">
        <v>8337</v>
      </c>
      <c r="O1214" t="s">
        <v>8337</v>
      </c>
      <c r="P1214" t="s">
        <v>8338</v>
      </c>
      <c r="Q1214" s="3" t="n">
        <v>44006.0</v>
      </c>
      <c r="R1214" s="3" t="n">
        <v>44560.0</v>
      </c>
      <c r="S1214" s="3" t="n">
        <v>44561.188897430555</v>
      </c>
      <c r="T1214" s="3" t="n">
        <v>44678.638576875</v>
      </c>
      <c r="U1214" t="s">
        <v>8339</v>
      </c>
      <c r="V1214" t="s">
        <v>8340</v>
      </c>
    </row>
    <row r="1215">
      <c r="A1215" t="s">
        <v>22</v>
      </c>
      <c r="B1215" t="s">
        <v>8341</v>
      </c>
      <c r="C1215" t="s">
        <v>24</v>
      </c>
      <c r="D1215" t="s">
        <v>69</v>
      </c>
      <c r="E1215" t="s">
        <v>8342</v>
      </c>
      <c r="F1215" s="2" t="n">
        <f>HYPERLINK("https://patents.google.com/patent/US20210402224","Google")</f>
        <v>0.0</v>
      </c>
      <c r="G1215" s="2" t="n">
        <f>HYPERLINK("https://patentcenter.uspto.gov/applications/17352345","Patent Center")</f>
        <v>0.0</v>
      </c>
      <c r="H1215" s="2" t="n">
        <f>HYPERLINK("https://worldwide.espacenet.com/patent/search?q=US20210402224","Espacenet")</f>
        <v>0.0</v>
      </c>
      <c r="I1215" s="2" t="n">
        <f>HYPERLINK("https://ppubs.uspto.gov/pubwebapp/external.html?q=20210402224.pn.","USPTO")</f>
        <v>0.0</v>
      </c>
      <c r="J1215" s="2" t="n">
        <f>HYPERLINK("https://image-ppubs.uspto.gov/dirsearch-public/print/downloadPdf/20210402224","USPTO PDF")</f>
        <v>0.0</v>
      </c>
      <c r="K1215" s="2" t="n">
        <f>HYPERLINK("https://sectors.patentforecast.com/pmd/US20210402224","PMD")</f>
        <v>0.0</v>
      </c>
      <c r="L1215" s="2" t="n">
        <f>HYPERLINK("https://globaldossier.uspto.gov/result/application/US/17352345/1","US20210402224")</f>
        <v>0.0</v>
      </c>
      <c r="M1215" t="s">
        <v>8343</v>
      </c>
      <c r="N1215" t="s">
        <v>8344</v>
      </c>
      <c r="O1215" t="s">
        <v>8344</v>
      </c>
      <c r="P1215" t="s">
        <v>8345</v>
      </c>
      <c r="Q1215" s="3" t="n">
        <v>44367.0</v>
      </c>
      <c r="R1215" s="3" t="n">
        <v>44560.0</v>
      </c>
      <c r="S1215" s="3" t="n">
        <v>44561.188897430555</v>
      </c>
      <c r="T1215" s="3" t="n">
        <v>44678.638576875</v>
      </c>
      <c r="U1215" t="s">
        <v>8346</v>
      </c>
      <c r="V1215" t="s">
        <v>8347</v>
      </c>
    </row>
    <row r="1216">
      <c r="A1216" t="s">
        <v>22</v>
      </c>
      <c r="B1216" t="s">
        <v>8348</v>
      </c>
      <c r="C1216" t="s">
        <v>60</v>
      </c>
      <c r="D1216" t="s">
        <v>715</v>
      </c>
      <c r="E1216" t="s">
        <v>8349</v>
      </c>
      <c r="F1216" s="2" t="n">
        <f>HYPERLINK("https://patents.google.com/patent/US20210402218","Google")</f>
        <v>0.0</v>
      </c>
      <c r="G1216" s="2" t="n">
        <f>HYPERLINK("https://patentcenter.uspto.gov/applications/17242557","Patent Center")</f>
        <v>0.0</v>
      </c>
      <c r="H1216" s="2" t="n">
        <f>HYPERLINK("https://worldwide.espacenet.com/patent/search?q=US20210402218","Espacenet")</f>
        <v>0.0</v>
      </c>
      <c r="I1216" s="2" t="n">
        <f>HYPERLINK("https://ppubs.uspto.gov/pubwebapp/external.html?q=20210402218.pn.","USPTO")</f>
        <v>0.0</v>
      </c>
      <c r="J1216" s="2" t="n">
        <f>HYPERLINK("https://image-ppubs.uspto.gov/dirsearch-public/print/downloadPdf/20210402218","USPTO PDF")</f>
        <v>0.0</v>
      </c>
      <c r="K1216" s="2" t="n">
        <f>HYPERLINK("https://sectors.patentforecast.com/pmd/US20210402218","PMD")</f>
        <v>0.0</v>
      </c>
      <c r="L1216" s="2" t="n">
        <f>HYPERLINK("https://globaldossier.uspto.gov/result/application/US/17242557/1","US20210402218")</f>
        <v>0.0</v>
      </c>
      <c r="M1216" t="s">
        <v>8350</v>
      </c>
      <c r="N1216" t="s">
        <v>8351</v>
      </c>
      <c r="O1216" t="s">
        <v>8352</v>
      </c>
      <c r="P1216" t="s">
        <v>8353</v>
      </c>
      <c r="Q1216" s="3" t="n">
        <v>44314.0</v>
      </c>
      <c r="R1216" s="3" t="n">
        <v>44560.0</v>
      </c>
      <c r="S1216" s="3" t="n">
        <v>44561.188897430555</v>
      </c>
      <c r="T1216" s="3" t="n">
        <v>44757.75140431713</v>
      </c>
      <c r="U1216" t="s">
        <v>8354</v>
      </c>
      <c r="V1216" t="s">
        <v>8355</v>
      </c>
    </row>
    <row r="1217">
      <c r="A1217" t="s">
        <v>22</v>
      </c>
      <c r="B1217" t="s">
        <v>8356</v>
      </c>
      <c r="C1217" t="s">
        <v>24</v>
      </c>
      <c r="D1217" t="s">
        <v>100</v>
      </c>
      <c r="E1217" t="s">
        <v>8357</v>
      </c>
      <c r="F1217" s="2" t="n">
        <f>HYPERLINK("https://patents.google.com/patent/US20210402043","Google")</f>
        <v>0.0</v>
      </c>
      <c r="G1217" s="2" t="n">
        <f>HYPERLINK("https://patentcenter.uspto.gov/applications/16934622","Patent Center")</f>
        <v>0.0</v>
      </c>
      <c r="H1217" s="2" t="n">
        <f>HYPERLINK("https://worldwide.espacenet.com/patent/search?q=US20210402043","Espacenet")</f>
        <v>0.0</v>
      </c>
      <c r="I1217" s="2" t="n">
        <f>HYPERLINK("https://ppubs.uspto.gov/pubwebapp/external.html?q=20210402043.pn.","USPTO")</f>
        <v>0.0</v>
      </c>
      <c r="J1217" s="2" t="n">
        <f>HYPERLINK("https://image-ppubs.uspto.gov/dirsearch-public/print/downloadPdf/20210402043","USPTO PDF")</f>
        <v>0.0</v>
      </c>
      <c r="K1217" s="2" t="n">
        <f>HYPERLINK("https://sectors.patentforecast.com/pmd/US20210402043","PMD")</f>
        <v>0.0</v>
      </c>
      <c r="L1217" s="2" t="n">
        <f>HYPERLINK("https://globaldossier.uspto.gov/result/application/US/16934622/1","US20210402043")</f>
        <v>0.0</v>
      </c>
      <c r="M1217" t="s">
        <v>8358</v>
      </c>
      <c r="N1217" t="s">
        <v>8359</v>
      </c>
      <c r="O1217" t="s">
        <v>8360</v>
      </c>
      <c r="P1217" t="s">
        <v>8361</v>
      </c>
      <c r="Q1217" s="3" t="n">
        <v>44033.0</v>
      </c>
      <c r="R1217" s="3" t="n">
        <v>44560.0</v>
      </c>
      <c r="S1217" s="3" t="n">
        <v>44643.24316675926</v>
      </c>
      <c r="T1217" s="3" t="n">
        <v>44658.62137291667</v>
      </c>
      <c r="U1217" t="s">
        <v>8362</v>
      </c>
      <c r="V1217" t="s">
        <v>8363</v>
      </c>
    </row>
    <row r="1218">
      <c r="A1218" t="s">
        <v>22</v>
      </c>
      <c r="B1218" t="s">
        <v>8364</v>
      </c>
      <c r="C1218" t="s">
        <v>24</v>
      </c>
      <c r="D1218" t="s">
        <v>100</v>
      </c>
      <c r="E1218" t="s">
        <v>8365</v>
      </c>
      <c r="F1218" s="2" t="n">
        <f>HYPERLINK("https://patents.google.com/patent/US20210402031","Google")</f>
        <v>0.0</v>
      </c>
      <c r="G1218" s="2" t="n">
        <f>HYPERLINK("https://patentcenter.uspto.gov/applications/17169418","Patent Center")</f>
        <v>0.0</v>
      </c>
      <c r="H1218" s="2" t="n">
        <f>HYPERLINK("https://worldwide.espacenet.com/patent/search?q=US20210402031","Espacenet")</f>
        <v>0.0</v>
      </c>
      <c r="I1218" s="2" t="n">
        <f>HYPERLINK("https://ppubs.uspto.gov/pubwebapp/external.html?q=20210402031.pn.","USPTO")</f>
        <v>0.0</v>
      </c>
      <c r="J1218" s="2" t="n">
        <f>HYPERLINK("https://image-ppubs.uspto.gov/dirsearch-public/print/downloadPdf/20210402031","USPTO PDF")</f>
        <v>0.0</v>
      </c>
      <c r="K1218" s="2" t="n">
        <f>HYPERLINK("https://sectors.patentforecast.com/pmd/US20210402031","PMD")</f>
        <v>0.0</v>
      </c>
      <c r="L1218" s="2" t="n">
        <f>HYPERLINK("https://globaldossier.uspto.gov/result/application/US/17169418/1","US20210402031")</f>
        <v>0.0</v>
      </c>
      <c r="M1218" t="s">
        <v>8366</v>
      </c>
      <c r="N1218" t="s">
        <v>8367</v>
      </c>
      <c r="O1218" t="s">
        <v>8368</v>
      </c>
      <c r="P1218" t="s">
        <v>8369</v>
      </c>
      <c r="Q1218" s="3" t="n">
        <v>44233.0</v>
      </c>
      <c r="R1218" s="3" t="n">
        <v>44560.0</v>
      </c>
      <c r="S1218" s="3" t="n">
        <v>44561.188897430555</v>
      </c>
      <c r="T1218" s="3" t="n">
        <v>44678.57928900463</v>
      </c>
      <c r="U1218" t="s">
        <v>8370</v>
      </c>
      <c r="V1218" t="s">
        <v>8371</v>
      </c>
    </row>
    <row r="1219">
      <c r="A1219" t="s">
        <v>22</v>
      </c>
      <c r="B1219" t="s">
        <v>8372</v>
      </c>
      <c r="C1219" t="s">
        <v>24</v>
      </c>
      <c r="D1219" t="s">
        <v>100</v>
      </c>
      <c r="E1219" t="s">
        <v>8373</v>
      </c>
      <c r="F1219" s="2" t="n">
        <f>HYPERLINK("https://patents.google.com/patent/US20210402024","Google")</f>
        <v>0.0</v>
      </c>
      <c r="G1219" s="2" t="n">
        <f>HYPERLINK("https://patentcenter.uspto.gov/applications/17349062","Patent Center")</f>
        <v>0.0</v>
      </c>
      <c r="H1219" s="2" t="n">
        <f>HYPERLINK("https://worldwide.espacenet.com/patent/search?q=US20210402024","Espacenet")</f>
        <v>0.0</v>
      </c>
      <c r="I1219" s="2" t="n">
        <f>HYPERLINK("https://ppubs.uspto.gov/pubwebapp/external.html?q=20210402024.pn.","USPTO")</f>
        <v>0.0</v>
      </c>
      <c r="J1219" s="2" t="n">
        <f>HYPERLINK("https://image-ppubs.uspto.gov/dirsearch-public/print/downloadPdf/20210402024","USPTO PDF")</f>
        <v>0.0</v>
      </c>
      <c r="K1219" s="2" t="n">
        <f>HYPERLINK("https://sectors.patentforecast.com/pmd/US20210402024","PMD")</f>
        <v>0.0</v>
      </c>
      <c r="L1219" s="2" t="n">
        <f>HYPERLINK("https://globaldossier.uspto.gov/result/application/US/17349062/1","US20210402024")</f>
        <v>0.0</v>
      </c>
      <c r="M1219" t="s">
        <v>8374</v>
      </c>
      <c r="N1219" t="s">
        <v>8375</v>
      </c>
      <c r="O1219" t="s">
        <v>8375</v>
      </c>
      <c r="P1219" t="s">
        <v>8376</v>
      </c>
      <c r="Q1219" s="3" t="n">
        <v>44363.0</v>
      </c>
      <c r="R1219" s="3" t="n">
        <v>44560.0</v>
      </c>
      <c r="S1219" s="3" t="n">
        <v>44643.24316675926</v>
      </c>
      <c r="T1219" s="3" t="n">
        <v>44719.603299305556</v>
      </c>
      <c r="U1219" t="s">
        <v>8377</v>
      </c>
      <c r="V1219" t="s">
        <v>8378</v>
      </c>
    </row>
    <row r="1220">
      <c r="A1220" t="s">
        <v>22</v>
      </c>
      <c r="B1220" t="s">
        <v>8379</v>
      </c>
      <c r="C1220" t="s">
        <v>24</v>
      </c>
      <c r="D1220" t="s">
        <v>100</v>
      </c>
      <c r="E1220" t="s">
        <v>8380</v>
      </c>
      <c r="F1220" s="2" t="n">
        <f>HYPERLINK("https://patents.google.com/patent/US20210402022","Google")</f>
        <v>0.0</v>
      </c>
      <c r="G1220" s="2" t="n">
        <f>HYPERLINK("https://patentcenter.uspto.gov/applications/17333055","Patent Center")</f>
        <v>0.0</v>
      </c>
      <c r="H1220" s="2" t="n">
        <f>HYPERLINK("https://worldwide.espacenet.com/patent/search?q=US20210402022","Espacenet")</f>
        <v>0.0</v>
      </c>
      <c r="I1220" s="2" t="n">
        <f>HYPERLINK("https://ppubs.uspto.gov/pubwebapp/external.html?q=20210402022.pn.","USPTO")</f>
        <v>0.0</v>
      </c>
      <c r="J1220" s="2" t="n">
        <f>HYPERLINK("https://image-ppubs.uspto.gov/dirsearch-public/print/downloadPdf/20210402022","USPTO PDF")</f>
        <v>0.0</v>
      </c>
      <c r="K1220" s="2" t="n">
        <f>HYPERLINK("https://sectors.patentforecast.com/pmd/US20210402022","PMD")</f>
        <v>0.0</v>
      </c>
      <c r="L1220" s="2" t="n">
        <f>HYPERLINK("https://globaldossier.uspto.gov/result/application/US/17333055/1","US20210402022")</f>
        <v>0.0</v>
      </c>
      <c r="M1220" t="s">
        <v>8381</v>
      </c>
      <c r="N1220" t="s">
        <v>6558</v>
      </c>
      <c r="O1220" t="s">
        <v>6559</v>
      </c>
      <c r="P1220" t="s">
        <v>8382</v>
      </c>
      <c r="Q1220" s="3" t="n">
        <v>44344.0</v>
      </c>
      <c r="R1220" s="3" t="n">
        <v>44560.0</v>
      </c>
      <c r="S1220" s="3" t="n">
        <v>44643.24316675926</v>
      </c>
      <c r="T1220" s="3" t="n">
        <v>44719.60334450231</v>
      </c>
      <c r="U1220" t="s">
        <v>8383</v>
      </c>
      <c r="V1220" t="s">
        <v>8384</v>
      </c>
    </row>
    <row r="1221">
      <c r="A1221" t="s">
        <v>22</v>
      </c>
      <c r="B1221" t="s">
        <v>8385</v>
      </c>
      <c r="C1221" t="s">
        <v>24</v>
      </c>
      <c r="D1221" t="s">
        <v>100</v>
      </c>
      <c r="E1221" t="s">
        <v>8386</v>
      </c>
      <c r="F1221" s="2" t="n">
        <f>HYPERLINK("https://patents.google.com/patent/US20210402021","Google")</f>
        <v>0.0</v>
      </c>
      <c r="G1221" s="2" t="n">
        <f>HYPERLINK("https://patentcenter.uspto.gov/applications/17320609","Patent Center")</f>
        <v>0.0</v>
      </c>
      <c r="H1221" s="2" t="n">
        <f>HYPERLINK("https://worldwide.espacenet.com/patent/search?q=US20210402021","Espacenet")</f>
        <v>0.0</v>
      </c>
      <c r="I1221" s="2" t="n">
        <f>HYPERLINK("https://ppubs.uspto.gov/pubwebapp/external.html?q=20210402021.pn.","USPTO")</f>
        <v>0.0</v>
      </c>
      <c r="J1221" s="2" t="n">
        <f>HYPERLINK("https://image-ppubs.uspto.gov/dirsearch-public/print/downloadPdf/20210402021","USPTO PDF")</f>
        <v>0.0</v>
      </c>
      <c r="K1221" s="2" t="n">
        <f>HYPERLINK("https://sectors.patentforecast.com/pmd/US20210402021","PMD")</f>
        <v>0.0</v>
      </c>
      <c r="L1221" s="2" t="n">
        <f>HYPERLINK("https://globaldossier.uspto.gov/result/application/US/17320609/1","US20210402021")</f>
        <v>0.0</v>
      </c>
      <c r="M1221" t="s">
        <v>8387</v>
      </c>
      <c r="N1221" t="s">
        <v>6558</v>
      </c>
      <c r="O1221" t="s">
        <v>6559</v>
      </c>
      <c r="P1221" t="s">
        <v>8382</v>
      </c>
      <c r="Q1221" s="3" t="n">
        <v>44330.0</v>
      </c>
      <c r="R1221" s="3" t="n">
        <v>44560.0</v>
      </c>
      <c r="S1221" s="3" t="n">
        <v>44643.24316675926</v>
      </c>
      <c r="T1221" s="3" t="n">
        <v>44678.64693857639</v>
      </c>
      <c r="U1221" t="s">
        <v>8388</v>
      </c>
      <c r="V1221" t="s">
        <v>8389</v>
      </c>
    </row>
    <row r="1222">
      <c r="A1222" t="s">
        <v>22</v>
      </c>
      <c r="B1222" t="s">
        <v>8390</v>
      </c>
      <c r="C1222" t="s">
        <v>60</v>
      </c>
      <c r="D1222" t="s">
        <v>61</v>
      </c>
      <c r="E1222" t="s">
        <v>8391</v>
      </c>
      <c r="F1222" s="2" t="n">
        <f>HYPERLINK("https://patents.google.com/patent/US20210402001","Google")</f>
        <v>0.0</v>
      </c>
      <c r="G1222" s="2" t="n">
        <f>HYPERLINK("https://patentcenter.uspto.gov/applications/17189918","Patent Center")</f>
        <v>0.0</v>
      </c>
      <c r="H1222" s="2" t="n">
        <f>HYPERLINK("https://worldwide.espacenet.com/patent/search?q=US20210402001","Espacenet")</f>
        <v>0.0</v>
      </c>
      <c r="I1222" s="2" t="n">
        <f>HYPERLINK("https://ppubs.uspto.gov/pubwebapp/external.html?q=20210402001.pn.","USPTO")</f>
        <v>0.0</v>
      </c>
      <c r="J1222" s="2" t="n">
        <f>HYPERLINK("https://image-ppubs.uspto.gov/dirsearch-public/print/downloadPdf/20210402001","USPTO PDF")</f>
        <v>0.0</v>
      </c>
      <c r="K1222" s="2" t="n">
        <f>HYPERLINK("https://sectors.patentforecast.com/pmd/US20210402001","PMD")</f>
        <v>0.0</v>
      </c>
      <c r="L1222" s="2" t="n">
        <f>HYPERLINK("https://globaldossier.uspto.gov/result/application/US/17189918/1","US20210402001")</f>
        <v>0.0</v>
      </c>
      <c r="M1222" t="s">
        <v>8392</v>
      </c>
      <c r="N1222" t="s">
        <v>8393</v>
      </c>
      <c r="O1222" t="s">
        <v>8394</v>
      </c>
      <c r="P1222" t="s">
        <v>8395</v>
      </c>
      <c r="Q1222" s="3" t="n">
        <v>44257.0</v>
      </c>
      <c r="R1222" s="3" t="n">
        <v>44560.0</v>
      </c>
      <c r="S1222" s="3" t="n">
        <v>44561.188897430555</v>
      </c>
      <c r="T1222" s="3" t="n">
        <v>44678.541753495374</v>
      </c>
      <c r="U1222" t="s">
        <v>8396</v>
      </c>
      <c r="V1222" t="s">
        <v>8397</v>
      </c>
    </row>
    <row r="1223">
      <c r="A1223" t="s">
        <v>22</v>
      </c>
      <c r="B1223" t="s">
        <v>8398</v>
      </c>
      <c r="C1223" t="s">
        <v>132</v>
      </c>
      <c r="D1223" t="s">
        <v>133</v>
      </c>
      <c r="E1223" t="s">
        <v>8399</v>
      </c>
      <c r="F1223" s="2" t="n">
        <f>HYPERLINK("https://patents.google.com/patent/US20210401972","Google")</f>
        <v>0.0</v>
      </c>
      <c r="G1223" s="2" t="n">
        <f>HYPERLINK("https://patentcenter.uspto.gov/applications/17472003","Patent Center")</f>
        <v>0.0</v>
      </c>
      <c r="H1223" s="2" t="n">
        <f>HYPERLINK("https://worldwide.espacenet.com/patent/search?q=US20210401972","Espacenet")</f>
        <v>0.0</v>
      </c>
      <c r="I1223" s="2" t="n">
        <f>HYPERLINK("https://ppubs.uspto.gov/pubwebapp/external.html?q=20210401972.pn.","USPTO")</f>
        <v>0.0</v>
      </c>
      <c r="J1223" s="2" t="n">
        <f>HYPERLINK("https://image-ppubs.uspto.gov/dirsearch-public/print/downloadPdf/20210401972","USPTO PDF")</f>
        <v>0.0</v>
      </c>
      <c r="K1223" s="2" t="n">
        <f>HYPERLINK("https://sectors.patentforecast.com/pmd/US20210401972","PMD")</f>
        <v>0.0</v>
      </c>
      <c r="L1223" s="2" t="n">
        <f>HYPERLINK("https://globaldossier.uspto.gov/result/application/US/17472003/1","US20210401972")</f>
        <v>0.0</v>
      </c>
      <c r="M1223" t="s">
        <v>8400</v>
      </c>
      <c r="N1223" t="s">
        <v>7854</v>
      </c>
      <c r="O1223" t="s">
        <v>7855</v>
      </c>
      <c r="P1223" t="s">
        <v>8401</v>
      </c>
      <c r="Q1223" s="3" t="n">
        <v>44449.0</v>
      </c>
      <c r="R1223" s="3" t="n">
        <v>44560.0</v>
      </c>
      <c r="S1223" s="3" t="n">
        <v>44561.19005158565</v>
      </c>
      <c r="T1223" s="3" t="n">
        <v>44638.68962553241</v>
      </c>
      <c r="U1223" t="s">
        <v>8402</v>
      </c>
      <c r="V1223" t="s">
        <v>8403</v>
      </c>
    </row>
    <row r="1224">
      <c r="A1224" t="s">
        <v>22</v>
      </c>
      <c r="B1224" t="s">
        <v>8404</v>
      </c>
      <c r="C1224" t="s">
        <v>132</v>
      </c>
      <c r="D1224" t="s">
        <v>133</v>
      </c>
      <c r="E1224" t="s">
        <v>8405</v>
      </c>
      <c r="F1224" s="2" t="n">
        <f>HYPERLINK("https://patents.google.com/patent/US20210401971","Google")</f>
        <v>0.0</v>
      </c>
      <c r="G1224" s="2" t="n">
        <f>HYPERLINK("https://patentcenter.uspto.gov/applications/17467632","Patent Center")</f>
        <v>0.0</v>
      </c>
      <c r="H1224" s="2" t="n">
        <f>HYPERLINK("https://worldwide.espacenet.com/patent/search?q=US20210401971","Espacenet")</f>
        <v>0.0</v>
      </c>
      <c r="I1224" s="2" t="n">
        <f>HYPERLINK("https://ppubs.uspto.gov/pubwebapp/external.html?q=20210401971.pn.","USPTO")</f>
        <v>0.0</v>
      </c>
      <c r="J1224" s="2" t="n">
        <f>HYPERLINK("https://image-ppubs.uspto.gov/dirsearch-public/print/downloadPdf/20210401971","USPTO PDF")</f>
        <v>0.0</v>
      </c>
      <c r="K1224" s="2" t="n">
        <f>HYPERLINK("https://sectors.patentforecast.com/pmd/US20210401971","PMD")</f>
        <v>0.0</v>
      </c>
      <c r="L1224" s="2" t="n">
        <f>HYPERLINK("https://globaldossier.uspto.gov/result/application/US/17467632/1","US20210401971")</f>
        <v>0.0</v>
      </c>
      <c r="M1224" t="s">
        <v>8406</v>
      </c>
      <c r="N1224" t="s">
        <v>136</v>
      </c>
      <c r="O1224" t="s">
        <v>137</v>
      </c>
      <c r="P1224" t="s">
        <v>8407</v>
      </c>
      <c r="Q1224" s="3" t="n">
        <v>44446.0</v>
      </c>
      <c r="R1224" s="3" t="n">
        <v>44560.0</v>
      </c>
      <c r="S1224" s="3" t="n">
        <v>44561.19051325232</v>
      </c>
      <c r="T1224" s="3" t="n">
        <v>44638.68962553241</v>
      </c>
      <c r="U1224" t="s">
        <v>8408</v>
      </c>
      <c r="V1224" t="s">
        <v>8409</v>
      </c>
    </row>
    <row r="1225">
      <c r="A1225" t="s">
        <v>22</v>
      </c>
      <c r="B1225" t="s">
        <v>8410</v>
      </c>
      <c r="C1225" t="s">
        <v>60</v>
      </c>
      <c r="D1225" t="s">
        <v>61</v>
      </c>
      <c r="E1225" t="s">
        <v>8411</v>
      </c>
      <c r="F1225" s="2" t="n">
        <f>HYPERLINK("https://patents.google.com/patent/US20210401898","Google")</f>
        <v>0.0</v>
      </c>
      <c r="G1225" s="2" t="n">
        <f>HYPERLINK("https://patentcenter.uspto.gov/applications/17228276","Patent Center")</f>
        <v>0.0</v>
      </c>
      <c r="H1225" s="2" t="n">
        <f>HYPERLINK("https://worldwide.espacenet.com/patent/search?q=US20210401898","Espacenet")</f>
        <v>0.0</v>
      </c>
      <c r="I1225" s="2" t="n">
        <f>HYPERLINK("https://ppubs.uspto.gov/pubwebapp/external.html?q=20210401898.pn.","USPTO")</f>
        <v>0.0</v>
      </c>
      <c r="J1225" s="2" t="n">
        <f>HYPERLINK("https://image-ppubs.uspto.gov/dirsearch-public/print/downloadPdf/20210401898","USPTO PDF")</f>
        <v>0.0</v>
      </c>
      <c r="K1225" s="2" t="n">
        <f>HYPERLINK("https://sectors.patentforecast.com/pmd/US20210401898","PMD")</f>
        <v>0.0</v>
      </c>
      <c r="L1225" s="2" t="n">
        <f>HYPERLINK("https://globaldossier.uspto.gov/result/application/US/17228276/1","US20210401898")</f>
        <v>0.0</v>
      </c>
      <c r="M1225" t="s">
        <v>8412</v>
      </c>
      <c r="N1225" t="s">
        <v>7160</v>
      </c>
      <c r="O1225" t="s">
        <v>7160</v>
      </c>
      <c r="P1225" t="s">
        <v>8413</v>
      </c>
      <c r="Q1225" s="3" t="n">
        <v>44298.0</v>
      </c>
      <c r="R1225" s="3" t="n">
        <v>44560.0</v>
      </c>
      <c r="S1225" s="3" t="n">
        <v>44561.188897430555</v>
      </c>
      <c r="T1225" s="3" t="n">
        <v>44678.54133108796</v>
      </c>
      <c r="U1225" t="s">
        <v>8414</v>
      </c>
      <c r="V1225" t="s">
        <v>8415</v>
      </c>
    </row>
    <row r="1226">
      <c r="A1226" t="s">
        <v>22</v>
      </c>
      <c r="B1226" t="s">
        <v>8416</v>
      </c>
      <c r="C1226" t="s">
        <v>60</v>
      </c>
      <c r="D1226" t="s">
        <v>61</v>
      </c>
      <c r="E1226" t="s">
        <v>8417</v>
      </c>
      <c r="F1226" s="2" t="n">
        <f>HYPERLINK("https://patents.google.com/patent/US20210401876","Google")</f>
        <v>0.0</v>
      </c>
      <c r="G1226" s="2" t="n">
        <f>HYPERLINK("https://patentcenter.uspto.gov/applications/17275086","Patent Center")</f>
        <v>0.0</v>
      </c>
      <c r="H1226" s="2" t="n">
        <f>HYPERLINK("https://worldwide.espacenet.com/patent/search?q=US20210401876","Espacenet")</f>
        <v>0.0</v>
      </c>
      <c r="I1226" s="2" t="n">
        <f>HYPERLINK("https://ppubs.uspto.gov/pubwebapp/external.html?q=20210401876.pn.","USPTO")</f>
        <v>0.0</v>
      </c>
      <c r="J1226" s="2" t="n">
        <f>HYPERLINK("https://image-ppubs.uspto.gov/dirsearch-public/print/downloadPdf/20210401876","USPTO PDF")</f>
        <v>0.0</v>
      </c>
      <c r="K1226" s="2" t="n">
        <f>HYPERLINK("https://sectors.patentforecast.com/pmd/US20210401876","PMD")</f>
        <v>0.0</v>
      </c>
      <c r="L1226" s="2" t="n">
        <f>HYPERLINK("https://globaldossier.uspto.gov/result/application/US/17275086/1","US20210401876")</f>
        <v>0.0</v>
      </c>
      <c r="M1226" t="s">
        <v>8418</v>
      </c>
      <c r="N1226" t="s">
        <v>8419</v>
      </c>
      <c r="O1226" t="s">
        <v>8420</v>
      </c>
      <c r="P1226" t="s">
        <v>8421</v>
      </c>
      <c r="Q1226" s="3" t="n">
        <v>44119.0</v>
      </c>
      <c r="R1226" s="3" t="n">
        <v>44560.0</v>
      </c>
      <c r="S1226" s="3" t="n">
        <v>44561.188897430555</v>
      </c>
      <c r="T1226" s="3" t="n">
        <v>44678.54221935185</v>
      </c>
      <c r="U1226" t="s">
        <v>8422</v>
      </c>
      <c r="V1226" t="s">
        <v>8423</v>
      </c>
    </row>
    <row r="1227">
      <c r="A1227" t="s">
        <v>22</v>
      </c>
      <c r="B1227" t="s">
        <v>8424</v>
      </c>
      <c r="C1227" t="s">
        <v>60</v>
      </c>
      <c r="D1227" t="s">
        <v>2262</v>
      </c>
      <c r="E1227" t="s">
        <v>8425</v>
      </c>
      <c r="F1227" s="2" t="n">
        <f>HYPERLINK("https://patents.google.com/patent/US20210401773","Google")</f>
        <v>0.0</v>
      </c>
      <c r="G1227" s="2" t="n">
        <f>HYPERLINK("https://patentcenter.uspto.gov/applications/16857479","Patent Center")</f>
        <v>0.0</v>
      </c>
      <c r="H1227" s="2" t="n">
        <f>HYPERLINK("https://worldwide.espacenet.com/patent/search?q=US20210401773","Espacenet")</f>
        <v>0.0</v>
      </c>
      <c r="I1227" s="2" t="n">
        <f>HYPERLINK("https://ppubs.uspto.gov/pubwebapp/external.html?q=20210401773.pn.","USPTO")</f>
        <v>0.0</v>
      </c>
      <c r="J1227" s="2" t="n">
        <f>HYPERLINK("https://image-ppubs.uspto.gov/dirsearch-public/print/downloadPdf/20210401773","USPTO PDF")</f>
        <v>0.0</v>
      </c>
      <c r="K1227" s="2" t="n">
        <f>HYPERLINK("https://sectors.patentforecast.com/pmd/US20210401773","PMD")</f>
        <v>0.0</v>
      </c>
      <c r="L1227" s="2" t="n">
        <f>HYPERLINK("https://globaldossier.uspto.gov/result/application/US/16857479/1","US20210401773")</f>
        <v>0.0</v>
      </c>
      <c r="M1227" t="s">
        <v>8426</v>
      </c>
      <c r="N1227" t="s">
        <v>8427</v>
      </c>
      <c r="O1227" t="s">
        <v>8427</v>
      </c>
      <c r="P1227" t="s">
        <v>8428</v>
      </c>
      <c r="Q1227" s="3" t="n">
        <v>44007.0</v>
      </c>
      <c r="R1227" s="3" t="n">
        <v>44560.0</v>
      </c>
      <c r="S1227" s="3" t="n">
        <v>44561.188897430555</v>
      </c>
      <c r="T1227" s="3" t="n">
        <v>44678.541449212964</v>
      </c>
      <c r="U1227" t="s">
        <v>8429</v>
      </c>
      <c r="V1227" t="s">
        <v>8430</v>
      </c>
    </row>
    <row r="1228">
      <c r="A1228" t="s">
        <v>22</v>
      </c>
      <c r="B1228" t="s">
        <v>8431</v>
      </c>
      <c r="C1228" t="s">
        <v>60</v>
      </c>
      <c r="D1228" t="s">
        <v>61</v>
      </c>
      <c r="E1228" t="s">
        <v>92</v>
      </c>
      <c r="F1228" s="2" t="n">
        <f>HYPERLINK("https://patents.google.com/patent/US20210401732","Google")</f>
        <v>0.0</v>
      </c>
      <c r="G1228" s="2" t="n">
        <f>HYPERLINK("https://patentcenter.uspto.gov/applications/16946572","Patent Center")</f>
        <v>0.0</v>
      </c>
      <c r="H1228" s="2" t="n">
        <f>HYPERLINK("https://worldwide.espacenet.com/patent/search?q=US20210401732","Espacenet")</f>
        <v>0.0</v>
      </c>
      <c r="I1228" s="2" t="n">
        <f>HYPERLINK("https://ppubs.uspto.gov/pubwebapp/external.html?q=20210401732.pn.","USPTO")</f>
        <v>0.0</v>
      </c>
      <c r="J1228" s="2" t="n">
        <f>HYPERLINK("https://image-ppubs.uspto.gov/dirsearch-public/print/downloadPdf/20210401732","USPTO PDF")</f>
        <v>0.0</v>
      </c>
      <c r="K1228" s="2" t="n">
        <f>HYPERLINK("https://sectors.patentforecast.com/pmd/US20210401732","PMD")</f>
        <v>0.0</v>
      </c>
      <c r="L1228" s="2" t="n">
        <f>HYPERLINK("https://globaldossier.uspto.gov/result/application/US/16946572/1","US20210401732")</f>
        <v>0.0</v>
      </c>
      <c r="M1228" t="s">
        <v>8432</v>
      </c>
      <c r="N1228" t="s">
        <v>94</v>
      </c>
      <c r="O1228" t="s">
        <v>94</v>
      </c>
      <c r="P1228" t="s">
        <v>95</v>
      </c>
      <c r="Q1228" s="3" t="n">
        <v>44008.0</v>
      </c>
      <c r="R1228" s="3" t="n">
        <v>44560.0</v>
      </c>
      <c r="S1228" s="3" t="n">
        <v>44561.188897430555</v>
      </c>
      <c r="T1228" s="3" t="n">
        <v>44678.5431090625</v>
      </c>
      <c r="U1228" t="s">
        <v>8433</v>
      </c>
      <c r="V1228" t="s">
        <v>96</v>
      </c>
    </row>
    <row r="1229">
      <c r="A1229" t="s">
        <v>22</v>
      </c>
      <c r="B1229" t="s">
        <v>8434</v>
      </c>
      <c r="C1229" t="s">
        <v>24</v>
      </c>
      <c r="D1229" t="s">
        <v>100</v>
      </c>
      <c r="E1229" t="s">
        <v>8435</v>
      </c>
      <c r="F1229" s="2" t="n">
        <f>HYPERLINK("https://patents.google.com/patent/US20210401691","Google")</f>
        <v>0.0</v>
      </c>
      <c r="G1229" s="2" t="n">
        <f>HYPERLINK("https://patentcenter.uspto.gov/applications/17361230","Patent Center")</f>
        <v>0.0</v>
      </c>
      <c r="H1229" s="2" t="n">
        <f>HYPERLINK("https://worldwide.espacenet.com/patent/search?q=US20210401691","Espacenet")</f>
        <v>0.0</v>
      </c>
      <c r="I1229" s="2" t="n">
        <f>HYPERLINK("https://ppubs.uspto.gov/pubwebapp/external.html?q=20210401691.pn.","USPTO")</f>
        <v>0.0</v>
      </c>
      <c r="J1229" s="2" t="n">
        <f>HYPERLINK("https://image-ppubs.uspto.gov/dirsearch-public/print/downloadPdf/20210401691","USPTO PDF")</f>
        <v>0.0</v>
      </c>
      <c r="K1229" s="2" t="n">
        <f>HYPERLINK("https://sectors.patentforecast.com/pmd/US20210401691","PMD")</f>
        <v>0.0</v>
      </c>
      <c r="L1229" s="2" t="n">
        <f>HYPERLINK("https://globaldossier.uspto.gov/result/application/US/17361230/1","US20210401691")</f>
        <v>0.0</v>
      </c>
      <c r="M1229" t="s">
        <v>8436</v>
      </c>
      <c r="N1229" t="s">
        <v>8437</v>
      </c>
      <c r="O1229" t="s">
        <v>8438</v>
      </c>
      <c r="P1229" t="s">
        <v>8439</v>
      </c>
      <c r="Q1229" s="3" t="n">
        <v>44375.0</v>
      </c>
      <c r="R1229" s="3" t="n">
        <v>44560.0</v>
      </c>
      <c r="S1229" s="3" t="n">
        <v>44561.188897430555</v>
      </c>
      <c r="T1229" s="3" t="n">
        <v>44678.57928900463</v>
      </c>
      <c r="U1229" t="s">
        <v>8440</v>
      </c>
      <c r="V1229" t="s">
        <v>8441</v>
      </c>
    </row>
    <row r="1230">
      <c r="A1230" t="s">
        <v>22</v>
      </c>
      <c r="B1230" t="s">
        <v>8442</v>
      </c>
      <c r="C1230" t="s">
        <v>24</v>
      </c>
      <c r="D1230" t="s">
        <v>69</v>
      </c>
      <c r="E1230" t="s">
        <v>8443</v>
      </c>
      <c r="F1230" s="2" t="n">
        <f>HYPERLINK("https://patents.google.com/patent/US20210401105","Google")</f>
        <v>0.0</v>
      </c>
      <c r="G1230" s="2" t="n">
        <f>HYPERLINK("https://patentcenter.uspto.gov/applications/17354165","Patent Center")</f>
        <v>0.0</v>
      </c>
      <c r="H1230" s="2" t="n">
        <f>HYPERLINK("https://worldwide.espacenet.com/patent/search?q=US20210401105","Espacenet")</f>
        <v>0.0</v>
      </c>
      <c r="I1230" s="2" t="n">
        <f>HYPERLINK("https://ppubs.uspto.gov/pubwebapp/external.html?q=20210401105.pn.","USPTO")</f>
        <v>0.0</v>
      </c>
      <c r="J1230" s="2" t="n">
        <f>HYPERLINK("https://image-ppubs.uspto.gov/dirsearch-public/print/downloadPdf/20210401105","USPTO PDF")</f>
        <v>0.0</v>
      </c>
      <c r="K1230" s="2" t="n">
        <f>HYPERLINK("https://sectors.patentforecast.com/pmd/US20210401105","PMD")</f>
        <v>0.0</v>
      </c>
      <c r="L1230" s="2" t="n">
        <f>HYPERLINK("https://globaldossier.uspto.gov/result/application/US/17354165/1","US20210401105")</f>
        <v>0.0</v>
      </c>
      <c r="M1230" t="s">
        <v>8444</v>
      </c>
      <c r="N1230" t="s">
        <v>8445</v>
      </c>
      <c r="O1230" t="s">
        <v>8446</v>
      </c>
      <c r="P1230" t="s">
        <v>8447</v>
      </c>
      <c r="Q1230" s="3" t="n">
        <v>44369.0</v>
      </c>
      <c r="R1230" s="3" t="n">
        <v>44560.0</v>
      </c>
      <c r="S1230" s="3" t="n">
        <v>44561.188897430555</v>
      </c>
      <c r="T1230" s="3" t="n">
        <v>44643.44718322917</v>
      </c>
      <c r="U1230" t="s">
        <v>8448</v>
      </c>
      <c r="V1230" t="s">
        <v>8449</v>
      </c>
    </row>
    <row r="1231">
      <c r="A1231" t="s">
        <v>22</v>
      </c>
      <c r="B1231" t="s">
        <v>8450</v>
      </c>
      <c r="C1231" t="s">
        <v>24</v>
      </c>
      <c r="D1231" t="s">
        <v>69</v>
      </c>
      <c r="E1231" t="s">
        <v>8451</v>
      </c>
      <c r="F1231" s="2" t="n">
        <f>HYPERLINK("https://patents.google.com/patent/US20210401091","Google")</f>
        <v>0.0</v>
      </c>
      <c r="G1231" s="2" t="n">
        <f>HYPERLINK("https://patentcenter.uspto.gov/applications/17357432","Patent Center")</f>
        <v>0.0</v>
      </c>
      <c r="H1231" s="2" t="n">
        <f>HYPERLINK("https://worldwide.espacenet.com/patent/search?q=US20210401091","Espacenet")</f>
        <v>0.0</v>
      </c>
      <c r="I1231" s="2" t="n">
        <f>HYPERLINK("https://ppubs.uspto.gov/pubwebapp/external.html?q=20210401091.pn.","USPTO")</f>
        <v>0.0</v>
      </c>
      <c r="J1231" s="2" t="n">
        <f>HYPERLINK("https://image-ppubs.uspto.gov/dirsearch-public/print/downloadPdf/20210401091","USPTO PDF")</f>
        <v>0.0</v>
      </c>
      <c r="K1231" s="2" t="n">
        <f>HYPERLINK("https://sectors.patentforecast.com/pmd/US20210401091","PMD")</f>
        <v>0.0</v>
      </c>
      <c r="L1231" s="2" t="n">
        <f>HYPERLINK("https://globaldossier.uspto.gov/result/application/US/17357432/1","US20210401091")</f>
        <v>0.0</v>
      </c>
      <c r="M1231" t="s">
        <v>8452</v>
      </c>
      <c r="N1231" t="s">
        <v>8453</v>
      </c>
      <c r="O1231" t="s">
        <v>8454</v>
      </c>
      <c r="P1231" t="s">
        <v>8455</v>
      </c>
      <c r="Q1231" s="3" t="n">
        <v>44371.0</v>
      </c>
      <c r="R1231" s="3" t="n">
        <v>44560.0</v>
      </c>
      <c r="S1231" s="3" t="n">
        <v>44561.188897430555</v>
      </c>
      <c r="T1231" s="3" t="n">
        <v>44757.7517905787</v>
      </c>
      <c r="U1231" t="s">
        <v>8456</v>
      </c>
      <c r="V1231" t="s">
        <v>8457</v>
      </c>
    </row>
    <row r="1232">
      <c r="A1232" t="s">
        <v>22</v>
      </c>
      <c r="B1232" t="s">
        <v>8458</v>
      </c>
      <c r="C1232" t="s">
        <v>24</v>
      </c>
      <c r="D1232" t="s">
        <v>8459</v>
      </c>
      <c r="E1232" t="s">
        <v>8460</v>
      </c>
      <c r="F1232" s="2" t="n">
        <f>HYPERLINK("https://patents.google.com/patent/US20210401090","Google")</f>
        <v>0.0</v>
      </c>
      <c r="G1232" s="2" t="n">
        <f>HYPERLINK("https://patentcenter.uspto.gov/applications/17144795","Patent Center")</f>
        <v>0.0</v>
      </c>
      <c r="H1232" s="2" t="n">
        <f>HYPERLINK("https://worldwide.espacenet.com/patent/search?q=US20210401090","Espacenet")</f>
        <v>0.0</v>
      </c>
      <c r="I1232" s="2" t="n">
        <f>HYPERLINK("https://ppubs.uspto.gov/pubwebapp/external.html?q=20210401090.pn.","USPTO")</f>
        <v>0.0</v>
      </c>
      <c r="J1232" s="2" t="n">
        <f>HYPERLINK("https://image-ppubs.uspto.gov/dirsearch-public/print/downloadPdf/20210401090","USPTO PDF")</f>
        <v>0.0</v>
      </c>
      <c r="K1232" s="2" t="n">
        <f>HYPERLINK("https://sectors.patentforecast.com/pmd/US20210401090","PMD")</f>
        <v>0.0</v>
      </c>
      <c r="L1232" s="2" t="n">
        <f>HYPERLINK("https://globaldossier.uspto.gov/result/application/US/17144795/1","US20210401090")</f>
        <v>0.0</v>
      </c>
      <c r="M1232" t="s">
        <v>8461</v>
      </c>
      <c r="N1232" t="s">
        <v>8462</v>
      </c>
      <c r="O1232" t="s">
        <v>8463</v>
      </c>
      <c r="P1232" t="s">
        <v>8464</v>
      </c>
      <c r="Q1232" s="3" t="n">
        <v>44204.0</v>
      </c>
      <c r="R1232" s="3" t="n">
        <v>44560.0</v>
      </c>
      <c r="S1232" s="3" t="n">
        <v>44561.188897430555</v>
      </c>
      <c r="T1232" s="3" t="n">
        <v>44643.44208652778</v>
      </c>
      <c r="U1232" t="s">
        <v>8036</v>
      </c>
      <c r="V1232" t="s">
        <v>8465</v>
      </c>
    </row>
    <row r="1233">
      <c r="A1233" t="s">
        <v>22</v>
      </c>
      <c r="B1233" t="s">
        <v>8466</v>
      </c>
      <c r="C1233" t="s">
        <v>24</v>
      </c>
      <c r="D1233" t="s">
        <v>69</v>
      </c>
      <c r="E1233" t="s">
        <v>8467</v>
      </c>
      <c r="F1233" s="2" t="n">
        <f>HYPERLINK("https://patents.google.com/patent/US20210401089","Google")</f>
        <v>0.0</v>
      </c>
      <c r="G1233" s="2" t="n">
        <f>HYPERLINK("https://patentcenter.uspto.gov/applications/16913239","Patent Center")</f>
        <v>0.0</v>
      </c>
      <c r="H1233" s="2" t="n">
        <f>HYPERLINK("https://worldwide.espacenet.com/patent/search?q=US20210401089","Espacenet")</f>
        <v>0.0</v>
      </c>
      <c r="I1233" s="2" t="n">
        <f>HYPERLINK("https://ppubs.uspto.gov/pubwebapp/external.html?q=20210401089.pn.","USPTO")</f>
        <v>0.0</v>
      </c>
      <c r="J1233" s="2" t="n">
        <f>HYPERLINK("https://image-ppubs.uspto.gov/dirsearch-public/print/downloadPdf/20210401089","USPTO PDF")</f>
        <v>0.0</v>
      </c>
      <c r="K1233" s="2" t="n">
        <f>HYPERLINK("https://sectors.patentforecast.com/pmd/US20210401089","PMD")</f>
        <v>0.0</v>
      </c>
      <c r="L1233" s="2" t="n">
        <f>HYPERLINK("https://globaldossier.uspto.gov/result/application/US/16913239/1","US20210401089")</f>
        <v>0.0</v>
      </c>
      <c r="M1233" t="s">
        <v>8468</v>
      </c>
      <c r="N1233" t="s">
        <v>8469</v>
      </c>
      <c r="O1233" t="s">
        <v>8470</v>
      </c>
      <c r="P1233" t="s">
        <v>8471</v>
      </c>
      <c r="Q1233" s="3" t="n">
        <v>44008.0</v>
      </c>
      <c r="R1233" s="3" t="n">
        <v>44560.0</v>
      </c>
      <c r="S1233" s="3" t="n">
        <v>44561.188897430555</v>
      </c>
      <c r="T1233" s="3" t="n">
        <v>44678.63169162037</v>
      </c>
      <c r="U1233" t="s">
        <v>8472</v>
      </c>
      <c r="V1233" t="s">
        <v>8473</v>
      </c>
    </row>
    <row r="1234">
      <c r="A1234" t="s">
        <v>22</v>
      </c>
      <c r="B1234" t="s">
        <v>8474</v>
      </c>
      <c r="C1234" t="s">
        <v>24</v>
      </c>
      <c r="D1234" t="s">
        <v>69</v>
      </c>
      <c r="E1234" t="s">
        <v>8475</v>
      </c>
      <c r="F1234" s="2" t="n">
        <f>HYPERLINK("https://patents.google.com/patent/US20210401088","Google")</f>
        <v>0.0</v>
      </c>
      <c r="G1234" s="2" t="n">
        <f>HYPERLINK("https://patentcenter.uspto.gov/applications/17018325","Patent Center")</f>
        <v>0.0</v>
      </c>
      <c r="H1234" s="2" t="n">
        <f>HYPERLINK("https://worldwide.espacenet.com/patent/search?q=US20210401088","Espacenet")</f>
        <v>0.0</v>
      </c>
      <c r="I1234" s="2" t="n">
        <f>HYPERLINK("https://ppubs.uspto.gov/pubwebapp/external.html?q=20210401088.pn.","USPTO")</f>
        <v>0.0</v>
      </c>
      <c r="J1234" s="2" t="n">
        <f>HYPERLINK("https://image-ppubs.uspto.gov/dirsearch-public/print/downloadPdf/20210401088","USPTO PDF")</f>
        <v>0.0</v>
      </c>
      <c r="K1234" s="2" t="n">
        <f>HYPERLINK("https://sectors.patentforecast.com/pmd/US20210401088","PMD")</f>
        <v>0.0</v>
      </c>
      <c r="L1234" s="2" t="n">
        <f>HYPERLINK("https://globaldossier.uspto.gov/result/application/US/17018325/1","US20210401088")</f>
        <v>0.0</v>
      </c>
      <c r="M1234" t="s">
        <v>8476</v>
      </c>
      <c r="N1234" t="s">
        <v>8477</v>
      </c>
      <c r="O1234" t="s">
        <v>8477</v>
      </c>
      <c r="P1234" t="s">
        <v>8478</v>
      </c>
      <c r="Q1234" s="3" t="n">
        <v>44085.0</v>
      </c>
      <c r="R1234" s="3" t="n">
        <v>44560.0</v>
      </c>
      <c r="S1234" s="3" t="n">
        <v>44561.188897430555</v>
      </c>
      <c r="T1234" s="3" t="n">
        <v>44757.75190575232</v>
      </c>
      <c r="U1234" t="s">
        <v>8479</v>
      </c>
      <c r="V1234" t="s">
        <v>8480</v>
      </c>
    </row>
    <row r="1235">
      <c r="A1235" t="s">
        <v>22</v>
      </c>
      <c r="B1235" t="s">
        <v>8481</v>
      </c>
      <c r="C1235" t="s">
        <v>24</v>
      </c>
      <c r="D1235" t="s">
        <v>69</v>
      </c>
      <c r="E1235" t="s">
        <v>8482</v>
      </c>
      <c r="F1235" s="2" t="n">
        <f>HYPERLINK("https://patents.google.com/patent/US20210401087","Google")</f>
        <v>0.0</v>
      </c>
      <c r="G1235" s="2" t="n">
        <f>HYPERLINK("https://patentcenter.uspto.gov/applications/17339423","Patent Center")</f>
        <v>0.0</v>
      </c>
      <c r="H1235" s="2" t="n">
        <f>HYPERLINK("https://worldwide.espacenet.com/patent/search?q=US20210401087","Espacenet")</f>
        <v>0.0</v>
      </c>
      <c r="I1235" s="2" t="n">
        <f>HYPERLINK("https://ppubs.uspto.gov/pubwebapp/external.html?q=20210401087.pn.","USPTO")</f>
        <v>0.0</v>
      </c>
      <c r="J1235" s="2" t="n">
        <f>HYPERLINK("https://image-ppubs.uspto.gov/dirsearch-public/print/downloadPdf/20210401087","USPTO PDF")</f>
        <v>0.0</v>
      </c>
      <c r="K1235" s="2" t="n">
        <f>HYPERLINK("https://sectors.patentforecast.com/pmd/US20210401087","PMD")</f>
        <v>0.0</v>
      </c>
      <c r="L1235" s="2" t="n">
        <f>HYPERLINK("https://globaldossier.uspto.gov/result/application/US/17339423/1","US20210401087")</f>
        <v>0.0</v>
      </c>
      <c r="M1235" t="s">
        <v>8483</v>
      </c>
      <c r="N1235" t="s">
        <v>8484</v>
      </c>
      <c r="O1235" t="s">
        <v>8485</v>
      </c>
      <c r="P1235" t="s">
        <v>8486</v>
      </c>
      <c r="Q1235" s="3" t="n">
        <v>44351.0</v>
      </c>
      <c r="R1235" s="3" t="n">
        <v>44560.0</v>
      </c>
      <c r="S1235" s="3" t="n">
        <v>44561.188897430555</v>
      </c>
      <c r="T1235" s="3" t="n">
        <v>44678.63190804398</v>
      </c>
      <c r="U1235" t="s">
        <v>8487</v>
      </c>
      <c r="V1235" t="s">
        <v>8488</v>
      </c>
    </row>
    <row r="1236">
      <c r="A1236" t="s">
        <v>22</v>
      </c>
      <c r="B1236" t="s">
        <v>8489</v>
      </c>
      <c r="C1236" t="s">
        <v>24</v>
      </c>
      <c r="D1236" t="s">
        <v>100</v>
      </c>
      <c r="E1236" t="s">
        <v>8490</v>
      </c>
      <c r="F1236" s="2" t="n">
        <f>HYPERLINK("https://patents.google.com/patent/US20210401086","Google")</f>
        <v>0.0</v>
      </c>
      <c r="G1236" s="2" t="n">
        <f>HYPERLINK("https://patentcenter.uspto.gov/applications/17362619","Patent Center")</f>
        <v>0.0</v>
      </c>
      <c r="H1236" s="2" t="n">
        <f>HYPERLINK("https://worldwide.espacenet.com/patent/search?q=US20210401086","Espacenet")</f>
        <v>0.0</v>
      </c>
      <c r="I1236" s="2" t="n">
        <f>HYPERLINK("https://ppubs.uspto.gov/pubwebapp/external.html?q=20210401086.pn.","USPTO")</f>
        <v>0.0</v>
      </c>
      <c r="J1236" s="2" t="n">
        <f>HYPERLINK("https://image-ppubs.uspto.gov/dirsearch-public/print/downloadPdf/20210401086","USPTO PDF")</f>
        <v>0.0</v>
      </c>
      <c r="K1236" s="2" t="n">
        <f>HYPERLINK("https://sectors.patentforecast.com/pmd/US20210401086","PMD")</f>
        <v>0.0</v>
      </c>
      <c r="L1236" s="2" t="n">
        <f>HYPERLINK("https://globaldossier.uspto.gov/result/application/US/17362619/1","US20210401086")</f>
        <v>0.0</v>
      </c>
      <c r="M1236" t="s">
        <v>8491</v>
      </c>
      <c r="N1236" t="s">
        <v>8492</v>
      </c>
      <c r="O1236" t="s">
        <v>8493</v>
      </c>
      <c r="P1236" t="s">
        <v>8494</v>
      </c>
      <c r="Q1236" s="3" t="n">
        <v>44376.0</v>
      </c>
      <c r="R1236" s="3" t="n">
        <v>44560.0</v>
      </c>
      <c r="S1236" s="3" t="n">
        <v>44561.188897430555</v>
      </c>
      <c r="T1236" s="3" t="n">
        <v>44678.57928900463</v>
      </c>
      <c r="U1236" t="s">
        <v>8495</v>
      </c>
      <c r="V1236" t="s">
        <v>8496</v>
      </c>
    </row>
    <row r="1237">
      <c r="A1237" t="s">
        <v>22</v>
      </c>
      <c r="B1237" t="s">
        <v>8497</v>
      </c>
      <c r="C1237" t="s">
        <v>24</v>
      </c>
      <c r="D1237" t="s">
        <v>69</v>
      </c>
      <c r="E1237" t="s">
        <v>8498</v>
      </c>
      <c r="F1237" s="2" t="n">
        <f>HYPERLINK("https://patents.google.com/patent/US20210401084","Google")</f>
        <v>0.0</v>
      </c>
      <c r="G1237" s="2" t="n">
        <f>HYPERLINK("https://patentcenter.uspto.gov/applications/17018354","Patent Center")</f>
        <v>0.0</v>
      </c>
      <c r="H1237" s="2" t="n">
        <f>HYPERLINK("https://worldwide.espacenet.com/patent/search?q=US20210401084","Espacenet")</f>
        <v>0.0</v>
      </c>
      <c r="I1237" s="2" t="n">
        <f>HYPERLINK("https://ppubs.uspto.gov/pubwebapp/external.html?q=20210401084.pn.","USPTO")</f>
        <v>0.0</v>
      </c>
      <c r="J1237" s="2" t="n">
        <f>HYPERLINK("https://image-ppubs.uspto.gov/dirsearch-public/print/downloadPdf/20210401084","USPTO PDF")</f>
        <v>0.0</v>
      </c>
      <c r="K1237" s="2" t="n">
        <f>HYPERLINK("https://sectors.patentforecast.com/pmd/US20210401084","PMD")</f>
        <v>0.0</v>
      </c>
      <c r="L1237" s="2" t="n">
        <f>HYPERLINK("https://globaldossier.uspto.gov/result/application/US/17018354/1","US20210401084")</f>
        <v>0.0</v>
      </c>
      <c r="M1237" t="s">
        <v>8499</v>
      </c>
      <c r="N1237" t="s">
        <v>8477</v>
      </c>
      <c r="O1237" t="s">
        <v>8477</v>
      </c>
      <c r="P1237" t="s">
        <v>8478</v>
      </c>
      <c r="Q1237" s="3" t="n">
        <v>44085.0</v>
      </c>
      <c r="R1237" s="3" t="n">
        <v>44560.0</v>
      </c>
      <c r="S1237" s="3" t="n">
        <v>44561.188897430555</v>
      </c>
      <c r="T1237" s="3" t="n">
        <v>44678.638576875</v>
      </c>
      <c r="U1237" t="s">
        <v>4145</v>
      </c>
      <c r="V1237" t="s">
        <v>8500</v>
      </c>
    </row>
    <row r="1238">
      <c r="A1238" t="s">
        <v>22</v>
      </c>
      <c r="B1238" t="s">
        <v>8501</v>
      </c>
      <c r="C1238" t="s">
        <v>24</v>
      </c>
      <c r="D1238" t="s">
        <v>69</v>
      </c>
      <c r="E1238" t="s">
        <v>8502</v>
      </c>
      <c r="F1238" s="2" t="n">
        <f>HYPERLINK("https://patents.google.com/patent/US20210401080","Google")</f>
        <v>0.0</v>
      </c>
      <c r="G1238" s="2" t="n">
        <f>HYPERLINK("https://patentcenter.uspto.gov/applications/17360105","Patent Center")</f>
        <v>0.0</v>
      </c>
      <c r="H1238" s="2" t="n">
        <f>HYPERLINK("https://worldwide.espacenet.com/patent/search?q=US20210401080","Espacenet")</f>
        <v>0.0</v>
      </c>
      <c r="I1238" s="2" t="n">
        <f>HYPERLINK("https://ppubs.uspto.gov/pubwebapp/external.html?q=20210401080.pn.","USPTO")</f>
        <v>0.0</v>
      </c>
      <c r="J1238" s="2" t="n">
        <f>HYPERLINK("https://image-ppubs.uspto.gov/dirsearch-public/print/downloadPdf/20210401080","USPTO PDF")</f>
        <v>0.0</v>
      </c>
      <c r="K1238" s="2" t="n">
        <f>HYPERLINK("https://sectors.patentforecast.com/pmd/US20210401080","PMD")</f>
        <v>0.0</v>
      </c>
      <c r="L1238" s="2" t="n">
        <f>HYPERLINK("https://globaldossier.uspto.gov/result/application/US/17360105/1","US20210401080")</f>
        <v>0.0</v>
      </c>
      <c r="M1238" t="s">
        <v>8503</v>
      </c>
      <c r="N1238" t="s">
        <v>8504</v>
      </c>
      <c r="O1238" t="s">
        <v>8505</v>
      </c>
      <c r="P1238" t="s">
        <v>8506</v>
      </c>
      <c r="Q1238" s="3" t="n">
        <v>44375.0</v>
      </c>
      <c r="R1238" s="3" t="n">
        <v>44560.0</v>
      </c>
      <c r="S1238" s="3" t="n">
        <v>44561.188897430555</v>
      </c>
      <c r="T1238" s="3" t="n">
        <v>44678.63980457176</v>
      </c>
      <c r="U1238" t="s">
        <v>8507</v>
      </c>
      <c r="V1238" t="s">
        <v>8508</v>
      </c>
    </row>
    <row r="1239">
      <c r="A1239" t="s">
        <v>22</v>
      </c>
      <c r="B1239" t="s">
        <v>8509</v>
      </c>
      <c r="C1239" t="s">
        <v>24</v>
      </c>
      <c r="D1239" t="s">
        <v>43</v>
      </c>
      <c r="E1239" t="s">
        <v>8510</v>
      </c>
      <c r="F1239" s="2" t="n">
        <f>HYPERLINK("https://patents.google.com/patent/US20210400453","Google")</f>
        <v>0.0</v>
      </c>
      <c r="G1239" s="2" t="n">
        <f>HYPERLINK("https://patentcenter.uspto.gov/applications/16904537","Patent Center")</f>
        <v>0.0</v>
      </c>
      <c r="H1239" s="2" t="n">
        <f>HYPERLINK("https://worldwide.espacenet.com/patent/search?q=US20210400453","Espacenet")</f>
        <v>0.0</v>
      </c>
      <c r="I1239" s="2" t="n">
        <f>HYPERLINK("https://ppubs.uspto.gov/pubwebapp/external.html?q=20210400453.pn.","USPTO")</f>
        <v>0.0</v>
      </c>
      <c r="J1239" s="2" t="n">
        <f>HYPERLINK("https://image-ppubs.uspto.gov/dirsearch-public/print/downloadPdf/20210400453","USPTO PDF")</f>
        <v>0.0</v>
      </c>
      <c r="K1239" s="2" t="n">
        <f>HYPERLINK("https://sectors.patentforecast.com/pmd/US20210400453","PMD")</f>
        <v>0.0</v>
      </c>
      <c r="L1239" s="2" t="n">
        <f>HYPERLINK("https://globaldossier.uspto.gov/result/application/US/16904537/1","US20210400453")</f>
        <v>0.0</v>
      </c>
      <c r="M1239" t="s">
        <v>8511</v>
      </c>
      <c r="N1239" t="s">
        <v>8512</v>
      </c>
      <c r="O1239" t="s">
        <v>8512</v>
      </c>
      <c r="P1239" t="s">
        <v>8513</v>
      </c>
      <c r="Q1239" s="3" t="n">
        <v>43999.0</v>
      </c>
      <c r="R1239" s="3" t="n">
        <v>44553.0</v>
      </c>
      <c r="S1239" s="3" t="n">
        <v>44554.18900652778</v>
      </c>
      <c r="T1239" s="3" t="n">
        <v>44678.485369016205</v>
      </c>
      <c r="U1239" t="s">
        <v>8514</v>
      </c>
      <c r="V1239" t="s">
        <v>8515</v>
      </c>
    </row>
    <row r="1240">
      <c r="A1240" t="s">
        <v>22</v>
      </c>
      <c r="B1240" t="s">
        <v>8516</v>
      </c>
      <c r="C1240" t="s">
        <v>24</v>
      </c>
      <c r="D1240" t="s">
        <v>43</v>
      </c>
      <c r="E1240" t="s">
        <v>8517</v>
      </c>
      <c r="F1240" s="2" t="n">
        <f>HYPERLINK("https://patents.google.com/patent/US20210399873","Google")</f>
        <v>0.0</v>
      </c>
      <c r="G1240" s="2" t="n">
        <f>HYPERLINK("https://patentcenter.uspto.gov/applications/17337935","Patent Center")</f>
        <v>0.0</v>
      </c>
      <c r="H1240" s="2" t="n">
        <f>HYPERLINK("https://worldwide.espacenet.com/patent/search?q=US20210399873","Espacenet")</f>
        <v>0.0</v>
      </c>
      <c r="I1240" s="2" t="n">
        <f>HYPERLINK("https://ppubs.uspto.gov/pubwebapp/external.html?q=20210399873.pn.","USPTO")</f>
        <v>0.0</v>
      </c>
      <c r="J1240" s="2" t="n">
        <f>HYPERLINK("https://image-ppubs.uspto.gov/dirsearch-public/print/downloadPdf/20210399873","USPTO PDF")</f>
        <v>0.0</v>
      </c>
      <c r="K1240" s="2" t="n">
        <f>HYPERLINK("https://sectors.patentforecast.com/pmd/US20210399873","PMD")</f>
        <v>0.0</v>
      </c>
      <c r="L1240" s="2" t="n">
        <f>HYPERLINK("https://globaldossier.uspto.gov/result/application/US/17337935/1","US20210399873")</f>
        <v>0.0</v>
      </c>
      <c r="M1240" t="s">
        <v>8518</v>
      </c>
      <c r="N1240" t="s">
        <v>8519</v>
      </c>
      <c r="O1240" t="s">
        <v>8520</v>
      </c>
      <c r="P1240" t="s">
        <v>8521</v>
      </c>
      <c r="Q1240" s="3" t="n">
        <v>44350.0</v>
      </c>
      <c r="R1240" s="3" t="n">
        <v>44553.0</v>
      </c>
      <c r="S1240" s="3" t="n">
        <v>44554.18900652778</v>
      </c>
      <c r="T1240" s="3" t="n">
        <v>44678.646265324074</v>
      </c>
      <c r="U1240" t="s">
        <v>8522</v>
      </c>
      <c r="V1240" t="s">
        <v>8523</v>
      </c>
    </row>
    <row r="1241">
      <c r="A1241" t="s">
        <v>22</v>
      </c>
      <c r="B1241" t="s">
        <v>8524</v>
      </c>
      <c r="C1241" t="s">
        <v>24</v>
      </c>
      <c r="D1241" t="s">
        <v>69</v>
      </c>
      <c r="E1241" t="s">
        <v>8525</v>
      </c>
      <c r="F1241" s="2" t="n">
        <f>HYPERLINK("https://patents.google.com/patent/US20210398691","Google")</f>
        <v>0.0</v>
      </c>
      <c r="G1241" s="2" t="n">
        <f>HYPERLINK("https://patentcenter.uspto.gov/applications/17328356","Patent Center")</f>
        <v>0.0</v>
      </c>
      <c r="H1241" s="2" t="n">
        <f>HYPERLINK("https://worldwide.espacenet.com/patent/search?q=US20210398691","Espacenet")</f>
        <v>0.0</v>
      </c>
      <c r="I1241" s="2" t="n">
        <f>HYPERLINK("https://ppubs.uspto.gov/pubwebapp/external.html?q=20210398691.pn.","USPTO")</f>
        <v>0.0</v>
      </c>
      <c r="J1241" s="2" t="n">
        <f>HYPERLINK("https://image-ppubs.uspto.gov/dirsearch-public/print/downloadPdf/20210398691","USPTO PDF")</f>
        <v>0.0</v>
      </c>
      <c r="K1241" s="2" t="n">
        <f>HYPERLINK("https://sectors.patentforecast.com/pmd/US20210398691","PMD")</f>
        <v>0.0</v>
      </c>
      <c r="L1241" s="2" t="n">
        <f>HYPERLINK("https://globaldossier.uspto.gov/result/application/US/17328356/1","US20210398691")</f>
        <v>0.0</v>
      </c>
      <c r="M1241" t="s">
        <v>8526</v>
      </c>
      <c r="N1241" t="s">
        <v>2232</v>
      </c>
      <c r="O1241" t="s">
        <v>2232</v>
      </c>
      <c r="P1241" t="s">
        <v>8527</v>
      </c>
      <c r="Q1241" s="3" t="n">
        <v>44340.0</v>
      </c>
      <c r="R1241" s="3" t="n">
        <v>44553.0</v>
      </c>
      <c r="S1241" s="3" t="n">
        <v>44554.189930706016</v>
      </c>
      <c r="T1241" s="3" t="n">
        <v>44678.37402800926</v>
      </c>
      <c r="U1241" t="s">
        <v>8528</v>
      </c>
      <c r="V1241" t="s">
        <v>8529</v>
      </c>
    </row>
    <row r="1242">
      <c r="A1242" t="s">
        <v>22</v>
      </c>
      <c r="B1242" t="s">
        <v>8530</v>
      </c>
      <c r="C1242" t="s">
        <v>24</v>
      </c>
      <c r="D1242" t="s">
        <v>69</v>
      </c>
      <c r="E1242" t="s">
        <v>8531</v>
      </c>
      <c r="F1242" s="2" t="n">
        <f>HYPERLINK("https://patents.google.com/patent/US20210398690","Google")</f>
        <v>0.0</v>
      </c>
      <c r="G1242" s="2" t="n">
        <f>HYPERLINK("https://patentcenter.uspto.gov/applications/17314565","Patent Center")</f>
        <v>0.0</v>
      </c>
      <c r="H1242" s="2" t="n">
        <f>HYPERLINK("https://worldwide.espacenet.com/patent/search?q=US20210398690","Espacenet")</f>
        <v>0.0</v>
      </c>
      <c r="I1242" s="2" t="n">
        <f>HYPERLINK("https://ppubs.uspto.gov/pubwebapp/external.html?q=20210398690.pn.","USPTO")</f>
        <v>0.0</v>
      </c>
      <c r="J1242" s="2" t="n">
        <f>HYPERLINK("https://image-ppubs.uspto.gov/dirsearch-public/print/downloadPdf/20210398690","USPTO PDF")</f>
        <v>0.0</v>
      </c>
      <c r="K1242" s="2" t="n">
        <f>HYPERLINK("https://sectors.patentforecast.com/pmd/US20210398690","PMD")</f>
        <v>0.0</v>
      </c>
      <c r="L1242" s="2" t="n">
        <f>HYPERLINK("https://globaldossier.uspto.gov/result/application/US/17314565/1","US20210398690")</f>
        <v>0.0</v>
      </c>
      <c r="M1242" t="s">
        <v>8532</v>
      </c>
      <c r="N1242" t="s">
        <v>2232</v>
      </c>
      <c r="O1242" t="s">
        <v>2232</v>
      </c>
      <c r="P1242" t="s">
        <v>8533</v>
      </c>
      <c r="Q1242" s="3" t="n">
        <v>44323.0</v>
      </c>
      <c r="R1242" s="3" t="n">
        <v>44553.0</v>
      </c>
      <c r="S1242" s="3" t="n">
        <v>44554.18900652778</v>
      </c>
      <c r="T1242" s="3" t="n">
        <v>44678.37306829861</v>
      </c>
      <c r="U1242" t="s">
        <v>8534</v>
      </c>
      <c r="V1242" t="s">
        <v>8535</v>
      </c>
    </row>
    <row r="1243">
      <c r="A1243" t="s">
        <v>22</v>
      </c>
      <c r="B1243" t="s">
        <v>8536</v>
      </c>
      <c r="C1243" t="s">
        <v>24</v>
      </c>
      <c r="D1243" t="s">
        <v>25</v>
      </c>
      <c r="E1243" t="s">
        <v>8537</v>
      </c>
      <c r="F1243" s="2" t="n">
        <f>HYPERLINK("https://patents.google.com/patent/US20210398680","Google")</f>
        <v>0.0</v>
      </c>
      <c r="G1243" s="2" t="n">
        <f>HYPERLINK("https://patentcenter.uspto.gov/applications/17360991","Patent Center")</f>
        <v>0.0</v>
      </c>
      <c r="H1243" s="2" t="n">
        <f>HYPERLINK("https://worldwide.espacenet.com/patent/search?q=US20210398680","Espacenet")</f>
        <v>0.0</v>
      </c>
      <c r="I1243" s="2" t="n">
        <f>HYPERLINK("https://ppubs.uspto.gov/pubwebapp/external.html?q=20210398680.pn.","USPTO")</f>
        <v>0.0</v>
      </c>
      <c r="J1243" s="2" t="n">
        <f>HYPERLINK("https://image-ppubs.uspto.gov/dirsearch-public/print/downloadPdf/20210398680","USPTO PDF")</f>
        <v>0.0</v>
      </c>
      <c r="K1243" s="2" t="n">
        <f>HYPERLINK("https://sectors.patentforecast.com/pmd/US20210398680","PMD")</f>
        <v>0.0</v>
      </c>
      <c r="L1243" s="2" t="n">
        <f>HYPERLINK("https://globaldossier.uspto.gov/result/application/US/17360991/1","US20210398680")</f>
        <v>0.0</v>
      </c>
      <c r="M1243" t="s">
        <v>8538</v>
      </c>
      <c r="N1243" t="s">
        <v>8539</v>
      </c>
      <c r="O1243" t="s">
        <v>8540</v>
      </c>
      <c r="P1243" t="s">
        <v>8541</v>
      </c>
      <c r="Q1243" s="3" t="n">
        <v>44375.0</v>
      </c>
      <c r="R1243" s="3" t="n">
        <v>44553.0</v>
      </c>
      <c r="S1243" s="3" t="n">
        <v>44554.18900652778</v>
      </c>
      <c r="T1243" s="3" t="n">
        <v>44678.6144765162</v>
      </c>
      <c r="U1243" t="s">
        <v>8542</v>
      </c>
      <c r="V1243" t="s">
        <v>8543</v>
      </c>
    </row>
    <row r="1244">
      <c r="A1244" t="s">
        <v>22</v>
      </c>
      <c r="B1244" t="s">
        <v>8544</v>
      </c>
      <c r="C1244" t="s">
        <v>24</v>
      </c>
      <c r="D1244" t="s">
        <v>43</v>
      </c>
      <c r="E1244" t="s">
        <v>8545</v>
      </c>
      <c r="F1244" s="2" t="n">
        <f>HYPERLINK("https://patents.google.com/patent/US20210398659","Google")</f>
        <v>0.0</v>
      </c>
      <c r="G1244" s="2" t="n">
        <f>HYPERLINK("https://patentcenter.uspto.gov/applications/17304217","Patent Center")</f>
        <v>0.0</v>
      </c>
      <c r="H1244" s="2" t="n">
        <f>HYPERLINK("https://worldwide.espacenet.com/patent/search?q=US20210398659","Espacenet")</f>
        <v>0.0</v>
      </c>
      <c r="I1244" s="2" t="n">
        <f>HYPERLINK("https://ppubs.uspto.gov/pubwebapp/external.html?q=20210398659.pn.","USPTO")</f>
        <v>0.0</v>
      </c>
      <c r="J1244" s="2" t="n">
        <f>HYPERLINK("https://image-ppubs.uspto.gov/dirsearch-public/print/downloadPdf/20210398659","USPTO PDF")</f>
        <v>0.0</v>
      </c>
      <c r="K1244" s="2" t="n">
        <f>HYPERLINK("https://sectors.patentforecast.com/pmd/US20210398659","PMD")</f>
        <v>0.0</v>
      </c>
      <c r="L1244" s="2" t="n">
        <f>HYPERLINK("https://globaldossier.uspto.gov/result/application/US/17304217/1","US20210398659")</f>
        <v>0.0</v>
      </c>
      <c r="M1244" t="s">
        <v>8546</v>
      </c>
      <c r="N1244" t="s">
        <v>2232</v>
      </c>
      <c r="O1244" t="s">
        <v>2232</v>
      </c>
      <c r="P1244" t="s">
        <v>8547</v>
      </c>
      <c r="Q1244" s="3" t="n">
        <v>44363.0</v>
      </c>
      <c r="R1244" s="3" t="n">
        <v>44553.0</v>
      </c>
      <c r="S1244" s="3" t="n">
        <v>44554.18900652778</v>
      </c>
      <c r="T1244" s="3" t="n">
        <v>44678.37323247685</v>
      </c>
      <c r="U1244" t="s">
        <v>8548</v>
      </c>
      <c r="V1244" t="s">
        <v>8549</v>
      </c>
    </row>
    <row r="1245">
      <c r="A1245" t="s">
        <v>22</v>
      </c>
      <c r="B1245" t="s">
        <v>8550</v>
      </c>
      <c r="C1245" t="s">
        <v>24</v>
      </c>
      <c r="D1245" t="s">
        <v>34</v>
      </c>
      <c r="E1245" t="s">
        <v>8551</v>
      </c>
      <c r="F1245" s="2" t="n">
        <f>HYPERLINK("https://patents.google.com/patent/US20210398654","Google")</f>
        <v>0.0</v>
      </c>
      <c r="G1245" s="2" t="n">
        <f>HYPERLINK("https://patentcenter.uspto.gov/applications/16946435","Patent Center")</f>
        <v>0.0</v>
      </c>
      <c r="H1245" s="2" t="n">
        <f>HYPERLINK("https://worldwide.espacenet.com/patent/search?q=US20210398654","Espacenet")</f>
        <v>0.0</v>
      </c>
      <c r="I1245" s="2" t="n">
        <f>HYPERLINK("https://ppubs.uspto.gov/pubwebapp/external.html?q=20210398654.pn.","USPTO")</f>
        <v>0.0</v>
      </c>
      <c r="J1245" s="2" t="n">
        <f>HYPERLINK("https://image-ppubs.uspto.gov/dirsearch-public/print/downloadPdf/20210398654","USPTO PDF")</f>
        <v>0.0</v>
      </c>
      <c r="K1245" s="2" t="n">
        <f>HYPERLINK("https://sectors.patentforecast.com/pmd/US20210398654","PMD")</f>
        <v>0.0</v>
      </c>
      <c r="L1245" s="2" t="n">
        <f>HYPERLINK("https://globaldossier.uspto.gov/result/application/US/16946435/1","US20210398654")</f>
        <v>0.0</v>
      </c>
      <c r="M1245" t="s">
        <v>8552</v>
      </c>
      <c r="N1245" t="s">
        <v>7526</v>
      </c>
      <c r="O1245" t="s">
        <v>7527</v>
      </c>
      <c r="P1245" t="s">
        <v>8553</v>
      </c>
      <c r="Q1245" s="3" t="n">
        <v>44004.0</v>
      </c>
      <c r="R1245" s="3" t="n">
        <v>44553.0</v>
      </c>
      <c r="S1245" s="3" t="n">
        <v>44554.18900652778</v>
      </c>
      <c r="T1245" s="3" t="n">
        <v>44638.694680092594</v>
      </c>
      <c r="U1245" t="s">
        <v>8554</v>
      </c>
      <c r="V1245" t="s">
        <v>7593</v>
      </c>
    </row>
    <row r="1246">
      <c r="A1246" t="s">
        <v>22</v>
      </c>
      <c r="B1246" t="s">
        <v>8555</v>
      </c>
      <c r="C1246" t="s">
        <v>24</v>
      </c>
      <c r="D1246" t="s">
        <v>69</v>
      </c>
      <c r="E1246" t="s">
        <v>8556</v>
      </c>
      <c r="F1246" s="2" t="n">
        <f>HYPERLINK("https://patents.google.com/patent/US20210398230","Google")</f>
        <v>0.0</v>
      </c>
      <c r="G1246" s="2" t="n">
        <f>HYPERLINK("https://patentcenter.uspto.gov/applications/16907018","Patent Center")</f>
        <v>0.0</v>
      </c>
      <c r="H1246" s="2" t="n">
        <f>HYPERLINK("https://worldwide.espacenet.com/patent/search?q=US20210398230","Espacenet")</f>
        <v>0.0</v>
      </c>
      <c r="I1246" s="2" t="n">
        <f>HYPERLINK("https://ppubs.uspto.gov/pubwebapp/external.html?q=20210398230.pn.","USPTO")</f>
        <v>0.0</v>
      </c>
      <c r="J1246" s="2" t="n">
        <f>HYPERLINK("https://image-ppubs.uspto.gov/dirsearch-public/print/downloadPdf/20210398230","USPTO PDF")</f>
        <v>0.0</v>
      </c>
      <c r="K1246" s="2" t="n">
        <f>HYPERLINK("https://sectors.patentforecast.com/pmd/US20210398230","PMD")</f>
        <v>0.0</v>
      </c>
      <c r="L1246" s="2" t="n">
        <f>HYPERLINK("https://globaldossier.uspto.gov/result/application/US/16907018/1","US20210398230")</f>
        <v>0.0</v>
      </c>
      <c r="M1246" t="s">
        <v>8557</v>
      </c>
      <c r="N1246" t="s">
        <v>2232</v>
      </c>
      <c r="O1246" t="s">
        <v>2232</v>
      </c>
      <c r="P1246" t="s">
        <v>8558</v>
      </c>
      <c r="Q1246" s="3" t="n">
        <v>44001.0</v>
      </c>
      <c r="R1246" s="3" t="n">
        <v>44553.0</v>
      </c>
      <c r="S1246" s="3" t="n">
        <v>44554.189930706016</v>
      </c>
      <c r="T1246" s="3" t="n">
        <v>44678.385317939814</v>
      </c>
      <c r="U1246" t="s">
        <v>8559</v>
      </c>
      <c r="V1246" t="s">
        <v>8560</v>
      </c>
    </row>
    <row r="1247">
      <c r="A1247" t="s">
        <v>22</v>
      </c>
      <c r="B1247" t="s">
        <v>8561</v>
      </c>
      <c r="C1247" t="s">
        <v>24</v>
      </c>
      <c r="D1247" t="s">
        <v>69</v>
      </c>
      <c r="E1247" t="s">
        <v>8562</v>
      </c>
      <c r="F1247" s="2" t="n">
        <f>HYPERLINK("https://patents.google.com/patent/US20210397213","Google")</f>
        <v>0.0</v>
      </c>
      <c r="G1247" s="2" t="n">
        <f>HYPERLINK("https://patentcenter.uspto.gov/applications/16904996","Patent Center")</f>
        <v>0.0</v>
      </c>
      <c r="H1247" s="2" t="n">
        <f>HYPERLINK("https://worldwide.espacenet.com/patent/search?q=US20210397213","Espacenet")</f>
        <v>0.0</v>
      </c>
      <c r="I1247" s="2" t="n">
        <f>HYPERLINK("https://ppubs.uspto.gov/pubwebapp/external.html?q=20210397213.pn.","USPTO")</f>
        <v>0.0</v>
      </c>
      <c r="J1247" s="2" t="n">
        <f>HYPERLINK("https://image-ppubs.uspto.gov/dirsearch-public/print/downloadPdf/20210397213","USPTO PDF")</f>
        <v>0.0</v>
      </c>
      <c r="K1247" s="2" t="n">
        <f>HYPERLINK("https://sectors.patentforecast.com/pmd/US20210397213","PMD")</f>
        <v>0.0</v>
      </c>
      <c r="L1247" s="2" t="n">
        <f>HYPERLINK("https://globaldossier.uspto.gov/result/application/US/16904996/1","US20210397213")</f>
        <v>0.0</v>
      </c>
      <c r="M1247" t="s">
        <v>8563</v>
      </c>
      <c r="N1247" t="s">
        <v>8280</v>
      </c>
      <c r="O1247" t="s">
        <v>8280</v>
      </c>
      <c r="P1247" t="s">
        <v>8564</v>
      </c>
      <c r="Q1247" s="3" t="n">
        <v>44000.0</v>
      </c>
      <c r="R1247" s="3" t="n">
        <v>44553.0</v>
      </c>
      <c r="S1247" s="3" t="n">
        <v>44554.18900652778</v>
      </c>
      <c r="T1247" s="3" t="n">
        <v>44678.64510548611</v>
      </c>
      <c r="U1247" t="s">
        <v>8565</v>
      </c>
      <c r="V1247" t="s">
        <v>8566</v>
      </c>
    </row>
    <row r="1248">
      <c r="A1248" t="s">
        <v>22</v>
      </c>
      <c r="B1248" t="s">
        <v>8567</v>
      </c>
      <c r="C1248" t="s">
        <v>24</v>
      </c>
      <c r="D1248" t="s">
        <v>34</v>
      </c>
      <c r="E1248" t="s">
        <v>8568</v>
      </c>
      <c r="F1248" s="2" t="n">
        <f>HYPERLINK("https://patents.google.com/patent/US20210396755","Google")</f>
        <v>0.0</v>
      </c>
      <c r="G1248" s="2" t="n">
        <f>HYPERLINK("https://patentcenter.uspto.gov/applications/17220888","Patent Center")</f>
        <v>0.0</v>
      </c>
      <c r="H1248" s="2" t="n">
        <f>HYPERLINK("https://worldwide.espacenet.com/patent/search?q=US20210396755","Espacenet")</f>
        <v>0.0</v>
      </c>
      <c r="I1248" s="2" t="n">
        <f>HYPERLINK("https://ppubs.uspto.gov/pubwebapp/external.html?q=20210396755.pn.","USPTO")</f>
        <v>0.0</v>
      </c>
      <c r="J1248" s="2" t="n">
        <f>HYPERLINK("https://image-ppubs.uspto.gov/dirsearch-public/print/downloadPdf/20210396755","USPTO PDF")</f>
        <v>0.0</v>
      </c>
      <c r="K1248" s="2" t="n">
        <f>HYPERLINK("https://sectors.patentforecast.com/pmd/US20210396755","PMD")</f>
        <v>0.0</v>
      </c>
      <c r="L1248" s="2" t="n">
        <f>HYPERLINK("https://globaldossier.uspto.gov/result/application/US/17220888/1","US20210396755")</f>
        <v>0.0</v>
      </c>
      <c r="M1248" t="s">
        <v>8569</v>
      </c>
      <c r="N1248" t="s">
        <v>8570</v>
      </c>
      <c r="O1248" t="s">
        <v>8571</v>
      </c>
      <c r="P1248" t="s">
        <v>8572</v>
      </c>
      <c r="Q1248" s="3" t="n">
        <v>44287.0</v>
      </c>
      <c r="R1248" s="3" t="n">
        <v>44553.0</v>
      </c>
      <c r="S1248" s="3" t="n">
        <v>44554.18900652778</v>
      </c>
      <c r="T1248" s="3" t="n">
        <v>44638.701515347224</v>
      </c>
      <c r="U1248" t="s">
        <v>8573</v>
      </c>
      <c r="V1248" t="s">
        <v>8574</v>
      </c>
    </row>
    <row r="1249">
      <c r="A1249" t="s">
        <v>22</v>
      </c>
      <c r="B1249" t="s">
        <v>8575</v>
      </c>
      <c r="C1249" t="s">
        <v>24</v>
      </c>
      <c r="D1249" t="s">
        <v>51</v>
      </c>
      <c r="E1249" t="s">
        <v>8576</v>
      </c>
      <c r="F1249" s="2" t="n">
        <f>HYPERLINK("https://patents.google.com/patent/US20210396635","Google")</f>
        <v>0.0</v>
      </c>
      <c r="G1249" s="2" t="n">
        <f>HYPERLINK("https://patentcenter.uspto.gov/applications/17466877","Patent Center")</f>
        <v>0.0</v>
      </c>
      <c r="H1249" s="2" t="n">
        <f>HYPERLINK("https://worldwide.espacenet.com/patent/search?q=US20210396635","Espacenet")</f>
        <v>0.0</v>
      </c>
      <c r="I1249" s="2" t="n">
        <f>HYPERLINK("https://ppubs.uspto.gov/pubwebapp/external.html?q=20210396635.pn.","USPTO")</f>
        <v>0.0</v>
      </c>
      <c r="J1249" s="2" t="n">
        <f>HYPERLINK("https://image-ppubs.uspto.gov/dirsearch-public/print/downloadPdf/20210396635","USPTO PDF")</f>
        <v>0.0</v>
      </c>
      <c r="K1249" s="2" t="n">
        <f>HYPERLINK("https://sectors.patentforecast.com/pmd/US20210396635","PMD")</f>
        <v>0.0</v>
      </c>
      <c r="L1249" s="2" t="n">
        <f>HYPERLINK("https://globaldossier.uspto.gov/result/application/US/17466877/1","US20210396635")</f>
        <v>0.0</v>
      </c>
      <c r="M1249" t="s">
        <v>8577</v>
      </c>
      <c r="N1249" t="s">
        <v>8090</v>
      </c>
      <c r="O1249" t="s">
        <v>8091</v>
      </c>
      <c r="P1249" t="s">
        <v>8092</v>
      </c>
      <c r="Q1249" s="3" t="n">
        <v>44442.0</v>
      </c>
      <c r="R1249" s="3" t="n">
        <v>44553.0</v>
      </c>
      <c r="S1249" s="3" t="n">
        <v>44554.18900652778</v>
      </c>
      <c r="T1249" s="3" t="n">
        <v>44678.60984800926</v>
      </c>
      <c r="U1249" t="s">
        <v>8578</v>
      </c>
      <c r="V1249" t="s">
        <v>8579</v>
      </c>
    </row>
    <row r="1250">
      <c r="A1250" t="s">
        <v>22</v>
      </c>
      <c r="B1250" t="s">
        <v>8580</v>
      </c>
      <c r="C1250" t="s">
        <v>24</v>
      </c>
      <c r="D1250" t="s">
        <v>34</v>
      </c>
      <c r="E1250" t="s">
        <v>8581</v>
      </c>
      <c r="F1250" s="2" t="n">
        <f>HYPERLINK("https://patents.google.com/patent/US20210395810","Google")</f>
        <v>0.0</v>
      </c>
      <c r="G1250" s="2" t="n">
        <f>HYPERLINK("https://patentcenter.uspto.gov/applications/16996154","Patent Center")</f>
        <v>0.0</v>
      </c>
      <c r="H1250" s="2" t="n">
        <f>HYPERLINK("https://worldwide.espacenet.com/patent/search?q=US20210395810","Espacenet")</f>
        <v>0.0</v>
      </c>
      <c r="I1250" s="2" t="n">
        <f>HYPERLINK("https://ppubs.uspto.gov/pubwebapp/external.html?q=20210395810.pn.","USPTO")</f>
        <v>0.0</v>
      </c>
      <c r="J1250" s="2" t="n">
        <f>HYPERLINK("https://image-ppubs.uspto.gov/dirsearch-public/print/downloadPdf/20210395810","USPTO PDF")</f>
        <v>0.0</v>
      </c>
      <c r="K1250" s="2" t="n">
        <f>HYPERLINK("https://sectors.patentforecast.com/pmd/US20210395810","PMD")</f>
        <v>0.0</v>
      </c>
      <c r="L1250" s="2" t="n">
        <f>HYPERLINK("https://globaldossier.uspto.gov/result/application/US/16996154/1","US20210395810")</f>
        <v>0.0</v>
      </c>
      <c r="M1250" t="s">
        <v>8582</v>
      </c>
      <c r="N1250" t="s">
        <v>8583</v>
      </c>
      <c r="O1250" t="s">
        <v>8584</v>
      </c>
      <c r="P1250" t="s">
        <v>8585</v>
      </c>
      <c r="Q1250" s="3" t="n">
        <v>44061.0</v>
      </c>
      <c r="R1250" s="3" t="n">
        <v>44553.0</v>
      </c>
      <c r="S1250" s="3" t="n">
        <v>44554.18900652778</v>
      </c>
      <c r="T1250" s="3" t="n">
        <v>44638.70324375</v>
      </c>
      <c r="U1250" t="s">
        <v>8586</v>
      </c>
      <c r="V1250" t="s">
        <v>8587</v>
      </c>
    </row>
    <row r="1251">
      <c r="A1251" t="s">
        <v>22</v>
      </c>
      <c r="B1251" t="s">
        <v>8588</v>
      </c>
      <c r="C1251" t="s">
        <v>60</v>
      </c>
      <c r="D1251" t="s">
        <v>61</v>
      </c>
      <c r="E1251" t="s">
        <v>1639</v>
      </c>
      <c r="F1251" s="2" t="n">
        <f>HYPERLINK("https://patents.google.com/patent/US20210395744","Google")</f>
        <v>0.0</v>
      </c>
      <c r="G1251" s="2" t="n">
        <f>HYPERLINK("https://patentcenter.uspto.gov/applications/17350114","Patent Center")</f>
        <v>0.0</v>
      </c>
      <c r="H1251" s="2" t="n">
        <f>HYPERLINK("https://worldwide.espacenet.com/patent/search?q=US20210395744","Espacenet")</f>
        <v>0.0</v>
      </c>
      <c r="I1251" s="2" t="n">
        <f>HYPERLINK("https://ppubs.uspto.gov/pubwebapp/external.html?q=20210395744.pn.","USPTO")</f>
        <v>0.0</v>
      </c>
      <c r="J1251" s="2" t="n">
        <f>HYPERLINK("https://image-ppubs.uspto.gov/dirsearch-public/print/downloadPdf/20210395744","USPTO PDF")</f>
        <v>0.0</v>
      </c>
      <c r="K1251" s="2" t="n">
        <f>HYPERLINK("https://sectors.patentforecast.com/pmd/US20210395744","PMD")</f>
        <v>0.0</v>
      </c>
      <c r="L1251" s="2" t="n">
        <f>HYPERLINK("https://globaldossier.uspto.gov/result/application/US/17350114/1","US20210395744")</f>
        <v>0.0</v>
      </c>
      <c r="M1251" t="s">
        <v>8589</v>
      </c>
      <c r="N1251" t="s">
        <v>1641</v>
      </c>
      <c r="O1251" t="s">
        <v>1642</v>
      </c>
      <c r="P1251" t="s">
        <v>1643</v>
      </c>
      <c r="Q1251" s="3" t="n">
        <v>44364.0</v>
      </c>
      <c r="R1251" s="3" t="n">
        <v>44553.0</v>
      </c>
      <c r="S1251" s="3" t="n">
        <v>44554.18784680556</v>
      </c>
      <c r="T1251" s="3" t="n">
        <v>44678.5431090625</v>
      </c>
      <c r="U1251" t="s">
        <v>8590</v>
      </c>
      <c r="V1251" t="s">
        <v>1645</v>
      </c>
    </row>
    <row r="1252">
      <c r="A1252" t="s">
        <v>22</v>
      </c>
      <c r="B1252" t="s">
        <v>8591</v>
      </c>
      <c r="C1252" t="s">
        <v>24</v>
      </c>
      <c r="D1252" t="s">
        <v>69</v>
      </c>
      <c r="E1252" t="s">
        <v>8592</v>
      </c>
      <c r="F1252" s="2" t="n">
        <f>HYPERLINK("https://patents.google.com/patent/US20210395652","Google")</f>
        <v>0.0</v>
      </c>
      <c r="G1252" s="2" t="n">
        <f>HYPERLINK("https://patentcenter.uspto.gov/applications/17347537","Patent Center")</f>
        <v>0.0</v>
      </c>
      <c r="H1252" s="2" t="n">
        <f>HYPERLINK("https://worldwide.espacenet.com/patent/search?q=US20210395652","Espacenet")</f>
        <v>0.0</v>
      </c>
      <c r="I1252" s="2" t="n">
        <f>HYPERLINK("https://ppubs.uspto.gov/pubwebapp/external.html?q=20210395652.pn.","USPTO")</f>
        <v>0.0</v>
      </c>
      <c r="J1252" s="2" t="n">
        <f>HYPERLINK("https://image-ppubs.uspto.gov/dirsearch-public/print/downloadPdf/20210395652","USPTO PDF")</f>
        <v>0.0</v>
      </c>
      <c r="K1252" s="2" t="n">
        <f>HYPERLINK("https://sectors.patentforecast.com/pmd/US20210395652","PMD")</f>
        <v>0.0</v>
      </c>
      <c r="L1252" s="2" t="n">
        <f>HYPERLINK("https://globaldossier.uspto.gov/result/application/US/17347537/1","US20210395652")</f>
        <v>0.0</v>
      </c>
      <c r="M1252" t="s">
        <v>8593</v>
      </c>
      <c r="N1252" t="s">
        <v>8594</v>
      </c>
      <c r="O1252" t="s">
        <v>8595</v>
      </c>
      <c r="P1252" t="s">
        <v>8596</v>
      </c>
      <c r="Q1252" s="3" t="n">
        <v>44361.0</v>
      </c>
      <c r="R1252" s="3" t="n">
        <v>44553.0</v>
      </c>
      <c r="S1252" s="3" t="n">
        <v>44554.18900652778</v>
      </c>
      <c r="T1252" s="3" t="n">
        <v>44678.567361863425</v>
      </c>
      <c r="U1252" t="s">
        <v>8597</v>
      </c>
      <c r="V1252" t="s">
        <v>8598</v>
      </c>
    </row>
    <row r="1253">
      <c r="A1253" t="s">
        <v>22</v>
      </c>
      <c r="B1253" t="s">
        <v>8599</v>
      </c>
      <c r="C1253" t="s">
        <v>60</v>
      </c>
      <c r="D1253" t="s">
        <v>77</v>
      </c>
      <c r="E1253" t="s">
        <v>8600</v>
      </c>
      <c r="F1253" s="2" t="n">
        <f>HYPERLINK("https://patents.google.com/patent/US20210395345","Google")</f>
        <v>0.0</v>
      </c>
      <c r="G1253" s="2" t="n">
        <f>HYPERLINK("https://patentcenter.uspto.gov/applications/17337396","Patent Center")</f>
        <v>0.0</v>
      </c>
      <c r="H1253" s="2" t="n">
        <f>HYPERLINK("https://worldwide.espacenet.com/patent/search?q=US20210395345","Espacenet")</f>
        <v>0.0</v>
      </c>
      <c r="I1253" s="2" t="n">
        <f>HYPERLINK("https://ppubs.uspto.gov/pubwebapp/external.html?q=20210395345.pn.","USPTO")</f>
        <v>0.0</v>
      </c>
      <c r="J1253" s="2" t="n">
        <f>HYPERLINK("https://image-ppubs.uspto.gov/dirsearch-public/print/downloadPdf/20210395345","USPTO PDF")</f>
        <v>0.0</v>
      </c>
      <c r="K1253" s="2" t="n">
        <f>HYPERLINK("https://sectors.patentforecast.com/pmd/US20210395345","PMD")</f>
        <v>0.0</v>
      </c>
      <c r="L1253" s="2" t="n">
        <f>HYPERLINK("https://globaldossier.uspto.gov/result/application/US/17337396/1","US20210395345")</f>
        <v>0.0</v>
      </c>
      <c r="M1253" t="s">
        <v>8601</v>
      </c>
      <c r="N1253" t="s">
        <v>4321</v>
      </c>
      <c r="O1253" t="s">
        <v>4322</v>
      </c>
      <c r="P1253" t="s">
        <v>8602</v>
      </c>
      <c r="Q1253" s="3" t="n">
        <v>44349.0</v>
      </c>
      <c r="R1253" s="3" t="n">
        <v>44553.0</v>
      </c>
      <c r="S1253" s="3" t="n">
        <v>44554.18900652778</v>
      </c>
      <c r="T1253" s="3" t="n">
        <v>44678.54534008102</v>
      </c>
      <c r="U1253" t="s">
        <v>8603</v>
      </c>
      <c r="V1253" t="s">
        <v>8604</v>
      </c>
    </row>
    <row r="1254">
      <c r="A1254" t="s">
        <v>22</v>
      </c>
      <c r="B1254" t="s">
        <v>8605</v>
      </c>
      <c r="C1254" t="s">
        <v>24</v>
      </c>
      <c r="D1254" t="s">
        <v>69</v>
      </c>
      <c r="E1254" t="s">
        <v>8606</v>
      </c>
      <c r="F1254" s="2" t="n">
        <f>HYPERLINK("https://patents.google.com/patent/US20210393996","Google")</f>
        <v>0.0</v>
      </c>
      <c r="G1254" s="2" t="n">
        <f>HYPERLINK("https://patentcenter.uspto.gov/applications/17102601","Patent Center")</f>
        <v>0.0</v>
      </c>
      <c r="H1254" s="2" t="n">
        <f>HYPERLINK("https://worldwide.espacenet.com/patent/search?q=US20210393996","Espacenet")</f>
        <v>0.0</v>
      </c>
      <c r="I1254" s="2" t="n">
        <f>HYPERLINK("https://ppubs.uspto.gov/pubwebapp/external.html?q=20210393996.pn.","USPTO")</f>
        <v>0.0</v>
      </c>
      <c r="J1254" s="2" t="n">
        <f>HYPERLINK("https://image-ppubs.uspto.gov/dirsearch-public/print/downloadPdf/20210393996","USPTO PDF")</f>
        <v>0.0</v>
      </c>
      <c r="K1254" s="2" t="n">
        <f>HYPERLINK("https://sectors.patentforecast.com/pmd/US20210393996","PMD")</f>
        <v>0.0</v>
      </c>
      <c r="L1254" s="2" t="n">
        <f>HYPERLINK("https://globaldossier.uspto.gov/result/application/US/17102601/1","US20210393996")</f>
        <v>0.0</v>
      </c>
      <c r="M1254" t="s">
        <v>8607</v>
      </c>
      <c r="N1254" t="s">
        <v>8608</v>
      </c>
      <c r="O1254" t="s">
        <v>8609</v>
      </c>
      <c r="P1254" t="s">
        <v>8610</v>
      </c>
      <c r="Q1254" s="3" t="n">
        <v>44159.0</v>
      </c>
      <c r="R1254" s="3" t="n">
        <v>44553.0</v>
      </c>
      <c r="S1254" s="3" t="n">
        <v>44554.18900652778</v>
      </c>
      <c r="T1254" s="3" t="n">
        <v>44678.638576875</v>
      </c>
      <c r="U1254" t="s">
        <v>8611</v>
      </c>
      <c r="V1254" t="s">
        <v>8612</v>
      </c>
    </row>
    <row r="1255">
      <c r="A1255" t="s">
        <v>22</v>
      </c>
      <c r="B1255" t="s">
        <v>8613</v>
      </c>
      <c r="C1255" t="s">
        <v>132</v>
      </c>
      <c r="D1255" t="s">
        <v>133</v>
      </c>
      <c r="E1255" t="s">
        <v>8614</v>
      </c>
      <c r="F1255" s="2" t="n">
        <f>HYPERLINK("https://patents.google.com/patent/US20210393769","Google")</f>
        <v>0.0</v>
      </c>
      <c r="G1255" s="2" t="n">
        <f>HYPERLINK("https://patentcenter.uspto.gov/applications/17341928","Patent Center")</f>
        <v>0.0</v>
      </c>
      <c r="H1255" s="2" t="n">
        <f>HYPERLINK("https://worldwide.espacenet.com/patent/search?q=US20210393769","Espacenet")</f>
        <v>0.0</v>
      </c>
      <c r="I1255" s="2" t="n">
        <f>HYPERLINK("https://ppubs.uspto.gov/pubwebapp/external.html?q=20210393769.pn.","USPTO")</f>
        <v>0.0</v>
      </c>
      <c r="J1255" s="2" t="n">
        <f>HYPERLINK("https://image-ppubs.uspto.gov/dirsearch-public/print/downloadPdf/20210393769","USPTO PDF")</f>
        <v>0.0</v>
      </c>
      <c r="K1255" s="2" t="n">
        <f>HYPERLINK("https://sectors.patentforecast.com/pmd/US20210393769","PMD")</f>
        <v>0.0</v>
      </c>
      <c r="L1255" s="2" t="n">
        <f>HYPERLINK("https://globaldossier.uspto.gov/result/application/US/17341928/1","US20210393769")</f>
        <v>0.0</v>
      </c>
      <c r="M1255" t="s">
        <v>8615</v>
      </c>
      <c r="N1255" t="s">
        <v>8616</v>
      </c>
      <c r="O1255" t="s">
        <v>8616</v>
      </c>
      <c r="P1255" t="s">
        <v>8617</v>
      </c>
      <c r="Q1255" s="3" t="n">
        <v>44355.0</v>
      </c>
      <c r="R1255" s="3" t="n">
        <v>44553.0</v>
      </c>
      <c r="S1255" s="3" t="n">
        <v>44554.18900652778</v>
      </c>
      <c r="T1255" s="3" t="n">
        <v>44638.68962553241</v>
      </c>
      <c r="U1255" t="s">
        <v>8618</v>
      </c>
      <c r="V1255" t="s">
        <v>8619</v>
      </c>
    </row>
    <row r="1256">
      <c r="A1256" t="s">
        <v>22</v>
      </c>
      <c r="B1256" t="s">
        <v>8620</v>
      </c>
      <c r="C1256" t="s">
        <v>60</v>
      </c>
      <c r="D1256" t="s">
        <v>696</v>
      </c>
      <c r="E1256" t="s">
        <v>8621</v>
      </c>
      <c r="F1256" s="2" t="n">
        <f>HYPERLINK("https://patents.google.com/patent/US20210393743","Google")</f>
        <v>0.0</v>
      </c>
      <c r="G1256" s="2" t="n">
        <f>HYPERLINK("https://patentcenter.uspto.gov/applications/17334746","Patent Center")</f>
        <v>0.0</v>
      </c>
      <c r="H1256" s="2" t="n">
        <f>HYPERLINK("https://worldwide.espacenet.com/patent/search?q=US20210393743","Espacenet")</f>
        <v>0.0</v>
      </c>
      <c r="I1256" s="2" t="n">
        <f>HYPERLINK("https://ppubs.uspto.gov/pubwebapp/external.html?q=20210393743.pn.","USPTO")</f>
        <v>0.0</v>
      </c>
      <c r="J1256" s="2" t="n">
        <f>HYPERLINK("https://image-ppubs.uspto.gov/dirsearch-public/print/downloadPdf/20210393743","USPTO PDF")</f>
        <v>0.0</v>
      </c>
      <c r="K1256" s="2" t="n">
        <f>HYPERLINK("https://sectors.patentforecast.com/pmd/US20210393743","PMD")</f>
        <v>0.0</v>
      </c>
      <c r="L1256" s="2" t="n">
        <f>HYPERLINK("https://globaldossier.uspto.gov/result/application/US/17334746/1","US20210393743")</f>
        <v>0.0</v>
      </c>
      <c r="M1256" t="s">
        <v>8622</v>
      </c>
      <c r="N1256" t="s">
        <v>8623</v>
      </c>
      <c r="O1256" t="s">
        <v>8623</v>
      </c>
      <c r="P1256" t="s">
        <v>8624</v>
      </c>
      <c r="Q1256" s="3" t="n">
        <v>44346.0</v>
      </c>
      <c r="R1256" s="3" t="n">
        <v>44553.0</v>
      </c>
      <c r="S1256" s="3" t="n">
        <v>44554.18784680556</v>
      </c>
      <c r="T1256" s="3" t="n">
        <v>44678.541129386576</v>
      </c>
      <c r="U1256" t="s">
        <v>8625</v>
      </c>
      <c r="V1256" t="s">
        <v>8626</v>
      </c>
    </row>
    <row r="1257">
      <c r="A1257" t="s">
        <v>22</v>
      </c>
      <c r="B1257" t="s">
        <v>8627</v>
      </c>
      <c r="C1257" t="s">
        <v>60</v>
      </c>
      <c r="D1257" t="s">
        <v>61</v>
      </c>
      <c r="E1257" t="s">
        <v>8628</v>
      </c>
      <c r="F1257" s="2" t="n">
        <f>HYPERLINK("https://patents.google.com/patent/US20210393663","Google")</f>
        <v>0.0</v>
      </c>
      <c r="G1257" s="2" t="n">
        <f>HYPERLINK("https://patentcenter.uspto.gov/applications/17354702","Patent Center")</f>
        <v>0.0</v>
      </c>
      <c r="H1257" s="2" t="n">
        <f>HYPERLINK("https://worldwide.espacenet.com/patent/search?q=US20210393663","Espacenet")</f>
        <v>0.0</v>
      </c>
      <c r="I1257" s="2" t="n">
        <f>HYPERLINK("https://ppubs.uspto.gov/pubwebapp/external.html?q=20210393663.pn.","USPTO")</f>
        <v>0.0</v>
      </c>
      <c r="J1257" s="2" t="n">
        <f>HYPERLINK("https://image-ppubs.uspto.gov/dirsearch-public/print/downloadPdf/20210393663","USPTO PDF")</f>
        <v>0.0</v>
      </c>
      <c r="K1257" s="2" t="n">
        <f>HYPERLINK("https://sectors.patentforecast.com/pmd/US20210393663","PMD")</f>
        <v>0.0</v>
      </c>
      <c r="L1257" s="2" t="n">
        <f>HYPERLINK("https://globaldossier.uspto.gov/result/application/US/17354702/1","US20210393663")</f>
        <v>0.0</v>
      </c>
      <c r="M1257" t="s">
        <v>8629</v>
      </c>
      <c r="N1257" t="s">
        <v>8630</v>
      </c>
      <c r="O1257" t="s">
        <v>8631</v>
      </c>
      <c r="P1257" t="s">
        <v>8632</v>
      </c>
      <c r="Q1257" s="3" t="n">
        <v>44369.0</v>
      </c>
      <c r="R1257" s="3" t="n">
        <v>44553.0</v>
      </c>
      <c r="S1257" s="3" t="n">
        <v>44554.189235844904</v>
      </c>
      <c r="T1257" s="3" t="n">
        <v>44678.47055825232</v>
      </c>
      <c r="U1257" t="s">
        <v>8633</v>
      </c>
      <c r="V1257" t="s">
        <v>8634</v>
      </c>
    </row>
    <row r="1258">
      <c r="A1258" t="s">
        <v>22</v>
      </c>
      <c r="B1258" t="s">
        <v>8635</v>
      </c>
      <c r="C1258" t="s">
        <v>60</v>
      </c>
      <c r="D1258" t="s">
        <v>61</v>
      </c>
      <c r="E1258" t="s">
        <v>8636</v>
      </c>
      <c r="F1258" s="2" t="n">
        <f>HYPERLINK("https://patents.google.com/patent/US20210393659","Google")</f>
        <v>0.0</v>
      </c>
      <c r="G1258" s="2" t="n">
        <f>HYPERLINK("https://patentcenter.uspto.gov/applications/17222066","Patent Center")</f>
        <v>0.0</v>
      </c>
      <c r="H1258" s="2" t="n">
        <f>HYPERLINK("https://worldwide.espacenet.com/patent/search?q=US20210393659","Espacenet")</f>
        <v>0.0</v>
      </c>
      <c r="I1258" s="2" t="n">
        <f>HYPERLINK("https://ppubs.uspto.gov/pubwebapp/external.html?q=20210393659.pn.","USPTO")</f>
        <v>0.0</v>
      </c>
      <c r="J1258" s="2" t="n">
        <f>HYPERLINK("https://image-ppubs.uspto.gov/dirsearch-public/print/downloadPdf/20210393659","USPTO PDF")</f>
        <v>0.0</v>
      </c>
      <c r="K1258" s="2" t="n">
        <f>HYPERLINK("https://sectors.patentforecast.com/pmd/US20210393659","PMD")</f>
        <v>0.0</v>
      </c>
      <c r="L1258" s="2" t="n">
        <f>HYPERLINK("https://globaldossier.uspto.gov/result/application/US/17222066/1","US20210393659")</f>
        <v>0.0</v>
      </c>
      <c r="M1258" t="s">
        <v>8637</v>
      </c>
      <c r="N1258" t="s">
        <v>664</v>
      </c>
      <c r="O1258" t="s">
        <v>665</v>
      </c>
      <c r="P1258" t="s">
        <v>8638</v>
      </c>
      <c r="Q1258" s="3" t="n">
        <v>44291.0</v>
      </c>
      <c r="R1258" s="3" t="n">
        <v>44553.0</v>
      </c>
      <c r="S1258" s="3" t="n">
        <v>44554.19050931713</v>
      </c>
      <c r="T1258" s="3" t="n">
        <v>44638.66619070602</v>
      </c>
      <c r="U1258" t="s">
        <v>8639</v>
      </c>
      <c r="V1258" t="s">
        <v>8640</v>
      </c>
    </row>
    <row r="1259">
      <c r="A1259" t="s">
        <v>22</v>
      </c>
      <c r="B1259" t="s">
        <v>8641</v>
      </c>
      <c r="C1259" t="s">
        <v>60</v>
      </c>
      <c r="D1259" t="s">
        <v>61</v>
      </c>
      <c r="E1259" t="s">
        <v>8642</v>
      </c>
      <c r="F1259" s="2" t="n">
        <f>HYPERLINK("https://patents.google.com/patent/US20210393653","Google")</f>
        <v>0.0</v>
      </c>
      <c r="G1259" s="2" t="n">
        <f>HYPERLINK("https://patentcenter.uspto.gov/applications/17333389","Patent Center")</f>
        <v>0.0</v>
      </c>
      <c r="H1259" s="2" t="n">
        <f>HYPERLINK("https://worldwide.espacenet.com/patent/search?q=US20210393653","Espacenet")</f>
        <v>0.0</v>
      </c>
      <c r="I1259" s="2" t="n">
        <f>HYPERLINK("https://ppubs.uspto.gov/pubwebapp/external.html?q=20210393653.pn.","USPTO")</f>
        <v>0.0</v>
      </c>
      <c r="J1259" s="2" t="n">
        <f>HYPERLINK("https://image-ppubs.uspto.gov/dirsearch-public/print/downloadPdf/20210393653","USPTO PDF")</f>
        <v>0.0</v>
      </c>
      <c r="K1259" s="2" t="n">
        <f>HYPERLINK("https://sectors.patentforecast.com/pmd/US20210393653","PMD")</f>
        <v>0.0</v>
      </c>
      <c r="L1259" s="2" t="n">
        <f>HYPERLINK("https://globaldossier.uspto.gov/result/application/US/17333389/1","US20210393653")</f>
        <v>0.0</v>
      </c>
      <c r="M1259" t="s">
        <v>8643</v>
      </c>
      <c r="N1259" t="s">
        <v>664</v>
      </c>
      <c r="O1259" t="s">
        <v>665</v>
      </c>
      <c r="P1259" t="s">
        <v>8644</v>
      </c>
      <c r="Q1259" s="3" t="n">
        <v>44344.0</v>
      </c>
      <c r="R1259" s="3" t="n">
        <v>44553.0</v>
      </c>
      <c r="S1259" s="3" t="n">
        <v>44554.189235844904</v>
      </c>
      <c r="T1259" s="3" t="n">
        <v>44638.66598481481</v>
      </c>
      <c r="U1259" t="s">
        <v>8645</v>
      </c>
      <c r="V1259" t="s">
        <v>8646</v>
      </c>
    </row>
    <row r="1260">
      <c r="A1260" t="s">
        <v>22</v>
      </c>
      <c r="B1260" t="s">
        <v>8647</v>
      </c>
      <c r="C1260" t="s">
        <v>60</v>
      </c>
      <c r="D1260" t="s">
        <v>61</v>
      </c>
      <c r="E1260" t="s">
        <v>8648</v>
      </c>
      <c r="F1260" s="2" t="n">
        <f>HYPERLINK("https://patents.google.com/patent/US20210393580","Google")</f>
        <v>0.0</v>
      </c>
      <c r="G1260" s="2" t="n">
        <f>HYPERLINK("https://patentcenter.uspto.gov/applications/17347879","Patent Center")</f>
        <v>0.0</v>
      </c>
      <c r="H1260" s="2" t="n">
        <f>HYPERLINK("https://worldwide.espacenet.com/patent/search?q=US20210393580","Espacenet")</f>
        <v>0.0</v>
      </c>
      <c r="I1260" s="2" t="n">
        <f>HYPERLINK("https://ppubs.uspto.gov/pubwebapp/external.html?q=20210393580.pn.","USPTO")</f>
        <v>0.0</v>
      </c>
      <c r="J1260" s="2" t="n">
        <f>HYPERLINK("https://image-ppubs.uspto.gov/dirsearch-public/print/downloadPdf/20210393580","USPTO PDF")</f>
        <v>0.0</v>
      </c>
      <c r="K1260" s="2" t="n">
        <f>HYPERLINK("https://sectors.patentforecast.com/pmd/US20210393580","PMD")</f>
        <v>0.0</v>
      </c>
      <c r="L1260" s="2" t="n">
        <f>HYPERLINK("https://globaldossier.uspto.gov/result/application/US/17347879/1","US20210393580")</f>
        <v>0.0</v>
      </c>
      <c r="M1260" t="s">
        <v>8649</v>
      </c>
      <c r="N1260" t="s">
        <v>8650</v>
      </c>
      <c r="O1260" t="s">
        <v>8651</v>
      </c>
      <c r="P1260" t="s">
        <v>8652</v>
      </c>
      <c r="Q1260" s="3" t="n">
        <v>44362.0</v>
      </c>
      <c r="R1260" s="3" t="n">
        <v>44553.0</v>
      </c>
      <c r="S1260" s="3" t="n">
        <v>44554.189235844904</v>
      </c>
      <c r="T1260" s="3" t="n">
        <v>44678.54405408565</v>
      </c>
      <c r="U1260" t="s">
        <v>8653</v>
      </c>
      <c r="V1260" t="s">
        <v>8654</v>
      </c>
    </row>
    <row r="1261">
      <c r="A1261" t="s">
        <v>22</v>
      </c>
      <c r="B1261" t="s">
        <v>8655</v>
      </c>
      <c r="C1261" t="s">
        <v>60</v>
      </c>
      <c r="D1261" t="s">
        <v>61</v>
      </c>
      <c r="E1261" t="s">
        <v>8656</v>
      </c>
      <c r="F1261" s="2" t="n">
        <f>HYPERLINK("https://patents.google.com/patent/US20210393564","Google")</f>
        <v>0.0</v>
      </c>
      <c r="G1261" s="2" t="n">
        <f>HYPERLINK("https://patentcenter.uspto.gov/applications/17465932","Patent Center")</f>
        <v>0.0</v>
      </c>
      <c r="H1261" s="2" t="n">
        <f>HYPERLINK("https://worldwide.espacenet.com/patent/search?q=US20210393564","Espacenet")</f>
        <v>0.0</v>
      </c>
      <c r="I1261" s="2" t="n">
        <f>HYPERLINK("https://ppubs.uspto.gov/pubwebapp/external.html?q=20210393564.pn.","USPTO")</f>
        <v>0.0</v>
      </c>
      <c r="J1261" s="2" t="n">
        <f>HYPERLINK("https://image-ppubs.uspto.gov/dirsearch-public/print/downloadPdf/20210393564","USPTO PDF")</f>
        <v>0.0</v>
      </c>
      <c r="K1261" s="2" t="n">
        <f>HYPERLINK("https://sectors.patentforecast.com/pmd/US20210393564","PMD")</f>
        <v>0.0</v>
      </c>
      <c r="L1261" s="2" t="n">
        <f>HYPERLINK("https://globaldossier.uspto.gov/result/application/US/17465932/1","US20210393564")</f>
        <v>0.0</v>
      </c>
      <c r="M1261" t="s">
        <v>8657</v>
      </c>
      <c r="N1261" t="s">
        <v>1080</v>
      </c>
      <c r="O1261" t="s">
        <v>1081</v>
      </c>
      <c r="P1261" t="s">
        <v>8658</v>
      </c>
      <c r="Q1261" s="3" t="n">
        <v>44442.0</v>
      </c>
      <c r="R1261" s="3" t="n">
        <v>44553.0</v>
      </c>
      <c r="S1261" s="3" t="n">
        <v>44554.189235844904</v>
      </c>
      <c r="T1261" s="3" t="n">
        <v>44638.69380587963</v>
      </c>
      <c r="U1261" t="s">
        <v>8659</v>
      </c>
      <c r="V1261" t="s">
        <v>8660</v>
      </c>
    </row>
    <row r="1262">
      <c r="A1262" t="s">
        <v>22</v>
      </c>
      <c r="B1262" t="s">
        <v>8661</v>
      </c>
      <c r="C1262" t="s">
        <v>312</v>
      </c>
      <c r="D1262" t="s">
        <v>313</v>
      </c>
      <c r="E1262" t="s">
        <v>8662</v>
      </c>
      <c r="F1262" s="2" t="n">
        <f>HYPERLINK("https://patents.google.com/patent/US20210393129","Google")</f>
        <v>0.0</v>
      </c>
      <c r="G1262" s="2" t="n">
        <f>HYPERLINK("https://patentcenter.uspto.gov/applications/16906173","Patent Center")</f>
        <v>0.0</v>
      </c>
      <c r="H1262" s="2" t="n">
        <f>HYPERLINK("https://worldwide.espacenet.com/patent/search?q=US20210393129","Espacenet")</f>
        <v>0.0</v>
      </c>
      <c r="I1262" s="2" t="n">
        <f>HYPERLINK("https://ppubs.uspto.gov/pubwebapp/external.html?q=20210393129.pn.","USPTO")</f>
        <v>0.0</v>
      </c>
      <c r="J1262" s="2" t="n">
        <f>HYPERLINK("https://image-ppubs.uspto.gov/dirsearch-public/print/downloadPdf/20210393129","USPTO PDF")</f>
        <v>0.0</v>
      </c>
      <c r="K1262" s="2" t="n">
        <f>HYPERLINK("https://sectors.patentforecast.com/pmd/US20210393129","PMD")</f>
        <v>0.0</v>
      </c>
      <c r="L1262" s="2" t="n">
        <f>HYPERLINK("https://globaldossier.uspto.gov/result/application/US/16906173/1","US20210393129")</f>
        <v>0.0</v>
      </c>
      <c r="M1262" t="s">
        <v>8663</v>
      </c>
      <c r="N1262" t="s">
        <v>3245</v>
      </c>
      <c r="O1262" t="s">
        <v>3246</v>
      </c>
      <c r="P1262" t="s">
        <v>8664</v>
      </c>
      <c r="Q1262" s="3" t="n">
        <v>44001.0</v>
      </c>
      <c r="R1262" s="3" t="n">
        <v>44553.0</v>
      </c>
      <c r="S1262" s="3" t="n">
        <v>44687.2312647338</v>
      </c>
      <c r="T1262" s="3" t="n">
        <v>44698.64224219907</v>
      </c>
      <c r="U1262" t="s">
        <v>8665</v>
      </c>
      <c r="V1262" t="s">
        <v>8666</v>
      </c>
    </row>
    <row r="1263">
      <c r="A1263" t="s">
        <v>22</v>
      </c>
      <c r="B1263" t="s">
        <v>8667</v>
      </c>
      <c r="C1263" t="s">
        <v>24</v>
      </c>
      <c r="D1263" t="s">
        <v>100</v>
      </c>
      <c r="E1263" t="s">
        <v>8668</v>
      </c>
      <c r="F1263" s="2" t="n">
        <f>HYPERLINK("https://patents.google.com/patent/US20210393016","Google")</f>
        <v>0.0</v>
      </c>
      <c r="G1263" s="2" t="n">
        <f>HYPERLINK("https://patentcenter.uspto.gov/applications/17347120","Patent Center")</f>
        <v>0.0</v>
      </c>
      <c r="H1263" s="2" t="n">
        <f>HYPERLINK("https://worldwide.espacenet.com/patent/search?q=US20210393016","Espacenet")</f>
        <v>0.0</v>
      </c>
      <c r="I1263" s="2" t="n">
        <f>HYPERLINK("https://ppubs.uspto.gov/pubwebapp/external.html?q=20210393016.pn.","USPTO")</f>
        <v>0.0</v>
      </c>
      <c r="J1263" s="2" t="n">
        <f>HYPERLINK("https://image-ppubs.uspto.gov/dirsearch-public/print/downloadPdf/20210393016","USPTO PDF")</f>
        <v>0.0</v>
      </c>
      <c r="K1263" s="2" t="n">
        <f>HYPERLINK("https://sectors.patentforecast.com/pmd/US20210393016","PMD")</f>
        <v>0.0</v>
      </c>
      <c r="L1263" s="2" t="n">
        <f>HYPERLINK("https://globaldossier.uspto.gov/result/application/US/17347120/1","US20210393016")</f>
        <v>0.0</v>
      </c>
      <c r="M1263" t="s">
        <v>8669</v>
      </c>
      <c r="N1263" t="s">
        <v>8670</v>
      </c>
      <c r="O1263" t="s">
        <v>8671</v>
      </c>
      <c r="P1263" t="s">
        <v>8672</v>
      </c>
      <c r="Q1263" s="3" t="n">
        <v>44361.0</v>
      </c>
      <c r="R1263" s="3" t="n">
        <v>44553.0</v>
      </c>
      <c r="S1263" s="3" t="n">
        <v>44554.189235844904</v>
      </c>
      <c r="T1263" s="3" t="n">
        <v>44678.57928900463</v>
      </c>
      <c r="U1263" t="s">
        <v>8673</v>
      </c>
      <c r="V1263" t="s">
        <v>8674</v>
      </c>
    </row>
    <row r="1264">
      <c r="A1264" t="s">
        <v>22</v>
      </c>
      <c r="B1264" t="s">
        <v>8675</v>
      </c>
      <c r="C1264" t="s">
        <v>24</v>
      </c>
      <c r="D1264" t="s">
        <v>69</v>
      </c>
      <c r="E1264" t="s">
        <v>8676</v>
      </c>
      <c r="F1264" s="2" t="n">
        <f>HYPERLINK("https://patents.google.com/patent/US20210391089","Google")</f>
        <v>0.0</v>
      </c>
      <c r="G1264" s="2" t="n">
        <f>HYPERLINK("https://patentcenter.uspto.gov/applications/17328276","Patent Center")</f>
        <v>0.0</v>
      </c>
      <c r="H1264" s="2" t="n">
        <f>HYPERLINK("https://worldwide.espacenet.com/patent/search?q=US20210391089","Espacenet")</f>
        <v>0.0</v>
      </c>
      <c r="I1264" s="2" t="n">
        <f>HYPERLINK("https://ppubs.uspto.gov/pubwebapp/external.html?q=20210391089.pn.","USPTO")</f>
        <v>0.0</v>
      </c>
      <c r="J1264" s="2" t="n">
        <f>HYPERLINK("https://image-ppubs.uspto.gov/dirsearch-public/print/downloadPdf/20210391089","USPTO PDF")</f>
        <v>0.0</v>
      </c>
      <c r="K1264" s="2" t="n">
        <f>HYPERLINK("https://sectors.patentforecast.com/pmd/US20210391089","PMD")</f>
        <v>0.0</v>
      </c>
      <c r="L1264" s="2" t="n">
        <f>HYPERLINK("https://globaldossier.uspto.gov/result/application/US/17328276/1","US20210391089")</f>
        <v>0.0</v>
      </c>
      <c r="M1264" t="s">
        <v>8677</v>
      </c>
      <c r="N1264" t="s">
        <v>2232</v>
      </c>
      <c r="O1264" t="s">
        <v>2232</v>
      </c>
      <c r="P1264" t="s">
        <v>8678</v>
      </c>
      <c r="Q1264" s="3" t="n">
        <v>44340.0</v>
      </c>
      <c r="R1264" s="3" t="n">
        <v>44546.0</v>
      </c>
      <c r="S1264" s="3" t="n">
        <v>44547.18892652778</v>
      </c>
      <c r="T1264" s="3" t="n">
        <v>44678.37398296296</v>
      </c>
      <c r="U1264" t="s">
        <v>8679</v>
      </c>
      <c r="V1264" t="s">
        <v>8680</v>
      </c>
    </row>
    <row r="1265">
      <c r="A1265" t="s">
        <v>22</v>
      </c>
      <c r="B1265" t="s">
        <v>8681</v>
      </c>
      <c r="C1265" t="s">
        <v>24</v>
      </c>
      <c r="D1265" t="s">
        <v>100</v>
      </c>
      <c r="E1265" t="s">
        <v>8682</v>
      </c>
      <c r="F1265" s="2" t="n">
        <f>HYPERLINK("https://patents.google.com/patent/US20210390836","Google")</f>
        <v>0.0</v>
      </c>
      <c r="G1265" s="2" t="n">
        <f>HYPERLINK("https://patentcenter.uspto.gov/applications/17344452","Patent Center")</f>
        <v>0.0</v>
      </c>
      <c r="H1265" s="2" t="n">
        <f>HYPERLINK("https://worldwide.espacenet.com/patent/search?q=US20210390836","Espacenet")</f>
        <v>0.0</v>
      </c>
      <c r="I1265" s="2" t="n">
        <f>HYPERLINK("https://ppubs.uspto.gov/pubwebapp/external.html?q=20210390836.pn.","USPTO")</f>
        <v>0.0</v>
      </c>
      <c r="J1265" s="2" t="n">
        <f>HYPERLINK("https://image-ppubs.uspto.gov/dirsearch-public/print/downloadPdf/20210390836","USPTO PDF")</f>
        <v>0.0</v>
      </c>
      <c r="K1265" s="2" t="n">
        <f>HYPERLINK("https://sectors.patentforecast.com/pmd/US20210390836","PMD")</f>
        <v>0.0</v>
      </c>
      <c r="L1265" s="2" t="n">
        <f>HYPERLINK("https://globaldossier.uspto.gov/result/application/US/17344452/1","US20210390836")</f>
        <v>0.0</v>
      </c>
      <c r="M1265" t="s">
        <v>8683</v>
      </c>
      <c r="N1265" t="s">
        <v>8684</v>
      </c>
      <c r="O1265" t="s">
        <v>8685</v>
      </c>
      <c r="P1265" t="s">
        <v>8686</v>
      </c>
      <c r="Q1265" s="3" t="n">
        <v>44357.0</v>
      </c>
      <c r="R1265" s="3" t="n">
        <v>44546.0</v>
      </c>
      <c r="S1265" s="3" t="n">
        <v>44547.18892652778</v>
      </c>
      <c r="T1265" s="3" t="n">
        <v>44678.57928900463</v>
      </c>
      <c r="U1265" t="s">
        <v>8687</v>
      </c>
      <c r="V1265" t="s">
        <v>8688</v>
      </c>
    </row>
    <row r="1266">
      <c r="A1266" t="s">
        <v>22</v>
      </c>
      <c r="B1266" t="s">
        <v>8689</v>
      </c>
      <c r="C1266" t="s">
        <v>24</v>
      </c>
      <c r="D1266" t="s">
        <v>43</v>
      </c>
      <c r="E1266" t="s">
        <v>8690</v>
      </c>
      <c r="F1266" s="2" t="n">
        <f>HYPERLINK("https://patents.google.com/patent/US20210390812","Google")</f>
        <v>0.0</v>
      </c>
      <c r="G1266" s="2" t="n">
        <f>HYPERLINK("https://patentcenter.uspto.gov/applications/17336985","Patent Center")</f>
        <v>0.0</v>
      </c>
      <c r="H1266" s="2" t="n">
        <f>HYPERLINK("https://worldwide.espacenet.com/patent/search?q=US20210390812","Espacenet")</f>
        <v>0.0</v>
      </c>
      <c r="I1266" s="2" t="n">
        <f>HYPERLINK("https://ppubs.uspto.gov/pubwebapp/external.html?q=20210390812.pn.","USPTO")</f>
        <v>0.0</v>
      </c>
      <c r="J1266" s="2" t="n">
        <f>HYPERLINK("https://image-ppubs.uspto.gov/dirsearch-public/print/downloadPdf/20210390812","USPTO PDF")</f>
        <v>0.0</v>
      </c>
      <c r="K1266" s="2" t="n">
        <f>HYPERLINK("https://sectors.patentforecast.com/pmd/US20210390812","PMD")</f>
        <v>0.0</v>
      </c>
      <c r="L1266" s="2" t="n">
        <f>HYPERLINK("https://globaldossier.uspto.gov/result/application/US/17336985/1","US20210390812")</f>
        <v>0.0</v>
      </c>
      <c r="M1266" t="s">
        <v>8691</v>
      </c>
      <c r="N1266" t="s">
        <v>2232</v>
      </c>
      <c r="O1266" t="s">
        <v>2232</v>
      </c>
      <c r="P1266" t="s">
        <v>8692</v>
      </c>
      <c r="Q1266" s="3" t="n">
        <v>44349.0</v>
      </c>
      <c r="R1266" s="3" t="n">
        <v>44546.0</v>
      </c>
      <c r="S1266" s="3" t="n">
        <v>44547.18892652778</v>
      </c>
      <c r="T1266" s="3" t="n">
        <v>44678.37364210648</v>
      </c>
      <c r="U1266" t="s">
        <v>8693</v>
      </c>
      <c r="V1266" t="s">
        <v>8694</v>
      </c>
    </row>
    <row r="1267">
      <c r="A1267" t="s">
        <v>22</v>
      </c>
      <c r="B1267" t="s">
        <v>8695</v>
      </c>
      <c r="C1267" t="s">
        <v>24</v>
      </c>
      <c r="D1267" t="s">
        <v>25</v>
      </c>
      <c r="E1267" t="s">
        <v>8696</v>
      </c>
      <c r="F1267" s="2" t="n">
        <f>HYPERLINK("https://patents.google.com/patent/US20210390807","Google")</f>
        <v>0.0</v>
      </c>
      <c r="G1267" s="2" t="n">
        <f>HYPERLINK("https://patentcenter.uspto.gov/applications/17308471","Patent Center")</f>
        <v>0.0</v>
      </c>
      <c r="H1267" s="2" t="n">
        <f>HYPERLINK("https://worldwide.espacenet.com/patent/search?q=US20210390807","Espacenet")</f>
        <v>0.0</v>
      </c>
      <c r="I1267" s="2" t="n">
        <f>HYPERLINK("https://ppubs.uspto.gov/pubwebapp/external.html?q=20210390807.pn.","USPTO")</f>
        <v>0.0</v>
      </c>
      <c r="J1267" s="2" t="n">
        <f>HYPERLINK("https://image-ppubs.uspto.gov/dirsearch-public/print/downloadPdf/20210390807","USPTO PDF")</f>
        <v>0.0</v>
      </c>
      <c r="K1267" s="2" t="n">
        <f>HYPERLINK("https://sectors.patentforecast.com/pmd/US20210390807","PMD")</f>
        <v>0.0</v>
      </c>
      <c r="L1267" s="2" t="n">
        <f>HYPERLINK("https://globaldossier.uspto.gov/result/application/US/17308471/1","US20210390807")</f>
        <v>0.0</v>
      </c>
      <c r="M1267" t="s">
        <v>8697</v>
      </c>
      <c r="N1267" t="s">
        <v>2232</v>
      </c>
      <c r="O1267" t="s">
        <v>2232</v>
      </c>
      <c r="P1267" t="s">
        <v>8698</v>
      </c>
      <c r="Q1267" s="3" t="n">
        <v>44321.0</v>
      </c>
      <c r="R1267" s="3" t="n">
        <v>44546.0</v>
      </c>
      <c r="S1267" s="3" t="n">
        <v>44547.18892652778</v>
      </c>
      <c r="T1267" s="3" t="n">
        <v>44678.3850759375</v>
      </c>
      <c r="U1267" t="s">
        <v>8699</v>
      </c>
      <c r="V1267" t="s">
        <v>8700</v>
      </c>
    </row>
    <row r="1268">
      <c r="A1268" t="s">
        <v>22</v>
      </c>
      <c r="B1268" t="s">
        <v>8701</v>
      </c>
      <c r="C1268" t="s">
        <v>24</v>
      </c>
      <c r="D1268" t="s">
        <v>25</v>
      </c>
      <c r="E1268" t="s">
        <v>8702</v>
      </c>
      <c r="F1268" s="2" t="n">
        <f>HYPERLINK("https://patents.google.com/patent/US20210390804","Google")</f>
        <v>0.0</v>
      </c>
      <c r="G1268" s="2" t="n">
        <f>HYPERLINK("https://patentcenter.uspto.gov/applications/17314731","Patent Center")</f>
        <v>0.0</v>
      </c>
      <c r="H1268" s="2" t="n">
        <f>HYPERLINK("https://worldwide.espacenet.com/patent/search?q=US20210390804","Espacenet")</f>
        <v>0.0</v>
      </c>
      <c r="I1268" s="2" t="n">
        <f>HYPERLINK("https://ppubs.uspto.gov/pubwebapp/external.html?q=20210390804.pn.","USPTO")</f>
        <v>0.0</v>
      </c>
      <c r="J1268" s="2" t="n">
        <f>HYPERLINK("https://image-ppubs.uspto.gov/dirsearch-public/print/downloadPdf/20210390804","USPTO PDF")</f>
        <v>0.0</v>
      </c>
      <c r="K1268" s="2" t="n">
        <f>HYPERLINK("https://sectors.patentforecast.com/pmd/US20210390804","PMD")</f>
        <v>0.0</v>
      </c>
      <c r="L1268" s="2" t="n">
        <f>HYPERLINK("https://globaldossier.uspto.gov/result/application/US/17314731/1","US20210390804")</f>
        <v>0.0</v>
      </c>
      <c r="M1268" t="s">
        <v>8703</v>
      </c>
      <c r="N1268" t="s">
        <v>2232</v>
      </c>
      <c r="O1268" t="s">
        <v>2232</v>
      </c>
      <c r="P1268" t="s">
        <v>8704</v>
      </c>
      <c r="Q1268" s="3" t="n">
        <v>44323.0</v>
      </c>
      <c r="R1268" s="3" t="n">
        <v>44546.0</v>
      </c>
      <c r="S1268" s="3" t="n">
        <v>44547.18892652778</v>
      </c>
      <c r="T1268" s="3" t="n">
        <v>44678.38505648148</v>
      </c>
      <c r="U1268" t="s">
        <v>8705</v>
      </c>
      <c r="V1268" t="s">
        <v>8706</v>
      </c>
    </row>
    <row r="1269">
      <c r="A1269" t="s">
        <v>22</v>
      </c>
      <c r="B1269" t="s">
        <v>8707</v>
      </c>
      <c r="C1269" t="s">
        <v>24</v>
      </c>
      <c r="D1269" t="s">
        <v>69</v>
      </c>
      <c r="E1269" t="s">
        <v>8708</v>
      </c>
      <c r="F1269" s="2" t="n">
        <f>HYPERLINK("https://patents.google.com/patent/US20210390508","Google")</f>
        <v>0.0</v>
      </c>
      <c r="G1269" s="2" t="n">
        <f>HYPERLINK("https://patentcenter.uspto.gov/applications/17345711","Patent Center")</f>
        <v>0.0</v>
      </c>
      <c r="H1269" s="2" t="n">
        <f>HYPERLINK("https://worldwide.espacenet.com/patent/search?q=US20210390508","Espacenet")</f>
        <v>0.0</v>
      </c>
      <c r="I1269" s="2" t="n">
        <f>HYPERLINK("https://ppubs.uspto.gov/pubwebapp/external.html?q=20210390508.pn.","USPTO")</f>
        <v>0.0</v>
      </c>
      <c r="J1269" s="2" t="n">
        <f>HYPERLINK("https://image-ppubs.uspto.gov/dirsearch-public/print/downloadPdf/20210390508","USPTO PDF")</f>
        <v>0.0</v>
      </c>
      <c r="K1269" s="2" t="n">
        <f>HYPERLINK("https://sectors.patentforecast.com/pmd/US20210390508","PMD")</f>
        <v>0.0</v>
      </c>
      <c r="L1269" s="2" t="n">
        <f>HYPERLINK("https://globaldossier.uspto.gov/result/application/US/17345711/1","US20210390508")</f>
        <v>0.0</v>
      </c>
      <c r="M1269" t="s">
        <v>8709</v>
      </c>
      <c r="N1269" t="s">
        <v>8710</v>
      </c>
      <c r="O1269" t="s">
        <v>8710</v>
      </c>
      <c r="P1269" t="s">
        <v>8711</v>
      </c>
      <c r="Q1269" s="3" t="n">
        <v>44358.0</v>
      </c>
      <c r="R1269" s="3" t="n">
        <v>44546.0</v>
      </c>
      <c r="S1269" s="3" t="n">
        <v>44629.19247876157</v>
      </c>
      <c r="T1269" s="3" t="n">
        <v>44638.700338599534</v>
      </c>
      <c r="U1269" t="s">
        <v>8712</v>
      </c>
      <c r="V1269" t="s">
        <v>8713</v>
      </c>
    </row>
    <row r="1270">
      <c r="A1270" t="s">
        <v>22</v>
      </c>
      <c r="B1270" t="s">
        <v>8714</v>
      </c>
      <c r="C1270" t="s">
        <v>24</v>
      </c>
      <c r="D1270" t="s">
        <v>34</v>
      </c>
      <c r="E1270" t="s">
        <v>8715</v>
      </c>
      <c r="F1270" s="2" t="n">
        <f>HYPERLINK("https://patents.google.com/patent/US20210389322","Google")</f>
        <v>0.0</v>
      </c>
      <c r="G1270" s="2" t="n">
        <f>HYPERLINK("https://patentcenter.uspto.gov/applications/17348665","Patent Center")</f>
        <v>0.0</v>
      </c>
      <c r="H1270" s="2" t="n">
        <f>HYPERLINK("https://worldwide.espacenet.com/patent/search?q=US20210389322","Espacenet")</f>
        <v>0.0</v>
      </c>
      <c r="I1270" s="2" t="n">
        <f>HYPERLINK("https://ppubs.uspto.gov/pubwebapp/external.html?q=20210389322.pn.","USPTO")</f>
        <v>0.0</v>
      </c>
      <c r="J1270" s="2" t="n">
        <f>HYPERLINK("https://image-ppubs.uspto.gov/dirsearch-public/print/downloadPdf/20210389322","USPTO PDF")</f>
        <v>0.0</v>
      </c>
      <c r="K1270" s="2" t="n">
        <f>HYPERLINK("https://sectors.patentforecast.com/pmd/US20210389322","PMD")</f>
        <v>0.0</v>
      </c>
      <c r="L1270" s="2" t="n">
        <f>HYPERLINK("https://globaldossier.uspto.gov/result/application/US/17348665/1","US20210389322")</f>
        <v>0.0</v>
      </c>
      <c r="M1270" t="s">
        <v>8716</v>
      </c>
      <c r="N1270" t="s">
        <v>8717</v>
      </c>
      <c r="O1270" t="s">
        <v>8718</v>
      </c>
      <c r="P1270" t="s">
        <v>8719</v>
      </c>
      <c r="Q1270" s="3" t="n">
        <v>44362.0</v>
      </c>
      <c r="R1270" s="3" t="n">
        <v>44546.0</v>
      </c>
      <c r="S1270" s="3" t="n">
        <v>44547.18892652778</v>
      </c>
      <c r="T1270" s="3" t="n">
        <v>44638.64463405093</v>
      </c>
      <c r="U1270" t="s">
        <v>8720</v>
      </c>
      <c r="V1270" t="s">
        <v>8721</v>
      </c>
    </row>
    <row r="1271">
      <c r="A1271" t="s">
        <v>22</v>
      </c>
      <c r="B1271" t="s">
        <v>8722</v>
      </c>
      <c r="C1271" t="s">
        <v>60</v>
      </c>
      <c r="D1271" t="s">
        <v>61</v>
      </c>
      <c r="E1271" t="s">
        <v>8723</v>
      </c>
      <c r="F1271" s="2" t="n">
        <f>HYPERLINK("https://patents.google.com/patent/US20210388455","Google")</f>
        <v>0.0</v>
      </c>
      <c r="G1271" s="2" t="n">
        <f>HYPERLINK("https://patentcenter.uspto.gov/applications/17347261","Patent Center")</f>
        <v>0.0</v>
      </c>
      <c r="H1271" s="2" t="n">
        <f>HYPERLINK("https://worldwide.espacenet.com/patent/search?q=US20210388455","Espacenet")</f>
        <v>0.0</v>
      </c>
      <c r="I1271" s="2" t="n">
        <f>HYPERLINK("https://ppubs.uspto.gov/pubwebapp/external.html?q=20210388455.pn.","USPTO")</f>
        <v>0.0</v>
      </c>
      <c r="J1271" s="2" t="n">
        <f>HYPERLINK("https://image-ppubs.uspto.gov/dirsearch-public/print/downloadPdf/20210388455","USPTO PDF")</f>
        <v>0.0</v>
      </c>
      <c r="K1271" s="2" t="n">
        <f>HYPERLINK("https://sectors.patentforecast.com/pmd/US20210388455","PMD")</f>
        <v>0.0</v>
      </c>
      <c r="L1271" s="2" t="n">
        <f>HYPERLINK("https://globaldossier.uspto.gov/result/application/US/17347261/1","US20210388455")</f>
        <v>0.0</v>
      </c>
      <c r="M1271" t="s">
        <v>8724</v>
      </c>
      <c r="N1271" t="s">
        <v>8725</v>
      </c>
      <c r="O1271" t="s">
        <v>8726</v>
      </c>
      <c r="P1271" t="s">
        <v>8727</v>
      </c>
      <c r="Q1271" s="3" t="n">
        <v>44361.0</v>
      </c>
      <c r="R1271" s="3" t="n">
        <v>44546.0</v>
      </c>
      <c r="S1271" s="3" t="n">
        <v>44547.18892652778</v>
      </c>
      <c r="T1271" s="3" t="n">
        <v>44678.54509594908</v>
      </c>
      <c r="U1271" t="s">
        <v>5807</v>
      </c>
      <c r="V1271" t="s">
        <v>8728</v>
      </c>
    </row>
    <row r="1272">
      <c r="A1272" t="s">
        <v>22</v>
      </c>
      <c r="B1272" t="s">
        <v>8729</v>
      </c>
      <c r="C1272" t="s">
        <v>60</v>
      </c>
      <c r="D1272" t="s">
        <v>61</v>
      </c>
      <c r="E1272" t="s">
        <v>244</v>
      </c>
      <c r="F1272" s="2" t="n">
        <f>HYPERLINK("https://patents.google.com/patent/US20210388067","Google")</f>
        <v>0.0</v>
      </c>
      <c r="G1272" s="2" t="n">
        <f>HYPERLINK("https://patentcenter.uspto.gov/applications/17405650","Patent Center")</f>
        <v>0.0</v>
      </c>
      <c r="H1272" s="2" t="n">
        <f>HYPERLINK("https://worldwide.espacenet.com/patent/search?q=US20210388067","Espacenet")</f>
        <v>0.0</v>
      </c>
      <c r="I1272" s="2" t="n">
        <f>HYPERLINK("https://ppubs.uspto.gov/pubwebapp/external.html?q=20210388067.pn.","USPTO")</f>
        <v>0.0</v>
      </c>
      <c r="J1272" s="2" t="n">
        <f>HYPERLINK("https://image-ppubs.uspto.gov/dirsearch-public/print/downloadPdf/20210388067","USPTO PDF")</f>
        <v>0.0</v>
      </c>
      <c r="K1272" s="2" t="n">
        <f>HYPERLINK("https://sectors.patentforecast.com/pmd/US20210388067","PMD")</f>
        <v>0.0</v>
      </c>
      <c r="L1272" s="2" t="n">
        <f>HYPERLINK("https://globaldossier.uspto.gov/result/application/US/17405650/1","US20210388067")</f>
        <v>0.0</v>
      </c>
      <c r="M1272" t="s">
        <v>8730</v>
      </c>
      <c r="N1272" t="s">
        <v>7848</v>
      </c>
      <c r="O1272" t="s">
        <v>7849</v>
      </c>
      <c r="P1272" t="s">
        <v>8731</v>
      </c>
      <c r="Q1272" s="3" t="n">
        <v>44426.0</v>
      </c>
      <c r="R1272" s="3" t="n">
        <v>44546.0</v>
      </c>
      <c r="S1272" s="3" t="n">
        <v>44547.18892652778</v>
      </c>
      <c r="T1272" s="3" t="n">
        <v>44638.69112454861</v>
      </c>
      <c r="U1272" t="s">
        <v>8732</v>
      </c>
      <c r="V1272" t="s">
        <v>249</v>
      </c>
    </row>
    <row r="1273">
      <c r="A1273" t="s">
        <v>22</v>
      </c>
      <c r="B1273" t="s">
        <v>8733</v>
      </c>
      <c r="C1273" t="s">
        <v>60</v>
      </c>
      <c r="D1273" t="s">
        <v>77</v>
      </c>
      <c r="E1273" t="s">
        <v>8734</v>
      </c>
      <c r="F1273" s="2" t="n">
        <f>HYPERLINK("https://patents.google.com/patent/US20210388066","Google")</f>
        <v>0.0</v>
      </c>
      <c r="G1273" s="2" t="n">
        <f>HYPERLINK("https://patentcenter.uspto.gov/applications/17354434","Patent Center")</f>
        <v>0.0</v>
      </c>
      <c r="H1273" s="2" t="n">
        <f>HYPERLINK("https://worldwide.espacenet.com/patent/search?q=US20210388066","Espacenet")</f>
        <v>0.0</v>
      </c>
      <c r="I1273" s="2" t="n">
        <f>HYPERLINK("https://ppubs.uspto.gov/pubwebapp/external.html?q=20210388066.pn.","USPTO")</f>
        <v>0.0</v>
      </c>
      <c r="J1273" s="2" t="n">
        <f>HYPERLINK("https://image-ppubs.uspto.gov/dirsearch-public/print/downloadPdf/20210388066","USPTO PDF")</f>
        <v>0.0</v>
      </c>
      <c r="K1273" s="2" t="n">
        <f>HYPERLINK("https://sectors.patentforecast.com/pmd/US20210388066","PMD")</f>
        <v>0.0</v>
      </c>
      <c r="L1273" s="2" t="n">
        <f>HYPERLINK("https://globaldossier.uspto.gov/result/application/US/17354434/1","US20210388066")</f>
        <v>0.0</v>
      </c>
      <c r="M1273" t="s">
        <v>8735</v>
      </c>
      <c r="N1273" t="s">
        <v>1792</v>
      </c>
      <c r="O1273" t="s">
        <v>1793</v>
      </c>
      <c r="P1273" t="s">
        <v>8736</v>
      </c>
      <c r="Q1273" s="3" t="n">
        <v>44369.0</v>
      </c>
      <c r="R1273" s="3" t="n">
        <v>44546.0</v>
      </c>
      <c r="S1273" s="3" t="n">
        <v>44547.18892652778</v>
      </c>
      <c r="T1273" s="3" t="n">
        <v>44678.54702215278</v>
      </c>
      <c r="U1273" t="s">
        <v>8737</v>
      </c>
      <c r="V1273" t="s">
        <v>8738</v>
      </c>
    </row>
    <row r="1274">
      <c r="A1274" t="s">
        <v>22</v>
      </c>
      <c r="B1274" t="s">
        <v>8739</v>
      </c>
      <c r="C1274" t="s">
        <v>60</v>
      </c>
      <c r="D1274" t="s">
        <v>77</v>
      </c>
      <c r="E1274" t="s">
        <v>8740</v>
      </c>
      <c r="F1274" s="2" t="n">
        <f>HYPERLINK("https://patents.google.com/patent/US20210388065","Google")</f>
        <v>0.0</v>
      </c>
      <c r="G1274" s="2" t="n">
        <f>HYPERLINK("https://patentcenter.uspto.gov/applications/17053008","Patent Center")</f>
        <v>0.0</v>
      </c>
      <c r="H1274" s="2" t="n">
        <f>HYPERLINK("https://worldwide.espacenet.com/patent/search?q=US20210388065","Espacenet")</f>
        <v>0.0</v>
      </c>
      <c r="I1274" s="2" t="n">
        <f>HYPERLINK("https://ppubs.uspto.gov/pubwebapp/external.html?q=20210388065.pn.","USPTO")</f>
        <v>0.0</v>
      </c>
      <c r="J1274" s="2" t="n">
        <f>HYPERLINK("https://image-ppubs.uspto.gov/dirsearch-public/print/downloadPdf/20210388065","USPTO PDF")</f>
        <v>0.0</v>
      </c>
      <c r="K1274" s="2" t="n">
        <f>HYPERLINK("https://sectors.patentforecast.com/pmd/US20210388065","PMD")</f>
        <v>0.0</v>
      </c>
      <c r="L1274" s="2" t="n">
        <f>HYPERLINK("https://globaldossier.uspto.gov/result/application/US/17053008/1","US20210388065")</f>
        <v>0.0</v>
      </c>
      <c r="M1274" t="s">
        <v>8741</v>
      </c>
      <c r="N1274" t="s">
        <v>8742</v>
      </c>
      <c r="O1274" t="s">
        <v>8742</v>
      </c>
      <c r="P1274" t="s">
        <v>8743</v>
      </c>
      <c r="Q1274" s="3" t="n">
        <v>43936.0</v>
      </c>
      <c r="R1274" s="3" t="n">
        <v>44546.0</v>
      </c>
      <c r="S1274" s="3" t="n">
        <v>44547.187880289355</v>
      </c>
      <c r="T1274" s="3" t="n">
        <v>44638.64225171296</v>
      </c>
      <c r="U1274" t="s">
        <v>8744</v>
      </c>
      <c r="V1274" t="s">
        <v>8745</v>
      </c>
    </row>
    <row r="1275">
      <c r="A1275" t="s">
        <v>22</v>
      </c>
      <c r="B1275" t="s">
        <v>8746</v>
      </c>
      <c r="C1275" t="s">
        <v>132</v>
      </c>
      <c r="D1275" t="s">
        <v>8747</v>
      </c>
      <c r="E1275" t="s">
        <v>8748</v>
      </c>
      <c r="F1275" s="2" t="n">
        <f>HYPERLINK("https://patents.google.com/patent/US20210388033","Google")</f>
        <v>0.0</v>
      </c>
      <c r="G1275" s="2" t="n">
        <f>HYPERLINK("https://patentcenter.uspto.gov/applications/17404143","Patent Center")</f>
        <v>0.0</v>
      </c>
      <c r="H1275" s="2" t="n">
        <f>HYPERLINK("https://worldwide.espacenet.com/patent/search?q=US20210388033","Espacenet")</f>
        <v>0.0</v>
      </c>
      <c r="I1275" s="2" t="n">
        <f>HYPERLINK("https://ppubs.uspto.gov/pubwebapp/external.html?q=20210388033.pn.","USPTO")</f>
        <v>0.0</v>
      </c>
      <c r="J1275" s="2" t="n">
        <f>HYPERLINK("https://image-ppubs.uspto.gov/dirsearch-public/print/downloadPdf/20210388033","USPTO PDF")</f>
        <v>0.0</v>
      </c>
      <c r="K1275" s="2" t="n">
        <f>HYPERLINK("https://sectors.patentforecast.com/pmd/US20210388033","PMD")</f>
        <v>0.0</v>
      </c>
      <c r="L1275" s="2" t="n">
        <f>HYPERLINK("https://globaldossier.uspto.gov/result/application/US/17404143/1","US20210388033")</f>
        <v>0.0</v>
      </c>
      <c r="M1275" t="s">
        <v>8749</v>
      </c>
      <c r="N1275" t="s">
        <v>7854</v>
      </c>
      <c r="O1275" t="s">
        <v>7855</v>
      </c>
      <c r="P1275" t="s">
        <v>8750</v>
      </c>
      <c r="Q1275" s="3" t="n">
        <v>44425.0</v>
      </c>
      <c r="R1275" s="3" t="n">
        <v>44546.0</v>
      </c>
      <c r="S1275" s="3" t="n">
        <v>44547.19088841435</v>
      </c>
      <c r="T1275" s="3" t="n">
        <v>44643.400884918985</v>
      </c>
      <c r="U1275" t="s">
        <v>8751</v>
      </c>
      <c r="V1275" t="s">
        <v>8752</v>
      </c>
    </row>
    <row r="1276">
      <c r="A1276" t="s">
        <v>22</v>
      </c>
      <c r="B1276" t="s">
        <v>8753</v>
      </c>
      <c r="C1276" t="s">
        <v>132</v>
      </c>
      <c r="D1276" t="s">
        <v>133</v>
      </c>
      <c r="E1276" t="s">
        <v>8754</v>
      </c>
      <c r="F1276" s="2" t="n">
        <f>HYPERLINK("https://patents.google.com/patent/US20210388032","Google")</f>
        <v>0.0</v>
      </c>
      <c r="G1276" s="2" t="n">
        <f>HYPERLINK("https://patentcenter.uspto.gov/applications/17387105","Patent Center")</f>
        <v>0.0</v>
      </c>
      <c r="H1276" s="2" t="n">
        <f>HYPERLINK("https://worldwide.espacenet.com/patent/search?q=US20210388032","Espacenet")</f>
        <v>0.0</v>
      </c>
      <c r="I1276" s="2" t="n">
        <f>HYPERLINK("https://ppubs.uspto.gov/pubwebapp/external.html?q=20210388032.pn.","USPTO")</f>
        <v>0.0</v>
      </c>
      <c r="J1276" s="2" t="n">
        <f>HYPERLINK("https://image-ppubs.uspto.gov/dirsearch-public/print/downloadPdf/20210388032","USPTO PDF")</f>
        <v>0.0</v>
      </c>
      <c r="K1276" s="2" t="n">
        <f>HYPERLINK("https://sectors.patentforecast.com/pmd/US20210388032","PMD")</f>
        <v>0.0</v>
      </c>
      <c r="L1276" s="2" t="n">
        <f>HYPERLINK("https://globaldossier.uspto.gov/result/application/US/17387105/1","US20210388032")</f>
        <v>0.0</v>
      </c>
      <c r="M1276" t="s">
        <v>8755</v>
      </c>
      <c r="N1276" t="s">
        <v>8756</v>
      </c>
      <c r="O1276" t="s">
        <v>8757</v>
      </c>
      <c r="P1276" t="s">
        <v>8758</v>
      </c>
      <c r="Q1276" s="3" t="n">
        <v>44405.0</v>
      </c>
      <c r="R1276" s="3" t="n">
        <v>44546.0</v>
      </c>
      <c r="S1276" s="3" t="n">
        <v>44547.187880289355</v>
      </c>
      <c r="T1276" s="3" t="n">
        <v>44638.68962553241</v>
      </c>
      <c r="U1276" t="s">
        <v>8759</v>
      </c>
      <c r="V1276" t="s">
        <v>8760</v>
      </c>
    </row>
    <row r="1277">
      <c r="A1277" t="s">
        <v>22</v>
      </c>
      <c r="B1277" t="s">
        <v>8761</v>
      </c>
      <c r="C1277" t="s">
        <v>60</v>
      </c>
      <c r="D1277" t="s">
        <v>61</v>
      </c>
      <c r="E1277" t="s">
        <v>8762</v>
      </c>
      <c r="F1277" s="2" t="n">
        <f>HYPERLINK("https://patents.google.com/patent/US20210388031","Google")</f>
        <v>0.0</v>
      </c>
      <c r="G1277" s="2" t="n">
        <f>HYPERLINK("https://patentcenter.uspto.gov/applications/17348994","Patent Center")</f>
        <v>0.0</v>
      </c>
      <c r="H1277" s="2" t="n">
        <f>HYPERLINK("https://worldwide.espacenet.com/patent/search?q=US20210388031","Espacenet")</f>
        <v>0.0</v>
      </c>
      <c r="I1277" s="2" t="n">
        <f>HYPERLINK("https://ppubs.uspto.gov/pubwebapp/external.html?q=20210388031.pn.","USPTO")</f>
        <v>0.0</v>
      </c>
      <c r="J1277" s="2" t="n">
        <f>HYPERLINK("https://image-ppubs.uspto.gov/dirsearch-public/print/downloadPdf/20210388031","USPTO PDF")</f>
        <v>0.0</v>
      </c>
      <c r="K1277" s="2" t="n">
        <f>HYPERLINK("https://sectors.patentforecast.com/pmd/US20210388031","PMD")</f>
        <v>0.0</v>
      </c>
      <c r="L1277" s="2" t="n">
        <f>HYPERLINK("https://globaldossier.uspto.gov/result/application/US/17348994/1","US20210388031")</f>
        <v>0.0</v>
      </c>
      <c r="M1277" t="s">
        <v>8763</v>
      </c>
      <c r="N1277" t="s">
        <v>6759</v>
      </c>
      <c r="O1277" t="s">
        <v>6760</v>
      </c>
      <c r="P1277" t="s">
        <v>8764</v>
      </c>
      <c r="Q1277" s="3" t="n">
        <v>44363.0</v>
      </c>
      <c r="R1277" s="3" t="n">
        <v>44546.0</v>
      </c>
      <c r="S1277" s="3" t="n">
        <v>44547.187880289355</v>
      </c>
      <c r="T1277" s="3" t="n">
        <v>44678.61476798611</v>
      </c>
      <c r="U1277" t="s">
        <v>8765</v>
      </c>
      <c r="V1277" t="s">
        <v>8766</v>
      </c>
    </row>
    <row r="1278">
      <c r="A1278" t="s">
        <v>22</v>
      </c>
      <c r="B1278" t="s">
        <v>8767</v>
      </c>
      <c r="C1278" t="s">
        <v>60</v>
      </c>
      <c r="D1278" t="s">
        <v>61</v>
      </c>
      <c r="E1278" t="s">
        <v>8768</v>
      </c>
      <c r="F1278" s="2" t="n">
        <f>HYPERLINK("https://patents.google.com/patent/US20210388019","Google")</f>
        <v>0.0</v>
      </c>
      <c r="G1278" s="2" t="n">
        <f>HYPERLINK("https://patentcenter.uspto.gov/applications/17399445","Patent Center")</f>
        <v>0.0</v>
      </c>
      <c r="H1278" s="2" t="n">
        <f>HYPERLINK("https://worldwide.espacenet.com/patent/search?q=US20210388019","Espacenet")</f>
        <v>0.0</v>
      </c>
      <c r="I1278" s="2" t="n">
        <f>HYPERLINK("https://ppubs.uspto.gov/pubwebapp/external.html?q=20210388019.pn.","USPTO")</f>
        <v>0.0</v>
      </c>
      <c r="J1278" s="2" t="n">
        <f>HYPERLINK("https://image-ppubs.uspto.gov/dirsearch-public/print/downloadPdf/20210388019","USPTO PDF")</f>
        <v>0.0</v>
      </c>
      <c r="K1278" s="2" t="n">
        <f>HYPERLINK("https://sectors.patentforecast.com/pmd/US20210388019","PMD")</f>
        <v>0.0</v>
      </c>
      <c r="L1278" s="2" t="n">
        <f>HYPERLINK("https://globaldossier.uspto.gov/result/application/US/17399445/1","US20210388019")</f>
        <v>0.0</v>
      </c>
      <c r="M1278" t="s">
        <v>8769</v>
      </c>
      <c r="N1278" t="s">
        <v>8770</v>
      </c>
      <c r="O1278" t="s">
        <v>8771</v>
      </c>
      <c r="P1278" t="s">
        <v>8772</v>
      </c>
      <c r="Q1278" s="3" t="n">
        <v>44419.0</v>
      </c>
      <c r="R1278" s="3" t="n">
        <v>44546.0</v>
      </c>
      <c r="S1278" s="3" t="n">
        <v>44547.18892652778</v>
      </c>
      <c r="T1278" s="3" t="n">
        <v>44638.69112454861</v>
      </c>
      <c r="U1278" t="s">
        <v>8773</v>
      </c>
      <c r="V1278" t="s">
        <v>8774</v>
      </c>
    </row>
    <row r="1279">
      <c r="A1279" t="s">
        <v>22</v>
      </c>
      <c r="B1279" t="s">
        <v>8775</v>
      </c>
      <c r="C1279" t="s">
        <v>24</v>
      </c>
      <c r="D1279" t="s">
        <v>100</v>
      </c>
      <c r="E1279" t="s">
        <v>8776</v>
      </c>
      <c r="F1279" s="2" t="n">
        <f>HYPERLINK("https://patents.google.com/patent/US20210387795","Google")</f>
        <v>0.0</v>
      </c>
      <c r="G1279" s="2" t="n">
        <f>HYPERLINK("https://patentcenter.uspto.gov/applications/17327693","Patent Center")</f>
        <v>0.0</v>
      </c>
      <c r="H1279" s="2" t="n">
        <f>HYPERLINK("https://worldwide.espacenet.com/patent/search?q=US20210387795","Espacenet")</f>
        <v>0.0</v>
      </c>
      <c r="I1279" s="2" t="n">
        <f>HYPERLINK("https://ppubs.uspto.gov/pubwebapp/external.html?q=20210387795.pn.","USPTO")</f>
        <v>0.0</v>
      </c>
      <c r="J1279" s="2" t="n">
        <f>HYPERLINK("https://image-ppubs.uspto.gov/dirsearch-public/print/downloadPdf/20210387795","USPTO PDF")</f>
        <v>0.0</v>
      </c>
      <c r="K1279" s="2" t="n">
        <f>HYPERLINK("https://sectors.patentforecast.com/pmd/US20210387795","PMD")</f>
        <v>0.0</v>
      </c>
      <c r="L1279" s="2" t="n">
        <f>HYPERLINK("https://globaldossier.uspto.gov/result/application/US/17327693/1","US20210387795")</f>
        <v>0.0</v>
      </c>
      <c r="M1279" t="s">
        <v>8777</v>
      </c>
      <c r="N1279" t="s">
        <v>8778</v>
      </c>
      <c r="O1279" t="s">
        <v>8779</v>
      </c>
      <c r="P1279" t="s">
        <v>8780</v>
      </c>
      <c r="Q1279" s="3" t="n">
        <v>44338.0</v>
      </c>
      <c r="R1279" s="3" t="n">
        <v>44546.0</v>
      </c>
      <c r="S1279" s="3" t="n">
        <v>44547.18892652778</v>
      </c>
      <c r="T1279" s="3" t="n">
        <v>44678.57928900463</v>
      </c>
      <c r="U1279" t="s">
        <v>8781</v>
      </c>
      <c r="V1279" t="s">
        <v>8782</v>
      </c>
    </row>
    <row r="1280">
      <c r="A1280" t="s">
        <v>22</v>
      </c>
      <c r="B1280" t="s">
        <v>8783</v>
      </c>
      <c r="C1280" t="s">
        <v>24</v>
      </c>
      <c r="D1280" t="s">
        <v>69</v>
      </c>
      <c r="E1280" t="s">
        <v>8784</v>
      </c>
      <c r="F1280" s="2" t="n">
        <f>HYPERLINK("https://patents.google.com/patent/US20210387794","Google")</f>
        <v>0.0</v>
      </c>
      <c r="G1280" s="2" t="n">
        <f>HYPERLINK("https://patentcenter.uspto.gov/applications/17328319","Patent Center")</f>
        <v>0.0</v>
      </c>
      <c r="H1280" s="2" t="n">
        <f>HYPERLINK("https://worldwide.espacenet.com/patent/search?q=US20210387794","Espacenet")</f>
        <v>0.0</v>
      </c>
      <c r="I1280" s="2" t="n">
        <f>HYPERLINK("https://ppubs.uspto.gov/pubwebapp/external.html?q=20210387794.pn.","USPTO")</f>
        <v>0.0</v>
      </c>
      <c r="J1280" s="2" t="n">
        <f>HYPERLINK("https://image-ppubs.uspto.gov/dirsearch-public/print/downloadPdf/20210387794","USPTO PDF")</f>
        <v>0.0</v>
      </c>
      <c r="K1280" s="2" t="n">
        <f>HYPERLINK("https://sectors.patentforecast.com/pmd/US20210387794","PMD")</f>
        <v>0.0</v>
      </c>
      <c r="L1280" s="2" t="n">
        <f>HYPERLINK("https://globaldossier.uspto.gov/result/application/US/17328319/1","US20210387794")</f>
        <v>0.0</v>
      </c>
      <c r="M1280" t="s">
        <v>8785</v>
      </c>
      <c r="N1280" t="s">
        <v>1649</v>
      </c>
      <c r="O1280" t="s">
        <v>1650</v>
      </c>
      <c r="P1280" t="s">
        <v>8786</v>
      </c>
      <c r="Q1280" s="3" t="n">
        <v>44340.0</v>
      </c>
      <c r="R1280" s="3" t="n">
        <v>44546.0</v>
      </c>
      <c r="S1280" s="3" t="n">
        <v>44547.18892652778</v>
      </c>
      <c r="T1280" s="3" t="n">
        <v>44678.63574980324</v>
      </c>
      <c r="U1280" t="s">
        <v>8787</v>
      </c>
      <c r="V1280" t="s">
        <v>8788</v>
      </c>
    </row>
    <row r="1281">
      <c r="A1281" t="s">
        <v>22</v>
      </c>
      <c r="B1281" t="s">
        <v>8789</v>
      </c>
      <c r="C1281" t="s">
        <v>24</v>
      </c>
      <c r="D1281" t="s">
        <v>100</v>
      </c>
      <c r="E1281" t="s">
        <v>8790</v>
      </c>
      <c r="F1281" s="2" t="n">
        <f>HYPERLINK("https://patents.google.com/patent/US20210387785","Google")</f>
        <v>0.0</v>
      </c>
      <c r="G1281" s="2" t="n">
        <f>HYPERLINK("https://patentcenter.uspto.gov/applications/17341241","Patent Center")</f>
        <v>0.0</v>
      </c>
      <c r="H1281" s="2" t="n">
        <f>HYPERLINK("https://worldwide.espacenet.com/patent/search?q=US20210387785","Espacenet")</f>
        <v>0.0</v>
      </c>
      <c r="I1281" s="2" t="n">
        <f>HYPERLINK("https://ppubs.uspto.gov/pubwebapp/external.html?q=20210387785.pn.","USPTO")</f>
        <v>0.0</v>
      </c>
      <c r="J1281" s="2" t="n">
        <f>HYPERLINK("https://image-ppubs.uspto.gov/dirsearch-public/print/downloadPdf/20210387785","USPTO PDF")</f>
        <v>0.0</v>
      </c>
      <c r="K1281" s="2" t="n">
        <f>HYPERLINK("https://sectors.patentforecast.com/pmd/US20210387785","PMD")</f>
        <v>0.0</v>
      </c>
      <c r="L1281" s="2" t="n">
        <f>HYPERLINK("https://globaldossier.uspto.gov/result/application/US/17341241/1","US20210387785")</f>
        <v>0.0</v>
      </c>
      <c r="M1281" t="s">
        <v>8791</v>
      </c>
      <c r="N1281" t="s">
        <v>8792</v>
      </c>
      <c r="O1281" t="s">
        <v>8793</v>
      </c>
      <c r="P1281" t="s">
        <v>8794</v>
      </c>
      <c r="Q1281" s="3" t="n">
        <v>44354.0</v>
      </c>
      <c r="R1281" s="3" t="n">
        <v>44546.0</v>
      </c>
      <c r="S1281" s="3" t="n">
        <v>44547.18892652778</v>
      </c>
      <c r="T1281" s="3" t="n">
        <v>44678.57928900463</v>
      </c>
      <c r="U1281" t="s">
        <v>8795</v>
      </c>
      <c r="V1281" t="s">
        <v>8796</v>
      </c>
    </row>
    <row r="1282">
      <c r="A1282" t="s">
        <v>22</v>
      </c>
      <c r="B1282" t="s">
        <v>8797</v>
      </c>
      <c r="C1282" t="s">
        <v>24</v>
      </c>
      <c r="D1282" t="s">
        <v>100</v>
      </c>
      <c r="E1282" t="s">
        <v>8798</v>
      </c>
      <c r="F1282" s="2" t="n">
        <f>HYPERLINK("https://patents.google.com/patent/US20210387509","Google")</f>
        <v>0.0</v>
      </c>
      <c r="G1282" s="2" t="n">
        <f>HYPERLINK("https://patentcenter.uspto.gov/applications/17347794","Patent Center")</f>
        <v>0.0</v>
      </c>
      <c r="H1282" s="2" t="n">
        <f>HYPERLINK("https://worldwide.espacenet.com/patent/search?q=US20210387509","Espacenet")</f>
        <v>0.0</v>
      </c>
      <c r="I1282" s="2" t="n">
        <f>HYPERLINK("https://ppubs.uspto.gov/pubwebapp/external.html?q=20210387509.pn.","USPTO")</f>
        <v>0.0</v>
      </c>
      <c r="J1282" s="2" t="n">
        <f>HYPERLINK("https://image-ppubs.uspto.gov/dirsearch-public/print/downloadPdf/20210387509","USPTO PDF")</f>
        <v>0.0</v>
      </c>
      <c r="K1282" s="2" t="n">
        <f>HYPERLINK("https://sectors.patentforecast.com/pmd/US20210387509","PMD")</f>
        <v>0.0</v>
      </c>
      <c r="L1282" s="2" t="n">
        <f>HYPERLINK("https://globaldossier.uspto.gov/result/application/US/17347794/1","US20210387509")</f>
        <v>0.0</v>
      </c>
      <c r="M1282" t="s">
        <v>8799</v>
      </c>
      <c r="N1282" t="s">
        <v>8800</v>
      </c>
      <c r="O1282" t="s">
        <v>8801</v>
      </c>
      <c r="P1282" t="s">
        <v>8802</v>
      </c>
      <c r="Q1282" s="3" t="n">
        <v>44362.0</v>
      </c>
      <c r="R1282" s="3" t="n">
        <v>44546.0</v>
      </c>
      <c r="S1282" s="3" t="n">
        <v>44547.18892652778</v>
      </c>
      <c r="T1282" s="3" t="n">
        <v>44757.75295386574</v>
      </c>
      <c r="U1282" t="s">
        <v>8803</v>
      </c>
      <c r="V1282" t="s">
        <v>8804</v>
      </c>
    </row>
    <row r="1283">
      <c r="A1283" t="s">
        <v>22</v>
      </c>
      <c r="B1283" t="s">
        <v>8805</v>
      </c>
      <c r="C1283" t="s">
        <v>24</v>
      </c>
      <c r="D1283" t="s">
        <v>100</v>
      </c>
      <c r="E1283" t="s">
        <v>8806</v>
      </c>
      <c r="F1283" s="2" t="n">
        <f>HYPERLINK("https://patents.google.com/patent/US20210386891","Google")</f>
        <v>0.0</v>
      </c>
      <c r="G1283" s="2" t="n">
        <f>HYPERLINK("https://patentcenter.uspto.gov/applications/17034038","Patent Center")</f>
        <v>0.0</v>
      </c>
      <c r="H1283" s="2" t="n">
        <f>HYPERLINK("https://worldwide.espacenet.com/patent/search?q=US20210386891","Espacenet")</f>
        <v>0.0</v>
      </c>
      <c r="I1283" s="2" t="n">
        <f>HYPERLINK("https://ppubs.uspto.gov/pubwebapp/external.html?q=20210386891.pn.","USPTO")</f>
        <v>0.0</v>
      </c>
      <c r="J1283" s="2" t="n">
        <f>HYPERLINK("https://image-ppubs.uspto.gov/dirsearch-public/print/downloadPdf/20210386891","USPTO PDF")</f>
        <v>0.0</v>
      </c>
      <c r="K1283" s="2" t="n">
        <f>HYPERLINK("https://sectors.patentforecast.com/pmd/US20210386891","PMD")</f>
        <v>0.0</v>
      </c>
      <c r="L1283" s="2" t="n">
        <f>HYPERLINK("https://globaldossier.uspto.gov/result/application/US/17034038/1","US20210386891")</f>
        <v>0.0</v>
      </c>
      <c r="M1283" t="s">
        <v>8807</v>
      </c>
      <c r="N1283" t="s">
        <v>8808</v>
      </c>
      <c r="O1283" t="s">
        <v>8808</v>
      </c>
      <c r="P1283" t="s">
        <v>8809</v>
      </c>
      <c r="Q1283" s="3" t="n">
        <v>44102.0</v>
      </c>
      <c r="R1283" s="3" t="n">
        <v>44546.0</v>
      </c>
      <c r="S1283" s="3" t="n">
        <v>44547.18892652778</v>
      </c>
      <c r="T1283" s="3" t="n">
        <v>44678.57928900463</v>
      </c>
      <c r="U1283" t="s">
        <v>8810</v>
      </c>
      <c r="V1283" t="s">
        <v>8811</v>
      </c>
    </row>
    <row r="1284">
      <c r="A1284" t="s">
        <v>22</v>
      </c>
      <c r="B1284" t="s">
        <v>8812</v>
      </c>
      <c r="C1284" t="s">
        <v>24</v>
      </c>
      <c r="D1284" t="s">
        <v>100</v>
      </c>
      <c r="E1284" t="s">
        <v>165</v>
      </c>
      <c r="F1284" s="2" t="n">
        <f>HYPERLINK("https://patents.google.com/patent/US20210386887","Google")</f>
        <v>0.0</v>
      </c>
      <c r="G1284" s="2" t="n">
        <f>HYPERLINK("https://patentcenter.uspto.gov/applications/17446430","Patent Center")</f>
        <v>0.0</v>
      </c>
      <c r="H1284" s="2" t="n">
        <f>HYPERLINK("https://worldwide.espacenet.com/patent/search?q=US20210386887","Espacenet")</f>
        <v>0.0</v>
      </c>
      <c r="I1284" s="2" t="n">
        <f>HYPERLINK("https://ppubs.uspto.gov/pubwebapp/external.html?q=20210386887.pn.","USPTO")</f>
        <v>0.0</v>
      </c>
      <c r="J1284" s="2" t="n">
        <f>HYPERLINK("https://image-ppubs.uspto.gov/dirsearch-public/print/downloadPdf/20210386887","USPTO PDF")</f>
        <v>0.0</v>
      </c>
      <c r="K1284" s="2" t="n">
        <f>HYPERLINK("https://sectors.patentforecast.com/pmd/US20210386887","PMD")</f>
        <v>0.0</v>
      </c>
      <c r="L1284" s="2" t="n">
        <f>HYPERLINK("https://globaldossier.uspto.gov/result/application/US/17446430/1","US20210386887")</f>
        <v>0.0</v>
      </c>
      <c r="M1284" t="s">
        <v>8813</v>
      </c>
      <c r="N1284" t="s">
        <v>167</v>
      </c>
      <c r="O1284" t="s">
        <v>168</v>
      </c>
      <c r="P1284" t="s">
        <v>8814</v>
      </c>
      <c r="Q1284" s="3" t="n">
        <v>44438.0</v>
      </c>
      <c r="R1284" s="3" t="n">
        <v>44546.0</v>
      </c>
      <c r="S1284" s="3" t="n">
        <v>44547.18892652778</v>
      </c>
      <c r="T1284" s="3" t="n">
        <v>44757.753075243054</v>
      </c>
      <c r="U1284" t="s">
        <v>8815</v>
      </c>
      <c r="V1284" t="s">
        <v>170</v>
      </c>
    </row>
    <row r="1285">
      <c r="A1285" t="s">
        <v>22</v>
      </c>
      <c r="B1285" t="s">
        <v>8816</v>
      </c>
      <c r="C1285" t="s">
        <v>132</v>
      </c>
      <c r="D1285" t="s">
        <v>133</v>
      </c>
      <c r="E1285" t="s">
        <v>8817</v>
      </c>
      <c r="F1285" s="2" t="n">
        <f>HYPERLINK("https://patents.google.com/patent/US20210386852","Google")</f>
        <v>0.0</v>
      </c>
      <c r="G1285" s="2" t="n">
        <f>HYPERLINK("https://patentcenter.uspto.gov/applications/17143740","Patent Center")</f>
        <v>0.0</v>
      </c>
      <c r="H1285" s="2" t="n">
        <f>HYPERLINK("https://worldwide.espacenet.com/patent/search?q=US20210386852","Espacenet")</f>
        <v>0.0</v>
      </c>
      <c r="I1285" s="2" t="n">
        <f>HYPERLINK("https://ppubs.uspto.gov/pubwebapp/external.html?q=20210386852.pn.","USPTO")</f>
        <v>0.0</v>
      </c>
      <c r="J1285" s="2" t="n">
        <f>HYPERLINK("https://image-ppubs.uspto.gov/dirsearch-public/print/downloadPdf/20210386852","USPTO PDF")</f>
        <v>0.0</v>
      </c>
      <c r="K1285" s="2" t="n">
        <f>HYPERLINK("https://sectors.patentforecast.com/pmd/US20210386852","PMD")</f>
        <v>0.0</v>
      </c>
      <c r="L1285" s="2" t="n">
        <f>HYPERLINK("https://globaldossier.uspto.gov/result/application/US/17143740/1","US20210386852")</f>
        <v>0.0</v>
      </c>
      <c r="M1285" t="s">
        <v>8818</v>
      </c>
      <c r="N1285" t="s">
        <v>4069</v>
      </c>
      <c r="O1285" t="s">
        <v>4070</v>
      </c>
      <c r="P1285" t="s">
        <v>8819</v>
      </c>
      <c r="Q1285" s="3" t="n">
        <v>44203.0</v>
      </c>
      <c r="R1285" s="3" t="n">
        <v>44546.0</v>
      </c>
      <c r="S1285" s="3" t="n">
        <v>44547.18880675926</v>
      </c>
      <c r="T1285" s="3" t="n">
        <v>44638.68962553241</v>
      </c>
      <c r="U1285" t="s">
        <v>8820</v>
      </c>
      <c r="V1285" t="s">
        <v>8821</v>
      </c>
    </row>
    <row r="1286">
      <c r="A1286" t="s">
        <v>22</v>
      </c>
      <c r="B1286" t="s">
        <v>8822</v>
      </c>
      <c r="C1286" t="s">
        <v>60</v>
      </c>
      <c r="D1286" t="s">
        <v>61</v>
      </c>
      <c r="E1286" t="s">
        <v>8823</v>
      </c>
      <c r="F1286" s="2" t="n">
        <f>HYPERLINK("https://patents.google.com/patent/US20210386821","Google")</f>
        <v>0.0</v>
      </c>
      <c r="G1286" s="2" t="n">
        <f>HYPERLINK("https://patentcenter.uspto.gov/applications/16898378","Patent Center")</f>
        <v>0.0</v>
      </c>
      <c r="H1286" s="2" t="n">
        <f>HYPERLINK("https://worldwide.espacenet.com/patent/search?q=US20210386821","Espacenet")</f>
        <v>0.0</v>
      </c>
      <c r="I1286" s="2" t="n">
        <f>HYPERLINK("https://ppubs.uspto.gov/pubwebapp/external.html?q=20210386821.pn.","USPTO")</f>
        <v>0.0</v>
      </c>
      <c r="J1286" s="2" t="n">
        <f>HYPERLINK("https://image-ppubs.uspto.gov/dirsearch-public/print/downloadPdf/20210386821","USPTO PDF")</f>
        <v>0.0</v>
      </c>
      <c r="K1286" s="2" t="n">
        <f>HYPERLINK("https://sectors.patentforecast.com/pmd/US20210386821","PMD")</f>
        <v>0.0</v>
      </c>
      <c r="L1286" s="2" t="n">
        <f>HYPERLINK("https://globaldossier.uspto.gov/result/application/US/16898378/1","US20210386821")</f>
        <v>0.0</v>
      </c>
      <c r="M1286" t="s">
        <v>8824</v>
      </c>
      <c r="N1286" t="s">
        <v>8825</v>
      </c>
      <c r="O1286" t="s">
        <v>8826</v>
      </c>
      <c r="P1286" t="s">
        <v>8827</v>
      </c>
      <c r="Q1286" s="3" t="n">
        <v>43992.0</v>
      </c>
      <c r="R1286" s="3" t="n">
        <v>44546.0</v>
      </c>
      <c r="S1286" s="3" t="n">
        <v>44547.18880675926</v>
      </c>
      <c r="T1286" s="3" t="n">
        <v>44678.54204998843</v>
      </c>
      <c r="U1286" t="s">
        <v>8828</v>
      </c>
      <c r="V1286" t="s">
        <v>8829</v>
      </c>
    </row>
    <row r="1287">
      <c r="A1287" t="s">
        <v>22</v>
      </c>
      <c r="B1287" t="s">
        <v>8830</v>
      </c>
      <c r="C1287" t="s">
        <v>60</v>
      </c>
      <c r="D1287" t="s">
        <v>4942</v>
      </c>
      <c r="E1287" t="s">
        <v>8831</v>
      </c>
      <c r="F1287" s="2" t="n">
        <f>HYPERLINK("https://patents.google.com/patent/US20210386779","Google")</f>
        <v>0.0</v>
      </c>
      <c r="G1287" s="2" t="n">
        <f>HYPERLINK("https://patentcenter.uspto.gov/applications/17245415","Patent Center")</f>
        <v>0.0</v>
      </c>
      <c r="H1287" s="2" t="n">
        <f>HYPERLINK("https://worldwide.espacenet.com/patent/search?q=US20210386779","Espacenet")</f>
        <v>0.0</v>
      </c>
      <c r="I1287" s="2" t="n">
        <f>HYPERLINK("https://ppubs.uspto.gov/pubwebapp/external.html?q=20210386779.pn.","USPTO")</f>
        <v>0.0</v>
      </c>
      <c r="J1287" s="2" t="n">
        <f>HYPERLINK("https://image-ppubs.uspto.gov/dirsearch-public/print/downloadPdf/20210386779","USPTO PDF")</f>
        <v>0.0</v>
      </c>
      <c r="K1287" s="2" t="n">
        <f>HYPERLINK("https://sectors.patentforecast.com/pmd/US20210386779","PMD")</f>
        <v>0.0</v>
      </c>
      <c r="L1287" s="2" t="n">
        <f>HYPERLINK("https://globaldossier.uspto.gov/result/application/US/17245415/1","US20210386779")</f>
        <v>0.0</v>
      </c>
      <c r="M1287" t="s">
        <v>8832</v>
      </c>
      <c r="N1287" t="s">
        <v>8833</v>
      </c>
      <c r="O1287" t="s">
        <v>8833</v>
      </c>
      <c r="P1287" t="s">
        <v>8834</v>
      </c>
      <c r="Q1287" s="3" t="n">
        <v>44316.0</v>
      </c>
      <c r="R1287" s="3" t="n">
        <v>44546.0</v>
      </c>
      <c r="S1287" s="3" t="n">
        <v>44547.187880289355</v>
      </c>
      <c r="T1287" s="3" t="n">
        <v>44678.593745150465</v>
      </c>
      <c r="U1287" t="s">
        <v>8835</v>
      </c>
      <c r="V1287" t="s">
        <v>8836</v>
      </c>
    </row>
    <row r="1288">
      <c r="A1288" t="s">
        <v>22</v>
      </c>
      <c r="B1288" t="s">
        <v>8837</v>
      </c>
      <c r="C1288" t="s">
        <v>60</v>
      </c>
      <c r="D1288" t="s">
        <v>61</v>
      </c>
      <c r="E1288" t="s">
        <v>8838</v>
      </c>
      <c r="F1288" s="2" t="n">
        <f>HYPERLINK("https://patents.google.com/patent/US20210386726","Google")</f>
        <v>0.0</v>
      </c>
      <c r="G1288" s="2" t="n">
        <f>HYPERLINK("https://patentcenter.uspto.gov/applications/17006169","Patent Center")</f>
        <v>0.0</v>
      </c>
      <c r="H1288" s="2" t="n">
        <f>HYPERLINK("https://worldwide.espacenet.com/patent/search?q=US20210386726","Espacenet")</f>
        <v>0.0</v>
      </c>
      <c r="I1288" s="2" t="n">
        <f>HYPERLINK("https://ppubs.uspto.gov/pubwebapp/external.html?q=20210386726.pn.","USPTO")</f>
        <v>0.0</v>
      </c>
      <c r="J1288" s="2" t="n">
        <f>HYPERLINK("https://image-ppubs.uspto.gov/dirsearch-public/print/downloadPdf/20210386726","USPTO PDF")</f>
        <v>0.0</v>
      </c>
      <c r="K1288" s="2" t="n">
        <f>HYPERLINK("https://sectors.patentforecast.com/pmd/US20210386726","PMD")</f>
        <v>0.0</v>
      </c>
      <c r="L1288" s="2" t="n">
        <f>HYPERLINK("https://globaldossier.uspto.gov/result/application/US/17006169/1","US20210386726")</f>
        <v>0.0</v>
      </c>
      <c r="M1288" t="s">
        <v>8839</v>
      </c>
      <c r="N1288" t="s">
        <v>4013</v>
      </c>
      <c r="O1288" t="s">
        <v>4013</v>
      </c>
      <c r="P1288" t="s">
        <v>8840</v>
      </c>
      <c r="Q1288" s="3" t="n">
        <v>44071.0</v>
      </c>
      <c r="R1288" s="3" t="n">
        <v>44546.0</v>
      </c>
      <c r="S1288" s="3" t="n">
        <v>44547.18880675926</v>
      </c>
      <c r="T1288" s="3" t="n">
        <v>44638.708227372685</v>
      </c>
      <c r="U1288" t="s">
        <v>8841</v>
      </c>
      <c r="V1288" t="s">
        <v>8842</v>
      </c>
    </row>
    <row r="1289">
      <c r="A1289" t="s">
        <v>22</v>
      </c>
      <c r="B1289" t="s">
        <v>8843</v>
      </c>
      <c r="C1289" t="s">
        <v>60</v>
      </c>
      <c r="D1289" t="s">
        <v>61</v>
      </c>
      <c r="E1289" t="s">
        <v>8838</v>
      </c>
      <c r="F1289" s="2" t="n">
        <f>HYPERLINK("https://patents.google.com/patent/US20210386725","Google")</f>
        <v>0.0</v>
      </c>
      <c r="G1289" s="2" t="n">
        <f>HYPERLINK("https://patentcenter.uspto.gov/applications/17006103","Patent Center")</f>
        <v>0.0</v>
      </c>
      <c r="H1289" s="2" t="n">
        <f>HYPERLINK("https://worldwide.espacenet.com/patent/search?q=US20210386725","Espacenet")</f>
        <v>0.0</v>
      </c>
      <c r="I1289" s="2" t="n">
        <f>HYPERLINK("https://ppubs.uspto.gov/pubwebapp/external.html?q=20210386725.pn.","USPTO")</f>
        <v>0.0</v>
      </c>
      <c r="J1289" s="2" t="n">
        <f>HYPERLINK("https://image-ppubs.uspto.gov/dirsearch-public/print/downloadPdf/20210386725","USPTO PDF")</f>
        <v>0.0</v>
      </c>
      <c r="K1289" s="2" t="n">
        <f>HYPERLINK("https://sectors.patentforecast.com/pmd/US20210386725","PMD")</f>
        <v>0.0</v>
      </c>
      <c r="L1289" s="2" t="n">
        <f>HYPERLINK("https://globaldossier.uspto.gov/result/application/US/17006103/1","US20210386725")</f>
        <v>0.0</v>
      </c>
      <c r="M1289" t="s">
        <v>8844</v>
      </c>
      <c r="N1289" t="s">
        <v>4013</v>
      </c>
      <c r="O1289" t="s">
        <v>4013</v>
      </c>
      <c r="P1289" t="s">
        <v>8840</v>
      </c>
      <c r="Q1289" s="3" t="n">
        <v>44071.0</v>
      </c>
      <c r="R1289" s="3" t="n">
        <v>44546.0</v>
      </c>
      <c r="S1289" s="3" t="n">
        <v>44547.18880675926</v>
      </c>
      <c r="T1289" s="3" t="n">
        <v>44638.708227372685</v>
      </c>
      <c r="U1289" t="s">
        <v>8845</v>
      </c>
      <c r="V1289" t="s">
        <v>8846</v>
      </c>
    </row>
    <row r="1290">
      <c r="A1290" t="s">
        <v>22</v>
      </c>
      <c r="B1290" t="s">
        <v>8847</v>
      </c>
      <c r="C1290" t="s">
        <v>60</v>
      </c>
      <c r="D1290" t="s">
        <v>61</v>
      </c>
      <c r="E1290" t="s">
        <v>8848</v>
      </c>
      <c r="F1290" s="2" t="n">
        <f>HYPERLINK("https://patents.google.com/patent/US20210386722","Google")</f>
        <v>0.0</v>
      </c>
      <c r="G1290" s="2" t="n">
        <f>HYPERLINK("https://patentcenter.uspto.gov/applications/17354068","Patent Center")</f>
        <v>0.0</v>
      </c>
      <c r="H1290" s="2" t="n">
        <f>HYPERLINK("https://worldwide.espacenet.com/patent/search?q=US20210386722","Espacenet")</f>
        <v>0.0</v>
      </c>
      <c r="I1290" s="2" t="n">
        <f>HYPERLINK("https://ppubs.uspto.gov/pubwebapp/external.html?q=20210386722.pn.","USPTO")</f>
        <v>0.0</v>
      </c>
      <c r="J1290" s="2" t="n">
        <f>HYPERLINK("https://image-ppubs.uspto.gov/dirsearch-public/print/downloadPdf/20210386722","USPTO PDF")</f>
        <v>0.0</v>
      </c>
      <c r="K1290" s="2" t="n">
        <f>HYPERLINK("https://sectors.patentforecast.com/pmd/US20210386722","PMD")</f>
        <v>0.0</v>
      </c>
      <c r="L1290" s="2" t="n">
        <f>HYPERLINK("https://globaldossier.uspto.gov/result/application/US/17354068/1","US20210386722")</f>
        <v>0.0</v>
      </c>
      <c r="M1290" t="s">
        <v>8849</v>
      </c>
      <c r="N1290" t="s">
        <v>8850</v>
      </c>
      <c r="O1290" t="s">
        <v>8851</v>
      </c>
      <c r="P1290" t="s">
        <v>8852</v>
      </c>
      <c r="Q1290" s="3" t="n">
        <v>44386.0</v>
      </c>
      <c r="R1290" s="3" t="n">
        <v>44546.0</v>
      </c>
      <c r="S1290" s="3" t="n">
        <v>44547.18880675926</v>
      </c>
      <c r="T1290" s="3" t="n">
        <v>44678.48917302083</v>
      </c>
      <c r="U1290" t="s">
        <v>8853</v>
      </c>
      <c r="V1290" t="s">
        <v>8854</v>
      </c>
    </row>
    <row r="1291">
      <c r="A1291" t="s">
        <v>22</v>
      </c>
      <c r="B1291" t="s">
        <v>8855</v>
      </c>
      <c r="C1291" t="s">
        <v>60</v>
      </c>
      <c r="D1291" t="s">
        <v>61</v>
      </c>
      <c r="E1291" t="s">
        <v>8856</v>
      </c>
      <c r="F1291" s="2" t="n">
        <f>HYPERLINK("https://patents.google.com/patent/US20210386712","Google")</f>
        <v>0.0</v>
      </c>
      <c r="G1291" s="2" t="n">
        <f>HYPERLINK("https://patentcenter.uspto.gov/applications/17458886","Patent Center")</f>
        <v>0.0</v>
      </c>
      <c r="H1291" s="2" t="n">
        <f>HYPERLINK("https://worldwide.espacenet.com/patent/search?q=US20210386712","Espacenet")</f>
        <v>0.0</v>
      </c>
      <c r="I1291" s="2" t="n">
        <f>HYPERLINK("https://ppubs.uspto.gov/pubwebapp/external.html?q=20210386712.pn.","USPTO")</f>
        <v>0.0</v>
      </c>
      <c r="J1291" s="2" t="n">
        <f>HYPERLINK("https://image-ppubs.uspto.gov/dirsearch-public/print/downloadPdf/20210386712","USPTO PDF")</f>
        <v>0.0</v>
      </c>
      <c r="K1291" s="2" t="n">
        <f>HYPERLINK("https://sectors.patentforecast.com/pmd/US20210386712","PMD")</f>
        <v>0.0</v>
      </c>
      <c r="L1291" s="2" t="n">
        <f>HYPERLINK("https://globaldossier.uspto.gov/result/application/US/17458886/1","US20210386712")</f>
        <v>0.0</v>
      </c>
      <c r="M1291" t="s">
        <v>8857</v>
      </c>
      <c r="N1291" t="s">
        <v>8858</v>
      </c>
      <c r="O1291" t="s">
        <v>8859</v>
      </c>
      <c r="P1291" t="s">
        <v>8860</v>
      </c>
      <c r="Q1291" s="3" t="n">
        <v>44435.0</v>
      </c>
      <c r="R1291" s="3" t="n">
        <v>44546.0</v>
      </c>
      <c r="S1291" s="3" t="n">
        <v>44547.18880675926</v>
      </c>
      <c r="T1291" s="3" t="n">
        <v>44638.69371447917</v>
      </c>
      <c r="U1291" t="s">
        <v>8861</v>
      </c>
      <c r="V1291" t="s">
        <v>8862</v>
      </c>
    </row>
    <row r="1292">
      <c r="A1292" t="s">
        <v>22</v>
      </c>
      <c r="B1292" t="s">
        <v>8863</v>
      </c>
      <c r="C1292" t="s">
        <v>60</v>
      </c>
      <c r="D1292" t="s">
        <v>2262</v>
      </c>
      <c r="E1292" t="s">
        <v>8864</v>
      </c>
      <c r="F1292" s="2" t="n">
        <f>HYPERLINK("https://patents.google.com/patent/US20210386667","Google")</f>
        <v>0.0</v>
      </c>
      <c r="G1292" s="2" t="n">
        <f>HYPERLINK("https://patentcenter.uspto.gov/applications/17321729","Patent Center")</f>
        <v>0.0</v>
      </c>
      <c r="H1292" s="2" t="n">
        <f>HYPERLINK("https://worldwide.espacenet.com/patent/search?q=US20210386667","Espacenet")</f>
        <v>0.0</v>
      </c>
      <c r="I1292" s="2" t="n">
        <f>HYPERLINK("https://ppubs.uspto.gov/pubwebapp/external.html?q=20210386667.pn.","USPTO")</f>
        <v>0.0</v>
      </c>
      <c r="J1292" s="2" t="n">
        <f>HYPERLINK("https://image-ppubs.uspto.gov/dirsearch-public/print/downloadPdf/20210386667","USPTO PDF")</f>
        <v>0.0</v>
      </c>
      <c r="K1292" s="2" t="n">
        <f>HYPERLINK("https://sectors.patentforecast.com/pmd/US20210386667","PMD")</f>
        <v>0.0</v>
      </c>
      <c r="L1292" s="2" t="n">
        <f>HYPERLINK("https://globaldossier.uspto.gov/result/application/US/17321729/1","US20210386667")</f>
        <v>0.0</v>
      </c>
      <c r="M1292" t="s">
        <v>8865</v>
      </c>
      <c r="N1292" t="s">
        <v>3045</v>
      </c>
      <c r="O1292" t="s">
        <v>3046</v>
      </c>
      <c r="P1292" t="s">
        <v>3047</v>
      </c>
      <c r="Q1292" s="3" t="n">
        <v>44333.0</v>
      </c>
      <c r="R1292" s="3" t="n">
        <v>44546.0</v>
      </c>
      <c r="S1292" s="3" t="n">
        <v>44547.18880675926</v>
      </c>
      <c r="T1292" s="3" t="n">
        <v>44678.54431732639</v>
      </c>
      <c r="U1292" t="s">
        <v>8866</v>
      </c>
      <c r="V1292" t="s">
        <v>8867</v>
      </c>
    </row>
    <row r="1293">
      <c r="A1293" t="s">
        <v>22</v>
      </c>
      <c r="B1293" t="s">
        <v>8868</v>
      </c>
      <c r="C1293" t="s">
        <v>24</v>
      </c>
      <c r="D1293" t="s">
        <v>69</v>
      </c>
      <c r="E1293" t="s">
        <v>8869</v>
      </c>
      <c r="F1293" s="2" t="n">
        <f>HYPERLINK("https://patents.google.com/patent/US20210386590","Google")</f>
        <v>0.0</v>
      </c>
      <c r="G1293" s="2" t="n">
        <f>HYPERLINK("https://patentcenter.uspto.gov/applications/16946246","Patent Center")</f>
        <v>0.0</v>
      </c>
      <c r="H1293" s="2" t="n">
        <f>HYPERLINK("https://worldwide.espacenet.com/patent/search?q=US20210386590","Espacenet")</f>
        <v>0.0</v>
      </c>
      <c r="I1293" s="2" t="n">
        <f>HYPERLINK("https://ppubs.uspto.gov/pubwebapp/external.html?q=20210386590.pn.","USPTO")</f>
        <v>0.0</v>
      </c>
      <c r="J1293" s="2" t="n">
        <f>HYPERLINK("https://image-ppubs.uspto.gov/dirsearch-public/print/downloadPdf/20210386590","USPTO PDF")</f>
        <v>0.0</v>
      </c>
      <c r="K1293" s="2" t="n">
        <f>HYPERLINK("https://sectors.patentforecast.com/pmd/US20210386590","PMD")</f>
        <v>0.0</v>
      </c>
      <c r="L1293" s="2" t="n">
        <f>HYPERLINK("https://globaldossier.uspto.gov/result/application/US/16946246/1","US20210386590")</f>
        <v>0.0</v>
      </c>
      <c r="M1293" t="s">
        <v>8870</v>
      </c>
      <c r="N1293" t="s">
        <v>8871</v>
      </c>
      <c r="O1293" t="s">
        <v>8872</v>
      </c>
      <c r="P1293" t="s">
        <v>8873</v>
      </c>
      <c r="Q1293" s="3" t="n">
        <v>43994.0</v>
      </c>
      <c r="R1293" s="3" t="n">
        <v>44546.0</v>
      </c>
      <c r="S1293" s="3" t="n">
        <v>44547.18880675926</v>
      </c>
      <c r="T1293" s="3" t="n">
        <v>44678.61494027778</v>
      </c>
      <c r="U1293" t="s">
        <v>8874</v>
      </c>
      <c r="V1293" t="s">
        <v>8875</v>
      </c>
    </row>
    <row r="1294">
      <c r="A1294" t="s">
        <v>22</v>
      </c>
      <c r="B1294" t="s">
        <v>8876</v>
      </c>
      <c r="C1294" t="s">
        <v>24</v>
      </c>
      <c r="D1294" t="s">
        <v>69</v>
      </c>
      <c r="E1294" t="s">
        <v>8877</v>
      </c>
      <c r="F1294" s="2" t="n">
        <f>HYPERLINK("https://patents.google.com/patent/US20210386142","Google")</f>
        <v>0.0</v>
      </c>
      <c r="G1294" s="2" t="n">
        <f>HYPERLINK("https://patentcenter.uspto.gov/applications/16917469","Patent Center")</f>
        <v>0.0</v>
      </c>
      <c r="H1294" s="2" t="n">
        <f>HYPERLINK("https://worldwide.espacenet.com/patent/search?q=US20210386142","Espacenet")</f>
        <v>0.0</v>
      </c>
      <c r="I1294" s="2" t="n">
        <f>HYPERLINK("https://ppubs.uspto.gov/pubwebapp/external.html?q=20210386142.pn.","USPTO")</f>
        <v>0.0</v>
      </c>
      <c r="J1294" s="2" t="n">
        <f>HYPERLINK("https://image-ppubs.uspto.gov/dirsearch-public/print/downloadPdf/20210386142","USPTO PDF")</f>
        <v>0.0</v>
      </c>
      <c r="K1294" s="2" t="n">
        <f>HYPERLINK("https://sectors.patentforecast.com/pmd/US20210386142","PMD")</f>
        <v>0.0</v>
      </c>
      <c r="L1294" s="2" t="n">
        <f>HYPERLINK("https://globaldossier.uspto.gov/result/application/US/16917469/1","US20210386142")</f>
        <v>0.0</v>
      </c>
      <c r="M1294" t="s">
        <v>8878</v>
      </c>
      <c r="N1294" t="s">
        <v>8879</v>
      </c>
      <c r="O1294" t="s">
        <v>8879</v>
      </c>
      <c r="P1294" t="s">
        <v>8880</v>
      </c>
      <c r="Q1294" s="3" t="n">
        <v>44012.0</v>
      </c>
      <c r="R1294" s="3" t="n">
        <v>44546.0</v>
      </c>
      <c r="S1294" s="3" t="n">
        <v>44547.18880675926</v>
      </c>
      <c r="T1294" s="3" t="n">
        <v>44678.63980457176</v>
      </c>
      <c r="U1294" t="s">
        <v>8881</v>
      </c>
      <c r="V1294" t="s">
        <v>8882</v>
      </c>
    </row>
    <row r="1295">
      <c r="A1295" t="s">
        <v>22</v>
      </c>
      <c r="B1295" t="s">
        <v>8883</v>
      </c>
      <c r="C1295" t="s">
        <v>24</v>
      </c>
      <c r="D1295" t="s">
        <v>69</v>
      </c>
      <c r="E1295" t="s">
        <v>8884</v>
      </c>
      <c r="F1295" s="2" t="n">
        <f>HYPERLINK("https://patents.google.com/patent/US20210386141","Google")</f>
        <v>0.0</v>
      </c>
      <c r="G1295" s="2" t="n">
        <f>HYPERLINK("https://patentcenter.uspto.gov/applications/17321547","Patent Center")</f>
        <v>0.0</v>
      </c>
      <c r="H1295" s="2" t="n">
        <f>HYPERLINK("https://worldwide.espacenet.com/patent/search?q=US20210386141","Espacenet")</f>
        <v>0.0</v>
      </c>
      <c r="I1295" s="2" t="n">
        <f>HYPERLINK("https://ppubs.uspto.gov/pubwebapp/external.html?q=20210386141.pn.","USPTO")</f>
        <v>0.0</v>
      </c>
      <c r="J1295" s="2" t="n">
        <f>HYPERLINK("https://image-ppubs.uspto.gov/dirsearch-public/print/downloadPdf/20210386141","USPTO PDF")</f>
        <v>0.0</v>
      </c>
      <c r="K1295" s="2" t="n">
        <f>HYPERLINK("https://sectors.patentforecast.com/pmd/US20210386141","PMD")</f>
        <v>0.0</v>
      </c>
      <c r="L1295" s="2" t="n">
        <f>HYPERLINK("https://globaldossier.uspto.gov/result/application/US/17321547/1","US20210386141")</f>
        <v>0.0</v>
      </c>
      <c r="M1295" t="s">
        <v>8885</v>
      </c>
      <c r="N1295" t="s">
        <v>8886</v>
      </c>
      <c r="O1295" t="s">
        <v>8887</v>
      </c>
      <c r="P1295" t="s">
        <v>8888</v>
      </c>
      <c r="Q1295" s="3" t="n">
        <v>44333.0</v>
      </c>
      <c r="R1295" s="3" t="n">
        <v>44546.0</v>
      </c>
      <c r="S1295" s="3" t="n">
        <v>44547.18880675926</v>
      </c>
      <c r="T1295" s="3" t="n">
        <v>44643.44300748843</v>
      </c>
      <c r="U1295" t="s">
        <v>8889</v>
      </c>
      <c r="V1295" t="s">
        <v>8890</v>
      </c>
    </row>
    <row r="1296">
      <c r="A1296" t="s">
        <v>22</v>
      </c>
      <c r="B1296" t="s">
        <v>8891</v>
      </c>
      <c r="C1296" t="s">
        <v>24</v>
      </c>
      <c r="D1296" t="s">
        <v>69</v>
      </c>
      <c r="E1296" t="s">
        <v>8892</v>
      </c>
      <c r="F1296" s="2" t="n">
        <f>HYPERLINK("https://patents.google.com/patent/US20210386140","Google")</f>
        <v>0.0</v>
      </c>
      <c r="G1296" s="2" t="n">
        <f>HYPERLINK("https://patentcenter.uspto.gov/applications/17070230","Patent Center")</f>
        <v>0.0</v>
      </c>
      <c r="H1296" s="2" t="n">
        <f>HYPERLINK("https://worldwide.espacenet.com/patent/search?q=US20210386140","Espacenet")</f>
        <v>0.0</v>
      </c>
      <c r="I1296" s="2" t="n">
        <f>HYPERLINK("https://ppubs.uspto.gov/pubwebapp/external.html?q=20210386140.pn.","USPTO")</f>
        <v>0.0</v>
      </c>
      <c r="J1296" s="2" t="n">
        <f>HYPERLINK("https://image-ppubs.uspto.gov/dirsearch-public/print/downloadPdf/20210386140","USPTO PDF")</f>
        <v>0.0</v>
      </c>
      <c r="K1296" s="2" t="n">
        <f>HYPERLINK("https://sectors.patentforecast.com/pmd/US20210386140","PMD")</f>
        <v>0.0</v>
      </c>
      <c r="L1296" s="2" t="n">
        <f>HYPERLINK("https://globaldossier.uspto.gov/result/application/US/17070230/1","US20210386140")</f>
        <v>0.0</v>
      </c>
      <c r="M1296" t="s">
        <v>8893</v>
      </c>
      <c r="N1296" t="s">
        <v>8894</v>
      </c>
      <c r="O1296" t="s">
        <v>8895</v>
      </c>
      <c r="P1296" t="s">
        <v>8896</v>
      </c>
      <c r="Q1296" s="3" t="n">
        <v>44118.0</v>
      </c>
      <c r="R1296" s="3" t="n">
        <v>44546.0</v>
      </c>
      <c r="S1296" s="3" t="n">
        <v>44547.18880675926</v>
      </c>
      <c r="T1296" s="3" t="n">
        <v>44678.63829520834</v>
      </c>
      <c r="U1296" t="s">
        <v>8897</v>
      </c>
      <c r="V1296" t="s">
        <v>8898</v>
      </c>
    </row>
    <row r="1297">
      <c r="A1297" t="s">
        <v>22</v>
      </c>
      <c r="B1297" t="s">
        <v>8899</v>
      </c>
      <c r="C1297" t="s">
        <v>24</v>
      </c>
      <c r="D1297" t="s">
        <v>34</v>
      </c>
      <c r="E1297" t="s">
        <v>8900</v>
      </c>
      <c r="F1297" s="2" t="n">
        <f>HYPERLINK("https://patents.google.com/patent/US20210386139","Google")</f>
        <v>0.0</v>
      </c>
      <c r="G1297" s="2" t="n">
        <f>HYPERLINK("https://patentcenter.uspto.gov/applications/17069546","Patent Center")</f>
        <v>0.0</v>
      </c>
      <c r="H1297" s="2" t="n">
        <f>HYPERLINK("https://worldwide.espacenet.com/patent/search?q=US20210386139","Espacenet")</f>
        <v>0.0</v>
      </c>
      <c r="I1297" s="2" t="n">
        <f>HYPERLINK("https://ppubs.uspto.gov/pubwebapp/external.html?q=20210386139.pn.","USPTO")</f>
        <v>0.0</v>
      </c>
      <c r="J1297" s="2" t="n">
        <f>HYPERLINK("https://image-ppubs.uspto.gov/dirsearch-public/print/downloadPdf/20210386139","USPTO PDF")</f>
        <v>0.0</v>
      </c>
      <c r="K1297" s="2" t="n">
        <f>HYPERLINK("https://sectors.patentforecast.com/pmd/US20210386139","PMD")</f>
        <v>0.0</v>
      </c>
      <c r="L1297" s="2" t="n">
        <f>HYPERLINK("https://globaldossier.uspto.gov/result/application/US/17069546/1","US20210386139")</f>
        <v>0.0</v>
      </c>
      <c r="M1297" t="s">
        <v>8901</v>
      </c>
      <c r="N1297" t="s">
        <v>8894</v>
      </c>
      <c r="O1297" t="s">
        <v>8895</v>
      </c>
      <c r="P1297" t="s">
        <v>8896</v>
      </c>
      <c r="Q1297" s="3" t="n">
        <v>44117.0</v>
      </c>
      <c r="R1297" s="3" t="n">
        <v>44546.0</v>
      </c>
      <c r="S1297" s="3" t="n">
        <v>44547.18880675926</v>
      </c>
      <c r="T1297" s="3" t="n">
        <v>44678.64015380787</v>
      </c>
      <c r="U1297" t="s">
        <v>8902</v>
      </c>
      <c r="V1297" t="s">
        <v>8898</v>
      </c>
    </row>
    <row r="1298">
      <c r="A1298" t="s">
        <v>22</v>
      </c>
      <c r="B1298" t="s">
        <v>8903</v>
      </c>
      <c r="C1298" t="s">
        <v>24</v>
      </c>
      <c r="D1298" t="s">
        <v>69</v>
      </c>
      <c r="E1298" t="s">
        <v>2378</v>
      </c>
      <c r="F1298" s="2" t="n">
        <f>HYPERLINK("https://patents.google.com/patent/US20210386134","Google")</f>
        <v>0.0</v>
      </c>
      <c r="G1298" s="2" t="n">
        <f>HYPERLINK("https://patentcenter.uspto.gov/applications/17087866","Patent Center")</f>
        <v>0.0</v>
      </c>
      <c r="H1298" s="2" t="n">
        <f>HYPERLINK("https://worldwide.espacenet.com/patent/search?q=US20210386134","Espacenet")</f>
        <v>0.0</v>
      </c>
      <c r="I1298" s="2" t="n">
        <f>HYPERLINK("https://ppubs.uspto.gov/pubwebapp/external.html?q=20210386134.pn.","USPTO")</f>
        <v>0.0</v>
      </c>
      <c r="J1298" s="2" t="n">
        <f>HYPERLINK("https://image-ppubs.uspto.gov/dirsearch-public/print/downloadPdf/20210386134","USPTO PDF")</f>
        <v>0.0</v>
      </c>
      <c r="K1298" s="2" t="n">
        <f>HYPERLINK("https://sectors.patentforecast.com/pmd/US20210386134","PMD")</f>
        <v>0.0</v>
      </c>
      <c r="L1298" s="2" t="n">
        <f>HYPERLINK("https://globaldossier.uspto.gov/result/application/US/17087866/1","US20210386134")</f>
        <v>0.0</v>
      </c>
      <c r="M1298" t="s">
        <v>8904</v>
      </c>
      <c r="N1298" t="s">
        <v>810</v>
      </c>
      <c r="O1298" t="s">
        <v>811</v>
      </c>
      <c r="P1298" t="s">
        <v>8905</v>
      </c>
      <c r="Q1298" s="3" t="n">
        <v>44138.0</v>
      </c>
      <c r="R1298" s="3" t="n">
        <v>44546.0</v>
      </c>
      <c r="S1298" s="3" t="n">
        <v>44547.18880675926</v>
      </c>
      <c r="T1298" s="3" t="n">
        <v>44678.631319155094</v>
      </c>
      <c r="U1298" t="s">
        <v>8906</v>
      </c>
      <c r="V1298" t="s">
        <v>8907</v>
      </c>
    </row>
    <row r="1299">
      <c r="A1299" t="s">
        <v>22</v>
      </c>
      <c r="B1299" t="s">
        <v>8908</v>
      </c>
      <c r="C1299" t="s">
        <v>24</v>
      </c>
      <c r="D1299" t="s">
        <v>69</v>
      </c>
      <c r="E1299" t="s">
        <v>8909</v>
      </c>
      <c r="F1299" s="2" t="n">
        <f>HYPERLINK("https://patents.google.com/patent/US20210386133","Google")</f>
        <v>0.0</v>
      </c>
      <c r="G1299" s="2" t="n">
        <f>HYPERLINK("https://patentcenter.uspto.gov/applications/16900682","Patent Center")</f>
        <v>0.0</v>
      </c>
      <c r="H1299" s="2" t="n">
        <f>HYPERLINK("https://worldwide.espacenet.com/patent/search?q=US20210386133","Espacenet")</f>
        <v>0.0</v>
      </c>
      <c r="I1299" s="2" t="n">
        <f>HYPERLINK("https://ppubs.uspto.gov/pubwebapp/external.html?q=20210386133.pn.","USPTO")</f>
        <v>0.0</v>
      </c>
      <c r="J1299" s="2" t="n">
        <f>HYPERLINK("https://image-ppubs.uspto.gov/dirsearch-public/print/downloadPdf/20210386133","USPTO PDF")</f>
        <v>0.0</v>
      </c>
      <c r="K1299" s="2" t="n">
        <f>HYPERLINK("https://sectors.patentforecast.com/pmd/US20210386133","PMD")</f>
        <v>0.0</v>
      </c>
      <c r="L1299" s="2" t="n">
        <f>HYPERLINK("https://globaldossier.uspto.gov/result/application/US/16900682/1","US20210386133")</f>
        <v>0.0</v>
      </c>
      <c r="M1299" t="s">
        <v>8910</v>
      </c>
      <c r="N1299" t="s">
        <v>8879</v>
      </c>
      <c r="O1299" t="s">
        <v>8879</v>
      </c>
      <c r="P1299" t="s">
        <v>8880</v>
      </c>
      <c r="Q1299" s="3" t="n">
        <v>43994.0</v>
      </c>
      <c r="R1299" s="3" t="n">
        <v>44546.0</v>
      </c>
      <c r="S1299" s="3" t="n">
        <v>44547.18880675926</v>
      </c>
      <c r="T1299" s="3" t="n">
        <v>44678.631319155094</v>
      </c>
      <c r="U1299" t="s">
        <v>8911</v>
      </c>
      <c r="V1299" t="s">
        <v>8882</v>
      </c>
    </row>
    <row r="1300">
      <c r="A1300" t="s">
        <v>22</v>
      </c>
      <c r="B1300" t="s">
        <v>8912</v>
      </c>
      <c r="C1300" t="s">
        <v>60</v>
      </c>
      <c r="D1300" t="s">
        <v>61</v>
      </c>
      <c r="E1300" t="s">
        <v>8913</v>
      </c>
      <c r="F1300" s="2" t="n">
        <f>HYPERLINK("https://patents.google.com/patent/US20210385934","Google")</f>
        <v>0.0</v>
      </c>
      <c r="G1300" s="2" t="n">
        <f>HYPERLINK("https://patentcenter.uspto.gov/applications/17409563","Patent Center")</f>
        <v>0.0</v>
      </c>
      <c r="H1300" s="2" t="n">
        <f>HYPERLINK("https://worldwide.espacenet.com/patent/search?q=US20210385934","Espacenet")</f>
        <v>0.0</v>
      </c>
      <c r="I1300" s="2" t="n">
        <f>HYPERLINK("https://ppubs.uspto.gov/pubwebapp/external.html?q=20210385934.pn.","USPTO")</f>
        <v>0.0</v>
      </c>
      <c r="J1300" s="2" t="n">
        <f>HYPERLINK("https://image-ppubs.uspto.gov/dirsearch-public/print/downloadPdf/20210385934","USPTO PDF")</f>
        <v>0.0</v>
      </c>
      <c r="K1300" s="2" t="n">
        <f>HYPERLINK("https://sectors.patentforecast.com/pmd/US20210385934","PMD")</f>
        <v>0.0</v>
      </c>
      <c r="L1300" s="2" t="n">
        <f>HYPERLINK("https://globaldossier.uspto.gov/result/application/US/17409563/1","US20210385934")</f>
        <v>0.0</v>
      </c>
      <c r="M1300" t="s">
        <v>8914</v>
      </c>
      <c r="N1300" t="s">
        <v>8915</v>
      </c>
      <c r="O1300" t="s">
        <v>8916</v>
      </c>
      <c r="P1300" t="s">
        <v>8917</v>
      </c>
      <c r="Q1300" s="3" t="n">
        <v>44431.0</v>
      </c>
      <c r="R1300" s="3" t="n">
        <v>44539.0</v>
      </c>
      <c r="S1300" s="3" t="n">
        <v>44540.18890559028</v>
      </c>
      <c r="T1300" s="3" t="n">
        <v>44544.62629424768</v>
      </c>
      <c r="U1300" t="s">
        <v>8918</v>
      </c>
      <c r="V1300" t="s">
        <v>8919</v>
      </c>
    </row>
    <row r="1301">
      <c r="A1301" t="s">
        <v>22</v>
      </c>
      <c r="B1301" t="s">
        <v>8920</v>
      </c>
      <c r="C1301" t="s">
        <v>24</v>
      </c>
      <c r="D1301" t="s">
        <v>8459</v>
      </c>
      <c r="E1301" t="s">
        <v>8921</v>
      </c>
      <c r="F1301" s="2" t="n">
        <f>HYPERLINK("https://patents.google.com/patent/US20210385614","Google")</f>
        <v>0.0</v>
      </c>
      <c r="G1301" s="2" t="n">
        <f>HYPERLINK("https://patentcenter.uspto.gov/applications/17039170","Patent Center")</f>
        <v>0.0</v>
      </c>
      <c r="H1301" s="2" t="n">
        <f>HYPERLINK("https://worldwide.espacenet.com/patent/search?q=US20210385614","Espacenet")</f>
        <v>0.0</v>
      </c>
      <c r="I1301" s="2" t="n">
        <f>HYPERLINK("https://ppubs.uspto.gov/pubwebapp/external.html?q=20210385614.pn.","USPTO")</f>
        <v>0.0</v>
      </c>
      <c r="J1301" s="2" t="n">
        <f>HYPERLINK("https://image-ppubs.uspto.gov/dirsearch-public/print/downloadPdf/20210385614","USPTO PDF")</f>
        <v>0.0</v>
      </c>
      <c r="K1301" s="2" t="n">
        <f>HYPERLINK("https://sectors.patentforecast.com/pmd/US20210385614","PMD")</f>
        <v>0.0</v>
      </c>
      <c r="L1301" s="2" t="n">
        <f>HYPERLINK("https://globaldossier.uspto.gov/result/application/US/17039170/1","US20210385614")</f>
        <v>0.0</v>
      </c>
      <c r="M1301" t="s">
        <v>8922</v>
      </c>
      <c r="N1301" t="s">
        <v>8923</v>
      </c>
      <c r="O1301" t="s">
        <v>8924</v>
      </c>
      <c r="P1301" t="s">
        <v>8925</v>
      </c>
      <c r="Q1301" s="3" t="n">
        <v>44104.0</v>
      </c>
      <c r="R1301" s="3" t="n">
        <v>44539.0</v>
      </c>
      <c r="S1301" s="3" t="n">
        <v>44540.18890559028</v>
      </c>
      <c r="T1301" s="3" t="n">
        <v>44544.617173136576</v>
      </c>
      <c r="U1301" t="s">
        <v>8926</v>
      </c>
      <c r="V1301" t="s">
        <v>8927</v>
      </c>
    </row>
    <row r="1302">
      <c r="A1302" t="s">
        <v>22</v>
      </c>
      <c r="B1302" t="s">
        <v>8928</v>
      </c>
      <c r="C1302" t="s">
        <v>24</v>
      </c>
      <c r="D1302" t="s">
        <v>34</v>
      </c>
      <c r="E1302" t="s">
        <v>8929</v>
      </c>
      <c r="F1302" s="2" t="n">
        <f>HYPERLINK("https://patents.google.com/patent/US20210383935","Google")</f>
        <v>0.0</v>
      </c>
      <c r="G1302" s="2" t="n">
        <f>HYPERLINK("https://patentcenter.uspto.gov/applications/17406598","Patent Center")</f>
        <v>0.0</v>
      </c>
      <c r="H1302" s="2" t="n">
        <f>HYPERLINK("https://worldwide.espacenet.com/patent/search?q=US20210383935","Espacenet")</f>
        <v>0.0</v>
      </c>
      <c r="I1302" s="2" t="n">
        <f>HYPERLINK("https://ppubs.uspto.gov/pubwebapp/external.html?q=20210383935.pn.","USPTO")</f>
        <v>0.0</v>
      </c>
      <c r="J1302" s="2" t="n">
        <f>HYPERLINK("https://image-ppubs.uspto.gov/dirsearch-public/print/downloadPdf/20210383935","USPTO PDF")</f>
        <v>0.0</v>
      </c>
      <c r="K1302" s="2" t="n">
        <f>HYPERLINK("https://sectors.patentforecast.com/pmd/US20210383935","PMD")</f>
        <v>0.0</v>
      </c>
      <c r="L1302" s="2" t="n">
        <f>HYPERLINK("https://globaldossier.uspto.gov/result/application/US/17406598/1","US20210383935")</f>
        <v>0.0</v>
      </c>
      <c r="M1302" t="s">
        <v>8930</v>
      </c>
      <c r="N1302" t="s">
        <v>8931</v>
      </c>
      <c r="O1302" t="s">
        <v>8931</v>
      </c>
      <c r="P1302" t="s">
        <v>8932</v>
      </c>
      <c r="Q1302" s="3" t="n">
        <v>44427.0</v>
      </c>
      <c r="R1302" s="3" t="n">
        <v>44539.0</v>
      </c>
      <c r="S1302" s="3" t="n">
        <v>44540.18890559028</v>
      </c>
      <c r="T1302" s="3" t="n">
        <v>44544.620004606484</v>
      </c>
      <c r="U1302" t="s">
        <v>8933</v>
      </c>
      <c r="V1302" t="s">
        <v>8934</v>
      </c>
    </row>
    <row r="1303">
      <c r="A1303" t="s">
        <v>22</v>
      </c>
      <c r="B1303" t="s">
        <v>8935</v>
      </c>
      <c r="C1303" t="s">
        <v>24</v>
      </c>
      <c r="D1303" t="s">
        <v>1356</v>
      </c>
      <c r="E1303" t="s">
        <v>8936</v>
      </c>
      <c r="F1303" s="2" t="n">
        <f>HYPERLINK("https://patents.google.com/patent/US20210383934","Google")</f>
        <v>0.0</v>
      </c>
      <c r="G1303" s="2" t="n">
        <f>HYPERLINK("https://patentcenter.uspto.gov/applications/17340686","Patent Center")</f>
        <v>0.0</v>
      </c>
      <c r="H1303" s="2" t="n">
        <f>HYPERLINK("https://worldwide.espacenet.com/patent/search?q=US20210383934","Espacenet")</f>
        <v>0.0</v>
      </c>
      <c r="I1303" s="2" t="n">
        <f>HYPERLINK("https://ppubs.uspto.gov/pubwebapp/external.html?q=20210383934.pn.","USPTO")</f>
        <v>0.0</v>
      </c>
      <c r="J1303" s="2" t="n">
        <f>HYPERLINK("https://image-ppubs.uspto.gov/dirsearch-public/print/downloadPdf/20210383934","USPTO PDF")</f>
        <v>0.0</v>
      </c>
      <c r="K1303" s="2" t="n">
        <f>HYPERLINK("https://sectors.patentforecast.com/pmd/US20210383934","PMD")</f>
        <v>0.0</v>
      </c>
      <c r="L1303" s="2" t="n">
        <f>HYPERLINK("https://globaldossier.uspto.gov/result/application/US/17340686/1","US20210383934")</f>
        <v>0.0</v>
      </c>
      <c r="M1303" t="s">
        <v>8937</v>
      </c>
      <c r="N1303" t="s">
        <v>8938</v>
      </c>
      <c r="O1303" t="s">
        <v>8939</v>
      </c>
      <c r="P1303" t="s">
        <v>8940</v>
      </c>
      <c r="Q1303" s="3" t="n">
        <v>44354.0</v>
      </c>
      <c r="R1303" s="3" t="n">
        <v>44539.0</v>
      </c>
      <c r="S1303" s="3" t="n">
        <v>44540.18890559028</v>
      </c>
      <c r="T1303" s="3" t="n">
        <v>44544.62574771991</v>
      </c>
      <c r="U1303" t="s">
        <v>8941</v>
      </c>
      <c r="V1303" t="s">
        <v>8942</v>
      </c>
    </row>
    <row r="1304">
      <c r="A1304" t="s">
        <v>22</v>
      </c>
      <c r="B1304" t="s">
        <v>8943</v>
      </c>
      <c r="C1304" t="s">
        <v>24</v>
      </c>
      <c r="D1304" t="s">
        <v>34</v>
      </c>
      <c r="E1304" t="s">
        <v>8944</v>
      </c>
      <c r="F1304" s="2" t="n">
        <f>HYPERLINK("https://patents.google.com/patent/US20210383899","Google")</f>
        <v>0.0</v>
      </c>
      <c r="G1304" s="2" t="n">
        <f>HYPERLINK("https://patentcenter.uspto.gov/applications/16892090","Patent Center")</f>
        <v>0.0</v>
      </c>
      <c r="H1304" s="2" t="n">
        <f>HYPERLINK("https://worldwide.espacenet.com/patent/search?q=US20210383899","Espacenet")</f>
        <v>0.0</v>
      </c>
      <c r="I1304" s="2" t="n">
        <f>HYPERLINK("https://ppubs.uspto.gov/pubwebapp/external.html?q=20210383899.pn.","USPTO")</f>
        <v>0.0</v>
      </c>
      <c r="J1304" s="2" t="n">
        <f>HYPERLINK("https://image-ppubs.uspto.gov/dirsearch-public/print/downloadPdf/20210383899","USPTO PDF")</f>
        <v>0.0</v>
      </c>
      <c r="K1304" s="2" t="n">
        <f>HYPERLINK("https://sectors.patentforecast.com/pmd/US20210383899","PMD")</f>
        <v>0.0</v>
      </c>
      <c r="L1304" s="2" t="n">
        <f>HYPERLINK("https://globaldossier.uspto.gov/result/application/US/16892090/1","US20210383899")</f>
        <v>0.0</v>
      </c>
      <c r="M1304" t="s">
        <v>8945</v>
      </c>
      <c r="N1304" t="s">
        <v>8946</v>
      </c>
      <c r="O1304" t="s">
        <v>8947</v>
      </c>
      <c r="P1304" t="s">
        <v>8948</v>
      </c>
      <c r="Q1304" s="3" t="n">
        <v>43985.0</v>
      </c>
      <c r="R1304" s="3" t="n">
        <v>44539.0</v>
      </c>
      <c r="S1304" s="3" t="n">
        <v>44540.18786074074</v>
      </c>
      <c r="T1304" s="3" t="n">
        <v>44544.62250939815</v>
      </c>
      <c r="U1304" t="s">
        <v>8949</v>
      </c>
      <c r="V1304" t="s">
        <v>8950</v>
      </c>
    </row>
    <row r="1305">
      <c r="A1305" t="s">
        <v>22</v>
      </c>
      <c r="B1305" t="s">
        <v>8951</v>
      </c>
      <c r="C1305" t="s">
        <v>24</v>
      </c>
      <c r="D1305" t="s">
        <v>187</v>
      </c>
      <c r="E1305" t="s">
        <v>188</v>
      </c>
      <c r="F1305" s="2" t="n">
        <f>HYPERLINK("https://patents.google.com/patent/US20210382003","Google")</f>
        <v>0.0</v>
      </c>
      <c r="G1305" s="2" t="n">
        <f>HYPERLINK("https://patentcenter.uspto.gov/applications/16894316","Patent Center")</f>
        <v>0.0</v>
      </c>
      <c r="H1305" s="2" t="n">
        <f>HYPERLINK("https://worldwide.espacenet.com/patent/search?q=US20210382003","Espacenet")</f>
        <v>0.0</v>
      </c>
      <c r="I1305" s="2" t="n">
        <f>HYPERLINK("https://ppubs.uspto.gov/pubwebapp/external.html?q=20210382003.pn.","USPTO")</f>
        <v>0.0</v>
      </c>
      <c r="J1305" s="2" t="n">
        <f>HYPERLINK("https://image-ppubs.uspto.gov/dirsearch-public/print/downloadPdf/20210382003","USPTO PDF")</f>
        <v>0.0</v>
      </c>
      <c r="K1305" s="2" t="n">
        <f>HYPERLINK("https://sectors.patentforecast.com/pmd/US20210382003","PMD")</f>
        <v>0.0</v>
      </c>
      <c r="L1305" s="2" t="n">
        <f>HYPERLINK("https://globaldossier.uspto.gov/result/application/US/16894316/1","US20210382003")</f>
        <v>0.0</v>
      </c>
      <c r="M1305" t="s">
        <v>8952</v>
      </c>
      <c r="N1305" t="s">
        <v>190</v>
      </c>
      <c r="O1305" t="s">
        <v>191</v>
      </c>
      <c r="P1305" t="s">
        <v>8953</v>
      </c>
      <c r="Q1305" s="3" t="n">
        <v>43987.0</v>
      </c>
      <c r="R1305" s="3" t="n">
        <v>44539.0</v>
      </c>
      <c r="S1305" s="3" t="n">
        <v>44540.18890559028</v>
      </c>
      <c r="T1305" s="3" t="n">
        <v>44544.62304269676</v>
      </c>
      <c r="U1305" t="s">
        <v>8954</v>
      </c>
      <c r="V1305" t="s">
        <v>194</v>
      </c>
    </row>
    <row r="1306">
      <c r="A1306" t="s">
        <v>22</v>
      </c>
      <c r="B1306" t="s">
        <v>8955</v>
      </c>
      <c r="C1306" t="s">
        <v>24</v>
      </c>
      <c r="D1306" t="s">
        <v>34</v>
      </c>
      <c r="E1306" t="s">
        <v>8576</v>
      </c>
      <c r="F1306" s="2" t="n">
        <f>HYPERLINK("https://patents.google.com/patent/US20210381939","Google")</f>
        <v>0.0</v>
      </c>
      <c r="G1306" s="2" t="n">
        <f>HYPERLINK("https://patentcenter.uspto.gov/applications/17334461","Patent Center")</f>
        <v>0.0</v>
      </c>
      <c r="H1306" s="2" t="n">
        <f>HYPERLINK("https://worldwide.espacenet.com/patent/search?q=US20210381939","Espacenet")</f>
        <v>0.0</v>
      </c>
      <c r="I1306" s="2" t="n">
        <f>HYPERLINK("https://ppubs.uspto.gov/pubwebapp/external.html?q=20210381939.pn.","USPTO")</f>
        <v>0.0</v>
      </c>
      <c r="J1306" s="2" t="n">
        <f>HYPERLINK("https://image-ppubs.uspto.gov/dirsearch-public/print/downloadPdf/20210381939","USPTO PDF")</f>
        <v>0.0</v>
      </c>
      <c r="K1306" s="2" t="n">
        <f>HYPERLINK("https://sectors.patentforecast.com/pmd/US20210381939","PMD")</f>
        <v>0.0</v>
      </c>
      <c r="L1306" s="2" t="n">
        <f>HYPERLINK("https://globaldossier.uspto.gov/result/application/US/17334461/1","US20210381939")</f>
        <v>0.0</v>
      </c>
      <c r="M1306" t="s">
        <v>8956</v>
      </c>
      <c r="N1306" t="s">
        <v>8090</v>
      </c>
      <c r="O1306" t="s">
        <v>8091</v>
      </c>
      <c r="P1306" t="s">
        <v>8092</v>
      </c>
      <c r="Q1306" s="3" t="n">
        <v>44344.0</v>
      </c>
      <c r="R1306" s="3" t="n">
        <v>44539.0</v>
      </c>
      <c r="S1306" s="3" t="n">
        <v>44540.18890559028</v>
      </c>
      <c r="T1306" s="3" t="n">
        <v>44544.62133981482</v>
      </c>
      <c r="U1306" t="s">
        <v>8957</v>
      </c>
      <c r="V1306" t="s">
        <v>8579</v>
      </c>
    </row>
    <row r="1307">
      <c r="A1307" t="s">
        <v>22</v>
      </c>
      <c r="B1307" t="s">
        <v>8958</v>
      </c>
      <c r="C1307" t="s">
        <v>24</v>
      </c>
      <c r="D1307" t="s">
        <v>69</v>
      </c>
      <c r="E1307" t="s">
        <v>8959</v>
      </c>
      <c r="F1307" s="2" t="n">
        <f>HYPERLINK("https://patents.google.com/patent/US20210381264","Google")</f>
        <v>0.0</v>
      </c>
      <c r="G1307" s="2" t="n">
        <f>HYPERLINK("https://patentcenter.uspto.gov/applications/17288943","Patent Center")</f>
        <v>0.0</v>
      </c>
      <c r="H1307" s="2" t="n">
        <f>HYPERLINK("https://worldwide.espacenet.com/patent/search?q=US20210381264","Espacenet")</f>
        <v>0.0</v>
      </c>
      <c r="I1307" s="2" t="n">
        <f>HYPERLINK("https://ppubs.uspto.gov/pubwebapp/external.html?q=20210381264.pn.","USPTO")</f>
        <v>0.0</v>
      </c>
      <c r="J1307" s="2" t="n">
        <f>HYPERLINK("https://image-ppubs.uspto.gov/dirsearch-public/print/downloadPdf/20210381264","USPTO PDF")</f>
        <v>0.0</v>
      </c>
      <c r="K1307" s="2" t="n">
        <f>HYPERLINK("https://sectors.patentforecast.com/pmd/US20210381264","PMD")</f>
        <v>0.0</v>
      </c>
      <c r="L1307" s="2" t="n">
        <f>HYPERLINK("https://globaldossier.uspto.gov/result/application/US/17288943/1","US20210381264")</f>
        <v>0.0</v>
      </c>
      <c r="M1307" t="s">
        <v>8960</v>
      </c>
      <c r="N1307" t="s">
        <v>8961</v>
      </c>
      <c r="O1307" t="s">
        <v>8962</v>
      </c>
      <c r="P1307" t="s">
        <v>8963</v>
      </c>
      <c r="Q1307" s="3" t="n">
        <v>43766.0</v>
      </c>
      <c r="R1307" s="3" t="n">
        <v>44539.0</v>
      </c>
      <c r="S1307" s="3" t="n">
        <v>44540.189597453704</v>
      </c>
      <c r="T1307" s="3" t="n">
        <v>44544.625385879626</v>
      </c>
      <c r="U1307" t="s">
        <v>8964</v>
      </c>
      <c r="V1307" t="s">
        <v>8965</v>
      </c>
    </row>
    <row r="1308">
      <c r="A1308" t="s">
        <v>22</v>
      </c>
      <c r="B1308" t="s">
        <v>8966</v>
      </c>
      <c r="C1308" t="s">
        <v>24</v>
      </c>
      <c r="D1308" t="s">
        <v>25</v>
      </c>
      <c r="E1308" t="s">
        <v>8967</v>
      </c>
      <c r="F1308" s="2" t="n">
        <f>HYPERLINK("https://patents.google.com/patent/US20210381067","Google")</f>
        <v>0.0</v>
      </c>
      <c r="G1308" s="2" t="n">
        <f>HYPERLINK("https://patentcenter.uspto.gov/applications/16930426","Patent Center")</f>
        <v>0.0</v>
      </c>
      <c r="H1308" s="2" t="n">
        <f>HYPERLINK("https://worldwide.espacenet.com/patent/search?q=US20210381067","Espacenet")</f>
        <v>0.0</v>
      </c>
      <c r="I1308" s="2" t="n">
        <f>HYPERLINK("https://ppubs.uspto.gov/pubwebapp/external.html?q=20210381067.pn.","USPTO")</f>
        <v>0.0</v>
      </c>
      <c r="J1308" s="2" t="n">
        <f>HYPERLINK("https://image-ppubs.uspto.gov/dirsearch-public/print/downloadPdf/20210381067","USPTO PDF")</f>
        <v>0.0</v>
      </c>
      <c r="K1308" s="2" t="n">
        <f>HYPERLINK("https://sectors.patentforecast.com/pmd/US20210381067","PMD")</f>
        <v>0.0</v>
      </c>
      <c r="L1308" s="2" t="n">
        <f>HYPERLINK("https://globaldossier.uspto.gov/result/application/US/16930426/1","US20210381067")</f>
        <v>0.0</v>
      </c>
      <c r="M1308" t="s">
        <v>8968</v>
      </c>
      <c r="N1308" t="s">
        <v>8969</v>
      </c>
      <c r="O1308" t="s">
        <v>8970</v>
      </c>
      <c r="P1308" t="s">
        <v>8971</v>
      </c>
      <c r="Q1308" s="3" t="n">
        <v>44028.0</v>
      </c>
      <c r="R1308" s="3" t="n">
        <v>44539.0</v>
      </c>
      <c r="S1308" s="3" t="n">
        <v>44540.18890559028</v>
      </c>
      <c r="T1308" s="3" t="n">
        <v>44638.70654244213</v>
      </c>
      <c r="U1308" t="s">
        <v>8972</v>
      </c>
      <c r="V1308" t="s">
        <v>8973</v>
      </c>
    </row>
    <row r="1309">
      <c r="A1309" t="s">
        <v>22</v>
      </c>
      <c r="B1309" t="s">
        <v>8974</v>
      </c>
      <c r="C1309" t="s">
        <v>24</v>
      </c>
      <c r="D1309" t="s">
        <v>25</v>
      </c>
      <c r="E1309" t="s">
        <v>8975</v>
      </c>
      <c r="F1309" s="2" t="n">
        <f>HYPERLINK("https://patents.google.com/patent/US20210381034","Google")</f>
        <v>0.0</v>
      </c>
      <c r="G1309" s="2" t="n">
        <f>HYPERLINK("https://patentcenter.uspto.gov/applications/17136793","Patent Center")</f>
        <v>0.0</v>
      </c>
      <c r="H1309" s="2" t="n">
        <f>HYPERLINK("https://worldwide.espacenet.com/patent/search?q=US20210381034","Espacenet")</f>
        <v>0.0</v>
      </c>
      <c r="I1309" s="2" t="n">
        <f>HYPERLINK("https://ppubs.uspto.gov/pubwebapp/external.html?q=20210381034.pn.","USPTO")</f>
        <v>0.0</v>
      </c>
      <c r="J1309" s="2" t="n">
        <f>HYPERLINK("https://image-ppubs.uspto.gov/dirsearch-public/print/downloadPdf/20210381034","USPTO PDF")</f>
        <v>0.0</v>
      </c>
      <c r="K1309" s="2" t="n">
        <f>HYPERLINK("https://sectors.patentforecast.com/pmd/US20210381034","PMD")</f>
        <v>0.0</v>
      </c>
      <c r="L1309" s="2" t="n">
        <f>HYPERLINK("https://globaldossier.uspto.gov/result/application/US/17136793/1","US20210381034")</f>
        <v>0.0</v>
      </c>
      <c r="M1309" t="s">
        <v>8976</v>
      </c>
      <c r="N1309" t="s">
        <v>8977</v>
      </c>
      <c r="O1309" t="s">
        <v>8978</v>
      </c>
      <c r="P1309" t="s">
        <v>8979</v>
      </c>
      <c r="Q1309" s="3" t="n">
        <v>44194.0</v>
      </c>
      <c r="R1309" s="3" t="n">
        <v>44539.0</v>
      </c>
      <c r="S1309" s="3" t="n">
        <v>44540.18786074074</v>
      </c>
      <c r="T1309" s="3" t="n">
        <v>44544.62340920139</v>
      </c>
      <c r="U1309" t="s">
        <v>8980</v>
      </c>
      <c r="V1309" t="s">
        <v>8981</v>
      </c>
    </row>
    <row r="1310">
      <c r="A1310" t="s">
        <v>22</v>
      </c>
      <c r="B1310" t="s">
        <v>8982</v>
      </c>
      <c r="C1310" t="s">
        <v>24</v>
      </c>
      <c r="D1310" t="s">
        <v>69</v>
      </c>
      <c r="E1310" t="s">
        <v>8983</v>
      </c>
      <c r="F1310" s="2" t="n">
        <f>HYPERLINK("https://patents.google.com/patent/US20210381023","Google")</f>
        <v>0.0</v>
      </c>
      <c r="G1310" s="2" t="n">
        <f>HYPERLINK("https://patentcenter.uspto.gov/applications/16894058","Patent Center")</f>
        <v>0.0</v>
      </c>
      <c r="H1310" s="2" t="n">
        <f>HYPERLINK("https://worldwide.espacenet.com/patent/search?q=US20210381023","Espacenet")</f>
        <v>0.0</v>
      </c>
      <c r="I1310" s="2" t="n">
        <f>HYPERLINK("https://ppubs.uspto.gov/pubwebapp/external.html?q=20210381023.pn.","USPTO")</f>
        <v>0.0</v>
      </c>
      <c r="J1310" s="2" t="n">
        <f>HYPERLINK("https://image-ppubs.uspto.gov/dirsearch-public/print/downloadPdf/20210381023","USPTO PDF")</f>
        <v>0.0</v>
      </c>
      <c r="K1310" s="2" t="n">
        <f>HYPERLINK("https://sectors.patentforecast.com/pmd/US20210381023","PMD")</f>
        <v>0.0</v>
      </c>
      <c r="L1310" s="2" t="n">
        <f>HYPERLINK("https://globaldossier.uspto.gov/result/application/US/16894058/1","US20210381023")</f>
        <v>0.0</v>
      </c>
      <c r="M1310" t="s">
        <v>8984</v>
      </c>
      <c r="N1310" t="s">
        <v>8985</v>
      </c>
      <c r="O1310" t="s">
        <v>8986</v>
      </c>
      <c r="P1310" t="s">
        <v>8987</v>
      </c>
      <c r="Q1310" s="3" t="n">
        <v>43987.0</v>
      </c>
      <c r="R1310" s="3" t="n">
        <v>44539.0</v>
      </c>
      <c r="S1310" s="3" t="n">
        <v>44540.18786074074</v>
      </c>
      <c r="T1310" s="3" t="n">
        <v>44544.62413283565</v>
      </c>
      <c r="U1310" t="s">
        <v>8988</v>
      </c>
      <c r="V1310" t="s">
        <v>8989</v>
      </c>
    </row>
    <row r="1311">
      <c r="A1311" t="s">
        <v>22</v>
      </c>
      <c r="B1311" t="s">
        <v>8990</v>
      </c>
      <c r="C1311" t="s">
        <v>60</v>
      </c>
      <c r="D1311" t="s">
        <v>61</v>
      </c>
      <c r="E1311" t="s">
        <v>8991</v>
      </c>
      <c r="F1311" s="2" t="n">
        <f>HYPERLINK("https://patents.google.com/patent/US20210380986","Google")</f>
        <v>0.0</v>
      </c>
      <c r="G1311" s="2" t="n">
        <f>HYPERLINK("https://patentcenter.uspto.gov/applications/17306908","Patent Center")</f>
        <v>0.0</v>
      </c>
      <c r="H1311" s="2" t="n">
        <f>HYPERLINK("https://worldwide.espacenet.com/patent/search?q=US20210380986","Espacenet")</f>
        <v>0.0</v>
      </c>
      <c r="I1311" s="2" t="n">
        <f>HYPERLINK("https://ppubs.uspto.gov/pubwebapp/external.html?q=20210380986.pn.","USPTO")</f>
        <v>0.0</v>
      </c>
      <c r="J1311" s="2" t="n">
        <f>HYPERLINK("https://image-ppubs.uspto.gov/dirsearch-public/print/downloadPdf/20210380986","USPTO PDF")</f>
        <v>0.0</v>
      </c>
      <c r="K1311" s="2" t="n">
        <f>HYPERLINK("https://sectors.patentforecast.com/pmd/US20210380986","PMD")</f>
        <v>0.0</v>
      </c>
      <c r="L1311" s="2" t="n">
        <f>HYPERLINK("https://globaldossier.uspto.gov/result/application/US/17306908/1","US20210380986")</f>
        <v>0.0</v>
      </c>
      <c r="M1311" t="s">
        <v>8992</v>
      </c>
      <c r="N1311" t="s">
        <v>8993</v>
      </c>
      <c r="O1311" t="s">
        <v>8993</v>
      </c>
      <c r="P1311" t="s">
        <v>8994</v>
      </c>
      <c r="Q1311" s="3" t="n">
        <v>44349.0</v>
      </c>
      <c r="R1311" s="3" t="n">
        <v>44539.0</v>
      </c>
      <c r="S1311" s="3" t="n">
        <v>44540.18890559028</v>
      </c>
      <c r="T1311" s="3" t="n">
        <v>44544.62507429398</v>
      </c>
      <c r="U1311" t="s">
        <v>8995</v>
      </c>
      <c r="V1311" t="s">
        <v>8996</v>
      </c>
    </row>
    <row r="1312">
      <c r="A1312" t="s">
        <v>22</v>
      </c>
      <c r="B1312" t="s">
        <v>8997</v>
      </c>
      <c r="C1312" t="s">
        <v>60</v>
      </c>
      <c r="D1312" t="s">
        <v>61</v>
      </c>
      <c r="E1312" t="s">
        <v>8998</v>
      </c>
      <c r="F1312" s="2" t="n">
        <f>HYPERLINK("https://patents.google.com/patent/US20210380518","Google")</f>
        <v>0.0</v>
      </c>
      <c r="G1312" s="2" t="n">
        <f>HYPERLINK("https://patentcenter.uspto.gov/applications/17342148","Patent Center")</f>
        <v>0.0</v>
      </c>
      <c r="H1312" s="2" t="n">
        <f>HYPERLINK("https://worldwide.espacenet.com/patent/search?q=US20210380518","Espacenet")</f>
        <v>0.0</v>
      </c>
      <c r="I1312" s="2" t="n">
        <f>HYPERLINK("https://ppubs.uspto.gov/pubwebapp/external.html?q=20210380518.pn.","USPTO")</f>
        <v>0.0</v>
      </c>
      <c r="J1312" s="2" t="n">
        <f>HYPERLINK("https://image-ppubs.uspto.gov/dirsearch-public/print/downloadPdf/20210380518","USPTO PDF")</f>
        <v>0.0</v>
      </c>
      <c r="K1312" s="2" t="n">
        <f>HYPERLINK("https://sectors.patentforecast.com/pmd/US20210380518","PMD")</f>
        <v>0.0</v>
      </c>
      <c r="L1312" s="2" t="n">
        <f>HYPERLINK("https://globaldossier.uspto.gov/result/application/US/17342148/1","US20210380518")</f>
        <v>0.0</v>
      </c>
      <c r="M1312" t="s">
        <v>8999</v>
      </c>
      <c r="N1312" t="s">
        <v>9000</v>
      </c>
      <c r="O1312" t="s">
        <v>9000</v>
      </c>
      <c r="P1312" t="s">
        <v>9001</v>
      </c>
      <c r="Q1312" s="3" t="n">
        <v>44355.0</v>
      </c>
      <c r="R1312" s="3" t="n">
        <v>44539.0</v>
      </c>
      <c r="S1312" s="3" t="n">
        <v>44540.18890559028</v>
      </c>
      <c r="T1312" s="3" t="n">
        <v>44544.61837643519</v>
      </c>
      <c r="U1312" t="s">
        <v>9002</v>
      </c>
      <c r="V1312" t="s">
        <v>9003</v>
      </c>
    </row>
    <row r="1313">
      <c r="A1313" t="s">
        <v>22</v>
      </c>
      <c r="B1313" t="s">
        <v>9004</v>
      </c>
      <c r="C1313" t="s">
        <v>24</v>
      </c>
      <c r="D1313" t="s">
        <v>69</v>
      </c>
      <c r="E1313" t="s">
        <v>9005</v>
      </c>
      <c r="F1313" s="2" t="n">
        <f>HYPERLINK("https://patents.google.com/patent/US20210380062","Google")</f>
        <v>0.0</v>
      </c>
      <c r="G1313" s="2" t="n">
        <f>HYPERLINK("https://patentcenter.uspto.gov/applications/17338251","Patent Center")</f>
        <v>0.0</v>
      </c>
      <c r="H1313" s="2" t="n">
        <f>HYPERLINK("https://worldwide.espacenet.com/patent/search?q=US20210380062","Espacenet")</f>
        <v>0.0</v>
      </c>
      <c r="I1313" s="2" t="n">
        <f>HYPERLINK("https://ppubs.uspto.gov/pubwebapp/external.html?q=20210380062.pn.","USPTO")</f>
        <v>0.0</v>
      </c>
      <c r="J1313" s="2" t="n">
        <f>HYPERLINK("https://image-ppubs.uspto.gov/dirsearch-public/print/downloadPdf/20210380062","USPTO PDF")</f>
        <v>0.0</v>
      </c>
      <c r="K1313" s="2" t="n">
        <f>HYPERLINK("https://sectors.patentforecast.com/pmd/US20210380062","PMD")</f>
        <v>0.0</v>
      </c>
      <c r="L1313" s="2" t="n">
        <f>HYPERLINK("https://globaldossier.uspto.gov/result/application/US/17338251/1","US20210380062")</f>
        <v>0.0</v>
      </c>
      <c r="M1313" t="s">
        <v>9006</v>
      </c>
      <c r="N1313" t="s">
        <v>9007</v>
      </c>
      <c r="O1313" t="s">
        <v>9008</v>
      </c>
      <c r="P1313" t="s">
        <v>9009</v>
      </c>
      <c r="Q1313" s="3" t="n">
        <v>44350.0</v>
      </c>
      <c r="R1313" s="3" t="n">
        <v>44539.0</v>
      </c>
      <c r="S1313" s="3" t="n">
        <v>44540.18890559028</v>
      </c>
      <c r="T1313" s="3" t="n">
        <v>44544.620768726854</v>
      </c>
      <c r="U1313" t="s">
        <v>9010</v>
      </c>
      <c r="V1313" t="s">
        <v>9011</v>
      </c>
    </row>
    <row r="1314">
      <c r="A1314" t="s">
        <v>22</v>
      </c>
      <c r="B1314" t="s">
        <v>9012</v>
      </c>
      <c r="C1314" t="s">
        <v>312</v>
      </c>
      <c r="D1314" t="s">
        <v>715</v>
      </c>
      <c r="E1314" t="s">
        <v>9013</v>
      </c>
      <c r="F1314" s="2" t="n">
        <f>HYPERLINK("https://patents.google.com/patent/US20210379587","Google")</f>
        <v>0.0</v>
      </c>
      <c r="G1314" s="2" t="n">
        <f>HYPERLINK("https://patentcenter.uspto.gov/applications/16894273","Patent Center")</f>
        <v>0.0</v>
      </c>
      <c r="H1314" s="2" t="n">
        <f>HYPERLINK("https://worldwide.espacenet.com/patent/search?q=US20210379587","Espacenet")</f>
        <v>0.0</v>
      </c>
      <c r="I1314" s="2" t="n">
        <f>HYPERLINK("https://ppubs.uspto.gov/pubwebapp/external.html?q=20210379587.pn.","USPTO")</f>
        <v>0.0</v>
      </c>
      <c r="J1314" s="2" t="n">
        <f>HYPERLINK("https://image-ppubs.uspto.gov/dirsearch-public/print/downloadPdf/20210379587","USPTO PDF")</f>
        <v>0.0</v>
      </c>
      <c r="K1314" s="2" t="n">
        <f>HYPERLINK("https://sectors.patentforecast.com/pmd/US20210379587","PMD")</f>
        <v>0.0</v>
      </c>
      <c r="L1314" s="2" t="n">
        <f>HYPERLINK("https://globaldossier.uspto.gov/result/application/US/16894273/1","US20210379587")</f>
        <v>0.0</v>
      </c>
      <c r="M1314" t="s">
        <v>9014</v>
      </c>
      <c r="N1314" t="s">
        <v>1649</v>
      </c>
      <c r="O1314" t="s">
        <v>1650</v>
      </c>
      <c r="P1314" t="s">
        <v>9015</v>
      </c>
      <c r="Q1314" s="3" t="n">
        <v>43987.0</v>
      </c>
      <c r="R1314" s="3" t="n">
        <v>44539.0</v>
      </c>
      <c r="S1314" s="3" t="n">
        <v>44540.18890559028</v>
      </c>
      <c r="T1314" s="3" t="n">
        <v>44544.62046726852</v>
      </c>
      <c r="U1314" t="s">
        <v>9016</v>
      </c>
      <c r="V1314" t="s">
        <v>9017</v>
      </c>
    </row>
    <row r="1315">
      <c r="A1315" t="s">
        <v>22</v>
      </c>
      <c r="B1315" t="s">
        <v>9018</v>
      </c>
      <c r="C1315" t="s">
        <v>24</v>
      </c>
      <c r="D1315" t="s">
        <v>51</v>
      </c>
      <c r="E1315" t="s">
        <v>9019</v>
      </c>
      <c r="F1315" s="2" t="n">
        <f>HYPERLINK("https://patents.google.com/patent/US20210379580","Google")</f>
        <v>0.0</v>
      </c>
      <c r="G1315" s="2" t="n">
        <f>HYPERLINK("https://patentcenter.uspto.gov/applications/17340067","Patent Center")</f>
        <v>0.0</v>
      </c>
      <c r="H1315" s="2" t="n">
        <f>HYPERLINK("https://worldwide.espacenet.com/patent/search?q=US20210379580","Espacenet")</f>
        <v>0.0</v>
      </c>
      <c r="I1315" s="2" t="n">
        <f>HYPERLINK("https://ppubs.uspto.gov/pubwebapp/external.html?q=20210379580.pn.","USPTO")</f>
        <v>0.0</v>
      </c>
      <c r="J1315" s="2" t="n">
        <f>HYPERLINK("https://image-ppubs.uspto.gov/dirsearch-public/print/downloadPdf/20210379580","USPTO PDF")</f>
        <v>0.0</v>
      </c>
      <c r="K1315" s="2" t="n">
        <f>HYPERLINK("https://sectors.patentforecast.com/pmd/US20210379580","PMD")</f>
        <v>0.0</v>
      </c>
      <c r="L1315" s="2" t="n">
        <f>HYPERLINK("https://globaldossier.uspto.gov/result/application/US/17340067/1","US20210379580")</f>
        <v>0.0</v>
      </c>
      <c r="M1315" t="s">
        <v>9020</v>
      </c>
      <c r="N1315" t="s">
        <v>9021</v>
      </c>
      <c r="O1315" t="s">
        <v>9022</v>
      </c>
      <c r="P1315" t="s">
        <v>9023</v>
      </c>
      <c r="Q1315" s="3" t="n">
        <v>44353.0</v>
      </c>
      <c r="R1315" s="3" t="n">
        <v>44539.0</v>
      </c>
      <c r="S1315" s="3" t="n">
        <v>44540.18890559028</v>
      </c>
      <c r="T1315" s="3" t="n">
        <v>44544.62081269676</v>
      </c>
      <c r="U1315" t="s">
        <v>9024</v>
      </c>
      <c r="V1315" t="s">
        <v>9025</v>
      </c>
    </row>
    <row r="1316">
      <c r="A1316" t="s">
        <v>22</v>
      </c>
      <c r="B1316" t="s">
        <v>9026</v>
      </c>
      <c r="C1316" t="s">
        <v>24</v>
      </c>
      <c r="D1316" t="s">
        <v>69</v>
      </c>
      <c r="E1316" t="s">
        <v>8983</v>
      </c>
      <c r="F1316" s="2" t="n">
        <f>HYPERLINK("https://patents.google.com/patent/US20210379425","Google")</f>
        <v>0.0</v>
      </c>
      <c r="G1316" s="2" t="n">
        <f>HYPERLINK("https://patentcenter.uspto.gov/applications/16894040","Patent Center")</f>
        <v>0.0</v>
      </c>
      <c r="H1316" s="2" t="n">
        <f>HYPERLINK("https://worldwide.espacenet.com/patent/search?q=US20210379425","Espacenet")</f>
        <v>0.0</v>
      </c>
      <c r="I1316" s="2" t="n">
        <f>HYPERLINK("https://ppubs.uspto.gov/pubwebapp/external.html?q=20210379425.pn.","USPTO")</f>
        <v>0.0</v>
      </c>
      <c r="J1316" s="2" t="n">
        <f>HYPERLINK("https://image-ppubs.uspto.gov/dirsearch-public/print/downloadPdf/20210379425","USPTO PDF")</f>
        <v>0.0</v>
      </c>
      <c r="K1316" s="2" t="n">
        <f>HYPERLINK("https://sectors.patentforecast.com/pmd/US20210379425","PMD")</f>
        <v>0.0</v>
      </c>
      <c r="L1316" s="2" t="n">
        <f>HYPERLINK("https://globaldossier.uspto.gov/result/application/US/16894040/1","US20210379425")</f>
        <v>0.0</v>
      </c>
      <c r="M1316" t="s">
        <v>9027</v>
      </c>
      <c r="N1316" t="s">
        <v>8985</v>
      </c>
      <c r="O1316" t="s">
        <v>8986</v>
      </c>
      <c r="P1316" t="s">
        <v>9028</v>
      </c>
      <c r="Q1316" s="3" t="n">
        <v>43987.0</v>
      </c>
      <c r="R1316" s="3" t="n">
        <v>44539.0</v>
      </c>
      <c r="S1316" s="3" t="n">
        <v>44540.18786074074</v>
      </c>
      <c r="T1316" s="3" t="n">
        <v>44544.62413283565</v>
      </c>
      <c r="U1316" t="s">
        <v>9029</v>
      </c>
      <c r="V1316" t="s">
        <v>8989</v>
      </c>
    </row>
    <row r="1317">
      <c r="A1317" t="s">
        <v>22</v>
      </c>
      <c r="B1317" t="s">
        <v>9030</v>
      </c>
      <c r="C1317" t="s">
        <v>312</v>
      </c>
      <c r="D1317" t="s">
        <v>715</v>
      </c>
      <c r="E1317" t="s">
        <v>9031</v>
      </c>
      <c r="F1317" s="2" t="n">
        <f>HYPERLINK("https://patents.google.com/patent/US20210379318","Google")</f>
        <v>0.0</v>
      </c>
      <c r="G1317" s="2" t="n">
        <f>HYPERLINK("https://patentcenter.uspto.gov/applications/16896809","Patent Center")</f>
        <v>0.0</v>
      </c>
      <c r="H1317" s="2" t="n">
        <f>HYPERLINK("https://worldwide.espacenet.com/patent/search?q=US20210379318","Espacenet")</f>
        <v>0.0</v>
      </c>
      <c r="I1317" s="2" t="n">
        <f>HYPERLINK("https://ppubs.uspto.gov/pubwebapp/external.html?q=20210379318.pn.","USPTO")</f>
        <v>0.0</v>
      </c>
      <c r="J1317" s="2" t="n">
        <f>HYPERLINK("https://image-ppubs.uspto.gov/dirsearch-public/print/downloadPdf/20210379318","USPTO PDF")</f>
        <v>0.0</v>
      </c>
      <c r="K1317" s="2" t="n">
        <f>HYPERLINK("https://sectors.patentforecast.com/pmd/US20210379318","PMD")</f>
        <v>0.0</v>
      </c>
      <c r="L1317" s="2" t="n">
        <f>HYPERLINK("https://globaldossier.uspto.gov/result/application/US/16896809/1","US20210379318")</f>
        <v>0.0</v>
      </c>
      <c r="M1317" t="s">
        <v>9032</v>
      </c>
      <c r="N1317" t="s">
        <v>9033</v>
      </c>
      <c r="O1317" t="s">
        <v>9034</v>
      </c>
      <c r="P1317" t="s">
        <v>9035</v>
      </c>
      <c r="Q1317" s="3" t="n">
        <v>43991.0</v>
      </c>
      <c r="R1317" s="3" t="n">
        <v>44539.0</v>
      </c>
      <c r="S1317" s="3" t="n">
        <v>44540.18890559028</v>
      </c>
      <c r="T1317" s="3" t="n">
        <v>44544.62046726852</v>
      </c>
      <c r="U1317" t="s">
        <v>9036</v>
      </c>
      <c r="V1317" t="s">
        <v>9037</v>
      </c>
    </row>
    <row r="1318">
      <c r="A1318" t="s">
        <v>22</v>
      </c>
      <c r="B1318" t="s">
        <v>9038</v>
      </c>
      <c r="C1318" t="s">
        <v>24</v>
      </c>
      <c r="D1318" t="s">
        <v>69</v>
      </c>
      <c r="E1318" t="s">
        <v>9039</v>
      </c>
      <c r="F1318" s="2" t="n">
        <f>HYPERLINK("https://patents.google.com/patent/US20210379235","Google")</f>
        <v>0.0</v>
      </c>
      <c r="G1318" s="2" t="n">
        <f>HYPERLINK("https://patentcenter.uspto.gov/applications/17339109","Patent Center")</f>
        <v>0.0</v>
      </c>
      <c r="H1318" s="2" t="n">
        <f>HYPERLINK("https://worldwide.espacenet.com/patent/search?q=US20210379235","Espacenet")</f>
        <v>0.0</v>
      </c>
      <c r="I1318" s="2" t="n">
        <f>HYPERLINK("https://ppubs.uspto.gov/pubwebapp/external.html?q=20210379235.pn.","USPTO")</f>
        <v>0.0</v>
      </c>
      <c r="J1318" s="2" t="n">
        <f>HYPERLINK("https://image-ppubs.uspto.gov/dirsearch-public/print/downloadPdf/20210379235","USPTO PDF")</f>
        <v>0.0</v>
      </c>
      <c r="K1318" s="2" t="n">
        <f>HYPERLINK("https://sectors.patentforecast.com/pmd/US20210379235","PMD")</f>
        <v>0.0</v>
      </c>
      <c r="L1318" s="2" t="n">
        <f>HYPERLINK("https://globaldossier.uspto.gov/result/application/US/17339109/1","US20210379235")</f>
        <v>0.0</v>
      </c>
      <c r="M1318" t="s">
        <v>9040</v>
      </c>
      <c r="N1318" t="s">
        <v>9041</v>
      </c>
      <c r="O1318" t="s">
        <v>9042</v>
      </c>
      <c r="P1318" t="s">
        <v>9043</v>
      </c>
      <c r="Q1318" s="3" t="n">
        <v>44351.0</v>
      </c>
      <c r="R1318" s="3" t="n">
        <v>44539.0</v>
      </c>
      <c r="S1318" s="3" t="n">
        <v>44540.18878820602</v>
      </c>
      <c r="T1318" s="3" t="n">
        <v>44544.62687059028</v>
      </c>
      <c r="U1318" t="s">
        <v>9044</v>
      </c>
      <c r="V1318" t="s">
        <v>9045</v>
      </c>
    </row>
    <row r="1319">
      <c r="A1319" t="s">
        <v>22</v>
      </c>
      <c r="B1319" t="s">
        <v>9046</v>
      </c>
      <c r="C1319" t="s">
        <v>24</v>
      </c>
      <c r="D1319" t="s">
        <v>100</v>
      </c>
      <c r="E1319" t="s">
        <v>9047</v>
      </c>
      <c r="F1319" s="2" t="n">
        <f>HYPERLINK("https://patents.google.com/patent/US20210379233","Google")</f>
        <v>0.0</v>
      </c>
      <c r="G1319" s="2" t="n">
        <f>HYPERLINK("https://patentcenter.uspto.gov/applications/17397950","Patent Center")</f>
        <v>0.0</v>
      </c>
      <c r="H1319" s="2" t="n">
        <f>HYPERLINK("https://worldwide.espacenet.com/patent/search?q=US20210379233","Espacenet")</f>
        <v>0.0</v>
      </c>
      <c r="I1319" s="2" t="n">
        <f>HYPERLINK("https://ppubs.uspto.gov/pubwebapp/external.html?q=20210379233.pn.","USPTO")</f>
        <v>0.0</v>
      </c>
      <c r="J1319" s="2" t="n">
        <f>HYPERLINK("https://image-ppubs.uspto.gov/dirsearch-public/print/downloadPdf/20210379233","USPTO PDF")</f>
        <v>0.0</v>
      </c>
      <c r="K1319" s="2" t="n">
        <f>HYPERLINK("https://sectors.patentforecast.com/pmd/US20210379233","PMD")</f>
        <v>0.0</v>
      </c>
      <c r="L1319" s="2" t="n">
        <f>HYPERLINK("https://globaldossier.uspto.gov/result/application/US/17397950/1","US20210379233")</f>
        <v>0.0</v>
      </c>
      <c r="M1319" t="s">
        <v>9048</v>
      </c>
      <c r="N1319" t="s">
        <v>9049</v>
      </c>
      <c r="O1319" t="s">
        <v>9050</v>
      </c>
      <c r="P1319" t="s">
        <v>9051</v>
      </c>
      <c r="Q1319" s="3" t="n">
        <v>44417.0</v>
      </c>
      <c r="R1319" s="3" t="n">
        <v>44539.0</v>
      </c>
      <c r="S1319" s="3" t="n">
        <v>44540.18878820602</v>
      </c>
      <c r="T1319" s="3" t="n">
        <v>44544.61788763889</v>
      </c>
      <c r="U1319" t="s">
        <v>9052</v>
      </c>
      <c r="V1319" t="s">
        <v>9053</v>
      </c>
    </row>
    <row r="1320">
      <c r="A1320" t="s">
        <v>22</v>
      </c>
      <c r="B1320" t="s">
        <v>9054</v>
      </c>
      <c r="C1320" t="s">
        <v>24</v>
      </c>
      <c r="D1320" t="s">
        <v>100</v>
      </c>
      <c r="E1320" t="s">
        <v>9055</v>
      </c>
      <c r="F1320" s="2" t="n">
        <f>HYPERLINK("https://patents.google.com/patent/US20210379219","Google")</f>
        <v>0.0</v>
      </c>
      <c r="G1320" s="2" t="n">
        <f>HYPERLINK("https://patentcenter.uspto.gov/applications/17338622","Patent Center")</f>
        <v>0.0</v>
      </c>
      <c r="H1320" s="2" t="n">
        <f>HYPERLINK("https://worldwide.espacenet.com/patent/search?q=US20210379219","Espacenet")</f>
        <v>0.0</v>
      </c>
      <c r="I1320" s="2" t="n">
        <f>HYPERLINK("https://ppubs.uspto.gov/pubwebapp/external.html?q=20210379219.pn.","USPTO")</f>
        <v>0.0</v>
      </c>
      <c r="J1320" s="2" t="n">
        <f>HYPERLINK("https://image-ppubs.uspto.gov/dirsearch-public/print/downloadPdf/20210379219","USPTO PDF")</f>
        <v>0.0</v>
      </c>
      <c r="K1320" s="2" t="n">
        <f>HYPERLINK("https://sectors.patentforecast.com/pmd/US20210379219","PMD")</f>
        <v>0.0</v>
      </c>
      <c r="L1320" s="2" t="n">
        <f>HYPERLINK("https://globaldossier.uspto.gov/result/application/US/17338622/1","US20210379219")</f>
        <v>0.0</v>
      </c>
      <c r="M1320" t="s">
        <v>9056</v>
      </c>
      <c r="N1320" t="s">
        <v>9057</v>
      </c>
      <c r="O1320" t="s">
        <v>9058</v>
      </c>
      <c r="P1320" t="s">
        <v>9059</v>
      </c>
      <c r="Q1320" s="3" t="n">
        <v>44350.0</v>
      </c>
      <c r="R1320" s="3" t="n">
        <v>44539.0</v>
      </c>
      <c r="S1320" s="3" t="n">
        <v>44540.18878820602</v>
      </c>
      <c r="T1320" s="3" t="n">
        <v>44544.62450585648</v>
      </c>
      <c r="U1320" t="s">
        <v>9060</v>
      </c>
      <c r="V1320" t="s">
        <v>9061</v>
      </c>
    </row>
    <row r="1321">
      <c r="A1321" t="s">
        <v>22</v>
      </c>
      <c r="B1321" t="s">
        <v>9062</v>
      </c>
      <c r="C1321" t="s">
        <v>24</v>
      </c>
      <c r="D1321" t="s">
        <v>8459</v>
      </c>
      <c r="E1321" t="s">
        <v>9063</v>
      </c>
      <c r="F1321" s="2" t="n">
        <f>HYPERLINK("https://patents.google.com/patent/US20210379216","Google")</f>
        <v>0.0</v>
      </c>
      <c r="G1321" s="2" t="n">
        <f>HYPERLINK("https://patentcenter.uspto.gov/applications/17012861","Patent Center")</f>
        <v>0.0</v>
      </c>
      <c r="H1321" s="2" t="n">
        <f>HYPERLINK("https://worldwide.espacenet.com/patent/search?q=US20210379216","Espacenet")</f>
        <v>0.0</v>
      </c>
      <c r="I1321" s="2" t="n">
        <f>HYPERLINK("https://ppubs.uspto.gov/pubwebapp/external.html?q=20210379216.pn.","USPTO")</f>
        <v>0.0</v>
      </c>
      <c r="J1321" s="2" t="n">
        <f>HYPERLINK("https://image-ppubs.uspto.gov/dirsearch-public/print/downloadPdf/20210379216","USPTO PDF")</f>
        <v>0.0</v>
      </c>
      <c r="K1321" s="2" t="n">
        <f>HYPERLINK("https://sectors.patentforecast.com/pmd/US20210379216","PMD")</f>
        <v>0.0</v>
      </c>
      <c r="L1321" s="2" t="n">
        <f>HYPERLINK("https://globaldossier.uspto.gov/result/application/US/17012861/1","US20210379216")</f>
        <v>0.0</v>
      </c>
      <c r="M1321" t="s">
        <v>9064</v>
      </c>
      <c r="N1321" t="s">
        <v>9065</v>
      </c>
      <c r="O1321" t="s">
        <v>9066</v>
      </c>
      <c r="P1321" t="s">
        <v>9067</v>
      </c>
      <c r="Q1321" s="3" t="n">
        <v>44078.0</v>
      </c>
      <c r="R1321" s="3" t="n">
        <v>44539.0</v>
      </c>
      <c r="S1321" s="3" t="n">
        <v>44540.18878820602</v>
      </c>
      <c r="T1321" s="3" t="n">
        <v>44544.617173136576</v>
      </c>
      <c r="U1321" t="s">
        <v>9068</v>
      </c>
      <c r="V1321" t="s">
        <v>9069</v>
      </c>
    </row>
    <row r="1322">
      <c r="A1322" t="s">
        <v>22</v>
      </c>
      <c r="B1322" t="s">
        <v>9070</v>
      </c>
      <c r="C1322" t="s">
        <v>132</v>
      </c>
      <c r="D1322" t="s">
        <v>133</v>
      </c>
      <c r="E1322" t="s">
        <v>134</v>
      </c>
      <c r="F1322" s="2" t="n">
        <f>HYPERLINK("https://patents.google.com/patent/US20210379181","Google")</f>
        <v>0.0</v>
      </c>
      <c r="G1322" s="2" t="n">
        <f>HYPERLINK("https://patentcenter.uspto.gov/applications/17231261","Patent Center")</f>
        <v>0.0</v>
      </c>
      <c r="H1322" s="2" t="n">
        <f>HYPERLINK("https://worldwide.espacenet.com/patent/search?q=US20210379181","Espacenet")</f>
        <v>0.0</v>
      </c>
      <c r="I1322" s="2" t="n">
        <f>HYPERLINK("https://ppubs.uspto.gov/pubwebapp/external.html?q=20210379181.pn.","USPTO")</f>
        <v>0.0</v>
      </c>
      <c r="J1322" s="2" t="n">
        <f>HYPERLINK("https://image-ppubs.uspto.gov/dirsearch-public/print/downloadPdf/20210379181","USPTO PDF")</f>
        <v>0.0</v>
      </c>
      <c r="K1322" s="2" t="n">
        <f>HYPERLINK("https://sectors.patentforecast.com/pmd/US20210379181","PMD")</f>
        <v>0.0</v>
      </c>
      <c r="L1322" s="2" t="n">
        <f>HYPERLINK("https://globaldossier.uspto.gov/result/application/US/17231261/1","US20210379181")</f>
        <v>0.0</v>
      </c>
      <c r="M1322" t="s">
        <v>9071</v>
      </c>
      <c r="N1322" t="s">
        <v>136</v>
      </c>
      <c r="O1322" t="s">
        <v>137</v>
      </c>
      <c r="P1322" t="s">
        <v>138</v>
      </c>
      <c r="Q1322" s="3" t="n">
        <v>44301.0</v>
      </c>
      <c r="R1322" s="3" t="n">
        <v>44539.0</v>
      </c>
      <c r="S1322" s="3" t="n">
        <v>44540.18878820602</v>
      </c>
      <c r="T1322" s="3" t="n">
        <v>44544.618840497686</v>
      </c>
      <c r="U1322" t="s">
        <v>9072</v>
      </c>
      <c r="V1322" t="s">
        <v>140</v>
      </c>
    </row>
    <row r="1323">
      <c r="A1323" t="s">
        <v>22</v>
      </c>
      <c r="B1323" t="s">
        <v>9073</v>
      </c>
      <c r="C1323" t="s">
        <v>24</v>
      </c>
      <c r="D1323" t="s">
        <v>100</v>
      </c>
      <c r="E1323" t="s">
        <v>9074</v>
      </c>
      <c r="F1323" s="2" t="n">
        <f>HYPERLINK("https://patents.google.com/patent/US20210379091","Google")</f>
        <v>0.0</v>
      </c>
      <c r="G1323" s="2" t="n">
        <f>HYPERLINK("https://patentcenter.uspto.gov/applications/17340413","Patent Center")</f>
        <v>0.0</v>
      </c>
      <c r="H1323" s="2" t="n">
        <f>HYPERLINK("https://worldwide.espacenet.com/patent/search?q=US20210379091","Espacenet")</f>
        <v>0.0</v>
      </c>
      <c r="I1323" s="2" t="n">
        <f>HYPERLINK("https://ppubs.uspto.gov/pubwebapp/external.html?q=20210379091.pn.","USPTO")</f>
        <v>0.0</v>
      </c>
      <c r="J1323" s="2" t="n">
        <f>HYPERLINK("https://image-ppubs.uspto.gov/dirsearch-public/print/downloadPdf/20210379091","USPTO PDF")</f>
        <v>0.0</v>
      </c>
      <c r="K1323" s="2" t="n">
        <f>HYPERLINK("https://sectors.patentforecast.com/pmd/US20210379091","PMD")</f>
        <v>0.0</v>
      </c>
      <c r="L1323" s="2" t="n">
        <f>HYPERLINK("https://globaldossier.uspto.gov/result/application/US/17340413/1","US20210379091")</f>
        <v>0.0</v>
      </c>
      <c r="M1323" t="s">
        <v>9075</v>
      </c>
      <c r="N1323" t="s">
        <v>9076</v>
      </c>
      <c r="O1323" t="s">
        <v>9076</v>
      </c>
      <c r="P1323" t="s">
        <v>9077</v>
      </c>
      <c r="Q1323" s="3" t="n">
        <v>44354.0</v>
      </c>
      <c r="R1323" s="3" t="n">
        <v>44539.0</v>
      </c>
      <c r="S1323" s="3" t="n">
        <v>44540.18878820602</v>
      </c>
      <c r="T1323" s="3" t="n">
        <v>44544.62664930556</v>
      </c>
      <c r="U1323" t="s">
        <v>9078</v>
      </c>
      <c r="V1323" t="s">
        <v>9079</v>
      </c>
    </row>
    <row r="1324">
      <c r="A1324" t="s">
        <v>22</v>
      </c>
      <c r="B1324" t="s">
        <v>9080</v>
      </c>
      <c r="C1324" t="s">
        <v>60</v>
      </c>
      <c r="D1324" t="s">
        <v>61</v>
      </c>
      <c r="E1324" t="s">
        <v>9081</v>
      </c>
      <c r="F1324" s="2" t="n">
        <f>HYPERLINK("https://patents.google.com/patent/US20210379090","Google")</f>
        <v>0.0</v>
      </c>
      <c r="G1324" s="2" t="n">
        <f>HYPERLINK("https://patentcenter.uspto.gov/applications/17340862","Patent Center")</f>
        <v>0.0</v>
      </c>
      <c r="H1324" s="2" t="n">
        <f>HYPERLINK("https://worldwide.espacenet.com/patent/search?q=US20210379090","Espacenet")</f>
        <v>0.0</v>
      </c>
      <c r="I1324" s="2" t="n">
        <f>HYPERLINK("https://ppubs.uspto.gov/pubwebapp/external.html?q=20210379090.pn.","USPTO")</f>
        <v>0.0</v>
      </c>
      <c r="J1324" s="2" t="n">
        <f>HYPERLINK("https://image-ppubs.uspto.gov/dirsearch-public/print/downloadPdf/20210379090","USPTO PDF")</f>
        <v>0.0</v>
      </c>
      <c r="K1324" s="2" t="n">
        <f>HYPERLINK("https://sectors.patentforecast.com/pmd/US20210379090","PMD")</f>
        <v>0.0</v>
      </c>
      <c r="L1324" s="2" t="n">
        <f>HYPERLINK("https://globaldossier.uspto.gov/result/application/US/17340862/1","US20210379090")</f>
        <v>0.0</v>
      </c>
      <c r="M1324" t="s">
        <v>9082</v>
      </c>
      <c r="N1324" t="s">
        <v>9083</v>
      </c>
      <c r="O1324" t="s">
        <v>9084</v>
      </c>
      <c r="P1324" t="s">
        <v>9085</v>
      </c>
      <c r="Q1324" s="3" t="n">
        <v>44354.0</v>
      </c>
      <c r="R1324" s="3" t="n">
        <v>44539.0</v>
      </c>
      <c r="S1324" s="3" t="n">
        <v>44540.18878820602</v>
      </c>
      <c r="T1324" s="3" t="n">
        <v>44544.62488355324</v>
      </c>
      <c r="U1324" t="s">
        <v>9086</v>
      </c>
      <c r="V1324" t="s">
        <v>9087</v>
      </c>
    </row>
    <row r="1325">
      <c r="A1325" t="s">
        <v>22</v>
      </c>
      <c r="B1325" t="s">
        <v>9088</v>
      </c>
      <c r="C1325" t="s">
        <v>24</v>
      </c>
      <c r="D1325" t="s">
        <v>69</v>
      </c>
      <c r="E1325" t="s">
        <v>9089</v>
      </c>
      <c r="F1325" s="2" t="n">
        <f>HYPERLINK("https://patents.google.com/patent/US20210379058","Google")</f>
        <v>0.0</v>
      </c>
      <c r="G1325" s="2" t="n">
        <f>HYPERLINK("https://patentcenter.uspto.gov/applications/17339230","Patent Center")</f>
        <v>0.0</v>
      </c>
      <c r="H1325" s="2" t="n">
        <f>HYPERLINK("https://worldwide.espacenet.com/patent/search?q=US20210379058","Espacenet")</f>
        <v>0.0</v>
      </c>
      <c r="I1325" s="2" t="n">
        <f>HYPERLINK("https://ppubs.uspto.gov/pubwebapp/external.html?q=20210379058.pn.","USPTO")</f>
        <v>0.0</v>
      </c>
      <c r="J1325" s="2" t="n">
        <f>HYPERLINK("https://image-ppubs.uspto.gov/dirsearch-public/print/downloadPdf/20210379058","USPTO PDF")</f>
        <v>0.0</v>
      </c>
      <c r="K1325" s="2" t="n">
        <f>HYPERLINK("https://sectors.patentforecast.com/pmd/US20210379058","PMD")</f>
        <v>0.0</v>
      </c>
      <c r="L1325" s="2" t="n">
        <f>HYPERLINK("https://globaldossier.uspto.gov/result/application/US/17339230/1","US20210379058")</f>
        <v>0.0</v>
      </c>
      <c r="M1325" t="s">
        <v>9090</v>
      </c>
      <c r="N1325" t="s">
        <v>9091</v>
      </c>
      <c r="O1325" t="s">
        <v>9092</v>
      </c>
      <c r="P1325" t="s">
        <v>9093</v>
      </c>
      <c r="Q1325" s="3" t="n">
        <v>44351.0</v>
      </c>
      <c r="R1325" s="3" t="n">
        <v>44539.0</v>
      </c>
      <c r="S1325" s="3" t="n">
        <v>44540.18878820602</v>
      </c>
      <c r="T1325" s="3" t="n">
        <v>44544.61737886574</v>
      </c>
      <c r="U1325" t="s">
        <v>9094</v>
      </c>
      <c r="V1325" t="s">
        <v>9095</v>
      </c>
    </row>
    <row r="1326">
      <c r="A1326" t="s">
        <v>22</v>
      </c>
      <c r="B1326" t="s">
        <v>9096</v>
      </c>
      <c r="C1326" t="s">
        <v>60</v>
      </c>
      <c r="D1326" t="s">
        <v>61</v>
      </c>
      <c r="E1326" t="s">
        <v>9097</v>
      </c>
      <c r="F1326" s="2" t="n">
        <f>HYPERLINK("https://patents.google.com/patent/US20210379025","Google")</f>
        <v>0.0</v>
      </c>
      <c r="G1326" s="2" t="n">
        <f>HYPERLINK("https://patentcenter.uspto.gov/applications/16946105","Patent Center")</f>
        <v>0.0</v>
      </c>
      <c r="H1326" s="2" t="n">
        <f>HYPERLINK("https://worldwide.espacenet.com/patent/search?q=US20210379025","Espacenet")</f>
        <v>0.0</v>
      </c>
      <c r="I1326" s="2" t="n">
        <f>HYPERLINK("https://ppubs.uspto.gov/pubwebapp/external.html?q=20210379025.pn.","USPTO")</f>
        <v>0.0</v>
      </c>
      <c r="J1326" s="2" t="n">
        <f>HYPERLINK("https://image-ppubs.uspto.gov/dirsearch-public/print/downloadPdf/20210379025","USPTO PDF")</f>
        <v>0.0</v>
      </c>
      <c r="K1326" s="2" t="n">
        <f>HYPERLINK("https://sectors.patentforecast.com/pmd/US20210379025","PMD")</f>
        <v>0.0</v>
      </c>
      <c r="L1326" s="2" t="n">
        <f>HYPERLINK("https://globaldossier.uspto.gov/result/application/US/16946105/1","US20210379025")</f>
        <v>0.0</v>
      </c>
      <c r="M1326" t="s">
        <v>9098</v>
      </c>
      <c r="N1326" t="s">
        <v>9099</v>
      </c>
      <c r="O1326" t="s">
        <v>9099</v>
      </c>
      <c r="P1326" t="s">
        <v>9100</v>
      </c>
      <c r="Q1326" s="3" t="n">
        <v>43987.0</v>
      </c>
      <c r="R1326" s="3" t="n">
        <v>44539.0</v>
      </c>
      <c r="S1326" s="3" t="n">
        <v>44540.18878820602</v>
      </c>
      <c r="T1326" s="3" t="n">
        <v>44544.618200046294</v>
      </c>
      <c r="U1326" t="s">
        <v>9101</v>
      </c>
      <c r="V1326" t="s">
        <v>9102</v>
      </c>
    </row>
    <row r="1327">
      <c r="A1327" t="s">
        <v>22</v>
      </c>
      <c r="B1327" t="s">
        <v>9103</v>
      </c>
      <c r="C1327" t="s">
        <v>60</v>
      </c>
      <c r="D1327" t="s">
        <v>61</v>
      </c>
      <c r="E1327" t="s">
        <v>9104</v>
      </c>
      <c r="F1327" s="2" t="n">
        <f>HYPERLINK("https://patents.google.com/patent/US20210379016","Google")</f>
        <v>0.0</v>
      </c>
      <c r="G1327" s="2" t="n">
        <f>HYPERLINK("https://patentcenter.uspto.gov/applications/17341249","Patent Center")</f>
        <v>0.0</v>
      </c>
      <c r="H1327" s="2" t="n">
        <f>HYPERLINK("https://worldwide.espacenet.com/patent/search?q=US20210379016","Espacenet")</f>
        <v>0.0</v>
      </c>
      <c r="I1327" s="2" t="n">
        <f>HYPERLINK("https://ppubs.uspto.gov/pubwebapp/external.html?q=20210379016.pn.","USPTO")</f>
        <v>0.0</v>
      </c>
      <c r="J1327" s="2" t="n">
        <f>HYPERLINK("https://image-ppubs.uspto.gov/dirsearch-public/print/downloadPdf/20210379016","USPTO PDF")</f>
        <v>0.0</v>
      </c>
      <c r="K1327" s="2" t="n">
        <f>HYPERLINK("https://sectors.patentforecast.com/pmd/US20210379016","PMD")</f>
        <v>0.0</v>
      </c>
      <c r="L1327" s="2" t="n">
        <f>HYPERLINK("https://globaldossier.uspto.gov/result/application/US/17341249/1","US20210379016")</f>
        <v>0.0</v>
      </c>
      <c r="M1327" t="s">
        <v>9105</v>
      </c>
      <c r="N1327" t="s">
        <v>7160</v>
      </c>
      <c r="O1327" t="s">
        <v>7160</v>
      </c>
      <c r="P1327" t="s">
        <v>9106</v>
      </c>
      <c r="Q1327" s="3" t="n">
        <v>44354.0</v>
      </c>
      <c r="R1327" s="3" t="n">
        <v>44539.0</v>
      </c>
      <c r="S1327" s="3" t="n">
        <v>44540.18878820602</v>
      </c>
      <c r="T1327" s="3" t="n">
        <v>44544.62629424768</v>
      </c>
      <c r="U1327" t="s">
        <v>9107</v>
      </c>
      <c r="V1327" t="s">
        <v>9108</v>
      </c>
    </row>
    <row r="1328">
      <c r="A1328" t="s">
        <v>22</v>
      </c>
      <c r="B1328" t="s">
        <v>9109</v>
      </c>
      <c r="C1328" t="s">
        <v>24</v>
      </c>
      <c r="D1328" t="s">
        <v>69</v>
      </c>
      <c r="E1328" t="s">
        <v>9110</v>
      </c>
      <c r="F1328" s="2" t="n">
        <f>HYPERLINK("https://patents.google.com/patent/US20210378778","Google")</f>
        <v>0.0</v>
      </c>
      <c r="G1328" s="2" t="n">
        <f>HYPERLINK("https://patentcenter.uspto.gov/applications/17230209","Patent Center")</f>
        <v>0.0</v>
      </c>
      <c r="H1328" s="2" t="n">
        <f>HYPERLINK("https://worldwide.espacenet.com/patent/search?q=US20210378778","Espacenet")</f>
        <v>0.0</v>
      </c>
      <c r="I1328" s="2" t="n">
        <f>HYPERLINK("https://ppubs.uspto.gov/pubwebapp/external.html?q=20210378778.pn.","USPTO")</f>
        <v>0.0</v>
      </c>
      <c r="J1328" s="2" t="n">
        <f>HYPERLINK("https://image-ppubs.uspto.gov/dirsearch-public/print/downloadPdf/20210378778","USPTO PDF")</f>
        <v>0.0</v>
      </c>
      <c r="K1328" s="2" t="n">
        <f>HYPERLINK("https://sectors.patentforecast.com/pmd/US20210378778","PMD")</f>
        <v>0.0</v>
      </c>
      <c r="L1328" s="2" t="n">
        <f>HYPERLINK("https://globaldossier.uspto.gov/result/application/US/17230209/1","US20210378778")</f>
        <v>0.0</v>
      </c>
      <c r="M1328" t="s">
        <v>9111</v>
      </c>
      <c r="N1328" t="s">
        <v>9112</v>
      </c>
      <c r="O1328" t="s">
        <v>9113</v>
      </c>
      <c r="P1328" t="s">
        <v>9114</v>
      </c>
      <c r="Q1328" s="3" t="n">
        <v>44300.0</v>
      </c>
      <c r="R1328" s="3" t="n">
        <v>44539.0</v>
      </c>
      <c r="S1328" s="3" t="n">
        <v>44540.18878820602</v>
      </c>
      <c r="T1328" s="3" t="n">
        <v>44544.61685041666</v>
      </c>
      <c r="U1328" t="s">
        <v>9115</v>
      </c>
      <c r="V1328" t="s">
        <v>9116</v>
      </c>
    </row>
    <row r="1329">
      <c r="A1329" t="s">
        <v>22</v>
      </c>
      <c r="B1329" t="s">
        <v>9117</v>
      </c>
      <c r="C1329" t="s">
        <v>24</v>
      </c>
      <c r="D1329" t="s">
        <v>51</v>
      </c>
      <c r="E1329" t="s">
        <v>9118</v>
      </c>
      <c r="F1329" s="2" t="n">
        <f>HYPERLINK("https://patents.google.com/patent/US20210378643","Google")</f>
        <v>0.0</v>
      </c>
      <c r="G1329" s="2" t="n">
        <f>HYPERLINK("https://patentcenter.uspto.gov/applications/17338469","Patent Center")</f>
        <v>0.0</v>
      </c>
      <c r="H1329" s="2" t="n">
        <f>HYPERLINK("https://worldwide.espacenet.com/patent/search?q=US20210378643","Espacenet")</f>
        <v>0.0</v>
      </c>
      <c r="I1329" s="2" t="n">
        <f>HYPERLINK("https://ppubs.uspto.gov/pubwebapp/external.html?q=20210378643.pn.","USPTO")</f>
        <v>0.0</v>
      </c>
      <c r="J1329" s="2" t="n">
        <f>HYPERLINK("https://image-ppubs.uspto.gov/dirsearch-public/print/downloadPdf/20210378643","USPTO PDF")</f>
        <v>0.0</v>
      </c>
      <c r="K1329" s="2" t="n">
        <f>HYPERLINK("https://sectors.patentforecast.com/pmd/US20210378643","PMD")</f>
        <v>0.0</v>
      </c>
      <c r="L1329" s="2" t="n">
        <f>HYPERLINK("https://globaldossier.uspto.gov/result/application/US/17338469/1","US20210378643")</f>
        <v>0.0</v>
      </c>
      <c r="M1329" t="s">
        <v>9119</v>
      </c>
      <c r="N1329" t="s">
        <v>330</v>
      </c>
      <c r="O1329" t="s">
        <v>331</v>
      </c>
      <c r="P1329" t="s">
        <v>9120</v>
      </c>
      <c r="Q1329" s="3" t="n">
        <v>44350.0</v>
      </c>
      <c r="R1329" s="3" t="n">
        <v>44539.0</v>
      </c>
      <c r="S1329" s="3" t="n">
        <v>44540.18878820602</v>
      </c>
      <c r="T1329" s="3" t="n">
        <v>44544.61764762732</v>
      </c>
      <c r="U1329" t="s">
        <v>9121</v>
      </c>
      <c r="V1329" t="s">
        <v>9122</v>
      </c>
    </row>
    <row r="1330">
      <c r="A1330" t="s">
        <v>22</v>
      </c>
      <c r="B1330" t="s">
        <v>9123</v>
      </c>
      <c r="C1330" t="s">
        <v>24</v>
      </c>
      <c r="D1330" t="s">
        <v>25</v>
      </c>
      <c r="E1330" t="s">
        <v>9124</v>
      </c>
      <c r="F1330" s="2" t="n">
        <f>HYPERLINK("https://patents.google.com/patent/US20210378639","Google")</f>
        <v>0.0</v>
      </c>
      <c r="G1330" s="2" t="n">
        <f>HYPERLINK("https://patentcenter.uspto.gov/applications/17338736","Patent Center")</f>
        <v>0.0</v>
      </c>
      <c r="H1330" s="2" t="n">
        <f>HYPERLINK("https://worldwide.espacenet.com/patent/search?q=US20210378639","Espacenet")</f>
        <v>0.0</v>
      </c>
      <c r="I1330" s="2" t="n">
        <f>HYPERLINK("https://ppubs.uspto.gov/pubwebapp/external.html?q=20210378639.pn.","USPTO")</f>
        <v>0.0</v>
      </c>
      <c r="J1330" s="2" t="n">
        <f>HYPERLINK("https://image-ppubs.uspto.gov/dirsearch-public/print/downloadPdf/20210378639","USPTO PDF")</f>
        <v>0.0</v>
      </c>
      <c r="K1330" s="2" t="n">
        <f>HYPERLINK("https://sectors.patentforecast.com/pmd/US20210378639","PMD")</f>
        <v>0.0</v>
      </c>
      <c r="L1330" s="2" t="n">
        <f>HYPERLINK("https://globaldossier.uspto.gov/result/application/US/17338736/1","US20210378639")</f>
        <v>0.0</v>
      </c>
      <c r="M1330" t="s">
        <v>9125</v>
      </c>
      <c r="N1330" t="s">
        <v>9126</v>
      </c>
      <c r="O1330" t="s">
        <v>9127</v>
      </c>
      <c r="P1330" t="s">
        <v>9128</v>
      </c>
      <c r="Q1330" s="3" t="n">
        <v>44351.0</v>
      </c>
      <c r="R1330" s="3" t="n">
        <v>44539.0</v>
      </c>
      <c r="S1330" s="3" t="n">
        <v>44540.18878820602</v>
      </c>
      <c r="T1330" s="3" t="n">
        <v>44544.62340920139</v>
      </c>
      <c r="U1330" t="s">
        <v>9129</v>
      </c>
      <c r="V1330" t="s">
        <v>9130</v>
      </c>
    </row>
    <row r="1331">
      <c r="A1331" t="s">
        <v>22</v>
      </c>
      <c r="B1331" t="s">
        <v>9131</v>
      </c>
      <c r="C1331" t="s">
        <v>312</v>
      </c>
      <c r="D1331" t="s">
        <v>715</v>
      </c>
      <c r="E1331" t="s">
        <v>9132</v>
      </c>
      <c r="F1331" s="2" t="n">
        <f>HYPERLINK("https://patents.google.com/patent/US20210378548","Google")</f>
        <v>0.0</v>
      </c>
      <c r="G1331" s="2" t="n">
        <f>HYPERLINK("https://patentcenter.uspto.gov/applications/17393172","Patent Center")</f>
        <v>0.0</v>
      </c>
      <c r="H1331" s="2" t="n">
        <f>HYPERLINK("https://worldwide.espacenet.com/patent/search?q=US20210378548","Espacenet")</f>
        <v>0.0</v>
      </c>
      <c r="I1331" s="2" t="n">
        <f>HYPERLINK("https://ppubs.uspto.gov/pubwebapp/external.html?q=20210378548.pn.","USPTO")</f>
        <v>0.0</v>
      </c>
      <c r="J1331" s="2" t="n">
        <f>HYPERLINK("https://image-ppubs.uspto.gov/dirsearch-public/print/downloadPdf/20210378548","USPTO PDF")</f>
        <v>0.0</v>
      </c>
      <c r="K1331" s="2" t="n">
        <f>HYPERLINK("https://sectors.patentforecast.com/pmd/US20210378548","PMD")</f>
        <v>0.0</v>
      </c>
      <c r="L1331" s="2" t="n">
        <f>HYPERLINK("https://globaldossier.uspto.gov/result/application/US/17393172/1","US20210378548")</f>
        <v>0.0</v>
      </c>
      <c r="M1331" t="s">
        <v>9133</v>
      </c>
      <c r="N1331" t="s">
        <v>9134</v>
      </c>
      <c r="O1331" t="s">
        <v>9135</v>
      </c>
      <c r="P1331" t="s">
        <v>9136</v>
      </c>
      <c r="Q1331" s="3" t="n">
        <v>44411.0</v>
      </c>
      <c r="R1331" s="3" t="n">
        <v>44539.0</v>
      </c>
      <c r="S1331" s="3" t="n">
        <v>44540.18878820602</v>
      </c>
      <c r="T1331" s="3" t="n">
        <v>44544.62614039352</v>
      </c>
      <c r="U1331" t="s">
        <v>9137</v>
      </c>
      <c r="V1331" t="s">
        <v>9138</v>
      </c>
    </row>
    <row r="1332">
      <c r="A1332" t="s">
        <v>22</v>
      </c>
      <c r="B1332" t="s">
        <v>9139</v>
      </c>
      <c r="C1332" t="s">
        <v>24</v>
      </c>
      <c r="D1332" t="s">
        <v>25</v>
      </c>
      <c r="E1332" t="s">
        <v>9140</v>
      </c>
      <c r="F1332" s="2" t="n">
        <f>HYPERLINK("https://patents.google.com/patent/US20210378540","Google")</f>
        <v>0.0</v>
      </c>
      <c r="G1332" s="2" t="n">
        <f>HYPERLINK("https://patentcenter.uspto.gov/applications/17405112","Patent Center")</f>
        <v>0.0</v>
      </c>
      <c r="H1332" s="2" t="n">
        <f>HYPERLINK("https://worldwide.espacenet.com/patent/search?q=US20210378540","Espacenet")</f>
        <v>0.0</v>
      </c>
      <c r="I1332" s="2" t="n">
        <f>HYPERLINK("https://ppubs.uspto.gov/pubwebapp/external.html?q=20210378540.pn.","USPTO")</f>
        <v>0.0</v>
      </c>
      <c r="J1332" s="2" t="n">
        <f>HYPERLINK("https://image-ppubs.uspto.gov/dirsearch-public/print/downloadPdf/20210378540","USPTO PDF")</f>
        <v>0.0</v>
      </c>
      <c r="K1332" s="2" t="n">
        <f>HYPERLINK("https://sectors.patentforecast.com/pmd/US20210378540","PMD")</f>
        <v>0.0</v>
      </c>
      <c r="L1332" s="2" t="n">
        <f>HYPERLINK("https://globaldossier.uspto.gov/result/application/US/17405112/1","US20210378540")</f>
        <v>0.0</v>
      </c>
      <c r="M1332" t="s">
        <v>9141</v>
      </c>
      <c r="N1332" t="s">
        <v>9142</v>
      </c>
      <c r="O1332" t="s">
        <v>9142</v>
      </c>
      <c r="P1332" t="s">
        <v>9143</v>
      </c>
      <c r="Q1332" s="3" t="n">
        <v>44426.0</v>
      </c>
      <c r="R1332" s="3" t="n">
        <v>44539.0</v>
      </c>
      <c r="S1332" s="3" t="n">
        <v>44540.18878820602</v>
      </c>
      <c r="T1332" s="3" t="n">
        <v>44544.62439456018</v>
      </c>
      <c r="U1332" t="s">
        <v>9144</v>
      </c>
      <c r="V1332" t="s">
        <v>9145</v>
      </c>
    </row>
    <row r="1333">
      <c r="A1333" t="s">
        <v>22</v>
      </c>
      <c r="B1333" t="s">
        <v>9146</v>
      </c>
      <c r="C1333" t="s">
        <v>24</v>
      </c>
      <c r="D1333" t="s">
        <v>69</v>
      </c>
      <c r="E1333" t="s">
        <v>9147</v>
      </c>
      <c r="F1333" s="2" t="n">
        <f>HYPERLINK("https://patents.google.com/patent/US20210378346","Google")</f>
        <v>0.0</v>
      </c>
      <c r="G1333" s="2" t="n">
        <f>HYPERLINK("https://patentcenter.uspto.gov/applications/16942035","Patent Center")</f>
        <v>0.0</v>
      </c>
      <c r="H1333" s="2" t="n">
        <f>HYPERLINK("https://worldwide.espacenet.com/patent/search?q=US20210378346","Espacenet")</f>
        <v>0.0</v>
      </c>
      <c r="I1333" s="2" t="n">
        <f>HYPERLINK("https://ppubs.uspto.gov/pubwebapp/external.html?q=20210378346.pn.","USPTO")</f>
        <v>0.0</v>
      </c>
      <c r="J1333" s="2" t="n">
        <f>HYPERLINK("https://image-ppubs.uspto.gov/dirsearch-public/print/downloadPdf/20210378346","USPTO PDF")</f>
        <v>0.0</v>
      </c>
      <c r="K1333" s="2" t="n">
        <f>HYPERLINK("https://sectors.patentforecast.com/pmd/US20210378346","PMD")</f>
        <v>0.0</v>
      </c>
      <c r="L1333" s="2" t="n">
        <f>HYPERLINK("https://globaldossier.uspto.gov/result/application/US/16942035/1","US20210378346")</f>
        <v>0.0</v>
      </c>
      <c r="M1333" t="s">
        <v>9148</v>
      </c>
      <c r="N1333" t="s">
        <v>9149</v>
      </c>
      <c r="O1333" t="s">
        <v>9149</v>
      </c>
      <c r="P1333" t="s">
        <v>9150</v>
      </c>
      <c r="Q1333" s="3" t="n">
        <v>44041.0</v>
      </c>
      <c r="R1333" s="3" t="n">
        <v>44539.0</v>
      </c>
      <c r="S1333" s="3" t="n">
        <v>44540.18878820602</v>
      </c>
      <c r="T1333" s="3" t="n">
        <v>44544.6218740625</v>
      </c>
      <c r="U1333" t="s">
        <v>9151</v>
      </c>
      <c r="V1333" t="s">
        <v>9152</v>
      </c>
    </row>
    <row r="1334">
      <c r="A1334" t="s">
        <v>22</v>
      </c>
      <c r="B1334" t="s">
        <v>9153</v>
      </c>
      <c r="C1334" t="s">
        <v>60</v>
      </c>
      <c r="D1334" t="s">
        <v>845</v>
      </c>
      <c r="E1334" t="s">
        <v>9154</v>
      </c>
      <c r="F1334" s="2" t="n">
        <f>HYPERLINK("https://patents.google.com/patent/US20210377130","Google")</f>
        <v>0.0</v>
      </c>
      <c r="G1334" s="2" t="n">
        <f>HYPERLINK("https://patentcenter.uspto.gov/applications/17404296","Patent Center")</f>
        <v>0.0</v>
      </c>
      <c r="H1334" s="2" t="n">
        <f>HYPERLINK("https://worldwide.espacenet.com/patent/search?q=US20210377130","Espacenet")</f>
        <v>0.0</v>
      </c>
      <c r="I1334" s="2" t="n">
        <f>HYPERLINK("https://ppubs.uspto.gov/pubwebapp/external.html?q=20210377130.pn.","USPTO")</f>
        <v>0.0</v>
      </c>
      <c r="J1334" s="2" t="n">
        <f>HYPERLINK("https://image-ppubs.uspto.gov/dirsearch-public/print/downloadPdf/20210377130","USPTO PDF")</f>
        <v>0.0</v>
      </c>
      <c r="K1334" s="2" t="n">
        <f>HYPERLINK("https://sectors.patentforecast.com/pmd/US20210377130","PMD")</f>
        <v>0.0</v>
      </c>
      <c r="L1334" s="2" t="n">
        <f>HYPERLINK("https://globaldossier.uspto.gov/result/application/US/17404296/1","US20210377130")</f>
        <v>0.0</v>
      </c>
      <c r="M1334" t="s">
        <v>9155</v>
      </c>
      <c r="N1334" t="s">
        <v>9156</v>
      </c>
      <c r="O1334" t="s">
        <v>9156</v>
      </c>
      <c r="P1334" t="s">
        <v>9157</v>
      </c>
      <c r="Q1334" s="3" t="n">
        <v>44425.0</v>
      </c>
      <c r="R1334" s="3" t="n">
        <v>44532.0</v>
      </c>
      <c r="S1334" s="3" t="n">
        <v>44533.189020798614</v>
      </c>
      <c r="T1334" s="3" t="n">
        <v>44544.60167527778</v>
      </c>
      <c r="U1334" t="s">
        <v>9158</v>
      </c>
      <c r="V1334" t="s">
        <v>9159</v>
      </c>
    </row>
    <row r="1335">
      <c r="A1335" t="s">
        <v>22</v>
      </c>
      <c r="B1335" t="s">
        <v>9160</v>
      </c>
      <c r="C1335" t="s">
        <v>24</v>
      </c>
      <c r="D1335" t="s">
        <v>1356</v>
      </c>
      <c r="E1335" t="s">
        <v>9161</v>
      </c>
      <c r="F1335" s="2" t="n">
        <f>HYPERLINK("https://patents.google.com/patent/US20210375485","Google")</f>
        <v>0.0</v>
      </c>
      <c r="G1335" s="2" t="n">
        <f>HYPERLINK("https://patentcenter.uspto.gov/applications/17333999","Patent Center")</f>
        <v>0.0</v>
      </c>
      <c r="H1335" s="2" t="n">
        <f>HYPERLINK("https://worldwide.espacenet.com/patent/search?q=US20210375485","Espacenet")</f>
        <v>0.0</v>
      </c>
      <c r="I1335" s="2" t="n">
        <f>HYPERLINK("https://ppubs.uspto.gov/pubwebapp/external.html?q=20210375485.pn.","USPTO")</f>
        <v>0.0</v>
      </c>
      <c r="J1335" s="2" t="n">
        <f>HYPERLINK("https://image-ppubs.uspto.gov/dirsearch-public/print/downloadPdf/20210375485","USPTO PDF")</f>
        <v>0.0</v>
      </c>
      <c r="K1335" s="2" t="n">
        <f>HYPERLINK("https://sectors.patentforecast.com/pmd/US20210375485","PMD")</f>
        <v>0.0</v>
      </c>
      <c r="L1335" s="2" t="n">
        <f>HYPERLINK("https://globaldossier.uspto.gov/result/application/US/17333999/1","US20210375485")</f>
        <v>0.0</v>
      </c>
      <c r="M1335" t="s">
        <v>9162</v>
      </c>
      <c r="N1335" t="s">
        <v>9163</v>
      </c>
      <c r="O1335" t="s">
        <v>9164</v>
      </c>
      <c r="P1335" t="s">
        <v>9165</v>
      </c>
      <c r="Q1335" s="3" t="n">
        <v>44344.0</v>
      </c>
      <c r="R1335" s="3" t="n">
        <v>44532.0</v>
      </c>
      <c r="S1335" s="3" t="n">
        <v>44533.189020798614</v>
      </c>
      <c r="T1335" s="3" t="n">
        <v>44544.61470158565</v>
      </c>
      <c r="U1335" t="s">
        <v>9166</v>
      </c>
      <c r="V1335" t="s">
        <v>9167</v>
      </c>
    </row>
    <row r="1336">
      <c r="A1336" t="s">
        <v>22</v>
      </c>
      <c r="B1336" t="s">
        <v>9168</v>
      </c>
      <c r="C1336" t="s">
        <v>24</v>
      </c>
      <c r="D1336" t="s">
        <v>43</v>
      </c>
      <c r="E1336" t="s">
        <v>9169</v>
      </c>
      <c r="F1336" s="2" t="n">
        <f>HYPERLINK("https://patents.google.com/patent/US20210375484","Google")</f>
        <v>0.0</v>
      </c>
      <c r="G1336" s="2" t="n">
        <f>HYPERLINK("https://patentcenter.uspto.gov/applications/17333123","Patent Center")</f>
        <v>0.0</v>
      </c>
      <c r="H1336" s="2" t="n">
        <f>HYPERLINK("https://worldwide.espacenet.com/patent/search?q=US20210375484","Espacenet")</f>
        <v>0.0</v>
      </c>
      <c r="I1336" s="2" t="n">
        <f>HYPERLINK("https://ppubs.uspto.gov/pubwebapp/external.html?q=20210375484.pn.","USPTO")</f>
        <v>0.0</v>
      </c>
      <c r="J1336" s="2" t="n">
        <f>HYPERLINK("https://image-ppubs.uspto.gov/dirsearch-public/print/downloadPdf/20210375484","USPTO PDF")</f>
        <v>0.0</v>
      </c>
      <c r="K1336" s="2" t="n">
        <f>HYPERLINK("https://sectors.patentforecast.com/pmd/US20210375484","PMD")</f>
        <v>0.0</v>
      </c>
      <c r="L1336" s="2" t="n">
        <f>HYPERLINK("https://globaldossier.uspto.gov/result/application/US/17333123/1","US20210375484")</f>
        <v>0.0</v>
      </c>
      <c r="M1336" t="s">
        <v>9170</v>
      </c>
      <c r="N1336" t="s">
        <v>9171</v>
      </c>
      <c r="O1336" t="s">
        <v>9172</v>
      </c>
      <c r="P1336" t="s">
        <v>9173</v>
      </c>
      <c r="Q1336" s="3" t="n">
        <v>44344.0</v>
      </c>
      <c r="R1336" s="3" t="n">
        <v>44532.0</v>
      </c>
      <c r="S1336" s="3" t="n">
        <v>44533.189020798614</v>
      </c>
      <c r="T1336" s="3" t="n">
        <v>44544.59411511574</v>
      </c>
      <c r="U1336" t="s">
        <v>9174</v>
      </c>
      <c r="V1336" t="s">
        <v>9175</v>
      </c>
    </row>
    <row r="1337">
      <c r="A1337" t="s">
        <v>22</v>
      </c>
      <c r="B1337" t="s">
        <v>9176</v>
      </c>
      <c r="C1337" t="s">
        <v>24</v>
      </c>
      <c r="D1337" t="s">
        <v>43</v>
      </c>
      <c r="E1337" t="s">
        <v>9177</v>
      </c>
      <c r="F1337" s="2" t="n">
        <f>HYPERLINK("https://patents.google.com/patent/US20210375483","Google")</f>
        <v>0.0</v>
      </c>
      <c r="G1337" s="2" t="n">
        <f>HYPERLINK("https://patentcenter.uspto.gov/applications/17332502","Patent Center")</f>
        <v>0.0</v>
      </c>
      <c r="H1337" s="2" t="n">
        <f>HYPERLINK("https://worldwide.espacenet.com/patent/search?q=US20210375483","Espacenet")</f>
        <v>0.0</v>
      </c>
      <c r="I1337" s="2" t="n">
        <f>HYPERLINK("https://ppubs.uspto.gov/pubwebapp/external.html?q=20210375483.pn.","USPTO")</f>
        <v>0.0</v>
      </c>
      <c r="J1337" s="2" t="n">
        <f>HYPERLINK("https://image-ppubs.uspto.gov/dirsearch-public/print/downloadPdf/20210375483","USPTO PDF")</f>
        <v>0.0</v>
      </c>
      <c r="K1337" s="2" t="n">
        <f>HYPERLINK("https://sectors.patentforecast.com/pmd/US20210375483","PMD")</f>
        <v>0.0</v>
      </c>
      <c r="L1337" s="2" t="n">
        <f>HYPERLINK("https://globaldossier.uspto.gov/result/application/US/17332502/1","US20210375483")</f>
        <v>0.0</v>
      </c>
      <c r="M1337" t="s">
        <v>9178</v>
      </c>
      <c r="N1337" t="s">
        <v>9179</v>
      </c>
      <c r="O1337" t="s">
        <v>9180</v>
      </c>
      <c r="P1337" t="s">
        <v>9181</v>
      </c>
      <c r="Q1337" s="3" t="n">
        <v>44343.0</v>
      </c>
      <c r="R1337" s="3" t="n">
        <v>44532.0</v>
      </c>
      <c r="S1337" s="3" t="n">
        <v>44538.19235537037</v>
      </c>
      <c r="T1337" s="3" t="n">
        <v>44543.70991792824</v>
      </c>
      <c r="U1337" t="s">
        <v>9182</v>
      </c>
      <c r="V1337" t="s">
        <v>9183</v>
      </c>
    </row>
    <row r="1338">
      <c r="A1338" t="s">
        <v>22</v>
      </c>
      <c r="B1338" t="s">
        <v>9184</v>
      </c>
      <c r="C1338" t="s">
        <v>24</v>
      </c>
      <c r="D1338" t="s">
        <v>25</v>
      </c>
      <c r="E1338" t="s">
        <v>9185</v>
      </c>
      <c r="F1338" s="2" t="n">
        <f>HYPERLINK("https://patents.google.com/patent/US20210375482","Google")</f>
        <v>0.0</v>
      </c>
      <c r="G1338" s="2" t="n">
        <f>HYPERLINK("https://patentcenter.uspto.gov/applications/17322582","Patent Center")</f>
        <v>0.0</v>
      </c>
      <c r="H1338" s="2" t="n">
        <f>HYPERLINK("https://worldwide.espacenet.com/patent/search?q=US20210375482","Espacenet")</f>
        <v>0.0</v>
      </c>
      <c r="I1338" s="2" t="n">
        <f>HYPERLINK("https://ppubs.uspto.gov/pubwebapp/external.html?q=20210375482.pn.","USPTO")</f>
        <v>0.0</v>
      </c>
      <c r="J1338" s="2" t="n">
        <f>HYPERLINK("https://image-ppubs.uspto.gov/dirsearch-public/print/downloadPdf/20210375482","USPTO PDF")</f>
        <v>0.0</v>
      </c>
      <c r="K1338" s="2" t="n">
        <f>HYPERLINK("https://sectors.patentforecast.com/pmd/US20210375482","PMD")</f>
        <v>0.0</v>
      </c>
      <c r="L1338" s="2" t="n">
        <f>HYPERLINK("https://globaldossier.uspto.gov/result/application/US/17322582/1","US20210375482")</f>
        <v>0.0</v>
      </c>
      <c r="M1338" t="s">
        <v>9186</v>
      </c>
      <c r="N1338" t="s">
        <v>9187</v>
      </c>
      <c r="O1338" t="s">
        <v>9188</v>
      </c>
      <c r="P1338" t="s">
        <v>9189</v>
      </c>
      <c r="Q1338" s="3" t="n">
        <v>44333.0</v>
      </c>
      <c r="R1338" s="3" t="n">
        <v>44532.0</v>
      </c>
      <c r="S1338" s="3" t="n">
        <v>44538.19235537037</v>
      </c>
      <c r="T1338" s="3" t="n">
        <v>44543.70804377315</v>
      </c>
      <c r="U1338" t="s">
        <v>9190</v>
      </c>
      <c r="V1338" t="s">
        <v>9191</v>
      </c>
    </row>
    <row r="1339">
      <c r="A1339" t="s">
        <v>22</v>
      </c>
      <c r="B1339" t="s">
        <v>9192</v>
      </c>
      <c r="C1339" t="s">
        <v>24</v>
      </c>
      <c r="D1339" t="s">
        <v>43</v>
      </c>
      <c r="E1339" t="s">
        <v>9193</v>
      </c>
      <c r="F1339" s="2" t="n">
        <f>HYPERLINK("https://patents.google.com/patent/US20210375481","Google")</f>
        <v>0.0</v>
      </c>
      <c r="G1339" s="2" t="n">
        <f>HYPERLINK("https://patentcenter.uspto.gov/applications/16886234","Patent Center")</f>
        <v>0.0</v>
      </c>
      <c r="H1339" s="2" t="n">
        <f>HYPERLINK("https://worldwide.espacenet.com/patent/search?q=US20210375481","Espacenet")</f>
        <v>0.0</v>
      </c>
      <c r="I1339" s="2" t="n">
        <f>HYPERLINK("https://ppubs.uspto.gov/pubwebapp/external.html?q=20210375481.pn.","USPTO")</f>
        <v>0.0</v>
      </c>
      <c r="J1339" s="2" t="n">
        <f>HYPERLINK("https://image-ppubs.uspto.gov/dirsearch-public/print/downloadPdf/20210375481","USPTO PDF")</f>
        <v>0.0</v>
      </c>
      <c r="K1339" s="2" t="n">
        <f>HYPERLINK("https://sectors.patentforecast.com/pmd/US20210375481","PMD")</f>
        <v>0.0</v>
      </c>
      <c r="L1339" s="2" t="n">
        <f>HYPERLINK("https://globaldossier.uspto.gov/result/application/US/16886234/1","US20210375481")</f>
        <v>0.0</v>
      </c>
      <c r="M1339" t="s">
        <v>9194</v>
      </c>
      <c r="N1339" t="s">
        <v>9195</v>
      </c>
      <c r="O1339" t="s">
        <v>9196</v>
      </c>
      <c r="P1339" t="s">
        <v>9197</v>
      </c>
      <c r="Q1339" s="3" t="n">
        <v>43979.0</v>
      </c>
      <c r="R1339" s="3" t="n">
        <v>44532.0</v>
      </c>
      <c r="S1339" s="3" t="n">
        <v>44533.189020798614</v>
      </c>
      <c r="T1339" s="3" t="n">
        <v>44544.57505806713</v>
      </c>
      <c r="U1339" t="s">
        <v>9198</v>
      </c>
      <c r="V1339" t="s">
        <v>9199</v>
      </c>
    </row>
    <row r="1340">
      <c r="A1340" t="s">
        <v>22</v>
      </c>
      <c r="B1340" t="s">
        <v>9200</v>
      </c>
      <c r="C1340" t="s">
        <v>24</v>
      </c>
      <c r="D1340" t="s">
        <v>204</v>
      </c>
      <c r="E1340" t="s">
        <v>9201</v>
      </c>
      <c r="F1340" s="2" t="n">
        <f>HYPERLINK("https://patents.google.com/patent/US20210375469","Google")</f>
        <v>0.0</v>
      </c>
      <c r="G1340" s="2" t="n">
        <f>HYPERLINK("https://patentcenter.uspto.gov/applications/17332759","Patent Center")</f>
        <v>0.0</v>
      </c>
      <c r="H1340" s="2" t="n">
        <f>HYPERLINK("https://worldwide.espacenet.com/patent/search?q=US20210375469","Espacenet")</f>
        <v>0.0</v>
      </c>
      <c r="I1340" s="2" t="n">
        <f>HYPERLINK("https://ppubs.uspto.gov/pubwebapp/external.html?q=20210375469.pn.","USPTO")</f>
        <v>0.0</v>
      </c>
      <c r="J1340" s="2" t="n">
        <f>HYPERLINK("https://image-ppubs.uspto.gov/dirsearch-public/print/downloadPdf/20210375469","USPTO PDF")</f>
        <v>0.0</v>
      </c>
      <c r="K1340" s="2" t="n">
        <f>HYPERLINK("https://sectors.patentforecast.com/pmd/US20210375469","PMD")</f>
        <v>0.0</v>
      </c>
      <c r="L1340" s="2" t="n">
        <f>HYPERLINK("https://globaldossier.uspto.gov/result/application/US/17332759/1","US20210375469")</f>
        <v>0.0</v>
      </c>
      <c r="M1340" t="s">
        <v>9202</v>
      </c>
      <c r="N1340" t="s">
        <v>9203</v>
      </c>
      <c r="O1340" t="s">
        <v>9204</v>
      </c>
      <c r="P1340" t="s">
        <v>9205</v>
      </c>
      <c r="Q1340" s="3" t="n">
        <v>44343.0</v>
      </c>
      <c r="R1340" s="3" t="n">
        <v>44532.0</v>
      </c>
      <c r="S1340" s="3" t="n">
        <v>44533.189020798614</v>
      </c>
      <c r="T1340" s="3" t="n">
        <v>44544.61512682871</v>
      </c>
      <c r="U1340" t="s">
        <v>9206</v>
      </c>
      <c r="V1340" t="s">
        <v>9207</v>
      </c>
    </row>
    <row r="1341">
      <c r="A1341" t="s">
        <v>22</v>
      </c>
      <c r="B1341" t="s">
        <v>9208</v>
      </c>
      <c r="C1341" t="s">
        <v>24</v>
      </c>
      <c r="D1341" t="s">
        <v>25</v>
      </c>
      <c r="E1341" t="s">
        <v>9209</v>
      </c>
      <c r="F1341" s="2" t="n">
        <f>HYPERLINK("https://patents.google.com/patent/US20210375462","Google")</f>
        <v>0.0</v>
      </c>
      <c r="G1341" s="2" t="n">
        <f>HYPERLINK("https://patentcenter.uspto.gov/applications/17337142","Patent Center")</f>
        <v>0.0</v>
      </c>
      <c r="H1341" s="2" t="n">
        <f>HYPERLINK("https://worldwide.espacenet.com/patent/search?q=US20210375462","Espacenet")</f>
        <v>0.0</v>
      </c>
      <c r="I1341" s="2" t="n">
        <f>HYPERLINK("https://ppubs.uspto.gov/pubwebapp/external.html?q=20210375462.pn.","USPTO")</f>
        <v>0.0</v>
      </c>
      <c r="J1341" s="2" t="n">
        <f>HYPERLINK("https://image-ppubs.uspto.gov/dirsearch-public/print/downloadPdf/20210375462","USPTO PDF")</f>
        <v>0.0</v>
      </c>
      <c r="K1341" s="2" t="n">
        <f>HYPERLINK("https://sectors.patentforecast.com/pmd/US20210375462","PMD")</f>
        <v>0.0</v>
      </c>
      <c r="L1341" s="2" t="n">
        <f>HYPERLINK("https://globaldossier.uspto.gov/result/application/US/17337142/1","US20210375462")</f>
        <v>0.0</v>
      </c>
      <c r="M1341" t="s">
        <v>9210</v>
      </c>
      <c r="N1341" t="s">
        <v>9211</v>
      </c>
      <c r="O1341" t="s">
        <v>9212</v>
      </c>
      <c r="P1341" t="s">
        <v>9213</v>
      </c>
      <c r="Q1341" s="3" t="n">
        <v>44349.0</v>
      </c>
      <c r="R1341" s="3" t="n">
        <v>44532.0</v>
      </c>
      <c r="S1341" s="3" t="n">
        <v>44533.189020798614</v>
      </c>
      <c r="T1341" s="3" t="n">
        <v>44544.589257974534</v>
      </c>
      <c r="U1341" t="s">
        <v>9214</v>
      </c>
      <c r="V1341" t="s">
        <v>9215</v>
      </c>
    </row>
    <row r="1342">
      <c r="A1342" t="s">
        <v>22</v>
      </c>
      <c r="B1342" t="s">
        <v>9216</v>
      </c>
      <c r="C1342" t="s">
        <v>24</v>
      </c>
      <c r="D1342" t="s">
        <v>43</v>
      </c>
      <c r="E1342" t="s">
        <v>9177</v>
      </c>
      <c r="F1342" s="2" t="n">
        <f>HYPERLINK("https://patents.google.com/patent/US20210375451","Google")</f>
        <v>0.0</v>
      </c>
      <c r="G1342" s="2" t="n">
        <f>HYPERLINK("https://patentcenter.uspto.gov/applications/17325921","Patent Center")</f>
        <v>0.0</v>
      </c>
      <c r="H1342" s="2" t="n">
        <f>HYPERLINK("https://worldwide.espacenet.com/patent/search?q=US20210375451","Espacenet")</f>
        <v>0.0</v>
      </c>
      <c r="I1342" s="2" t="n">
        <f>HYPERLINK("https://ppubs.uspto.gov/pubwebapp/external.html?q=20210375451.pn.","USPTO")</f>
        <v>0.0</v>
      </c>
      <c r="J1342" s="2" t="n">
        <f>HYPERLINK("https://image-ppubs.uspto.gov/dirsearch-public/print/downloadPdf/20210375451","USPTO PDF")</f>
        <v>0.0</v>
      </c>
      <c r="K1342" s="2" t="n">
        <f>HYPERLINK("https://sectors.patentforecast.com/pmd/US20210375451","PMD")</f>
        <v>0.0</v>
      </c>
      <c r="L1342" s="2" t="n">
        <f>HYPERLINK("https://globaldossier.uspto.gov/result/application/US/17325921/1","US20210375451")</f>
        <v>0.0</v>
      </c>
      <c r="M1342" t="s">
        <v>9217</v>
      </c>
      <c r="N1342" t="s">
        <v>9179</v>
      </c>
      <c r="O1342" t="s">
        <v>9180</v>
      </c>
      <c r="P1342" t="s">
        <v>9181</v>
      </c>
      <c r="Q1342" s="3" t="n">
        <v>44336.0</v>
      </c>
      <c r="R1342" s="3" t="n">
        <v>44532.0</v>
      </c>
      <c r="S1342" s="3" t="n">
        <v>44540.19735166667</v>
      </c>
      <c r="T1342" s="3" t="n">
        <v>44544.62602758102</v>
      </c>
      <c r="U1342" t="s">
        <v>9218</v>
      </c>
      <c r="V1342" t="s">
        <v>9219</v>
      </c>
    </row>
    <row r="1343">
      <c r="A1343" t="s">
        <v>22</v>
      </c>
      <c r="B1343" t="s">
        <v>9220</v>
      </c>
      <c r="C1343" t="s">
        <v>24</v>
      </c>
      <c r="D1343" t="s">
        <v>69</v>
      </c>
      <c r="E1343" t="s">
        <v>9221</v>
      </c>
      <c r="F1343" s="2" t="n">
        <f>HYPERLINK("https://patents.google.com/patent/US20210375268","Google")</f>
        <v>0.0</v>
      </c>
      <c r="G1343" s="2" t="n">
        <f>HYPERLINK("https://patentcenter.uspto.gov/applications/17332751","Patent Center")</f>
        <v>0.0</v>
      </c>
      <c r="H1343" s="2" t="n">
        <f>HYPERLINK("https://worldwide.espacenet.com/patent/search?q=US20210375268","Espacenet")</f>
        <v>0.0</v>
      </c>
      <c r="I1343" s="2" t="n">
        <f>HYPERLINK("https://ppubs.uspto.gov/pubwebapp/external.html?q=20210375268.pn.","USPTO")</f>
        <v>0.0</v>
      </c>
      <c r="J1343" s="2" t="n">
        <f>HYPERLINK("https://image-ppubs.uspto.gov/dirsearch-public/print/downloadPdf/20210375268","USPTO PDF")</f>
        <v>0.0</v>
      </c>
      <c r="K1343" s="2" t="n">
        <f>HYPERLINK("https://sectors.patentforecast.com/pmd/US20210375268","PMD")</f>
        <v>0.0</v>
      </c>
      <c r="L1343" s="2" t="n">
        <f>HYPERLINK("https://globaldossier.uspto.gov/result/application/US/17332751/1","US20210375268")</f>
        <v>0.0</v>
      </c>
      <c r="M1343" t="s">
        <v>9222</v>
      </c>
      <c r="N1343" t="s">
        <v>9223</v>
      </c>
      <c r="O1343" t="s">
        <v>9223</v>
      </c>
      <c r="P1343" t="s">
        <v>9224</v>
      </c>
      <c r="Q1343" s="3" t="n">
        <v>44343.0</v>
      </c>
      <c r="R1343" s="3" t="n">
        <v>44532.0</v>
      </c>
      <c r="S1343" s="3" t="n">
        <v>44533.189020798614</v>
      </c>
      <c r="T1343" s="3" t="n">
        <v>44544.59577478009</v>
      </c>
      <c r="U1343" t="s">
        <v>9225</v>
      </c>
      <c r="V1343" t="s">
        <v>9226</v>
      </c>
    </row>
    <row r="1344">
      <c r="A1344" t="s">
        <v>22</v>
      </c>
      <c r="B1344" t="s">
        <v>9227</v>
      </c>
      <c r="C1344" t="s">
        <v>24</v>
      </c>
      <c r="D1344" t="s">
        <v>25</v>
      </c>
      <c r="E1344" t="s">
        <v>9228</v>
      </c>
      <c r="F1344" s="2" t="n">
        <f>HYPERLINK("https://patents.google.com/patent/US20210374631","Google")</f>
        <v>0.0</v>
      </c>
      <c r="G1344" s="2" t="n">
        <f>HYPERLINK("https://patentcenter.uspto.gov/applications/17326163","Patent Center")</f>
        <v>0.0</v>
      </c>
      <c r="H1344" s="2" t="n">
        <f>HYPERLINK("https://worldwide.espacenet.com/patent/search?q=US20210374631","Espacenet")</f>
        <v>0.0</v>
      </c>
      <c r="I1344" s="2" t="n">
        <f>HYPERLINK("https://ppubs.uspto.gov/pubwebapp/external.html?q=20210374631.pn.","USPTO")</f>
        <v>0.0</v>
      </c>
      <c r="J1344" s="2" t="n">
        <f>HYPERLINK("https://image-ppubs.uspto.gov/dirsearch-public/print/downloadPdf/20210374631","USPTO PDF")</f>
        <v>0.0</v>
      </c>
      <c r="K1344" s="2" t="n">
        <f>HYPERLINK("https://sectors.patentforecast.com/pmd/US20210374631","PMD")</f>
        <v>0.0</v>
      </c>
      <c r="L1344" s="2" t="n">
        <f>HYPERLINK("https://globaldossier.uspto.gov/result/application/US/17326163/1","US20210374631")</f>
        <v>0.0</v>
      </c>
      <c r="M1344" t="s">
        <v>9229</v>
      </c>
      <c r="N1344" t="s">
        <v>9230</v>
      </c>
      <c r="O1344" t="s">
        <v>9231</v>
      </c>
      <c r="P1344" t="s">
        <v>9232</v>
      </c>
      <c r="Q1344" s="3" t="n">
        <v>44336.0</v>
      </c>
      <c r="R1344" s="3" t="n">
        <v>44532.0</v>
      </c>
      <c r="S1344" s="3" t="n">
        <v>44538.19235537037</v>
      </c>
      <c r="T1344" s="3" t="n">
        <v>44543.70822958333</v>
      </c>
      <c r="U1344" t="s">
        <v>9233</v>
      </c>
      <c r="V1344" t="s">
        <v>9234</v>
      </c>
    </row>
    <row r="1345">
      <c r="A1345" t="s">
        <v>22</v>
      </c>
      <c r="B1345" t="s">
        <v>9235</v>
      </c>
      <c r="C1345" t="s">
        <v>24</v>
      </c>
      <c r="D1345" t="s">
        <v>69</v>
      </c>
      <c r="E1345" t="s">
        <v>9236</v>
      </c>
      <c r="F1345" s="2" t="n">
        <f>HYPERLINK("https://patents.google.com/patent/US20210373850","Google")</f>
        <v>0.0</v>
      </c>
      <c r="G1345" s="2" t="n">
        <f>HYPERLINK("https://patentcenter.uspto.gov/applications/17329857","Patent Center")</f>
        <v>0.0</v>
      </c>
      <c r="H1345" s="2" t="n">
        <f>HYPERLINK("https://worldwide.espacenet.com/patent/search?q=US20210373850","Espacenet")</f>
        <v>0.0</v>
      </c>
      <c r="I1345" s="2" t="n">
        <f>HYPERLINK("https://ppubs.uspto.gov/pubwebapp/external.html?q=20210373850.pn.","USPTO")</f>
        <v>0.0</v>
      </c>
      <c r="J1345" s="2" t="n">
        <f>HYPERLINK("https://image-ppubs.uspto.gov/dirsearch-public/print/downloadPdf/20210373850","USPTO PDF")</f>
        <v>0.0</v>
      </c>
      <c r="K1345" s="2" t="n">
        <f>HYPERLINK("https://sectors.patentforecast.com/pmd/US20210373850","PMD")</f>
        <v>0.0</v>
      </c>
      <c r="L1345" s="2" t="n">
        <f>HYPERLINK("https://globaldossier.uspto.gov/result/application/US/17329857/1","US20210373850")</f>
        <v>0.0</v>
      </c>
      <c r="M1345" t="s">
        <v>9237</v>
      </c>
      <c r="N1345" t="s">
        <v>9238</v>
      </c>
      <c r="O1345" t="s">
        <v>9239</v>
      </c>
      <c r="P1345" t="s">
        <v>9240</v>
      </c>
      <c r="Q1345" s="3" t="n">
        <v>44341.0</v>
      </c>
      <c r="R1345" s="3" t="n">
        <v>44532.0</v>
      </c>
      <c r="S1345" s="3" t="n">
        <v>44533.189020798614</v>
      </c>
      <c r="T1345" s="3" t="n">
        <v>44544.59592748842</v>
      </c>
      <c r="U1345" t="s">
        <v>9241</v>
      </c>
      <c r="V1345" t="s">
        <v>9242</v>
      </c>
    </row>
    <row r="1346">
      <c r="A1346" t="s">
        <v>22</v>
      </c>
      <c r="B1346" t="s">
        <v>9243</v>
      </c>
      <c r="C1346" t="s">
        <v>24</v>
      </c>
      <c r="D1346" t="s">
        <v>100</v>
      </c>
      <c r="E1346" t="s">
        <v>9244</v>
      </c>
      <c r="F1346" s="2" t="n">
        <f>HYPERLINK("https://patents.google.com/patent/US20210373519","Google")</f>
        <v>0.0</v>
      </c>
      <c r="G1346" s="2" t="n">
        <f>HYPERLINK("https://patentcenter.uspto.gov/applications/17403669","Patent Center")</f>
        <v>0.0</v>
      </c>
      <c r="H1346" s="2" t="n">
        <f>HYPERLINK("https://worldwide.espacenet.com/patent/search?q=US20210373519","Espacenet")</f>
        <v>0.0</v>
      </c>
      <c r="I1346" s="2" t="n">
        <f>HYPERLINK("https://ppubs.uspto.gov/pubwebapp/external.html?q=20210373519.pn.","USPTO")</f>
        <v>0.0</v>
      </c>
      <c r="J1346" s="2" t="n">
        <f>HYPERLINK("https://image-ppubs.uspto.gov/dirsearch-public/print/downloadPdf/20210373519","USPTO PDF")</f>
        <v>0.0</v>
      </c>
      <c r="K1346" s="2" t="n">
        <f>HYPERLINK("https://sectors.patentforecast.com/pmd/US20210373519","PMD")</f>
        <v>0.0</v>
      </c>
      <c r="L1346" s="2" t="n">
        <f>HYPERLINK("https://globaldossier.uspto.gov/result/application/US/17403669/1","US20210373519")</f>
        <v>0.0</v>
      </c>
      <c r="M1346" t="s">
        <v>9245</v>
      </c>
      <c r="N1346" t="s">
        <v>1520</v>
      </c>
      <c r="O1346" t="s">
        <v>1521</v>
      </c>
      <c r="P1346" t="s">
        <v>9246</v>
      </c>
      <c r="Q1346" s="3" t="n">
        <v>44424.0</v>
      </c>
      <c r="R1346" s="3" t="n">
        <v>44532.0</v>
      </c>
      <c r="S1346" s="3" t="n">
        <v>44533.189020798614</v>
      </c>
      <c r="T1346" s="3" t="n">
        <v>44544.61059101852</v>
      </c>
      <c r="U1346" t="s">
        <v>9247</v>
      </c>
      <c r="V1346" t="s">
        <v>9248</v>
      </c>
    </row>
    <row r="1347">
      <c r="A1347" t="s">
        <v>22</v>
      </c>
      <c r="B1347" t="s">
        <v>9249</v>
      </c>
      <c r="C1347" t="s">
        <v>24</v>
      </c>
      <c r="D1347" t="s">
        <v>187</v>
      </c>
      <c r="E1347" t="s">
        <v>9250</v>
      </c>
      <c r="F1347" s="2" t="n">
        <f>HYPERLINK("https://patents.google.com/patent/US20210373034","Google")</f>
        <v>0.0</v>
      </c>
      <c r="G1347" s="2" t="n">
        <f>HYPERLINK("https://patentcenter.uspto.gov/applications/17351055","Patent Center")</f>
        <v>0.0</v>
      </c>
      <c r="H1347" s="2" t="n">
        <f>HYPERLINK("https://worldwide.espacenet.com/patent/search?q=US20210373034","Espacenet")</f>
        <v>0.0</v>
      </c>
      <c r="I1347" s="2" t="n">
        <f>HYPERLINK("https://ppubs.uspto.gov/pubwebapp/external.html?q=20210373034.pn.","USPTO")</f>
        <v>0.0</v>
      </c>
      <c r="J1347" s="2" t="n">
        <f>HYPERLINK("https://image-ppubs.uspto.gov/dirsearch-public/print/downloadPdf/20210373034","USPTO PDF")</f>
        <v>0.0</v>
      </c>
      <c r="K1347" s="2" t="n">
        <f>HYPERLINK("https://sectors.patentforecast.com/pmd/US20210373034","PMD")</f>
        <v>0.0</v>
      </c>
      <c r="L1347" s="2" t="n">
        <f>HYPERLINK("https://globaldossier.uspto.gov/result/application/US/17351055/1","US20210373034")</f>
        <v>0.0</v>
      </c>
      <c r="M1347" t="s">
        <v>9251</v>
      </c>
      <c r="N1347" t="s">
        <v>9252</v>
      </c>
      <c r="O1347" t="s">
        <v>9253</v>
      </c>
      <c r="P1347" t="s">
        <v>9254</v>
      </c>
      <c r="Q1347" s="3" t="n">
        <v>44364.0</v>
      </c>
      <c r="R1347" s="3" t="n">
        <v>44532.0</v>
      </c>
      <c r="S1347" s="3" t="n">
        <v>44533.189020798614</v>
      </c>
      <c r="T1347" s="3" t="n">
        <v>44544.59741365741</v>
      </c>
      <c r="U1347" t="s">
        <v>9255</v>
      </c>
      <c r="V1347" t="s">
        <v>9256</v>
      </c>
    </row>
    <row r="1348">
      <c r="A1348" t="s">
        <v>22</v>
      </c>
      <c r="B1348" t="s">
        <v>9257</v>
      </c>
      <c r="C1348" t="s">
        <v>60</v>
      </c>
      <c r="D1348" t="s">
        <v>77</v>
      </c>
      <c r="E1348" t="s">
        <v>9258</v>
      </c>
      <c r="F1348" s="2" t="n">
        <f>HYPERLINK("https://patents.google.com/patent/US20210373020","Google")</f>
        <v>0.0</v>
      </c>
      <c r="G1348" s="2" t="n">
        <f>HYPERLINK("https://patentcenter.uspto.gov/applications/17337022","Patent Center")</f>
        <v>0.0</v>
      </c>
      <c r="H1348" s="2" t="n">
        <f>HYPERLINK("https://worldwide.espacenet.com/patent/search?q=US20210373020","Espacenet")</f>
        <v>0.0</v>
      </c>
      <c r="I1348" s="2" t="n">
        <f>HYPERLINK("https://ppubs.uspto.gov/pubwebapp/external.html?q=20210373020.pn.","USPTO")</f>
        <v>0.0</v>
      </c>
      <c r="J1348" s="2" t="n">
        <f>HYPERLINK("https://image-ppubs.uspto.gov/dirsearch-public/print/downloadPdf/20210373020","USPTO PDF")</f>
        <v>0.0</v>
      </c>
      <c r="K1348" s="2" t="n">
        <f>HYPERLINK("https://sectors.patentforecast.com/pmd/US20210373020","PMD")</f>
        <v>0.0</v>
      </c>
      <c r="L1348" s="2" t="n">
        <f>HYPERLINK("https://globaldossier.uspto.gov/result/application/US/17337022/1","US20210373020")</f>
        <v>0.0</v>
      </c>
      <c r="M1348" t="s">
        <v>9259</v>
      </c>
      <c r="N1348" t="s">
        <v>979</v>
      </c>
      <c r="O1348" t="s">
        <v>980</v>
      </c>
      <c r="P1348" t="s">
        <v>9260</v>
      </c>
      <c r="Q1348" s="3" t="n">
        <v>44349.0</v>
      </c>
      <c r="R1348" s="3" t="n">
        <v>44532.0</v>
      </c>
      <c r="S1348" s="3" t="n">
        <v>44533.189020798614</v>
      </c>
      <c r="T1348" s="3" t="n">
        <v>44544.57590824074</v>
      </c>
      <c r="U1348" t="s">
        <v>9261</v>
      </c>
      <c r="V1348" t="s">
        <v>9262</v>
      </c>
    </row>
    <row r="1349">
      <c r="A1349" t="s">
        <v>22</v>
      </c>
      <c r="B1349" t="s">
        <v>9263</v>
      </c>
      <c r="C1349" t="s">
        <v>24</v>
      </c>
      <c r="D1349" t="s">
        <v>34</v>
      </c>
      <c r="E1349" t="s">
        <v>9258</v>
      </c>
      <c r="F1349" s="2" t="n">
        <f>HYPERLINK("https://patents.google.com/patent/US20210373019","Google")</f>
        <v>0.0</v>
      </c>
      <c r="G1349" s="2" t="n">
        <f>HYPERLINK("https://patentcenter.uspto.gov/applications/17336443","Patent Center")</f>
        <v>0.0</v>
      </c>
      <c r="H1349" s="2" t="n">
        <f>HYPERLINK("https://worldwide.espacenet.com/patent/search?q=US20210373019","Espacenet")</f>
        <v>0.0</v>
      </c>
      <c r="I1349" s="2" t="n">
        <f>HYPERLINK("https://ppubs.uspto.gov/pubwebapp/external.html?q=20210373019.pn.","USPTO")</f>
        <v>0.0</v>
      </c>
      <c r="J1349" s="2" t="n">
        <f>HYPERLINK("https://image-ppubs.uspto.gov/dirsearch-public/print/downloadPdf/20210373019","USPTO PDF")</f>
        <v>0.0</v>
      </c>
      <c r="K1349" s="2" t="n">
        <f>HYPERLINK("https://sectors.patentforecast.com/pmd/US20210373019","PMD")</f>
        <v>0.0</v>
      </c>
      <c r="L1349" s="2" t="n">
        <f>HYPERLINK("https://globaldossier.uspto.gov/result/application/US/17336443/1","US20210373019")</f>
        <v>0.0</v>
      </c>
      <c r="M1349" t="s">
        <v>9264</v>
      </c>
      <c r="N1349" t="s">
        <v>979</v>
      </c>
      <c r="O1349" t="s">
        <v>980</v>
      </c>
      <c r="P1349" t="s">
        <v>9260</v>
      </c>
      <c r="Q1349" s="3" t="n">
        <v>44349.0</v>
      </c>
      <c r="R1349" s="3" t="n">
        <v>44532.0</v>
      </c>
      <c r="S1349" s="3" t="n">
        <v>44533.189020798614</v>
      </c>
      <c r="T1349" s="3" t="n">
        <v>44544.5794853125</v>
      </c>
      <c r="U1349" t="s">
        <v>9265</v>
      </c>
      <c r="V1349" t="s">
        <v>9266</v>
      </c>
    </row>
    <row r="1350">
      <c r="A1350" t="s">
        <v>22</v>
      </c>
      <c r="B1350" t="s">
        <v>9267</v>
      </c>
      <c r="C1350" t="s">
        <v>24</v>
      </c>
      <c r="D1350" t="s">
        <v>51</v>
      </c>
      <c r="E1350" t="s">
        <v>9268</v>
      </c>
      <c r="F1350" s="2" t="n">
        <f>HYPERLINK("https://patents.google.com/patent/US20210373018","Google")</f>
        <v>0.0</v>
      </c>
      <c r="G1350" s="2" t="n">
        <f>HYPERLINK("https://patentcenter.uspto.gov/applications/17244129","Patent Center")</f>
        <v>0.0</v>
      </c>
      <c r="H1350" s="2" t="n">
        <f>HYPERLINK("https://worldwide.espacenet.com/patent/search?q=US20210373018","Espacenet")</f>
        <v>0.0</v>
      </c>
      <c r="I1350" s="2" t="n">
        <f>HYPERLINK("https://ppubs.uspto.gov/pubwebapp/external.html?q=20210373018.pn.","USPTO")</f>
        <v>0.0</v>
      </c>
      <c r="J1350" s="2" t="n">
        <f>HYPERLINK("https://image-ppubs.uspto.gov/dirsearch-public/print/downloadPdf/20210373018","USPTO PDF")</f>
        <v>0.0</v>
      </c>
      <c r="K1350" s="2" t="n">
        <f>HYPERLINK("https://sectors.patentforecast.com/pmd/US20210373018","PMD")</f>
        <v>0.0</v>
      </c>
      <c r="L1350" s="2" t="n">
        <f>HYPERLINK("https://globaldossier.uspto.gov/result/application/US/17244129/1","US20210373018")</f>
        <v>0.0</v>
      </c>
      <c r="M1350" t="s">
        <v>9269</v>
      </c>
      <c r="N1350" t="s">
        <v>9270</v>
      </c>
      <c r="O1350" t="s">
        <v>9271</v>
      </c>
      <c r="P1350" t="s">
        <v>9272</v>
      </c>
      <c r="Q1350" s="3" t="n">
        <v>44315.0</v>
      </c>
      <c r="R1350" s="3" t="n">
        <v>44532.0</v>
      </c>
      <c r="S1350" s="3" t="n">
        <v>44533.189020798614</v>
      </c>
      <c r="T1350" s="3" t="n">
        <v>44544.601896203705</v>
      </c>
      <c r="U1350" t="s">
        <v>9261</v>
      </c>
      <c r="V1350" t="s">
        <v>9273</v>
      </c>
    </row>
    <row r="1351">
      <c r="A1351" t="s">
        <v>22</v>
      </c>
      <c r="B1351" t="s">
        <v>9274</v>
      </c>
      <c r="C1351" t="s">
        <v>60</v>
      </c>
      <c r="D1351" t="s">
        <v>61</v>
      </c>
      <c r="E1351" t="s">
        <v>9275</v>
      </c>
      <c r="F1351" s="2" t="n">
        <f>HYPERLINK("https://patents.google.com/patent/US20210373009","Google")</f>
        <v>0.0</v>
      </c>
      <c r="G1351" s="2" t="n">
        <f>HYPERLINK("https://patentcenter.uspto.gov/applications/17334171","Patent Center")</f>
        <v>0.0</v>
      </c>
      <c r="H1351" s="2" t="n">
        <f>HYPERLINK("https://worldwide.espacenet.com/patent/search?q=US20210373009","Espacenet")</f>
        <v>0.0</v>
      </c>
      <c r="I1351" s="2" t="n">
        <f>HYPERLINK("https://ppubs.uspto.gov/pubwebapp/external.html?q=20210373009.pn.","USPTO")</f>
        <v>0.0</v>
      </c>
      <c r="J1351" s="2" t="n">
        <f>HYPERLINK("https://image-ppubs.uspto.gov/dirsearch-public/print/downloadPdf/20210373009","USPTO PDF")</f>
        <v>0.0</v>
      </c>
      <c r="K1351" s="2" t="n">
        <f>HYPERLINK("https://sectors.patentforecast.com/pmd/US20210373009","PMD")</f>
        <v>0.0</v>
      </c>
      <c r="L1351" s="2" t="n">
        <f>HYPERLINK("https://globaldossier.uspto.gov/result/application/US/17334171/1","US20210373009")</f>
        <v>0.0</v>
      </c>
      <c r="M1351" t="s">
        <v>9276</v>
      </c>
      <c r="N1351" t="s">
        <v>1444</v>
      </c>
      <c r="O1351" t="s">
        <v>1445</v>
      </c>
      <c r="P1351" t="s">
        <v>9277</v>
      </c>
      <c r="Q1351" s="3" t="n">
        <v>44344.0</v>
      </c>
      <c r="R1351" s="3" t="n">
        <v>44532.0</v>
      </c>
      <c r="S1351" s="3" t="n">
        <v>44533.189020798614</v>
      </c>
      <c r="T1351" s="3" t="n">
        <v>44544.593775636575</v>
      </c>
      <c r="U1351" t="s">
        <v>9278</v>
      </c>
      <c r="V1351" t="s">
        <v>9279</v>
      </c>
    </row>
    <row r="1352">
      <c r="A1352" t="s">
        <v>22</v>
      </c>
      <c r="B1352" t="s">
        <v>9280</v>
      </c>
      <c r="C1352" t="s">
        <v>24</v>
      </c>
      <c r="D1352" t="s">
        <v>8459</v>
      </c>
      <c r="E1352" t="s">
        <v>9281</v>
      </c>
      <c r="F1352" s="2" t="n">
        <f>HYPERLINK("https://patents.google.com/patent/US20210372657","Google")</f>
        <v>0.0</v>
      </c>
      <c r="G1352" s="2" t="n">
        <f>HYPERLINK("https://patentcenter.uspto.gov/applications/17334756","Patent Center")</f>
        <v>0.0</v>
      </c>
      <c r="H1352" s="2" t="n">
        <f>HYPERLINK("https://worldwide.espacenet.com/patent/search?q=US20210372657","Espacenet")</f>
        <v>0.0</v>
      </c>
      <c r="I1352" s="2" t="n">
        <f>HYPERLINK("https://ppubs.uspto.gov/pubwebapp/external.html?q=20210372657.pn.","USPTO")</f>
        <v>0.0</v>
      </c>
      <c r="J1352" s="2" t="n">
        <f>HYPERLINK("https://image-ppubs.uspto.gov/dirsearch-public/print/downloadPdf/20210372657","USPTO PDF")</f>
        <v>0.0</v>
      </c>
      <c r="K1352" s="2" t="n">
        <f>HYPERLINK("https://sectors.patentforecast.com/pmd/US20210372657","PMD")</f>
        <v>0.0</v>
      </c>
      <c r="L1352" s="2" t="n">
        <f>HYPERLINK("https://globaldossier.uspto.gov/result/application/US/17334756/1","US20210372657")</f>
        <v>0.0</v>
      </c>
      <c r="M1352" t="s">
        <v>9282</v>
      </c>
      <c r="N1352" t="s">
        <v>9283</v>
      </c>
      <c r="O1352" t="s">
        <v>9283</v>
      </c>
      <c r="P1352" t="s">
        <v>9284</v>
      </c>
      <c r="Q1352" s="3" t="n">
        <v>44346.0</v>
      </c>
      <c r="R1352" s="3" t="n">
        <v>44532.0</v>
      </c>
      <c r="S1352" s="3" t="n">
        <v>44533.189020798614</v>
      </c>
      <c r="T1352" s="3" t="n">
        <v>44544.61606883102</v>
      </c>
      <c r="U1352" t="s">
        <v>9285</v>
      </c>
      <c r="V1352" t="s">
        <v>9286</v>
      </c>
    </row>
    <row r="1353">
      <c r="A1353" t="s">
        <v>22</v>
      </c>
      <c r="B1353" t="s">
        <v>9287</v>
      </c>
      <c r="C1353" t="s">
        <v>24</v>
      </c>
      <c r="D1353" t="s">
        <v>100</v>
      </c>
      <c r="E1353" t="s">
        <v>9288</v>
      </c>
      <c r="F1353" s="2" t="n">
        <f>HYPERLINK("https://patents.google.com/patent/US20210372637","Google")</f>
        <v>0.0</v>
      </c>
      <c r="G1353" s="2" t="n">
        <f>HYPERLINK("https://patentcenter.uspto.gov/applications/17336896","Patent Center")</f>
        <v>0.0</v>
      </c>
      <c r="H1353" s="2" t="n">
        <f>HYPERLINK("https://worldwide.espacenet.com/patent/search?q=US20210372637","Espacenet")</f>
        <v>0.0</v>
      </c>
      <c r="I1353" s="2" t="n">
        <f>HYPERLINK("https://ppubs.uspto.gov/pubwebapp/external.html?q=20210372637.pn.","USPTO")</f>
        <v>0.0</v>
      </c>
      <c r="J1353" s="2" t="n">
        <f>HYPERLINK("https://image-ppubs.uspto.gov/dirsearch-public/print/downloadPdf/20210372637","USPTO PDF")</f>
        <v>0.0</v>
      </c>
      <c r="K1353" s="2" t="n">
        <f>HYPERLINK("https://sectors.patentforecast.com/pmd/US20210372637","PMD")</f>
        <v>0.0</v>
      </c>
      <c r="L1353" s="2" t="n">
        <f>HYPERLINK("https://globaldossier.uspto.gov/result/application/US/17336896/1","US20210372637")</f>
        <v>0.0</v>
      </c>
      <c r="M1353" t="s">
        <v>9289</v>
      </c>
      <c r="N1353" t="s">
        <v>9290</v>
      </c>
      <c r="O1353" t="s">
        <v>9291</v>
      </c>
      <c r="P1353" t="s">
        <v>9292</v>
      </c>
      <c r="Q1353" s="3" t="n">
        <v>44349.0</v>
      </c>
      <c r="R1353" s="3" t="n">
        <v>44532.0</v>
      </c>
      <c r="S1353" s="3" t="n">
        <v>44533.189020798614</v>
      </c>
      <c r="T1353" s="3" t="n">
        <v>44544.59826019676</v>
      </c>
      <c r="U1353" t="s">
        <v>9293</v>
      </c>
      <c r="V1353" t="s">
        <v>9294</v>
      </c>
    </row>
    <row r="1354">
      <c r="A1354" t="s">
        <v>22</v>
      </c>
      <c r="B1354" t="s">
        <v>9295</v>
      </c>
      <c r="C1354" t="s">
        <v>24</v>
      </c>
      <c r="D1354" t="s">
        <v>25</v>
      </c>
      <c r="E1354" t="s">
        <v>9296</v>
      </c>
      <c r="F1354" s="2" t="n">
        <f>HYPERLINK("https://patents.google.com/patent/US20210371941","Google")</f>
        <v>0.0</v>
      </c>
      <c r="G1354" s="2" t="n">
        <f>HYPERLINK("https://patentcenter.uspto.gov/applications/16890596","Patent Center")</f>
        <v>0.0</v>
      </c>
      <c r="H1354" s="2" t="n">
        <f>HYPERLINK("https://worldwide.espacenet.com/patent/search?q=US20210371941","Espacenet")</f>
        <v>0.0</v>
      </c>
      <c r="I1354" s="2" t="n">
        <f>HYPERLINK("https://ppubs.uspto.gov/pubwebapp/external.html?q=20210371941.pn.","USPTO")</f>
        <v>0.0</v>
      </c>
      <c r="J1354" s="2" t="n">
        <f>HYPERLINK("https://image-ppubs.uspto.gov/dirsearch-public/print/downloadPdf/20210371941","USPTO PDF")</f>
        <v>0.0</v>
      </c>
      <c r="K1354" s="2" t="n">
        <f>HYPERLINK("https://sectors.patentforecast.com/pmd/US20210371941","PMD")</f>
        <v>0.0</v>
      </c>
      <c r="L1354" s="2" t="n">
        <f>HYPERLINK("https://globaldossier.uspto.gov/result/application/US/16890596/1","US20210371941")</f>
        <v>0.0</v>
      </c>
      <c r="M1354" t="s">
        <v>9297</v>
      </c>
      <c r="N1354" t="s">
        <v>9298</v>
      </c>
      <c r="O1354" t="s">
        <v>9298</v>
      </c>
      <c r="P1354" t="s">
        <v>9299</v>
      </c>
      <c r="Q1354" s="3" t="n">
        <v>43984.0</v>
      </c>
      <c r="R1354" s="3" t="n">
        <v>44532.0</v>
      </c>
      <c r="S1354" s="3" t="n">
        <v>44533.189020798614</v>
      </c>
      <c r="T1354" s="3" t="n">
        <v>44544.580191284724</v>
      </c>
      <c r="U1354" t="s">
        <v>5807</v>
      </c>
      <c r="V1354" t="s">
        <v>9300</v>
      </c>
    </row>
    <row r="1355">
      <c r="A1355" t="s">
        <v>22</v>
      </c>
      <c r="B1355" t="s">
        <v>9301</v>
      </c>
      <c r="C1355" t="s">
        <v>24</v>
      </c>
      <c r="D1355" t="s">
        <v>51</v>
      </c>
      <c r="E1355" t="s">
        <v>9302</v>
      </c>
      <c r="F1355" s="2" t="n">
        <f>HYPERLINK("https://patents.google.com/patent/US20210371939","Google")</f>
        <v>0.0</v>
      </c>
      <c r="G1355" s="2" t="n">
        <f>HYPERLINK("https://patentcenter.uspto.gov/applications/17330928","Patent Center")</f>
        <v>0.0</v>
      </c>
      <c r="H1355" s="2" t="n">
        <f>HYPERLINK("https://worldwide.espacenet.com/patent/search?q=US20210371939","Espacenet")</f>
        <v>0.0</v>
      </c>
      <c r="I1355" s="2" t="n">
        <f>HYPERLINK("https://ppubs.uspto.gov/pubwebapp/external.html?q=20210371939.pn.","USPTO")</f>
        <v>0.0</v>
      </c>
      <c r="J1355" s="2" t="n">
        <f>HYPERLINK("https://image-ppubs.uspto.gov/dirsearch-public/print/downloadPdf/20210371939","USPTO PDF")</f>
        <v>0.0</v>
      </c>
      <c r="K1355" s="2" t="n">
        <f>HYPERLINK("https://sectors.patentforecast.com/pmd/US20210371939","PMD")</f>
        <v>0.0</v>
      </c>
      <c r="L1355" s="2" t="n">
        <f>HYPERLINK("https://globaldossier.uspto.gov/result/application/US/17330928/1","US20210371939")</f>
        <v>0.0</v>
      </c>
      <c r="M1355" t="s">
        <v>9303</v>
      </c>
      <c r="N1355" t="s">
        <v>9304</v>
      </c>
      <c r="O1355" t="s">
        <v>9305</v>
      </c>
      <c r="P1355" t="s">
        <v>9306</v>
      </c>
      <c r="Q1355" s="3" t="n">
        <v>44342.0</v>
      </c>
      <c r="R1355" s="3" t="n">
        <v>44532.0</v>
      </c>
      <c r="S1355" s="3" t="n">
        <v>44533.189020798614</v>
      </c>
      <c r="T1355" s="3" t="n">
        <v>44544.60098953704</v>
      </c>
      <c r="U1355" t="s">
        <v>9307</v>
      </c>
      <c r="V1355" t="s">
        <v>9308</v>
      </c>
    </row>
    <row r="1356">
      <c r="A1356" t="s">
        <v>22</v>
      </c>
      <c r="B1356" t="s">
        <v>9309</v>
      </c>
      <c r="C1356" t="s">
        <v>24</v>
      </c>
      <c r="D1356" t="s">
        <v>51</v>
      </c>
      <c r="E1356" t="s">
        <v>9310</v>
      </c>
      <c r="F1356" s="2" t="n">
        <f>HYPERLINK("https://patents.google.com/patent/US20210371905","Google")</f>
        <v>0.0</v>
      </c>
      <c r="G1356" s="2" t="n">
        <f>HYPERLINK("https://patentcenter.uspto.gov/applications/17331151","Patent Center")</f>
        <v>0.0</v>
      </c>
      <c r="H1356" s="2" t="n">
        <f>HYPERLINK("https://worldwide.espacenet.com/patent/search?q=US20210371905","Espacenet")</f>
        <v>0.0</v>
      </c>
      <c r="I1356" s="2" t="n">
        <f>HYPERLINK("https://ppubs.uspto.gov/pubwebapp/external.html?q=20210371905.pn.","USPTO")</f>
        <v>0.0</v>
      </c>
      <c r="J1356" s="2" t="n">
        <f>HYPERLINK("https://image-ppubs.uspto.gov/dirsearch-public/print/downloadPdf/20210371905","USPTO PDF")</f>
        <v>0.0</v>
      </c>
      <c r="K1356" s="2" t="n">
        <f>HYPERLINK("https://sectors.patentforecast.com/pmd/US20210371905","PMD")</f>
        <v>0.0</v>
      </c>
      <c r="L1356" s="2" t="n">
        <f>HYPERLINK("https://globaldossier.uspto.gov/result/application/US/17331151/1","US20210371905")</f>
        <v>0.0</v>
      </c>
      <c r="M1356" t="s">
        <v>9311</v>
      </c>
      <c r="N1356" t="s">
        <v>9312</v>
      </c>
      <c r="O1356" t="s">
        <v>9312</v>
      </c>
      <c r="P1356" t="s">
        <v>9313</v>
      </c>
      <c r="Q1356" s="3" t="n">
        <v>44342.0</v>
      </c>
      <c r="R1356" s="3" t="n">
        <v>44532.0</v>
      </c>
      <c r="S1356" s="3" t="n">
        <v>44533.189020798614</v>
      </c>
      <c r="T1356" s="3" t="n">
        <v>44544.59001576389</v>
      </c>
      <c r="U1356" t="s">
        <v>9314</v>
      </c>
      <c r="V1356" t="s">
        <v>9315</v>
      </c>
    </row>
    <row r="1357">
      <c r="A1357" t="s">
        <v>22</v>
      </c>
      <c r="B1357" t="s">
        <v>9316</v>
      </c>
      <c r="C1357" t="s">
        <v>24</v>
      </c>
      <c r="D1357" t="s">
        <v>51</v>
      </c>
      <c r="E1357" t="s">
        <v>9317</v>
      </c>
      <c r="F1357" s="2" t="n">
        <f>HYPERLINK("https://patents.google.com/patent/US20210371902","Google")</f>
        <v>0.0</v>
      </c>
      <c r="G1357" s="2" t="n">
        <f>HYPERLINK("https://patentcenter.uspto.gov/applications/16889667","Patent Center")</f>
        <v>0.0</v>
      </c>
      <c r="H1357" s="2" t="n">
        <f>HYPERLINK("https://worldwide.espacenet.com/patent/search?q=US20210371902","Espacenet")</f>
        <v>0.0</v>
      </c>
      <c r="I1357" s="2" t="n">
        <f>HYPERLINK("https://ppubs.uspto.gov/pubwebapp/external.html?q=20210371902.pn.","USPTO")</f>
        <v>0.0</v>
      </c>
      <c r="J1357" s="2" t="n">
        <f>HYPERLINK("https://image-ppubs.uspto.gov/dirsearch-public/print/downloadPdf/20210371902","USPTO PDF")</f>
        <v>0.0</v>
      </c>
      <c r="K1357" s="2" t="n">
        <f>HYPERLINK("https://sectors.patentforecast.com/pmd/US20210371902","PMD")</f>
        <v>0.0</v>
      </c>
      <c r="L1357" s="2" t="n">
        <f>HYPERLINK("https://globaldossier.uspto.gov/result/application/US/16889667/1","US20210371902")</f>
        <v>0.0</v>
      </c>
      <c r="M1357" t="s">
        <v>9318</v>
      </c>
      <c r="N1357" t="s">
        <v>8090</v>
      </c>
      <c r="O1357" t="s">
        <v>8091</v>
      </c>
      <c r="P1357" t="s">
        <v>9319</v>
      </c>
      <c r="Q1357" s="3" t="n">
        <v>43983.0</v>
      </c>
      <c r="R1357" s="3" t="n">
        <v>44532.0</v>
      </c>
      <c r="S1357" s="3" t="n">
        <v>44533.189020798614</v>
      </c>
      <c r="T1357" s="3" t="n">
        <v>44544.582272604166</v>
      </c>
      <c r="U1357" t="s">
        <v>9320</v>
      </c>
      <c r="V1357" t="s">
        <v>9321</v>
      </c>
    </row>
    <row r="1358">
      <c r="A1358" t="s">
        <v>22</v>
      </c>
      <c r="B1358" t="s">
        <v>9322</v>
      </c>
      <c r="C1358" t="s">
        <v>60</v>
      </c>
      <c r="D1358" t="s">
        <v>77</v>
      </c>
      <c r="E1358" t="s">
        <v>9323</v>
      </c>
      <c r="F1358" s="2" t="n">
        <f>HYPERLINK("https://patents.google.com/patent/US20210371841","Google")</f>
        <v>0.0</v>
      </c>
      <c r="G1358" s="2" t="n">
        <f>HYPERLINK("https://patentcenter.uspto.gov/applications/17187502","Patent Center")</f>
        <v>0.0</v>
      </c>
      <c r="H1358" s="2" t="n">
        <f>HYPERLINK("https://worldwide.espacenet.com/patent/search?q=US20210371841","Espacenet")</f>
        <v>0.0</v>
      </c>
      <c r="I1358" s="2" t="n">
        <f>HYPERLINK("https://ppubs.uspto.gov/pubwebapp/external.html?q=20210371841.pn.","USPTO")</f>
        <v>0.0</v>
      </c>
      <c r="J1358" s="2" t="n">
        <f>HYPERLINK("https://image-ppubs.uspto.gov/dirsearch-public/print/downloadPdf/20210371841","USPTO PDF")</f>
        <v>0.0</v>
      </c>
      <c r="K1358" s="2" t="n">
        <f>HYPERLINK("https://sectors.patentforecast.com/pmd/US20210371841","PMD")</f>
        <v>0.0</v>
      </c>
      <c r="L1358" s="2" t="n">
        <f>HYPERLINK("https://globaldossier.uspto.gov/result/application/US/17187502/1","US20210371841")</f>
        <v>0.0</v>
      </c>
      <c r="M1358" t="s">
        <v>9324</v>
      </c>
      <c r="N1358" t="s">
        <v>9325</v>
      </c>
      <c r="O1358" t="s">
        <v>9326</v>
      </c>
      <c r="P1358" t="s">
        <v>9327</v>
      </c>
      <c r="Q1358" s="3" t="n">
        <v>44253.0</v>
      </c>
      <c r="R1358" s="3" t="n">
        <v>44532.0</v>
      </c>
      <c r="S1358" s="3" t="n">
        <v>44533.18797693287</v>
      </c>
      <c r="T1358" s="3" t="n">
        <v>44544.591376006945</v>
      </c>
      <c r="U1358" t="s">
        <v>9328</v>
      </c>
      <c r="V1358" t="s">
        <v>9329</v>
      </c>
    </row>
    <row r="1359">
      <c r="A1359" t="s">
        <v>22</v>
      </c>
      <c r="B1359" t="s">
        <v>9330</v>
      </c>
      <c r="C1359" t="s">
        <v>24</v>
      </c>
      <c r="D1359" t="s">
        <v>187</v>
      </c>
      <c r="E1359" t="s">
        <v>9331</v>
      </c>
      <c r="F1359" s="2" t="n">
        <f>HYPERLINK("https://patents.google.com/patent/US20210371822","Google")</f>
        <v>0.0</v>
      </c>
      <c r="G1359" s="2" t="n">
        <f>HYPERLINK("https://patentcenter.uspto.gov/applications/17333005","Patent Center")</f>
        <v>0.0</v>
      </c>
      <c r="H1359" s="2" t="n">
        <f>HYPERLINK("https://worldwide.espacenet.com/patent/search?q=US20210371822","Espacenet")</f>
        <v>0.0</v>
      </c>
      <c r="I1359" s="2" t="n">
        <f>HYPERLINK("https://ppubs.uspto.gov/pubwebapp/external.html?q=20210371822.pn.","USPTO")</f>
        <v>0.0</v>
      </c>
      <c r="J1359" s="2" t="n">
        <f>HYPERLINK("https://image-ppubs.uspto.gov/dirsearch-public/print/downloadPdf/20210371822","USPTO PDF")</f>
        <v>0.0</v>
      </c>
      <c r="K1359" s="2" t="n">
        <f>HYPERLINK("https://sectors.patentforecast.com/pmd/US20210371822","PMD")</f>
        <v>0.0</v>
      </c>
      <c r="L1359" s="2" t="n">
        <f>HYPERLINK("https://globaldossier.uspto.gov/result/application/US/17333005/1","US20210371822")</f>
        <v>0.0</v>
      </c>
      <c r="M1359" t="s">
        <v>9332</v>
      </c>
      <c r="N1359" t="s">
        <v>9333</v>
      </c>
      <c r="O1359" t="s">
        <v>9334</v>
      </c>
      <c r="P1359" t="s">
        <v>9335</v>
      </c>
      <c r="Q1359" s="3" t="n">
        <v>44343.0</v>
      </c>
      <c r="R1359" s="3" t="n">
        <v>44532.0</v>
      </c>
      <c r="S1359" s="3" t="n">
        <v>44533.189020798614</v>
      </c>
      <c r="T1359" s="3" t="n">
        <v>44544.597657349535</v>
      </c>
      <c r="U1359" t="s">
        <v>9336</v>
      </c>
      <c r="V1359" t="s">
        <v>9337</v>
      </c>
    </row>
    <row r="1360">
      <c r="A1360" t="s">
        <v>22</v>
      </c>
      <c r="B1360" t="s">
        <v>9338</v>
      </c>
      <c r="C1360" t="s">
        <v>60</v>
      </c>
      <c r="D1360" t="s">
        <v>77</v>
      </c>
      <c r="E1360" t="s">
        <v>9339</v>
      </c>
      <c r="F1360" s="2" t="n">
        <f>HYPERLINK("https://patents.google.com/patent/US20210371533","Google")</f>
        <v>0.0</v>
      </c>
      <c r="G1360" s="2" t="n">
        <f>HYPERLINK("https://patentcenter.uspto.gov/applications/17303268","Patent Center")</f>
        <v>0.0</v>
      </c>
      <c r="H1360" s="2" t="n">
        <f>HYPERLINK("https://worldwide.espacenet.com/patent/search?q=US20210371533","Espacenet")</f>
        <v>0.0</v>
      </c>
      <c r="I1360" s="2" t="n">
        <f>HYPERLINK("https://ppubs.uspto.gov/pubwebapp/external.html?q=20210371533.pn.","USPTO")</f>
        <v>0.0</v>
      </c>
      <c r="J1360" s="2" t="n">
        <f>HYPERLINK("https://image-ppubs.uspto.gov/dirsearch-public/print/downloadPdf/20210371533","USPTO PDF")</f>
        <v>0.0</v>
      </c>
      <c r="K1360" s="2" t="n">
        <f>HYPERLINK("https://sectors.patentforecast.com/pmd/US20210371533","PMD")</f>
        <v>0.0</v>
      </c>
      <c r="L1360" s="2" t="n">
        <f>HYPERLINK("https://globaldossier.uspto.gov/result/application/US/17303268/1","US20210371533")</f>
        <v>0.0</v>
      </c>
      <c r="M1360" t="s">
        <v>9340</v>
      </c>
      <c r="N1360" t="s">
        <v>9341</v>
      </c>
      <c r="O1360" t="s">
        <v>9342</v>
      </c>
      <c r="P1360" t="s">
        <v>9343</v>
      </c>
      <c r="Q1360" s="3" t="n">
        <v>44341.0</v>
      </c>
      <c r="R1360" s="3" t="n">
        <v>44532.0</v>
      </c>
      <c r="S1360" s="3" t="n">
        <v>44533.189020798614</v>
      </c>
      <c r="T1360" s="3" t="n">
        <v>44544.596365439815</v>
      </c>
      <c r="U1360" t="s">
        <v>9344</v>
      </c>
      <c r="V1360" t="s">
        <v>9345</v>
      </c>
    </row>
    <row r="1361">
      <c r="A1361" t="s">
        <v>22</v>
      </c>
      <c r="B1361" t="s">
        <v>9346</v>
      </c>
      <c r="C1361" t="s">
        <v>60</v>
      </c>
      <c r="D1361" t="s">
        <v>77</v>
      </c>
      <c r="E1361" t="s">
        <v>9347</v>
      </c>
      <c r="F1361" s="2" t="n">
        <f>HYPERLINK("https://patents.google.com/patent/US20210371504","Google")</f>
        <v>0.0</v>
      </c>
      <c r="G1361" s="2" t="n">
        <f>HYPERLINK("https://patentcenter.uspto.gov/applications/17384665","Patent Center")</f>
        <v>0.0</v>
      </c>
      <c r="H1361" s="2" t="n">
        <f>HYPERLINK("https://worldwide.espacenet.com/patent/search?q=US20210371504","Espacenet")</f>
        <v>0.0</v>
      </c>
      <c r="I1361" s="2" t="n">
        <f>HYPERLINK("https://ppubs.uspto.gov/pubwebapp/external.html?q=20210371504.pn.","USPTO")</f>
        <v>0.0</v>
      </c>
      <c r="J1361" s="2" t="n">
        <f>HYPERLINK("https://image-ppubs.uspto.gov/dirsearch-public/print/downloadPdf/20210371504","USPTO PDF")</f>
        <v>0.0</v>
      </c>
      <c r="K1361" s="2" t="n">
        <f>HYPERLINK("https://sectors.patentforecast.com/pmd/US20210371504","PMD")</f>
        <v>0.0</v>
      </c>
      <c r="L1361" s="2" t="n">
        <f>HYPERLINK("https://globaldossier.uspto.gov/result/application/US/17384665/1","US20210371504")</f>
        <v>0.0</v>
      </c>
      <c r="M1361" t="s">
        <v>9348</v>
      </c>
      <c r="N1361" t="s">
        <v>1633</v>
      </c>
      <c r="O1361" t="s">
        <v>1634</v>
      </c>
      <c r="P1361" t="s">
        <v>9349</v>
      </c>
      <c r="Q1361" s="3" t="n">
        <v>44400.0</v>
      </c>
      <c r="R1361" s="3" t="n">
        <v>44532.0</v>
      </c>
      <c r="S1361" s="3" t="n">
        <v>44533.189020798614</v>
      </c>
      <c r="T1361" s="3" t="n">
        <v>44544.615977824076</v>
      </c>
      <c r="U1361" t="s">
        <v>9350</v>
      </c>
      <c r="V1361" t="s">
        <v>9351</v>
      </c>
    </row>
    <row r="1362">
      <c r="A1362" t="s">
        <v>22</v>
      </c>
      <c r="B1362" t="s">
        <v>9352</v>
      </c>
      <c r="C1362" t="s">
        <v>60</v>
      </c>
      <c r="D1362" t="s">
        <v>77</v>
      </c>
      <c r="E1362" t="s">
        <v>9353</v>
      </c>
      <c r="F1362" s="2" t="n">
        <f>HYPERLINK("https://patents.google.com/patent/US20210371503","Google")</f>
        <v>0.0</v>
      </c>
      <c r="G1362" s="2" t="n">
        <f>HYPERLINK("https://patentcenter.uspto.gov/applications/17333795","Patent Center")</f>
        <v>0.0</v>
      </c>
      <c r="H1362" s="2" t="n">
        <f>HYPERLINK("https://worldwide.espacenet.com/patent/search?q=US20210371503","Espacenet")</f>
        <v>0.0</v>
      </c>
      <c r="I1362" s="2" t="n">
        <f>HYPERLINK("https://ppubs.uspto.gov/pubwebapp/external.html?q=20210371503.pn.","USPTO")</f>
        <v>0.0</v>
      </c>
      <c r="J1362" s="2" t="n">
        <f>HYPERLINK("https://image-ppubs.uspto.gov/dirsearch-public/print/downloadPdf/20210371503","USPTO PDF")</f>
        <v>0.0</v>
      </c>
      <c r="K1362" s="2" t="n">
        <f>HYPERLINK("https://sectors.patentforecast.com/pmd/US20210371503","PMD")</f>
        <v>0.0</v>
      </c>
      <c r="L1362" s="2" t="n">
        <f>HYPERLINK("https://globaldossier.uspto.gov/result/application/US/17333795/1","US20210371503")</f>
        <v>0.0</v>
      </c>
      <c r="M1362" t="s">
        <v>9354</v>
      </c>
      <c r="N1362" t="s">
        <v>9355</v>
      </c>
      <c r="O1362" t="s">
        <v>9356</v>
      </c>
      <c r="P1362" t="s">
        <v>9357</v>
      </c>
      <c r="Q1362" s="3" t="n">
        <v>44344.0</v>
      </c>
      <c r="R1362" s="3" t="n">
        <v>44532.0</v>
      </c>
      <c r="S1362" s="3" t="n">
        <v>44533.189020798614</v>
      </c>
      <c r="T1362" s="3" t="n">
        <v>44544.59504914352</v>
      </c>
      <c r="U1362" t="s">
        <v>9358</v>
      </c>
      <c r="V1362" t="s">
        <v>9359</v>
      </c>
    </row>
    <row r="1363">
      <c r="A1363" t="s">
        <v>22</v>
      </c>
      <c r="B1363" t="s">
        <v>9360</v>
      </c>
      <c r="C1363" t="s">
        <v>24</v>
      </c>
      <c r="D1363" t="s">
        <v>51</v>
      </c>
      <c r="E1363" t="s">
        <v>9317</v>
      </c>
      <c r="F1363" s="2" t="n">
        <f>HYPERLINK("https://patents.google.com/patent/US20210370291","Google")</f>
        <v>0.0</v>
      </c>
      <c r="G1363" s="2" t="n">
        <f>HYPERLINK("https://patentcenter.uspto.gov/applications/16917725","Patent Center")</f>
        <v>0.0</v>
      </c>
      <c r="H1363" s="2" t="n">
        <f>HYPERLINK("https://worldwide.espacenet.com/patent/search?q=US20210370291","Espacenet")</f>
        <v>0.0</v>
      </c>
      <c r="I1363" s="2" t="n">
        <f>HYPERLINK("https://ppubs.uspto.gov/pubwebapp/external.html?q=20210370291.pn.","USPTO")</f>
        <v>0.0</v>
      </c>
      <c r="J1363" s="2" t="n">
        <f>HYPERLINK("https://image-ppubs.uspto.gov/dirsearch-public/print/downloadPdf/20210370291","USPTO PDF")</f>
        <v>0.0</v>
      </c>
      <c r="K1363" s="2" t="n">
        <f>HYPERLINK("https://sectors.patentforecast.com/pmd/US20210370291","PMD")</f>
        <v>0.0</v>
      </c>
      <c r="L1363" s="2" t="n">
        <f>HYPERLINK("https://globaldossier.uspto.gov/result/application/US/16917725/1","US20210370291")</f>
        <v>0.0</v>
      </c>
      <c r="M1363" t="s">
        <v>9361</v>
      </c>
      <c r="N1363" t="s">
        <v>8090</v>
      </c>
      <c r="O1363" t="s">
        <v>8091</v>
      </c>
      <c r="P1363" t="s">
        <v>9362</v>
      </c>
      <c r="Q1363" s="3" t="n">
        <v>44012.0</v>
      </c>
      <c r="R1363" s="3" t="n">
        <v>44532.0</v>
      </c>
      <c r="S1363" s="3" t="n">
        <v>44533.189020798614</v>
      </c>
      <c r="T1363" s="3" t="n">
        <v>44544.58696114583</v>
      </c>
      <c r="U1363" t="s">
        <v>9363</v>
      </c>
      <c r="V1363" t="s">
        <v>9321</v>
      </c>
    </row>
    <row r="1364">
      <c r="A1364" t="s">
        <v>22</v>
      </c>
      <c r="B1364" t="s">
        <v>9364</v>
      </c>
      <c r="C1364" t="s">
        <v>60</v>
      </c>
      <c r="D1364" t="s">
        <v>715</v>
      </c>
      <c r="E1364" t="s">
        <v>9365</v>
      </c>
      <c r="F1364" s="2" t="n">
        <f>HYPERLINK("https://patents.google.com/patent/US20210370085","Google")</f>
        <v>0.0</v>
      </c>
      <c r="G1364" s="2" t="n">
        <f>HYPERLINK("https://patentcenter.uspto.gov/applications/17443878","Patent Center")</f>
        <v>0.0</v>
      </c>
      <c r="H1364" s="2" t="n">
        <f>HYPERLINK("https://worldwide.espacenet.com/patent/search?q=US20210370085","Espacenet")</f>
        <v>0.0</v>
      </c>
      <c r="I1364" s="2" t="n">
        <f>HYPERLINK("https://ppubs.uspto.gov/pubwebapp/external.html?q=20210370085.pn.","USPTO")</f>
        <v>0.0</v>
      </c>
      <c r="J1364" s="2" t="n">
        <f>HYPERLINK("https://image-ppubs.uspto.gov/dirsearch-public/print/downloadPdf/20210370085","USPTO PDF")</f>
        <v>0.0</v>
      </c>
      <c r="K1364" s="2" t="n">
        <f>HYPERLINK("https://sectors.patentforecast.com/pmd/US20210370085","PMD")</f>
        <v>0.0</v>
      </c>
      <c r="L1364" s="2" t="n">
        <f>HYPERLINK("https://globaldossier.uspto.gov/result/application/US/17443878/1","US20210370085")</f>
        <v>0.0</v>
      </c>
      <c r="M1364" t="s">
        <v>9366</v>
      </c>
      <c r="N1364" t="s">
        <v>9367</v>
      </c>
      <c r="O1364" t="s">
        <v>9368</v>
      </c>
      <c r="P1364" t="s">
        <v>9369</v>
      </c>
      <c r="Q1364" s="3" t="n">
        <v>44405.0</v>
      </c>
      <c r="R1364" s="3" t="n">
        <v>44532.0</v>
      </c>
      <c r="S1364" s="3" t="n">
        <v>44533.18797693287</v>
      </c>
      <c r="T1364" s="3" t="n">
        <v>44544.61310012732</v>
      </c>
      <c r="U1364" t="s">
        <v>9370</v>
      </c>
      <c r="V1364" t="s">
        <v>9371</v>
      </c>
    </row>
    <row r="1365">
      <c r="A1365" t="s">
        <v>22</v>
      </c>
      <c r="B1365" t="s">
        <v>9372</v>
      </c>
      <c r="C1365" t="s">
        <v>24</v>
      </c>
      <c r="D1365" t="s">
        <v>51</v>
      </c>
      <c r="E1365" t="s">
        <v>9373</v>
      </c>
      <c r="F1365" s="2" t="n">
        <f>HYPERLINK("https://patents.google.com/patent/US20210369903","Google")</f>
        <v>0.0</v>
      </c>
      <c r="G1365" s="2" t="n">
        <f>HYPERLINK("https://patentcenter.uspto.gov/applications/17337403","Patent Center")</f>
        <v>0.0</v>
      </c>
      <c r="H1365" s="2" t="n">
        <f>HYPERLINK("https://worldwide.espacenet.com/patent/search?q=US20210369903","Espacenet")</f>
        <v>0.0</v>
      </c>
      <c r="I1365" s="2" t="n">
        <f>HYPERLINK("https://ppubs.uspto.gov/pubwebapp/external.html?q=20210369903.pn.","USPTO")</f>
        <v>0.0</v>
      </c>
      <c r="J1365" s="2" t="n">
        <f>HYPERLINK("https://image-ppubs.uspto.gov/dirsearch-public/print/downloadPdf/20210369903","USPTO PDF")</f>
        <v>0.0</v>
      </c>
      <c r="K1365" s="2" t="n">
        <f>HYPERLINK("https://sectors.patentforecast.com/pmd/US20210369903","PMD")</f>
        <v>0.0</v>
      </c>
      <c r="L1365" s="2" t="n">
        <f>HYPERLINK("https://globaldossier.uspto.gov/result/application/US/17337403/1","US20210369903")</f>
        <v>0.0</v>
      </c>
      <c r="M1365" t="s">
        <v>9374</v>
      </c>
      <c r="N1365" t="s">
        <v>9375</v>
      </c>
      <c r="O1365" t="s">
        <v>9375</v>
      </c>
      <c r="P1365" t="s">
        <v>9376</v>
      </c>
      <c r="Q1365" s="3" t="n">
        <v>44349.0</v>
      </c>
      <c r="R1365" s="3" t="n">
        <v>44532.0</v>
      </c>
      <c r="S1365" s="3" t="n">
        <v>44533.189020798614</v>
      </c>
      <c r="T1365" s="3" t="n">
        <v>44544.600782511574</v>
      </c>
      <c r="U1365" t="s">
        <v>9377</v>
      </c>
      <c r="V1365" t="s">
        <v>9378</v>
      </c>
    </row>
    <row r="1366">
      <c r="A1366" t="s">
        <v>22</v>
      </c>
      <c r="B1366" t="s">
        <v>9379</v>
      </c>
      <c r="C1366" t="s">
        <v>24</v>
      </c>
      <c r="D1366" t="s">
        <v>100</v>
      </c>
      <c r="E1366" t="s">
        <v>9380</v>
      </c>
      <c r="F1366" s="2" t="n">
        <f>HYPERLINK("https://patents.google.com/patent/US20210369894","Google")</f>
        <v>0.0</v>
      </c>
      <c r="G1366" s="2" t="n">
        <f>HYPERLINK("https://patentcenter.uspto.gov/applications/17335785","Patent Center")</f>
        <v>0.0</v>
      </c>
      <c r="H1366" s="2" t="n">
        <f>HYPERLINK("https://worldwide.espacenet.com/patent/search?q=US20210369894","Espacenet")</f>
        <v>0.0</v>
      </c>
      <c r="I1366" s="2" t="n">
        <f>HYPERLINK("https://ppubs.uspto.gov/pubwebapp/external.html?q=20210369894.pn.","USPTO")</f>
        <v>0.0</v>
      </c>
      <c r="J1366" s="2" t="n">
        <f>HYPERLINK("https://image-ppubs.uspto.gov/dirsearch-public/print/downloadPdf/20210369894","USPTO PDF")</f>
        <v>0.0</v>
      </c>
      <c r="K1366" s="2" t="n">
        <f>HYPERLINK("https://sectors.patentforecast.com/pmd/US20210369894","PMD")</f>
        <v>0.0</v>
      </c>
      <c r="L1366" s="2" t="n">
        <f>HYPERLINK("https://globaldossier.uspto.gov/result/application/US/17335785/1","US20210369894")</f>
        <v>0.0</v>
      </c>
      <c r="M1366" t="s">
        <v>9381</v>
      </c>
      <c r="N1366" t="s">
        <v>9382</v>
      </c>
      <c r="O1366" t="s">
        <v>9383</v>
      </c>
      <c r="P1366" t="s">
        <v>9384</v>
      </c>
      <c r="Q1366" s="3" t="n">
        <v>44348.0</v>
      </c>
      <c r="R1366" s="3" t="n">
        <v>44532.0</v>
      </c>
      <c r="S1366" s="3" t="n">
        <v>44533.18902229167</v>
      </c>
      <c r="T1366" s="3" t="n">
        <v>44544.59096504629</v>
      </c>
      <c r="U1366" t="s">
        <v>9385</v>
      </c>
      <c r="V1366" t="s">
        <v>9386</v>
      </c>
    </row>
    <row r="1367">
      <c r="A1367" t="s">
        <v>22</v>
      </c>
      <c r="B1367" t="s">
        <v>9387</v>
      </c>
      <c r="C1367" t="s">
        <v>132</v>
      </c>
      <c r="D1367" t="s">
        <v>9388</v>
      </c>
      <c r="E1367" t="s">
        <v>9389</v>
      </c>
      <c r="F1367" s="2" t="n">
        <f>HYPERLINK("https://patents.google.com/patent/US20210369835","Google")</f>
        <v>0.0</v>
      </c>
      <c r="G1367" s="2" t="n">
        <f>HYPERLINK("https://patentcenter.uspto.gov/applications/17022475","Patent Center")</f>
        <v>0.0</v>
      </c>
      <c r="H1367" s="2" t="n">
        <f>HYPERLINK("https://worldwide.espacenet.com/patent/search?q=US20210369835","Espacenet")</f>
        <v>0.0</v>
      </c>
      <c r="I1367" s="2" t="n">
        <f>HYPERLINK("https://ppubs.uspto.gov/pubwebapp/external.html?q=20210369835.pn.","USPTO")</f>
        <v>0.0</v>
      </c>
      <c r="J1367" s="2" t="n">
        <f>HYPERLINK("https://image-ppubs.uspto.gov/dirsearch-public/print/downloadPdf/20210369835","USPTO PDF")</f>
        <v>0.0</v>
      </c>
      <c r="K1367" s="2" t="n">
        <f>HYPERLINK("https://sectors.patentforecast.com/pmd/US20210369835","PMD")</f>
        <v>0.0</v>
      </c>
      <c r="L1367" s="2" t="n">
        <f>HYPERLINK("https://globaldossier.uspto.gov/result/application/US/17022475/1","US20210369835")</f>
        <v>0.0</v>
      </c>
      <c r="M1367" t="s">
        <v>9390</v>
      </c>
      <c r="N1367" t="s">
        <v>9391</v>
      </c>
      <c r="O1367" t="s">
        <v>9391</v>
      </c>
      <c r="P1367" t="s">
        <v>9392</v>
      </c>
      <c r="Q1367" s="3" t="n">
        <v>44090.0</v>
      </c>
      <c r="R1367" s="3" t="n">
        <v>44532.0</v>
      </c>
      <c r="S1367" s="3" t="n">
        <v>44533.18902229167</v>
      </c>
      <c r="T1367" s="3" t="n">
        <v>44544.59984149306</v>
      </c>
      <c r="U1367" t="s">
        <v>9393</v>
      </c>
      <c r="V1367" t="s">
        <v>9394</v>
      </c>
    </row>
    <row r="1368">
      <c r="A1368" t="s">
        <v>22</v>
      </c>
      <c r="B1368" t="s">
        <v>9395</v>
      </c>
      <c r="C1368" t="s">
        <v>24</v>
      </c>
      <c r="D1368" t="s">
        <v>204</v>
      </c>
      <c r="E1368" t="s">
        <v>9396</v>
      </c>
      <c r="F1368" s="2" t="n">
        <f>HYPERLINK("https://patents.google.com/patent/US20210369811","Google")</f>
        <v>0.0</v>
      </c>
      <c r="G1368" s="2" t="n">
        <f>HYPERLINK("https://patentcenter.uspto.gov/applications/17332683","Patent Center")</f>
        <v>0.0</v>
      </c>
      <c r="H1368" s="2" t="n">
        <f>HYPERLINK("https://worldwide.espacenet.com/patent/search?q=US20210369811","Espacenet")</f>
        <v>0.0</v>
      </c>
      <c r="I1368" s="2" t="n">
        <f>HYPERLINK("https://ppubs.uspto.gov/pubwebapp/external.html?q=20210369811.pn.","USPTO")</f>
        <v>0.0</v>
      </c>
      <c r="J1368" s="2" t="n">
        <f>HYPERLINK("https://image-ppubs.uspto.gov/dirsearch-public/print/downloadPdf/20210369811","USPTO PDF")</f>
        <v>0.0</v>
      </c>
      <c r="K1368" s="2" t="n">
        <f>HYPERLINK("https://sectors.patentforecast.com/pmd/US20210369811","PMD")</f>
        <v>0.0</v>
      </c>
      <c r="L1368" s="2" t="n">
        <f>HYPERLINK("https://globaldossier.uspto.gov/result/application/US/17332683/1","US20210369811")</f>
        <v>0.0</v>
      </c>
      <c r="M1368" t="s">
        <v>9397</v>
      </c>
      <c r="N1368" t="s">
        <v>2639</v>
      </c>
      <c r="O1368" t="s">
        <v>2640</v>
      </c>
      <c r="P1368" t="s">
        <v>9398</v>
      </c>
      <c r="Q1368" s="3" t="n">
        <v>44343.0</v>
      </c>
      <c r="R1368" s="3" t="n">
        <v>44532.0</v>
      </c>
      <c r="S1368" s="3" t="n">
        <v>44533.18902229167</v>
      </c>
      <c r="T1368" s="3" t="n">
        <v>44544.61012002315</v>
      </c>
      <c r="U1368" t="s">
        <v>9399</v>
      </c>
      <c r="V1368" t="s">
        <v>9400</v>
      </c>
    </row>
    <row r="1369">
      <c r="A1369" t="s">
        <v>22</v>
      </c>
      <c r="B1369" t="s">
        <v>9401</v>
      </c>
      <c r="C1369" t="s">
        <v>60</v>
      </c>
      <c r="D1369" t="s">
        <v>2262</v>
      </c>
      <c r="E1369" t="s">
        <v>9402</v>
      </c>
      <c r="F1369" s="2" t="n">
        <f>HYPERLINK("https://patents.google.com/patent/US20210369806","Google")</f>
        <v>0.0</v>
      </c>
      <c r="G1369" s="2" t="n">
        <f>HYPERLINK("https://patentcenter.uspto.gov/applications/17302142","Patent Center")</f>
        <v>0.0</v>
      </c>
      <c r="H1369" s="2" t="n">
        <f>HYPERLINK("https://worldwide.espacenet.com/patent/search?q=US20210369806","Espacenet")</f>
        <v>0.0</v>
      </c>
      <c r="I1369" s="2" t="n">
        <f>HYPERLINK("https://ppubs.uspto.gov/pubwebapp/external.html?q=20210369806.pn.","USPTO")</f>
        <v>0.0</v>
      </c>
      <c r="J1369" s="2" t="n">
        <f>HYPERLINK("https://image-ppubs.uspto.gov/dirsearch-public/print/downloadPdf/20210369806","USPTO PDF")</f>
        <v>0.0</v>
      </c>
      <c r="K1369" s="2" t="n">
        <f>HYPERLINK("https://sectors.patentforecast.com/pmd/US20210369806","PMD")</f>
        <v>0.0</v>
      </c>
      <c r="L1369" s="2" t="n">
        <f>HYPERLINK("https://globaldossier.uspto.gov/result/application/US/17302142/1","US20210369806")</f>
        <v>0.0</v>
      </c>
      <c r="M1369" t="s">
        <v>9403</v>
      </c>
      <c r="N1369" t="s">
        <v>9404</v>
      </c>
      <c r="O1369" t="s">
        <v>9405</v>
      </c>
      <c r="P1369" t="s">
        <v>9406</v>
      </c>
      <c r="Q1369" s="3" t="n">
        <v>44312.0</v>
      </c>
      <c r="R1369" s="3" t="n">
        <v>44532.0</v>
      </c>
      <c r="S1369" s="3" t="n">
        <v>44533.18902229167</v>
      </c>
      <c r="T1369" s="3" t="n">
        <v>44544.61074743055</v>
      </c>
      <c r="U1369" t="s">
        <v>9407</v>
      </c>
      <c r="V1369" t="s">
        <v>9408</v>
      </c>
    </row>
    <row r="1370">
      <c r="A1370" t="s">
        <v>22</v>
      </c>
      <c r="B1370" t="s">
        <v>9409</v>
      </c>
      <c r="C1370" t="s">
        <v>60</v>
      </c>
      <c r="D1370" t="s">
        <v>9410</v>
      </c>
      <c r="E1370" t="s">
        <v>9411</v>
      </c>
      <c r="F1370" s="2" t="n">
        <f>HYPERLINK("https://patents.google.com/patent/US20210369801","Google")</f>
        <v>0.0</v>
      </c>
      <c r="G1370" s="2" t="n">
        <f>HYPERLINK("https://patentcenter.uspto.gov/applications/17332778","Patent Center")</f>
        <v>0.0</v>
      </c>
      <c r="H1370" s="2" t="n">
        <f>HYPERLINK("https://worldwide.espacenet.com/patent/search?q=US20210369801","Espacenet")</f>
        <v>0.0</v>
      </c>
      <c r="I1370" s="2" t="n">
        <f>HYPERLINK("https://ppubs.uspto.gov/pubwebapp/external.html?q=20210369801.pn.","USPTO")</f>
        <v>0.0</v>
      </c>
      <c r="J1370" s="2" t="n">
        <f>HYPERLINK("https://image-ppubs.uspto.gov/dirsearch-public/print/downloadPdf/20210369801","USPTO PDF")</f>
        <v>0.0</v>
      </c>
      <c r="K1370" s="2" t="n">
        <f>HYPERLINK("https://sectors.patentforecast.com/pmd/US20210369801","PMD")</f>
        <v>0.0</v>
      </c>
      <c r="L1370" s="2" t="n">
        <f>HYPERLINK("https://globaldossier.uspto.gov/result/application/US/17332778/1","US20210369801")</f>
        <v>0.0</v>
      </c>
      <c r="M1370" t="s">
        <v>9412</v>
      </c>
      <c r="N1370" t="s">
        <v>9413</v>
      </c>
      <c r="O1370" t="s">
        <v>9414</v>
      </c>
      <c r="P1370" t="s">
        <v>9415</v>
      </c>
      <c r="Q1370" s="3" t="n">
        <v>44343.0</v>
      </c>
      <c r="R1370" s="3" t="n">
        <v>44532.0</v>
      </c>
      <c r="S1370" s="3" t="n">
        <v>44533.18902229167</v>
      </c>
      <c r="T1370" s="3" t="n">
        <v>44544.61389023148</v>
      </c>
      <c r="U1370" t="s">
        <v>9416</v>
      </c>
      <c r="V1370" t="s">
        <v>9417</v>
      </c>
    </row>
    <row r="1371">
      <c r="A1371" t="s">
        <v>22</v>
      </c>
      <c r="B1371" t="s">
        <v>9418</v>
      </c>
      <c r="C1371" t="s">
        <v>60</v>
      </c>
      <c r="D1371" t="s">
        <v>61</v>
      </c>
      <c r="E1371" t="s">
        <v>9419</v>
      </c>
      <c r="F1371" s="2" t="n">
        <f>HYPERLINK("https://patents.google.com/patent/US20210369770","Google")</f>
        <v>0.0</v>
      </c>
      <c r="G1371" s="2" t="n">
        <f>HYPERLINK("https://patentcenter.uspto.gov/applications/17181597","Patent Center")</f>
        <v>0.0</v>
      </c>
      <c r="H1371" s="2" t="n">
        <f>HYPERLINK("https://worldwide.espacenet.com/patent/search?q=US20210369770","Espacenet")</f>
        <v>0.0</v>
      </c>
      <c r="I1371" s="2" t="n">
        <f>HYPERLINK("https://ppubs.uspto.gov/pubwebapp/external.html?q=20210369770.pn.","USPTO")</f>
        <v>0.0</v>
      </c>
      <c r="J1371" s="2" t="n">
        <f>HYPERLINK("https://image-ppubs.uspto.gov/dirsearch-public/print/downloadPdf/20210369770","USPTO PDF")</f>
        <v>0.0</v>
      </c>
      <c r="K1371" s="2" t="n">
        <f>HYPERLINK("https://sectors.patentforecast.com/pmd/US20210369770","PMD")</f>
        <v>0.0</v>
      </c>
      <c r="L1371" s="2" t="n">
        <f>HYPERLINK("https://globaldossier.uspto.gov/result/application/US/17181597/1","US20210369770")</f>
        <v>0.0</v>
      </c>
      <c r="M1371" t="s">
        <v>9420</v>
      </c>
      <c r="N1371" t="s">
        <v>9421</v>
      </c>
      <c r="O1371" t="s">
        <v>9421</v>
      </c>
      <c r="P1371" t="s">
        <v>9422</v>
      </c>
      <c r="Q1371" s="3" t="n">
        <v>44249.0</v>
      </c>
      <c r="R1371" s="3" t="n">
        <v>44532.0</v>
      </c>
      <c r="S1371" s="3" t="n">
        <v>44533.18797693287</v>
      </c>
      <c r="T1371" s="3" t="n">
        <v>44544.57568326389</v>
      </c>
      <c r="U1371" t="s">
        <v>9423</v>
      </c>
      <c r="V1371" t="s">
        <v>9424</v>
      </c>
    </row>
    <row r="1372">
      <c r="A1372" t="s">
        <v>22</v>
      </c>
      <c r="B1372" t="s">
        <v>9425</v>
      </c>
      <c r="C1372" t="s">
        <v>132</v>
      </c>
      <c r="D1372" t="s">
        <v>1265</v>
      </c>
      <c r="E1372" t="s">
        <v>9426</v>
      </c>
      <c r="F1372" s="2" t="n">
        <f>HYPERLINK("https://patents.google.com/patent/US20210369767","Google")</f>
        <v>0.0</v>
      </c>
      <c r="G1372" s="2" t="n">
        <f>HYPERLINK("https://patentcenter.uspto.gov/applications/17403813","Patent Center")</f>
        <v>0.0</v>
      </c>
      <c r="H1372" s="2" t="n">
        <f>HYPERLINK("https://worldwide.espacenet.com/patent/search?q=US20210369767","Espacenet")</f>
        <v>0.0</v>
      </c>
      <c r="I1372" s="2" t="n">
        <f>HYPERLINK("https://ppubs.uspto.gov/pubwebapp/external.html?q=20210369767.pn.","USPTO")</f>
        <v>0.0</v>
      </c>
      <c r="J1372" s="2" t="n">
        <f>HYPERLINK("https://image-ppubs.uspto.gov/dirsearch-public/print/downloadPdf/20210369767","USPTO PDF")</f>
        <v>0.0</v>
      </c>
      <c r="K1372" s="2" t="n">
        <f>HYPERLINK("https://sectors.patentforecast.com/pmd/US20210369767","PMD")</f>
        <v>0.0</v>
      </c>
      <c r="L1372" s="2" t="n">
        <f>HYPERLINK("https://globaldossier.uspto.gov/result/application/US/17403813/1","US20210369767")</f>
        <v>0.0</v>
      </c>
      <c r="M1372" t="s">
        <v>9427</v>
      </c>
      <c r="N1372" t="s">
        <v>9428</v>
      </c>
      <c r="O1372" t="s">
        <v>9429</v>
      </c>
      <c r="P1372" t="s">
        <v>9430</v>
      </c>
      <c r="Q1372" s="3" t="n">
        <v>44424.0</v>
      </c>
      <c r="R1372" s="3" t="n">
        <v>44532.0</v>
      </c>
      <c r="S1372" s="3" t="n">
        <v>44533.18902229167</v>
      </c>
      <c r="T1372" s="3" t="n">
        <v>44544.60011309028</v>
      </c>
      <c r="U1372" t="s">
        <v>9431</v>
      </c>
      <c r="V1372" t="s">
        <v>9432</v>
      </c>
    </row>
    <row r="1373">
      <c r="A1373" t="s">
        <v>22</v>
      </c>
      <c r="B1373" t="s">
        <v>9433</v>
      </c>
      <c r="C1373" t="s">
        <v>60</v>
      </c>
      <c r="D1373" t="s">
        <v>61</v>
      </c>
      <c r="E1373" t="s">
        <v>9434</v>
      </c>
      <c r="F1373" s="2" t="n">
        <f>HYPERLINK("https://patents.google.com/patent/US20210369741","Google")</f>
        <v>0.0</v>
      </c>
      <c r="G1373" s="2" t="n">
        <f>HYPERLINK("https://patentcenter.uspto.gov/applications/17303330","Patent Center")</f>
        <v>0.0</v>
      </c>
      <c r="H1373" s="2" t="n">
        <f>HYPERLINK("https://worldwide.espacenet.com/patent/search?q=US20210369741","Espacenet")</f>
        <v>0.0</v>
      </c>
      <c r="I1373" s="2" t="n">
        <f>HYPERLINK("https://ppubs.uspto.gov/pubwebapp/external.html?q=20210369741.pn.","USPTO")</f>
        <v>0.0</v>
      </c>
      <c r="J1373" s="2" t="n">
        <f>HYPERLINK("https://image-ppubs.uspto.gov/dirsearch-public/print/downloadPdf/20210369741","USPTO PDF")</f>
        <v>0.0</v>
      </c>
      <c r="K1373" s="2" t="n">
        <f>HYPERLINK("https://sectors.patentforecast.com/pmd/US20210369741","PMD")</f>
        <v>0.0</v>
      </c>
      <c r="L1373" s="2" t="n">
        <f>HYPERLINK("https://globaldossier.uspto.gov/result/application/US/17303330/1","US20210369741")</f>
        <v>0.0</v>
      </c>
      <c r="M1373" t="s">
        <v>9435</v>
      </c>
      <c r="N1373" t="s">
        <v>9325</v>
      </c>
      <c r="O1373" t="s">
        <v>9326</v>
      </c>
      <c r="P1373" t="s">
        <v>9436</v>
      </c>
      <c r="Q1373" s="3" t="n">
        <v>44342.0</v>
      </c>
      <c r="R1373" s="3" t="n">
        <v>44532.0</v>
      </c>
      <c r="S1373" s="3" t="n">
        <v>44533.18797693287</v>
      </c>
      <c r="T1373" s="3" t="n">
        <v>44544.572721909724</v>
      </c>
      <c r="U1373" t="s">
        <v>9437</v>
      </c>
      <c r="V1373" t="s">
        <v>9438</v>
      </c>
    </row>
    <row r="1374">
      <c r="A1374" t="s">
        <v>22</v>
      </c>
      <c r="B1374" t="s">
        <v>9439</v>
      </c>
      <c r="C1374" t="s">
        <v>132</v>
      </c>
      <c r="D1374" t="s">
        <v>133</v>
      </c>
      <c r="E1374" t="s">
        <v>670</v>
      </c>
      <c r="F1374" s="2" t="n">
        <f>HYPERLINK("https://patents.google.com/patent/US20210369730","Google")</f>
        <v>0.0</v>
      </c>
      <c r="G1374" s="2" t="n">
        <f>HYPERLINK("https://patentcenter.uspto.gov/applications/17333857","Patent Center")</f>
        <v>0.0</v>
      </c>
      <c r="H1374" s="2" t="n">
        <f>HYPERLINK("https://worldwide.espacenet.com/patent/search?q=US20210369730","Espacenet")</f>
        <v>0.0</v>
      </c>
      <c r="I1374" s="2" t="n">
        <f>HYPERLINK("https://ppubs.uspto.gov/pubwebapp/external.html?q=20210369730.pn.","USPTO")</f>
        <v>0.0</v>
      </c>
      <c r="J1374" s="2" t="n">
        <f>HYPERLINK("https://image-ppubs.uspto.gov/dirsearch-public/print/downloadPdf/20210369730","USPTO PDF")</f>
        <v>0.0</v>
      </c>
      <c r="K1374" s="2" t="n">
        <f>HYPERLINK("https://sectors.patentforecast.com/pmd/US20210369730","PMD")</f>
        <v>0.0</v>
      </c>
      <c r="L1374" s="2" t="n">
        <f>HYPERLINK("https://globaldossier.uspto.gov/result/application/US/17333857/1","US20210369730")</f>
        <v>0.0</v>
      </c>
      <c r="M1374" t="s">
        <v>9440</v>
      </c>
      <c r="N1374" t="s">
        <v>672</v>
      </c>
      <c r="O1374" t="s">
        <v>673</v>
      </c>
      <c r="P1374" t="s">
        <v>674</v>
      </c>
      <c r="Q1374" s="3" t="n">
        <v>44344.0</v>
      </c>
      <c r="R1374" s="3" t="n">
        <v>44532.0</v>
      </c>
      <c r="S1374" s="3" t="n">
        <v>44533.18797693287</v>
      </c>
      <c r="T1374" s="3" t="n">
        <v>44544.61533375</v>
      </c>
      <c r="U1374" t="s">
        <v>675</v>
      </c>
      <c r="V1374" t="s">
        <v>9441</v>
      </c>
    </row>
    <row r="1375">
      <c r="A1375" t="s">
        <v>22</v>
      </c>
      <c r="B1375" t="s">
        <v>9442</v>
      </c>
      <c r="C1375" t="s">
        <v>132</v>
      </c>
      <c r="D1375" t="s">
        <v>133</v>
      </c>
      <c r="E1375" t="s">
        <v>9443</v>
      </c>
      <c r="F1375" s="2" t="n">
        <f>HYPERLINK("https://patents.google.com/patent/US20210369719","Google")</f>
        <v>0.0</v>
      </c>
      <c r="G1375" s="2" t="n">
        <f>HYPERLINK("https://patentcenter.uspto.gov/applications/16883115","Patent Center")</f>
        <v>0.0</v>
      </c>
      <c r="H1375" s="2" t="n">
        <f>HYPERLINK("https://worldwide.espacenet.com/patent/search?q=US20210369719","Espacenet")</f>
        <v>0.0</v>
      </c>
      <c r="I1375" s="2" t="n">
        <f>HYPERLINK("https://ppubs.uspto.gov/pubwebapp/external.html?q=20210369719.pn.","USPTO")</f>
        <v>0.0</v>
      </c>
      <c r="J1375" s="2" t="n">
        <f>HYPERLINK("https://image-ppubs.uspto.gov/dirsearch-public/print/downloadPdf/20210369719","USPTO PDF")</f>
        <v>0.0</v>
      </c>
      <c r="K1375" s="2" t="n">
        <f>HYPERLINK("https://sectors.patentforecast.com/pmd/US20210369719","PMD")</f>
        <v>0.0</v>
      </c>
      <c r="L1375" s="2" t="n">
        <f>HYPERLINK("https://globaldossier.uspto.gov/result/application/US/16883115/1","US20210369719")</f>
        <v>0.0</v>
      </c>
      <c r="M1375" t="s">
        <v>9444</v>
      </c>
      <c r="N1375" t="s">
        <v>9445</v>
      </c>
      <c r="O1375" t="s">
        <v>9446</v>
      </c>
      <c r="P1375" t="s">
        <v>9447</v>
      </c>
      <c r="Q1375" s="3" t="n">
        <v>43977.0</v>
      </c>
      <c r="R1375" s="3" t="n">
        <v>44532.0</v>
      </c>
      <c r="S1375" s="3" t="n">
        <v>44533.18797693287</v>
      </c>
      <c r="T1375" s="3" t="n">
        <v>44544.616509768515</v>
      </c>
      <c r="U1375" t="s">
        <v>9448</v>
      </c>
      <c r="V1375" t="s">
        <v>9449</v>
      </c>
    </row>
    <row r="1376">
      <c r="A1376" t="s">
        <v>22</v>
      </c>
      <c r="B1376" t="s">
        <v>9450</v>
      </c>
      <c r="C1376" t="s">
        <v>60</v>
      </c>
      <c r="D1376" t="s">
        <v>61</v>
      </c>
      <c r="E1376" t="s">
        <v>9451</v>
      </c>
      <c r="F1376" s="2" t="n">
        <f>HYPERLINK("https://patents.google.com/patent/US20210369696","Google")</f>
        <v>0.0</v>
      </c>
      <c r="G1376" s="2" t="n">
        <f>HYPERLINK("https://patentcenter.uspto.gov/applications/17402006","Patent Center")</f>
        <v>0.0</v>
      </c>
      <c r="H1376" s="2" t="n">
        <f>HYPERLINK("https://worldwide.espacenet.com/patent/search?q=US20210369696","Espacenet")</f>
        <v>0.0</v>
      </c>
      <c r="I1376" s="2" t="n">
        <f>HYPERLINK("https://ppubs.uspto.gov/pubwebapp/external.html?q=20210369696.pn.","USPTO")</f>
        <v>0.0</v>
      </c>
      <c r="J1376" s="2" t="n">
        <f>HYPERLINK("https://image-ppubs.uspto.gov/dirsearch-public/print/downloadPdf/20210369696","USPTO PDF")</f>
        <v>0.0</v>
      </c>
      <c r="K1376" s="2" t="n">
        <f>HYPERLINK("https://sectors.patentforecast.com/pmd/US20210369696","PMD")</f>
        <v>0.0</v>
      </c>
      <c r="L1376" s="2" t="n">
        <f>HYPERLINK("https://globaldossier.uspto.gov/result/application/US/17402006/1","US20210369696")</f>
        <v>0.0</v>
      </c>
      <c r="M1376" t="s">
        <v>9452</v>
      </c>
      <c r="N1376" t="s">
        <v>9453</v>
      </c>
      <c r="O1376" t="s">
        <v>9453</v>
      </c>
      <c r="P1376" t="s">
        <v>9454</v>
      </c>
      <c r="Q1376" s="3" t="n">
        <v>44421.0</v>
      </c>
      <c r="R1376" s="3" t="n">
        <v>44532.0</v>
      </c>
      <c r="S1376" s="3" t="n">
        <v>44533.18902229167</v>
      </c>
      <c r="T1376" s="3" t="n">
        <v>44544.57324184028</v>
      </c>
      <c r="U1376" t="s">
        <v>9455</v>
      </c>
      <c r="V1376" t="s">
        <v>9456</v>
      </c>
    </row>
    <row r="1377">
      <c r="A1377" t="s">
        <v>22</v>
      </c>
      <c r="B1377" t="s">
        <v>9457</v>
      </c>
      <c r="C1377" t="s">
        <v>60</v>
      </c>
      <c r="D1377" t="s">
        <v>61</v>
      </c>
      <c r="E1377" t="s">
        <v>9458</v>
      </c>
      <c r="F1377" s="2" t="n">
        <f>HYPERLINK("https://patents.google.com/patent/US20210369680","Google")</f>
        <v>0.0</v>
      </c>
      <c r="G1377" s="2" t="n">
        <f>HYPERLINK("https://patentcenter.uspto.gov/applications/17244226","Patent Center")</f>
        <v>0.0</v>
      </c>
      <c r="H1377" s="2" t="n">
        <f>HYPERLINK("https://worldwide.espacenet.com/patent/search?q=US20210369680","Espacenet")</f>
        <v>0.0</v>
      </c>
      <c r="I1377" s="2" t="n">
        <f>HYPERLINK("https://ppubs.uspto.gov/pubwebapp/external.html?q=20210369680.pn.","USPTO")</f>
        <v>0.0</v>
      </c>
      <c r="J1377" s="2" t="n">
        <f>HYPERLINK("https://image-ppubs.uspto.gov/dirsearch-public/print/downloadPdf/20210369680","USPTO PDF")</f>
        <v>0.0</v>
      </c>
      <c r="K1377" s="2" t="n">
        <f>HYPERLINK("https://sectors.patentforecast.com/pmd/US20210369680","PMD")</f>
        <v>0.0</v>
      </c>
      <c r="L1377" s="2" t="n">
        <f>HYPERLINK("https://globaldossier.uspto.gov/result/application/US/17244226/1","US20210369680")</f>
        <v>0.0</v>
      </c>
      <c r="M1377" t="s">
        <v>9459</v>
      </c>
      <c r="N1377" t="s">
        <v>9460</v>
      </c>
      <c r="O1377" t="s">
        <v>9461</v>
      </c>
      <c r="P1377" t="s">
        <v>9462</v>
      </c>
      <c r="Q1377" s="3" t="n">
        <v>44315.0</v>
      </c>
      <c r="R1377" s="3" t="n">
        <v>44532.0</v>
      </c>
      <c r="S1377" s="3" t="n">
        <v>44533.18797693287</v>
      </c>
      <c r="T1377" s="3" t="n">
        <v>44544.59675253472</v>
      </c>
      <c r="U1377" t="s">
        <v>9463</v>
      </c>
      <c r="V1377" t="s">
        <v>9464</v>
      </c>
    </row>
    <row r="1378">
      <c r="A1378" t="s">
        <v>22</v>
      </c>
      <c r="B1378" t="s">
        <v>9465</v>
      </c>
      <c r="C1378" t="s">
        <v>60</v>
      </c>
      <c r="D1378" t="s">
        <v>61</v>
      </c>
      <c r="E1378" t="s">
        <v>9466</v>
      </c>
      <c r="F1378" s="2" t="n">
        <f>HYPERLINK("https://patents.google.com/patent/US20210369661","Google")</f>
        <v>0.0</v>
      </c>
      <c r="G1378" s="2" t="n">
        <f>HYPERLINK("https://patentcenter.uspto.gov/applications/17332857","Patent Center")</f>
        <v>0.0</v>
      </c>
      <c r="H1378" s="2" t="n">
        <f>HYPERLINK("https://worldwide.espacenet.com/patent/search?q=US20210369661","Espacenet")</f>
        <v>0.0</v>
      </c>
      <c r="I1378" s="2" t="n">
        <f>HYPERLINK("https://ppubs.uspto.gov/pubwebapp/external.html?q=20210369661.pn.","USPTO")</f>
        <v>0.0</v>
      </c>
      <c r="J1378" s="2" t="n">
        <f>HYPERLINK("https://image-ppubs.uspto.gov/dirsearch-public/print/downloadPdf/20210369661","USPTO PDF")</f>
        <v>0.0</v>
      </c>
      <c r="K1378" s="2" t="n">
        <f>HYPERLINK("https://sectors.patentforecast.com/pmd/US20210369661","PMD")</f>
        <v>0.0</v>
      </c>
      <c r="L1378" s="2" t="n">
        <f>HYPERLINK("https://globaldossier.uspto.gov/result/application/US/17332857/1","US20210369661")</f>
        <v>0.0</v>
      </c>
      <c r="M1378" t="s">
        <v>9467</v>
      </c>
      <c r="N1378" t="s">
        <v>9468</v>
      </c>
      <c r="O1378" t="s">
        <v>9469</v>
      </c>
      <c r="P1378" t="s">
        <v>9470</v>
      </c>
      <c r="Q1378" s="3" t="n">
        <v>44343.0</v>
      </c>
      <c r="R1378" s="3" t="n">
        <v>44532.0</v>
      </c>
      <c r="S1378" s="3" t="n">
        <v>44533.18902229167</v>
      </c>
      <c r="T1378" s="3" t="n">
        <v>44544.598429756945</v>
      </c>
      <c r="U1378" t="s">
        <v>9471</v>
      </c>
      <c r="V1378" t="s">
        <v>9472</v>
      </c>
    </row>
    <row r="1379">
      <c r="A1379" t="s">
        <v>22</v>
      </c>
      <c r="B1379" t="s">
        <v>9473</v>
      </c>
      <c r="C1379" t="s">
        <v>60</v>
      </c>
      <c r="D1379" t="s">
        <v>61</v>
      </c>
      <c r="E1379" t="s">
        <v>9474</v>
      </c>
      <c r="F1379" s="2" t="n">
        <f>HYPERLINK("https://patents.google.com/patent/US20210369619","Google")</f>
        <v>0.0</v>
      </c>
      <c r="G1379" s="2" t="n">
        <f>HYPERLINK("https://patentcenter.uspto.gov/applications/17303272","Patent Center")</f>
        <v>0.0</v>
      </c>
      <c r="H1379" s="2" t="n">
        <f>HYPERLINK("https://worldwide.espacenet.com/patent/search?q=US20210369619","Espacenet")</f>
        <v>0.0</v>
      </c>
      <c r="I1379" s="2" t="n">
        <f>HYPERLINK("https://ppubs.uspto.gov/pubwebapp/external.html?q=20210369619.pn.","USPTO")</f>
        <v>0.0</v>
      </c>
      <c r="J1379" s="2" t="n">
        <f>HYPERLINK("https://image-ppubs.uspto.gov/dirsearch-public/print/downloadPdf/20210369619","USPTO PDF")</f>
        <v>0.0</v>
      </c>
      <c r="K1379" s="2" t="n">
        <f>HYPERLINK("https://sectors.patentforecast.com/pmd/US20210369619","PMD")</f>
        <v>0.0</v>
      </c>
      <c r="L1379" s="2" t="n">
        <f>HYPERLINK("https://globaldossier.uspto.gov/result/application/US/17303272/1","US20210369619")</f>
        <v>0.0</v>
      </c>
      <c r="M1379" t="s">
        <v>9475</v>
      </c>
      <c r="N1379" t="s">
        <v>9476</v>
      </c>
      <c r="O1379" t="s">
        <v>9477</v>
      </c>
      <c r="P1379" t="s">
        <v>9478</v>
      </c>
      <c r="Q1379" s="3" t="n">
        <v>44341.0</v>
      </c>
      <c r="R1379" s="3" t="n">
        <v>44532.0</v>
      </c>
      <c r="S1379" s="3" t="n">
        <v>44533.18902229167</v>
      </c>
      <c r="T1379" s="3" t="n">
        <v>44544.574926724534</v>
      </c>
      <c r="U1379" t="s">
        <v>9479</v>
      </c>
      <c r="V1379" t="s">
        <v>9480</v>
      </c>
    </row>
    <row r="1380">
      <c r="A1380" t="s">
        <v>22</v>
      </c>
      <c r="B1380" t="s">
        <v>9481</v>
      </c>
      <c r="C1380" t="s">
        <v>24</v>
      </c>
      <c r="D1380" t="s">
        <v>69</v>
      </c>
      <c r="E1380" t="s">
        <v>9482</v>
      </c>
      <c r="F1380" s="2" t="n">
        <f>HYPERLINK("https://patents.google.com/patent/US20210369399","Google")</f>
        <v>0.0</v>
      </c>
      <c r="G1380" s="2" t="n">
        <f>HYPERLINK("https://patentcenter.uspto.gov/applications/17334183","Patent Center")</f>
        <v>0.0</v>
      </c>
      <c r="H1380" s="2" t="n">
        <f>HYPERLINK("https://worldwide.espacenet.com/patent/search?q=US20210369399","Espacenet")</f>
        <v>0.0</v>
      </c>
      <c r="I1380" s="2" t="n">
        <f>HYPERLINK("https://ppubs.uspto.gov/pubwebapp/external.html?q=20210369399.pn.","USPTO")</f>
        <v>0.0</v>
      </c>
      <c r="J1380" s="2" t="n">
        <f>HYPERLINK("https://image-ppubs.uspto.gov/dirsearch-public/print/downloadPdf/20210369399","USPTO PDF")</f>
        <v>0.0</v>
      </c>
      <c r="K1380" s="2" t="n">
        <f>HYPERLINK("https://sectors.patentforecast.com/pmd/US20210369399","PMD")</f>
        <v>0.0</v>
      </c>
      <c r="L1380" s="2" t="n">
        <f>HYPERLINK("https://globaldossier.uspto.gov/result/application/US/17334183/1","US20210369399")</f>
        <v>0.0</v>
      </c>
      <c r="M1380" t="s">
        <v>9483</v>
      </c>
      <c r="N1380" t="s">
        <v>9484</v>
      </c>
      <c r="O1380" t="s">
        <v>9485</v>
      </c>
      <c r="P1380" t="s">
        <v>9486</v>
      </c>
      <c r="Q1380" s="3" t="n">
        <v>44344.0</v>
      </c>
      <c r="R1380" s="3" t="n">
        <v>44532.0</v>
      </c>
      <c r="S1380" s="3" t="n">
        <v>44533.18902229167</v>
      </c>
      <c r="T1380" s="3" t="n">
        <v>44544.59565636574</v>
      </c>
      <c r="U1380" t="s">
        <v>9487</v>
      </c>
      <c r="V1380" t="s">
        <v>9488</v>
      </c>
    </row>
    <row r="1381">
      <c r="A1381" t="s">
        <v>22</v>
      </c>
      <c r="B1381" t="s">
        <v>9489</v>
      </c>
      <c r="C1381" t="s">
        <v>24</v>
      </c>
      <c r="D1381" t="s">
        <v>69</v>
      </c>
      <c r="E1381" t="s">
        <v>9490</v>
      </c>
      <c r="F1381" s="2" t="n">
        <f>HYPERLINK("https://patents.google.com/patent/US20210369397","Google")</f>
        <v>0.0</v>
      </c>
      <c r="G1381" s="2" t="n">
        <f>HYPERLINK("https://patentcenter.uspto.gov/applications/16884606","Patent Center")</f>
        <v>0.0</v>
      </c>
      <c r="H1381" s="2" t="n">
        <f>HYPERLINK("https://worldwide.espacenet.com/patent/search?q=US20210369397","Espacenet")</f>
        <v>0.0</v>
      </c>
      <c r="I1381" s="2" t="n">
        <f>HYPERLINK("https://ppubs.uspto.gov/pubwebapp/external.html?q=20210369397.pn.","USPTO")</f>
        <v>0.0</v>
      </c>
      <c r="J1381" s="2" t="n">
        <f>HYPERLINK("https://image-ppubs.uspto.gov/dirsearch-public/print/downloadPdf/20210369397","USPTO PDF")</f>
        <v>0.0</v>
      </c>
      <c r="K1381" s="2" t="n">
        <f>HYPERLINK("https://sectors.patentforecast.com/pmd/US20210369397","PMD")</f>
        <v>0.0</v>
      </c>
      <c r="L1381" s="2" t="n">
        <f>HYPERLINK("https://globaldossier.uspto.gov/result/application/US/16884606/1","US20210369397")</f>
        <v>0.0</v>
      </c>
      <c r="M1381" t="s">
        <v>9491</v>
      </c>
      <c r="N1381" t="s">
        <v>9492</v>
      </c>
      <c r="O1381" t="s">
        <v>9493</v>
      </c>
      <c r="P1381" t="s">
        <v>9494</v>
      </c>
      <c r="Q1381" s="3" t="n">
        <v>43978.0</v>
      </c>
      <c r="R1381" s="3" t="n">
        <v>44532.0</v>
      </c>
      <c r="S1381" s="3" t="n">
        <v>44533.18902229167</v>
      </c>
      <c r="T1381" s="3" t="n">
        <v>44544.61342875</v>
      </c>
      <c r="U1381" t="s">
        <v>9495</v>
      </c>
      <c r="V1381" t="s">
        <v>9496</v>
      </c>
    </row>
    <row r="1382">
      <c r="A1382" t="s">
        <v>22</v>
      </c>
      <c r="B1382" t="s">
        <v>9497</v>
      </c>
      <c r="C1382" t="s">
        <v>24</v>
      </c>
      <c r="D1382" t="s">
        <v>69</v>
      </c>
      <c r="E1382" t="s">
        <v>9498</v>
      </c>
      <c r="F1382" s="2" t="n">
        <f>HYPERLINK("https://patents.google.com/patent/US20210369383","Google")</f>
        <v>0.0</v>
      </c>
      <c r="G1382" s="2" t="n">
        <f>HYPERLINK("https://patentcenter.uspto.gov/applications/17333430","Patent Center")</f>
        <v>0.0</v>
      </c>
      <c r="H1382" s="2" t="n">
        <f>HYPERLINK("https://worldwide.espacenet.com/patent/search?q=US20210369383","Espacenet")</f>
        <v>0.0</v>
      </c>
      <c r="I1382" s="2" t="n">
        <f>HYPERLINK("https://ppubs.uspto.gov/pubwebapp/external.html?q=20210369383.pn.","USPTO")</f>
        <v>0.0</v>
      </c>
      <c r="J1382" s="2" t="n">
        <f>HYPERLINK("https://image-ppubs.uspto.gov/dirsearch-public/print/downloadPdf/20210369383","USPTO PDF")</f>
        <v>0.0</v>
      </c>
      <c r="K1382" s="2" t="n">
        <f>HYPERLINK("https://sectors.patentforecast.com/pmd/US20210369383","PMD")</f>
        <v>0.0</v>
      </c>
      <c r="L1382" s="2" t="n">
        <f>HYPERLINK("https://globaldossier.uspto.gov/result/application/US/17333430/1","US20210369383")</f>
        <v>0.0</v>
      </c>
      <c r="M1382" t="s">
        <v>9499</v>
      </c>
      <c r="N1382" t="s">
        <v>9500</v>
      </c>
      <c r="O1382" t="s">
        <v>9501</v>
      </c>
      <c r="P1382" t="s">
        <v>9502</v>
      </c>
      <c r="Q1382" s="3" t="n">
        <v>44344.0</v>
      </c>
      <c r="R1382" s="3" t="n">
        <v>44532.0</v>
      </c>
      <c r="S1382" s="3" t="n">
        <v>44533.18902229167</v>
      </c>
      <c r="T1382" s="3" t="n">
        <v>44544.611244976855</v>
      </c>
      <c r="U1382" t="s">
        <v>9503</v>
      </c>
      <c r="V1382" t="s">
        <v>9504</v>
      </c>
    </row>
    <row r="1383">
      <c r="A1383" t="s">
        <v>22</v>
      </c>
      <c r="B1383" t="s">
        <v>9505</v>
      </c>
      <c r="C1383" t="s">
        <v>24</v>
      </c>
      <c r="D1383" t="s">
        <v>69</v>
      </c>
      <c r="E1383" t="s">
        <v>9506</v>
      </c>
      <c r="F1383" s="2" t="n">
        <f>HYPERLINK("https://patents.google.com/patent/US20210369382","Google")</f>
        <v>0.0</v>
      </c>
      <c r="G1383" s="2" t="n">
        <f>HYPERLINK("https://patentcenter.uspto.gov/applications/16886351","Patent Center")</f>
        <v>0.0</v>
      </c>
      <c r="H1383" s="2" t="n">
        <f>HYPERLINK("https://worldwide.espacenet.com/patent/search?q=US20210369382","Espacenet")</f>
        <v>0.0</v>
      </c>
      <c r="I1383" s="2" t="n">
        <f>HYPERLINK("https://ppubs.uspto.gov/pubwebapp/external.html?q=20210369382.pn.","USPTO")</f>
        <v>0.0</v>
      </c>
      <c r="J1383" s="2" t="n">
        <f>HYPERLINK("https://image-ppubs.uspto.gov/dirsearch-public/print/downloadPdf/20210369382","USPTO PDF")</f>
        <v>0.0</v>
      </c>
      <c r="K1383" s="2" t="n">
        <f>HYPERLINK("https://sectors.patentforecast.com/pmd/US20210369382","PMD")</f>
        <v>0.0</v>
      </c>
      <c r="L1383" s="2" t="n">
        <f>HYPERLINK("https://globaldossier.uspto.gov/result/application/US/16886351/1","US20210369382")</f>
        <v>0.0</v>
      </c>
      <c r="M1383" t="s">
        <v>9507</v>
      </c>
      <c r="N1383" t="s">
        <v>9508</v>
      </c>
      <c r="O1383" t="s">
        <v>9509</v>
      </c>
      <c r="P1383" t="s">
        <v>9510</v>
      </c>
      <c r="Q1383" s="3" t="n">
        <v>43979.0</v>
      </c>
      <c r="R1383" s="3" t="n">
        <v>44532.0</v>
      </c>
      <c r="S1383" s="3" t="n">
        <v>44533.18902229167</v>
      </c>
      <c r="T1383" s="3" t="n">
        <v>44544.61454041667</v>
      </c>
      <c r="U1383" t="s">
        <v>9511</v>
      </c>
      <c r="V1383" t="s">
        <v>9512</v>
      </c>
    </row>
    <row r="1384">
      <c r="A1384" t="s">
        <v>22</v>
      </c>
      <c r="B1384" t="s">
        <v>9513</v>
      </c>
      <c r="C1384" t="s">
        <v>24</v>
      </c>
      <c r="D1384" t="s">
        <v>1450</v>
      </c>
      <c r="E1384" t="s">
        <v>9514</v>
      </c>
      <c r="F1384" s="2" t="n">
        <f>HYPERLINK("https://patents.google.com/patent/US20210369213","Google")</f>
        <v>0.0</v>
      </c>
      <c r="G1384" s="2" t="n">
        <f>HYPERLINK("https://patentcenter.uspto.gov/applications/17328037","Patent Center")</f>
        <v>0.0</v>
      </c>
      <c r="H1384" s="2" t="n">
        <f>HYPERLINK("https://worldwide.espacenet.com/patent/search?q=US20210369213","Espacenet")</f>
        <v>0.0</v>
      </c>
      <c r="I1384" s="2" t="n">
        <f>HYPERLINK("https://ppubs.uspto.gov/pubwebapp/external.html?q=20210369213.pn.","USPTO")</f>
        <v>0.0</v>
      </c>
      <c r="J1384" s="2" t="n">
        <f>HYPERLINK("https://image-ppubs.uspto.gov/dirsearch-public/print/downloadPdf/20210369213","USPTO PDF")</f>
        <v>0.0</v>
      </c>
      <c r="K1384" s="2" t="n">
        <f>HYPERLINK("https://sectors.patentforecast.com/pmd/US20210369213","PMD")</f>
        <v>0.0</v>
      </c>
      <c r="L1384" s="2" t="n">
        <f>HYPERLINK("https://globaldossier.uspto.gov/result/application/US/17328037/1","US20210369213")</f>
        <v>0.0</v>
      </c>
      <c r="M1384" t="s">
        <v>9515</v>
      </c>
      <c r="N1384" t="s">
        <v>9516</v>
      </c>
      <c r="O1384" t="s">
        <v>9517</v>
      </c>
      <c r="P1384" t="s">
        <v>9518</v>
      </c>
      <c r="Q1384" s="3" t="n">
        <v>44340.0</v>
      </c>
      <c r="R1384" s="3" t="n">
        <v>44532.0</v>
      </c>
      <c r="S1384" s="3" t="n">
        <v>44533.18902229167</v>
      </c>
      <c r="T1384" s="3" t="n">
        <v>44544.58893559028</v>
      </c>
      <c r="U1384" t="s">
        <v>9519</v>
      </c>
      <c r="V1384" t="s">
        <v>9520</v>
      </c>
    </row>
    <row r="1385">
      <c r="A1385" t="s">
        <v>22</v>
      </c>
      <c r="B1385" t="s">
        <v>9521</v>
      </c>
      <c r="C1385" t="s">
        <v>312</v>
      </c>
      <c r="D1385" t="s">
        <v>715</v>
      </c>
      <c r="E1385" t="s">
        <v>9522</v>
      </c>
      <c r="F1385" s="2" t="n">
        <f>HYPERLINK("https://patents.google.com/patent/US20210369144","Google")</f>
        <v>0.0</v>
      </c>
      <c r="G1385" s="2" t="n">
        <f>HYPERLINK("https://patentcenter.uspto.gov/applications/17401660","Patent Center")</f>
        <v>0.0</v>
      </c>
      <c r="H1385" s="2" t="n">
        <f>HYPERLINK("https://worldwide.espacenet.com/patent/search?q=US20210369144","Espacenet")</f>
        <v>0.0</v>
      </c>
      <c r="I1385" s="2" t="n">
        <f>HYPERLINK("https://ppubs.uspto.gov/pubwebapp/external.html?q=20210369144.pn.","USPTO")</f>
        <v>0.0</v>
      </c>
      <c r="J1385" s="2" t="n">
        <f>HYPERLINK("https://image-ppubs.uspto.gov/dirsearch-public/print/downloadPdf/20210369144","USPTO PDF")</f>
        <v>0.0</v>
      </c>
      <c r="K1385" s="2" t="n">
        <f>HYPERLINK("https://sectors.patentforecast.com/pmd/US20210369144","PMD")</f>
        <v>0.0</v>
      </c>
      <c r="L1385" s="2" t="n">
        <f>HYPERLINK("https://globaldossier.uspto.gov/result/application/US/17401660/1","US20210369144")</f>
        <v>0.0</v>
      </c>
      <c r="M1385" t="s">
        <v>9523</v>
      </c>
      <c r="N1385" t="s">
        <v>6794</v>
      </c>
      <c r="O1385" t="s">
        <v>6795</v>
      </c>
      <c r="P1385" t="s">
        <v>9524</v>
      </c>
      <c r="Q1385" s="3" t="n">
        <v>44421.0</v>
      </c>
      <c r="R1385" s="3" t="n">
        <v>44532.0</v>
      </c>
      <c r="S1385" s="3" t="n">
        <v>44540.189597453704</v>
      </c>
      <c r="T1385" s="3" t="n">
        <v>44544.62046726852</v>
      </c>
      <c r="U1385" t="s">
        <v>9525</v>
      </c>
      <c r="V1385" t="s">
        <v>9526</v>
      </c>
    </row>
    <row r="1386">
      <c r="A1386" t="s">
        <v>22</v>
      </c>
      <c r="B1386" t="s">
        <v>9527</v>
      </c>
      <c r="C1386" t="s">
        <v>24</v>
      </c>
      <c r="D1386" t="s">
        <v>34</v>
      </c>
      <c r="E1386" t="s">
        <v>9528</v>
      </c>
      <c r="F1386" s="2" t="n">
        <f>HYPERLINK("https://patents.google.com/patent/US20210369139","Google")</f>
        <v>0.0</v>
      </c>
      <c r="G1386" s="2" t="n">
        <f>HYPERLINK("https://patentcenter.uspto.gov/applications/17329861","Patent Center")</f>
        <v>0.0</v>
      </c>
      <c r="H1386" s="2" t="n">
        <f>HYPERLINK("https://worldwide.espacenet.com/patent/search?q=US20210369139","Espacenet")</f>
        <v>0.0</v>
      </c>
      <c r="I1386" s="2" t="n">
        <f>HYPERLINK("https://ppubs.uspto.gov/pubwebapp/external.html?q=20210369139.pn.","USPTO")</f>
        <v>0.0</v>
      </c>
      <c r="J1386" s="2" t="n">
        <f>HYPERLINK("https://image-ppubs.uspto.gov/dirsearch-public/print/downloadPdf/20210369139","USPTO PDF")</f>
        <v>0.0</v>
      </c>
      <c r="K1386" s="2" t="n">
        <f>HYPERLINK("https://sectors.patentforecast.com/pmd/US20210369139","PMD")</f>
        <v>0.0</v>
      </c>
      <c r="L1386" s="2" t="n">
        <f>HYPERLINK("https://globaldossier.uspto.gov/result/application/US/17329861/1","US20210369139")</f>
        <v>0.0</v>
      </c>
      <c r="M1386" t="s">
        <v>9529</v>
      </c>
      <c r="N1386" t="s">
        <v>9516</v>
      </c>
      <c r="O1386" t="s">
        <v>9517</v>
      </c>
      <c r="P1386" t="s">
        <v>9530</v>
      </c>
      <c r="Q1386" s="3" t="n">
        <v>44341.0</v>
      </c>
      <c r="R1386" s="3" t="n">
        <v>44532.0</v>
      </c>
      <c r="S1386" s="3" t="n">
        <v>44533.18902229167</v>
      </c>
      <c r="T1386" s="3" t="n">
        <v>44544.616291701386</v>
      </c>
      <c r="U1386" t="s">
        <v>9531</v>
      </c>
      <c r="V1386" t="s">
        <v>9532</v>
      </c>
    </row>
    <row r="1387">
      <c r="A1387" t="s">
        <v>22</v>
      </c>
      <c r="B1387" t="s">
        <v>9533</v>
      </c>
      <c r="C1387" t="s">
        <v>24</v>
      </c>
      <c r="D1387" t="s">
        <v>25</v>
      </c>
      <c r="E1387" t="s">
        <v>9534</v>
      </c>
      <c r="F1387" s="2" t="n">
        <f>HYPERLINK("https://patents.google.com/patent/US20210369137","Google")</f>
        <v>0.0</v>
      </c>
      <c r="G1387" s="2" t="n">
        <f>HYPERLINK("https://patentcenter.uspto.gov/applications/17331761","Patent Center")</f>
        <v>0.0</v>
      </c>
      <c r="H1387" s="2" t="n">
        <f>HYPERLINK("https://worldwide.espacenet.com/patent/search?q=US20210369137","Espacenet")</f>
        <v>0.0</v>
      </c>
      <c r="I1387" s="2" t="n">
        <f>HYPERLINK("https://ppubs.uspto.gov/pubwebapp/external.html?q=20210369137.pn.","USPTO")</f>
        <v>0.0</v>
      </c>
      <c r="J1387" s="2" t="n">
        <f>HYPERLINK("https://image-ppubs.uspto.gov/dirsearch-public/print/downloadPdf/20210369137","USPTO PDF")</f>
        <v>0.0</v>
      </c>
      <c r="K1387" s="2" t="n">
        <f>HYPERLINK("https://sectors.patentforecast.com/pmd/US20210369137","PMD")</f>
        <v>0.0</v>
      </c>
      <c r="L1387" s="2" t="n">
        <f>HYPERLINK("https://globaldossier.uspto.gov/result/application/US/17331761/1","US20210369137")</f>
        <v>0.0</v>
      </c>
      <c r="M1387" t="s">
        <v>9535</v>
      </c>
      <c r="N1387" t="s">
        <v>9536</v>
      </c>
      <c r="O1387" t="s">
        <v>9537</v>
      </c>
      <c r="P1387" t="s">
        <v>9538</v>
      </c>
      <c r="Q1387" s="3" t="n">
        <v>44343.0</v>
      </c>
      <c r="R1387" s="3" t="n">
        <v>44532.0</v>
      </c>
      <c r="S1387" s="3" t="n">
        <v>44533.18902229167</v>
      </c>
      <c r="T1387" s="3" t="n">
        <v>44544.59191789352</v>
      </c>
      <c r="U1387" t="s">
        <v>9539</v>
      </c>
      <c r="V1387" t="s">
        <v>9540</v>
      </c>
    </row>
    <row r="1388">
      <c r="A1388" t="s">
        <v>22</v>
      </c>
      <c r="B1388" t="s">
        <v>9541</v>
      </c>
      <c r="C1388" t="s">
        <v>24</v>
      </c>
      <c r="D1388" t="s">
        <v>25</v>
      </c>
      <c r="E1388" t="s">
        <v>9542</v>
      </c>
      <c r="F1388" s="2" t="n">
        <f>HYPERLINK("https://patents.google.com/patent/US20210369136","Google")</f>
        <v>0.0</v>
      </c>
      <c r="G1388" s="2" t="n">
        <f>HYPERLINK("https://patentcenter.uspto.gov/applications/17320748","Patent Center")</f>
        <v>0.0</v>
      </c>
      <c r="H1388" s="2" t="n">
        <f>HYPERLINK("https://worldwide.espacenet.com/patent/search?q=US20210369136","Espacenet")</f>
        <v>0.0</v>
      </c>
      <c r="I1388" s="2" t="n">
        <f>HYPERLINK("https://ppubs.uspto.gov/pubwebapp/external.html?q=20210369136.pn.","USPTO")</f>
        <v>0.0</v>
      </c>
      <c r="J1388" s="2" t="n">
        <f>HYPERLINK("https://image-ppubs.uspto.gov/dirsearch-public/print/downloadPdf/20210369136","USPTO PDF")</f>
        <v>0.0</v>
      </c>
      <c r="K1388" s="2" t="n">
        <f>HYPERLINK("https://sectors.patentforecast.com/pmd/US20210369136","PMD")</f>
        <v>0.0</v>
      </c>
      <c r="L1388" s="2" t="n">
        <f>HYPERLINK("https://globaldossier.uspto.gov/result/application/US/17320748/1","US20210369136")</f>
        <v>0.0</v>
      </c>
      <c r="M1388" t="s">
        <v>9543</v>
      </c>
      <c r="N1388" t="s">
        <v>9544</v>
      </c>
      <c r="O1388" t="s">
        <v>9545</v>
      </c>
      <c r="P1388" t="s">
        <v>9546</v>
      </c>
      <c r="Q1388" s="3" t="n">
        <v>44330.0</v>
      </c>
      <c r="R1388" s="3" t="n">
        <v>44532.0</v>
      </c>
      <c r="S1388" s="3" t="n">
        <v>44533.18902229167</v>
      </c>
      <c r="T1388" s="3" t="n">
        <v>44544.589829895835</v>
      </c>
      <c r="U1388" t="s">
        <v>9547</v>
      </c>
      <c r="V1388" t="s">
        <v>9548</v>
      </c>
    </row>
    <row r="1389">
      <c r="A1389" t="s">
        <v>22</v>
      </c>
      <c r="B1389" t="s">
        <v>9549</v>
      </c>
      <c r="C1389" t="s">
        <v>24</v>
      </c>
      <c r="D1389" t="s">
        <v>25</v>
      </c>
      <c r="E1389" t="s">
        <v>9550</v>
      </c>
      <c r="F1389" s="2" t="n">
        <f>HYPERLINK("https://patents.google.com/patent/US20210369102","Google")</f>
        <v>0.0</v>
      </c>
      <c r="G1389" s="2" t="n">
        <f>HYPERLINK("https://patentcenter.uspto.gov/applications/17333513","Patent Center")</f>
        <v>0.0</v>
      </c>
      <c r="H1389" s="2" t="n">
        <f>HYPERLINK("https://worldwide.espacenet.com/patent/search?q=US20210369102","Espacenet")</f>
        <v>0.0</v>
      </c>
      <c r="I1389" s="2" t="n">
        <f>HYPERLINK("https://ppubs.uspto.gov/pubwebapp/external.html?q=20210369102.pn.","USPTO")</f>
        <v>0.0</v>
      </c>
      <c r="J1389" s="2" t="n">
        <f>HYPERLINK("https://image-ppubs.uspto.gov/dirsearch-public/print/downloadPdf/20210369102","USPTO PDF")</f>
        <v>0.0</v>
      </c>
      <c r="K1389" s="2" t="n">
        <f>HYPERLINK("https://sectors.patentforecast.com/pmd/US20210369102","PMD")</f>
        <v>0.0</v>
      </c>
      <c r="L1389" s="2" t="n">
        <f>HYPERLINK("https://globaldossier.uspto.gov/result/application/US/17333513/1","US20210369102")</f>
        <v>0.0</v>
      </c>
      <c r="M1389" t="s">
        <v>9551</v>
      </c>
      <c r="N1389" t="s">
        <v>9552</v>
      </c>
      <c r="O1389" t="s">
        <v>9553</v>
      </c>
      <c r="P1389" t="s">
        <v>9554</v>
      </c>
      <c r="Q1389" s="3" t="n">
        <v>44344.0</v>
      </c>
      <c r="R1389" s="3" t="n">
        <v>44532.0</v>
      </c>
      <c r="S1389" s="3" t="n">
        <v>44643.23830542824</v>
      </c>
      <c r="T1389" s="3" t="n">
        <v>44719.60350954861</v>
      </c>
      <c r="U1389" t="s">
        <v>9555</v>
      </c>
      <c r="V1389" t="s">
        <v>9556</v>
      </c>
    </row>
    <row r="1390">
      <c r="A1390" t="s">
        <v>22</v>
      </c>
      <c r="B1390" t="s">
        <v>9557</v>
      </c>
      <c r="C1390" t="s">
        <v>24</v>
      </c>
      <c r="D1390" t="s">
        <v>100</v>
      </c>
      <c r="E1390" t="s">
        <v>9558</v>
      </c>
      <c r="F1390" s="2" t="n">
        <f>HYPERLINK("https://patents.google.com/patent/US20210369015","Google")</f>
        <v>0.0</v>
      </c>
      <c r="G1390" s="2" t="n">
        <f>HYPERLINK("https://patentcenter.uspto.gov/applications/17326915","Patent Center")</f>
        <v>0.0</v>
      </c>
      <c r="H1390" s="2" t="n">
        <f>HYPERLINK("https://worldwide.espacenet.com/patent/search?q=US20210369015","Espacenet")</f>
        <v>0.0</v>
      </c>
      <c r="I1390" s="2" t="n">
        <f>HYPERLINK("https://ppubs.uspto.gov/pubwebapp/external.html?q=20210369015.pn.","USPTO")</f>
        <v>0.0</v>
      </c>
      <c r="J1390" s="2" t="n">
        <f>HYPERLINK("https://image-ppubs.uspto.gov/dirsearch-public/print/downloadPdf/20210369015","USPTO PDF")</f>
        <v>0.0</v>
      </c>
      <c r="K1390" s="2" t="n">
        <f>HYPERLINK("https://sectors.patentforecast.com/pmd/US20210369015","PMD")</f>
        <v>0.0</v>
      </c>
      <c r="L1390" s="2" t="n">
        <f>HYPERLINK("https://globaldossier.uspto.gov/result/application/US/17326915/1","US20210369015")</f>
        <v>0.0</v>
      </c>
      <c r="M1390" t="s">
        <v>9559</v>
      </c>
      <c r="N1390" t="s">
        <v>6558</v>
      </c>
      <c r="O1390" t="s">
        <v>6559</v>
      </c>
      <c r="P1390" t="s">
        <v>8382</v>
      </c>
      <c r="Q1390" s="3" t="n">
        <v>44337.0</v>
      </c>
      <c r="R1390" s="3" t="n">
        <v>44532.0</v>
      </c>
      <c r="S1390" s="3" t="n">
        <v>44540.21274394676</v>
      </c>
      <c r="T1390" s="3" t="n">
        <v>44544.626387731485</v>
      </c>
      <c r="U1390" t="s">
        <v>9560</v>
      </c>
      <c r="V1390" t="s">
        <v>9561</v>
      </c>
    </row>
    <row r="1391">
      <c r="A1391" t="s">
        <v>22</v>
      </c>
      <c r="B1391" t="s">
        <v>9562</v>
      </c>
      <c r="C1391" t="s">
        <v>24</v>
      </c>
      <c r="D1391" t="s">
        <v>69</v>
      </c>
      <c r="E1391" t="s">
        <v>9563</v>
      </c>
      <c r="F1391" s="2" t="n">
        <f>HYPERLINK("https://patents.google.com/patent/US20210368890","Google")</f>
        <v>0.0</v>
      </c>
      <c r="G1391" s="2" t="n">
        <f>HYPERLINK("https://patentcenter.uspto.gov/applications/16890674","Patent Center")</f>
        <v>0.0</v>
      </c>
      <c r="H1391" s="2" t="n">
        <f>HYPERLINK("https://worldwide.espacenet.com/patent/search?q=US20210368890","Espacenet")</f>
        <v>0.0</v>
      </c>
      <c r="I1391" s="2" t="n">
        <f>HYPERLINK("https://ppubs.uspto.gov/pubwebapp/external.html?q=20210368890.pn.","USPTO")</f>
        <v>0.0</v>
      </c>
      <c r="J1391" s="2" t="n">
        <f>HYPERLINK("https://image-ppubs.uspto.gov/dirsearch-public/print/downloadPdf/20210368890","USPTO PDF")</f>
        <v>0.0</v>
      </c>
      <c r="K1391" s="2" t="n">
        <f>HYPERLINK("https://sectors.patentforecast.com/pmd/US20210368890","PMD")</f>
        <v>0.0</v>
      </c>
      <c r="L1391" s="2" t="n">
        <f>HYPERLINK("https://globaldossier.uspto.gov/result/application/US/16890674/1","US20210368890")</f>
        <v>0.0</v>
      </c>
      <c r="M1391" t="s">
        <v>9564</v>
      </c>
      <c r="N1391" t="s">
        <v>9565</v>
      </c>
      <c r="O1391" t="s">
        <v>9566</v>
      </c>
      <c r="P1391" t="s">
        <v>9567</v>
      </c>
      <c r="Q1391" s="3" t="n">
        <v>43984.0</v>
      </c>
      <c r="R1391" s="3" t="n">
        <v>44532.0</v>
      </c>
      <c r="S1391" s="3" t="n">
        <v>44533.18902229167</v>
      </c>
      <c r="T1391" s="3" t="n">
        <v>44544.61545017361</v>
      </c>
      <c r="U1391" t="s">
        <v>9568</v>
      </c>
      <c r="V1391" t="s">
        <v>9569</v>
      </c>
    </row>
    <row r="1392">
      <c r="A1392" t="s">
        <v>22</v>
      </c>
      <c r="B1392" t="s">
        <v>9570</v>
      </c>
      <c r="C1392" t="s">
        <v>24</v>
      </c>
      <c r="D1392" t="s">
        <v>69</v>
      </c>
      <c r="E1392" t="s">
        <v>7749</v>
      </c>
      <c r="F1392" s="2" t="n">
        <f>HYPERLINK("https://patents.google.com/patent/US20210368879","Google")</f>
        <v>0.0</v>
      </c>
      <c r="G1392" s="2" t="n">
        <f>HYPERLINK("https://patentcenter.uspto.gov/applications/16935463","Patent Center")</f>
        <v>0.0</v>
      </c>
      <c r="H1392" s="2" t="n">
        <f>HYPERLINK("https://worldwide.espacenet.com/patent/search?q=US20210368879","Espacenet")</f>
        <v>0.0</v>
      </c>
      <c r="I1392" s="2" t="n">
        <f>HYPERLINK("https://ppubs.uspto.gov/pubwebapp/external.html?q=20210368879.pn.","USPTO")</f>
        <v>0.0</v>
      </c>
      <c r="J1392" s="2" t="n">
        <f>HYPERLINK("https://image-ppubs.uspto.gov/dirsearch-public/print/downloadPdf/20210368879","USPTO PDF")</f>
        <v>0.0</v>
      </c>
      <c r="K1392" s="2" t="n">
        <f>HYPERLINK("https://sectors.patentforecast.com/pmd/US20210368879","PMD")</f>
        <v>0.0</v>
      </c>
      <c r="L1392" s="2" t="n">
        <f>HYPERLINK("https://globaldossier.uspto.gov/result/application/US/16935463/1","US20210368879")</f>
        <v>0.0</v>
      </c>
      <c r="M1392" t="s">
        <v>9571</v>
      </c>
      <c r="N1392" t="s">
        <v>9572</v>
      </c>
      <c r="O1392" t="s">
        <v>9573</v>
      </c>
      <c r="P1392" t="s">
        <v>9574</v>
      </c>
      <c r="Q1392" s="3" t="n">
        <v>44034.0</v>
      </c>
      <c r="R1392" s="3" t="n">
        <v>44532.0</v>
      </c>
      <c r="S1392" s="3" t="n">
        <v>44533.18902229167</v>
      </c>
      <c r="T1392" s="3" t="n">
        <v>44544.611244976855</v>
      </c>
      <c r="U1392" t="s">
        <v>9575</v>
      </c>
      <c r="V1392" t="s">
        <v>9576</v>
      </c>
    </row>
    <row r="1393">
      <c r="A1393" t="s">
        <v>22</v>
      </c>
      <c r="B1393" t="s">
        <v>9577</v>
      </c>
      <c r="C1393" t="s">
        <v>24</v>
      </c>
      <c r="D1393" t="s">
        <v>69</v>
      </c>
      <c r="E1393" t="s">
        <v>9578</v>
      </c>
      <c r="F1393" s="2" t="n">
        <f>HYPERLINK("https://patents.google.com/patent/US20210368873","Google")</f>
        <v>0.0</v>
      </c>
      <c r="G1393" s="2" t="n">
        <f>HYPERLINK("https://patentcenter.uspto.gov/applications/17104075","Patent Center")</f>
        <v>0.0</v>
      </c>
      <c r="H1393" s="2" t="n">
        <f>HYPERLINK("https://worldwide.espacenet.com/patent/search?q=US20210368873","Espacenet")</f>
        <v>0.0</v>
      </c>
      <c r="I1393" s="2" t="n">
        <f>HYPERLINK("https://ppubs.uspto.gov/pubwebapp/external.html?q=20210368873.pn.","USPTO")</f>
        <v>0.0</v>
      </c>
      <c r="J1393" s="2" t="n">
        <f>HYPERLINK("https://image-ppubs.uspto.gov/dirsearch-public/print/downloadPdf/20210368873","USPTO PDF")</f>
        <v>0.0</v>
      </c>
      <c r="K1393" s="2" t="n">
        <f>HYPERLINK("https://sectors.patentforecast.com/pmd/US20210368873","PMD")</f>
        <v>0.0</v>
      </c>
      <c r="L1393" s="2" t="n">
        <f>HYPERLINK("https://globaldossier.uspto.gov/result/application/US/17104075/1","US20210368873")</f>
        <v>0.0</v>
      </c>
      <c r="M1393" t="s">
        <v>9579</v>
      </c>
      <c r="N1393" t="s">
        <v>9580</v>
      </c>
      <c r="O1393" t="s">
        <v>9580</v>
      </c>
      <c r="P1393" t="s">
        <v>9581</v>
      </c>
      <c r="Q1393" s="3" t="n">
        <v>44160.0</v>
      </c>
      <c r="R1393" s="3" t="n">
        <v>44532.0</v>
      </c>
      <c r="S1393" s="3" t="n">
        <v>44533.18902229167</v>
      </c>
      <c r="T1393" s="3" t="n">
        <v>44544.61321311343</v>
      </c>
      <c r="U1393" t="s">
        <v>9582</v>
      </c>
      <c r="V1393" t="s">
        <v>9583</v>
      </c>
    </row>
    <row r="1394">
      <c r="A1394" t="s">
        <v>22</v>
      </c>
      <c r="B1394" t="s">
        <v>9584</v>
      </c>
      <c r="C1394" t="s">
        <v>24</v>
      </c>
      <c r="D1394" t="s">
        <v>25</v>
      </c>
      <c r="E1394" t="s">
        <v>9585</v>
      </c>
      <c r="F1394" s="2" t="n">
        <f>HYPERLINK("https://patents.google.com/patent/US20210368141","Google")</f>
        <v>0.0</v>
      </c>
      <c r="G1394" s="2" t="n">
        <f>HYPERLINK("https://patentcenter.uspto.gov/applications/17329822","Patent Center")</f>
        <v>0.0</v>
      </c>
      <c r="H1394" s="2" t="n">
        <f>HYPERLINK("https://worldwide.espacenet.com/patent/search?q=US20210368141","Espacenet")</f>
        <v>0.0</v>
      </c>
      <c r="I1394" s="2" t="n">
        <f>HYPERLINK("https://ppubs.uspto.gov/pubwebapp/external.html?q=20210368141.pn.","USPTO")</f>
        <v>0.0</v>
      </c>
      <c r="J1394" s="2" t="n">
        <f>HYPERLINK("https://image-ppubs.uspto.gov/dirsearch-public/print/downloadPdf/20210368141","USPTO PDF")</f>
        <v>0.0</v>
      </c>
      <c r="K1394" s="2" t="n">
        <f>HYPERLINK("https://sectors.patentforecast.com/pmd/US20210368141","PMD")</f>
        <v>0.0</v>
      </c>
      <c r="L1394" s="2" t="n">
        <f>HYPERLINK("https://globaldossier.uspto.gov/result/application/US/17329822/1","US20210368141")</f>
        <v>0.0</v>
      </c>
      <c r="M1394" t="s">
        <v>9586</v>
      </c>
      <c r="N1394" t="s">
        <v>9587</v>
      </c>
      <c r="O1394" t="s">
        <v>9588</v>
      </c>
      <c r="P1394" t="s">
        <v>9589</v>
      </c>
      <c r="Q1394" s="3" t="n">
        <v>44341.0</v>
      </c>
      <c r="R1394" s="3" t="n">
        <v>44525.0</v>
      </c>
      <c r="S1394" s="3" t="n">
        <v>44671.231226944445</v>
      </c>
      <c r="T1394" s="3" t="n">
        <v>44678.646400150465</v>
      </c>
      <c r="U1394" t="s">
        <v>9590</v>
      </c>
      <c r="V1394" t="s">
        <v>9591</v>
      </c>
    </row>
    <row r="1395">
      <c r="A1395" t="s">
        <v>22</v>
      </c>
      <c r="B1395" t="s">
        <v>9592</v>
      </c>
      <c r="C1395" t="s">
        <v>312</v>
      </c>
      <c r="D1395" t="s">
        <v>3202</v>
      </c>
      <c r="E1395" t="s">
        <v>9593</v>
      </c>
      <c r="F1395" s="2" t="n">
        <f>HYPERLINK("https://patents.google.com/patent/US20210366622","Google")</f>
        <v>0.0</v>
      </c>
      <c r="G1395" s="2" t="n">
        <f>HYPERLINK("https://patentcenter.uspto.gov/applications/17329440","Patent Center")</f>
        <v>0.0</v>
      </c>
      <c r="H1395" s="2" t="n">
        <f>HYPERLINK("https://worldwide.espacenet.com/patent/search?q=US20210366622","Espacenet")</f>
        <v>0.0</v>
      </c>
      <c r="I1395" s="2" t="n">
        <f>HYPERLINK("https://ppubs.uspto.gov/pubwebapp/external.html?q=20210366622.pn.","USPTO")</f>
        <v>0.0</v>
      </c>
      <c r="J1395" s="2" t="n">
        <f>HYPERLINK("https://image-ppubs.uspto.gov/dirsearch-public/print/downloadPdf/20210366622","USPTO PDF")</f>
        <v>0.0</v>
      </c>
      <c r="K1395" s="2" t="n">
        <f>HYPERLINK("https://sectors.patentforecast.com/pmd/US20210366622","PMD")</f>
        <v>0.0</v>
      </c>
      <c r="L1395" s="2" t="n">
        <f>HYPERLINK("https://globaldossier.uspto.gov/result/application/US/17329440/1","US20210366622")</f>
        <v>0.0</v>
      </c>
      <c r="M1395" t="s">
        <v>9594</v>
      </c>
      <c r="N1395" t="s">
        <v>9595</v>
      </c>
      <c r="O1395" t="s">
        <v>9596</v>
      </c>
      <c r="P1395" t="s">
        <v>9597</v>
      </c>
      <c r="Q1395" s="3" t="n">
        <v>44341.0</v>
      </c>
      <c r="R1395" s="3" t="n">
        <v>44525.0</v>
      </c>
      <c r="S1395" s="3" t="n">
        <v>44526.189592662035</v>
      </c>
      <c r="T1395" s="3" t="n">
        <v>44544.40228173611</v>
      </c>
      <c r="U1395" t="s">
        <v>9598</v>
      </c>
      <c r="V1395" t="s">
        <v>9599</v>
      </c>
    </row>
    <row r="1396">
      <c r="A1396" t="s">
        <v>22</v>
      </c>
      <c r="B1396" t="s">
        <v>9600</v>
      </c>
      <c r="C1396" t="s">
        <v>312</v>
      </c>
      <c r="D1396" t="s">
        <v>3202</v>
      </c>
      <c r="E1396" t="s">
        <v>9601</v>
      </c>
      <c r="F1396" s="2" t="n">
        <f>HYPERLINK("https://patents.google.com/patent/US20210366621","Google")</f>
        <v>0.0</v>
      </c>
      <c r="G1396" s="2" t="n">
        <f>HYPERLINK("https://patentcenter.uspto.gov/applications/17327259","Patent Center")</f>
        <v>0.0</v>
      </c>
      <c r="H1396" s="2" t="n">
        <f>HYPERLINK("https://worldwide.espacenet.com/patent/search?q=US20210366621","Espacenet")</f>
        <v>0.0</v>
      </c>
      <c r="I1396" s="2" t="n">
        <f>HYPERLINK("https://ppubs.uspto.gov/pubwebapp/external.html?q=20210366621.pn.","USPTO")</f>
        <v>0.0</v>
      </c>
      <c r="J1396" s="2" t="n">
        <f>HYPERLINK("https://image-ppubs.uspto.gov/dirsearch-public/print/downloadPdf/20210366621","USPTO PDF")</f>
        <v>0.0</v>
      </c>
      <c r="K1396" s="2" t="n">
        <f>HYPERLINK("https://sectors.patentforecast.com/pmd/US20210366621","PMD")</f>
        <v>0.0</v>
      </c>
      <c r="L1396" s="2" t="n">
        <f>HYPERLINK("https://globaldossier.uspto.gov/result/application/US/17327259/1","US20210366621")</f>
        <v>0.0</v>
      </c>
      <c r="M1396" t="s">
        <v>9602</v>
      </c>
      <c r="N1396" t="s">
        <v>9603</v>
      </c>
      <c r="O1396" t="s">
        <v>9603</v>
      </c>
      <c r="P1396" t="s">
        <v>9604</v>
      </c>
      <c r="Q1396" s="3" t="n">
        <v>44337.0</v>
      </c>
      <c r="R1396" s="3" t="n">
        <v>44525.0</v>
      </c>
      <c r="S1396" s="3" t="n">
        <v>44526.18890181713</v>
      </c>
      <c r="T1396" s="3" t="n">
        <v>44544.40307516204</v>
      </c>
      <c r="U1396" t="s">
        <v>9605</v>
      </c>
      <c r="V1396" t="s">
        <v>9606</v>
      </c>
    </row>
    <row r="1397">
      <c r="A1397" t="s">
        <v>22</v>
      </c>
      <c r="B1397" t="s">
        <v>9607</v>
      </c>
      <c r="C1397" t="s">
        <v>24</v>
      </c>
      <c r="D1397" t="s">
        <v>25</v>
      </c>
      <c r="E1397" t="s">
        <v>9608</v>
      </c>
      <c r="F1397" s="2" t="n">
        <f>HYPERLINK("https://patents.google.com/patent/US20210366619","Google")</f>
        <v>0.0</v>
      </c>
      <c r="G1397" s="2" t="n">
        <f>HYPERLINK("https://patentcenter.uspto.gov/applications/17218316","Patent Center")</f>
        <v>0.0</v>
      </c>
      <c r="H1397" s="2" t="n">
        <f>HYPERLINK("https://worldwide.espacenet.com/patent/search?q=US20210366619","Espacenet")</f>
        <v>0.0</v>
      </c>
      <c r="I1397" s="2" t="n">
        <f>HYPERLINK("https://ppubs.uspto.gov/pubwebapp/external.html?q=20210366619.pn.","USPTO")</f>
        <v>0.0</v>
      </c>
      <c r="J1397" s="2" t="n">
        <f>HYPERLINK("https://image-ppubs.uspto.gov/dirsearch-public/print/downloadPdf/20210366619","USPTO PDF")</f>
        <v>0.0</v>
      </c>
      <c r="K1397" s="2" t="n">
        <f>HYPERLINK("https://sectors.patentforecast.com/pmd/US20210366619","PMD")</f>
        <v>0.0</v>
      </c>
      <c r="L1397" s="2" t="n">
        <f>HYPERLINK("https://globaldossier.uspto.gov/result/application/US/17218316/1","US20210366619")</f>
        <v>0.0</v>
      </c>
      <c r="M1397" t="s">
        <v>9609</v>
      </c>
      <c r="N1397" t="s">
        <v>9610</v>
      </c>
      <c r="O1397" t="s">
        <v>9611</v>
      </c>
      <c r="P1397" t="s">
        <v>9612</v>
      </c>
      <c r="Q1397" s="3" t="n">
        <v>44286.0</v>
      </c>
      <c r="R1397" s="3" t="n">
        <v>44525.0</v>
      </c>
      <c r="S1397" s="3" t="n">
        <v>44526.18890181713</v>
      </c>
      <c r="T1397" s="3" t="n">
        <v>44544.40454322917</v>
      </c>
      <c r="U1397" t="s">
        <v>9613</v>
      </c>
      <c r="V1397" t="s">
        <v>9614</v>
      </c>
    </row>
    <row r="1398">
      <c r="A1398" t="s">
        <v>22</v>
      </c>
      <c r="B1398" t="s">
        <v>9615</v>
      </c>
      <c r="C1398" t="s">
        <v>60</v>
      </c>
      <c r="D1398" t="s">
        <v>845</v>
      </c>
      <c r="E1398" t="s">
        <v>9616</v>
      </c>
      <c r="F1398" s="2" t="n">
        <f>HYPERLINK("https://patents.google.com/patent/US20210366608","Google")</f>
        <v>0.0</v>
      </c>
      <c r="G1398" s="2" t="n">
        <f>HYPERLINK("https://patentcenter.uspto.gov/applications/17325101","Patent Center")</f>
        <v>0.0</v>
      </c>
      <c r="H1398" s="2" t="n">
        <f>HYPERLINK("https://worldwide.espacenet.com/patent/search?q=US20210366608","Espacenet")</f>
        <v>0.0</v>
      </c>
      <c r="I1398" s="2" t="n">
        <f>HYPERLINK("https://ppubs.uspto.gov/pubwebapp/external.html?q=20210366608.pn.","USPTO")</f>
        <v>0.0</v>
      </c>
      <c r="J1398" s="2" t="n">
        <f>HYPERLINK("https://image-ppubs.uspto.gov/dirsearch-public/print/downloadPdf/20210366608","USPTO PDF")</f>
        <v>0.0</v>
      </c>
      <c r="K1398" s="2" t="n">
        <f>HYPERLINK("https://sectors.patentforecast.com/pmd/US20210366608","PMD")</f>
        <v>0.0</v>
      </c>
      <c r="L1398" s="2" t="n">
        <f>HYPERLINK("https://globaldossier.uspto.gov/result/application/US/17325101/1","US20210366608")</f>
        <v>0.0</v>
      </c>
      <c r="M1398" t="s">
        <v>9617</v>
      </c>
      <c r="N1398" t="s">
        <v>9618</v>
      </c>
      <c r="O1398" t="s">
        <v>9619</v>
      </c>
      <c r="P1398" t="s">
        <v>9620</v>
      </c>
      <c r="Q1398" s="3" t="n">
        <v>44335.0</v>
      </c>
      <c r="R1398" s="3" t="n">
        <v>44525.0</v>
      </c>
      <c r="S1398" s="3" t="n">
        <v>44526.18890181713</v>
      </c>
      <c r="T1398" s="3" t="n">
        <v>44544.3986290625</v>
      </c>
      <c r="U1398" t="s">
        <v>9621</v>
      </c>
      <c r="V1398" t="s">
        <v>9622</v>
      </c>
    </row>
    <row r="1399">
      <c r="A1399" t="s">
        <v>22</v>
      </c>
      <c r="B1399" t="s">
        <v>9623</v>
      </c>
      <c r="C1399" t="s">
        <v>60</v>
      </c>
      <c r="D1399" t="s">
        <v>845</v>
      </c>
      <c r="E1399" t="s">
        <v>9624</v>
      </c>
      <c r="F1399" s="2" t="n">
        <f>HYPERLINK("https://patents.google.com/patent/US20210366607","Google")</f>
        <v>0.0</v>
      </c>
      <c r="G1399" s="2" t="n">
        <f>HYPERLINK("https://patentcenter.uspto.gov/applications/17325035","Patent Center")</f>
        <v>0.0</v>
      </c>
      <c r="H1399" s="2" t="n">
        <f>HYPERLINK("https://worldwide.espacenet.com/patent/search?q=US20210366607","Espacenet")</f>
        <v>0.0</v>
      </c>
      <c r="I1399" s="2" t="n">
        <f>HYPERLINK("https://ppubs.uspto.gov/pubwebapp/external.html?q=20210366607.pn.","USPTO")</f>
        <v>0.0</v>
      </c>
      <c r="J1399" s="2" t="n">
        <f>HYPERLINK("https://image-ppubs.uspto.gov/dirsearch-public/print/downloadPdf/20210366607","USPTO PDF")</f>
        <v>0.0</v>
      </c>
      <c r="K1399" s="2" t="n">
        <f>HYPERLINK("https://sectors.patentforecast.com/pmd/US20210366607","PMD")</f>
        <v>0.0</v>
      </c>
      <c r="L1399" s="2" t="n">
        <f>HYPERLINK("https://globaldossier.uspto.gov/result/application/US/17325035/1","US20210366607")</f>
        <v>0.0</v>
      </c>
      <c r="M1399" t="s">
        <v>9625</v>
      </c>
      <c r="N1399" t="s">
        <v>8710</v>
      </c>
      <c r="O1399" t="s">
        <v>8710</v>
      </c>
      <c r="P1399" t="s">
        <v>8711</v>
      </c>
      <c r="Q1399" s="3" t="n">
        <v>44335.0</v>
      </c>
      <c r="R1399" s="3" t="n">
        <v>44525.0</v>
      </c>
      <c r="S1399" s="3" t="n">
        <v>44531.19560385417</v>
      </c>
      <c r="T1399" s="3" t="n">
        <v>44543.7107131713</v>
      </c>
      <c r="U1399" t="s">
        <v>9626</v>
      </c>
      <c r="V1399" t="s">
        <v>9627</v>
      </c>
    </row>
    <row r="1400">
      <c r="A1400" t="s">
        <v>22</v>
      </c>
      <c r="B1400" t="s">
        <v>9628</v>
      </c>
      <c r="C1400" t="s">
        <v>60</v>
      </c>
      <c r="D1400" t="s">
        <v>845</v>
      </c>
      <c r="E1400" t="s">
        <v>9629</v>
      </c>
      <c r="F1400" s="2" t="n">
        <f>HYPERLINK("https://patents.google.com/patent/US20210366606","Google")</f>
        <v>0.0</v>
      </c>
      <c r="G1400" s="2" t="n">
        <f>HYPERLINK("https://patentcenter.uspto.gov/applications/17235335","Patent Center")</f>
        <v>0.0</v>
      </c>
      <c r="H1400" s="2" t="n">
        <f>HYPERLINK("https://worldwide.espacenet.com/patent/search?q=US20210366606","Espacenet")</f>
        <v>0.0</v>
      </c>
      <c r="I1400" s="2" t="n">
        <f>HYPERLINK("https://ppubs.uspto.gov/pubwebapp/external.html?q=20210366606.pn.","USPTO")</f>
        <v>0.0</v>
      </c>
      <c r="J1400" s="2" t="n">
        <f>HYPERLINK("https://image-ppubs.uspto.gov/dirsearch-public/print/downloadPdf/20210366606","USPTO PDF")</f>
        <v>0.0</v>
      </c>
      <c r="K1400" s="2" t="n">
        <f>HYPERLINK("https://sectors.patentforecast.com/pmd/US20210366606","PMD")</f>
        <v>0.0</v>
      </c>
      <c r="L1400" s="2" t="n">
        <f>HYPERLINK("https://globaldossier.uspto.gov/result/application/US/17235335/1","US20210366606")</f>
        <v>0.0</v>
      </c>
      <c r="M1400" t="s">
        <v>9630</v>
      </c>
      <c r="N1400" t="s">
        <v>9631</v>
      </c>
      <c r="O1400" t="s">
        <v>9632</v>
      </c>
      <c r="P1400" t="s">
        <v>9633</v>
      </c>
      <c r="Q1400" s="3" t="n">
        <v>44306.0</v>
      </c>
      <c r="R1400" s="3" t="n">
        <v>44525.0</v>
      </c>
      <c r="S1400" s="3" t="n">
        <v>44526.18890181713</v>
      </c>
      <c r="T1400" s="3" t="n">
        <v>44544.40652157408</v>
      </c>
      <c r="U1400" t="s">
        <v>9634</v>
      </c>
      <c r="V1400" t="s">
        <v>9635</v>
      </c>
    </row>
    <row r="1401">
      <c r="A1401" t="s">
        <v>22</v>
      </c>
      <c r="B1401" t="s">
        <v>9636</v>
      </c>
      <c r="C1401" t="s">
        <v>24</v>
      </c>
      <c r="D1401" t="s">
        <v>43</v>
      </c>
      <c r="E1401" t="s">
        <v>9637</v>
      </c>
      <c r="F1401" s="2" t="n">
        <f>HYPERLINK("https://patents.google.com/patent/US20210365585","Google")</f>
        <v>0.0</v>
      </c>
      <c r="G1401" s="2" t="n">
        <f>HYPERLINK("https://patentcenter.uspto.gov/applications/17326498","Patent Center")</f>
        <v>0.0</v>
      </c>
      <c r="H1401" s="2" t="n">
        <f>HYPERLINK("https://worldwide.espacenet.com/patent/search?q=US20210365585","Espacenet")</f>
        <v>0.0</v>
      </c>
      <c r="I1401" s="2" t="n">
        <f>HYPERLINK("https://ppubs.uspto.gov/pubwebapp/external.html?q=20210365585.pn.","USPTO")</f>
        <v>0.0</v>
      </c>
      <c r="J1401" s="2" t="n">
        <f>HYPERLINK("https://image-ppubs.uspto.gov/dirsearch-public/print/downloadPdf/20210365585","USPTO PDF")</f>
        <v>0.0</v>
      </c>
      <c r="K1401" s="2" t="n">
        <f>HYPERLINK("https://sectors.patentforecast.com/pmd/US20210365585","PMD")</f>
        <v>0.0</v>
      </c>
      <c r="L1401" s="2" t="n">
        <f>HYPERLINK("https://globaldossier.uspto.gov/result/application/US/17326498/1","US20210365585")</f>
        <v>0.0</v>
      </c>
      <c r="M1401" t="s">
        <v>9638</v>
      </c>
      <c r="N1401" t="s">
        <v>1227</v>
      </c>
      <c r="O1401" t="s">
        <v>1228</v>
      </c>
      <c r="P1401" t="s">
        <v>9639</v>
      </c>
      <c r="Q1401" s="3" t="n">
        <v>44337.0</v>
      </c>
      <c r="R1401" s="3" t="n">
        <v>44525.0</v>
      </c>
      <c r="S1401" s="3" t="n">
        <v>44526.18890181713</v>
      </c>
      <c r="T1401" s="3" t="n">
        <v>44544.40350875</v>
      </c>
      <c r="U1401" t="s">
        <v>9640</v>
      </c>
      <c r="V1401" t="s">
        <v>9641</v>
      </c>
    </row>
    <row r="1402">
      <c r="A1402" t="s">
        <v>22</v>
      </c>
      <c r="B1402" t="s">
        <v>9642</v>
      </c>
      <c r="C1402" t="s">
        <v>24</v>
      </c>
      <c r="D1402" t="s">
        <v>43</v>
      </c>
      <c r="E1402" t="s">
        <v>9643</v>
      </c>
      <c r="F1402" s="2" t="n">
        <f>HYPERLINK("https://patents.google.com/patent/US20210365445","Google")</f>
        <v>0.0</v>
      </c>
      <c r="G1402" s="2" t="n">
        <f>HYPERLINK("https://patentcenter.uspto.gov/applications/17330196","Patent Center")</f>
        <v>0.0</v>
      </c>
      <c r="H1402" s="2" t="n">
        <f>HYPERLINK("https://worldwide.espacenet.com/patent/search?q=US20210365445","Espacenet")</f>
        <v>0.0</v>
      </c>
      <c r="I1402" s="2" t="n">
        <f>HYPERLINK("https://ppubs.uspto.gov/pubwebapp/external.html?q=20210365445.pn.","USPTO")</f>
        <v>0.0</v>
      </c>
      <c r="J1402" s="2" t="n">
        <f>HYPERLINK("https://image-ppubs.uspto.gov/dirsearch-public/print/downloadPdf/20210365445","USPTO PDF")</f>
        <v>0.0</v>
      </c>
      <c r="K1402" s="2" t="n">
        <f>HYPERLINK("https://sectors.patentforecast.com/pmd/US20210365445","PMD")</f>
        <v>0.0</v>
      </c>
      <c r="L1402" s="2" t="n">
        <f>HYPERLINK("https://globaldossier.uspto.gov/result/application/US/17330196/1","US20210365445")</f>
        <v>0.0</v>
      </c>
      <c r="M1402" t="s">
        <v>9644</v>
      </c>
      <c r="N1402" t="s">
        <v>9645</v>
      </c>
      <c r="O1402" t="s">
        <v>9646</v>
      </c>
      <c r="P1402" t="s">
        <v>9647</v>
      </c>
      <c r="Q1402" s="3" t="n">
        <v>44341.0</v>
      </c>
      <c r="R1402" s="3" t="n">
        <v>44525.0</v>
      </c>
      <c r="S1402" s="3" t="n">
        <v>44526.18890181713</v>
      </c>
      <c r="T1402" s="3" t="n">
        <v>44544.407034606484</v>
      </c>
      <c r="U1402" t="s">
        <v>9648</v>
      </c>
      <c r="V1402" t="s">
        <v>9649</v>
      </c>
    </row>
    <row r="1403">
      <c r="A1403" t="s">
        <v>22</v>
      </c>
      <c r="B1403" t="s">
        <v>9650</v>
      </c>
      <c r="C1403" t="s">
        <v>24</v>
      </c>
      <c r="D1403" t="s">
        <v>51</v>
      </c>
      <c r="E1403" t="s">
        <v>9651</v>
      </c>
      <c r="F1403" s="2" t="n">
        <f>HYPERLINK("https://patents.google.com/patent/US20210364536","Google")</f>
        <v>0.0</v>
      </c>
      <c r="G1403" s="2" t="n">
        <f>HYPERLINK("https://patentcenter.uspto.gov/applications/16898748","Patent Center")</f>
        <v>0.0</v>
      </c>
      <c r="H1403" s="2" t="n">
        <f>HYPERLINK("https://worldwide.espacenet.com/patent/search?q=US20210364536","Espacenet")</f>
        <v>0.0</v>
      </c>
      <c r="I1403" s="2" t="n">
        <f>HYPERLINK("https://ppubs.uspto.gov/pubwebapp/external.html?q=20210364536.pn.","USPTO")</f>
        <v>0.0</v>
      </c>
      <c r="J1403" s="2" t="n">
        <f>HYPERLINK("https://image-ppubs.uspto.gov/dirsearch-public/print/downloadPdf/20210364536","USPTO PDF")</f>
        <v>0.0</v>
      </c>
      <c r="K1403" s="2" t="n">
        <f>HYPERLINK("https://sectors.patentforecast.com/pmd/US20210364536","PMD")</f>
        <v>0.0</v>
      </c>
      <c r="L1403" s="2" t="n">
        <f>HYPERLINK("https://globaldossier.uspto.gov/result/application/US/16898748/1","US20210364536")</f>
        <v>0.0</v>
      </c>
      <c r="M1403" t="s">
        <v>9652</v>
      </c>
      <c r="N1403" t="s">
        <v>9653</v>
      </c>
      <c r="O1403" t="s">
        <v>9654</v>
      </c>
      <c r="P1403" t="s">
        <v>9655</v>
      </c>
      <c r="Q1403" s="3" t="n">
        <v>43993.0</v>
      </c>
      <c r="R1403" s="3" t="n">
        <v>44525.0</v>
      </c>
      <c r="S1403" s="3" t="n">
        <v>44526.18890181713</v>
      </c>
      <c r="T1403" s="3" t="n">
        <v>44544.39324395834</v>
      </c>
      <c r="U1403" t="s">
        <v>9656</v>
      </c>
      <c r="V1403" t="s">
        <v>9657</v>
      </c>
    </row>
    <row r="1404">
      <c r="A1404" t="s">
        <v>22</v>
      </c>
      <c r="B1404" t="s">
        <v>9658</v>
      </c>
      <c r="C1404" t="s">
        <v>24</v>
      </c>
      <c r="D1404" t="s">
        <v>25</v>
      </c>
      <c r="E1404" t="s">
        <v>9659</v>
      </c>
      <c r="F1404" s="2" t="n">
        <f>HYPERLINK("https://patents.google.com/patent/US20210364531","Google")</f>
        <v>0.0</v>
      </c>
      <c r="G1404" s="2" t="n">
        <f>HYPERLINK("https://patentcenter.uspto.gov/applications/17324856","Patent Center")</f>
        <v>0.0</v>
      </c>
      <c r="H1404" s="2" t="n">
        <f>HYPERLINK("https://worldwide.espacenet.com/patent/search?q=US20210364531","Espacenet")</f>
        <v>0.0</v>
      </c>
      <c r="I1404" s="2" t="n">
        <f>HYPERLINK("https://ppubs.uspto.gov/pubwebapp/external.html?q=20210364531.pn.","USPTO")</f>
        <v>0.0</v>
      </c>
      <c r="J1404" s="2" t="n">
        <f>HYPERLINK("https://image-ppubs.uspto.gov/dirsearch-public/print/downloadPdf/20210364531","USPTO PDF")</f>
        <v>0.0</v>
      </c>
      <c r="K1404" s="2" t="n">
        <f>HYPERLINK("https://sectors.patentforecast.com/pmd/US20210364531","PMD")</f>
        <v>0.0</v>
      </c>
      <c r="L1404" s="2" t="n">
        <f>HYPERLINK("https://globaldossier.uspto.gov/result/application/US/17324856/1","US20210364531")</f>
        <v>0.0</v>
      </c>
      <c r="M1404" t="s">
        <v>9660</v>
      </c>
      <c r="N1404" t="s">
        <v>5169</v>
      </c>
      <c r="O1404" t="s">
        <v>5170</v>
      </c>
      <c r="P1404" t="s">
        <v>9661</v>
      </c>
      <c r="Q1404" s="3" t="n">
        <v>44335.0</v>
      </c>
      <c r="R1404" s="3" t="n">
        <v>44525.0</v>
      </c>
      <c r="S1404" s="3" t="n">
        <v>44526.190172916664</v>
      </c>
      <c r="T1404" s="3" t="n">
        <v>44544.39525594907</v>
      </c>
      <c r="U1404" t="s">
        <v>9662</v>
      </c>
      <c r="V1404" t="s">
        <v>9663</v>
      </c>
    </row>
    <row r="1405">
      <c r="A1405" t="s">
        <v>22</v>
      </c>
      <c r="B1405" t="s">
        <v>9664</v>
      </c>
      <c r="C1405" t="s">
        <v>24</v>
      </c>
      <c r="D1405" t="s">
        <v>25</v>
      </c>
      <c r="E1405" t="s">
        <v>9665</v>
      </c>
      <c r="F1405" s="2" t="n">
        <f>HYPERLINK("https://patents.google.com/patent/US20210364517","Google")</f>
        <v>0.0</v>
      </c>
      <c r="G1405" s="2" t="n">
        <f>HYPERLINK("https://patentcenter.uspto.gov/applications/17327151","Patent Center")</f>
        <v>0.0</v>
      </c>
      <c r="H1405" s="2" t="n">
        <f>HYPERLINK("https://worldwide.espacenet.com/patent/search?q=US20210364517","Espacenet")</f>
        <v>0.0</v>
      </c>
      <c r="I1405" s="2" t="n">
        <f>HYPERLINK("https://ppubs.uspto.gov/pubwebapp/external.html?q=20210364517.pn.","USPTO")</f>
        <v>0.0</v>
      </c>
      <c r="J1405" s="2" t="n">
        <f>HYPERLINK("https://image-ppubs.uspto.gov/dirsearch-public/print/downloadPdf/20210364517","USPTO PDF")</f>
        <v>0.0</v>
      </c>
      <c r="K1405" s="2" t="n">
        <f>HYPERLINK("https://sectors.patentforecast.com/pmd/US20210364517","PMD")</f>
        <v>0.0</v>
      </c>
      <c r="L1405" s="2" t="n">
        <f>HYPERLINK("https://globaldossier.uspto.gov/result/application/US/17327151/1","US20210364517")</f>
        <v>0.0</v>
      </c>
      <c r="M1405" t="s">
        <v>9666</v>
      </c>
      <c r="N1405" t="s">
        <v>1792</v>
      </c>
      <c r="O1405" t="s">
        <v>1793</v>
      </c>
      <c r="P1405" t="s">
        <v>9667</v>
      </c>
      <c r="Q1405" s="3" t="n">
        <v>44337.0</v>
      </c>
      <c r="R1405" s="3" t="n">
        <v>44525.0</v>
      </c>
      <c r="S1405" s="3" t="n">
        <v>44526.18890181713</v>
      </c>
      <c r="T1405" s="3" t="n">
        <v>44544.395124166665</v>
      </c>
      <c r="U1405" t="s">
        <v>9668</v>
      </c>
      <c r="V1405" t="s">
        <v>9669</v>
      </c>
    </row>
    <row r="1406">
      <c r="A1406" t="s">
        <v>22</v>
      </c>
      <c r="B1406" t="s">
        <v>9670</v>
      </c>
      <c r="C1406" t="s">
        <v>60</v>
      </c>
      <c r="D1406" t="s">
        <v>2262</v>
      </c>
      <c r="E1406" t="s">
        <v>9671</v>
      </c>
      <c r="F1406" s="2" t="n">
        <f>HYPERLINK("https://patents.google.com/patent/US20210364516","Google")</f>
        <v>0.0</v>
      </c>
      <c r="G1406" s="2" t="n">
        <f>HYPERLINK("https://patentcenter.uspto.gov/applications/17303063","Patent Center")</f>
        <v>0.0</v>
      </c>
      <c r="H1406" s="2" t="n">
        <f>HYPERLINK("https://worldwide.espacenet.com/patent/search?q=US20210364516","Espacenet")</f>
        <v>0.0</v>
      </c>
      <c r="I1406" s="2" t="n">
        <f>HYPERLINK("https://ppubs.uspto.gov/pubwebapp/external.html?q=20210364516.pn.","USPTO")</f>
        <v>0.0</v>
      </c>
      <c r="J1406" s="2" t="n">
        <f>HYPERLINK("https://image-ppubs.uspto.gov/dirsearch-public/print/downloadPdf/20210364516","USPTO PDF")</f>
        <v>0.0</v>
      </c>
      <c r="K1406" s="2" t="n">
        <f>HYPERLINK("https://sectors.patentforecast.com/pmd/US20210364516","PMD")</f>
        <v>0.0</v>
      </c>
      <c r="L1406" s="2" t="n">
        <f>HYPERLINK("https://globaldossier.uspto.gov/result/application/US/17303063/1","US20210364516")</f>
        <v>0.0</v>
      </c>
      <c r="M1406" t="s">
        <v>9672</v>
      </c>
      <c r="N1406" t="s">
        <v>3284</v>
      </c>
      <c r="O1406" t="s">
        <v>3285</v>
      </c>
      <c r="P1406" t="s">
        <v>9673</v>
      </c>
      <c r="Q1406" s="3" t="n">
        <v>44335.0</v>
      </c>
      <c r="R1406" s="3" t="n">
        <v>44525.0</v>
      </c>
      <c r="S1406" s="3" t="n">
        <v>44526.18890181713</v>
      </c>
      <c r="T1406" s="3" t="n">
        <v>44544.4074665625</v>
      </c>
      <c r="U1406" t="s">
        <v>9674</v>
      </c>
      <c r="V1406" t="s">
        <v>9675</v>
      </c>
    </row>
    <row r="1407">
      <c r="A1407" t="s">
        <v>22</v>
      </c>
      <c r="B1407" t="s">
        <v>9676</v>
      </c>
      <c r="C1407" t="s">
        <v>24</v>
      </c>
      <c r="D1407" t="s">
        <v>51</v>
      </c>
      <c r="E1407" t="s">
        <v>9677</v>
      </c>
      <c r="F1407" s="2" t="n">
        <f>HYPERLINK("https://patents.google.com/patent/US20210364508","Google")</f>
        <v>0.0</v>
      </c>
      <c r="G1407" s="2" t="n">
        <f>HYPERLINK("https://patentcenter.uspto.gov/applications/17325681","Patent Center")</f>
        <v>0.0</v>
      </c>
      <c r="H1407" s="2" t="n">
        <f>HYPERLINK("https://worldwide.espacenet.com/patent/search?q=US20210364508","Espacenet")</f>
        <v>0.0</v>
      </c>
      <c r="I1407" s="2" t="n">
        <f>HYPERLINK("https://ppubs.uspto.gov/pubwebapp/external.html?q=20210364508.pn.","USPTO")</f>
        <v>0.0</v>
      </c>
      <c r="J1407" s="2" t="n">
        <f>HYPERLINK("https://image-ppubs.uspto.gov/dirsearch-public/print/downloadPdf/20210364508","USPTO PDF")</f>
        <v>0.0</v>
      </c>
      <c r="K1407" s="2" t="n">
        <f>HYPERLINK("https://sectors.patentforecast.com/pmd/US20210364508","PMD")</f>
        <v>0.0</v>
      </c>
      <c r="L1407" s="2" t="n">
        <f>HYPERLINK("https://globaldossier.uspto.gov/result/application/US/17325681/1","US20210364508")</f>
        <v>0.0</v>
      </c>
      <c r="M1407" t="s">
        <v>9678</v>
      </c>
      <c r="N1407" t="s">
        <v>9679</v>
      </c>
      <c r="O1407" t="s">
        <v>9680</v>
      </c>
      <c r="P1407" t="s">
        <v>9681</v>
      </c>
      <c r="Q1407" s="3" t="n">
        <v>44336.0</v>
      </c>
      <c r="R1407" s="3" t="n">
        <v>44525.0</v>
      </c>
      <c r="S1407" s="3" t="n">
        <v>44526.18890181713</v>
      </c>
      <c r="T1407" s="3" t="n">
        <v>44544.38195449074</v>
      </c>
      <c r="U1407" t="s">
        <v>9682</v>
      </c>
      <c r="V1407" t="s">
        <v>9683</v>
      </c>
    </row>
    <row r="1408">
      <c r="A1408" t="s">
        <v>22</v>
      </c>
      <c r="B1408" t="s">
        <v>9684</v>
      </c>
      <c r="C1408" t="s">
        <v>24</v>
      </c>
      <c r="D1408" t="s">
        <v>204</v>
      </c>
      <c r="E1408" t="s">
        <v>9685</v>
      </c>
      <c r="F1408" s="2" t="n">
        <f>HYPERLINK("https://patents.google.com/patent/US20210364419","Google")</f>
        <v>0.0</v>
      </c>
      <c r="G1408" s="2" t="n">
        <f>HYPERLINK("https://patentcenter.uspto.gov/applications/17325806","Patent Center")</f>
        <v>0.0</v>
      </c>
      <c r="H1408" s="2" t="n">
        <f>HYPERLINK("https://worldwide.espacenet.com/patent/search?q=US20210364419","Espacenet")</f>
        <v>0.0</v>
      </c>
      <c r="I1408" s="2" t="n">
        <f>HYPERLINK("https://ppubs.uspto.gov/pubwebapp/external.html?q=20210364419.pn.","USPTO")</f>
        <v>0.0</v>
      </c>
      <c r="J1408" s="2" t="n">
        <f>HYPERLINK("https://image-ppubs.uspto.gov/dirsearch-public/print/downloadPdf/20210364419","USPTO PDF")</f>
        <v>0.0</v>
      </c>
      <c r="K1408" s="2" t="n">
        <f>HYPERLINK("https://sectors.patentforecast.com/pmd/US20210364419","PMD")</f>
        <v>0.0</v>
      </c>
      <c r="L1408" s="2" t="n">
        <f>HYPERLINK("https://globaldossier.uspto.gov/result/application/US/17325806/1","US20210364419")</f>
        <v>0.0</v>
      </c>
      <c r="M1408" t="s">
        <v>9686</v>
      </c>
      <c r="N1408" t="s">
        <v>9687</v>
      </c>
      <c r="O1408" t="s">
        <v>9688</v>
      </c>
      <c r="P1408" t="s">
        <v>9689</v>
      </c>
      <c r="Q1408" s="3" t="n">
        <v>44336.0</v>
      </c>
      <c r="R1408" s="3" t="n">
        <v>44525.0</v>
      </c>
      <c r="S1408" s="3" t="n">
        <v>44526.18890181713</v>
      </c>
      <c r="T1408" s="3" t="n">
        <v>44544.40608418982</v>
      </c>
      <c r="U1408" t="s">
        <v>9690</v>
      </c>
      <c r="V1408" t="s">
        <v>9691</v>
      </c>
    </row>
    <row r="1409">
      <c r="A1409" t="s">
        <v>22</v>
      </c>
      <c r="B1409" t="s">
        <v>9692</v>
      </c>
      <c r="C1409" t="s">
        <v>312</v>
      </c>
      <c r="D1409" t="s">
        <v>313</v>
      </c>
      <c r="E1409" t="s">
        <v>9693</v>
      </c>
      <c r="F1409" s="2" t="n">
        <f>HYPERLINK("https://patents.google.com/patent/US20210363661","Google")</f>
        <v>0.0</v>
      </c>
      <c r="G1409" s="2" t="n">
        <f>HYPERLINK("https://patentcenter.uspto.gov/applications/17281540","Patent Center")</f>
        <v>0.0</v>
      </c>
      <c r="H1409" s="2" t="n">
        <f>HYPERLINK("https://worldwide.espacenet.com/patent/search?q=US20210363661","Espacenet")</f>
        <v>0.0</v>
      </c>
      <c r="I1409" s="2" t="n">
        <f>HYPERLINK("https://ppubs.uspto.gov/pubwebapp/external.html?q=20210363661.pn.","USPTO")</f>
        <v>0.0</v>
      </c>
      <c r="J1409" s="2" t="n">
        <f>HYPERLINK("https://image-ppubs.uspto.gov/dirsearch-public/print/downloadPdf/20210363661","USPTO PDF")</f>
        <v>0.0</v>
      </c>
      <c r="K1409" s="2" t="n">
        <f>HYPERLINK("https://sectors.patentforecast.com/pmd/US20210363661","PMD")</f>
        <v>0.0</v>
      </c>
      <c r="L1409" s="2" t="n">
        <f>HYPERLINK("https://globaldossier.uspto.gov/result/application/US/17281540/1","US20210363661")</f>
        <v>0.0</v>
      </c>
      <c r="M1409" t="s">
        <v>9694</v>
      </c>
      <c r="N1409" t="s">
        <v>9695</v>
      </c>
      <c r="O1409" t="s">
        <v>9695</v>
      </c>
      <c r="P1409" t="s">
        <v>9696</v>
      </c>
      <c r="Q1409" s="3" t="n">
        <v>43644.0</v>
      </c>
      <c r="R1409" s="3" t="n">
        <v>44525.0</v>
      </c>
      <c r="S1409" s="3" t="n">
        <v>44526.190172916664</v>
      </c>
      <c r="T1409" s="3" t="n">
        <v>44544.38302300926</v>
      </c>
      <c r="U1409" t="s">
        <v>9697</v>
      </c>
      <c r="V1409" t="s">
        <v>9698</v>
      </c>
    </row>
    <row r="1410">
      <c r="A1410" t="s">
        <v>22</v>
      </c>
      <c r="B1410" t="s">
        <v>9699</v>
      </c>
      <c r="C1410" t="s">
        <v>24</v>
      </c>
      <c r="D1410" t="s">
        <v>51</v>
      </c>
      <c r="E1410" t="s">
        <v>9700</v>
      </c>
      <c r="F1410" s="2" t="n">
        <f>HYPERLINK("https://patents.google.com/patent/US20210363602","Google")</f>
        <v>0.0</v>
      </c>
      <c r="G1410" s="2" t="n">
        <f>HYPERLINK("https://patentcenter.uspto.gov/applications/17034407","Patent Center")</f>
        <v>0.0</v>
      </c>
      <c r="H1410" s="2" t="n">
        <f>HYPERLINK("https://worldwide.espacenet.com/patent/search?q=US20210363602","Espacenet")</f>
        <v>0.0</v>
      </c>
      <c r="I1410" s="2" t="n">
        <f>HYPERLINK("https://ppubs.uspto.gov/pubwebapp/external.html?q=20210363602.pn.","USPTO")</f>
        <v>0.0</v>
      </c>
      <c r="J1410" s="2" t="n">
        <f>HYPERLINK("https://image-ppubs.uspto.gov/dirsearch-public/print/downloadPdf/20210363602","USPTO PDF")</f>
        <v>0.0</v>
      </c>
      <c r="K1410" s="2" t="n">
        <f>HYPERLINK("https://sectors.patentforecast.com/pmd/US20210363602","PMD")</f>
        <v>0.0</v>
      </c>
      <c r="L1410" s="2" t="n">
        <f>HYPERLINK("https://globaldossier.uspto.gov/result/application/US/17034407/1","US20210363602")</f>
        <v>0.0</v>
      </c>
      <c r="M1410" t="s">
        <v>9701</v>
      </c>
      <c r="N1410" t="s">
        <v>9702</v>
      </c>
      <c r="O1410" t="s">
        <v>9702</v>
      </c>
      <c r="P1410" t="s">
        <v>9703</v>
      </c>
      <c r="Q1410" s="3" t="n">
        <v>44102.0</v>
      </c>
      <c r="R1410" s="3" t="n">
        <v>44525.0</v>
      </c>
      <c r="S1410" s="3" t="n">
        <v>44526.18890181713</v>
      </c>
      <c r="T1410" s="3" t="n">
        <v>44544.393963842595</v>
      </c>
      <c r="U1410" t="s">
        <v>8300</v>
      </c>
      <c r="V1410" t="s">
        <v>9704</v>
      </c>
    </row>
    <row r="1411">
      <c r="A1411" t="s">
        <v>22</v>
      </c>
      <c r="B1411" t="s">
        <v>9705</v>
      </c>
      <c r="C1411" t="s">
        <v>132</v>
      </c>
      <c r="D1411" t="s">
        <v>133</v>
      </c>
      <c r="E1411" t="s">
        <v>9706</v>
      </c>
      <c r="F1411" s="2" t="n">
        <f>HYPERLINK("https://patents.google.com/patent/US20210363517","Google")</f>
        <v>0.0</v>
      </c>
      <c r="G1411" s="2" t="n">
        <f>HYPERLINK("https://patentcenter.uspto.gov/applications/17195613","Patent Center")</f>
        <v>0.0</v>
      </c>
      <c r="H1411" s="2" t="n">
        <f>HYPERLINK("https://worldwide.espacenet.com/patent/search?q=US20210363517","Espacenet")</f>
        <v>0.0</v>
      </c>
      <c r="I1411" s="2" t="n">
        <f>HYPERLINK("https://ppubs.uspto.gov/pubwebapp/external.html?q=20210363517.pn.","USPTO")</f>
        <v>0.0</v>
      </c>
      <c r="J1411" s="2" t="n">
        <f>HYPERLINK("https://image-ppubs.uspto.gov/dirsearch-public/print/downloadPdf/20210363517","USPTO PDF")</f>
        <v>0.0</v>
      </c>
      <c r="K1411" s="2" t="n">
        <f>HYPERLINK("https://sectors.patentforecast.com/pmd/US20210363517","PMD")</f>
        <v>0.0</v>
      </c>
      <c r="L1411" s="2" t="n">
        <f>HYPERLINK("https://globaldossier.uspto.gov/result/application/US/17195613/1","US20210363517")</f>
        <v>0.0</v>
      </c>
      <c r="M1411" t="s">
        <v>9707</v>
      </c>
      <c r="N1411" t="s">
        <v>9708</v>
      </c>
      <c r="O1411" t="s">
        <v>9709</v>
      </c>
      <c r="P1411" t="s">
        <v>9710</v>
      </c>
      <c r="Q1411" s="3" t="n">
        <v>44263.0</v>
      </c>
      <c r="R1411" s="3" t="n">
        <v>44525.0</v>
      </c>
      <c r="S1411" s="3" t="n">
        <v>44526.18890181713</v>
      </c>
      <c r="T1411" s="3" t="n">
        <v>44544.39273979166</v>
      </c>
      <c r="U1411" t="s">
        <v>9711</v>
      </c>
      <c r="V1411" t="s">
        <v>9712</v>
      </c>
    </row>
    <row r="1412">
      <c r="A1412" t="s">
        <v>22</v>
      </c>
      <c r="B1412" t="s">
        <v>9713</v>
      </c>
      <c r="C1412" t="s">
        <v>60</v>
      </c>
      <c r="D1412" t="s">
        <v>61</v>
      </c>
      <c r="E1412" t="s">
        <v>9714</v>
      </c>
      <c r="F1412" s="2" t="n">
        <f>HYPERLINK("https://patents.google.com/patent/US20210363512","Google")</f>
        <v>0.0</v>
      </c>
      <c r="G1412" s="2" t="n">
        <f>HYPERLINK("https://patentcenter.uspto.gov/applications/17327081","Patent Center")</f>
        <v>0.0</v>
      </c>
      <c r="H1412" s="2" t="n">
        <f>HYPERLINK("https://worldwide.espacenet.com/patent/search?q=US20210363512","Espacenet")</f>
        <v>0.0</v>
      </c>
      <c r="I1412" s="2" t="n">
        <f>HYPERLINK("https://ppubs.uspto.gov/pubwebapp/external.html?q=20210363512.pn.","USPTO")</f>
        <v>0.0</v>
      </c>
      <c r="J1412" s="2" t="n">
        <f>HYPERLINK("https://image-ppubs.uspto.gov/dirsearch-public/print/downloadPdf/20210363512","USPTO PDF")</f>
        <v>0.0</v>
      </c>
      <c r="K1412" s="2" t="n">
        <f>HYPERLINK("https://sectors.patentforecast.com/pmd/US20210363512","PMD")</f>
        <v>0.0</v>
      </c>
      <c r="L1412" s="2" t="n">
        <f>HYPERLINK("https://globaldossier.uspto.gov/result/application/US/17327081/1","US20210363512")</f>
        <v>0.0</v>
      </c>
      <c r="M1412" t="s">
        <v>9715</v>
      </c>
      <c r="N1412" t="s">
        <v>9716</v>
      </c>
      <c r="O1412" t="s">
        <v>9717</v>
      </c>
      <c r="P1412" t="s">
        <v>9718</v>
      </c>
      <c r="Q1412" s="3" t="n">
        <v>44337.0</v>
      </c>
      <c r="R1412" s="3" t="n">
        <v>44525.0</v>
      </c>
      <c r="S1412" s="3" t="n">
        <v>44526.18890181713</v>
      </c>
      <c r="T1412" s="3" t="n">
        <v>44638.674667858795</v>
      </c>
      <c r="U1412" t="s">
        <v>9719</v>
      </c>
      <c r="V1412" t="s">
        <v>9720</v>
      </c>
    </row>
    <row r="1413">
      <c r="A1413" t="s">
        <v>22</v>
      </c>
      <c r="B1413" t="s">
        <v>9721</v>
      </c>
      <c r="C1413" t="s">
        <v>24</v>
      </c>
      <c r="D1413" t="s">
        <v>69</v>
      </c>
      <c r="E1413" t="s">
        <v>9722</v>
      </c>
      <c r="F1413" s="2" t="n">
        <f>HYPERLINK("https://patents.google.com/patent/US20210362925","Google")</f>
        <v>0.0</v>
      </c>
      <c r="G1413" s="2" t="n">
        <f>HYPERLINK("https://patentcenter.uspto.gov/applications/17323091","Patent Center")</f>
        <v>0.0</v>
      </c>
      <c r="H1413" s="2" t="n">
        <f>HYPERLINK("https://worldwide.espacenet.com/patent/search?q=US20210362925","Espacenet")</f>
        <v>0.0</v>
      </c>
      <c r="I1413" s="2" t="n">
        <f>HYPERLINK("https://ppubs.uspto.gov/pubwebapp/external.html?q=20210362925.pn.","USPTO")</f>
        <v>0.0</v>
      </c>
      <c r="J1413" s="2" t="n">
        <f>HYPERLINK("https://image-ppubs.uspto.gov/dirsearch-public/print/downloadPdf/20210362925","USPTO PDF")</f>
        <v>0.0</v>
      </c>
      <c r="K1413" s="2" t="n">
        <f>HYPERLINK("https://sectors.patentforecast.com/pmd/US20210362925","PMD")</f>
        <v>0.0</v>
      </c>
      <c r="L1413" s="2" t="n">
        <f>HYPERLINK("https://globaldossier.uspto.gov/result/application/US/17323091/1","US20210362925")</f>
        <v>0.0</v>
      </c>
      <c r="M1413" t="s">
        <v>9723</v>
      </c>
      <c r="N1413" t="s">
        <v>9724</v>
      </c>
      <c r="O1413" t="s">
        <v>9725</v>
      </c>
      <c r="P1413" t="s">
        <v>9726</v>
      </c>
      <c r="Q1413" s="3" t="n">
        <v>44334.0</v>
      </c>
      <c r="R1413" s="3" t="n">
        <v>44525.0</v>
      </c>
      <c r="S1413" s="3" t="n">
        <v>44526.18785809028</v>
      </c>
      <c r="T1413" s="3" t="n">
        <v>44544.38639327546</v>
      </c>
      <c r="U1413" t="s">
        <v>9727</v>
      </c>
      <c r="V1413" t="s">
        <v>9728</v>
      </c>
    </row>
    <row r="1414">
      <c r="A1414" t="s">
        <v>22</v>
      </c>
      <c r="B1414" t="s">
        <v>9729</v>
      </c>
      <c r="C1414" t="s">
        <v>24</v>
      </c>
      <c r="D1414" t="s">
        <v>100</v>
      </c>
      <c r="E1414" t="s">
        <v>9730</v>
      </c>
      <c r="F1414" s="2" t="n">
        <f>HYPERLINK("https://patents.google.com/patent/US20210362320","Google")</f>
        <v>0.0</v>
      </c>
      <c r="G1414" s="2" t="n">
        <f>HYPERLINK("https://patentcenter.uspto.gov/applications/16882294","Patent Center")</f>
        <v>0.0</v>
      </c>
      <c r="H1414" s="2" t="n">
        <f>HYPERLINK("https://worldwide.espacenet.com/patent/search?q=US20210362320","Espacenet")</f>
        <v>0.0</v>
      </c>
      <c r="I1414" s="2" t="n">
        <f>HYPERLINK("https://ppubs.uspto.gov/pubwebapp/external.html?q=20210362320.pn.","USPTO")</f>
        <v>0.0</v>
      </c>
      <c r="J1414" s="2" t="n">
        <f>HYPERLINK("https://image-ppubs.uspto.gov/dirsearch-public/print/downloadPdf/20210362320","USPTO PDF")</f>
        <v>0.0</v>
      </c>
      <c r="K1414" s="2" t="n">
        <f>HYPERLINK("https://sectors.patentforecast.com/pmd/US20210362320","PMD")</f>
        <v>0.0</v>
      </c>
      <c r="L1414" s="2" t="n">
        <f>HYPERLINK("https://globaldossier.uspto.gov/result/application/US/16882294/1","US20210362320")</f>
        <v>0.0</v>
      </c>
      <c r="M1414" t="s">
        <v>9731</v>
      </c>
      <c r="N1414" t="s">
        <v>9732</v>
      </c>
      <c r="O1414" t="s">
        <v>9733</v>
      </c>
      <c r="P1414" t="s">
        <v>9734</v>
      </c>
      <c r="Q1414" s="3" t="n">
        <v>43973.0</v>
      </c>
      <c r="R1414" s="3" t="n">
        <v>44525.0</v>
      </c>
      <c r="S1414" s="3" t="n">
        <v>44531.193174479165</v>
      </c>
      <c r="T1414" s="3" t="n">
        <v>44543.71084516204</v>
      </c>
      <c r="U1414" t="s">
        <v>9735</v>
      </c>
      <c r="V1414" t="s">
        <v>9736</v>
      </c>
    </row>
    <row r="1415">
      <c r="A1415" t="s">
        <v>22</v>
      </c>
      <c r="B1415" t="s">
        <v>9737</v>
      </c>
      <c r="C1415" t="s">
        <v>24</v>
      </c>
      <c r="D1415" t="s">
        <v>69</v>
      </c>
      <c r="E1415" t="s">
        <v>9738</v>
      </c>
      <c r="F1415" s="2" t="n">
        <f>HYPERLINK("https://patents.google.com/patent/US20210362082","Google")</f>
        <v>0.0</v>
      </c>
      <c r="G1415" s="2" t="n">
        <f>HYPERLINK("https://patentcenter.uspto.gov/applications/17322924","Patent Center")</f>
        <v>0.0</v>
      </c>
      <c r="H1415" s="2" t="n">
        <f>HYPERLINK("https://worldwide.espacenet.com/patent/search?q=US20210362082","Espacenet")</f>
        <v>0.0</v>
      </c>
      <c r="I1415" s="2" t="n">
        <f>HYPERLINK("https://ppubs.uspto.gov/pubwebapp/external.html?q=20210362082.pn.","USPTO")</f>
        <v>0.0</v>
      </c>
      <c r="J1415" s="2" t="n">
        <f>HYPERLINK("https://image-ppubs.uspto.gov/dirsearch-public/print/downloadPdf/20210362082","USPTO PDF")</f>
        <v>0.0</v>
      </c>
      <c r="K1415" s="2" t="n">
        <f>HYPERLINK("https://sectors.patentforecast.com/pmd/US20210362082","PMD")</f>
        <v>0.0</v>
      </c>
      <c r="L1415" s="2" t="n">
        <f>HYPERLINK("https://globaldossier.uspto.gov/result/application/US/17322924/1","US20210362082")</f>
        <v>0.0</v>
      </c>
      <c r="M1415" t="s">
        <v>9739</v>
      </c>
      <c r="N1415" t="s">
        <v>9740</v>
      </c>
      <c r="O1415" t="s">
        <v>9741</v>
      </c>
      <c r="P1415" t="s">
        <v>9742</v>
      </c>
      <c r="Q1415" s="3" t="n">
        <v>44334.0</v>
      </c>
      <c r="R1415" s="3" t="n">
        <v>44525.0</v>
      </c>
      <c r="S1415" s="3" t="n">
        <v>44526.18890181713</v>
      </c>
      <c r="T1415" s="3" t="n">
        <v>44678.632808090275</v>
      </c>
      <c r="U1415" t="s">
        <v>9743</v>
      </c>
      <c r="V1415" t="s">
        <v>9744</v>
      </c>
    </row>
    <row r="1416">
      <c r="A1416" t="s">
        <v>22</v>
      </c>
      <c r="B1416" t="s">
        <v>9745</v>
      </c>
      <c r="C1416" t="s">
        <v>24</v>
      </c>
      <c r="D1416" t="s">
        <v>100</v>
      </c>
      <c r="E1416" t="s">
        <v>9746</v>
      </c>
      <c r="F1416" s="2" t="n">
        <f>HYPERLINK("https://patents.google.com/patent/US20210361791","Google")</f>
        <v>0.0</v>
      </c>
      <c r="G1416" s="2" t="n">
        <f>HYPERLINK("https://patentcenter.uspto.gov/applications/16879935","Patent Center")</f>
        <v>0.0</v>
      </c>
      <c r="H1416" s="2" t="n">
        <f>HYPERLINK("https://worldwide.espacenet.com/patent/search?q=US20210361791","Espacenet")</f>
        <v>0.0</v>
      </c>
      <c r="I1416" s="2" t="n">
        <f>HYPERLINK("https://ppubs.uspto.gov/pubwebapp/external.html?q=20210361791.pn.","USPTO")</f>
        <v>0.0</v>
      </c>
      <c r="J1416" s="2" t="n">
        <f>HYPERLINK("https://image-ppubs.uspto.gov/dirsearch-public/print/downloadPdf/20210361791","USPTO PDF")</f>
        <v>0.0</v>
      </c>
      <c r="K1416" s="2" t="n">
        <f>HYPERLINK("https://sectors.patentforecast.com/pmd/US20210361791","PMD")</f>
        <v>0.0</v>
      </c>
      <c r="L1416" s="2" t="n">
        <f>HYPERLINK("https://globaldossier.uspto.gov/result/application/US/16879935/1","US20210361791")</f>
        <v>0.0</v>
      </c>
      <c r="M1416" t="s">
        <v>9747</v>
      </c>
      <c r="N1416" t="s">
        <v>9748</v>
      </c>
      <c r="O1416" t="s">
        <v>9749</v>
      </c>
      <c r="P1416" t="s">
        <v>9750</v>
      </c>
      <c r="Q1416" s="3" t="n">
        <v>43972.0</v>
      </c>
      <c r="R1416" s="3" t="n">
        <v>44525.0</v>
      </c>
      <c r="S1416" s="3" t="n">
        <v>44526.18866885416</v>
      </c>
      <c r="T1416" s="3" t="n">
        <v>44544.38113375</v>
      </c>
      <c r="U1416" t="s">
        <v>9751</v>
      </c>
      <c r="V1416" t="s">
        <v>9752</v>
      </c>
    </row>
    <row r="1417">
      <c r="A1417" t="s">
        <v>22</v>
      </c>
      <c r="B1417" t="s">
        <v>9753</v>
      </c>
      <c r="C1417" t="s">
        <v>60</v>
      </c>
      <c r="D1417" t="s">
        <v>2262</v>
      </c>
      <c r="E1417" t="s">
        <v>9754</v>
      </c>
      <c r="F1417" s="2" t="n">
        <f>HYPERLINK("https://patents.google.com/patent/US20210361733","Google")</f>
        <v>0.0</v>
      </c>
      <c r="G1417" s="2" t="n">
        <f>HYPERLINK("https://patentcenter.uspto.gov/applications/17395491","Patent Center")</f>
        <v>0.0</v>
      </c>
      <c r="H1417" s="2" t="n">
        <f>HYPERLINK("https://worldwide.espacenet.com/patent/search?q=US20210361733","Espacenet")</f>
        <v>0.0</v>
      </c>
      <c r="I1417" s="2" t="n">
        <f>HYPERLINK("https://ppubs.uspto.gov/pubwebapp/external.html?q=20210361733.pn.","USPTO")</f>
        <v>0.0</v>
      </c>
      <c r="J1417" s="2" t="n">
        <f>HYPERLINK("https://image-ppubs.uspto.gov/dirsearch-public/print/downloadPdf/20210361733","USPTO PDF")</f>
        <v>0.0</v>
      </c>
      <c r="K1417" s="2" t="n">
        <f>HYPERLINK("https://sectors.patentforecast.com/pmd/US20210361733","PMD")</f>
        <v>0.0</v>
      </c>
      <c r="L1417" s="2" t="n">
        <f>HYPERLINK("https://globaldossier.uspto.gov/result/application/US/17395491/1","US20210361733")</f>
        <v>0.0</v>
      </c>
      <c r="M1417" t="s">
        <v>9755</v>
      </c>
      <c r="N1417" t="s">
        <v>9756</v>
      </c>
      <c r="O1417" t="s">
        <v>9757</v>
      </c>
      <c r="P1417" t="s">
        <v>9758</v>
      </c>
      <c r="Q1417" s="3" t="n">
        <v>44414.0</v>
      </c>
      <c r="R1417" s="3" t="n">
        <v>44525.0</v>
      </c>
      <c r="S1417" s="3" t="n">
        <v>44526.18866885416</v>
      </c>
      <c r="T1417" s="3" t="n">
        <v>44544.40325895834</v>
      </c>
      <c r="U1417" t="s">
        <v>9759</v>
      </c>
      <c r="V1417" t="s">
        <v>9760</v>
      </c>
    </row>
    <row r="1418">
      <c r="A1418" t="s">
        <v>22</v>
      </c>
      <c r="B1418" t="s">
        <v>9761</v>
      </c>
      <c r="C1418" t="s">
        <v>60</v>
      </c>
      <c r="D1418" t="s">
        <v>4942</v>
      </c>
      <c r="E1418" t="s">
        <v>9762</v>
      </c>
      <c r="F1418" s="2" t="n">
        <f>HYPERLINK("https://patents.google.com/patent/US20210361700","Google")</f>
        <v>0.0</v>
      </c>
      <c r="G1418" s="2" t="n">
        <f>HYPERLINK("https://patentcenter.uspto.gov/applications/17326830","Patent Center")</f>
        <v>0.0</v>
      </c>
      <c r="H1418" s="2" t="n">
        <f>HYPERLINK("https://worldwide.espacenet.com/patent/search?q=US20210361700","Espacenet")</f>
        <v>0.0</v>
      </c>
      <c r="I1418" s="2" t="n">
        <f>HYPERLINK("https://ppubs.uspto.gov/pubwebapp/external.html?q=20210361700.pn.","USPTO")</f>
        <v>0.0</v>
      </c>
      <c r="J1418" s="2" t="n">
        <f>HYPERLINK("https://image-ppubs.uspto.gov/dirsearch-public/print/downloadPdf/20210361700","USPTO PDF")</f>
        <v>0.0</v>
      </c>
      <c r="K1418" s="2" t="n">
        <f>HYPERLINK("https://sectors.patentforecast.com/pmd/US20210361700","PMD")</f>
        <v>0.0</v>
      </c>
      <c r="L1418" s="2" t="n">
        <f>HYPERLINK("https://globaldossier.uspto.gov/result/application/US/17326830/1","US20210361700")</f>
        <v>0.0</v>
      </c>
      <c r="M1418" t="s">
        <v>9763</v>
      </c>
      <c r="N1418" t="s">
        <v>9764</v>
      </c>
      <c r="O1418" t="s">
        <v>9765</v>
      </c>
      <c r="P1418" t="s">
        <v>9766</v>
      </c>
      <c r="Q1418" s="3" t="n">
        <v>44337.0</v>
      </c>
      <c r="R1418" s="3" t="n">
        <v>44525.0</v>
      </c>
      <c r="S1418" s="3" t="n">
        <v>44526.18866885416</v>
      </c>
      <c r="T1418" s="3" t="n">
        <v>44544.40282260417</v>
      </c>
      <c r="U1418" t="s">
        <v>9767</v>
      </c>
      <c r="V1418" t="s">
        <v>9768</v>
      </c>
    </row>
    <row r="1419">
      <c r="A1419" t="s">
        <v>22</v>
      </c>
      <c r="B1419" t="s">
        <v>9769</v>
      </c>
      <c r="C1419" t="s">
        <v>60</v>
      </c>
      <c r="D1419" t="s">
        <v>61</v>
      </c>
      <c r="E1419" t="s">
        <v>9770</v>
      </c>
      <c r="F1419" s="2" t="n">
        <f>HYPERLINK("https://patents.google.com/patent/US20210361688","Google")</f>
        <v>0.0</v>
      </c>
      <c r="G1419" s="2" t="n">
        <f>HYPERLINK("https://patentcenter.uspto.gov/applications/17327306","Patent Center")</f>
        <v>0.0</v>
      </c>
      <c r="H1419" s="2" t="n">
        <f>HYPERLINK("https://worldwide.espacenet.com/patent/search?q=US20210361688","Espacenet")</f>
        <v>0.0</v>
      </c>
      <c r="I1419" s="2" t="n">
        <f>HYPERLINK("https://ppubs.uspto.gov/pubwebapp/external.html?q=20210361688.pn.","USPTO")</f>
        <v>0.0</v>
      </c>
      <c r="J1419" s="2" t="n">
        <f>HYPERLINK("https://image-ppubs.uspto.gov/dirsearch-public/print/downloadPdf/20210361688","USPTO PDF")</f>
        <v>0.0</v>
      </c>
      <c r="K1419" s="2" t="n">
        <f>HYPERLINK("https://sectors.patentforecast.com/pmd/US20210361688","PMD")</f>
        <v>0.0</v>
      </c>
      <c r="L1419" s="2" t="n">
        <f>HYPERLINK("https://globaldossier.uspto.gov/result/application/US/17327306/1","US20210361688")</f>
        <v>0.0</v>
      </c>
      <c r="M1419" t="s">
        <v>9771</v>
      </c>
      <c r="N1419" t="s">
        <v>9772</v>
      </c>
      <c r="O1419" t="s">
        <v>9773</v>
      </c>
      <c r="P1419" t="s">
        <v>9774</v>
      </c>
      <c r="Q1419" s="3" t="n">
        <v>44337.0</v>
      </c>
      <c r="R1419" s="3" t="n">
        <v>44525.0</v>
      </c>
      <c r="S1419" s="3" t="n">
        <v>44526.18785809028</v>
      </c>
      <c r="T1419" s="3" t="n">
        <v>44544.40665451389</v>
      </c>
      <c r="U1419" t="s">
        <v>9775</v>
      </c>
      <c r="V1419" t="s">
        <v>9776</v>
      </c>
    </row>
    <row r="1420">
      <c r="A1420" t="s">
        <v>22</v>
      </c>
      <c r="B1420" t="s">
        <v>9777</v>
      </c>
      <c r="C1420" t="s">
        <v>60</v>
      </c>
      <c r="D1420" t="s">
        <v>61</v>
      </c>
      <c r="E1420" t="s">
        <v>9778</v>
      </c>
      <c r="F1420" s="2" t="n">
        <f>HYPERLINK("https://patents.google.com/patent/US20210361673","Google")</f>
        <v>0.0</v>
      </c>
      <c r="G1420" s="2" t="n">
        <f>HYPERLINK("https://patentcenter.uspto.gov/applications/16875979","Patent Center")</f>
        <v>0.0</v>
      </c>
      <c r="H1420" s="2" t="n">
        <f>HYPERLINK("https://worldwide.espacenet.com/patent/search?q=US20210361673","Espacenet")</f>
        <v>0.0</v>
      </c>
      <c r="I1420" s="2" t="n">
        <f>HYPERLINK("https://ppubs.uspto.gov/pubwebapp/external.html?q=20210361673.pn.","USPTO")</f>
        <v>0.0</v>
      </c>
      <c r="J1420" s="2" t="n">
        <f>HYPERLINK("https://image-ppubs.uspto.gov/dirsearch-public/print/downloadPdf/20210361673","USPTO PDF")</f>
        <v>0.0</v>
      </c>
      <c r="K1420" s="2" t="n">
        <f>HYPERLINK("https://sectors.patentforecast.com/pmd/US20210361673","PMD")</f>
        <v>0.0</v>
      </c>
      <c r="L1420" s="2" t="n">
        <f>HYPERLINK("https://globaldossier.uspto.gov/result/application/US/16875979/1","US20210361673")</f>
        <v>0.0</v>
      </c>
      <c r="M1420" t="s">
        <v>9779</v>
      </c>
      <c r="N1420" t="s">
        <v>9780</v>
      </c>
      <c r="O1420" t="s">
        <v>9781</v>
      </c>
      <c r="P1420" t="s">
        <v>9782</v>
      </c>
      <c r="Q1420" s="3" t="n">
        <v>43966.0</v>
      </c>
      <c r="R1420" s="3" t="n">
        <v>44525.0</v>
      </c>
      <c r="S1420" s="3" t="n">
        <v>44526.18866885416</v>
      </c>
      <c r="T1420" s="3" t="n">
        <v>44544.38584408565</v>
      </c>
      <c r="U1420" t="s">
        <v>9783</v>
      </c>
      <c r="V1420" t="s">
        <v>9784</v>
      </c>
    </row>
    <row r="1421">
      <c r="A1421" t="s">
        <v>22</v>
      </c>
      <c r="B1421" t="s">
        <v>9785</v>
      </c>
      <c r="C1421" t="s">
        <v>60</v>
      </c>
      <c r="D1421" t="s">
        <v>61</v>
      </c>
      <c r="E1421" t="s">
        <v>9786</v>
      </c>
      <c r="F1421" s="2" t="n">
        <f>HYPERLINK("https://patents.google.com/patent/US20210361650","Google")</f>
        <v>0.0</v>
      </c>
      <c r="G1421" s="2" t="n">
        <f>HYPERLINK("https://patentcenter.uspto.gov/applications/17325968","Patent Center")</f>
        <v>0.0</v>
      </c>
      <c r="H1421" s="2" t="n">
        <f>HYPERLINK("https://worldwide.espacenet.com/patent/search?q=US20210361650","Espacenet")</f>
        <v>0.0</v>
      </c>
      <c r="I1421" s="2" t="n">
        <f>HYPERLINK("https://ppubs.uspto.gov/pubwebapp/external.html?q=20210361650.pn.","USPTO")</f>
        <v>0.0</v>
      </c>
      <c r="J1421" s="2" t="n">
        <f>HYPERLINK("https://image-ppubs.uspto.gov/dirsearch-public/print/downloadPdf/20210361650","USPTO PDF")</f>
        <v>0.0</v>
      </c>
      <c r="K1421" s="2" t="n">
        <f>HYPERLINK("https://sectors.patentforecast.com/pmd/US20210361650","PMD")</f>
        <v>0.0</v>
      </c>
      <c r="L1421" s="2" t="n">
        <f>HYPERLINK("https://globaldossier.uspto.gov/result/application/US/17325968/1","US20210361650")</f>
        <v>0.0</v>
      </c>
      <c r="M1421" t="s">
        <v>9787</v>
      </c>
      <c r="N1421" t="s">
        <v>5462</v>
      </c>
      <c r="O1421" t="s">
        <v>5462</v>
      </c>
      <c r="P1421" t="s">
        <v>9788</v>
      </c>
      <c r="Q1421" s="3" t="n">
        <v>44336.0</v>
      </c>
      <c r="R1421" s="3" t="n">
        <v>44525.0</v>
      </c>
      <c r="S1421" s="3" t="n">
        <v>44526.18866885416</v>
      </c>
      <c r="T1421" s="3" t="n">
        <v>44544.38560917824</v>
      </c>
      <c r="U1421" t="s">
        <v>9789</v>
      </c>
      <c r="V1421" t="s">
        <v>9790</v>
      </c>
    </row>
    <row r="1422">
      <c r="A1422" t="s">
        <v>22</v>
      </c>
      <c r="B1422" t="s">
        <v>9791</v>
      </c>
      <c r="C1422" t="s">
        <v>60</v>
      </c>
      <c r="D1422" t="s">
        <v>61</v>
      </c>
      <c r="E1422" t="s">
        <v>9792</v>
      </c>
      <c r="F1422" s="2" t="n">
        <f>HYPERLINK("https://patents.google.com/patent/US20210361619","Google")</f>
        <v>0.0</v>
      </c>
      <c r="G1422" s="2" t="n">
        <f>HYPERLINK("https://patentcenter.uspto.gov/applications/17205809","Patent Center")</f>
        <v>0.0</v>
      </c>
      <c r="H1422" s="2" t="n">
        <f>HYPERLINK("https://worldwide.espacenet.com/patent/search?q=US20210361619","Espacenet")</f>
        <v>0.0</v>
      </c>
      <c r="I1422" s="2" t="n">
        <f>HYPERLINK("https://ppubs.uspto.gov/pubwebapp/external.html?q=20210361619.pn.","USPTO")</f>
        <v>0.0</v>
      </c>
      <c r="J1422" s="2" t="n">
        <f>HYPERLINK("https://image-ppubs.uspto.gov/dirsearch-public/print/downloadPdf/20210361619","USPTO PDF")</f>
        <v>0.0</v>
      </c>
      <c r="K1422" s="2" t="n">
        <f>HYPERLINK("https://sectors.patentforecast.com/pmd/US20210361619","PMD")</f>
        <v>0.0</v>
      </c>
      <c r="L1422" s="2" t="n">
        <f>HYPERLINK("https://globaldossier.uspto.gov/result/application/US/17205809/1","US20210361619")</f>
        <v>0.0</v>
      </c>
      <c r="M1422" t="s">
        <v>9793</v>
      </c>
      <c r="N1422" t="s">
        <v>9794</v>
      </c>
      <c r="O1422" t="s">
        <v>9795</v>
      </c>
      <c r="P1422" t="s">
        <v>9796</v>
      </c>
      <c r="Q1422" s="3" t="n">
        <v>44273.0</v>
      </c>
      <c r="R1422" s="3" t="n">
        <v>44525.0</v>
      </c>
      <c r="S1422" s="3" t="n">
        <v>44526.18866885416</v>
      </c>
      <c r="T1422" s="3" t="n">
        <v>44544.38464049769</v>
      </c>
      <c r="U1422" t="s">
        <v>9797</v>
      </c>
      <c r="V1422" t="s">
        <v>9798</v>
      </c>
    </row>
    <row r="1423">
      <c r="A1423" t="s">
        <v>22</v>
      </c>
      <c r="B1423" t="s">
        <v>9799</v>
      </c>
      <c r="C1423" t="s">
        <v>24</v>
      </c>
      <c r="D1423" t="s">
        <v>69</v>
      </c>
      <c r="E1423" t="s">
        <v>9800</v>
      </c>
      <c r="F1423" s="2" t="n">
        <f>HYPERLINK("https://patents.google.com/patent/US20210361371","Google")</f>
        <v>0.0</v>
      </c>
      <c r="G1423" s="2" t="n">
        <f>HYPERLINK("https://patentcenter.uspto.gov/applications/17301698","Patent Center")</f>
        <v>0.0</v>
      </c>
      <c r="H1423" s="2" t="n">
        <f>HYPERLINK("https://worldwide.espacenet.com/patent/search?q=US20210361371","Espacenet")</f>
        <v>0.0</v>
      </c>
      <c r="I1423" s="2" t="n">
        <f>HYPERLINK("https://ppubs.uspto.gov/pubwebapp/external.html?q=20210361371.pn.","USPTO")</f>
        <v>0.0</v>
      </c>
      <c r="J1423" s="2" t="n">
        <f>HYPERLINK("https://image-ppubs.uspto.gov/dirsearch-public/print/downloadPdf/20210361371","USPTO PDF")</f>
        <v>0.0</v>
      </c>
      <c r="K1423" s="2" t="n">
        <f>HYPERLINK("https://sectors.patentforecast.com/pmd/US20210361371","PMD")</f>
        <v>0.0</v>
      </c>
      <c r="L1423" s="2" t="n">
        <f>HYPERLINK("https://globaldossier.uspto.gov/result/application/US/17301698/1","US20210361371")</f>
        <v>0.0</v>
      </c>
      <c r="M1423" t="s">
        <v>9801</v>
      </c>
      <c r="N1423" t="s">
        <v>9802</v>
      </c>
      <c r="O1423" t="s">
        <v>9803</v>
      </c>
      <c r="P1423" t="s">
        <v>9804</v>
      </c>
      <c r="Q1423" s="3" t="n">
        <v>44298.0</v>
      </c>
      <c r="R1423" s="3" t="n">
        <v>44525.0</v>
      </c>
      <c r="S1423" s="3" t="n">
        <v>44526.18866885416</v>
      </c>
      <c r="T1423" s="3" t="n">
        <v>44544.39205430556</v>
      </c>
      <c r="U1423" t="s">
        <v>9805</v>
      </c>
      <c r="V1423" t="s">
        <v>9806</v>
      </c>
    </row>
    <row r="1424">
      <c r="A1424" t="s">
        <v>22</v>
      </c>
      <c r="B1424" t="s">
        <v>9807</v>
      </c>
      <c r="C1424" t="s">
        <v>24</v>
      </c>
      <c r="D1424" t="s">
        <v>1356</v>
      </c>
      <c r="E1424" t="s">
        <v>9808</v>
      </c>
      <c r="F1424" s="2" t="n">
        <f>HYPERLINK("https://patents.google.com/patent/US20210361240","Google")</f>
        <v>0.0</v>
      </c>
      <c r="G1424" s="2" t="n">
        <f>HYPERLINK("https://patentcenter.uspto.gov/applications/16879001","Patent Center")</f>
        <v>0.0</v>
      </c>
      <c r="H1424" s="2" t="n">
        <f>HYPERLINK("https://worldwide.espacenet.com/patent/search?q=US20210361240","Espacenet")</f>
        <v>0.0</v>
      </c>
      <c r="I1424" s="2" t="n">
        <f>HYPERLINK("https://ppubs.uspto.gov/pubwebapp/external.html?q=20210361240.pn.","USPTO")</f>
        <v>0.0</v>
      </c>
      <c r="J1424" s="2" t="n">
        <f>HYPERLINK("https://image-ppubs.uspto.gov/dirsearch-public/print/downloadPdf/20210361240","USPTO PDF")</f>
        <v>0.0</v>
      </c>
      <c r="K1424" s="2" t="n">
        <f>HYPERLINK("https://sectors.patentforecast.com/pmd/US20210361240","PMD")</f>
        <v>0.0</v>
      </c>
      <c r="L1424" s="2" t="n">
        <f>HYPERLINK("https://globaldossier.uspto.gov/result/application/US/16879001/1","US20210361240")</f>
        <v>0.0</v>
      </c>
      <c r="M1424" t="s">
        <v>9809</v>
      </c>
      <c r="N1424" t="s">
        <v>9810</v>
      </c>
      <c r="O1424" t="s">
        <v>9811</v>
      </c>
      <c r="P1424" t="s">
        <v>9812</v>
      </c>
      <c r="Q1424" s="3" t="n">
        <v>43971.0</v>
      </c>
      <c r="R1424" s="3" t="n">
        <v>44525.0</v>
      </c>
      <c r="S1424" s="3" t="n">
        <v>44526.18785809028</v>
      </c>
      <c r="T1424" s="3" t="n">
        <v>44544.40413682871</v>
      </c>
      <c r="U1424" t="s">
        <v>9813</v>
      </c>
      <c r="V1424" t="s">
        <v>9814</v>
      </c>
    </row>
    <row r="1425">
      <c r="A1425" t="s">
        <v>22</v>
      </c>
      <c r="B1425" t="s">
        <v>9815</v>
      </c>
      <c r="C1425" t="s">
        <v>24</v>
      </c>
      <c r="D1425" t="s">
        <v>25</v>
      </c>
      <c r="E1425" t="s">
        <v>9816</v>
      </c>
      <c r="F1425" s="2" t="n">
        <f>HYPERLINK("https://patents.google.com/patent/US20210361175","Google")</f>
        <v>0.0</v>
      </c>
      <c r="G1425" s="2" t="n">
        <f>HYPERLINK("https://patentcenter.uspto.gov/applications/17218234","Patent Center")</f>
        <v>0.0</v>
      </c>
      <c r="H1425" s="2" t="n">
        <f>HYPERLINK("https://worldwide.espacenet.com/patent/search?q=US20210361175","Espacenet")</f>
        <v>0.0</v>
      </c>
      <c r="I1425" s="2" t="n">
        <f>HYPERLINK("https://ppubs.uspto.gov/pubwebapp/external.html?q=20210361175.pn.","USPTO")</f>
        <v>0.0</v>
      </c>
      <c r="J1425" s="2" t="n">
        <f>HYPERLINK("https://image-ppubs.uspto.gov/dirsearch-public/print/downloadPdf/20210361175","USPTO PDF")</f>
        <v>0.0</v>
      </c>
      <c r="K1425" s="2" t="n">
        <f>HYPERLINK("https://sectors.patentforecast.com/pmd/US20210361175","PMD")</f>
        <v>0.0</v>
      </c>
      <c r="L1425" s="2" t="n">
        <f>HYPERLINK("https://globaldossier.uspto.gov/result/application/US/17218234/1","US20210361175")</f>
        <v>0.0</v>
      </c>
      <c r="M1425" t="s">
        <v>9817</v>
      </c>
      <c r="N1425" t="s">
        <v>9610</v>
      </c>
      <c r="O1425" t="s">
        <v>9611</v>
      </c>
      <c r="P1425" t="s">
        <v>9818</v>
      </c>
      <c r="Q1425" s="3" t="n">
        <v>44286.0</v>
      </c>
      <c r="R1425" s="3" t="n">
        <v>44525.0</v>
      </c>
      <c r="S1425" s="3" t="n">
        <v>44526.18866885416</v>
      </c>
      <c r="T1425" s="3" t="n">
        <v>44544.405266747686</v>
      </c>
      <c r="U1425" t="s">
        <v>9819</v>
      </c>
      <c r="V1425" t="s">
        <v>9820</v>
      </c>
    </row>
    <row r="1426">
      <c r="A1426" t="s">
        <v>22</v>
      </c>
      <c r="B1426" t="s">
        <v>9821</v>
      </c>
      <c r="C1426" t="s">
        <v>24</v>
      </c>
      <c r="D1426" t="s">
        <v>69</v>
      </c>
      <c r="E1426" t="s">
        <v>9822</v>
      </c>
      <c r="F1426" s="2" t="n">
        <f>HYPERLINK("https://patents.google.com/patent/US20210361087","Google")</f>
        <v>0.0</v>
      </c>
      <c r="G1426" s="2" t="n">
        <f>HYPERLINK("https://patentcenter.uspto.gov/applications/17104795","Patent Center")</f>
        <v>0.0</v>
      </c>
      <c r="H1426" s="2" t="n">
        <f>HYPERLINK("https://worldwide.espacenet.com/patent/search?q=US20210361087","Espacenet")</f>
        <v>0.0</v>
      </c>
      <c r="I1426" s="2" t="n">
        <f>HYPERLINK("https://ppubs.uspto.gov/pubwebapp/external.html?q=20210361087.pn.","USPTO")</f>
        <v>0.0</v>
      </c>
      <c r="J1426" s="2" t="n">
        <f>HYPERLINK("https://image-ppubs.uspto.gov/dirsearch-public/print/downloadPdf/20210361087","USPTO PDF")</f>
        <v>0.0</v>
      </c>
      <c r="K1426" s="2" t="n">
        <f>HYPERLINK("https://sectors.patentforecast.com/pmd/US20210361087","PMD")</f>
        <v>0.0</v>
      </c>
      <c r="L1426" s="2" t="n">
        <f>HYPERLINK("https://globaldossier.uspto.gov/result/application/US/17104795/1","US20210361087")</f>
        <v>0.0</v>
      </c>
      <c r="M1426" t="s">
        <v>9823</v>
      </c>
      <c r="N1426" t="s">
        <v>9824</v>
      </c>
      <c r="O1426" t="s">
        <v>9825</v>
      </c>
      <c r="P1426" t="s">
        <v>9826</v>
      </c>
      <c r="Q1426" s="3" t="n">
        <v>44160.0</v>
      </c>
      <c r="R1426" s="3" t="n">
        <v>44525.0</v>
      </c>
      <c r="S1426" s="3" t="n">
        <v>44526.18866885416</v>
      </c>
      <c r="T1426" s="3" t="n">
        <v>44544.38160756944</v>
      </c>
      <c r="U1426" t="s">
        <v>9827</v>
      </c>
      <c r="V1426" t="s">
        <v>9828</v>
      </c>
    </row>
    <row r="1427">
      <c r="A1427" t="s">
        <v>22</v>
      </c>
      <c r="B1427" t="s">
        <v>9829</v>
      </c>
      <c r="C1427" t="s">
        <v>24</v>
      </c>
      <c r="D1427" t="s">
        <v>69</v>
      </c>
      <c r="E1427" t="s">
        <v>2753</v>
      </c>
      <c r="F1427" s="2" t="n">
        <f>HYPERLINK("https://patents.google.com/patent/US20210361005","Google")</f>
        <v>0.0</v>
      </c>
      <c r="G1427" s="2" t="n">
        <f>HYPERLINK("https://patentcenter.uspto.gov/applications/17324543","Patent Center")</f>
        <v>0.0</v>
      </c>
      <c r="H1427" s="2" t="n">
        <f>HYPERLINK("https://worldwide.espacenet.com/patent/search?q=US20210361005","Espacenet")</f>
        <v>0.0</v>
      </c>
      <c r="I1427" s="2" t="n">
        <f>HYPERLINK("https://ppubs.uspto.gov/pubwebapp/external.html?q=20210361005.pn.","USPTO")</f>
        <v>0.0</v>
      </c>
      <c r="J1427" s="2" t="n">
        <f>HYPERLINK("https://image-ppubs.uspto.gov/dirsearch-public/print/downloadPdf/20210361005","USPTO PDF")</f>
        <v>0.0</v>
      </c>
      <c r="K1427" s="2" t="n">
        <f>HYPERLINK("https://sectors.patentforecast.com/pmd/US20210361005","PMD")</f>
        <v>0.0</v>
      </c>
      <c r="L1427" s="2" t="n">
        <f>HYPERLINK("https://globaldossier.uspto.gov/result/application/US/17324543/1","US20210361005")</f>
        <v>0.0</v>
      </c>
      <c r="M1427" t="s">
        <v>9830</v>
      </c>
      <c r="N1427" t="s">
        <v>9831</v>
      </c>
      <c r="O1427" t="s">
        <v>9832</v>
      </c>
      <c r="P1427" t="s">
        <v>9833</v>
      </c>
      <c r="Q1427" s="3" t="n">
        <v>44335.0</v>
      </c>
      <c r="R1427" s="3" t="n">
        <v>44525.0</v>
      </c>
      <c r="S1427" s="3" t="n">
        <v>44526.18866885416</v>
      </c>
      <c r="T1427" s="3" t="n">
        <v>44678.63229530093</v>
      </c>
      <c r="U1427" t="s">
        <v>8897</v>
      </c>
      <c r="V1427" t="s">
        <v>9834</v>
      </c>
    </row>
    <row r="1428">
      <c r="A1428" t="s">
        <v>22</v>
      </c>
      <c r="B1428" t="s">
        <v>9835</v>
      </c>
      <c r="C1428" t="s">
        <v>24</v>
      </c>
      <c r="D1428" t="s">
        <v>43</v>
      </c>
      <c r="E1428" t="s">
        <v>9836</v>
      </c>
      <c r="F1428" s="2" t="n">
        <f>HYPERLINK("https://patents.google.com/patent/US20210360366","Google")</f>
        <v>0.0</v>
      </c>
      <c r="G1428" s="2" t="n">
        <f>HYPERLINK("https://patentcenter.uspto.gov/applications/17320163","Patent Center")</f>
        <v>0.0</v>
      </c>
      <c r="H1428" s="2" t="n">
        <f>HYPERLINK("https://worldwide.espacenet.com/patent/search?q=US20210360366","Espacenet")</f>
        <v>0.0</v>
      </c>
      <c r="I1428" s="2" t="n">
        <f>HYPERLINK("https://ppubs.uspto.gov/pubwebapp/external.html?q=20210360366.pn.","USPTO")</f>
        <v>0.0</v>
      </c>
      <c r="J1428" s="2" t="n">
        <f>HYPERLINK("https://image-ppubs.uspto.gov/dirsearch-public/print/downloadPdf/20210360366","USPTO PDF")</f>
        <v>0.0</v>
      </c>
      <c r="K1428" s="2" t="n">
        <f>HYPERLINK("https://sectors.patentforecast.com/pmd/US20210360366","PMD")</f>
        <v>0.0</v>
      </c>
      <c r="L1428" s="2" t="n">
        <f>HYPERLINK("https://globaldossier.uspto.gov/result/application/US/17320163/1","US20210360366")</f>
        <v>0.0</v>
      </c>
      <c r="M1428" t="s">
        <v>9837</v>
      </c>
      <c r="N1428" t="s">
        <v>9838</v>
      </c>
      <c r="O1428" t="s">
        <v>9839</v>
      </c>
      <c r="P1428" t="s">
        <v>9840</v>
      </c>
      <c r="Q1428" s="3" t="n">
        <v>44329.0</v>
      </c>
      <c r="R1428" s="3" t="n">
        <v>44518.0</v>
      </c>
      <c r="S1428" s="3" t="n">
        <v>44519.188913958336</v>
      </c>
      <c r="T1428" s="3" t="n">
        <v>44523.601598043984</v>
      </c>
      <c r="U1428" t="s">
        <v>9841</v>
      </c>
      <c r="V1428" t="s">
        <v>9842</v>
      </c>
    </row>
    <row r="1429">
      <c r="A1429" t="s">
        <v>22</v>
      </c>
      <c r="B1429" t="s">
        <v>9843</v>
      </c>
      <c r="C1429" t="s">
        <v>312</v>
      </c>
      <c r="D1429" t="s">
        <v>3202</v>
      </c>
      <c r="E1429" t="s">
        <v>9844</v>
      </c>
      <c r="F1429" s="2" t="n">
        <f>HYPERLINK("https://patents.google.com/patent/US20210358640","Google")</f>
        <v>0.0</v>
      </c>
      <c r="G1429" s="2" t="n">
        <f>HYPERLINK("https://patentcenter.uspto.gov/applications/17002232","Patent Center")</f>
        <v>0.0</v>
      </c>
      <c r="H1429" s="2" t="n">
        <f>HYPERLINK("https://worldwide.espacenet.com/patent/search?q=US20210358640","Espacenet")</f>
        <v>0.0</v>
      </c>
      <c r="I1429" s="2" t="n">
        <f>HYPERLINK("https://ppubs.uspto.gov/pubwebapp/external.html?q=20210358640.pn.","USPTO")</f>
        <v>0.0</v>
      </c>
      <c r="J1429" s="2" t="n">
        <f>HYPERLINK("https://image-ppubs.uspto.gov/dirsearch-public/print/downloadPdf/20210358640","USPTO PDF")</f>
        <v>0.0</v>
      </c>
      <c r="K1429" s="2" t="n">
        <f>HYPERLINK("https://sectors.patentforecast.com/pmd/US20210358640","PMD")</f>
        <v>0.0</v>
      </c>
      <c r="L1429" s="2" t="n">
        <f>HYPERLINK("https://globaldossier.uspto.gov/result/application/US/17002232/1","US20210358640")</f>
        <v>0.0</v>
      </c>
      <c r="M1429" t="s">
        <v>9845</v>
      </c>
      <c r="N1429" t="s">
        <v>2398</v>
      </c>
      <c r="O1429" t="s">
        <v>2399</v>
      </c>
      <c r="P1429" t="s">
        <v>9846</v>
      </c>
      <c r="Q1429" s="3" t="n">
        <v>44068.0</v>
      </c>
      <c r="R1429" s="3" t="n">
        <v>44518.0</v>
      </c>
      <c r="S1429" s="3" t="n">
        <v>44519.190300347225</v>
      </c>
      <c r="T1429" s="3" t="n">
        <v>44523.68928171296</v>
      </c>
      <c r="U1429" t="s">
        <v>9847</v>
      </c>
      <c r="V1429" t="s">
        <v>9848</v>
      </c>
    </row>
    <row r="1430">
      <c r="A1430" t="s">
        <v>22</v>
      </c>
      <c r="B1430" t="s">
        <v>9849</v>
      </c>
      <c r="C1430" t="s">
        <v>24</v>
      </c>
      <c r="D1430" t="s">
        <v>43</v>
      </c>
      <c r="E1430" t="s">
        <v>9850</v>
      </c>
      <c r="F1430" s="2" t="n">
        <f>HYPERLINK("https://patents.google.com/patent/US20210358639","Google")</f>
        <v>0.0</v>
      </c>
      <c r="G1430" s="2" t="n">
        <f>HYPERLINK("https://patentcenter.uspto.gov/applications/16872385","Patent Center")</f>
        <v>0.0</v>
      </c>
      <c r="H1430" s="2" t="n">
        <f>HYPERLINK("https://worldwide.espacenet.com/patent/search?q=US20210358639","Espacenet")</f>
        <v>0.0</v>
      </c>
      <c r="I1430" s="2" t="n">
        <f>HYPERLINK("https://ppubs.uspto.gov/pubwebapp/external.html?q=20210358639.pn.","USPTO")</f>
        <v>0.0</v>
      </c>
      <c r="J1430" s="2" t="n">
        <f>HYPERLINK("https://image-ppubs.uspto.gov/dirsearch-public/print/downloadPdf/20210358639","USPTO PDF")</f>
        <v>0.0</v>
      </c>
      <c r="K1430" s="2" t="n">
        <f>HYPERLINK("https://sectors.patentforecast.com/pmd/US20210358639","PMD")</f>
        <v>0.0</v>
      </c>
      <c r="L1430" s="2" t="n">
        <f>HYPERLINK("https://globaldossier.uspto.gov/result/application/US/16872385/1","US20210358639")</f>
        <v>0.0</v>
      </c>
      <c r="M1430" t="s">
        <v>9851</v>
      </c>
      <c r="N1430" t="s">
        <v>9852</v>
      </c>
      <c r="O1430" t="s">
        <v>9853</v>
      </c>
      <c r="P1430" t="s">
        <v>9854</v>
      </c>
      <c r="Q1430" s="3" t="n">
        <v>43963.0</v>
      </c>
      <c r="R1430" s="3" t="n">
        <v>44518.0</v>
      </c>
      <c r="S1430" s="3" t="n">
        <v>44519.188913958336</v>
      </c>
      <c r="T1430" s="3" t="n">
        <v>44523.58765681713</v>
      </c>
      <c r="U1430" t="s">
        <v>9855</v>
      </c>
      <c r="V1430" t="s">
        <v>9856</v>
      </c>
    </row>
    <row r="1431">
      <c r="A1431" t="s">
        <v>22</v>
      </c>
      <c r="B1431" t="s">
        <v>9857</v>
      </c>
      <c r="C1431" t="s">
        <v>312</v>
      </c>
      <c r="D1431" t="s">
        <v>976</v>
      </c>
      <c r="E1431" t="s">
        <v>9858</v>
      </c>
      <c r="F1431" s="2" t="n">
        <f>HYPERLINK("https://patents.google.com/patent/US20210358632","Google")</f>
        <v>0.0</v>
      </c>
      <c r="G1431" s="2" t="n">
        <f>HYPERLINK("https://patentcenter.uspto.gov/applications/17228331","Patent Center")</f>
        <v>0.0</v>
      </c>
      <c r="H1431" s="2" t="n">
        <f>HYPERLINK("https://worldwide.espacenet.com/patent/search?q=US20210358632","Espacenet")</f>
        <v>0.0</v>
      </c>
      <c r="I1431" s="2" t="n">
        <f>HYPERLINK("https://ppubs.uspto.gov/pubwebapp/external.html?q=20210358632.pn.","USPTO")</f>
        <v>0.0</v>
      </c>
      <c r="J1431" s="2" t="n">
        <f>HYPERLINK("https://image-ppubs.uspto.gov/dirsearch-public/print/downloadPdf/20210358632","USPTO PDF")</f>
        <v>0.0</v>
      </c>
      <c r="K1431" s="2" t="n">
        <f>HYPERLINK("https://sectors.patentforecast.com/pmd/US20210358632","PMD")</f>
        <v>0.0</v>
      </c>
      <c r="L1431" s="2" t="n">
        <f>HYPERLINK("https://globaldossier.uspto.gov/result/application/US/17228331/1","US20210358632")</f>
        <v>0.0</v>
      </c>
      <c r="M1431" t="s">
        <v>9859</v>
      </c>
      <c r="N1431" t="s">
        <v>5138</v>
      </c>
      <c r="O1431" t="s">
        <v>5139</v>
      </c>
      <c r="P1431" t="s">
        <v>9860</v>
      </c>
      <c r="Q1431" s="3" t="n">
        <v>44298.0</v>
      </c>
      <c r="R1431" s="3" t="n">
        <v>44518.0</v>
      </c>
      <c r="S1431" s="3" t="n">
        <v>44519.1937727662</v>
      </c>
      <c r="T1431" s="3" t="n">
        <v>44523.60267667824</v>
      </c>
      <c r="U1431" t="s">
        <v>9861</v>
      </c>
      <c r="V1431" t="s">
        <v>9862</v>
      </c>
    </row>
    <row r="1432">
      <c r="A1432" t="s">
        <v>22</v>
      </c>
      <c r="B1432" t="s">
        <v>9863</v>
      </c>
      <c r="C1432" t="s">
        <v>24</v>
      </c>
      <c r="D1432" t="s">
        <v>204</v>
      </c>
      <c r="E1432" t="s">
        <v>9864</v>
      </c>
      <c r="F1432" s="2" t="n">
        <f>HYPERLINK("https://patents.google.com/patent/US20210358621","Google")</f>
        <v>0.0</v>
      </c>
      <c r="G1432" s="2" t="n">
        <f>HYPERLINK("https://patentcenter.uspto.gov/applications/15931189","Patent Center")</f>
        <v>0.0</v>
      </c>
      <c r="H1432" s="2" t="n">
        <f>HYPERLINK("https://worldwide.espacenet.com/patent/search?q=US20210358621","Espacenet")</f>
        <v>0.0</v>
      </c>
      <c r="I1432" s="2" t="n">
        <f>HYPERLINK("https://ppubs.uspto.gov/pubwebapp/external.html?q=20210358621.pn.","USPTO")</f>
        <v>0.0</v>
      </c>
      <c r="J1432" s="2" t="n">
        <f>HYPERLINK("https://image-ppubs.uspto.gov/dirsearch-public/print/downloadPdf/20210358621","USPTO PDF")</f>
        <v>0.0</v>
      </c>
      <c r="K1432" s="2" t="n">
        <f>HYPERLINK("https://sectors.patentforecast.com/pmd/US20210358621","PMD")</f>
        <v>0.0</v>
      </c>
      <c r="L1432" s="2" t="n">
        <f>HYPERLINK("https://globaldossier.uspto.gov/result/application/US/15931189/1","US20210358621")</f>
        <v>0.0</v>
      </c>
      <c r="M1432" t="s">
        <v>9865</v>
      </c>
      <c r="N1432" t="s">
        <v>9866</v>
      </c>
      <c r="O1432" t="s">
        <v>9867</v>
      </c>
      <c r="P1432" t="s">
        <v>9868</v>
      </c>
      <c r="Q1432" s="3" t="n">
        <v>43964.0</v>
      </c>
      <c r="R1432" s="3" t="n">
        <v>44518.0</v>
      </c>
      <c r="S1432" s="3" t="n">
        <v>44519.188913958336</v>
      </c>
      <c r="T1432" s="3" t="n">
        <v>44523.58824549768</v>
      </c>
      <c r="U1432" t="s">
        <v>9869</v>
      </c>
      <c r="V1432" t="s">
        <v>9870</v>
      </c>
    </row>
    <row r="1433">
      <c r="A1433" t="s">
        <v>22</v>
      </c>
      <c r="B1433" t="s">
        <v>9871</v>
      </c>
      <c r="C1433" t="s">
        <v>24</v>
      </c>
      <c r="D1433" t="s">
        <v>204</v>
      </c>
      <c r="E1433" t="s">
        <v>9872</v>
      </c>
      <c r="F1433" s="2" t="n">
        <f>HYPERLINK("https://patents.google.com/patent/US20210358269","Google")</f>
        <v>0.0</v>
      </c>
      <c r="G1433" s="2" t="n">
        <f>HYPERLINK("https://patentcenter.uspto.gov/applications/17318284","Patent Center")</f>
        <v>0.0</v>
      </c>
      <c r="H1433" s="2" t="n">
        <f>HYPERLINK("https://worldwide.espacenet.com/patent/search?q=US20210358269","Espacenet")</f>
        <v>0.0</v>
      </c>
      <c r="I1433" s="2" t="n">
        <f>HYPERLINK("https://ppubs.uspto.gov/pubwebapp/external.html?q=20210358269.pn.","USPTO")</f>
        <v>0.0</v>
      </c>
      <c r="J1433" s="2" t="n">
        <f>HYPERLINK("https://image-ppubs.uspto.gov/dirsearch-public/print/downloadPdf/20210358269","USPTO PDF")</f>
        <v>0.0</v>
      </c>
      <c r="K1433" s="2" t="n">
        <f>HYPERLINK("https://sectors.patentforecast.com/pmd/US20210358269","PMD")</f>
        <v>0.0</v>
      </c>
      <c r="L1433" s="2" t="n">
        <f>HYPERLINK("https://globaldossier.uspto.gov/result/application/US/17318284/1","US20210358269")</f>
        <v>0.0</v>
      </c>
      <c r="M1433" t="s">
        <v>9873</v>
      </c>
      <c r="N1433" t="s">
        <v>9171</v>
      </c>
      <c r="O1433" t="s">
        <v>9172</v>
      </c>
      <c r="P1433" t="s">
        <v>9173</v>
      </c>
      <c r="Q1433" s="3" t="n">
        <v>44328.0</v>
      </c>
      <c r="R1433" s="3" t="n">
        <v>44518.0</v>
      </c>
      <c r="S1433" s="3" t="n">
        <v>44519.188913958336</v>
      </c>
      <c r="T1433" s="3" t="n">
        <v>44523.621980902775</v>
      </c>
      <c r="U1433" t="s">
        <v>9874</v>
      </c>
      <c r="V1433" t="s">
        <v>9875</v>
      </c>
    </row>
    <row r="1434">
      <c r="A1434" t="s">
        <v>22</v>
      </c>
      <c r="B1434" t="s">
        <v>9876</v>
      </c>
      <c r="C1434" t="s">
        <v>24</v>
      </c>
      <c r="D1434" t="s">
        <v>43</v>
      </c>
      <c r="E1434" t="s">
        <v>9877</v>
      </c>
      <c r="F1434" s="2" t="n">
        <f>HYPERLINK("https://patents.google.com/patent/US20210358152","Google")</f>
        <v>0.0</v>
      </c>
      <c r="G1434" s="2" t="n">
        <f>HYPERLINK("https://patentcenter.uspto.gov/applications/17302701","Patent Center")</f>
        <v>0.0</v>
      </c>
      <c r="H1434" s="2" t="n">
        <f>HYPERLINK("https://worldwide.espacenet.com/patent/search?q=US20210358152","Espacenet")</f>
        <v>0.0</v>
      </c>
      <c r="I1434" s="2" t="n">
        <f>HYPERLINK("https://ppubs.uspto.gov/pubwebapp/external.html?q=20210358152.pn.","USPTO")</f>
        <v>0.0</v>
      </c>
      <c r="J1434" s="2" t="n">
        <f>HYPERLINK("https://image-ppubs.uspto.gov/dirsearch-public/print/downloadPdf/20210358152","USPTO PDF")</f>
        <v>0.0</v>
      </c>
      <c r="K1434" s="2" t="n">
        <f>HYPERLINK("https://sectors.patentforecast.com/pmd/US20210358152","PMD")</f>
        <v>0.0</v>
      </c>
      <c r="L1434" s="2" t="n">
        <f>HYPERLINK("https://globaldossier.uspto.gov/result/application/US/17302701/1","US20210358152")</f>
        <v>0.0</v>
      </c>
      <c r="M1434" t="s">
        <v>9878</v>
      </c>
      <c r="N1434" t="s">
        <v>9879</v>
      </c>
      <c r="O1434" t="s">
        <v>9880</v>
      </c>
      <c r="P1434" t="s">
        <v>9881</v>
      </c>
      <c r="Q1434" s="3" t="n">
        <v>44327.0</v>
      </c>
      <c r="R1434" s="3" t="n">
        <v>44518.0</v>
      </c>
      <c r="S1434" s="3" t="n">
        <v>44519.19400512731</v>
      </c>
      <c r="T1434" s="3" t="n">
        <v>44523.61779979167</v>
      </c>
      <c r="U1434" t="s">
        <v>9882</v>
      </c>
      <c r="V1434" t="s">
        <v>9883</v>
      </c>
    </row>
    <row r="1435">
      <c r="A1435" t="s">
        <v>22</v>
      </c>
      <c r="B1435" t="s">
        <v>9884</v>
      </c>
      <c r="C1435" t="s">
        <v>24</v>
      </c>
      <c r="D1435" t="s">
        <v>204</v>
      </c>
      <c r="E1435" t="s">
        <v>9885</v>
      </c>
      <c r="F1435" s="2" t="n">
        <f>HYPERLINK("https://patents.google.com/patent/US20210358068","Google")</f>
        <v>0.0</v>
      </c>
      <c r="G1435" s="2" t="n">
        <f>HYPERLINK("https://patentcenter.uspto.gov/applications/16874180","Patent Center")</f>
        <v>0.0</v>
      </c>
      <c r="H1435" s="2" t="n">
        <f>HYPERLINK("https://worldwide.espacenet.com/patent/search?q=US20210358068","Espacenet")</f>
        <v>0.0</v>
      </c>
      <c r="I1435" s="2" t="n">
        <f>HYPERLINK("https://ppubs.uspto.gov/pubwebapp/external.html?q=20210358068.pn.","USPTO")</f>
        <v>0.0</v>
      </c>
      <c r="J1435" s="2" t="n">
        <f>HYPERLINK("https://image-ppubs.uspto.gov/dirsearch-public/print/downloadPdf/20210358068","USPTO PDF")</f>
        <v>0.0</v>
      </c>
      <c r="K1435" s="2" t="n">
        <f>HYPERLINK("https://sectors.patentforecast.com/pmd/US20210358068","PMD")</f>
        <v>0.0</v>
      </c>
      <c r="L1435" s="2" t="n">
        <f>HYPERLINK("https://globaldossier.uspto.gov/result/application/US/16874180/1","US20210358068")</f>
        <v>0.0</v>
      </c>
      <c r="M1435" t="s">
        <v>9886</v>
      </c>
      <c r="N1435" t="s">
        <v>9887</v>
      </c>
      <c r="O1435" t="s">
        <v>9888</v>
      </c>
      <c r="P1435" t="s">
        <v>9889</v>
      </c>
      <c r="Q1435" s="3" t="n">
        <v>43965.0</v>
      </c>
      <c r="R1435" s="3" t="n">
        <v>44518.0</v>
      </c>
      <c r="S1435" s="3" t="n">
        <v>44519.188913958336</v>
      </c>
      <c r="T1435" s="3" t="n">
        <v>44523.616685925925</v>
      </c>
      <c r="U1435" t="s">
        <v>9890</v>
      </c>
      <c r="V1435" t="s">
        <v>9891</v>
      </c>
    </row>
    <row r="1436">
      <c r="A1436" t="s">
        <v>22</v>
      </c>
      <c r="B1436" t="s">
        <v>9892</v>
      </c>
      <c r="C1436" t="s">
        <v>312</v>
      </c>
      <c r="D1436" t="s">
        <v>715</v>
      </c>
      <c r="E1436" t="s">
        <v>9893</v>
      </c>
      <c r="F1436" s="2" t="n">
        <f>HYPERLINK("https://patents.google.com/patent/US20210357654","Google")</f>
        <v>0.0</v>
      </c>
      <c r="G1436" s="2" t="n">
        <f>HYPERLINK("https://patentcenter.uspto.gov/applications/17196698","Patent Center")</f>
        <v>0.0</v>
      </c>
      <c r="H1436" s="2" t="n">
        <f>HYPERLINK("https://worldwide.espacenet.com/patent/search?q=US20210357654","Espacenet")</f>
        <v>0.0</v>
      </c>
      <c r="I1436" s="2" t="n">
        <f>HYPERLINK("https://ppubs.uspto.gov/pubwebapp/external.html?q=20210357654.pn.","USPTO")</f>
        <v>0.0</v>
      </c>
      <c r="J1436" s="2" t="n">
        <f>HYPERLINK("https://image-ppubs.uspto.gov/dirsearch-public/print/downloadPdf/20210357654","USPTO PDF")</f>
        <v>0.0</v>
      </c>
      <c r="K1436" s="2" t="n">
        <f>HYPERLINK("https://sectors.patentforecast.com/pmd/US20210357654","PMD")</f>
        <v>0.0</v>
      </c>
      <c r="L1436" s="2" t="n">
        <f>HYPERLINK("https://globaldossier.uspto.gov/result/application/US/17196698/1","US20210357654")</f>
        <v>0.0</v>
      </c>
      <c r="M1436" t="s">
        <v>9894</v>
      </c>
      <c r="N1436" t="s">
        <v>9895</v>
      </c>
      <c r="O1436" t="s">
        <v>9896</v>
      </c>
      <c r="P1436" t="s">
        <v>9897</v>
      </c>
      <c r="Q1436" s="3" t="n">
        <v>44264.0</v>
      </c>
      <c r="R1436" s="3" t="n">
        <v>44518.0</v>
      </c>
      <c r="S1436" s="3" t="n">
        <v>44519.18787288194</v>
      </c>
      <c r="T1436" s="3" t="n">
        <v>44523.699973194445</v>
      </c>
      <c r="U1436" t="s">
        <v>9898</v>
      </c>
      <c r="V1436" t="s">
        <v>9899</v>
      </c>
    </row>
    <row r="1437">
      <c r="A1437" t="s">
        <v>22</v>
      </c>
      <c r="B1437" t="s">
        <v>9900</v>
      </c>
      <c r="C1437" t="s">
        <v>24</v>
      </c>
      <c r="D1437" t="s">
        <v>8459</v>
      </c>
      <c r="E1437" t="s">
        <v>9901</v>
      </c>
      <c r="F1437" s="2" t="n">
        <f>HYPERLINK("https://patents.google.com/patent/US20210357649","Google")</f>
        <v>0.0</v>
      </c>
      <c r="G1437" s="2" t="n">
        <f>HYPERLINK("https://patentcenter.uspto.gov/applications/17196717","Patent Center")</f>
        <v>0.0</v>
      </c>
      <c r="H1437" s="2" t="n">
        <f>HYPERLINK("https://worldwide.espacenet.com/patent/search?q=US20210357649","Espacenet")</f>
        <v>0.0</v>
      </c>
      <c r="I1437" s="2" t="n">
        <f>HYPERLINK("https://ppubs.uspto.gov/pubwebapp/external.html?q=20210357649.pn.","USPTO")</f>
        <v>0.0</v>
      </c>
      <c r="J1437" s="2" t="n">
        <f>HYPERLINK("https://image-ppubs.uspto.gov/dirsearch-public/print/downloadPdf/20210357649","USPTO PDF")</f>
        <v>0.0</v>
      </c>
      <c r="K1437" s="2" t="n">
        <f>HYPERLINK("https://sectors.patentforecast.com/pmd/US20210357649","PMD")</f>
        <v>0.0</v>
      </c>
      <c r="L1437" s="2" t="n">
        <f>HYPERLINK("https://globaldossier.uspto.gov/result/application/US/17196717/1","US20210357649")</f>
        <v>0.0</v>
      </c>
      <c r="M1437" t="s">
        <v>9902</v>
      </c>
      <c r="N1437" t="s">
        <v>1520</v>
      </c>
      <c r="O1437" t="s">
        <v>1521</v>
      </c>
      <c r="P1437" t="s">
        <v>9897</v>
      </c>
      <c r="Q1437" s="3" t="n">
        <v>44264.0</v>
      </c>
      <c r="R1437" s="3" t="n">
        <v>44518.0</v>
      </c>
      <c r="S1437" s="3" t="n">
        <v>44519.18787288194</v>
      </c>
      <c r="T1437" s="3" t="n">
        <v>44523.700129212964</v>
      </c>
      <c r="U1437" t="s">
        <v>9903</v>
      </c>
      <c r="V1437" t="s">
        <v>9904</v>
      </c>
    </row>
    <row r="1438">
      <c r="A1438" t="s">
        <v>22</v>
      </c>
      <c r="B1438" t="s">
        <v>9905</v>
      </c>
      <c r="C1438" t="s">
        <v>24</v>
      </c>
      <c r="D1438" t="s">
        <v>51</v>
      </c>
      <c r="E1438" t="s">
        <v>9906</v>
      </c>
      <c r="F1438" s="2" t="n">
        <f>HYPERLINK("https://patents.google.com/patent/US20210356475","Google")</f>
        <v>0.0</v>
      </c>
      <c r="G1438" s="2" t="n">
        <f>HYPERLINK("https://patentcenter.uspto.gov/applications/17320624","Patent Center")</f>
        <v>0.0</v>
      </c>
      <c r="H1438" s="2" t="n">
        <f>HYPERLINK("https://worldwide.espacenet.com/patent/search?q=US20210356475","Espacenet")</f>
        <v>0.0</v>
      </c>
      <c r="I1438" s="2" t="n">
        <f>HYPERLINK("https://ppubs.uspto.gov/pubwebapp/external.html?q=20210356475.pn.","USPTO")</f>
        <v>0.0</v>
      </c>
      <c r="J1438" s="2" t="n">
        <f>HYPERLINK("https://image-ppubs.uspto.gov/dirsearch-public/print/downloadPdf/20210356475","USPTO PDF")</f>
        <v>0.0</v>
      </c>
      <c r="K1438" s="2" t="n">
        <f>HYPERLINK("https://sectors.patentforecast.com/pmd/US20210356475","PMD")</f>
        <v>0.0</v>
      </c>
      <c r="L1438" s="2" t="n">
        <f>HYPERLINK("https://globaldossier.uspto.gov/result/application/US/17320624/1","US20210356475")</f>
        <v>0.0</v>
      </c>
      <c r="M1438" t="s">
        <v>9907</v>
      </c>
      <c r="N1438" t="s">
        <v>9908</v>
      </c>
      <c r="O1438" t="s">
        <v>9909</v>
      </c>
      <c r="P1438" t="s">
        <v>9910</v>
      </c>
      <c r="Q1438" s="3" t="n">
        <v>44330.0</v>
      </c>
      <c r="R1438" s="3" t="n">
        <v>44518.0</v>
      </c>
      <c r="S1438" s="3" t="n">
        <v>44519.188913958336</v>
      </c>
      <c r="T1438" s="3" t="n">
        <v>44523.67861579861</v>
      </c>
      <c r="U1438" t="s">
        <v>9911</v>
      </c>
      <c r="V1438" t="s">
        <v>9912</v>
      </c>
    </row>
    <row r="1439">
      <c r="A1439" t="s">
        <v>22</v>
      </c>
      <c r="B1439" t="s">
        <v>9913</v>
      </c>
      <c r="C1439" t="s">
        <v>24</v>
      </c>
      <c r="D1439" t="s">
        <v>51</v>
      </c>
      <c r="E1439" t="s">
        <v>9914</v>
      </c>
      <c r="F1439" s="2" t="n">
        <f>HYPERLINK("https://patents.google.com/patent/US20210356466","Google")</f>
        <v>0.0</v>
      </c>
      <c r="G1439" s="2" t="n">
        <f>HYPERLINK("https://patentcenter.uspto.gov/applications/17379370","Patent Center")</f>
        <v>0.0</v>
      </c>
      <c r="H1439" s="2" t="n">
        <f>HYPERLINK("https://worldwide.espacenet.com/patent/search?q=US20210356466","Espacenet")</f>
        <v>0.0</v>
      </c>
      <c r="I1439" s="2" t="n">
        <f>HYPERLINK("https://ppubs.uspto.gov/pubwebapp/external.html?q=20210356466.pn.","USPTO")</f>
        <v>0.0</v>
      </c>
      <c r="J1439" s="2" t="n">
        <f>HYPERLINK("https://image-ppubs.uspto.gov/dirsearch-public/print/downloadPdf/20210356466","USPTO PDF")</f>
        <v>0.0</v>
      </c>
      <c r="K1439" s="2" t="n">
        <f>HYPERLINK("https://sectors.patentforecast.com/pmd/US20210356466","PMD")</f>
        <v>0.0</v>
      </c>
      <c r="L1439" s="2" t="n">
        <f>HYPERLINK("https://globaldossier.uspto.gov/result/application/US/17379370/1","US20210356466")</f>
        <v>0.0</v>
      </c>
      <c r="M1439" t="s">
        <v>9915</v>
      </c>
      <c r="N1439" t="s">
        <v>9916</v>
      </c>
      <c r="O1439" t="s">
        <v>9917</v>
      </c>
      <c r="P1439" t="s">
        <v>9918</v>
      </c>
      <c r="Q1439" s="3" t="n">
        <v>44396.0</v>
      </c>
      <c r="R1439" s="3" t="n">
        <v>44518.0</v>
      </c>
      <c r="S1439" s="3" t="n">
        <v>44519.188913958336</v>
      </c>
      <c r="T1439" s="3" t="n">
        <v>44523.58492597222</v>
      </c>
      <c r="U1439" t="s">
        <v>9919</v>
      </c>
      <c r="V1439" t="s">
        <v>9920</v>
      </c>
    </row>
    <row r="1440">
      <c r="A1440" t="s">
        <v>22</v>
      </c>
      <c r="B1440" t="s">
        <v>9921</v>
      </c>
      <c r="C1440" t="s">
        <v>24</v>
      </c>
      <c r="D1440" t="s">
        <v>51</v>
      </c>
      <c r="E1440" t="s">
        <v>9922</v>
      </c>
      <c r="F1440" s="2" t="n">
        <f>HYPERLINK("https://patents.google.com/patent/US20210356465","Google")</f>
        <v>0.0</v>
      </c>
      <c r="G1440" s="2" t="n">
        <f>HYPERLINK("https://patentcenter.uspto.gov/applications/17319081","Patent Center")</f>
        <v>0.0</v>
      </c>
      <c r="H1440" s="2" t="n">
        <f>HYPERLINK("https://worldwide.espacenet.com/patent/search?q=US20210356465","Espacenet")</f>
        <v>0.0</v>
      </c>
      <c r="I1440" s="2" t="n">
        <f>HYPERLINK("https://ppubs.uspto.gov/pubwebapp/external.html?q=20210356465.pn.","USPTO")</f>
        <v>0.0</v>
      </c>
      <c r="J1440" s="2" t="n">
        <f>HYPERLINK("https://image-ppubs.uspto.gov/dirsearch-public/print/downloadPdf/20210356465","USPTO PDF")</f>
        <v>0.0</v>
      </c>
      <c r="K1440" s="2" t="n">
        <f>HYPERLINK("https://sectors.patentforecast.com/pmd/US20210356465","PMD")</f>
        <v>0.0</v>
      </c>
      <c r="L1440" s="2" t="n">
        <f>HYPERLINK("https://globaldossier.uspto.gov/result/application/US/17319081/1","US20210356465")</f>
        <v>0.0</v>
      </c>
      <c r="M1440" t="s">
        <v>9923</v>
      </c>
      <c r="N1440" t="s">
        <v>9924</v>
      </c>
      <c r="O1440" t="s">
        <v>9925</v>
      </c>
      <c r="P1440" t="s">
        <v>9926</v>
      </c>
      <c r="Q1440" s="3" t="n">
        <v>44328.0</v>
      </c>
      <c r="R1440" s="3" t="n">
        <v>44518.0</v>
      </c>
      <c r="S1440" s="3" t="n">
        <v>44519.18787288194</v>
      </c>
      <c r="T1440" s="3" t="n">
        <v>44523.69903793981</v>
      </c>
      <c r="U1440" t="s">
        <v>9927</v>
      </c>
      <c r="V1440" t="s">
        <v>9928</v>
      </c>
    </row>
    <row r="1441">
      <c r="A1441" t="s">
        <v>22</v>
      </c>
      <c r="B1441" t="s">
        <v>9929</v>
      </c>
      <c r="C1441" t="s">
        <v>24</v>
      </c>
      <c r="D1441" t="s">
        <v>51</v>
      </c>
      <c r="E1441" t="s">
        <v>9930</v>
      </c>
      <c r="F1441" s="2" t="n">
        <f>HYPERLINK("https://patents.google.com/patent/US20210356464","Google")</f>
        <v>0.0</v>
      </c>
      <c r="G1441" s="2" t="n">
        <f>HYPERLINK("https://patentcenter.uspto.gov/applications/17308494","Patent Center")</f>
        <v>0.0</v>
      </c>
      <c r="H1441" s="2" t="n">
        <f>HYPERLINK("https://worldwide.espacenet.com/patent/search?q=US20210356464","Espacenet")</f>
        <v>0.0</v>
      </c>
      <c r="I1441" s="2" t="n">
        <f>HYPERLINK("https://ppubs.uspto.gov/pubwebapp/external.html?q=20210356464.pn.","USPTO")</f>
        <v>0.0</v>
      </c>
      <c r="J1441" s="2" t="n">
        <f>HYPERLINK("https://image-ppubs.uspto.gov/dirsearch-public/print/downloadPdf/20210356464","USPTO PDF")</f>
        <v>0.0</v>
      </c>
      <c r="K1441" s="2" t="n">
        <f>HYPERLINK("https://sectors.patentforecast.com/pmd/US20210356464","PMD")</f>
        <v>0.0</v>
      </c>
      <c r="L1441" s="2" t="n">
        <f>HYPERLINK("https://globaldossier.uspto.gov/result/application/US/17308494/1","US20210356464")</f>
        <v>0.0</v>
      </c>
      <c r="M1441" t="s">
        <v>9931</v>
      </c>
      <c r="N1441" t="s">
        <v>9932</v>
      </c>
      <c r="O1441" t="s">
        <v>9933</v>
      </c>
      <c r="P1441" t="s">
        <v>9934</v>
      </c>
      <c r="Q1441" s="3" t="n">
        <v>44321.0</v>
      </c>
      <c r="R1441" s="3" t="n">
        <v>44518.0</v>
      </c>
      <c r="S1441" s="3" t="n">
        <v>44519.188913958336</v>
      </c>
      <c r="T1441" s="3" t="n">
        <v>44523.61734848379</v>
      </c>
      <c r="U1441" t="s">
        <v>9935</v>
      </c>
      <c r="V1441" t="s">
        <v>9936</v>
      </c>
    </row>
    <row r="1442">
      <c r="A1442" t="s">
        <v>22</v>
      </c>
      <c r="B1442" t="s">
        <v>9937</v>
      </c>
      <c r="C1442" t="s">
        <v>24</v>
      </c>
      <c r="D1442" t="s">
        <v>51</v>
      </c>
      <c r="E1442" t="s">
        <v>9938</v>
      </c>
      <c r="F1442" s="2" t="n">
        <f>HYPERLINK("https://patents.google.com/patent/US20210356428","Google")</f>
        <v>0.0</v>
      </c>
      <c r="G1442" s="2" t="n">
        <f>HYPERLINK("https://patentcenter.uspto.gov/applications/17321369","Patent Center")</f>
        <v>0.0</v>
      </c>
      <c r="H1442" s="2" t="n">
        <f>HYPERLINK("https://worldwide.espacenet.com/patent/search?q=US20210356428","Espacenet")</f>
        <v>0.0</v>
      </c>
      <c r="I1442" s="2" t="n">
        <f>HYPERLINK("https://ppubs.uspto.gov/pubwebapp/external.html?q=20210356428.pn.","USPTO")</f>
        <v>0.0</v>
      </c>
      <c r="J1442" s="2" t="n">
        <f>HYPERLINK("https://image-ppubs.uspto.gov/dirsearch-public/print/downloadPdf/20210356428","USPTO PDF")</f>
        <v>0.0</v>
      </c>
      <c r="K1442" s="2" t="n">
        <f>HYPERLINK("https://sectors.patentforecast.com/pmd/US20210356428","PMD")</f>
        <v>0.0</v>
      </c>
      <c r="L1442" s="2" t="n">
        <f>HYPERLINK("https://globaldossier.uspto.gov/result/application/US/17321369/1","US20210356428")</f>
        <v>0.0</v>
      </c>
      <c r="M1442" t="s">
        <v>9939</v>
      </c>
      <c r="N1442" t="s">
        <v>9375</v>
      </c>
      <c r="O1442" t="s">
        <v>9375</v>
      </c>
      <c r="P1442" t="s">
        <v>9940</v>
      </c>
      <c r="Q1442" s="3" t="n">
        <v>44330.0</v>
      </c>
      <c r="R1442" s="3" t="n">
        <v>44518.0</v>
      </c>
      <c r="S1442" s="3" t="n">
        <v>44519.188913958336</v>
      </c>
      <c r="T1442" s="3" t="n">
        <v>44523.58492597222</v>
      </c>
      <c r="U1442" t="s">
        <v>9941</v>
      </c>
      <c r="V1442" t="s">
        <v>9942</v>
      </c>
    </row>
    <row r="1443">
      <c r="A1443" t="s">
        <v>22</v>
      </c>
      <c r="B1443" t="s">
        <v>9943</v>
      </c>
      <c r="C1443" t="s">
        <v>24</v>
      </c>
      <c r="D1443" t="s">
        <v>100</v>
      </c>
      <c r="E1443" t="s">
        <v>9944</v>
      </c>
      <c r="F1443" s="2" t="n">
        <f>HYPERLINK("https://patents.google.com/patent/US20210355699","Google")</f>
        <v>0.0</v>
      </c>
      <c r="G1443" s="2" t="n">
        <f>HYPERLINK("https://patentcenter.uspto.gov/applications/16911462","Patent Center")</f>
        <v>0.0</v>
      </c>
      <c r="H1443" s="2" t="n">
        <f>HYPERLINK("https://worldwide.espacenet.com/patent/search?q=US20210355699","Espacenet")</f>
        <v>0.0</v>
      </c>
      <c r="I1443" s="2" t="n">
        <f>HYPERLINK("https://ppubs.uspto.gov/pubwebapp/external.html?q=20210355699.pn.","USPTO")</f>
        <v>0.0</v>
      </c>
      <c r="J1443" s="2" t="n">
        <f>HYPERLINK("https://image-ppubs.uspto.gov/dirsearch-public/print/downloadPdf/20210355699","USPTO PDF")</f>
        <v>0.0</v>
      </c>
      <c r="K1443" s="2" t="n">
        <f>HYPERLINK("https://sectors.patentforecast.com/pmd/US20210355699","PMD")</f>
        <v>0.0</v>
      </c>
      <c r="L1443" s="2" t="n">
        <f>HYPERLINK("https://globaldossier.uspto.gov/result/application/US/16911462/1","US20210355699")</f>
        <v>0.0</v>
      </c>
      <c r="M1443" t="s">
        <v>9945</v>
      </c>
      <c r="N1443" t="s">
        <v>9946</v>
      </c>
      <c r="O1443" t="s">
        <v>9947</v>
      </c>
      <c r="P1443" t="s">
        <v>9948</v>
      </c>
      <c r="Q1443" s="3" t="n">
        <v>44007.0</v>
      </c>
      <c r="R1443" s="3" t="n">
        <v>44518.0</v>
      </c>
      <c r="S1443" s="3" t="n">
        <v>44519.188913958336</v>
      </c>
      <c r="T1443" s="3" t="n">
        <v>44523.624383483795</v>
      </c>
      <c r="U1443" t="s">
        <v>9949</v>
      </c>
      <c r="V1443" t="s">
        <v>9950</v>
      </c>
    </row>
    <row r="1444">
      <c r="A1444" t="s">
        <v>22</v>
      </c>
      <c r="B1444" t="s">
        <v>9951</v>
      </c>
      <c r="C1444" t="s">
        <v>24</v>
      </c>
      <c r="D1444" t="s">
        <v>51</v>
      </c>
      <c r="E1444" t="s">
        <v>9952</v>
      </c>
      <c r="F1444" s="2" t="n">
        <f>HYPERLINK("https://patents.google.com/patent/US20210355552","Google")</f>
        <v>0.0</v>
      </c>
      <c r="G1444" s="2" t="n">
        <f>HYPERLINK("https://patentcenter.uspto.gov/applications/17319845","Patent Center")</f>
        <v>0.0</v>
      </c>
      <c r="H1444" s="2" t="n">
        <f>HYPERLINK("https://worldwide.espacenet.com/patent/search?q=US20210355552","Espacenet")</f>
        <v>0.0</v>
      </c>
      <c r="I1444" s="2" t="n">
        <f>HYPERLINK("https://ppubs.uspto.gov/pubwebapp/external.html?q=20210355552.pn.","USPTO")</f>
        <v>0.0</v>
      </c>
      <c r="J1444" s="2" t="n">
        <f>HYPERLINK("https://image-ppubs.uspto.gov/dirsearch-public/print/downloadPdf/20210355552","USPTO PDF")</f>
        <v>0.0</v>
      </c>
      <c r="K1444" s="2" t="n">
        <f>HYPERLINK("https://sectors.patentforecast.com/pmd/US20210355552","PMD")</f>
        <v>0.0</v>
      </c>
      <c r="L1444" s="2" t="n">
        <f>HYPERLINK("https://globaldossier.uspto.gov/result/application/US/17319845/1","US20210355552")</f>
        <v>0.0</v>
      </c>
      <c r="M1444" t="s">
        <v>9953</v>
      </c>
      <c r="N1444" t="s">
        <v>9076</v>
      </c>
      <c r="O1444" t="s">
        <v>9076</v>
      </c>
      <c r="P1444" t="s">
        <v>9954</v>
      </c>
      <c r="Q1444" s="3" t="n">
        <v>44329.0</v>
      </c>
      <c r="R1444" s="3" t="n">
        <v>44518.0</v>
      </c>
      <c r="S1444" s="3" t="n">
        <v>44519.188913958336</v>
      </c>
      <c r="T1444" s="3" t="n">
        <v>44523.60138648148</v>
      </c>
      <c r="U1444" t="s">
        <v>9955</v>
      </c>
      <c r="V1444" t="s">
        <v>9956</v>
      </c>
    </row>
    <row r="1445">
      <c r="A1445" t="s">
        <v>22</v>
      </c>
      <c r="B1445" t="s">
        <v>9957</v>
      </c>
      <c r="C1445" t="s">
        <v>24</v>
      </c>
      <c r="D1445" t="s">
        <v>34</v>
      </c>
      <c r="E1445" t="s">
        <v>9958</v>
      </c>
      <c r="F1445" s="2" t="n">
        <f>HYPERLINK("https://patents.google.com/patent/US20210355551","Google")</f>
        <v>0.0</v>
      </c>
      <c r="G1445" s="2" t="n">
        <f>HYPERLINK("https://patentcenter.uspto.gov/applications/16874647","Patent Center")</f>
        <v>0.0</v>
      </c>
      <c r="H1445" s="2" t="n">
        <f>HYPERLINK("https://worldwide.espacenet.com/patent/search?q=US20210355551","Espacenet")</f>
        <v>0.0</v>
      </c>
      <c r="I1445" s="2" t="n">
        <f>HYPERLINK("https://ppubs.uspto.gov/pubwebapp/external.html?q=20210355551.pn.","USPTO")</f>
        <v>0.0</v>
      </c>
      <c r="J1445" s="2" t="n">
        <f>HYPERLINK("https://image-ppubs.uspto.gov/dirsearch-public/print/downloadPdf/20210355551","USPTO PDF")</f>
        <v>0.0</v>
      </c>
      <c r="K1445" s="2" t="n">
        <f>HYPERLINK("https://sectors.patentforecast.com/pmd/US20210355551","PMD")</f>
        <v>0.0</v>
      </c>
      <c r="L1445" s="2" t="n">
        <f>HYPERLINK("https://globaldossier.uspto.gov/result/application/US/16874647/1","US20210355551")</f>
        <v>0.0</v>
      </c>
      <c r="M1445" t="s">
        <v>9959</v>
      </c>
      <c r="N1445" t="s">
        <v>9960</v>
      </c>
      <c r="O1445" t="s">
        <v>9961</v>
      </c>
      <c r="P1445" t="s">
        <v>9962</v>
      </c>
      <c r="Q1445" s="3" t="n">
        <v>43965.0</v>
      </c>
      <c r="R1445" s="3" t="n">
        <v>44518.0</v>
      </c>
      <c r="S1445" s="3" t="n">
        <v>44519.188913958336</v>
      </c>
      <c r="T1445" s="3" t="n">
        <v>44523.70190530093</v>
      </c>
      <c r="U1445" t="s">
        <v>9963</v>
      </c>
      <c r="V1445" t="s">
        <v>9964</v>
      </c>
    </row>
    <row r="1446">
      <c r="A1446" t="s">
        <v>22</v>
      </c>
      <c r="B1446" t="s">
        <v>9965</v>
      </c>
      <c r="C1446" t="s">
        <v>24</v>
      </c>
      <c r="D1446" t="s">
        <v>51</v>
      </c>
      <c r="E1446" t="s">
        <v>9966</v>
      </c>
      <c r="F1446" s="2" t="n">
        <f>HYPERLINK("https://patents.google.com/patent/US20210355533","Google")</f>
        <v>0.0</v>
      </c>
      <c r="G1446" s="2" t="n">
        <f>HYPERLINK("https://patentcenter.uspto.gov/applications/17302030","Patent Center")</f>
        <v>0.0</v>
      </c>
      <c r="H1446" s="2" t="n">
        <f>HYPERLINK("https://worldwide.espacenet.com/patent/search?q=US20210355533","Espacenet")</f>
        <v>0.0</v>
      </c>
      <c r="I1446" s="2" t="n">
        <f>HYPERLINK("https://ppubs.uspto.gov/pubwebapp/external.html?q=20210355533.pn.","USPTO")</f>
        <v>0.0</v>
      </c>
      <c r="J1446" s="2" t="n">
        <f>HYPERLINK("https://image-ppubs.uspto.gov/dirsearch-public/print/downloadPdf/20210355533","USPTO PDF")</f>
        <v>0.0</v>
      </c>
      <c r="K1446" s="2" t="n">
        <f>HYPERLINK("https://sectors.patentforecast.com/pmd/US20210355533","PMD")</f>
        <v>0.0</v>
      </c>
      <c r="L1446" s="2" t="n">
        <f>HYPERLINK("https://globaldossier.uspto.gov/result/application/US/17302030/1","US20210355533")</f>
        <v>0.0</v>
      </c>
      <c r="M1446" t="s">
        <v>9967</v>
      </c>
      <c r="N1446" t="s">
        <v>9968</v>
      </c>
      <c r="O1446" t="s">
        <v>9969</v>
      </c>
      <c r="P1446" t="s">
        <v>9970</v>
      </c>
      <c r="Q1446" s="3" t="n">
        <v>44307.0</v>
      </c>
      <c r="R1446" s="3" t="n">
        <v>44518.0</v>
      </c>
      <c r="S1446" s="3" t="n">
        <v>44519.18787288194</v>
      </c>
      <c r="T1446" s="3" t="n">
        <v>44523.70554678241</v>
      </c>
      <c r="U1446" t="s">
        <v>9971</v>
      </c>
      <c r="V1446" t="s">
        <v>9972</v>
      </c>
    </row>
    <row r="1447">
      <c r="A1447" t="s">
        <v>22</v>
      </c>
      <c r="B1447" t="s">
        <v>9973</v>
      </c>
      <c r="C1447" t="s">
        <v>24</v>
      </c>
      <c r="D1447" t="s">
        <v>51</v>
      </c>
      <c r="E1447" t="s">
        <v>9974</v>
      </c>
      <c r="F1447" s="2" t="n">
        <f>HYPERLINK("https://patents.google.com/patent/US20210355523","Google")</f>
        <v>0.0</v>
      </c>
      <c r="G1447" s="2" t="n">
        <f>HYPERLINK("https://patentcenter.uspto.gov/applications/17073281","Patent Center")</f>
        <v>0.0</v>
      </c>
      <c r="H1447" s="2" t="n">
        <f>HYPERLINK("https://worldwide.espacenet.com/patent/search?q=US20210355523","Espacenet")</f>
        <v>0.0</v>
      </c>
      <c r="I1447" s="2" t="n">
        <f>HYPERLINK("https://ppubs.uspto.gov/pubwebapp/external.html?q=20210355523.pn.","USPTO")</f>
        <v>0.0</v>
      </c>
      <c r="J1447" s="2" t="n">
        <f>HYPERLINK("https://image-ppubs.uspto.gov/dirsearch-public/print/downloadPdf/20210355523","USPTO PDF")</f>
        <v>0.0</v>
      </c>
      <c r="K1447" s="2" t="n">
        <f>HYPERLINK("https://sectors.patentforecast.com/pmd/US20210355523","PMD")</f>
        <v>0.0</v>
      </c>
      <c r="L1447" s="2" t="n">
        <f>HYPERLINK("https://globaldossier.uspto.gov/result/application/US/17073281/1","US20210355523")</f>
        <v>0.0</v>
      </c>
      <c r="M1447" t="s">
        <v>9975</v>
      </c>
      <c r="N1447" t="s">
        <v>9960</v>
      </c>
      <c r="O1447" t="s">
        <v>9961</v>
      </c>
      <c r="P1447" t="s">
        <v>9962</v>
      </c>
      <c r="Q1447" s="3" t="n">
        <v>44120.0</v>
      </c>
      <c r="R1447" s="3" t="n">
        <v>44518.0</v>
      </c>
      <c r="S1447" s="3" t="n">
        <v>44519.188913958336</v>
      </c>
      <c r="T1447" s="3" t="n">
        <v>44523.61746163195</v>
      </c>
      <c r="U1447" t="s">
        <v>9976</v>
      </c>
      <c r="V1447" t="s">
        <v>9977</v>
      </c>
    </row>
    <row r="1448">
      <c r="A1448" t="s">
        <v>22</v>
      </c>
      <c r="B1448" t="s">
        <v>9978</v>
      </c>
      <c r="C1448" t="s">
        <v>60</v>
      </c>
      <c r="D1448" t="s">
        <v>77</v>
      </c>
      <c r="E1448" t="s">
        <v>9979</v>
      </c>
      <c r="F1448" s="2" t="n">
        <f>HYPERLINK("https://patents.google.com/patent/US20210355196","Google")</f>
        <v>0.0</v>
      </c>
      <c r="G1448" s="2" t="n">
        <f>HYPERLINK("https://patentcenter.uspto.gov/applications/17322137","Patent Center")</f>
        <v>0.0</v>
      </c>
      <c r="H1448" s="2" t="n">
        <f>HYPERLINK("https://worldwide.espacenet.com/patent/search?q=US20210355196","Espacenet")</f>
        <v>0.0</v>
      </c>
      <c r="I1448" s="2" t="n">
        <f>HYPERLINK("https://ppubs.uspto.gov/pubwebapp/external.html?q=20210355196.pn.","USPTO")</f>
        <v>0.0</v>
      </c>
      <c r="J1448" s="2" t="n">
        <f>HYPERLINK("https://image-ppubs.uspto.gov/dirsearch-public/print/downloadPdf/20210355196","USPTO PDF")</f>
        <v>0.0</v>
      </c>
      <c r="K1448" s="2" t="n">
        <f>HYPERLINK("https://sectors.patentforecast.com/pmd/US20210355196","PMD")</f>
        <v>0.0</v>
      </c>
      <c r="L1448" s="2" t="n">
        <f>HYPERLINK("https://globaldossier.uspto.gov/result/application/US/17322137/1","US20210355196")</f>
        <v>0.0</v>
      </c>
      <c r="M1448" t="s">
        <v>9980</v>
      </c>
      <c r="N1448" t="s">
        <v>6958</v>
      </c>
      <c r="O1448" t="s">
        <v>6959</v>
      </c>
      <c r="P1448" t="s">
        <v>9981</v>
      </c>
      <c r="Q1448" s="3" t="n">
        <v>44333.0</v>
      </c>
      <c r="R1448" s="3" t="n">
        <v>44518.0</v>
      </c>
      <c r="S1448" s="3" t="n">
        <v>44519.188913958336</v>
      </c>
      <c r="T1448" s="3" t="n">
        <v>44523.607685636576</v>
      </c>
      <c r="U1448" t="s">
        <v>9982</v>
      </c>
      <c r="V1448" t="s">
        <v>9983</v>
      </c>
    </row>
    <row r="1449">
      <c r="A1449" t="s">
        <v>22</v>
      </c>
      <c r="B1449" t="s">
        <v>9984</v>
      </c>
      <c r="C1449" t="s">
        <v>60</v>
      </c>
      <c r="D1449" t="s">
        <v>77</v>
      </c>
      <c r="E1449" t="s">
        <v>9985</v>
      </c>
      <c r="F1449" s="2" t="n">
        <f>HYPERLINK("https://patents.google.com/patent/US20210355194","Google")</f>
        <v>0.0</v>
      </c>
      <c r="G1449" s="2" t="n">
        <f>HYPERLINK("https://patentcenter.uspto.gov/applications/17242170","Patent Center")</f>
        <v>0.0</v>
      </c>
      <c r="H1449" s="2" t="n">
        <f>HYPERLINK("https://worldwide.espacenet.com/patent/search?q=US20210355194","Espacenet")</f>
        <v>0.0</v>
      </c>
      <c r="I1449" s="2" t="n">
        <f>HYPERLINK("https://ppubs.uspto.gov/pubwebapp/external.html?q=20210355194.pn.","USPTO")</f>
        <v>0.0</v>
      </c>
      <c r="J1449" s="2" t="n">
        <f>HYPERLINK("https://image-ppubs.uspto.gov/dirsearch-public/print/downloadPdf/20210355194","USPTO PDF")</f>
        <v>0.0</v>
      </c>
      <c r="K1449" s="2" t="n">
        <f>HYPERLINK("https://sectors.patentforecast.com/pmd/US20210355194","PMD")</f>
        <v>0.0</v>
      </c>
      <c r="L1449" s="2" t="n">
        <f>HYPERLINK("https://globaldossier.uspto.gov/result/application/US/17242170/1","US20210355194")</f>
        <v>0.0</v>
      </c>
      <c r="M1449" t="s">
        <v>9986</v>
      </c>
      <c r="N1449" t="s">
        <v>9987</v>
      </c>
      <c r="O1449" t="s">
        <v>9988</v>
      </c>
      <c r="P1449" t="s">
        <v>9989</v>
      </c>
      <c r="Q1449" s="3" t="n">
        <v>44313.0</v>
      </c>
      <c r="R1449" s="3" t="n">
        <v>44518.0</v>
      </c>
      <c r="S1449" s="3" t="n">
        <v>44519.18787288194</v>
      </c>
      <c r="T1449" s="3" t="n">
        <v>44523.7066153125</v>
      </c>
      <c r="U1449" t="s">
        <v>9990</v>
      </c>
      <c r="V1449" t="s">
        <v>9991</v>
      </c>
    </row>
    <row r="1450">
      <c r="A1450" t="s">
        <v>22</v>
      </c>
      <c r="B1450" t="s">
        <v>9992</v>
      </c>
      <c r="C1450" t="s">
        <v>132</v>
      </c>
      <c r="D1450" t="s">
        <v>133</v>
      </c>
      <c r="E1450" t="s">
        <v>9993</v>
      </c>
      <c r="F1450" s="2" t="n">
        <f>HYPERLINK("https://patents.google.com/patent/US20210355170","Google")</f>
        <v>0.0</v>
      </c>
      <c r="G1450" s="2" t="n">
        <f>HYPERLINK("https://patentcenter.uspto.gov/applications/17318719","Patent Center")</f>
        <v>0.0</v>
      </c>
      <c r="H1450" s="2" t="n">
        <f>HYPERLINK("https://worldwide.espacenet.com/patent/search?q=US20210355170","Espacenet")</f>
        <v>0.0</v>
      </c>
      <c r="I1450" s="2" t="n">
        <f>HYPERLINK("https://ppubs.uspto.gov/pubwebapp/external.html?q=20210355170.pn.","USPTO")</f>
        <v>0.0</v>
      </c>
      <c r="J1450" s="2" t="n">
        <f>HYPERLINK("https://image-ppubs.uspto.gov/dirsearch-public/print/downloadPdf/20210355170","USPTO PDF")</f>
        <v>0.0</v>
      </c>
      <c r="K1450" s="2" t="n">
        <f>HYPERLINK("https://sectors.patentforecast.com/pmd/US20210355170","PMD")</f>
        <v>0.0</v>
      </c>
      <c r="L1450" s="2" t="n">
        <f>HYPERLINK("https://globaldossier.uspto.gov/result/application/US/17318719/1","US20210355170")</f>
        <v>0.0</v>
      </c>
      <c r="M1450" t="s">
        <v>9994</v>
      </c>
      <c r="N1450" t="s">
        <v>9995</v>
      </c>
      <c r="O1450" t="s">
        <v>9995</v>
      </c>
      <c r="P1450" t="s">
        <v>9996</v>
      </c>
      <c r="Q1450" s="3" t="n">
        <v>44328.0</v>
      </c>
      <c r="R1450" s="3" t="n">
        <v>44518.0</v>
      </c>
      <c r="S1450" s="3" t="n">
        <v>44519.188913958336</v>
      </c>
      <c r="T1450" s="3" t="n">
        <v>44523.69886074074</v>
      </c>
      <c r="U1450" t="s">
        <v>9997</v>
      </c>
      <c r="V1450" t="s">
        <v>9998</v>
      </c>
    </row>
    <row r="1451">
      <c r="A1451" t="s">
        <v>22</v>
      </c>
      <c r="B1451" t="s">
        <v>9999</v>
      </c>
      <c r="C1451" t="s">
        <v>60</v>
      </c>
      <c r="D1451" t="s">
        <v>61</v>
      </c>
      <c r="E1451" t="s">
        <v>221</v>
      </c>
      <c r="F1451" s="2" t="n">
        <f>HYPERLINK("https://patents.google.com/patent/US20210355111","Google")</f>
        <v>0.0</v>
      </c>
      <c r="G1451" s="2" t="n">
        <f>HYPERLINK("https://patentcenter.uspto.gov/applications/17384369","Patent Center")</f>
        <v>0.0</v>
      </c>
      <c r="H1451" s="2" t="n">
        <f>HYPERLINK("https://worldwide.espacenet.com/patent/search?q=US20210355111","Espacenet")</f>
        <v>0.0</v>
      </c>
      <c r="I1451" s="2" t="n">
        <f>HYPERLINK("https://ppubs.uspto.gov/pubwebapp/external.html?q=20210355111.pn.","USPTO")</f>
        <v>0.0</v>
      </c>
      <c r="J1451" s="2" t="n">
        <f>HYPERLINK("https://image-ppubs.uspto.gov/dirsearch-public/print/downloadPdf/20210355111","USPTO PDF")</f>
        <v>0.0</v>
      </c>
      <c r="K1451" s="2" t="n">
        <f>HYPERLINK("https://sectors.patentforecast.com/pmd/US20210355111","PMD")</f>
        <v>0.0</v>
      </c>
      <c r="L1451" s="2" t="n">
        <f>HYPERLINK("https://globaldossier.uspto.gov/result/application/US/17384369/1","US20210355111")</f>
        <v>0.0</v>
      </c>
      <c r="M1451" t="s">
        <v>10000</v>
      </c>
      <c r="N1451" t="s">
        <v>223</v>
      </c>
      <c r="O1451" t="s">
        <v>224</v>
      </c>
      <c r="P1451" t="s">
        <v>225</v>
      </c>
      <c r="Q1451" s="3" t="n">
        <v>44400.0</v>
      </c>
      <c r="R1451" s="3" t="n">
        <v>44518.0</v>
      </c>
      <c r="S1451" s="3" t="n">
        <v>44519.18787288194</v>
      </c>
      <c r="T1451" s="3" t="n">
        <v>44523.69108186343</v>
      </c>
      <c r="U1451" t="s">
        <v>10001</v>
      </c>
      <c r="V1451" t="s">
        <v>10002</v>
      </c>
    </row>
    <row r="1452">
      <c r="A1452" t="s">
        <v>22</v>
      </c>
      <c r="B1452" t="s">
        <v>10003</v>
      </c>
      <c r="C1452" t="s">
        <v>60</v>
      </c>
      <c r="D1452" t="s">
        <v>61</v>
      </c>
      <c r="E1452" t="s">
        <v>10004</v>
      </c>
      <c r="F1452" s="2" t="n">
        <f>HYPERLINK("https://patents.google.com/patent/US20210355090","Google")</f>
        <v>0.0</v>
      </c>
      <c r="G1452" s="2" t="n">
        <f>HYPERLINK("https://patentcenter.uspto.gov/applications/17323910","Patent Center")</f>
        <v>0.0</v>
      </c>
      <c r="H1452" s="2" t="n">
        <f>HYPERLINK("https://worldwide.espacenet.com/patent/search?q=US20210355090","Espacenet")</f>
        <v>0.0</v>
      </c>
      <c r="I1452" s="2" t="n">
        <f>HYPERLINK("https://ppubs.uspto.gov/pubwebapp/external.html?q=20210355090.pn.","USPTO")</f>
        <v>0.0</v>
      </c>
      <c r="J1452" s="2" t="n">
        <f>HYPERLINK("https://image-ppubs.uspto.gov/dirsearch-public/print/downloadPdf/20210355090","USPTO PDF")</f>
        <v>0.0</v>
      </c>
      <c r="K1452" s="2" t="n">
        <f>HYPERLINK("https://sectors.patentforecast.com/pmd/US20210355090","PMD")</f>
        <v>0.0</v>
      </c>
      <c r="L1452" s="2" t="n">
        <f>HYPERLINK("https://globaldossier.uspto.gov/result/application/US/17323910/1","US20210355090")</f>
        <v>0.0</v>
      </c>
      <c r="M1452" t="s">
        <v>10005</v>
      </c>
      <c r="N1452" t="s">
        <v>10006</v>
      </c>
      <c r="O1452" t="s">
        <v>10007</v>
      </c>
      <c r="P1452" t="s">
        <v>10008</v>
      </c>
      <c r="Q1452" s="3" t="n">
        <v>44334.0</v>
      </c>
      <c r="R1452" s="3" t="n">
        <v>44518.0</v>
      </c>
      <c r="S1452" s="3" t="n">
        <v>44519.188913958336</v>
      </c>
      <c r="T1452" s="3" t="n">
        <v>44523.725148784724</v>
      </c>
      <c r="U1452" t="s">
        <v>10009</v>
      </c>
      <c r="V1452" t="s">
        <v>10010</v>
      </c>
    </row>
    <row r="1453">
      <c r="A1453" t="s">
        <v>22</v>
      </c>
      <c r="B1453" t="s">
        <v>10011</v>
      </c>
      <c r="C1453" t="s">
        <v>24</v>
      </c>
      <c r="D1453" t="s">
        <v>69</v>
      </c>
      <c r="E1453" t="s">
        <v>10012</v>
      </c>
      <c r="F1453" s="2" t="n">
        <f>HYPERLINK("https://patents.google.com/patent/US20210354610","Google")</f>
        <v>0.0</v>
      </c>
      <c r="G1453" s="2" t="n">
        <f>HYPERLINK("https://patentcenter.uspto.gov/applications/16943133","Patent Center")</f>
        <v>0.0</v>
      </c>
      <c r="H1453" s="2" t="n">
        <f>HYPERLINK("https://worldwide.espacenet.com/patent/search?q=US20210354610","Espacenet")</f>
        <v>0.0</v>
      </c>
      <c r="I1453" s="2" t="n">
        <f>HYPERLINK("https://ppubs.uspto.gov/pubwebapp/external.html?q=20210354610.pn.","USPTO")</f>
        <v>0.0</v>
      </c>
      <c r="J1453" s="2" t="n">
        <f>HYPERLINK("https://image-ppubs.uspto.gov/dirsearch-public/print/downloadPdf/20210354610","USPTO PDF")</f>
        <v>0.0</v>
      </c>
      <c r="K1453" s="2" t="n">
        <f>HYPERLINK("https://sectors.patentforecast.com/pmd/US20210354610","PMD")</f>
        <v>0.0</v>
      </c>
      <c r="L1453" s="2" t="n">
        <f>HYPERLINK("https://globaldossier.uspto.gov/result/application/US/16943133/1","US20210354610")</f>
        <v>0.0</v>
      </c>
      <c r="M1453" t="s">
        <v>10013</v>
      </c>
      <c r="N1453" t="s">
        <v>802</v>
      </c>
      <c r="O1453" t="s">
        <v>803</v>
      </c>
      <c r="P1453" t="s">
        <v>10014</v>
      </c>
      <c r="Q1453" s="3" t="n">
        <v>44042.0</v>
      </c>
      <c r="R1453" s="3" t="n">
        <v>44518.0</v>
      </c>
      <c r="S1453" s="3" t="n">
        <v>44519.188913958336</v>
      </c>
      <c r="T1453" s="3" t="n">
        <v>44523.62608731481</v>
      </c>
      <c r="U1453" t="s">
        <v>10015</v>
      </c>
      <c r="V1453" t="s">
        <v>10016</v>
      </c>
    </row>
    <row r="1454">
      <c r="A1454" t="s">
        <v>22</v>
      </c>
      <c r="B1454" t="s">
        <v>10017</v>
      </c>
      <c r="C1454" t="s">
        <v>24</v>
      </c>
      <c r="D1454" t="s">
        <v>51</v>
      </c>
      <c r="E1454" t="s">
        <v>10018</v>
      </c>
      <c r="F1454" s="2" t="n">
        <f>HYPERLINK("https://patents.google.com/patent/US20210354127","Google")</f>
        <v>0.0</v>
      </c>
      <c r="G1454" s="2" t="n">
        <f>HYPERLINK("https://patentcenter.uspto.gov/applications/15931529","Patent Center")</f>
        <v>0.0</v>
      </c>
      <c r="H1454" s="2" t="n">
        <f>HYPERLINK("https://worldwide.espacenet.com/patent/search?q=US20210354127","Espacenet")</f>
        <v>0.0</v>
      </c>
      <c r="I1454" s="2" t="n">
        <f>HYPERLINK("https://ppubs.uspto.gov/pubwebapp/external.html?q=20210354127.pn.","USPTO")</f>
        <v>0.0</v>
      </c>
      <c r="J1454" s="2" t="n">
        <f>HYPERLINK("https://image-ppubs.uspto.gov/dirsearch-public/print/downloadPdf/20210354127","USPTO PDF")</f>
        <v>0.0</v>
      </c>
      <c r="K1454" s="2" t="n">
        <f>HYPERLINK("https://sectors.patentforecast.com/pmd/US20210354127","PMD")</f>
        <v>0.0</v>
      </c>
      <c r="L1454" s="2" t="n">
        <f>HYPERLINK("https://globaldossier.uspto.gov/result/application/US/15931529/1","US20210354127")</f>
        <v>0.0</v>
      </c>
      <c r="M1454" t="s">
        <v>10019</v>
      </c>
      <c r="N1454" t="s">
        <v>10020</v>
      </c>
      <c r="O1454" t="s">
        <v>10021</v>
      </c>
      <c r="P1454" t="s">
        <v>10022</v>
      </c>
      <c r="Q1454" s="3" t="n">
        <v>43964.0</v>
      </c>
      <c r="R1454" s="3" t="n">
        <v>44518.0</v>
      </c>
      <c r="S1454" s="3" t="n">
        <v>44519.188913958336</v>
      </c>
      <c r="T1454" s="3" t="n">
        <v>44523.62721641204</v>
      </c>
      <c r="U1454" t="s">
        <v>10023</v>
      </c>
      <c r="V1454" t="s">
        <v>10024</v>
      </c>
    </row>
    <row r="1455">
      <c r="A1455" t="s">
        <v>22</v>
      </c>
      <c r="B1455" t="s">
        <v>10025</v>
      </c>
      <c r="C1455" t="s">
        <v>24</v>
      </c>
      <c r="D1455" t="s">
        <v>69</v>
      </c>
      <c r="E1455" t="s">
        <v>10026</v>
      </c>
      <c r="F1455" s="2" t="n">
        <f>HYPERLINK("https://patents.google.com/patent/US20210354064","Google")</f>
        <v>0.0</v>
      </c>
      <c r="G1455" s="2" t="n">
        <f>HYPERLINK("https://patentcenter.uspto.gov/applications/17322278","Patent Center")</f>
        <v>0.0</v>
      </c>
      <c r="H1455" s="2" t="n">
        <f>HYPERLINK("https://worldwide.espacenet.com/patent/search?q=US20210354064","Espacenet")</f>
        <v>0.0</v>
      </c>
      <c r="I1455" s="2" t="n">
        <f>HYPERLINK("https://ppubs.uspto.gov/pubwebapp/external.html?q=20210354064.pn.","USPTO")</f>
        <v>0.0</v>
      </c>
      <c r="J1455" s="2" t="n">
        <f>HYPERLINK("https://image-ppubs.uspto.gov/dirsearch-public/print/downloadPdf/20210354064","USPTO PDF")</f>
        <v>0.0</v>
      </c>
      <c r="K1455" s="2" t="n">
        <f>HYPERLINK("https://sectors.patentforecast.com/pmd/US20210354064","PMD")</f>
        <v>0.0</v>
      </c>
      <c r="L1455" s="2" t="n">
        <f>HYPERLINK("https://globaldossier.uspto.gov/result/application/US/17322278/1","US20210354064")</f>
        <v>0.0</v>
      </c>
      <c r="M1455" t="s">
        <v>10027</v>
      </c>
      <c r="N1455" t="s">
        <v>4380</v>
      </c>
      <c r="O1455" t="s">
        <v>4381</v>
      </c>
      <c r="P1455" t="s">
        <v>10028</v>
      </c>
      <c r="Q1455" s="3" t="n">
        <v>44333.0</v>
      </c>
      <c r="R1455" s="3" t="n">
        <v>44518.0</v>
      </c>
      <c r="S1455" s="3" t="n">
        <v>44519.188913958336</v>
      </c>
      <c r="T1455" s="3" t="n">
        <v>44523.5891300463</v>
      </c>
      <c r="U1455" t="s">
        <v>10029</v>
      </c>
      <c r="V1455" t="s">
        <v>10030</v>
      </c>
    </row>
    <row r="1456">
      <c r="A1456" t="s">
        <v>22</v>
      </c>
      <c r="B1456" t="s">
        <v>10031</v>
      </c>
      <c r="C1456" t="s">
        <v>24</v>
      </c>
      <c r="D1456" t="s">
        <v>69</v>
      </c>
      <c r="E1456" t="s">
        <v>10032</v>
      </c>
      <c r="F1456" s="2" t="n">
        <f>HYPERLINK("https://patents.google.com/patent/US20210354062","Google")</f>
        <v>0.0</v>
      </c>
      <c r="G1456" s="2" t="n">
        <f>HYPERLINK("https://patentcenter.uspto.gov/applications/17319336","Patent Center")</f>
        <v>0.0</v>
      </c>
      <c r="H1456" s="2" t="n">
        <f>HYPERLINK("https://worldwide.espacenet.com/patent/search?q=US20210354062","Espacenet")</f>
        <v>0.0</v>
      </c>
      <c r="I1456" s="2" t="n">
        <f>HYPERLINK("https://ppubs.uspto.gov/pubwebapp/external.html?q=20210354062.pn.","USPTO")</f>
        <v>0.0</v>
      </c>
      <c r="J1456" s="2" t="n">
        <f>HYPERLINK("https://image-ppubs.uspto.gov/dirsearch-public/print/downloadPdf/20210354062","USPTO PDF")</f>
        <v>0.0</v>
      </c>
      <c r="K1456" s="2" t="n">
        <f>HYPERLINK("https://sectors.patentforecast.com/pmd/US20210354062","PMD")</f>
        <v>0.0</v>
      </c>
      <c r="L1456" s="2" t="n">
        <f>HYPERLINK("https://globaldossier.uspto.gov/result/application/US/17319336/1","US20210354062")</f>
        <v>0.0</v>
      </c>
      <c r="M1456" t="s">
        <v>10033</v>
      </c>
      <c r="N1456" t="s">
        <v>10034</v>
      </c>
      <c r="O1456" t="s">
        <v>10035</v>
      </c>
      <c r="P1456" t="s">
        <v>10036</v>
      </c>
      <c r="Q1456" s="3" t="n">
        <v>44329.0</v>
      </c>
      <c r="R1456" s="3" t="n">
        <v>44518.0</v>
      </c>
      <c r="S1456" s="3" t="n">
        <v>44519.18960803241</v>
      </c>
      <c r="T1456" s="3" t="n">
        <v>44523.61688634259</v>
      </c>
      <c r="U1456" t="s">
        <v>10037</v>
      </c>
      <c r="V1456" t="s">
        <v>10038</v>
      </c>
    </row>
    <row r="1457">
      <c r="A1457" t="s">
        <v>22</v>
      </c>
      <c r="B1457" t="s">
        <v>10039</v>
      </c>
      <c r="C1457" t="s">
        <v>24</v>
      </c>
      <c r="D1457" t="s">
        <v>69</v>
      </c>
      <c r="E1457" t="s">
        <v>10040</v>
      </c>
      <c r="F1457" s="2" t="n">
        <f>HYPERLINK("https://patents.google.com/patent/US20210353979","Google")</f>
        <v>0.0</v>
      </c>
      <c r="G1457" s="2" t="n">
        <f>HYPERLINK("https://patentcenter.uspto.gov/applications/17317373","Patent Center")</f>
        <v>0.0</v>
      </c>
      <c r="H1457" s="2" t="n">
        <f>HYPERLINK("https://worldwide.espacenet.com/patent/search?q=US20210353979","Espacenet")</f>
        <v>0.0</v>
      </c>
      <c r="I1457" s="2" t="n">
        <f>HYPERLINK("https://ppubs.uspto.gov/pubwebapp/external.html?q=20210353979.pn.","USPTO")</f>
        <v>0.0</v>
      </c>
      <c r="J1457" s="2" t="n">
        <f>HYPERLINK("https://image-ppubs.uspto.gov/dirsearch-public/print/downloadPdf/20210353979","USPTO PDF")</f>
        <v>0.0</v>
      </c>
      <c r="K1457" s="2" t="n">
        <f>HYPERLINK("https://sectors.patentforecast.com/pmd/US20210353979","PMD")</f>
        <v>0.0</v>
      </c>
      <c r="L1457" s="2" t="n">
        <f>HYPERLINK("https://globaldossier.uspto.gov/result/application/US/17317373/1","US20210353979")</f>
        <v>0.0</v>
      </c>
      <c r="M1457" t="s">
        <v>10041</v>
      </c>
      <c r="N1457" t="s">
        <v>10042</v>
      </c>
      <c r="O1457" t="s">
        <v>10043</v>
      </c>
      <c r="P1457" t="s">
        <v>10044</v>
      </c>
      <c r="Q1457" s="3" t="n">
        <v>44327.0</v>
      </c>
      <c r="R1457" s="3" t="n">
        <v>44518.0</v>
      </c>
      <c r="S1457" s="3" t="n">
        <v>44519.18960803241</v>
      </c>
      <c r="T1457" s="3" t="n">
        <v>44523.59160008102</v>
      </c>
      <c r="U1457" t="s">
        <v>10045</v>
      </c>
      <c r="V1457" t="s">
        <v>10046</v>
      </c>
    </row>
    <row r="1458">
      <c r="A1458" t="s">
        <v>22</v>
      </c>
      <c r="B1458" t="s">
        <v>10047</v>
      </c>
      <c r="C1458" t="s">
        <v>24</v>
      </c>
      <c r="D1458" t="s">
        <v>69</v>
      </c>
      <c r="E1458" t="s">
        <v>10048</v>
      </c>
      <c r="F1458" s="2" t="n">
        <f>HYPERLINK("https://patents.google.com/patent/US20210353977","Google")</f>
        <v>0.0</v>
      </c>
      <c r="G1458" s="2" t="n">
        <f>HYPERLINK("https://patentcenter.uspto.gov/applications/17319519","Patent Center")</f>
        <v>0.0</v>
      </c>
      <c r="H1458" s="2" t="n">
        <f>HYPERLINK("https://worldwide.espacenet.com/patent/search?q=US20210353977","Espacenet")</f>
        <v>0.0</v>
      </c>
      <c r="I1458" s="2" t="n">
        <f>HYPERLINK("https://ppubs.uspto.gov/pubwebapp/external.html?q=20210353977.pn.","USPTO")</f>
        <v>0.0</v>
      </c>
      <c r="J1458" s="2" t="n">
        <f>HYPERLINK("https://image-ppubs.uspto.gov/dirsearch-public/print/downloadPdf/20210353977","USPTO PDF")</f>
        <v>0.0</v>
      </c>
      <c r="K1458" s="2" t="n">
        <f>HYPERLINK("https://sectors.patentforecast.com/pmd/US20210353977","PMD")</f>
        <v>0.0</v>
      </c>
      <c r="L1458" s="2" t="n">
        <f>HYPERLINK("https://globaldossier.uspto.gov/result/application/US/17319519/1","US20210353977")</f>
        <v>0.0</v>
      </c>
      <c r="M1458" t="s">
        <v>10049</v>
      </c>
      <c r="N1458" t="s">
        <v>10050</v>
      </c>
      <c r="O1458" t="s">
        <v>10051</v>
      </c>
      <c r="P1458" t="s">
        <v>10052</v>
      </c>
      <c r="Q1458" s="3" t="n">
        <v>44329.0</v>
      </c>
      <c r="R1458" s="3" t="n">
        <v>44518.0</v>
      </c>
      <c r="S1458" s="3" t="n">
        <v>44519.18960803241</v>
      </c>
      <c r="T1458" s="3" t="n">
        <v>44523.72531236111</v>
      </c>
      <c r="U1458" t="s">
        <v>10053</v>
      </c>
      <c r="V1458" t="s">
        <v>10054</v>
      </c>
    </row>
    <row r="1459">
      <c r="A1459" t="s">
        <v>22</v>
      </c>
      <c r="B1459" t="s">
        <v>10055</v>
      </c>
      <c r="C1459" t="s">
        <v>24</v>
      </c>
      <c r="D1459" t="s">
        <v>69</v>
      </c>
      <c r="E1459" t="s">
        <v>10056</v>
      </c>
      <c r="F1459" s="2" t="n">
        <f>HYPERLINK("https://patents.google.com/patent/US20210353976","Google")</f>
        <v>0.0</v>
      </c>
      <c r="G1459" s="2" t="n">
        <f>HYPERLINK("https://patentcenter.uspto.gov/applications/16876817","Patent Center")</f>
        <v>0.0</v>
      </c>
      <c r="H1459" s="2" t="n">
        <f>HYPERLINK("https://worldwide.espacenet.com/patent/search?q=US20210353976","Espacenet")</f>
        <v>0.0</v>
      </c>
      <c r="I1459" s="2" t="n">
        <f>HYPERLINK("https://ppubs.uspto.gov/pubwebapp/external.html?q=20210353976.pn.","USPTO")</f>
        <v>0.0</v>
      </c>
      <c r="J1459" s="2" t="n">
        <f>HYPERLINK("https://image-ppubs.uspto.gov/dirsearch-public/print/downloadPdf/20210353976","USPTO PDF")</f>
        <v>0.0</v>
      </c>
      <c r="K1459" s="2" t="n">
        <f>HYPERLINK("https://sectors.patentforecast.com/pmd/US20210353976","PMD")</f>
        <v>0.0</v>
      </c>
      <c r="L1459" s="2" t="n">
        <f>HYPERLINK("https://globaldossier.uspto.gov/result/application/US/16876817/1","US20210353976")</f>
        <v>0.0</v>
      </c>
      <c r="M1459" t="s">
        <v>10057</v>
      </c>
      <c r="N1459" t="s">
        <v>10058</v>
      </c>
      <c r="O1459" t="s">
        <v>10058</v>
      </c>
      <c r="P1459" t="s">
        <v>10059</v>
      </c>
      <c r="Q1459" s="3" t="n">
        <v>43969.0</v>
      </c>
      <c r="R1459" s="3" t="n">
        <v>44518.0</v>
      </c>
      <c r="S1459" s="3" t="n">
        <v>44519.18960803241</v>
      </c>
      <c r="T1459" s="3" t="n">
        <v>44523.589871620374</v>
      </c>
      <c r="U1459" t="s">
        <v>10060</v>
      </c>
      <c r="V1459" t="s">
        <v>10061</v>
      </c>
    </row>
    <row r="1460">
      <c r="A1460" t="s">
        <v>22</v>
      </c>
      <c r="B1460" t="s">
        <v>10062</v>
      </c>
      <c r="C1460" t="s">
        <v>24</v>
      </c>
      <c r="D1460" t="s">
        <v>69</v>
      </c>
      <c r="E1460" t="s">
        <v>10063</v>
      </c>
      <c r="F1460" s="2" t="n">
        <f>HYPERLINK("https://patents.google.com/patent/US20210353972","Google")</f>
        <v>0.0</v>
      </c>
      <c r="G1460" s="2" t="n">
        <f>HYPERLINK("https://patentcenter.uspto.gov/applications/17320550","Patent Center")</f>
        <v>0.0</v>
      </c>
      <c r="H1460" s="2" t="n">
        <f>HYPERLINK("https://worldwide.espacenet.com/patent/search?q=US20210353972","Espacenet")</f>
        <v>0.0</v>
      </c>
      <c r="I1460" s="2" t="n">
        <f>HYPERLINK("https://ppubs.uspto.gov/pubwebapp/external.html?q=20210353972.pn.","USPTO")</f>
        <v>0.0</v>
      </c>
      <c r="J1460" s="2" t="n">
        <f>HYPERLINK("https://image-ppubs.uspto.gov/dirsearch-public/print/downloadPdf/20210353972","USPTO PDF")</f>
        <v>0.0</v>
      </c>
      <c r="K1460" s="2" t="n">
        <f>HYPERLINK("https://sectors.patentforecast.com/pmd/US20210353972","PMD")</f>
        <v>0.0</v>
      </c>
      <c r="L1460" s="2" t="n">
        <f>HYPERLINK("https://globaldossier.uspto.gov/result/application/US/17320550/1","US20210353972")</f>
        <v>0.0</v>
      </c>
      <c r="M1460" t="s">
        <v>10064</v>
      </c>
      <c r="N1460" t="s">
        <v>10065</v>
      </c>
      <c r="O1460" t="s">
        <v>10066</v>
      </c>
      <c r="P1460" t="s">
        <v>10067</v>
      </c>
      <c r="Q1460" s="3" t="n">
        <v>44330.0</v>
      </c>
      <c r="R1460" s="3" t="n">
        <v>44518.0</v>
      </c>
      <c r="S1460" s="3" t="n">
        <v>44519.18960803241</v>
      </c>
      <c r="T1460" s="3" t="n">
        <v>44523.61988539352</v>
      </c>
      <c r="U1460" t="s">
        <v>10068</v>
      </c>
      <c r="V1460" t="s">
        <v>10069</v>
      </c>
    </row>
    <row r="1461">
      <c r="A1461" t="s">
        <v>22</v>
      </c>
      <c r="B1461" t="s">
        <v>10070</v>
      </c>
      <c r="C1461" t="s">
        <v>24</v>
      </c>
      <c r="D1461" t="s">
        <v>100</v>
      </c>
      <c r="E1461" t="s">
        <v>10071</v>
      </c>
      <c r="F1461" s="2" t="n">
        <f>HYPERLINK("https://patents.google.com/patent/US20210353969","Google")</f>
        <v>0.0</v>
      </c>
      <c r="G1461" s="2" t="n">
        <f>HYPERLINK("https://patentcenter.uspto.gov/applications/17317113","Patent Center")</f>
        <v>0.0</v>
      </c>
      <c r="H1461" s="2" t="n">
        <f>HYPERLINK("https://worldwide.espacenet.com/patent/search?q=US20210353969","Espacenet")</f>
        <v>0.0</v>
      </c>
      <c r="I1461" s="2" t="n">
        <f>HYPERLINK("https://ppubs.uspto.gov/pubwebapp/external.html?q=20210353969.pn.","USPTO")</f>
        <v>0.0</v>
      </c>
      <c r="J1461" s="2" t="n">
        <f>HYPERLINK("https://image-ppubs.uspto.gov/dirsearch-public/print/downloadPdf/20210353969","USPTO PDF")</f>
        <v>0.0</v>
      </c>
      <c r="K1461" s="2" t="n">
        <f>HYPERLINK("https://sectors.patentforecast.com/pmd/US20210353969","PMD")</f>
        <v>0.0</v>
      </c>
      <c r="L1461" s="2" t="n">
        <f>HYPERLINK("https://globaldossier.uspto.gov/result/application/US/17317113/1","US20210353969")</f>
        <v>0.0</v>
      </c>
      <c r="M1461" t="s">
        <v>10072</v>
      </c>
      <c r="N1461" t="s">
        <v>10073</v>
      </c>
      <c r="O1461" t="s">
        <v>10074</v>
      </c>
      <c r="P1461" t="s">
        <v>10075</v>
      </c>
      <c r="Q1461" s="3" t="n">
        <v>44327.0</v>
      </c>
      <c r="R1461" s="3" t="n">
        <v>44518.0</v>
      </c>
      <c r="S1461" s="3" t="n">
        <v>44519.18960803241</v>
      </c>
      <c r="T1461" s="3" t="n">
        <v>44523.59311605324</v>
      </c>
      <c r="U1461" t="s">
        <v>10076</v>
      </c>
      <c r="V1461" t="s">
        <v>10077</v>
      </c>
    </row>
    <row r="1462">
      <c r="A1462" t="s">
        <v>22</v>
      </c>
      <c r="B1462" t="s">
        <v>10078</v>
      </c>
      <c r="C1462" t="s">
        <v>60</v>
      </c>
      <c r="D1462" t="s">
        <v>715</v>
      </c>
      <c r="E1462" t="s">
        <v>10079</v>
      </c>
      <c r="F1462" s="2" t="n">
        <f>HYPERLINK("https://patents.google.com/patent/US20210353959","Google")</f>
        <v>0.0</v>
      </c>
      <c r="G1462" s="2" t="n">
        <f>HYPERLINK("https://patentcenter.uspto.gov/applications/17323155","Patent Center")</f>
        <v>0.0</v>
      </c>
      <c r="H1462" s="2" t="n">
        <f>HYPERLINK("https://worldwide.espacenet.com/patent/search?q=US20210353959","Espacenet")</f>
        <v>0.0</v>
      </c>
      <c r="I1462" s="2" t="n">
        <f>HYPERLINK("https://ppubs.uspto.gov/pubwebapp/external.html?q=20210353959.pn.","USPTO")</f>
        <v>0.0</v>
      </c>
      <c r="J1462" s="2" t="n">
        <f>HYPERLINK("https://image-ppubs.uspto.gov/dirsearch-public/print/downloadPdf/20210353959","USPTO PDF")</f>
        <v>0.0</v>
      </c>
      <c r="K1462" s="2" t="n">
        <f>HYPERLINK("https://sectors.patentforecast.com/pmd/US20210353959","PMD")</f>
        <v>0.0</v>
      </c>
      <c r="L1462" s="2" t="n">
        <f>HYPERLINK("https://globaldossier.uspto.gov/result/application/US/17323155/1","US20210353959")</f>
        <v>0.0</v>
      </c>
      <c r="M1462" t="s">
        <v>10080</v>
      </c>
      <c r="N1462" t="s">
        <v>10081</v>
      </c>
      <c r="O1462" t="s">
        <v>10082</v>
      </c>
      <c r="P1462" t="s">
        <v>10083</v>
      </c>
      <c r="Q1462" s="3" t="n">
        <v>44334.0</v>
      </c>
      <c r="R1462" s="3" t="n">
        <v>44518.0</v>
      </c>
      <c r="S1462" s="3" t="n">
        <v>44519.18960803241</v>
      </c>
      <c r="T1462" s="3" t="n">
        <v>44523.69270413194</v>
      </c>
      <c r="U1462" t="s">
        <v>10084</v>
      </c>
      <c r="V1462" t="s">
        <v>10085</v>
      </c>
    </row>
    <row r="1463">
      <c r="A1463" t="s">
        <v>22</v>
      </c>
      <c r="B1463" t="s">
        <v>10086</v>
      </c>
      <c r="C1463" t="s">
        <v>24</v>
      </c>
      <c r="D1463" t="s">
        <v>69</v>
      </c>
      <c r="E1463" t="s">
        <v>10087</v>
      </c>
      <c r="F1463" s="2" t="n">
        <f>HYPERLINK("https://patents.google.com/patent/US20210353889","Google")</f>
        <v>0.0</v>
      </c>
      <c r="G1463" s="2" t="n">
        <f>HYPERLINK("https://patentcenter.uspto.gov/applications/17320647","Patent Center")</f>
        <v>0.0</v>
      </c>
      <c r="H1463" s="2" t="n">
        <f>HYPERLINK("https://worldwide.espacenet.com/patent/search?q=US20210353889","Espacenet")</f>
        <v>0.0</v>
      </c>
      <c r="I1463" s="2" t="n">
        <f>HYPERLINK("https://ppubs.uspto.gov/pubwebapp/external.html?q=20210353889.pn.","USPTO")</f>
        <v>0.0</v>
      </c>
      <c r="J1463" s="2" t="n">
        <f>HYPERLINK("https://image-ppubs.uspto.gov/dirsearch-public/print/downloadPdf/20210353889","USPTO PDF")</f>
        <v>0.0</v>
      </c>
      <c r="K1463" s="2" t="n">
        <f>HYPERLINK("https://sectors.patentforecast.com/pmd/US20210353889","PMD")</f>
        <v>0.0</v>
      </c>
      <c r="L1463" s="2" t="n">
        <f>HYPERLINK("https://globaldossier.uspto.gov/result/application/US/17320647/1","US20210353889")</f>
        <v>0.0</v>
      </c>
      <c r="M1463" t="s">
        <v>10088</v>
      </c>
      <c r="N1463" t="s">
        <v>3270</v>
      </c>
      <c r="O1463" t="s">
        <v>3271</v>
      </c>
      <c r="P1463" t="s">
        <v>10089</v>
      </c>
      <c r="Q1463" s="3" t="n">
        <v>44330.0</v>
      </c>
      <c r="R1463" s="3" t="n">
        <v>44518.0</v>
      </c>
      <c r="S1463" s="3" t="n">
        <v>44519.18960803241</v>
      </c>
      <c r="T1463" s="3" t="n">
        <v>44523.62019545139</v>
      </c>
      <c r="U1463" t="s">
        <v>10090</v>
      </c>
      <c r="V1463" t="s">
        <v>10091</v>
      </c>
    </row>
    <row r="1464">
      <c r="A1464" t="s">
        <v>22</v>
      </c>
      <c r="B1464" t="s">
        <v>10092</v>
      </c>
      <c r="C1464" t="s">
        <v>24</v>
      </c>
      <c r="D1464" t="s">
        <v>69</v>
      </c>
      <c r="E1464" t="s">
        <v>10093</v>
      </c>
      <c r="F1464" s="2" t="n">
        <f>HYPERLINK("https://patents.google.com/patent/US20210353818","Google")</f>
        <v>0.0</v>
      </c>
      <c r="G1464" s="2" t="n">
        <f>HYPERLINK("https://patentcenter.uspto.gov/applications/17302874","Patent Center")</f>
        <v>0.0</v>
      </c>
      <c r="H1464" s="2" t="n">
        <f>HYPERLINK("https://worldwide.espacenet.com/patent/search?q=US20210353818","Espacenet")</f>
        <v>0.0</v>
      </c>
      <c r="I1464" s="2" t="n">
        <f>HYPERLINK("https://ppubs.uspto.gov/pubwebapp/external.html?q=20210353818.pn.","USPTO")</f>
        <v>0.0</v>
      </c>
      <c r="J1464" s="2" t="n">
        <f>HYPERLINK("https://image-ppubs.uspto.gov/dirsearch-public/print/downloadPdf/20210353818","USPTO PDF")</f>
        <v>0.0</v>
      </c>
      <c r="K1464" s="2" t="n">
        <f>HYPERLINK("https://sectors.patentforecast.com/pmd/US20210353818","PMD")</f>
        <v>0.0</v>
      </c>
      <c r="L1464" s="2" t="n">
        <f>HYPERLINK("https://globaldossier.uspto.gov/result/application/US/17302874/1","US20210353818")</f>
        <v>0.0</v>
      </c>
      <c r="M1464" t="s">
        <v>10094</v>
      </c>
      <c r="N1464" t="s">
        <v>10095</v>
      </c>
      <c r="O1464" t="s">
        <v>10096</v>
      </c>
      <c r="P1464" t="s">
        <v>10097</v>
      </c>
      <c r="Q1464" s="3" t="n">
        <v>44330.0</v>
      </c>
      <c r="R1464" s="3" t="n">
        <v>44518.0</v>
      </c>
      <c r="S1464" s="3" t="n">
        <v>44519.18960803241</v>
      </c>
      <c r="T1464" s="3" t="n">
        <v>44523.59342107639</v>
      </c>
      <c r="U1464" t="s">
        <v>10098</v>
      </c>
      <c r="V1464" t="s">
        <v>10099</v>
      </c>
    </row>
    <row r="1465">
      <c r="A1465" t="s">
        <v>22</v>
      </c>
      <c r="B1465" t="s">
        <v>10100</v>
      </c>
      <c r="C1465" t="s">
        <v>24</v>
      </c>
      <c r="D1465" t="s">
        <v>100</v>
      </c>
      <c r="E1465" t="s">
        <v>10101</v>
      </c>
      <c r="F1465" s="2" t="n">
        <f>HYPERLINK("https://patents.google.com/patent/US20210353798","Google")</f>
        <v>0.0</v>
      </c>
      <c r="G1465" s="2" t="n">
        <f>HYPERLINK("https://patentcenter.uspto.gov/applications/17319737","Patent Center")</f>
        <v>0.0</v>
      </c>
      <c r="H1465" s="2" t="n">
        <f>HYPERLINK("https://worldwide.espacenet.com/patent/search?q=US20210353798","Espacenet")</f>
        <v>0.0</v>
      </c>
      <c r="I1465" s="2" t="n">
        <f>HYPERLINK("https://ppubs.uspto.gov/pubwebapp/external.html?q=20210353798.pn.","USPTO")</f>
        <v>0.0</v>
      </c>
      <c r="J1465" s="2" t="n">
        <f>HYPERLINK("https://image-ppubs.uspto.gov/dirsearch-public/print/downloadPdf/20210353798","USPTO PDF")</f>
        <v>0.0</v>
      </c>
      <c r="K1465" s="2" t="n">
        <f>HYPERLINK("https://sectors.patentforecast.com/pmd/US20210353798","PMD")</f>
        <v>0.0</v>
      </c>
      <c r="L1465" s="2" t="n">
        <f>HYPERLINK("https://globaldossier.uspto.gov/result/application/US/17319737/1","US20210353798")</f>
        <v>0.0</v>
      </c>
      <c r="M1465" t="s">
        <v>10102</v>
      </c>
      <c r="N1465" t="s">
        <v>10103</v>
      </c>
      <c r="O1465" t="s">
        <v>10104</v>
      </c>
      <c r="P1465" t="s">
        <v>10105</v>
      </c>
      <c r="Q1465" s="3" t="n">
        <v>44329.0</v>
      </c>
      <c r="R1465" s="3" t="n">
        <v>44518.0</v>
      </c>
      <c r="S1465" s="3" t="n">
        <v>44519.18960803241</v>
      </c>
      <c r="T1465" s="3" t="n">
        <v>44523.596012835646</v>
      </c>
      <c r="U1465" t="s">
        <v>10106</v>
      </c>
      <c r="V1465" t="s">
        <v>10107</v>
      </c>
    </row>
    <row r="1466">
      <c r="A1466" t="s">
        <v>22</v>
      </c>
      <c r="B1466" t="s">
        <v>10108</v>
      </c>
      <c r="C1466" t="s">
        <v>24</v>
      </c>
      <c r="D1466" t="s">
        <v>100</v>
      </c>
      <c r="E1466" t="s">
        <v>10109</v>
      </c>
      <c r="F1466" s="2" t="n">
        <f>HYPERLINK("https://patents.google.com/patent/US20210353794","Google")</f>
        <v>0.0</v>
      </c>
      <c r="G1466" s="2" t="n">
        <f>HYPERLINK("https://patentcenter.uspto.gov/applications/16876337","Patent Center")</f>
        <v>0.0</v>
      </c>
      <c r="H1466" s="2" t="n">
        <f>HYPERLINK("https://worldwide.espacenet.com/patent/search?q=US20210353794","Espacenet")</f>
        <v>0.0</v>
      </c>
      <c r="I1466" s="2" t="n">
        <f>HYPERLINK("https://ppubs.uspto.gov/pubwebapp/external.html?q=20210353794.pn.","USPTO")</f>
        <v>0.0</v>
      </c>
      <c r="J1466" s="2" t="n">
        <f>HYPERLINK("https://image-ppubs.uspto.gov/dirsearch-public/print/downloadPdf/20210353794","USPTO PDF")</f>
        <v>0.0</v>
      </c>
      <c r="K1466" s="2" t="n">
        <f>HYPERLINK("https://sectors.patentforecast.com/pmd/US20210353794","PMD")</f>
        <v>0.0</v>
      </c>
      <c r="L1466" s="2" t="n">
        <f>HYPERLINK("https://globaldossier.uspto.gov/result/application/US/16876337/1","US20210353794")</f>
        <v>0.0</v>
      </c>
      <c r="M1466" t="s">
        <v>10110</v>
      </c>
      <c r="N1466" t="s">
        <v>10111</v>
      </c>
      <c r="O1466" t="s">
        <v>10112</v>
      </c>
      <c r="P1466" t="s">
        <v>10113</v>
      </c>
      <c r="Q1466" s="3" t="n">
        <v>43969.0</v>
      </c>
      <c r="R1466" s="3" t="n">
        <v>44518.0</v>
      </c>
      <c r="S1466" s="3" t="n">
        <v>44519.18960803241</v>
      </c>
      <c r="T1466" s="3" t="n">
        <v>44523.678410231485</v>
      </c>
      <c r="U1466" t="s">
        <v>10114</v>
      </c>
      <c r="V1466" t="s">
        <v>10115</v>
      </c>
    </row>
    <row r="1467">
      <c r="A1467" t="s">
        <v>22</v>
      </c>
      <c r="B1467" t="s">
        <v>10116</v>
      </c>
      <c r="C1467" t="s">
        <v>60</v>
      </c>
      <c r="D1467" t="s">
        <v>61</v>
      </c>
      <c r="E1467" t="s">
        <v>10117</v>
      </c>
      <c r="F1467" s="2" t="n">
        <f>HYPERLINK("https://patents.google.com/patent/US20210353762","Google")</f>
        <v>0.0</v>
      </c>
      <c r="G1467" s="2" t="n">
        <f>HYPERLINK("https://patentcenter.uspto.gov/applications/17240558","Patent Center")</f>
        <v>0.0</v>
      </c>
      <c r="H1467" s="2" t="n">
        <f>HYPERLINK("https://worldwide.espacenet.com/patent/search?q=US20210353762","Espacenet")</f>
        <v>0.0</v>
      </c>
      <c r="I1467" s="2" t="n">
        <f>HYPERLINK("https://ppubs.uspto.gov/pubwebapp/external.html?q=20210353762.pn.","USPTO")</f>
        <v>0.0</v>
      </c>
      <c r="J1467" s="2" t="n">
        <f>HYPERLINK("https://image-ppubs.uspto.gov/dirsearch-public/print/downloadPdf/20210353762","USPTO PDF")</f>
        <v>0.0</v>
      </c>
      <c r="K1467" s="2" t="n">
        <f>HYPERLINK("https://sectors.patentforecast.com/pmd/US20210353762","PMD")</f>
        <v>0.0</v>
      </c>
      <c r="L1467" s="2" t="n">
        <f>HYPERLINK("https://globaldossier.uspto.gov/result/application/US/17240558/1","US20210353762")</f>
        <v>0.0</v>
      </c>
      <c r="M1467" t="s">
        <v>10118</v>
      </c>
      <c r="N1467" t="s">
        <v>10119</v>
      </c>
      <c r="O1467" t="s">
        <v>10120</v>
      </c>
      <c r="P1467" t="s">
        <v>10121</v>
      </c>
      <c r="Q1467" s="3" t="n">
        <v>44312.0</v>
      </c>
      <c r="R1467" s="3" t="n">
        <v>44518.0</v>
      </c>
      <c r="S1467" s="3" t="n">
        <v>44519.18960803241</v>
      </c>
      <c r="T1467" s="3" t="n">
        <v>44523.60742753472</v>
      </c>
      <c r="U1467" t="s">
        <v>10122</v>
      </c>
      <c r="V1467" t="s">
        <v>10123</v>
      </c>
    </row>
    <row r="1468">
      <c r="A1468" t="s">
        <v>22</v>
      </c>
      <c r="B1468" t="s">
        <v>10124</v>
      </c>
      <c r="C1468" t="s">
        <v>132</v>
      </c>
      <c r="D1468" t="s">
        <v>133</v>
      </c>
      <c r="E1468" t="s">
        <v>10125</v>
      </c>
      <c r="F1468" s="2" t="n">
        <f>HYPERLINK("https://patents.google.com/patent/US20210353743","Google")</f>
        <v>0.0</v>
      </c>
      <c r="G1468" s="2" t="n">
        <f>HYPERLINK("https://patentcenter.uspto.gov/applications/17322054","Patent Center")</f>
        <v>0.0</v>
      </c>
      <c r="H1468" s="2" t="n">
        <f>HYPERLINK("https://worldwide.espacenet.com/patent/search?q=US20210353743","Espacenet")</f>
        <v>0.0</v>
      </c>
      <c r="I1468" s="2" t="n">
        <f>HYPERLINK("https://ppubs.uspto.gov/pubwebapp/external.html?q=20210353743.pn.","USPTO")</f>
        <v>0.0</v>
      </c>
      <c r="J1468" s="2" t="n">
        <f>HYPERLINK("https://image-ppubs.uspto.gov/dirsearch-public/print/downloadPdf/20210353743","USPTO PDF")</f>
        <v>0.0</v>
      </c>
      <c r="K1468" s="2" t="n">
        <f>HYPERLINK("https://sectors.patentforecast.com/pmd/US20210353743","PMD")</f>
        <v>0.0</v>
      </c>
      <c r="L1468" s="2" t="n">
        <f>HYPERLINK("https://globaldossier.uspto.gov/result/application/US/17322054/1","US20210353743")</f>
        <v>0.0</v>
      </c>
      <c r="M1468" t="s">
        <v>10126</v>
      </c>
      <c r="N1468" t="s">
        <v>10127</v>
      </c>
      <c r="O1468" t="s">
        <v>10128</v>
      </c>
      <c r="P1468" t="s">
        <v>10129</v>
      </c>
      <c r="Q1468" s="3" t="n">
        <v>44333.0</v>
      </c>
      <c r="R1468" s="3" t="n">
        <v>44518.0</v>
      </c>
      <c r="S1468" s="3" t="n">
        <v>44519.18960803241</v>
      </c>
      <c r="T1468" s="3" t="n">
        <v>44523.626489375</v>
      </c>
      <c r="U1468" t="s">
        <v>10130</v>
      </c>
      <c r="V1468" t="s">
        <v>10131</v>
      </c>
    </row>
    <row r="1469">
      <c r="A1469" t="s">
        <v>22</v>
      </c>
      <c r="B1469" t="s">
        <v>10132</v>
      </c>
      <c r="C1469" t="s">
        <v>60</v>
      </c>
      <c r="D1469" t="s">
        <v>696</v>
      </c>
      <c r="E1469" t="s">
        <v>10133</v>
      </c>
      <c r="F1469" s="2" t="n">
        <f>HYPERLINK("https://patents.google.com/patent/US20210353742","Google")</f>
        <v>0.0</v>
      </c>
      <c r="G1469" s="2" t="n">
        <f>HYPERLINK("https://patentcenter.uspto.gov/applications/17246740","Patent Center")</f>
        <v>0.0</v>
      </c>
      <c r="H1469" s="2" t="n">
        <f>HYPERLINK("https://worldwide.espacenet.com/patent/search?q=US20210353742","Espacenet")</f>
        <v>0.0</v>
      </c>
      <c r="I1469" s="2" t="n">
        <f>HYPERLINK("https://ppubs.uspto.gov/pubwebapp/external.html?q=20210353742.pn.","USPTO")</f>
        <v>0.0</v>
      </c>
      <c r="J1469" s="2" t="n">
        <f>HYPERLINK("https://image-ppubs.uspto.gov/dirsearch-public/print/downloadPdf/20210353742","USPTO PDF")</f>
        <v>0.0</v>
      </c>
      <c r="K1469" s="2" t="n">
        <f>HYPERLINK("https://sectors.patentforecast.com/pmd/US20210353742","PMD")</f>
        <v>0.0</v>
      </c>
      <c r="L1469" s="2" t="n">
        <f>HYPERLINK("https://globaldossier.uspto.gov/result/application/US/17246740/1","US20210353742")</f>
        <v>0.0</v>
      </c>
      <c r="M1469" t="s">
        <v>10134</v>
      </c>
      <c r="N1469" t="s">
        <v>10135</v>
      </c>
      <c r="O1469" t="s">
        <v>10136</v>
      </c>
      <c r="P1469" t="s">
        <v>10137</v>
      </c>
      <c r="Q1469" s="3" t="n">
        <v>44319.0</v>
      </c>
      <c r="R1469" s="3" t="n">
        <v>44518.0</v>
      </c>
      <c r="S1469" s="3" t="n">
        <v>44519.18960803241</v>
      </c>
      <c r="T1469" s="3" t="n">
        <v>44523.60307394676</v>
      </c>
      <c r="U1469" t="s">
        <v>10138</v>
      </c>
      <c r="V1469" t="s">
        <v>10139</v>
      </c>
    </row>
    <row r="1470">
      <c r="A1470" t="s">
        <v>22</v>
      </c>
      <c r="B1470" t="s">
        <v>10140</v>
      </c>
      <c r="C1470" t="s">
        <v>132</v>
      </c>
      <c r="D1470" t="s">
        <v>133</v>
      </c>
      <c r="E1470" t="s">
        <v>10141</v>
      </c>
      <c r="F1470" s="2" t="n">
        <f>HYPERLINK("https://patents.google.com/patent/US20210353741","Google")</f>
        <v>0.0</v>
      </c>
      <c r="G1470" s="2" t="n">
        <f>HYPERLINK("https://patentcenter.uspto.gov/applications/17218148","Patent Center")</f>
        <v>0.0</v>
      </c>
      <c r="H1470" s="2" t="n">
        <f>HYPERLINK("https://worldwide.espacenet.com/patent/search?q=US20210353741","Espacenet")</f>
        <v>0.0</v>
      </c>
      <c r="I1470" s="2" t="n">
        <f>HYPERLINK("https://ppubs.uspto.gov/pubwebapp/external.html?q=20210353741.pn.","USPTO")</f>
        <v>0.0</v>
      </c>
      <c r="J1470" s="2" t="n">
        <f>HYPERLINK("https://image-ppubs.uspto.gov/dirsearch-public/print/downloadPdf/20210353741","USPTO PDF")</f>
        <v>0.0</v>
      </c>
      <c r="K1470" s="2" t="n">
        <f>HYPERLINK("https://sectors.patentforecast.com/pmd/US20210353741","PMD")</f>
        <v>0.0</v>
      </c>
      <c r="L1470" s="2" t="n">
        <f>HYPERLINK("https://globaldossier.uspto.gov/result/application/US/17218148/1","US20210353741")</f>
        <v>0.0</v>
      </c>
      <c r="M1470" t="s">
        <v>10142</v>
      </c>
      <c r="N1470" t="s">
        <v>10143</v>
      </c>
      <c r="O1470" t="s">
        <v>10144</v>
      </c>
      <c r="P1470" t="s">
        <v>10145</v>
      </c>
      <c r="Q1470" s="3" t="n">
        <v>44285.0</v>
      </c>
      <c r="R1470" s="3" t="n">
        <v>44518.0</v>
      </c>
      <c r="S1470" s="3" t="n">
        <v>44519.18960803241</v>
      </c>
      <c r="T1470" s="3" t="n">
        <v>44523.617598715275</v>
      </c>
      <c r="U1470" t="s">
        <v>10146</v>
      </c>
      <c r="V1470" t="s">
        <v>10147</v>
      </c>
    </row>
    <row r="1471">
      <c r="A1471" t="s">
        <v>22</v>
      </c>
      <c r="B1471" t="s">
        <v>10148</v>
      </c>
      <c r="C1471" t="s">
        <v>132</v>
      </c>
      <c r="D1471" t="s">
        <v>2629</v>
      </c>
      <c r="E1471" t="s">
        <v>10149</v>
      </c>
      <c r="F1471" s="2" t="n">
        <f>HYPERLINK("https://patents.google.com/patent/US20210353736","Google")</f>
        <v>0.0</v>
      </c>
      <c r="G1471" s="2" t="n">
        <f>HYPERLINK("https://patentcenter.uspto.gov/applications/17320944","Patent Center")</f>
        <v>0.0</v>
      </c>
      <c r="H1471" s="2" t="n">
        <f>HYPERLINK("https://worldwide.espacenet.com/patent/search?q=US20210353736","Espacenet")</f>
        <v>0.0</v>
      </c>
      <c r="I1471" s="2" t="n">
        <f>HYPERLINK("https://ppubs.uspto.gov/pubwebapp/external.html?q=20210353736.pn.","USPTO")</f>
        <v>0.0</v>
      </c>
      <c r="J1471" s="2" t="n">
        <f>HYPERLINK("https://image-ppubs.uspto.gov/dirsearch-public/print/downloadPdf/20210353736","USPTO PDF")</f>
        <v>0.0</v>
      </c>
      <c r="K1471" s="2" t="n">
        <f>HYPERLINK("https://sectors.patentforecast.com/pmd/US20210353736","PMD")</f>
        <v>0.0</v>
      </c>
      <c r="L1471" s="2" t="n">
        <f>HYPERLINK("https://globaldossier.uspto.gov/result/application/US/17320944/1","US20210353736")</f>
        <v>0.0</v>
      </c>
      <c r="M1471" t="s">
        <v>10150</v>
      </c>
      <c r="N1471" t="s">
        <v>10151</v>
      </c>
      <c r="O1471" t="s">
        <v>10152</v>
      </c>
      <c r="P1471" t="s">
        <v>10153</v>
      </c>
      <c r="Q1471" s="3" t="n">
        <v>44330.0</v>
      </c>
      <c r="R1471" s="3" t="n">
        <v>44518.0</v>
      </c>
      <c r="S1471" s="3" t="n">
        <v>44519.19134203704</v>
      </c>
      <c r="T1471" s="3" t="n">
        <v>44523.62569930556</v>
      </c>
      <c r="U1471" t="s">
        <v>10154</v>
      </c>
      <c r="V1471" t="s">
        <v>10155</v>
      </c>
    </row>
    <row r="1472">
      <c r="A1472" t="s">
        <v>22</v>
      </c>
      <c r="B1472" t="s">
        <v>10156</v>
      </c>
      <c r="C1472" t="s">
        <v>60</v>
      </c>
      <c r="D1472" t="s">
        <v>2262</v>
      </c>
      <c r="E1472" t="s">
        <v>10157</v>
      </c>
      <c r="F1472" s="2" t="n">
        <f>HYPERLINK("https://patents.google.com/patent/US20210353703","Google")</f>
        <v>0.0</v>
      </c>
      <c r="G1472" s="2" t="n">
        <f>HYPERLINK("https://patentcenter.uspto.gov/applications/17128234","Patent Center")</f>
        <v>0.0</v>
      </c>
      <c r="H1472" s="2" t="n">
        <f>HYPERLINK("https://worldwide.espacenet.com/patent/search?q=US20210353703","Espacenet")</f>
        <v>0.0</v>
      </c>
      <c r="I1472" s="2" t="n">
        <f>HYPERLINK("https://ppubs.uspto.gov/pubwebapp/external.html?q=20210353703.pn.","USPTO")</f>
        <v>0.0</v>
      </c>
      <c r="J1472" s="2" t="n">
        <f>HYPERLINK("https://image-ppubs.uspto.gov/dirsearch-public/print/downloadPdf/20210353703","USPTO PDF")</f>
        <v>0.0</v>
      </c>
      <c r="K1472" s="2" t="n">
        <f>HYPERLINK("https://sectors.patentforecast.com/pmd/US20210353703","PMD")</f>
        <v>0.0</v>
      </c>
      <c r="L1472" s="2" t="n">
        <f>HYPERLINK("https://globaldossier.uspto.gov/result/application/US/17128234/1","US20210353703")</f>
        <v>0.0</v>
      </c>
      <c r="M1472" t="s">
        <v>10158</v>
      </c>
      <c r="N1472" t="s">
        <v>10159</v>
      </c>
      <c r="O1472" t="s">
        <v>10160</v>
      </c>
      <c r="P1472" t="s">
        <v>10161</v>
      </c>
      <c r="Q1472" s="3" t="n">
        <v>44186.0</v>
      </c>
      <c r="R1472" s="3" t="n">
        <v>44518.0</v>
      </c>
      <c r="S1472" s="3" t="n">
        <v>44519.18960803241</v>
      </c>
      <c r="T1472" s="3" t="n">
        <v>44523.67994203704</v>
      </c>
      <c r="U1472" t="s">
        <v>10162</v>
      </c>
      <c r="V1472" t="s">
        <v>10163</v>
      </c>
    </row>
    <row r="1473">
      <c r="A1473" t="s">
        <v>22</v>
      </c>
      <c r="B1473" t="s">
        <v>10164</v>
      </c>
      <c r="C1473" t="s">
        <v>60</v>
      </c>
      <c r="D1473" t="s">
        <v>61</v>
      </c>
      <c r="E1473" t="s">
        <v>10165</v>
      </c>
      <c r="F1473" s="2" t="n">
        <f>HYPERLINK("https://patents.google.com/patent/US20210353656","Google")</f>
        <v>0.0</v>
      </c>
      <c r="G1473" s="2" t="n">
        <f>HYPERLINK("https://patentcenter.uspto.gov/applications/15930154","Patent Center")</f>
        <v>0.0</v>
      </c>
      <c r="H1473" s="2" t="n">
        <f>HYPERLINK("https://worldwide.espacenet.com/patent/search?q=US20210353656","Espacenet")</f>
        <v>0.0</v>
      </c>
      <c r="I1473" s="2" t="n">
        <f>HYPERLINK("https://ppubs.uspto.gov/pubwebapp/external.html?q=20210353656.pn.","USPTO")</f>
        <v>0.0</v>
      </c>
      <c r="J1473" s="2" t="n">
        <f>HYPERLINK("https://image-ppubs.uspto.gov/dirsearch-public/print/downloadPdf/20210353656","USPTO PDF")</f>
        <v>0.0</v>
      </c>
      <c r="K1473" s="2" t="n">
        <f>HYPERLINK("https://sectors.patentforecast.com/pmd/US20210353656","PMD")</f>
        <v>0.0</v>
      </c>
      <c r="L1473" s="2" t="n">
        <f>HYPERLINK("https://globaldossier.uspto.gov/result/application/US/15930154/1","US20210353656")</f>
        <v>0.0</v>
      </c>
      <c r="M1473" t="s">
        <v>10166</v>
      </c>
      <c r="N1473" t="s">
        <v>10167</v>
      </c>
      <c r="O1473" t="s">
        <v>10168</v>
      </c>
      <c r="P1473" t="s">
        <v>10169</v>
      </c>
      <c r="Q1473" s="3" t="n">
        <v>43963.0</v>
      </c>
      <c r="R1473" s="3" t="n">
        <v>44518.0</v>
      </c>
      <c r="S1473" s="3" t="n">
        <v>44519.18960803241</v>
      </c>
      <c r="T1473" s="3" t="n">
        <v>44523.68693653935</v>
      </c>
      <c r="U1473" t="s">
        <v>10170</v>
      </c>
      <c r="V1473" t="s">
        <v>10171</v>
      </c>
    </row>
    <row r="1474">
      <c r="A1474" t="s">
        <v>22</v>
      </c>
      <c r="B1474" t="s">
        <v>10172</v>
      </c>
      <c r="C1474" t="s">
        <v>60</v>
      </c>
      <c r="D1474" t="s">
        <v>61</v>
      </c>
      <c r="E1474" t="s">
        <v>10173</v>
      </c>
      <c r="F1474" s="2" t="n">
        <f>HYPERLINK("https://patents.google.com/patent/US20210353654","Google")</f>
        <v>0.0</v>
      </c>
      <c r="G1474" s="2" t="n">
        <f>HYPERLINK("https://patentcenter.uspto.gov/applications/17320152","Patent Center")</f>
        <v>0.0</v>
      </c>
      <c r="H1474" s="2" t="n">
        <f>HYPERLINK("https://worldwide.espacenet.com/patent/search?q=US20210353654","Espacenet")</f>
        <v>0.0</v>
      </c>
      <c r="I1474" s="2" t="n">
        <f>HYPERLINK("https://ppubs.uspto.gov/pubwebapp/external.html?q=20210353654.pn.","USPTO")</f>
        <v>0.0</v>
      </c>
      <c r="J1474" s="2" t="n">
        <f>HYPERLINK("https://image-ppubs.uspto.gov/dirsearch-public/print/downloadPdf/20210353654","USPTO PDF")</f>
        <v>0.0</v>
      </c>
      <c r="K1474" s="2" t="n">
        <f>HYPERLINK("https://sectors.patentforecast.com/pmd/US20210353654","PMD")</f>
        <v>0.0</v>
      </c>
      <c r="L1474" s="2" t="n">
        <f>HYPERLINK("https://globaldossier.uspto.gov/result/application/US/17320152/1","US20210353654")</f>
        <v>0.0</v>
      </c>
      <c r="M1474" t="s">
        <v>10174</v>
      </c>
      <c r="N1474" t="s">
        <v>10175</v>
      </c>
      <c r="O1474" t="s">
        <v>10176</v>
      </c>
      <c r="P1474" t="s">
        <v>10177</v>
      </c>
      <c r="Q1474" s="3" t="n">
        <v>44329.0</v>
      </c>
      <c r="R1474" s="3" t="n">
        <v>44518.0</v>
      </c>
      <c r="S1474" s="3" t="n">
        <v>44519.18960803241</v>
      </c>
      <c r="T1474" s="3" t="n">
        <v>44523.622741377316</v>
      </c>
      <c r="U1474" t="s">
        <v>10178</v>
      </c>
      <c r="V1474" t="s">
        <v>10179</v>
      </c>
    </row>
    <row r="1475">
      <c r="A1475" t="s">
        <v>22</v>
      </c>
      <c r="B1475" t="s">
        <v>10180</v>
      </c>
      <c r="C1475" t="s">
        <v>60</v>
      </c>
      <c r="D1475" t="s">
        <v>61</v>
      </c>
      <c r="E1475" t="s">
        <v>10181</v>
      </c>
      <c r="F1475" s="2" t="n">
        <f>HYPERLINK("https://patents.google.com/patent/US20210353653","Google")</f>
        <v>0.0</v>
      </c>
      <c r="G1475" s="2" t="n">
        <f>HYPERLINK("https://patentcenter.uspto.gov/applications/17320003","Patent Center")</f>
        <v>0.0</v>
      </c>
      <c r="H1475" s="2" t="n">
        <f>HYPERLINK("https://worldwide.espacenet.com/patent/search?q=US20210353653","Espacenet")</f>
        <v>0.0</v>
      </c>
      <c r="I1475" s="2" t="n">
        <f>HYPERLINK("https://ppubs.uspto.gov/pubwebapp/external.html?q=20210353653.pn.","USPTO")</f>
        <v>0.0</v>
      </c>
      <c r="J1475" s="2" t="n">
        <f>HYPERLINK("https://image-ppubs.uspto.gov/dirsearch-public/print/downloadPdf/20210353653","USPTO PDF")</f>
        <v>0.0</v>
      </c>
      <c r="K1475" s="2" t="n">
        <f>HYPERLINK("https://sectors.patentforecast.com/pmd/US20210353653","PMD")</f>
        <v>0.0</v>
      </c>
      <c r="L1475" s="2" t="n">
        <f>HYPERLINK("https://globaldossier.uspto.gov/result/application/US/17320003/1","US20210353653")</f>
        <v>0.0</v>
      </c>
      <c r="M1475" t="s">
        <v>10182</v>
      </c>
      <c r="N1475" t="s">
        <v>10175</v>
      </c>
      <c r="O1475" t="s">
        <v>10176</v>
      </c>
      <c r="P1475" t="s">
        <v>10177</v>
      </c>
      <c r="Q1475" s="3" t="n">
        <v>44329.0</v>
      </c>
      <c r="R1475" s="3" t="n">
        <v>44518.0</v>
      </c>
      <c r="S1475" s="3" t="n">
        <v>44519.18960803241</v>
      </c>
      <c r="T1475" s="3" t="n">
        <v>44523.62281699074</v>
      </c>
      <c r="U1475" t="s">
        <v>10183</v>
      </c>
      <c r="V1475" t="s">
        <v>10184</v>
      </c>
    </row>
    <row r="1476">
      <c r="A1476" t="s">
        <v>22</v>
      </c>
      <c r="B1476" t="s">
        <v>10185</v>
      </c>
      <c r="C1476" t="s">
        <v>60</v>
      </c>
      <c r="D1476" t="s">
        <v>61</v>
      </c>
      <c r="E1476" t="s">
        <v>10186</v>
      </c>
      <c r="F1476" s="2" t="n">
        <f>HYPERLINK("https://patents.google.com/patent/US20210353650","Google")</f>
        <v>0.0</v>
      </c>
      <c r="G1476" s="2" t="n">
        <f>HYPERLINK("https://patentcenter.uspto.gov/applications/17323109","Patent Center")</f>
        <v>0.0</v>
      </c>
      <c r="H1476" s="2" t="n">
        <f>HYPERLINK("https://worldwide.espacenet.com/patent/search?q=US20210353650","Espacenet")</f>
        <v>0.0</v>
      </c>
      <c r="I1476" s="2" t="n">
        <f>HYPERLINK("https://ppubs.uspto.gov/pubwebapp/external.html?q=20210353650.pn.","USPTO")</f>
        <v>0.0</v>
      </c>
      <c r="J1476" s="2" t="n">
        <f>HYPERLINK("https://image-ppubs.uspto.gov/dirsearch-public/print/downloadPdf/20210353650","USPTO PDF")</f>
        <v>0.0</v>
      </c>
      <c r="K1476" s="2" t="n">
        <f>HYPERLINK("https://sectors.patentforecast.com/pmd/US20210353650","PMD")</f>
        <v>0.0</v>
      </c>
      <c r="L1476" s="2" t="n">
        <f>HYPERLINK("https://globaldossier.uspto.gov/result/application/US/17323109/1","US20210353650")</f>
        <v>0.0</v>
      </c>
      <c r="M1476" t="s">
        <v>10187</v>
      </c>
      <c r="N1476" t="s">
        <v>8630</v>
      </c>
      <c r="O1476" t="s">
        <v>8631</v>
      </c>
      <c r="P1476" t="s">
        <v>10188</v>
      </c>
      <c r="Q1476" s="3" t="n">
        <v>44334.0</v>
      </c>
      <c r="R1476" s="3" t="n">
        <v>44518.0</v>
      </c>
      <c r="S1476" s="3" t="n">
        <v>44519.18960803241</v>
      </c>
      <c r="T1476" s="3" t="n">
        <v>44523.60624525463</v>
      </c>
      <c r="U1476" t="s">
        <v>10189</v>
      </c>
      <c r="V1476" t="s">
        <v>10190</v>
      </c>
    </row>
    <row r="1477">
      <c r="A1477" t="s">
        <v>22</v>
      </c>
      <c r="B1477" t="s">
        <v>10191</v>
      </c>
      <c r="C1477" t="s">
        <v>60</v>
      </c>
      <c r="D1477" t="s">
        <v>61</v>
      </c>
      <c r="E1477" t="s">
        <v>10192</v>
      </c>
      <c r="F1477" s="2" t="n">
        <f>HYPERLINK("https://patents.google.com/patent/US20210353645","Google")</f>
        <v>0.0</v>
      </c>
      <c r="G1477" s="2" t="n">
        <f>HYPERLINK("https://patentcenter.uspto.gov/applications/17142524","Patent Center")</f>
        <v>0.0</v>
      </c>
      <c r="H1477" s="2" t="n">
        <f>HYPERLINK("https://worldwide.espacenet.com/patent/search?q=US20210353645","Espacenet")</f>
        <v>0.0</v>
      </c>
      <c r="I1477" s="2" t="n">
        <f>HYPERLINK("https://ppubs.uspto.gov/pubwebapp/external.html?q=20210353645.pn.","USPTO")</f>
        <v>0.0</v>
      </c>
      <c r="J1477" s="2" t="n">
        <f>HYPERLINK("https://image-ppubs.uspto.gov/dirsearch-public/print/downloadPdf/20210353645","USPTO PDF")</f>
        <v>0.0</v>
      </c>
      <c r="K1477" s="2" t="n">
        <f>HYPERLINK("https://sectors.patentforecast.com/pmd/US20210353645","PMD")</f>
        <v>0.0</v>
      </c>
      <c r="L1477" s="2" t="n">
        <f>HYPERLINK("https://globaldossier.uspto.gov/result/application/US/17142524/1","US20210353645")</f>
        <v>0.0</v>
      </c>
      <c r="M1477" t="s">
        <v>10193</v>
      </c>
      <c r="N1477" t="s">
        <v>10194</v>
      </c>
      <c r="O1477" t="s">
        <v>10195</v>
      </c>
      <c r="P1477" t="s">
        <v>10196</v>
      </c>
      <c r="Q1477" s="3" t="n">
        <v>44202.0</v>
      </c>
      <c r="R1477" s="3" t="n">
        <v>44518.0</v>
      </c>
      <c r="S1477" s="3" t="n">
        <v>44519.18960803241</v>
      </c>
      <c r="T1477" s="3" t="n">
        <v>44523.70742277778</v>
      </c>
      <c r="U1477" t="s">
        <v>10197</v>
      </c>
      <c r="V1477" t="s">
        <v>10198</v>
      </c>
    </row>
    <row r="1478">
      <c r="A1478" t="s">
        <v>22</v>
      </c>
      <c r="B1478" t="s">
        <v>10199</v>
      </c>
      <c r="C1478" t="s">
        <v>60</v>
      </c>
      <c r="D1478" t="s">
        <v>61</v>
      </c>
      <c r="E1478" t="s">
        <v>10200</v>
      </c>
      <c r="F1478" s="2" t="n">
        <f>HYPERLINK("https://patents.google.com/patent/US20210353620","Google")</f>
        <v>0.0</v>
      </c>
      <c r="G1478" s="2" t="n">
        <f>HYPERLINK("https://patentcenter.uspto.gov/applications/17320069","Patent Center")</f>
        <v>0.0</v>
      </c>
      <c r="H1478" s="2" t="n">
        <f>HYPERLINK("https://worldwide.espacenet.com/patent/search?q=US20210353620","Espacenet")</f>
        <v>0.0</v>
      </c>
      <c r="I1478" s="2" t="n">
        <f>HYPERLINK("https://ppubs.uspto.gov/pubwebapp/external.html?q=20210353620.pn.","USPTO")</f>
        <v>0.0</v>
      </c>
      <c r="J1478" s="2" t="n">
        <f>HYPERLINK("https://image-ppubs.uspto.gov/dirsearch-public/print/downloadPdf/20210353620","USPTO PDF")</f>
        <v>0.0</v>
      </c>
      <c r="K1478" s="2" t="n">
        <f>HYPERLINK("https://sectors.patentforecast.com/pmd/US20210353620","PMD")</f>
        <v>0.0</v>
      </c>
      <c r="L1478" s="2" t="n">
        <f>HYPERLINK("https://globaldossier.uspto.gov/result/application/US/17320069/1","US20210353620")</f>
        <v>0.0</v>
      </c>
      <c r="M1478" t="s">
        <v>10201</v>
      </c>
      <c r="N1478" t="s">
        <v>10202</v>
      </c>
      <c r="O1478" t="s">
        <v>10203</v>
      </c>
      <c r="P1478" t="s">
        <v>10204</v>
      </c>
      <c r="Q1478" s="3" t="n">
        <v>44329.0</v>
      </c>
      <c r="R1478" s="3" t="n">
        <v>44518.0</v>
      </c>
      <c r="S1478" s="3" t="n">
        <v>44519.18960803241</v>
      </c>
      <c r="T1478" s="3" t="n">
        <v>44523.70619765046</v>
      </c>
      <c r="U1478" t="s">
        <v>10205</v>
      </c>
      <c r="V1478" t="s">
        <v>10206</v>
      </c>
    </row>
    <row r="1479">
      <c r="A1479" t="s">
        <v>22</v>
      </c>
      <c r="B1479" t="s">
        <v>10207</v>
      </c>
      <c r="C1479" t="s">
        <v>60</v>
      </c>
      <c r="D1479" t="s">
        <v>2262</v>
      </c>
      <c r="E1479" t="s">
        <v>10208</v>
      </c>
      <c r="F1479" s="2" t="n">
        <f>HYPERLINK("https://patents.google.com/patent/US20210353582","Google")</f>
        <v>0.0</v>
      </c>
      <c r="G1479" s="2" t="n">
        <f>HYPERLINK("https://patentcenter.uspto.gov/applications/16945600","Patent Center")</f>
        <v>0.0</v>
      </c>
      <c r="H1479" s="2" t="n">
        <f>HYPERLINK("https://worldwide.espacenet.com/patent/search?q=US20210353582","Espacenet")</f>
        <v>0.0</v>
      </c>
      <c r="I1479" s="2" t="n">
        <f>HYPERLINK("https://ppubs.uspto.gov/pubwebapp/external.html?q=20210353582.pn.","USPTO")</f>
        <v>0.0</v>
      </c>
      <c r="J1479" s="2" t="n">
        <f>HYPERLINK("https://image-ppubs.uspto.gov/dirsearch-public/print/downloadPdf/20210353582","USPTO PDF")</f>
        <v>0.0</v>
      </c>
      <c r="K1479" s="2" t="n">
        <f>HYPERLINK("https://sectors.patentforecast.com/pmd/US20210353582","PMD")</f>
        <v>0.0</v>
      </c>
      <c r="L1479" s="2" t="n">
        <f>HYPERLINK("https://globaldossier.uspto.gov/result/application/US/16945600/1","US20210353582")</f>
        <v>0.0</v>
      </c>
      <c r="M1479" t="s">
        <v>10209</v>
      </c>
      <c r="N1479" t="s">
        <v>10210</v>
      </c>
      <c r="O1479" t="s">
        <v>10211</v>
      </c>
      <c r="P1479" t="s">
        <v>10212</v>
      </c>
      <c r="Q1479" s="3" t="n">
        <v>44043.0</v>
      </c>
      <c r="R1479" s="3" t="n">
        <v>44518.0</v>
      </c>
      <c r="S1479" s="3" t="n">
        <v>44519.18960803241</v>
      </c>
      <c r="T1479" s="3" t="n">
        <v>44672.39564113426</v>
      </c>
      <c r="U1479" t="s">
        <v>10213</v>
      </c>
      <c r="V1479" t="s">
        <v>10214</v>
      </c>
    </row>
    <row r="1480">
      <c r="A1480" t="s">
        <v>22</v>
      </c>
      <c r="B1480" t="s">
        <v>10215</v>
      </c>
      <c r="C1480" t="s">
        <v>60</v>
      </c>
      <c r="D1480" t="s">
        <v>61</v>
      </c>
      <c r="E1480" t="s">
        <v>10216</v>
      </c>
      <c r="F1480" s="2" t="n">
        <f>HYPERLINK("https://patents.google.com/patent/US20210353567","Google")</f>
        <v>0.0</v>
      </c>
      <c r="G1480" s="2" t="n">
        <f>HYPERLINK("https://patentcenter.uspto.gov/applications/17386263","Patent Center")</f>
        <v>0.0</v>
      </c>
      <c r="H1480" s="2" t="n">
        <f>HYPERLINK("https://worldwide.espacenet.com/patent/search?q=US20210353567","Espacenet")</f>
        <v>0.0</v>
      </c>
      <c r="I1480" s="2" t="n">
        <f>HYPERLINK("https://ppubs.uspto.gov/pubwebapp/external.html?q=20210353567.pn.","USPTO")</f>
        <v>0.0</v>
      </c>
      <c r="J1480" s="2" t="n">
        <f>HYPERLINK("https://image-ppubs.uspto.gov/dirsearch-public/print/downloadPdf/20210353567","USPTO PDF")</f>
        <v>0.0</v>
      </c>
      <c r="K1480" s="2" t="n">
        <f>HYPERLINK("https://sectors.patentforecast.com/pmd/US20210353567","PMD")</f>
        <v>0.0</v>
      </c>
      <c r="L1480" s="2" t="n">
        <f>HYPERLINK("https://globaldossier.uspto.gov/result/application/US/17386263/1","US20210353567")</f>
        <v>0.0</v>
      </c>
      <c r="M1480" t="s">
        <v>10217</v>
      </c>
      <c r="N1480" t="s">
        <v>10218</v>
      </c>
      <c r="O1480" t="s">
        <v>10219</v>
      </c>
      <c r="P1480" t="s">
        <v>10220</v>
      </c>
      <c r="Q1480" s="3" t="n">
        <v>44404.0</v>
      </c>
      <c r="R1480" s="3" t="n">
        <v>44518.0</v>
      </c>
      <c r="S1480" s="3" t="n">
        <v>44519.18960803241</v>
      </c>
      <c r="T1480" s="3" t="n">
        <v>44523.69622655093</v>
      </c>
      <c r="U1480" t="s">
        <v>10221</v>
      </c>
      <c r="V1480" t="s">
        <v>10222</v>
      </c>
    </row>
    <row r="1481">
      <c r="A1481" t="s">
        <v>22</v>
      </c>
      <c r="B1481" t="s">
        <v>10223</v>
      </c>
      <c r="C1481" t="s">
        <v>60</v>
      </c>
      <c r="D1481" t="s">
        <v>715</v>
      </c>
      <c r="E1481" t="s">
        <v>10224</v>
      </c>
      <c r="F1481" s="2" t="n">
        <f>HYPERLINK("https://patents.google.com/patent/US20210353483","Google")</f>
        <v>0.0</v>
      </c>
      <c r="G1481" s="2" t="n">
        <f>HYPERLINK("https://patentcenter.uspto.gov/applications/17302232","Patent Center")</f>
        <v>0.0</v>
      </c>
      <c r="H1481" s="2" t="n">
        <f>HYPERLINK("https://worldwide.espacenet.com/patent/search?q=US20210353483","Espacenet")</f>
        <v>0.0</v>
      </c>
      <c r="I1481" s="2" t="n">
        <f>HYPERLINK("https://ppubs.uspto.gov/pubwebapp/external.html?q=20210353483.pn.","USPTO")</f>
        <v>0.0</v>
      </c>
      <c r="J1481" s="2" t="n">
        <f>HYPERLINK("https://image-ppubs.uspto.gov/dirsearch-public/print/downloadPdf/20210353483","USPTO PDF")</f>
        <v>0.0</v>
      </c>
      <c r="K1481" s="2" t="n">
        <f>HYPERLINK("https://sectors.patentforecast.com/pmd/US20210353483","PMD")</f>
        <v>0.0</v>
      </c>
      <c r="L1481" s="2" t="n">
        <f>HYPERLINK("https://globaldossier.uspto.gov/result/application/US/17302232/1","US20210353483")</f>
        <v>0.0</v>
      </c>
      <c r="M1481" t="s">
        <v>10225</v>
      </c>
      <c r="N1481" t="s">
        <v>9802</v>
      </c>
      <c r="O1481" t="s">
        <v>9803</v>
      </c>
      <c r="P1481" t="s">
        <v>9804</v>
      </c>
      <c r="Q1481" s="3" t="n">
        <v>44313.0</v>
      </c>
      <c r="R1481" s="3" t="n">
        <v>44518.0</v>
      </c>
      <c r="S1481" s="3" t="n">
        <v>44519.18960803241</v>
      </c>
      <c r="T1481" s="3" t="n">
        <v>44523.69301303241</v>
      </c>
      <c r="U1481" t="s">
        <v>10226</v>
      </c>
      <c r="V1481" t="s">
        <v>10227</v>
      </c>
    </row>
    <row r="1482">
      <c r="A1482" t="s">
        <v>22</v>
      </c>
      <c r="B1482" t="s">
        <v>10228</v>
      </c>
      <c r="C1482" t="s">
        <v>24</v>
      </c>
      <c r="D1482" t="s">
        <v>69</v>
      </c>
      <c r="E1482" t="s">
        <v>10229</v>
      </c>
      <c r="F1482" s="2" t="n">
        <f>HYPERLINK("https://patents.google.com/patent/US20210353469","Google")</f>
        <v>0.0</v>
      </c>
      <c r="G1482" s="2" t="n">
        <f>HYPERLINK("https://patentcenter.uspto.gov/applications/17088846","Patent Center")</f>
        <v>0.0</v>
      </c>
      <c r="H1482" s="2" t="n">
        <f>HYPERLINK("https://worldwide.espacenet.com/patent/search?q=US20210353469","Espacenet")</f>
        <v>0.0</v>
      </c>
      <c r="I1482" s="2" t="n">
        <f>HYPERLINK("https://ppubs.uspto.gov/pubwebapp/external.html?q=20210353469.pn.","USPTO")</f>
        <v>0.0</v>
      </c>
      <c r="J1482" s="2" t="n">
        <f>HYPERLINK("https://image-ppubs.uspto.gov/dirsearch-public/print/downloadPdf/20210353469","USPTO PDF")</f>
        <v>0.0</v>
      </c>
      <c r="K1482" s="2" t="n">
        <f>HYPERLINK("https://sectors.patentforecast.com/pmd/US20210353469","PMD")</f>
        <v>0.0</v>
      </c>
      <c r="L1482" s="2" t="n">
        <f>HYPERLINK("https://globaldossier.uspto.gov/result/application/US/17088846/1","US20210353469")</f>
        <v>0.0</v>
      </c>
      <c r="M1482" t="s">
        <v>10230</v>
      </c>
      <c r="N1482" t="s">
        <v>802</v>
      </c>
      <c r="O1482" t="s">
        <v>803</v>
      </c>
      <c r="P1482" t="s">
        <v>10231</v>
      </c>
      <c r="Q1482" s="3" t="n">
        <v>44139.0</v>
      </c>
      <c r="R1482" s="3" t="n">
        <v>44518.0</v>
      </c>
      <c r="S1482" s="3" t="n">
        <v>44519.18960803241</v>
      </c>
      <c r="T1482" s="3" t="n">
        <v>44523.62631053241</v>
      </c>
      <c r="U1482" t="s">
        <v>10232</v>
      </c>
      <c r="V1482" t="s">
        <v>10233</v>
      </c>
    </row>
    <row r="1483">
      <c r="A1483" t="s">
        <v>22</v>
      </c>
      <c r="B1483" t="s">
        <v>10234</v>
      </c>
      <c r="C1483" t="s">
        <v>24</v>
      </c>
      <c r="D1483" t="s">
        <v>69</v>
      </c>
      <c r="E1483" t="s">
        <v>10235</v>
      </c>
      <c r="F1483" s="2" t="n">
        <f>HYPERLINK("https://patents.google.com/patent/US20210353468","Google")</f>
        <v>0.0</v>
      </c>
      <c r="G1483" s="2" t="n">
        <f>HYPERLINK("https://patentcenter.uspto.gov/applications/16943178","Patent Center")</f>
        <v>0.0</v>
      </c>
      <c r="H1483" s="2" t="n">
        <f>HYPERLINK("https://worldwide.espacenet.com/patent/search?q=US20210353468","Espacenet")</f>
        <v>0.0</v>
      </c>
      <c r="I1483" s="2" t="n">
        <f>HYPERLINK("https://ppubs.uspto.gov/pubwebapp/external.html?q=20210353468.pn.","USPTO")</f>
        <v>0.0</v>
      </c>
      <c r="J1483" s="2" t="n">
        <f>HYPERLINK("https://image-ppubs.uspto.gov/dirsearch-public/print/downloadPdf/20210353468","USPTO PDF")</f>
        <v>0.0</v>
      </c>
      <c r="K1483" s="2" t="n">
        <f>HYPERLINK("https://sectors.patentforecast.com/pmd/US20210353468","PMD")</f>
        <v>0.0</v>
      </c>
      <c r="L1483" s="2" t="n">
        <f>HYPERLINK("https://globaldossier.uspto.gov/result/application/US/16943178/1","US20210353468")</f>
        <v>0.0</v>
      </c>
      <c r="M1483" t="s">
        <v>10236</v>
      </c>
      <c r="N1483" t="s">
        <v>802</v>
      </c>
      <c r="O1483" t="s">
        <v>803</v>
      </c>
      <c r="P1483" t="s">
        <v>10237</v>
      </c>
      <c r="Q1483" s="3" t="n">
        <v>44042.0</v>
      </c>
      <c r="R1483" s="3" t="n">
        <v>44518.0</v>
      </c>
      <c r="S1483" s="3" t="n">
        <v>44519.18960803241</v>
      </c>
      <c r="T1483" s="3" t="n">
        <v>44523.62638087963</v>
      </c>
      <c r="U1483" t="s">
        <v>10232</v>
      </c>
      <c r="V1483" t="s">
        <v>10238</v>
      </c>
    </row>
    <row r="1484">
      <c r="A1484" t="s">
        <v>22</v>
      </c>
      <c r="B1484" t="s">
        <v>10239</v>
      </c>
      <c r="C1484" t="s">
        <v>24</v>
      </c>
      <c r="D1484" t="s">
        <v>69</v>
      </c>
      <c r="E1484" t="s">
        <v>10012</v>
      </c>
      <c r="F1484" s="2" t="n">
        <f>HYPERLINK("https://patents.google.com/patent/US20210353467","Google")</f>
        <v>0.0</v>
      </c>
      <c r="G1484" s="2" t="n">
        <f>HYPERLINK("https://patentcenter.uspto.gov/applications/16924649","Patent Center")</f>
        <v>0.0</v>
      </c>
      <c r="H1484" s="2" t="n">
        <f>HYPERLINK("https://worldwide.espacenet.com/patent/search?q=US20210353467","Espacenet")</f>
        <v>0.0</v>
      </c>
      <c r="I1484" s="2" t="n">
        <f>HYPERLINK("https://ppubs.uspto.gov/pubwebapp/external.html?q=20210353467.pn.","USPTO")</f>
        <v>0.0</v>
      </c>
      <c r="J1484" s="2" t="n">
        <f>HYPERLINK("https://image-ppubs.uspto.gov/dirsearch-public/print/downloadPdf/20210353467","USPTO PDF")</f>
        <v>0.0</v>
      </c>
      <c r="K1484" s="2" t="n">
        <f>HYPERLINK("https://sectors.patentforecast.com/pmd/US20210353467","PMD")</f>
        <v>0.0</v>
      </c>
      <c r="L1484" s="2" t="n">
        <f>HYPERLINK("https://globaldossier.uspto.gov/result/application/US/16924649/1","US20210353467")</f>
        <v>0.0</v>
      </c>
      <c r="M1484" t="s">
        <v>10240</v>
      </c>
      <c r="N1484" t="s">
        <v>802</v>
      </c>
      <c r="O1484" t="s">
        <v>803</v>
      </c>
      <c r="P1484" t="s">
        <v>10237</v>
      </c>
      <c r="Q1484" s="3" t="n">
        <v>44021.0</v>
      </c>
      <c r="R1484" s="3" t="n">
        <v>44518.0</v>
      </c>
      <c r="S1484" s="3" t="n">
        <v>44519.18960803241</v>
      </c>
      <c r="T1484" s="3" t="n">
        <v>44523.62638087963</v>
      </c>
      <c r="U1484" t="s">
        <v>10232</v>
      </c>
      <c r="V1484" t="s">
        <v>10016</v>
      </c>
    </row>
    <row r="1485">
      <c r="A1485" t="s">
        <v>22</v>
      </c>
      <c r="B1485" t="s">
        <v>10241</v>
      </c>
      <c r="C1485" t="s">
        <v>24</v>
      </c>
      <c r="D1485" t="s">
        <v>34</v>
      </c>
      <c r="E1485" t="s">
        <v>10242</v>
      </c>
      <c r="F1485" s="2" t="n">
        <f>HYPERLINK("https://patents.google.com/patent/US20210353162","Google")</f>
        <v>0.0</v>
      </c>
      <c r="G1485" s="2" t="n">
        <f>HYPERLINK("https://patentcenter.uspto.gov/applications/16994084","Patent Center")</f>
        <v>0.0</v>
      </c>
      <c r="H1485" s="2" t="n">
        <f>HYPERLINK("https://worldwide.espacenet.com/patent/search?q=US20210353162","Espacenet")</f>
        <v>0.0</v>
      </c>
      <c r="I1485" s="2" t="n">
        <f>HYPERLINK("https://ppubs.uspto.gov/pubwebapp/external.html?q=20210353162.pn.","USPTO")</f>
        <v>0.0</v>
      </c>
      <c r="J1485" s="2" t="n">
        <f>HYPERLINK("https://image-ppubs.uspto.gov/dirsearch-public/print/downloadPdf/20210353162","USPTO PDF")</f>
        <v>0.0</v>
      </c>
      <c r="K1485" s="2" t="n">
        <f>HYPERLINK("https://sectors.patentforecast.com/pmd/US20210353162","PMD")</f>
        <v>0.0</v>
      </c>
      <c r="L1485" s="2" t="n">
        <f>HYPERLINK("https://globaldossier.uspto.gov/result/application/US/16994084/1","US20210353162")</f>
        <v>0.0</v>
      </c>
      <c r="M1485" t="s">
        <v>10243</v>
      </c>
      <c r="N1485" t="s">
        <v>10244</v>
      </c>
      <c r="O1485" t="s">
        <v>10245</v>
      </c>
      <c r="P1485" t="s">
        <v>10246</v>
      </c>
      <c r="Q1485" s="3" t="n">
        <v>44057.0</v>
      </c>
      <c r="R1485" s="3" t="n">
        <v>44518.0</v>
      </c>
      <c r="S1485" s="3" t="n">
        <v>44519.18960803241</v>
      </c>
      <c r="T1485" s="3" t="n">
        <v>44523.596625659724</v>
      </c>
      <c r="U1485" t="s">
        <v>10247</v>
      </c>
      <c r="V1485" t="s">
        <v>10248</v>
      </c>
    </row>
    <row r="1486">
      <c r="A1486" t="s">
        <v>22</v>
      </c>
      <c r="B1486" t="s">
        <v>10249</v>
      </c>
      <c r="C1486" t="s">
        <v>24</v>
      </c>
      <c r="D1486" t="s">
        <v>69</v>
      </c>
      <c r="E1486" t="s">
        <v>10250</v>
      </c>
      <c r="F1486" s="2" t="n">
        <f>HYPERLINK("https://patents.google.com/patent/US20210353150","Google")</f>
        <v>0.0</v>
      </c>
      <c r="G1486" s="2" t="n">
        <f>HYPERLINK("https://patentcenter.uspto.gov/applications/17323763","Patent Center")</f>
        <v>0.0</v>
      </c>
      <c r="H1486" s="2" t="n">
        <f>HYPERLINK("https://worldwide.espacenet.com/patent/search?q=US20210353150","Espacenet")</f>
        <v>0.0</v>
      </c>
      <c r="I1486" s="2" t="n">
        <f>HYPERLINK("https://ppubs.uspto.gov/pubwebapp/external.html?q=20210353150.pn.","USPTO")</f>
        <v>0.0</v>
      </c>
      <c r="J1486" s="2" t="n">
        <f>HYPERLINK("https://image-ppubs.uspto.gov/dirsearch-public/print/downloadPdf/20210353150","USPTO PDF")</f>
        <v>0.0</v>
      </c>
      <c r="K1486" s="2" t="n">
        <f>HYPERLINK("https://sectors.patentforecast.com/pmd/US20210353150","PMD")</f>
        <v>0.0</v>
      </c>
      <c r="L1486" s="2" t="n">
        <f>HYPERLINK("https://globaldossier.uspto.gov/result/application/US/17323763/1","US20210353150")</f>
        <v>0.0</v>
      </c>
      <c r="M1486" t="s">
        <v>10251</v>
      </c>
      <c r="N1486" t="s">
        <v>10252</v>
      </c>
      <c r="O1486" t="s">
        <v>10253</v>
      </c>
      <c r="P1486" t="s">
        <v>10254</v>
      </c>
      <c r="Q1486" s="3" t="n">
        <v>44334.0</v>
      </c>
      <c r="R1486" s="3" t="n">
        <v>44518.0</v>
      </c>
      <c r="S1486" s="3" t="n">
        <v>44519.18960803241</v>
      </c>
      <c r="T1486" s="3" t="n">
        <v>44523.67795445602</v>
      </c>
      <c r="U1486" t="s">
        <v>10255</v>
      </c>
      <c r="V1486" t="s">
        <v>10256</v>
      </c>
    </row>
    <row r="1487">
      <c r="A1487" t="s">
        <v>22</v>
      </c>
      <c r="B1487" t="s">
        <v>10257</v>
      </c>
      <c r="C1487" t="s">
        <v>24</v>
      </c>
      <c r="D1487" t="s">
        <v>100</v>
      </c>
      <c r="E1487" t="s">
        <v>10258</v>
      </c>
      <c r="F1487" s="2" t="n">
        <f>HYPERLINK("https://patents.google.com/patent/US20210352984","Google")</f>
        <v>0.0</v>
      </c>
      <c r="G1487" s="2" t="n">
        <f>HYPERLINK("https://patentcenter.uspto.gov/applications/15929658","Patent Center")</f>
        <v>0.0</v>
      </c>
      <c r="H1487" s="2" t="n">
        <f>HYPERLINK("https://worldwide.espacenet.com/patent/search?q=US20210352984","Espacenet")</f>
        <v>0.0</v>
      </c>
      <c r="I1487" s="2" t="n">
        <f>HYPERLINK("https://ppubs.uspto.gov/pubwebapp/external.html?q=20210352984.pn.","USPTO")</f>
        <v>0.0</v>
      </c>
      <c r="J1487" s="2" t="n">
        <f>HYPERLINK("https://image-ppubs.uspto.gov/dirsearch-public/print/downloadPdf/20210352984","USPTO PDF")</f>
        <v>0.0</v>
      </c>
      <c r="K1487" s="2" t="n">
        <f>HYPERLINK("https://sectors.patentforecast.com/pmd/US20210352984","PMD")</f>
        <v>0.0</v>
      </c>
      <c r="L1487" s="2" t="n">
        <f>HYPERLINK("https://globaldossier.uspto.gov/result/application/US/15929658/1","US20210352984")</f>
        <v>0.0</v>
      </c>
      <c r="M1487" t="s">
        <v>10259</v>
      </c>
      <c r="N1487" t="s">
        <v>10260</v>
      </c>
      <c r="O1487" t="s">
        <v>10261</v>
      </c>
      <c r="P1487" t="s">
        <v>10262</v>
      </c>
      <c r="Q1487" s="3" t="n">
        <v>43965.0</v>
      </c>
      <c r="R1487" s="3" t="n">
        <v>44518.0</v>
      </c>
      <c r="S1487" s="3" t="n">
        <v>44519.18891153935</v>
      </c>
      <c r="T1487" s="3" t="n">
        <v>44643.446733275465</v>
      </c>
      <c r="U1487" t="s">
        <v>10263</v>
      </c>
      <c r="V1487" t="s">
        <v>10264</v>
      </c>
    </row>
    <row r="1488">
      <c r="A1488" t="s">
        <v>22</v>
      </c>
      <c r="B1488" t="s">
        <v>10265</v>
      </c>
      <c r="C1488" t="s">
        <v>24</v>
      </c>
      <c r="D1488" t="s">
        <v>69</v>
      </c>
      <c r="E1488" t="s">
        <v>10266</v>
      </c>
      <c r="F1488" s="2" t="n">
        <f>HYPERLINK("https://patents.google.com/patent/US20210352983","Google")</f>
        <v>0.0</v>
      </c>
      <c r="G1488" s="2" t="n">
        <f>HYPERLINK("https://patentcenter.uspto.gov/applications/16912454","Patent Center")</f>
        <v>0.0</v>
      </c>
      <c r="H1488" s="2" t="n">
        <f>HYPERLINK("https://worldwide.espacenet.com/patent/search?q=US20210352983","Espacenet")</f>
        <v>0.0</v>
      </c>
      <c r="I1488" s="2" t="n">
        <f>HYPERLINK("https://ppubs.uspto.gov/pubwebapp/external.html?q=20210352983.pn.","USPTO")</f>
        <v>0.0</v>
      </c>
      <c r="J1488" s="2" t="n">
        <f>HYPERLINK("https://image-ppubs.uspto.gov/dirsearch-public/print/downloadPdf/20210352983","USPTO PDF")</f>
        <v>0.0</v>
      </c>
      <c r="K1488" s="2" t="n">
        <f>HYPERLINK("https://sectors.patentforecast.com/pmd/US20210352983","PMD")</f>
        <v>0.0</v>
      </c>
      <c r="L1488" s="2" t="n">
        <f>HYPERLINK("https://globaldossier.uspto.gov/result/application/US/16912454/1","US20210352983")</f>
        <v>0.0</v>
      </c>
      <c r="M1488" t="s">
        <v>10267</v>
      </c>
      <c r="N1488" t="s">
        <v>10268</v>
      </c>
      <c r="O1488" t="s">
        <v>10269</v>
      </c>
      <c r="P1488" t="s">
        <v>10270</v>
      </c>
      <c r="Q1488" s="3" t="n">
        <v>44007.0</v>
      </c>
      <c r="R1488" s="3" t="n">
        <v>44518.0</v>
      </c>
      <c r="S1488" s="3" t="n">
        <v>44519.18891153935</v>
      </c>
      <c r="T1488" s="3" t="n">
        <v>44523.59731138889</v>
      </c>
      <c r="U1488" t="s">
        <v>10271</v>
      </c>
      <c r="V1488" t="s">
        <v>10272</v>
      </c>
    </row>
    <row r="1489">
      <c r="A1489" t="s">
        <v>22</v>
      </c>
      <c r="B1489" t="s">
        <v>10273</v>
      </c>
      <c r="C1489" t="s">
        <v>24</v>
      </c>
      <c r="D1489" t="s">
        <v>69</v>
      </c>
      <c r="E1489" t="s">
        <v>10274</v>
      </c>
      <c r="F1489" s="2" t="n">
        <f>HYPERLINK("https://patents.google.com/patent/US20210352981","Google")</f>
        <v>0.0</v>
      </c>
      <c r="G1489" s="2" t="n">
        <f>HYPERLINK("https://patentcenter.uspto.gov/applications/16875978","Patent Center")</f>
        <v>0.0</v>
      </c>
      <c r="H1489" s="2" t="n">
        <f>HYPERLINK("https://worldwide.espacenet.com/patent/search?q=US20210352981","Espacenet")</f>
        <v>0.0</v>
      </c>
      <c r="I1489" s="2" t="n">
        <f>HYPERLINK("https://ppubs.uspto.gov/pubwebapp/external.html?q=20210352981.pn.","USPTO")</f>
        <v>0.0</v>
      </c>
      <c r="J1489" s="2" t="n">
        <f>HYPERLINK("https://image-ppubs.uspto.gov/dirsearch-public/print/downloadPdf/20210352981","USPTO PDF")</f>
        <v>0.0</v>
      </c>
      <c r="K1489" s="2" t="n">
        <f>HYPERLINK("https://sectors.patentforecast.com/pmd/US20210352981","PMD")</f>
        <v>0.0</v>
      </c>
      <c r="L1489" s="2" t="n">
        <f>HYPERLINK("https://globaldossier.uspto.gov/result/application/US/16875978/1","US20210352981")</f>
        <v>0.0</v>
      </c>
      <c r="M1489" t="s">
        <v>10275</v>
      </c>
      <c r="N1489" t="s">
        <v>10276</v>
      </c>
      <c r="O1489" t="s">
        <v>10277</v>
      </c>
      <c r="P1489" t="s">
        <v>10278</v>
      </c>
      <c r="Q1489" s="3" t="n">
        <v>43966.0</v>
      </c>
      <c r="R1489" s="3" t="n">
        <v>44518.0</v>
      </c>
      <c r="S1489" s="3" t="n">
        <v>44519.18891153935</v>
      </c>
      <c r="T1489" s="3" t="n">
        <v>44523.59713076389</v>
      </c>
      <c r="U1489" t="s">
        <v>10279</v>
      </c>
      <c r="V1489" t="s">
        <v>10280</v>
      </c>
    </row>
    <row r="1490">
      <c r="A1490" t="s">
        <v>22</v>
      </c>
      <c r="B1490" t="s">
        <v>10281</v>
      </c>
      <c r="C1490" t="s">
        <v>24</v>
      </c>
      <c r="D1490" t="s">
        <v>43</v>
      </c>
      <c r="E1490" t="s">
        <v>10282</v>
      </c>
      <c r="F1490" s="2" t="n">
        <f>HYPERLINK("https://patents.google.com/patent/US20210350938","Google")</f>
        <v>0.0</v>
      </c>
      <c r="G1490" s="2" t="n">
        <f>HYPERLINK("https://patentcenter.uspto.gov/applications/17244749","Patent Center")</f>
        <v>0.0</v>
      </c>
      <c r="H1490" s="2" t="n">
        <f>HYPERLINK("https://worldwide.espacenet.com/patent/search?q=US20210350938","Espacenet")</f>
        <v>0.0</v>
      </c>
      <c r="I1490" s="2" t="n">
        <f>HYPERLINK("https://ppubs.uspto.gov/pubwebapp/external.html?q=20210350938.pn.","USPTO")</f>
        <v>0.0</v>
      </c>
      <c r="J1490" s="2" t="n">
        <f>HYPERLINK("https://image-ppubs.uspto.gov/dirsearch-public/print/downloadPdf/20210350938","USPTO PDF")</f>
        <v>0.0</v>
      </c>
      <c r="K1490" s="2" t="n">
        <f>HYPERLINK("https://sectors.patentforecast.com/pmd/US20210350938","PMD")</f>
        <v>0.0</v>
      </c>
      <c r="L1490" s="2" t="n">
        <f>HYPERLINK("https://globaldossier.uspto.gov/result/application/US/17244749/1","US20210350938")</f>
        <v>0.0</v>
      </c>
      <c r="M1490" t="s">
        <v>10283</v>
      </c>
      <c r="N1490" t="s">
        <v>10284</v>
      </c>
      <c r="O1490" t="s">
        <v>10285</v>
      </c>
      <c r="P1490" t="s">
        <v>10286</v>
      </c>
      <c r="Q1490" s="3" t="n">
        <v>44315.0</v>
      </c>
      <c r="R1490" s="3" t="n">
        <v>44511.0</v>
      </c>
      <c r="S1490" s="3" t="n">
        <v>44517.1890081713</v>
      </c>
      <c r="T1490" s="3" t="n">
        <v>44518.42330002315</v>
      </c>
      <c r="U1490" t="s">
        <v>10287</v>
      </c>
      <c r="V1490" t="s">
        <v>10288</v>
      </c>
    </row>
    <row r="1491">
      <c r="A1491" t="s">
        <v>22</v>
      </c>
      <c r="B1491" t="s">
        <v>10289</v>
      </c>
      <c r="C1491" t="s">
        <v>24</v>
      </c>
      <c r="D1491" t="s">
        <v>204</v>
      </c>
      <c r="E1491" t="s">
        <v>10290</v>
      </c>
      <c r="F1491" s="2" t="n">
        <f>HYPERLINK("https://patents.google.com/patent/US20210350929","Google")</f>
        <v>0.0</v>
      </c>
      <c r="G1491" s="2" t="n">
        <f>HYPERLINK("https://patentcenter.uspto.gov/applications/17302700","Patent Center")</f>
        <v>0.0</v>
      </c>
      <c r="H1491" s="2" t="n">
        <f>HYPERLINK("https://worldwide.espacenet.com/patent/search?q=US20210350929","Espacenet")</f>
        <v>0.0</v>
      </c>
      <c r="I1491" s="2" t="n">
        <f>HYPERLINK("https://ppubs.uspto.gov/pubwebapp/external.html?q=20210350929.pn.","USPTO")</f>
        <v>0.0</v>
      </c>
      <c r="J1491" s="2" t="n">
        <f>HYPERLINK("https://image-ppubs.uspto.gov/dirsearch-public/print/downloadPdf/20210350929","USPTO PDF")</f>
        <v>0.0</v>
      </c>
      <c r="K1491" s="2" t="n">
        <f>HYPERLINK("https://sectors.patentforecast.com/pmd/US20210350929","PMD")</f>
        <v>0.0</v>
      </c>
      <c r="L1491" s="2" t="n">
        <f>HYPERLINK("https://globaldossier.uspto.gov/result/application/US/17302700/1","US20210350929")</f>
        <v>0.0</v>
      </c>
      <c r="M1491" t="s">
        <v>10291</v>
      </c>
      <c r="N1491" t="s">
        <v>9879</v>
      </c>
      <c r="O1491" t="s">
        <v>9880</v>
      </c>
      <c r="P1491" t="s">
        <v>10292</v>
      </c>
      <c r="Q1491" s="3" t="n">
        <v>44327.0</v>
      </c>
      <c r="R1491" s="3" t="n">
        <v>44511.0</v>
      </c>
      <c r="S1491" s="3" t="n">
        <v>44517.19096959491</v>
      </c>
      <c r="T1491" s="3" t="n">
        <v>44518.41169892361</v>
      </c>
      <c r="U1491" t="s">
        <v>10293</v>
      </c>
      <c r="V1491" t="s">
        <v>10294</v>
      </c>
    </row>
    <row r="1492">
      <c r="A1492" t="s">
        <v>22</v>
      </c>
      <c r="B1492" t="s">
        <v>10295</v>
      </c>
      <c r="C1492" t="s">
        <v>24</v>
      </c>
      <c r="D1492" t="s">
        <v>51</v>
      </c>
      <c r="E1492" t="s">
        <v>10296</v>
      </c>
      <c r="F1492" s="2" t="n">
        <f>HYPERLINK("https://patents.google.com/patent/US20210350883","Google")</f>
        <v>0.0</v>
      </c>
      <c r="G1492" s="2" t="n">
        <f>HYPERLINK("https://patentcenter.uspto.gov/applications/16868031","Patent Center")</f>
        <v>0.0</v>
      </c>
      <c r="H1492" s="2" t="n">
        <f>HYPERLINK("https://worldwide.espacenet.com/patent/search?q=US20210350883","Espacenet")</f>
        <v>0.0</v>
      </c>
      <c r="I1492" s="2" t="n">
        <f>HYPERLINK("https://ppubs.uspto.gov/pubwebapp/external.html?q=20210350883.pn.","USPTO")</f>
        <v>0.0</v>
      </c>
      <c r="J1492" s="2" t="n">
        <f>HYPERLINK("https://image-ppubs.uspto.gov/dirsearch-public/print/downloadPdf/20210350883","USPTO PDF")</f>
        <v>0.0</v>
      </c>
      <c r="K1492" s="2" t="n">
        <f>HYPERLINK("https://sectors.patentforecast.com/pmd/US20210350883","PMD")</f>
        <v>0.0</v>
      </c>
      <c r="L1492" s="2" t="n">
        <f>HYPERLINK("https://globaldossier.uspto.gov/result/application/US/16868031/1","US20210350883")</f>
        <v>0.0</v>
      </c>
      <c r="M1492" t="s">
        <v>10297</v>
      </c>
      <c r="N1492" t="s">
        <v>10298</v>
      </c>
      <c r="O1492" t="s">
        <v>10299</v>
      </c>
      <c r="P1492" t="s">
        <v>10300</v>
      </c>
      <c r="Q1492" s="3" t="n">
        <v>43957.0</v>
      </c>
      <c r="R1492" s="3" t="n">
        <v>44511.0</v>
      </c>
      <c r="S1492" s="3" t="n">
        <v>44517.1890081713</v>
      </c>
      <c r="T1492" s="3" t="n">
        <v>44518.423222997684</v>
      </c>
      <c r="U1492" t="s">
        <v>10301</v>
      </c>
      <c r="V1492" t="s">
        <v>10302</v>
      </c>
    </row>
    <row r="1493">
      <c r="A1493" t="s">
        <v>22</v>
      </c>
      <c r="B1493" t="s">
        <v>10303</v>
      </c>
      <c r="C1493" t="s">
        <v>24</v>
      </c>
      <c r="D1493" t="s">
        <v>25</v>
      </c>
      <c r="E1493" t="s">
        <v>10304</v>
      </c>
      <c r="F1493" s="2" t="n">
        <f>HYPERLINK("https://patents.google.com/patent/US20210350877","Google")</f>
        <v>0.0</v>
      </c>
      <c r="G1493" s="2" t="n">
        <f>HYPERLINK("https://patentcenter.uspto.gov/applications/17313707","Patent Center")</f>
        <v>0.0</v>
      </c>
      <c r="H1493" s="2" t="n">
        <f>HYPERLINK("https://worldwide.espacenet.com/patent/search?q=US20210350877","Espacenet")</f>
        <v>0.0</v>
      </c>
      <c r="I1493" s="2" t="n">
        <f>HYPERLINK("https://ppubs.uspto.gov/pubwebapp/external.html?q=20210350877.pn.","USPTO")</f>
        <v>0.0</v>
      </c>
      <c r="J1493" s="2" t="n">
        <f>HYPERLINK("https://image-ppubs.uspto.gov/dirsearch-public/print/downloadPdf/20210350877","USPTO PDF")</f>
        <v>0.0</v>
      </c>
      <c r="K1493" s="2" t="n">
        <f>HYPERLINK("https://sectors.patentforecast.com/pmd/US20210350877","PMD")</f>
        <v>0.0</v>
      </c>
      <c r="L1493" s="2" t="n">
        <f>HYPERLINK("https://globaldossier.uspto.gov/result/application/US/17313707/1","US20210350877")</f>
        <v>0.0</v>
      </c>
      <c r="M1493" t="s">
        <v>10305</v>
      </c>
      <c r="N1493" t="s">
        <v>979</v>
      </c>
      <c r="O1493" t="s">
        <v>980</v>
      </c>
      <c r="P1493" t="s">
        <v>10306</v>
      </c>
      <c r="Q1493" s="3" t="n">
        <v>44322.0</v>
      </c>
      <c r="R1493" s="3" t="n">
        <v>44511.0</v>
      </c>
      <c r="S1493" s="3" t="n">
        <v>44517.1890081713</v>
      </c>
      <c r="T1493" s="3" t="n">
        <v>44518.40656084491</v>
      </c>
      <c r="U1493" t="s">
        <v>10307</v>
      </c>
      <c r="V1493" t="s">
        <v>10308</v>
      </c>
    </row>
    <row r="1494">
      <c r="A1494" t="s">
        <v>22</v>
      </c>
      <c r="B1494" t="s">
        <v>10309</v>
      </c>
      <c r="C1494" t="s">
        <v>24</v>
      </c>
      <c r="D1494" t="s">
        <v>34</v>
      </c>
      <c r="E1494" t="s">
        <v>10310</v>
      </c>
      <c r="F1494" s="2" t="n">
        <f>HYPERLINK("https://patents.google.com/patent/US20210350873","Google")</f>
        <v>0.0</v>
      </c>
      <c r="G1494" s="2" t="n">
        <f>HYPERLINK("https://patentcenter.uspto.gov/applications/17314513","Patent Center")</f>
        <v>0.0</v>
      </c>
      <c r="H1494" s="2" t="n">
        <f>HYPERLINK("https://worldwide.espacenet.com/patent/search?q=US20210350873","Espacenet")</f>
        <v>0.0</v>
      </c>
      <c r="I1494" s="2" t="n">
        <f>HYPERLINK("https://ppubs.uspto.gov/pubwebapp/external.html?q=20210350873.pn.","USPTO")</f>
        <v>0.0</v>
      </c>
      <c r="J1494" s="2" t="n">
        <f>HYPERLINK("https://image-ppubs.uspto.gov/dirsearch-public/print/downloadPdf/20210350873","USPTO PDF")</f>
        <v>0.0</v>
      </c>
      <c r="K1494" s="2" t="n">
        <f>HYPERLINK("https://sectors.patentforecast.com/pmd/US20210350873","PMD")</f>
        <v>0.0</v>
      </c>
      <c r="L1494" s="2" t="n">
        <f>HYPERLINK("https://globaldossier.uspto.gov/result/application/US/17314513/1","US20210350873")</f>
        <v>0.0</v>
      </c>
      <c r="M1494" t="s">
        <v>10311</v>
      </c>
      <c r="N1494" t="s">
        <v>10312</v>
      </c>
      <c r="O1494" t="s">
        <v>10313</v>
      </c>
      <c r="P1494" t="s">
        <v>10314</v>
      </c>
      <c r="Q1494" s="3" t="n">
        <v>44323.0</v>
      </c>
      <c r="R1494" s="3" t="n">
        <v>44511.0</v>
      </c>
      <c r="S1494" s="3" t="n">
        <v>44519.190300347225</v>
      </c>
      <c r="T1494" s="3" t="n">
        <v>44523.62519893519</v>
      </c>
      <c r="U1494" t="s">
        <v>10315</v>
      </c>
      <c r="V1494" t="s">
        <v>10316</v>
      </c>
    </row>
    <row r="1495">
      <c r="A1495" t="s">
        <v>22</v>
      </c>
      <c r="B1495" t="s">
        <v>10317</v>
      </c>
      <c r="C1495" t="s">
        <v>24</v>
      </c>
      <c r="D1495" t="s">
        <v>43</v>
      </c>
      <c r="E1495" t="s">
        <v>10318</v>
      </c>
      <c r="F1495" s="2" t="n">
        <f>HYPERLINK("https://patents.google.com/patent/US20210350686","Google")</f>
        <v>0.0</v>
      </c>
      <c r="G1495" s="2" t="n">
        <f>HYPERLINK("https://patentcenter.uspto.gov/applications/17316626","Patent Center")</f>
        <v>0.0</v>
      </c>
      <c r="H1495" s="2" t="n">
        <f>HYPERLINK("https://worldwide.espacenet.com/patent/search?q=US20210350686","Espacenet")</f>
        <v>0.0</v>
      </c>
      <c r="I1495" s="2" t="n">
        <f>HYPERLINK("https://ppubs.uspto.gov/pubwebapp/external.html?q=20210350686.pn.","USPTO")</f>
        <v>0.0</v>
      </c>
      <c r="J1495" s="2" t="n">
        <f>HYPERLINK("https://image-ppubs.uspto.gov/dirsearch-public/print/downloadPdf/20210350686","USPTO PDF")</f>
        <v>0.0</v>
      </c>
      <c r="K1495" s="2" t="n">
        <f>HYPERLINK("https://sectors.patentforecast.com/pmd/US20210350686","PMD")</f>
        <v>0.0</v>
      </c>
      <c r="L1495" s="2" t="n">
        <f>HYPERLINK("https://globaldossier.uspto.gov/result/application/US/17316626/1","US20210350686")</f>
        <v>0.0</v>
      </c>
      <c r="M1495" t="s">
        <v>10319</v>
      </c>
      <c r="N1495" t="s">
        <v>10320</v>
      </c>
      <c r="O1495" t="s">
        <v>10321</v>
      </c>
      <c r="P1495" t="s">
        <v>10322</v>
      </c>
      <c r="Q1495" s="3" t="n">
        <v>44326.0</v>
      </c>
      <c r="R1495" s="3" t="n">
        <v>44511.0</v>
      </c>
      <c r="S1495" s="3" t="n">
        <v>44517.1890081713</v>
      </c>
      <c r="T1495" s="3" t="n">
        <v>44518.41795872685</v>
      </c>
      <c r="U1495" t="s">
        <v>10323</v>
      </c>
      <c r="V1495" t="s">
        <v>10324</v>
      </c>
    </row>
    <row r="1496">
      <c r="A1496" t="s">
        <v>22</v>
      </c>
      <c r="B1496" t="s">
        <v>10325</v>
      </c>
      <c r="C1496" t="s">
        <v>24</v>
      </c>
      <c r="D1496" t="s">
        <v>204</v>
      </c>
      <c r="E1496" t="s">
        <v>10326</v>
      </c>
      <c r="F1496" s="2" t="n">
        <f>HYPERLINK("https://patents.google.com/patent/US20210350649","Google")</f>
        <v>0.0</v>
      </c>
      <c r="G1496" s="2" t="n">
        <f>HYPERLINK("https://patentcenter.uspto.gov/applications/17320481","Patent Center")</f>
        <v>0.0</v>
      </c>
      <c r="H1496" s="2" t="n">
        <f>HYPERLINK("https://worldwide.espacenet.com/patent/search?q=US20210350649","Espacenet")</f>
        <v>0.0</v>
      </c>
      <c r="I1496" s="2" t="n">
        <f>HYPERLINK("https://ppubs.uspto.gov/pubwebapp/external.html?q=20210350649.pn.","USPTO")</f>
        <v>0.0</v>
      </c>
      <c r="J1496" s="2" t="n">
        <f>HYPERLINK("https://image-ppubs.uspto.gov/dirsearch-public/print/downloadPdf/20210350649","USPTO PDF")</f>
        <v>0.0</v>
      </c>
      <c r="K1496" s="2" t="n">
        <f>HYPERLINK("https://sectors.patentforecast.com/pmd/US20210350649","PMD")</f>
        <v>0.0</v>
      </c>
      <c r="L1496" s="2" t="n">
        <f>HYPERLINK("https://globaldossier.uspto.gov/result/application/US/17320481/1","US20210350649")</f>
        <v>0.0</v>
      </c>
      <c r="M1496" t="s">
        <v>10327</v>
      </c>
      <c r="N1496" t="s">
        <v>10328</v>
      </c>
      <c r="O1496" t="s">
        <v>10329</v>
      </c>
      <c r="P1496" t="s">
        <v>10330</v>
      </c>
      <c r="Q1496" s="3" t="n">
        <v>44330.0</v>
      </c>
      <c r="R1496" s="3" t="n">
        <v>44511.0</v>
      </c>
      <c r="S1496" s="3" t="n">
        <v>44517.1890081713</v>
      </c>
      <c r="T1496" s="3" t="n">
        <v>44518.400604270835</v>
      </c>
      <c r="U1496" t="s">
        <v>10331</v>
      </c>
      <c r="V1496" t="s">
        <v>10332</v>
      </c>
    </row>
    <row r="1497">
      <c r="A1497" t="s">
        <v>22</v>
      </c>
      <c r="B1497" t="s">
        <v>10333</v>
      </c>
      <c r="C1497" t="s">
        <v>24</v>
      </c>
      <c r="D1497" t="s">
        <v>204</v>
      </c>
      <c r="E1497" t="s">
        <v>10334</v>
      </c>
      <c r="F1497" s="2" t="n">
        <f>HYPERLINK("https://patents.google.com/patent/US20210350648","Google")</f>
        <v>0.0</v>
      </c>
      <c r="G1497" s="2" t="n">
        <f>HYPERLINK("https://patentcenter.uspto.gov/applications/16870979","Patent Center")</f>
        <v>0.0</v>
      </c>
      <c r="H1497" s="2" t="n">
        <f>HYPERLINK("https://worldwide.espacenet.com/patent/search?q=US20210350648","Espacenet")</f>
        <v>0.0</v>
      </c>
      <c r="I1497" s="2" t="n">
        <f>HYPERLINK("https://ppubs.uspto.gov/pubwebapp/external.html?q=20210350648.pn.","USPTO")</f>
        <v>0.0</v>
      </c>
      <c r="J1497" s="2" t="n">
        <f>HYPERLINK("https://image-ppubs.uspto.gov/dirsearch-public/print/downloadPdf/20210350648","USPTO PDF")</f>
        <v>0.0</v>
      </c>
      <c r="K1497" s="2" t="n">
        <f>HYPERLINK("https://sectors.patentforecast.com/pmd/US20210350648","PMD")</f>
        <v>0.0</v>
      </c>
      <c r="L1497" s="2" t="n">
        <f>HYPERLINK("https://globaldossier.uspto.gov/result/application/US/16870979/1","US20210350648")</f>
        <v>0.0</v>
      </c>
      <c r="M1497" t="s">
        <v>10335</v>
      </c>
      <c r="N1497" t="s">
        <v>10336</v>
      </c>
      <c r="O1497" t="s">
        <v>10336</v>
      </c>
      <c r="P1497" t="s">
        <v>10337</v>
      </c>
      <c r="Q1497" s="3" t="n">
        <v>43961.0</v>
      </c>
      <c r="R1497" s="3" t="n">
        <v>44511.0</v>
      </c>
      <c r="S1497" s="3" t="n">
        <v>44517.1890081713</v>
      </c>
      <c r="T1497" s="3" t="n">
        <v>44518.36999732639</v>
      </c>
      <c r="U1497" t="s">
        <v>10338</v>
      </c>
      <c r="V1497" t="s">
        <v>10339</v>
      </c>
    </row>
    <row r="1498">
      <c r="A1498" t="s">
        <v>22</v>
      </c>
      <c r="B1498" t="s">
        <v>10340</v>
      </c>
      <c r="C1498" t="s">
        <v>24</v>
      </c>
      <c r="D1498" t="s">
        <v>204</v>
      </c>
      <c r="E1498" t="s">
        <v>10341</v>
      </c>
      <c r="F1498" s="2" t="n">
        <f>HYPERLINK("https://patents.google.com/patent/US20210350490","Google")</f>
        <v>0.0</v>
      </c>
      <c r="G1498" s="2" t="n">
        <f>HYPERLINK("https://patentcenter.uspto.gov/applications/17307878","Patent Center")</f>
        <v>0.0</v>
      </c>
      <c r="H1498" s="2" t="n">
        <f>HYPERLINK("https://worldwide.espacenet.com/patent/search?q=US20210350490","Espacenet")</f>
        <v>0.0</v>
      </c>
      <c r="I1498" s="2" t="n">
        <f>HYPERLINK("https://ppubs.uspto.gov/pubwebapp/external.html?q=20210350490.pn.","USPTO")</f>
        <v>0.0</v>
      </c>
      <c r="J1498" s="2" t="n">
        <f>HYPERLINK("https://image-ppubs.uspto.gov/dirsearch-public/print/downloadPdf/20210350490","USPTO PDF")</f>
        <v>0.0</v>
      </c>
      <c r="K1498" s="2" t="n">
        <f>HYPERLINK("https://sectors.patentforecast.com/pmd/US20210350490","PMD")</f>
        <v>0.0</v>
      </c>
      <c r="L1498" s="2" t="n">
        <f>HYPERLINK("https://globaldossier.uspto.gov/result/application/US/17307878/1","US20210350490")</f>
        <v>0.0</v>
      </c>
      <c r="M1498" t="s">
        <v>10342</v>
      </c>
      <c r="N1498" t="s">
        <v>46</v>
      </c>
      <c r="O1498" t="s">
        <v>47</v>
      </c>
      <c r="P1498" t="s">
        <v>10343</v>
      </c>
      <c r="Q1498" s="3" t="n">
        <v>44320.0</v>
      </c>
      <c r="R1498" s="3" t="n">
        <v>44511.0</v>
      </c>
      <c r="S1498" s="3" t="n">
        <v>44517.19096959491</v>
      </c>
      <c r="T1498" s="3" t="n">
        <v>44518.485357847225</v>
      </c>
      <c r="U1498" t="s">
        <v>10344</v>
      </c>
      <c r="V1498" t="s">
        <v>10345</v>
      </c>
    </row>
    <row r="1499">
      <c r="A1499" t="s">
        <v>22</v>
      </c>
      <c r="B1499" t="s">
        <v>10346</v>
      </c>
      <c r="C1499" t="s">
        <v>24</v>
      </c>
      <c r="D1499" t="s">
        <v>69</v>
      </c>
      <c r="E1499" t="s">
        <v>10347</v>
      </c>
      <c r="F1499" s="2" t="n">
        <f>HYPERLINK("https://patents.google.com/patent/US20210350119","Google")</f>
        <v>0.0</v>
      </c>
      <c r="G1499" s="2" t="n">
        <f>HYPERLINK("https://patentcenter.uspto.gov/applications/16867651","Patent Center")</f>
        <v>0.0</v>
      </c>
      <c r="H1499" s="2" t="n">
        <f>HYPERLINK("https://worldwide.espacenet.com/patent/search?q=US20210350119","Espacenet")</f>
        <v>0.0</v>
      </c>
      <c r="I1499" s="2" t="n">
        <f>HYPERLINK("https://ppubs.uspto.gov/pubwebapp/external.html?q=20210350119.pn.","USPTO")</f>
        <v>0.0</v>
      </c>
      <c r="J1499" s="2" t="n">
        <f>HYPERLINK("https://image-ppubs.uspto.gov/dirsearch-public/print/downloadPdf/20210350119","USPTO PDF")</f>
        <v>0.0</v>
      </c>
      <c r="K1499" s="2" t="n">
        <f>HYPERLINK("https://sectors.patentforecast.com/pmd/US20210350119","PMD")</f>
        <v>0.0</v>
      </c>
      <c r="L1499" s="2" t="n">
        <f>HYPERLINK("https://globaldossier.uspto.gov/result/application/US/16867651/1","US20210350119")</f>
        <v>0.0</v>
      </c>
      <c r="M1499" t="s">
        <v>10348</v>
      </c>
      <c r="N1499" t="s">
        <v>1384</v>
      </c>
      <c r="O1499" t="s">
        <v>1385</v>
      </c>
      <c r="P1499" t="s">
        <v>10349</v>
      </c>
      <c r="Q1499" s="3" t="n">
        <v>43957.0</v>
      </c>
      <c r="R1499" s="3" t="n">
        <v>44511.0</v>
      </c>
      <c r="S1499" s="3" t="n">
        <v>44517.1890081713</v>
      </c>
      <c r="T1499" s="3" t="n">
        <v>44672.316621956015</v>
      </c>
      <c r="U1499" t="s">
        <v>10350</v>
      </c>
      <c r="V1499" t="s">
        <v>10351</v>
      </c>
    </row>
    <row r="1500">
      <c r="A1500" t="s">
        <v>22</v>
      </c>
      <c r="B1500" t="s">
        <v>10352</v>
      </c>
      <c r="C1500" t="s">
        <v>24</v>
      </c>
      <c r="D1500" t="s">
        <v>34</v>
      </c>
      <c r="E1500" t="s">
        <v>10353</v>
      </c>
      <c r="F1500" s="2" t="n">
        <f>HYPERLINK("https://patents.google.com/patent/US20210349169","Google")</f>
        <v>0.0</v>
      </c>
      <c r="G1500" s="2" t="n">
        <f>HYPERLINK("https://patentcenter.uspto.gov/applications/17308266","Patent Center")</f>
        <v>0.0</v>
      </c>
      <c r="H1500" s="2" t="n">
        <f>HYPERLINK("https://worldwide.espacenet.com/patent/search?q=US20210349169","Espacenet")</f>
        <v>0.0</v>
      </c>
      <c r="I1500" s="2" t="n">
        <f>HYPERLINK("https://ppubs.uspto.gov/pubwebapp/external.html?q=20210349169.pn.","USPTO")</f>
        <v>0.0</v>
      </c>
      <c r="J1500" s="2" t="n">
        <f>HYPERLINK("https://image-ppubs.uspto.gov/dirsearch-public/print/downloadPdf/20210349169","USPTO PDF")</f>
        <v>0.0</v>
      </c>
      <c r="K1500" s="2" t="n">
        <f>HYPERLINK("https://sectors.patentforecast.com/pmd/US20210349169","PMD")</f>
        <v>0.0</v>
      </c>
      <c r="L1500" s="2" t="n">
        <f>HYPERLINK("https://globaldossier.uspto.gov/result/application/US/17308266/1","US20210349169")</f>
        <v>0.0</v>
      </c>
      <c r="M1500" t="s">
        <v>10354</v>
      </c>
      <c r="N1500" t="s">
        <v>10355</v>
      </c>
      <c r="O1500" t="s">
        <v>10356</v>
      </c>
      <c r="P1500" t="s">
        <v>10357</v>
      </c>
      <c r="Q1500" s="3" t="n">
        <v>44321.0</v>
      </c>
      <c r="R1500" s="3" t="n">
        <v>44511.0</v>
      </c>
      <c r="S1500" s="3" t="n">
        <v>44517.1890081713</v>
      </c>
      <c r="T1500" s="3" t="n">
        <v>44518.40735221065</v>
      </c>
      <c r="U1500" t="s">
        <v>10358</v>
      </c>
      <c r="V1500" t="s">
        <v>10359</v>
      </c>
    </row>
    <row r="1501">
      <c r="A1501" t="s">
        <v>22</v>
      </c>
      <c r="B1501" t="s">
        <v>10360</v>
      </c>
      <c r="C1501" t="s">
        <v>24</v>
      </c>
      <c r="D1501" t="s">
        <v>34</v>
      </c>
      <c r="E1501" t="s">
        <v>10361</v>
      </c>
      <c r="F1501" s="2" t="n">
        <f>HYPERLINK("https://patents.google.com/patent/US20210349106","Google")</f>
        <v>0.0</v>
      </c>
      <c r="G1501" s="2" t="n">
        <f>HYPERLINK("https://patentcenter.uspto.gov/applications/17315055","Patent Center")</f>
        <v>0.0</v>
      </c>
      <c r="H1501" s="2" t="n">
        <f>HYPERLINK("https://worldwide.espacenet.com/patent/search?q=US20210349106","Espacenet")</f>
        <v>0.0</v>
      </c>
      <c r="I1501" s="2" t="n">
        <f>HYPERLINK("https://ppubs.uspto.gov/pubwebapp/external.html?q=20210349106.pn.","USPTO")</f>
        <v>0.0</v>
      </c>
      <c r="J1501" s="2" t="n">
        <f>HYPERLINK("https://image-ppubs.uspto.gov/dirsearch-public/print/downloadPdf/20210349106","USPTO PDF")</f>
        <v>0.0</v>
      </c>
      <c r="K1501" s="2" t="n">
        <f>HYPERLINK("https://sectors.patentforecast.com/pmd/US20210349106","PMD")</f>
        <v>0.0</v>
      </c>
      <c r="L1501" s="2" t="n">
        <f>HYPERLINK("https://globaldossier.uspto.gov/result/application/US/17315055/1","US20210349106")</f>
        <v>0.0</v>
      </c>
      <c r="M1501" t="s">
        <v>10362</v>
      </c>
      <c r="N1501" t="s">
        <v>10363</v>
      </c>
      <c r="O1501" t="s">
        <v>10364</v>
      </c>
      <c r="P1501" t="s">
        <v>10365</v>
      </c>
      <c r="Q1501" s="3" t="n">
        <v>44323.0</v>
      </c>
      <c r="R1501" s="3" t="n">
        <v>44511.0</v>
      </c>
      <c r="S1501" s="3" t="n">
        <v>44517.1890081713</v>
      </c>
      <c r="T1501" s="3" t="n">
        <v>44518.39011284722</v>
      </c>
      <c r="U1501" t="s">
        <v>10366</v>
      </c>
      <c r="V1501" t="s">
        <v>10367</v>
      </c>
    </row>
    <row r="1502">
      <c r="A1502" t="s">
        <v>22</v>
      </c>
      <c r="B1502" t="s">
        <v>10368</v>
      </c>
      <c r="C1502" t="s">
        <v>24</v>
      </c>
      <c r="D1502" t="s">
        <v>51</v>
      </c>
      <c r="E1502" t="s">
        <v>10369</v>
      </c>
      <c r="F1502" s="2" t="n">
        <f>HYPERLINK("https://patents.google.com/patent/US20210349105","Google")</f>
        <v>0.0</v>
      </c>
      <c r="G1502" s="2" t="n">
        <f>HYPERLINK("https://patentcenter.uspto.gov/applications/17314376","Patent Center")</f>
        <v>0.0</v>
      </c>
      <c r="H1502" s="2" t="n">
        <f>HYPERLINK("https://worldwide.espacenet.com/patent/search?q=US20210349105","Espacenet")</f>
        <v>0.0</v>
      </c>
      <c r="I1502" s="2" t="n">
        <f>HYPERLINK("https://ppubs.uspto.gov/pubwebapp/external.html?q=20210349105.pn.","USPTO")</f>
        <v>0.0</v>
      </c>
      <c r="J1502" s="2" t="n">
        <f>HYPERLINK("https://image-ppubs.uspto.gov/dirsearch-public/print/downloadPdf/20210349105","USPTO PDF")</f>
        <v>0.0</v>
      </c>
      <c r="K1502" s="2" t="n">
        <f>HYPERLINK("https://sectors.patentforecast.com/pmd/US20210349105","PMD")</f>
        <v>0.0</v>
      </c>
      <c r="L1502" s="2" t="n">
        <f>HYPERLINK("https://globaldossier.uspto.gov/result/application/US/17314376/1","US20210349105")</f>
        <v>0.0</v>
      </c>
      <c r="M1502" t="s">
        <v>10370</v>
      </c>
      <c r="N1502" t="s">
        <v>2103</v>
      </c>
      <c r="O1502" t="s">
        <v>2104</v>
      </c>
      <c r="P1502" t="s">
        <v>10371</v>
      </c>
      <c r="Q1502" s="3" t="n">
        <v>44323.0</v>
      </c>
      <c r="R1502" s="3" t="n">
        <v>44511.0</v>
      </c>
      <c r="S1502" s="3" t="n">
        <v>44517.1890081713</v>
      </c>
      <c r="T1502" s="3" t="n">
        <v>44518.4069000463</v>
      </c>
      <c r="U1502" t="s">
        <v>10372</v>
      </c>
      <c r="V1502" t="s">
        <v>10373</v>
      </c>
    </row>
    <row r="1503">
      <c r="A1503" t="s">
        <v>22</v>
      </c>
      <c r="B1503" t="s">
        <v>10374</v>
      </c>
      <c r="C1503" t="s">
        <v>24</v>
      </c>
      <c r="D1503" t="s">
        <v>51</v>
      </c>
      <c r="E1503" t="s">
        <v>10375</v>
      </c>
      <c r="F1503" s="2" t="n">
        <f>HYPERLINK("https://patents.google.com/patent/US20210349104","Google")</f>
        <v>0.0</v>
      </c>
      <c r="G1503" s="2" t="n">
        <f>HYPERLINK("https://patentcenter.uspto.gov/applications/17246364","Patent Center")</f>
        <v>0.0</v>
      </c>
      <c r="H1503" s="2" t="n">
        <f>HYPERLINK("https://worldwide.espacenet.com/patent/search?q=US20210349104","Espacenet")</f>
        <v>0.0</v>
      </c>
      <c r="I1503" s="2" t="n">
        <f>HYPERLINK("https://ppubs.uspto.gov/pubwebapp/external.html?q=20210349104.pn.","USPTO")</f>
        <v>0.0</v>
      </c>
      <c r="J1503" s="2" t="n">
        <f>HYPERLINK("https://image-ppubs.uspto.gov/dirsearch-public/print/downloadPdf/20210349104","USPTO PDF")</f>
        <v>0.0</v>
      </c>
      <c r="K1503" s="2" t="n">
        <f>HYPERLINK("https://sectors.patentforecast.com/pmd/US20210349104","PMD")</f>
        <v>0.0</v>
      </c>
      <c r="L1503" s="2" t="n">
        <f>HYPERLINK("https://globaldossier.uspto.gov/result/application/US/17246364/1","US20210349104")</f>
        <v>0.0</v>
      </c>
      <c r="M1503" t="s">
        <v>10376</v>
      </c>
      <c r="N1503" t="s">
        <v>10377</v>
      </c>
      <c r="O1503" t="s">
        <v>10378</v>
      </c>
      <c r="P1503" t="s">
        <v>10379</v>
      </c>
      <c r="Q1503" s="3" t="n">
        <v>44316.0</v>
      </c>
      <c r="R1503" s="3" t="n">
        <v>44511.0</v>
      </c>
      <c r="S1503" s="3" t="n">
        <v>44517.1890081713</v>
      </c>
      <c r="T1503" s="3" t="n">
        <v>44518.425911701386</v>
      </c>
      <c r="U1503" t="s">
        <v>10380</v>
      </c>
      <c r="V1503" t="s">
        <v>8071</v>
      </c>
    </row>
    <row r="1504">
      <c r="A1504" t="s">
        <v>22</v>
      </c>
      <c r="B1504" t="s">
        <v>10381</v>
      </c>
      <c r="C1504" t="s">
        <v>24</v>
      </c>
      <c r="D1504" t="s">
        <v>51</v>
      </c>
      <c r="E1504" t="s">
        <v>10382</v>
      </c>
      <c r="F1504" s="2" t="n">
        <f>HYPERLINK("https://patents.google.com/patent/US20210349090","Google")</f>
        <v>0.0</v>
      </c>
      <c r="G1504" s="2" t="n">
        <f>HYPERLINK("https://patentcenter.uspto.gov/applications/16867750","Patent Center")</f>
        <v>0.0</v>
      </c>
      <c r="H1504" s="2" t="n">
        <f>HYPERLINK("https://worldwide.espacenet.com/patent/search?q=US20210349090","Espacenet")</f>
        <v>0.0</v>
      </c>
      <c r="I1504" s="2" t="n">
        <f>HYPERLINK("https://ppubs.uspto.gov/pubwebapp/external.html?q=20210349090.pn.","USPTO")</f>
        <v>0.0</v>
      </c>
      <c r="J1504" s="2" t="n">
        <f>HYPERLINK("https://image-ppubs.uspto.gov/dirsearch-public/print/downloadPdf/20210349090","USPTO PDF")</f>
        <v>0.0</v>
      </c>
      <c r="K1504" s="2" t="n">
        <f>HYPERLINK("https://sectors.patentforecast.com/pmd/US20210349090","PMD")</f>
        <v>0.0</v>
      </c>
      <c r="L1504" s="2" t="n">
        <f>HYPERLINK("https://globaldossier.uspto.gov/result/application/US/16867750/1","US20210349090")</f>
        <v>0.0</v>
      </c>
      <c r="M1504" t="s">
        <v>10383</v>
      </c>
      <c r="N1504" t="s">
        <v>5274</v>
      </c>
      <c r="O1504" t="s">
        <v>5275</v>
      </c>
      <c r="P1504" t="s">
        <v>10384</v>
      </c>
      <c r="Q1504" s="3" t="n">
        <v>43957.0</v>
      </c>
      <c r="R1504" s="3" t="n">
        <v>44511.0</v>
      </c>
      <c r="S1504" s="3" t="n">
        <v>44517.1890081713</v>
      </c>
      <c r="T1504" s="3" t="n">
        <v>44518.48517817129</v>
      </c>
      <c r="U1504" t="s">
        <v>10385</v>
      </c>
      <c r="V1504" t="s">
        <v>10386</v>
      </c>
    </row>
    <row r="1505">
      <c r="A1505" t="s">
        <v>22</v>
      </c>
      <c r="B1505" t="s">
        <v>10387</v>
      </c>
      <c r="C1505" t="s">
        <v>24</v>
      </c>
      <c r="D1505" t="s">
        <v>51</v>
      </c>
      <c r="E1505" t="s">
        <v>10388</v>
      </c>
      <c r="F1505" s="2" t="n">
        <f>HYPERLINK("https://patents.google.com/patent/US20210349083","Google")</f>
        <v>0.0</v>
      </c>
      <c r="G1505" s="2" t="n">
        <f>HYPERLINK("https://patentcenter.uspto.gov/applications/17316363","Patent Center")</f>
        <v>0.0</v>
      </c>
      <c r="H1505" s="2" t="n">
        <f>HYPERLINK("https://worldwide.espacenet.com/patent/search?q=US20210349083","Espacenet")</f>
        <v>0.0</v>
      </c>
      <c r="I1505" s="2" t="n">
        <f>HYPERLINK("https://ppubs.uspto.gov/pubwebapp/external.html?q=20210349083.pn.","USPTO")</f>
        <v>0.0</v>
      </c>
      <c r="J1505" s="2" t="n">
        <f>HYPERLINK("https://image-ppubs.uspto.gov/dirsearch-public/print/downloadPdf/20210349083","USPTO PDF")</f>
        <v>0.0</v>
      </c>
      <c r="K1505" s="2" t="n">
        <f>HYPERLINK("https://sectors.patentforecast.com/pmd/US20210349083","PMD")</f>
        <v>0.0</v>
      </c>
      <c r="L1505" s="2" t="n">
        <f>HYPERLINK("https://globaldossier.uspto.gov/result/application/US/17316363/1","US20210349083")</f>
        <v>0.0</v>
      </c>
      <c r="M1505" t="s">
        <v>10389</v>
      </c>
      <c r="N1505" t="s">
        <v>10390</v>
      </c>
      <c r="O1505" t="s">
        <v>10391</v>
      </c>
      <c r="P1505" t="s">
        <v>10392</v>
      </c>
      <c r="Q1505" s="3" t="n">
        <v>44326.0</v>
      </c>
      <c r="R1505" s="3" t="n">
        <v>44511.0</v>
      </c>
      <c r="S1505" s="3" t="n">
        <v>44517.1890081713</v>
      </c>
      <c r="T1505" s="3" t="n">
        <v>44518.411221469905</v>
      </c>
      <c r="U1505" t="s">
        <v>10393</v>
      </c>
      <c r="V1505" t="s">
        <v>10394</v>
      </c>
    </row>
    <row r="1506">
      <c r="A1506" t="s">
        <v>22</v>
      </c>
      <c r="B1506" t="s">
        <v>10395</v>
      </c>
      <c r="C1506" t="s">
        <v>24</v>
      </c>
      <c r="D1506" t="s">
        <v>25</v>
      </c>
      <c r="E1506" t="s">
        <v>10396</v>
      </c>
      <c r="F1506" s="2" t="n">
        <f>HYPERLINK("https://patents.google.com/patent/US20210349081","Google")</f>
        <v>0.0</v>
      </c>
      <c r="G1506" s="2" t="n">
        <f>HYPERLINK("https://patentcenter.uspto.gov/applications/17314799","Patent Center")</f>
        <v>0.0</v>
      </c>
      <c r="H1506" s="2" t="n">
        <f>HYPERLINK("https://worldwide.espacenet.com/patent/search?q=US20210349081","Espacenet")</f>
        <v>0.0</v>
      </c>
      <c r="I1506" s="2" t="n">
        <f>HYPERLINK("https://ppubs.uspto.gov/pubwebapp/external.html?q=20210349081.pn.","USPTO")</f>
        <v>0.0</v>
      </c>
      <c r="J1506" s="2" t="n">
        <f>HYPERLINK("https://image-ppubs.uspto.gov/dirsearch-public/print/downloadPdf/20210349081","USPTO PDF")</f>
        <v>0.0</v>
      </c>
      <c r="K1506" s="2" t="n">
        <f>HYPERLINK("https://sectors.patentforecast.com/pmd/US20210349081","PMD")</f>
        <v>0.0</v>
      </c>
      <c r="L1506" s="2" t="n">
        <f>HYPERLINK("https://globaldossier.uspto.gov/result/application/US/17314799/1","US20210349081")</f>
        <v>0.0</v>
      </c>
      <c r="M1506" t="s">
        <v>10397</v>
      </c>
      <c r="N1506" t="s">
        <v>10398</v>
      </c>
      <c r="O1506" t="s">
        <v>10398</v>
      </c>
      <c r="P1506" t="s">
        <v>10399</v>
      </c>
      <c r="Q1506" s="3" t="n">
        <v>44323.0</v>
      </c>
      <c r="R1506" s="3" t="n">
        <v>44511.0</v>
      </c>
      <c r="S1506" s="3" t="n">
        <v>44517.1890081713</v>
      </c>
      <c r="T1506" s="3" t="n">
        <v>44518.49069501158</v>
      </c>
      <c r="U1506" t="s">
        <v>10400</v>
      </c>
      <c r="V1506" t="s">
        <v>10401</v>
      </c>
    </row>
    <row r="1507">
      <c r="A1507" t="s">
        <v>22</v>
      </c>
      <c r="B1507" t="s">
        <v>10402</v>
      </c>
      <c r="C1507" t="s">
        <v>24</v>
      </c>
      <c r="D1507" t="s">
        <v>25</v>
      </c>
      <c r="E1507" t="s">
        <v>10403</v>
      </c>
      <c r="F1507" s="2" t="n">
        <f>HYPERLINK("https://patents.google.com/patent/US20210349035","Google")</f>
        <v>0.0</v>
      </c>
      <c r="G1507" s="2" t="n">
        <f>HYPERLINK("https://patentcenter.uspto.gov/applications/17314834","Patent Center")</f>
        <v>0.0</v>
      </c>
      <c r="H1507" s="2" t="n">
        <f>HYPERLINK("https://worldwide.espacenet.com/patent/search?q=US20210349035","Espacenet")</f>
        <v>0.0</v>
      </c>
      <c r="I1507" s="2" t="n">
        <f>HYPERLINK("https://ppubs.uspto.gov/pubwebapp/external.html?q=20210349035.pn.","USPTO")</f>
        <v>0.0</v>
      </c>
      <c r="J1507" s="2" t="n">
        <f>HYPERLINK("https://image-ppubs.uspto.gov/dirsearch-public/print/downloadPdf/20210349035","USPTO PDF")</f>
        <v>0.0</v>
      </c>
      <c r="K1507" s="2" t="n">
        <f>HYPERLINK("https://sectors.patentforecast.com/pmd/US20210349035","PMD")</f>
        <v>0.0</v>
      </c>
      <c r="L1507" s="2" t="n">
        <f>HYPERLINK("https://globaldossier.uspto.gov/result/application/US/17314834/1","US20210349035")</f>
        <v>0.0</v>
      </c>
      <c r="M1507" t="s">
        <v>10404</v>
      </c>
      <c r="N1507" t="s">
        <v>10405</v>
      </c>
      <c r="O1507" t="s">
        <v>10406</v>
      </c>
      <c r="P1507" t="s">
        <v>10407</v>
      </c>
      <c r="Q1507" s="3" t="n">
        <v>44323.0</v>
      </c>
      <c r="R1507" s="3" t="n">
        <v>44511.0</v>
      </c>
      <c r="S1507" s="3" t="n">
        <v>44517.1890081713</v>
      </c>
      <c r="T1507" s="3" t="n">
        <v>44518.48414458333</v>
      </c>
      <c r="U1507" t="s">
        <v>10408</v>
      </c>
      <c r="V1507" t="s">
        <v>10409</v>
      </c>
    </row>
    <row r="1508">
      <c r="A1508" t="s">
        <v>22</v>
      </c>
      <c r="B1508" t="s">
        <v>10410</v>
      </c>
      <c r="C1508" t="s">
        <v>24</v>
      </c>
      <c r="D1508" t="s">
        <v>25</v>
      </c>
      <c r="E1508" t="s">
        <v>8073</v>
      </c>
      <c r="F1508" s="2" t="n">
        <f>HYPERLINK("https://patents.google.com/patent/US20210349018","Google")</f>
        <v>0.0</v>
      </c>
      <c r="G1508" s="2" t="n">
        <f>HYPERLINK("https://patentcenter.uspto.gov/applications/17302536","Patent Center")</f>
        <v>0.0</v>
      </c>
      <c r="H1508" s="2" t="n">
        <f>HYPERLINK("https://worldwide.espacenet.com/patent/search?q=US20210349018","Espacenet")</f>
        <v>0.0</v>
      </c>
      <c r="I1508" s="2" t="n">
        <f>HYPERLINK("https://ppubs.uspto.gov/pubwebapp/external.html?q=20210349018.pn.","USPTO")</f>
        <v>0.0</v>
      </c>
      <c r="J1508" s="2" t="n">
        <f>HYPERLINK("https://image-ppubs.uspto.gov/dirsearch-public/print/downloadPdf/20210349018","USPTO PDF")</f>
        <v>0.0</v>
      </c>
      <c r="K1508" s="2" t="n">
        <f>HYPERLINK("https://sectors.patentforecast.com/pmd/US20210349018","PMD")</f>
        <v>0.0</v>
      </c>
      <c r="L1508" s="2" t="n">
        <f>HYPERLINK("https://globaldossier.uspto.gov/result/application/US/17302536/1","US20210349018")</f>
        <v>0.0</v>
      </c>
      <c r="M1508" t="s">
        <v>10411</v>
      </c>
      <c r="N1508" t="s">
        <v>2232</v>
      </c>
      <c r="O1508" t="s">
        <v>2232</v>
      </c>
      <c r="P1508" t="s">
        <v>10412</v>
      </c>
      <c r="Q1508" s="3" t="n">
        <v>44321.0</v>
      </c>
      <c r="R1508" s="3" t="n">
        <v>44511.0</v>
      </c>
      <c r="S1508" s="3" t="n">
        <v>44517.1890081713</v>
      </c>
      <c r="T1508" s="3" t="n">
        <v>44678.367041921294</v>
      </c>
      <c r="U1508" t="s">
        <v>8080</v>
      </c>
      <c r="V1508" t="s">
        <v>8076</v>
      </c>
    </row>
    <row r="1509">
      <c r="A1509" t="s">
        <v>22</v>
      </c>
      <c r="B1509" t="s">
        <v>10413</v>
      </c>
      <c r="C1509" t="s">
        <v>24</v>
      </c>
      <c r="D1509" t="s">
        <v>69</v>
      </c>
      <c r="E1509" t="s">
        <v>10414</v>
      </c>
      <c r="F1509" s="2" t="n">
        <f>HYPERLINK("https://patents.google.com/patent/US20210348784","Google")</f>
        <v>0.0</v>
      </c>
      <c r="G1509" s="2" t="n">
        <f>HYPERLINK("https://patentcenter.uspto.gov/applications/17302669","Patent Center")</f>
        <v>0.0</v>
      </c>
      <c r="H1509" s="2" t="n">
        <f>HYPERLINK("https://worldwide.espacenet.com/patent/search?q=US20210348784","Espacenet")</f>
        <v>0.0</v>
      </c>
      <c r="I1509" s="2" t="n">
        <f>HYPERLINK("https://ppubs.uspto.gov/pubwebapp/external.html?q=20210348784.pn.","USPTO")</f>
        <v>0.0</v>
      </c>
      <c r="J1509" s="2" t="n">
        <f>HYPERLINK("https://image-ppubs.uspto.gov/dirsearch-public/print/downloadPdf/20210348784","USPTO PDF")</f>
        <v>0.0</v>
      </c>
      <c r="K1509" s="2" t="n">
        <f>HYPERLINK("https://sectors.patentforecast.com/pmd/US20210348784","PMD")</f>
        <v>0.0</v>
      </c>
      <c r="L1509" s="2" t="n">
        <f>HYPERLINK("https://globaldossier.uspto.gov/result/application/US/17302669/1","US20210348784")</f>
        <v>0.0</v>
      </c>
      <c r="M1509" t="s">
        <v>10415</v>
      </c>
      <c r="N1509" t="s">
        <v>10416</v>
      </c>
      <c r="O1509" t="s">
        <v>10417</v>
      </c>
      <c r="P1509" t="s">
        <v>10418</v>
      </c>
      <c r="Q1509" s="3" t="n">
        <v>44326.0</v>
      </c>
      <c r="R1509" s="3" t="n">
        <v>44511.0</v>
      </c>
      <c r="S1509" s="3" t="n">
        <v>44517.19826196759</v>
      </c>
      <c r="T1509" s="3" t="n">
        <v>44518.37171792824</v>
      </c>
      <c r="U1509" t="s">
        <v>10419</v>
      </c>
      <c r="V1509" t="s">
        <v>10420</v>
      </c>
    </row>
    <row r="1510">
      <c r="A1510" t="s">
        <v>22</v>
      </c>
      <c r="B1510" t="s">
        <v>10421</v>
      </c>
      <c r="C1510" t="s">
        <v>24</v>
      </c>
      <c r="D1510" t="s">
        <v>100</v>
      </c>
      <c r="E1510" t="s">
        <v>10422</v>
      </c>
      <c r="F1510" s="2" t="n">
        <f>HYPERLINK("https://patents.google.com/patent/US20210348423","Google")</f>
        <v>0.0</v>
      </c>
      <c r="G1510" s="2" t="n">
        <f>HYPERLINK("https://patentcenter.uspto.gov/applications/16871998","Patent Center")</f>
        <v>0.0</v>
      </c>
      <c r="H1510" s="2" t="n">
        <f>HYPERLINK("https://worldwide.espacenet.com/patent/search?q=US20210348423","Espacenet")</f>
        <v>0.0</v>
      </c>
      <c r="I1510" s="2" t="n">
        <f>HYPERLINK("https://ppubs.uspto.gov/pubwebapp/external.html?q=20210348423.pn.","USPTO")</f>
        <v>0.0</v>
      </c>
      <c r="J1510" s="2" t="n">
        <f>HYPERLINK("https://image-ppubs.uspto.gov/dirsearch-public/print/downloadPdf/20210348423","USPTO PDF")</f>
        <v>0.0</v>
      </c>
      <c r="K1510" s="2" t="n">
        <f>HYPERLINK("https://sectors.patentforecast.com/pmd/US20210348423","PMD")</f>
        <v>0.0</v>
      </c>
      <c r="L1510" s="2" t="n">
        <f>HYPERLINK("https://globaldossier.uspto.gov/result/application/US/16871998/1","US20210348423")</f>
        <v>0.0</v>
      </c>
      <c r="M1510" t="s">
        <v>10423</v>
      </c>
      <c r="N1510" t="s">
        <v>10424</v>
      </c>
      <c r="O1510" t="s">
        <v>10425</v>
      </c>
      <c r="P1510" t="s">
        <v>10426</v>
      </c>
      <c r="Q1510" s="3" t="n">
        <v>43962.0</v>
      </c>
      <c r="R1510" s="3" t="n">
        <v>44511.0</v>
      </c>
      <c r="S1510" s="3" t="n">
        <v>44517.1890081713</v>
      </c>
      <c r="T1510" s="3" t="n">
        <v>44518.372203113424</v>
      </c>
      <c r="U1510" t="s">
        <v>10427</v>
      </c>
      <c r="V1510" t="s">
        <v>10428</v>
      </c>
    </row>
    <row r="1511">
      <c r="A1511" t="s">
        <v>22</v>
      </c>
      <c r="B1511" t="s">
        <v>10429</v>
      </c>
      <c r="C1511" t="s">
        <v>24</v>
      </c>
      <c r="D1511" t="s">
        <v>51</v>
      </c>
      <c r="E1511" t="s">
        <v>10430</v>
      </c>
      <c r="F1511" s="2" t="n">
        <f>HYPERLINK("https://patents.google.com/patent/US20210348243","Google")</f>
        <v>0.0</v>
      </c>
      <c r="G1511" s="2" t="n">
        <f>HYPERLINK("https://patentcenter.uspto.gov/applications/17206020","Patent Center")</f>
        <v>0.0</v>
      </c>
      <c r="H1511" s="2" t="n">
        <f>HYPERLINK("https://worldwide.espacenet.com/patent/search?q=US20210348243","Espacenet")</f>
        <v>0.0</v>
      </c>
      <c r="I1511" s="2" t="n">
        <f>HYPERLINK("https://ppubs.uspto.gov/pubwebapp/external.html?q=20210348243.pn.","USPTO")</f>
        <v>0.0</v>
      </c>
      <c r="J1511" s="2" t="n">
        <f>HYPERLINK("https://image-ppubs.uspto.gov/dirsearch-public/print/downloadPdf/20210348243","USPTO PDF")</f>
        <v>0.0</v>
      </c>
      <c r="K1511" s="2" t="n">
        <f>HYPERLINK("https://sectors.patentforecast.com/pmd/US20210348243","PMD")</f>
        <v>0.0</v>
      </c>
      <c r="L1511" s="2" t="n">
        <f>HYPERLINK("https://globaldossier.uspto.gov/result/application/US/17206020/1","US20210348243")</f>
        <v>0.0</v>
      </c>
      <c r="M1511" t="s">
        <v>10431</v>
      </c>
      <c r="N1511" t="s">
        <v>2354</v>
      </c>
      <c r="O1511" t="s">
        <v>2355</v>
      </c>
      <c r="P1511" t="s">
        <v>10432</v>
      </c>
      <c r="Q1511" s="3" t="n">
        <v>44273.0</v>
      </c>
      <c r="R1511" s="3" t="n">
        <v>44511.0</v>
      </c>
      <c r="S1511" s="3" t="n">
        <v>44517.1890081713</v>
      </c>
      <c r="T1511" s="3" t="n">
        <v>44518.412653611114</v>
      </c>
      <c r="U1511" t="s">
        <v>10433</v>
      </c>
      <c r="V1511" t="s">
        <v>10434</v>
      </c>
    </row>
    <row r="1512">
      <c r="A1512" t="s">
        <v>22</v>
      </c>
      <c r="B1512" t="s">
        <v>10435</v>
      </c>
      <c r="C1512" t="s">
        <v>60</v>
      </c>
      <c r="D1512" t="s">
        <v>61</v>
      </c>
      <c r="E1512" t="s">
        <v>10436</v>
      </c>
      <c r="F1512" s="2" t="n">
        <f>HYPERLINK("https://patents.google.com/patent/US20210348167","Google")</f>
        <v>0.0</v>
      </c>
      <c r="G1512" s="2" t="n">
        <f>HYPERLINK("https://patentcenter.uspto.gov/applications/17245682","Patent Center")</f>
        <v>0.0</v>
      </c>
      <c r="H1512" s="2" t="n">
        <f>HYPERLINK("https://worldwide.espacenet.com/patent/search?q=US20210348167","Espacenet")</f>
        <v>0.0</v>
      </c>
      <c r="I1512" s="2" t="n">
        <f>HYPERLINK("https://ppubs.uspto.gov/pubwebapp/external.html?q=20210348167.pn.","USPTO")</f>
        <v>0.0</v>
      </c>
      <c r="J1512" s="2" t="n">
        <f>HYPERLINK("https://image-ppubs.uspto.gov/dirsearch-public/print/downloadPdf/20210348167","USPTO PDF")</f>
        <v>0.0</v>
      </c>
      <c r="K1512" s="2" t="n">
        <f>HYPERLINK("https://sectors.patentforecast.com/pmd/US20210348167","PMD")</f>
        <v>0.0</v>
      </c>
      <c r="L1512" s="2" t="n">
        <f>HYPERLINK("https://globaldossier.uspto.gov/result/application/US/17245682/1","US20210348167")</f>
        <v>0.0</v>
      </c>
      <c r="M1512" t="s">
        <v>10437</v>
      </c>
      <c r="N1512" t="s">
        <v>10438</v>
      </c>
      <c r="O1512" t="s">
        <v>10439</v>
      </c>
      <c r="P1512" t="s">
        <v>10440</v>
      </c>
      <c r="Q1512" s="3" t="n">
        <v>44316.0</v>
      </c>
      <c r="R1512" s="3" t="n">
        <v>44511.0</v>
      </c>
      <c r="S1512" s="3" t="n">
        <v>44517.1890081713</v>
      </c>
      <c r="T1512" s="3" t="n">
        <v>44518.478702106484</v>
      </c>
      <c r="U1512" t="s">
        <v>10441</v>
      </c>
      <c r="V1512" t="s">
        <v>10442</v>
      </c>
    </row>
    <row r="1513">
      <c r="A1513" t="s">
        <v>22</v>
      </c>
      <c r="B1513" t="s">
        <v>10443</v>
      </c>
      <c r="C1513" t="s">
        <v>60</v>
      </c>
      <c r="D1513" t="s">
        <v>77</v>
      </c>
      <c r="E1513" t="s">
        <v>10444</v>
      </c>
      <c r="F1513" s="2" t="n">
        <f>HYPERLINK("https://patents.google.com/patent/US20210347860","Google")</f>
        <v>0.0</v>
      </c>
      <c r="G1513" s="2" t="n">
        <f>HYPERLINK("https://patentcenter.uspto.gov/applications/17315326","Patent Center")</f>
        <v>0.0</v>
      </c>
      <c r="H1513" s="2" t="n">
        <f>HYPERLINK("https://worldwide.espacenet.com/patent/search?q=US20210347860","Espacenet")</f>
        <v>0.0</v>
      </c>
      <c r="I1513" s="2" t="n">
        <f>HYPERLINK("https://ppubs.uspto.gov/pubwebapp/external.html?q=20210347860.pn.","USPTO")</f>
        <v>0.0</v>
      </c>
      <c r="J1513" s="2" t="n">
        <f>HYPERLINK("https://image-ppubs.uspto.gov/dirsearch-public/print/downloadPdf/20210347860","USPTO PDF")</f>
        <v>0.0</v>
      </c>
      <c r="K1513" s="2" t="n">
        <f>HYPERLINK("https://sectors.patentforecast.com/pmd/US20210347860","PMD")</f>
        <v>0.0</v>
      </c>
      <c r="L1513" s="2" t="n">
        <f>HYPERLINK("https://globaldossier.uspto.gov/result/application/US/17315326/1","US20210347860")</f>
        <v>0.0</v>
      </c>
      <c r="M1513" t="s">
        <v>10445</v>
      </c>
      <c r="N1513" t="s">
        <v>10446</v>
      </c>
      <c r="O1513" t="s">
        <v>10447</v>
      </c>
      <c r="P1513" t="s">
        <v>10448</v>
      </c>
      <c r="Q1513" s="3" t="n">
        <v>44325.0</v>
      </c>
      <c r="R1513" s="3" t="n">
        <v>44511.0</v>
      </c>
      <c r="S1513" s="3" t="n">
        <v>44517.1890081713</v>
      </c>
      <c r="T1513" s="3" t="n">
        <v>44518.40124946759</v>
      </c>
      <c r="U1513" t="s">
        <v>10449</v>
      </c>
      <c r="V1513" t="s">
        <v>10450</v>
      </c>
    </row>
    <row r="1514">
      <c r="A1514" t="s">
        <v>22</v>
      </c>
      <c r="B1514" t="s">
        <v>10451</v>
      </c>
      <c r="C1514" t="s">
        <v>60</v>
      </c>
      <c r="D1514" t="s">
        <v>77</v>
      </c>
      <c r="E1514" t="s">
        <v>10452</v>
      </c>
      <c r="F1514" s="2" t="n">
        <f>HYPERLINK("https://patents.google.com/patent/US20210347859","Google")</f>
        <v>0.0</v>
      </c>
      <c r="G1514" s="2" t="n">
        <f>HYPERLINK("https://patentcenter.uspto.gov/applications/17313738","Patent Center")</f>
        <v>0.0</v>
      </c>
      <c r="H1514" s="2" t="n">
        <f>HYPERLINK("https://worldwide.espacenet.com/patent/search?q=US20210347859","Espacenet")</f>
        <v>0.0</v>
      </c>
      <c r="I1514" s="2" t="n">
        <f>HYPERLINK("https://ppubs.uspto.gov/pubwebapp/external.html?q=20210347859.pn.","USPTO")</f>
        <v>0.0</v>
      </c>
      <c r="J1514" s="2" t="n">
        <f>HYPERLINK("https://image-ppubs.uspto.gov/dirsearch-public/print/downloadPdf/20210347859","USPTO PDF")</f>
        <v>0.0</v>
      </c>
      <c r="K1514" s="2" t="n">
        <f>HYPERLINK("https://sectors.patentforecast.com/pmd/US20210347859","PMD")</f>
        <v>0.0</v>
      </c>
      <c r="L1514" s="2" t="n">
        <f>HYPERLINK("https://globaldossier.uspto.gov/result/application/US/17313738/1","US20210347859")</f>
        <v>0.0</v>
      </c>
      <c r="M1514" t="s">
        <v>10453</v>
      </c>
      <c r="N1514" t="s">
        <v>10454</v>
      </c>
      <c r="O1514" t="s">
        <v>10455</v>
      </c>
      <c r="P1514" t="s">
        <v>10456</v>
      </c>
      <c r="Q1514" s="3" t="n">
        <v>44322.0</v>
      </c>
      <c r="R1514" s="3" t="n">
        <v>44511.0</v>
      </c>
      <c r="S1514" s="3" t="n">
        <v>44517.1890081713</v>
      </c>
      <c r="T1514" s="3" t="n">
        <v>44518.41023013889</v>
      </c>
      <c r="U1514" t="s">
        <v>10457</v>
      </c>
      <c r="V1514" t="s">
        <v>10458</v>
      </c>
    </row>
    <row r="1515">
      <c r="A1515" t="s">
        <v>22</v>
      </c>
      <c r="B1515" t="s">
        <v>10459</v>
      </c>
      <c r="C1515" t="s">
        <v>60</v>
      </c>
      <c r="D1515" t="s">
        <v>77</v>
      </c>
      <c r="E1515" t="s">
        <v>10460</v>
      </c>
      <c r="F1515" s="2" t="n">
        <f>HYPERLINK("https://patents.google.com/patent/US20210347858","Google")</f>
        <v>0.0</v>
      </c>
      <c r="G1515" s="2" t="n">
        <f>HYPERLINK("https://patentcenter.uspto.gov/applications/17221515","Patent Center")</f>
        <v>0.0</v>
      </c>
      <c r="H1515" s="2" t="n">
        <f>HYPERLINK("https://worldwide.espacenet.com/patent/search?q=US20210347858","Espacenet")</f>
        <v>0.0</v>
      </c>
      <c r="I1515" s="2" t="n">
        <f>HYPERLINK("https://ppubs.uspto.gov/pubwebapp/external.html?q=20210347858.pn.","USPTO")</f>
        <v>0.0</v>
      </c>
      <c r="J1515" s="2" t="n">
        <f>HYPERLINK("https://image-ppubs.uspto.gov/dirsearch-public/print/downloadPdf/20210347858","USPTO PDF")</f>
        <v>0.0</v>
      </c>
      <c r="K1515" s="2" t="n">
        <f>HYPERLINK("https://sectors.patentforecast.com/pmd/US20210347858","PMD")</f>
        <v>0.0</v>
      </c>
      <c r="L1515" s="2" t="n">
        <f>HYPERLINK("https://globaldossier.uspto.gov/result/application/US/17221515/1","US20210347858")</f>
        <v>0.0</v>
      </c>
      <c r="M1515" t="s">
        <v>10461</v>
      </c>
      <c r="N1515" t="s">
        <v>10462</v>
      </c>
      <c r="O1515" t="s">
        <v>10463</v>
      </c>
      <c r="P1515" t="s">
        <v>10464</v>
      </c>
      <c r="Q1515" s="3" t="n">
        <v>44288.0</v>
      </c>
      <c r="R1515" s="3" t="n">
        <v>44511.0</v>
      </c>
      <c r="S1515" s="3" t="n">
        <v>44517.1890081713</v>
      </c>
      <c r="T1515" s="3" t="n">
        <v>44518.41913380787</v>
      </c>
      <c r="U1515" t="s">
        <v>10465</v>
      </c>
      <c r="V1515" t="s">
        <v>10466</v>
      </c>
    </row>
    <row r="1516">
      <c r="A1516" t="s">
        <v>22</v>
      </c>
      <c r="B1516" t="s">
        <v>10467</v>
      </c>
      <c r="C1516" t="s">
        <v>60</v>
      </c>
      <c r="D1516" t="s">
        <v>61</v>
      </c>
      <c r="E1516" t="s">
        <v>10468</v>
      </c>
      <c r="F1516" s="2" t="n">
        <f>HYPERLINK("https://patents.google.com/patent/US20210347835","Google")</f>
        <v>0.0</v>
      </c>
      <c r="G1516" s="2" t="n">
        <f>HYPERLINK("https://patentcenter.uspto.gov/applications/17313543","Patent Center")</f>
        <v>0.0</v>
      </c>
      <c r="H1516" s="2" t="n">
        <f>HYPERLINK("https://worldwide.espacenet.com/patent/search?q=US20210347835","Espacenet")</f>
        <v>0.0</v>
      </c>
      <c r="I1516" s="2" t="n">
        <f>HYPERLINK("https://ppubs.uspto.gov/pubwebapp/external.html?q=20210347835.pn.","USPTO")</f>
        <v>0.0</v>
      </c>
      <c r="J1516" s="2" t="n">
        <f>HYPERLINK("https://image-ppubs.uspto.gov/dirsearch-public/print/downloadPdf/20210347835","USPTO PDF")</f>
        <v>0.0</v>
      </c>
      <c r="K1516" s="2" t="n">
        <f>HYPERLINK("https://sectors.patentforecast.com/pmd/US20210347835","PMD")</f>
        <v>0.0</v>
      </c>
      <c r="L1516" s="2" t="n">
        <f>HYPERLINK("https://globaldossier.uspto.gov/result/application/US/17313543/1","US20210347835")</f>
        <v>0.0</v>
      </c>
      <c r="M1516" t="s">
        <v>10469</v>
      </c>
      <c r="N1516" t="s">
        <v>10470</v>
      </c>
      <c r="O1516" t="s">
        <v>10471</v>
      </c>
      <c r="P1516" t="s">
        <v>10472</v>
      </c>
      <c r="Q1516" s="3" t="n">
        <v>44322.0</v>
      </c>
      <c r="R1516" s="3" t="n">
        <v>44511.0</v>
      </c>
      <c r="S1516" s="3" t="n">
        <v>44517.1890081713</v>
      </c>
      <c r="T1516" s="3" t="n">
        <v>44518.426852083336</v>
      </c>
      <c r="U1516" t="s">
        <v>2167</v>
      </c>
      <c r="V1516" t="s">
        <v>10473</v>
      </c>
    </row>
    <row r="1517">
      <c r="A1517" t="s">
        <v>22</v>
      </c>
      <c r="B1517" t="s">
        <v>10474</v>
      </c>
      <c r="C1517" t="s">
        <v>132</v>
      </c>
      <c r="D1517" t="s">
        <v>133</v>
      </c>
      <c r="E1517" t="s">
        <v>10475</v>
      </c>
      <c r="F1517" s="2" t="n">
        <f>HYPERLINK("https://patents.google.com/patent/US20210347828","Google")</f>
        <v>0.0</v>
      </c>
      <c r="G1517" s="2" t="n">
        <f>HYPERLINK("https://patentcenter.uspto.gov/applications/17317322","Patent Center")</f>
        <v>0.0</v>
      </c>
      <c r="H1517" s="2" t="n">
        <f>HYPERLINK("https://worldwide.espacenet.com/patent/search?q=US20210347828","Espacenet")</f>
        <v>0.0</v>
      </c>
      <c r="I1517" s="2" t="n">
        <f>HYPERLINK("https://ppubs.uspto.gov/pubwebapp/external.html?q=20210347828.pn.","USPTO")</f>
        <v>0.0</v>
      </c>
      <c r="J1517" s="2" t="n">
        <f>HYPERLINK("https://image-ppubs.uspto.gov/dirsearch-public/print/downloadPdf/20210347828","USPTO PDF")</f>
        <v>0.0</v>
      </c>
      <c r="K1517" s="2" t="n">
        <f>HYPERLINK("https://sectors.patentforecast.com/pmd/US20210347828","PMD")</f>
        <v>0.0</v>
      </c>
      <c r="L1517" s="2" t="n">
        <f>HYPERLINK("https://globaldossier.uspto.gov/result/application/US/17317322/1","US20210347828")</f>
        <v>0.0</v>
      </c>
      <c r="M1517" t="s">
        <v>10476</v>
      </c>
      <c r="N1517" t="s">
        <v>6947</v>
      </c>
      <c r="O1517" t="s">
        <v>6948</v>
      </c>
      <c r="P1517" t="s">
        <v>10477</v>
      </c>
      <c r="Q1517" s="3" t="n">
        <v>44327.0</v>
      </c>
      <c r="R1517" s="3" t="n">
        <v>44511.0</v>
      </c>
      <c r="S1517" s="3" t="n">
        <v>44517.1890081713</v>
      </c>
      <c r="T1517" s="3" t="n">
        <v>44518.42307258102</v>
      </c>
      <c r="U1517" t="s">
        <v>10478</v>
      </c>
      <c r="V1517" t="s">
        <v>10479</v>
      </c>
    </row>
    <row r="1518">
      <c r="A1518" t="s">
        <v>22</v>
      </c>
      <c r="B1518" t="s">
        <v>10480</v>
      </c>
      <c r="C1518" t="s">
        <v>24</v>
      </c>
      <c r="D1518" t="s">
        <v>204</v>
      </c>
      <c r="E1518" t="s">
        <v>10481</v>
      </c>
      <c r="F1518" s="2" t="n">
        <f>HYPERLINK("https://patents.google.com/patent/US20210347611","Google")</f>
        <v>0.0</v>
      </c>
      <c r="G1518" s="2" t="n">
        <f>HYPERLINK("https://patentcenter.uspto.gov/applications/17171309","Patent Center")</f>
        <v>0.0</v>
      </c>
      <c r="H1518" s="2" t="n">
        <f>HYPERLINK("https://worldwide.espacenet.com/patent/search?q=US20210347611","Espacenet")</f>
        <v>0.0</v>
      </c>
      <c r="I1518" s="2" t="n">
        <f>HYPERLINK("https://ppubs.uspto.gov/pubwebapp/external.html?q=20210347611.pn.","USPTO")</f>
        <v>0.0</v>
      </c>
      <c r="J1518" s="2" t="n">
        <f>HYPERLINK("https://image-ppubs.uspto.gov/dirsearch-public/print/downloadPdf/20210347611","USPTO PDF")</f>
        <v>0.0</v>
      </c>
      <c r="K1518" s="2" t="n">
        <f>HYPERLINK("https://sectors.patentforecast.com/pmd/US20210347611","PMD")</f>
        <v>0.0</v>
      </c>
      <c r="L1518" s="2" t="n">
        <f>HYPERLINK("https://globaldossier.uspto.gov/result/application/US/17171309/1","US20210347611")</f>
        <v>0.0</v>
      </c>
      <c r="M1518" t="s">
        <v>10482</v>
      </c>
      <c r="N1518" t="s">
        <v>10483</v>
      </c>
      <c r="O1518" t="s">
        <v>10484</v>
      </c>
      <c r="P1518" t="s">
        <v>10485</v>
      </c>
      <c r="Q1518" s="3" t="n">
        <v>44236.0</v>
      </c>
      <c r="R1518" s="3" t="n">
        <v>44511.0</v>
      </c>
      <c r="S1518" s="3" t="n">
        <v>44517.18784559028</v>
      </c>
      <c r="T1518" s="3" t="n">
        <v>44518.49125744213</v>
      </c>
      <c r="U1518" t="s">
        <v>10486</v>
      </c>
      <c r="V1518" t="s">
        <v>10487</v>
      </c>
    </row>
    <row r="1519">
      <c r="A1519" t="s">
        <v>22</v>
      </c>
      <c r="B1519" t="s">
        <v>10488</v>
      </c>
      <c r="C1519" t="s">
        <v>24</v>
      </c>
      <c r="D1519" t="s">
        <v>69</v>
      </c>
      <c r="E1519" t="s">
        <v>10489</v>
      </c>
      <c r="F1519" s="2" t="n">
        <f>HYPERLINK("https://patents.google.com/patent/US20210346736","Google")</f>
        <v>0.0</v>
      </c>
      <c r="G1519" s="2" t="n">
        <f>HYPERLINK("https://patentcenter.uspto.gov/applications/17225979","Patent Center")</f>
        <v>0.0</v>
      </c>
      <c r="H1519" s="2" t="n">
        <f>HYPERLINK("https://worldwide.espacenet.com/patent/search?q=US20210346736","Espacenet")</f>
        <v>0.0</v>
      </c>
      <c r="I1519" s="2" t="n">
        <f>HYPERLINK("https://ppubs.uspto.gov/pubwebapp/external.html?q=20210346736.pn.","USPTO")</f>
        <v>0.0</v>
      </c>
      <c r="J1519" s="2" t="n">
        <f>HYPERLINK("https://image-ppubs.uspto.gov/dirsearch-public/print/downloadPdf/20210346736","USPTO PDF")</f>
        <v>0.0</v>
      </c>
      <c r="K1519" s="2" t="n">
        <f>HYPERLINK("https://sectors.patentforecast.com/pmd/US20210346736","PMD")</f>
        <v>0.0</v>
      </c>
      <c r="L1519" s="2" t="n">
        <f>HYPERLINK("https://globaldossier.uspto.gov/result/application/US/17225979/1","US20210346736")</f>
        <v>0.0</v>
      </c>
      <c r="M1519" t="s">
        <v>10490</v>
      </c>
      <c r="N1519" t="s">
        <v>10491</v>
      </c>
      <c r="O1519" t="s">
        <v>10491</v>
      </c>
      <c r="P1519" t="s">
        <v>10492</v>
      </c>
      <c r="Q1519" s="3" t="n">
        <v>44294.0</v>
      </c>
      <c r="R1519" s="3" t="n">
        <v>44511.0</v>
      </c>
      <c r="S1519" s="3" t="n">
        <v>44517.1890081713</v>
      </c>
      <c r="T1519" s="3" t="n">
        <v>44518.37036670139</v>
      </c>
      <c r="U1519" t="s">
        <v>10493</v>
      </c>
      <c r="V1519" t="s">
        <v>10494</v>
      </c>
    </row>
    <row r="1520">
      <c r="A1520" t="s">
        <v>22</v>
      </c>
      <c r="B1520" t="s">
        <v>10495</v>
      </c>
      <c r="C1520" t="s">
        <v>24</v>
      </c>
      <c r="D1520" t="s">
        <v>69</v>
      </c>
      <c r="E1520" t="s">
        <v>10496</v>
      </c>
      <c r="F1520" s="2" t="n">
        <f>HYPERLINK("https://patents.google.com/patent/US20210346735","Google")</f>
        <v>0.0</v>
      </c>
      <c r="G1520" s="2" t="n">
        <f>HYPERLINK("https://patentcenter.uspto.gov/applications/17210504","Patent Center")</f>
        <v>0.0</v>
      </c>
      <c r="H1520" s="2" t="n">
        <f>HYPERLINK("https://worldwide.espacenet.com/patent/search?q=US20210346735","Espacenet")</f>
        <v>0.0</v>
      </c>
      <c r="I1520" s="2" t="n">
        <f>HYPERLINK("https://ppubs.uspto.gov/pubwebapp/external.html?q=20210346735.pn.","USPTO")</f>
        <v>0.0</v>
      </c>
      <c r="J1520" s="2" t="n">
        <f>HYPERLINK("https://image-ppubs.uspto.gov/dirsearch-public/print/downloadPdf/20210346735","USPTO PDF")</f>
        <v>0.0</v>
      </c>
      <c r="K1520" s="2" t="n">
        <f>HYPERLINK("https://sectors.patentforecast.com/pmd/US20210346735","PMD")</f>
        <v>0.0</v>
      </c>
      <c r="L1520" s="2" t="n">
        <f>HYPERLINK("https://globaldossier.uspto.gov/result/application/US/17210504/1","US20210346735")</f>
        <v>0.0</v>
      </c>
      <c r="M1520" t="s">
        <v>10497</v>
      </c>
      <c r="N1520" t="s">
        <v>10498</v>
      </c>
      <c r="O1520" t="s">
        <v>10499</v>
      </c>
      <c r="P1520" t="s">
        <v>10500</v>
      </c>
      <c r="Q1520" s="3" t="n">
        <v>44279.0</v>
      </c>
      <c r="R1520" s="3" t="n">
        <v>44511.0</v>
      </c>
      <c r="S1520" s="3" t="n">
        <v>44517.195251805555</v>
      </c>
      <c r="T1520" s="3" t="n">
        <v>44518.37031709491</v>
      </c>
      <c r="U1520" t="s">
        <v>10501</v>
      </c>
      <c r="V1520" t="s">
        <v>10502</v>
      </c>
    </row>
    <row r="1521">
      <c r="A1521" t="s">
        <v>22</v>
      </c>
      <c r="B1521" t="s">
        <v>10503</v>
      </c>
      <c r="C1521" t="s">
        <v>24</v>
      </c>
      <c r="D1521" t="s">
        <v>69</v>
      </c>
      <c r="E1521" t="s">
        <v>10504</v>
      </c>
      <c r="F1521" s="2" t="n">
        <f>HYPERLINK("https://patents.google.com/patent/US20210346734","Google")</f>
        <v>0.0</v>
      </c>
      <c r="G1521" s="2" t="n">
        <f>HYPERLINK("https://patentcenter.uspto.gov/applications/17344875","Patent Center")</f>
        <v>0.0</v>
      </c>
      <c r="H1521" s="2" t="n">
        <f>HYPERLINK("https://worldwide.espacenet.com/patent/search?q=US20210346734","Espacenet")</f>
        <v>0.0</v>
      </c>
      <c r="I1521" s="2" t="n">
        <f>HYPERLINK("https://ppubs.uspto.gov/pubwebapp/external.html?q=20210346734.pn.","USPTO")</f>
        <v>0.0</v>
      </c>
      <c r="J1521" s="2" t="n">
        <f>HYPERLINK("https://image-ppubs.uspto.gov/dirsearch-public/print/downloadPdf/20210346734","USPTO PDF")</f>
        <v>0.0</v>
      </c>
      <c r="K1521" s="2" t="n">
        <f>HYPERLINK("https://sectors.patentforecast.com/pmd/US20210346734","PMD")</f>
        <v>0.0</v>
      </c>
      <c r="L1521" s="2" t="n">
        <f>HYPERLINK("https://globaldossier.uspto.gov/result/application/US/17344875/1","US20210346734")</f>
        <v>0.0</v>
      </c>
      <c r="M1521" t="s">
        <v>10505</v>
      </c>
      <c r="N1521" t="s">
        <v>10506</v>
      </c>
      <c r="O1521" t="s">
        <v>10507</v>
      </c>
      <c r="P1521" t="s">
        <v>10508</v>
      </c>
      <c r="Q1521" s="3" t="n">
        <v>44357.0</v>
      </c>
      <c r="R1521" s="3" t="n">
        <v>44511.0</v>
      </c>
      <c r="S1521" s="3" t="n">
        <v>44517.1890081713</v>
      </c>
      <c r="T1521" s="3" t="n">
        <v>44518.41178890046</v>
      </c>
      <c r="U1521" t="s">
        <v>10509</v>
      </c>
      <c r="V1521" t="s">
        <v>10510</v>
      </c>
    </row>
    <row r="1522">
      <c r="A1522" t="s">
        <v>22</v>
      </c>
      <c r="B1522" t="s">
        <v>10511</v>
      </c>
      <c r="C1522" t="s">
        <v>24</v>
      </c>
      <c r="D1522" t="s">
        <v>69</v>
      </c>
      <c r="E1522" t="s">
        <v>10512</v>
      </c>
      <c r="F1522" s="2" t="n">
        <f>HYPERLINK("https://patents.google.com/patent/US20210346732","Google")</f>
        <v>0.0</v>
      </c>
      <c r="G1522" s="2" t="n">
        <f>HYPERLINK("https://patentcenter.uspto.gov/applications/17039633","Patent Center")</f>
        <v>0.0</v>
      </c>
      <c r="H1522" s="2" t="n">
        <f>HYPERLINK("https://worldwide.espacenet.com/patent/search?q=US20210346732","Espacenet")</f>
        <v>0.0</v>
      </c>
      <c r="I1522" s="2" t="n">
        <f>HYPERLINK("https://ppubs.uspto.gov/pubwebapp/external.html?q=20210346732.pn.","USPTO")</f>
        <v>0.0</v>
      </c>
      <c r="J1522" s="2" t="n">
        <f>HYPERLINK("https://image-ppubs.uspto.gov/dirsearch-public/print/downloadPdf/20210346732","USPTO PDF")</f>
        <v>0.0</v>
      </c>
      <c r="K1522" s="2" t="n">
        <f>HYPERLINK("https://sectors.patentforecast.com/pmd/US20210346732","PMD")</f>
        <v>0.0</v>
      </c>
      <c r="L1522" s="2" t="n">
        <f>HYPERLINK("https://globaldossier.uspto.gov/result/application/US/17039633/1","US20210346732")</f>
        <v>0.0</v>
      </c>
      <c r="M1522" t="s">
        <v>10513</v>
      </c>
      <c r="N1522" t="s">
        <v>10514</v>
      </c>
      <c r="O1522" t="s">
        <v>10515</v>
      </c>
      <c r="P1522" t="s">
        <v>10516</v>
      </c>
      <c r="Q1522" s="3" t="n">
        <v>44104.0</v>
      </c>
      <c r="R1522" s="3" t="n">
        <v>44511.0</v>
      </c>
      <c r="S1522" s="3" t="n">
        <v>44517.18958446759</v>
      </c>
      <c r="T1522" s="3" t="n">
        <v>44518.40685144676</v>
      </c>
      <c r="U1522" t="s">
        <v>10517</v>
      </c>
      <c r="V1522" t="s">
        <v>10518</v>
      </c>
    </row>
    <row r="1523">
      <c r="A1523" t="s">
        <v>22</v>
      </c>
      <c r="B1523" t="s">
        <v>10519</v>
      </c>
      <c r="C1523" t="s">
        <v>60</v>
      </c>
      <c r="D1523" t="s">
        <v>715</v>
      </c>
      <c r="E1523" t="s">
        <v>10520</v>
      </c>
      <c r="F1523" s="2" t="n">
        <f>HYPERLINK("https://patents.google.com/patent/US20210346715","Google")</f>
        <v>0.0</v>
      </c>
      <c r="G1523" s="2" t="n">
        <f>HYPERLINK("https://patentcenter.uspto.gov/applications/17232535","Patent Center")</f>
        <v>0.0</v>
      </c>
      <c r="H1523" s="2" t="n">
        <f>HYPERLINK("https://worldwide.espacenet.com/patent/search?q=US20210346715","Espacenet")</f>
        <v>0.0</v>
      </c>
      <c r="I1523" s="2" t="n">
        <f>HYPERLINK("https://ppubs.uspto.gov/pubwebapp/external.html?q=20210346715.pn.","USPTO")</f>
        <v>0.0</v>
      </c>
      <c r="J1523" s="2" t="n">
        <f>HYPERLINK("https://image-ppubs.uspto.gov/dirsearch-public/print/downloadPdf/20210346715","USPTO PDF")</f>
        <v>0.0</v>
      </c>
      <c r="K1523" s="2" t="n">
        <f>HYPERLINK("https://sectors.patentforecast.com/pmd/US20210346715","PMD")</f>
        <v>0.0</v>
      </c>
      <c r="L1523" s="2" t="n">
        <f>HYPERLINK("https://globaldossier.uspto.gov/result/application/US/17232535/1","US20210346715")</f>
        <v>0.0</v>
      </c>
      <c r="M1523" t="s">
        <v>10521</v>
      </c>
      <c r="N1523" t="s">
        <v>10522</v>
      </c>
      <c r="O1523" t="s">
        <v>10523</v>
      </c>
      <c r="P1523" t="s">
        <v>10524</v>
      </c>
      <c r="Q1523" s="3" t="n">
        <v>44302.0</v>
      </c>
      <c r="R1523" s="3" t="n">
        <v>44511.0</v>
      </c>
      <c r="S1523" s="3" t="n">
        <v>44517.18958446759</v>
      </c>
      <c r="T1523" s="3" t="n">
        <v>44518.41973792824</v>
      </c>
      <c r="U1523" t="s">
        <v>10525</v>
      </c>
      <c r="V1523" t="s">
        <v>10526</v>
      </c>
    </row>
    <row r="1524">
      <c r="A1524" t="s">
        <v>22</v>
      </c>
      <c r="B1524" t="s">
        <v>10527</v>
      </c>
      <c r="C1524" t="s">
        <v>24</v>
      </c>
      <c r="D1524" t="s">
        <v>69</v>
      </c>
      <c r="E1524" t="s">
        <v>10528</v>
      </c>
      <c r="F1524" s="2" t="n">
        <f>HYPERLINK("https://patents.google.com/patent/US20210346668","Google")</f>
        <v>0.0</v>
      </c>
      <c r="G1524" s="2" t="n">
        <f>HYPERLINK("https://patentcenter.uspto.gov/applications/17308537","Patent Center")</f>
        <v>0.0</v>
      </c>
      <c r="H1524" s="2" t="n">
        <f>HYPERLINK("https://worldwide.espacenet.com/patent/search?q=US20210346668","Espacenet")</f>
        <v>0.0</v>
      </c>
      <c r="I1524" s="2" t="n">
        <f>HYPERLINK("https://ppubs.uspto.gov/pubwebapp/external.html?q=20210346668.pn.","USPTO")</f>
        <v>0.0</v>
      </c>
      <c r="J1524" s="2" t="n">
        <f>HYPERLINK("https://image-ppubs.uspto.gov/dirsearch-public/print/downloadPdf/20210346668","USPTO PDF")</f>
        <v>0.0</v>
      </c>
      <c r="K1524" s="2" t="n">
        <f>HYPERLINK("https://sectors.patentforecast.com/pmd/US20210346668","PMD")</f>
        <v>0.0</v>
      </c>
      <c r="L1524" s="2" t="n">
        <f>HYPERLINK("https://globaldossier.uspto.gov/result/application/US/17308537/1","US20210346668")</f>
        <v>0.0</v>
      </c>
      <c r="M1524" t="s">
        <v>10529</v>
      </c>
      <c r="N1524" t="s">
        <v>10530</v>
      </c>
      <c r="O1524" t="s">
        <v>10531</v>
      </c>
      <c r="P1524" t="s">
        <v>10532</v>
      </c>
      <c r="Q1524" s="3" t="n">
        <v>44321.0</v>
      </c>
      <c r="R1524" s="3" t="n">
        <v>44511.0</v>
      </c>
      <c r="S1524" s="3" t="n">
        <v>44517.18958446759</v>
      </c>
      <c r="T1524" s="3" t="n">
        <v>44518.42543393518</v>
      </c>
      <c r="U1524" t="s">
        <v>10533</v>
      </c>
      <c r="V1524" t="s">
        <v>10534</v>
      </c>
    </row>
    <row r="1525">
      <c r="A1525" t="s">
        <v>22</v>
      </c>
      <c r="B1525" t="s">
        <v>10535</v>
      </c>
      <c r="C1525" t="s">
        <v>60</v>
      </c>
      <c r="D1525" t="s">
        <v>715</v>
      </c>
      <c r="E1525" t="s">
        <v>10536</v>
      </c>
      <c r="F1525" s="2" t="n">
        <f>HYPERLINK("https://patents.google.com/patent/US20210346638","Google")</f>
        <v>0.0</v>
      </c>
      <c r="G1525" s="2" t="n">
        <f>HYPERLINK("https://patentcenter.uspto.gov/applications/17317871","Patent Center")</f>
        <v>0.0</v>
      </c>
      <c r="H1525" s="2" t="n">
        <f>HYPERLINK("https://worldwide.espacenet.com/patent/search?q=US20210346638","Espacenet")</f>
        <v>0.0</v>
      </c>
      <c r="I1525" s="2" t="n">
        <f>HYPERLINK("https://ppubs.uspto.gov/pubwebapp/external.html?q=20210346638.pn.","USPTO")</f>
        <v>0.0</v>
      </c>
      <c r="J1525" s="2" t="n">
        <f>HYPERLINK("https://image-ppubs.uspto.gov/dirsearch-public/print/downloadPdf/20210346638","USPTO PDF")</f>
        <v>0.0</v>
      </c>
      <c r="K1525" s="2" t="n">
        <f>HYPERLINK("https://sectors.patentforecast.com/pmd/US20210346638","PMD")</f>
        <v>0.0</v>
      </c>
      <c r="L1525" s="2" t="n">
        <f>HYPERLINK("https://globaldossier.uspto.gov/result/application/US/17317871/1","US20210346638")</f>
        <v>0.0</v>
      </c>
      <c r="M1525" t="s">
        <v>10537</v>
      </c>
      <c r="N1525" t="s">
        <v>10538</v>
      </c>
      <c r="O1525" t="s">
        <v>10539</v>
      </c>
      <c r="P1525" t="s">
        <v>10540</v>
      </c>
      <c r="Q1525" s="3" t="n">
        <v>44327.0</v>
      </c>
      <c r="R1525" s="3" t="n">
        <v>44511.0</v>
      </c>
      <c r="S1525" s="3" t="n">
        <v>44517.18958446759</v>
      </c>
      <c r="T1525" s="3" t="n">
        <v>44518.37593048611</v>
      </c>
      <c r="U1525" t="s">
        <v>10541</v>
      </c>
      <c r="V1525" t="s">
        <v>10542</v>
      </c>
    </row>
    <row r="1526">
      <c r="A1526" t="s">
        <v>22</v>
      </c>
      <c r="B1526" t="s">
        <v>10543</v>
      </c>
      <c r="C1526" t="s">
        <v>60</v>
      </c>
      <c r="D1526" t="s">
        <v>715</v>
      </c>
      <c r="E1526" t="s">
        <v>10544</v>
      </c>
      <c r="F1526" s="2" t="n">
        <f>HYPERLINK("https://patents.google.com/patent/US20210346625","Google")</f>
        <v>0.0</v>
      </c>
      <c r="G1526" s="2" t="n">
        <f>HYPERLINK("https://patentcenter.uspto.gov/applications/17313152","Patent Center")</f>
        <v>0.0</v>
      </c>
      <c r="H1526" s="2" t="n">
        <f>HYPERLINK("https://worldwide.espacenet.com/patent/search?q=US20210346625","Espacenet")</f>
        <v>0.0</v>
      </c>
      <c r="I1526" s="2" t="n">
        <f>HYPERLINK("https://ppubs.uspto.gov/pubwebapp/external.html?q=20210346625.pn.","USPTO")</f>
        <v>0.0</v>
      </c>
      <c r="J1526" s="2" t="n">
        <f>HYPERLINK("https://image-ppubs.uspto.gov/dirsearch-public/print/downloadPdf/20210346625","USPTO PDF")</f>
        <v>0.0</v>
      </c>
      <c r="K1526" s="2" t="n">
        <f>HYPERLINK("https://sectors.patentforecast.com/pmd/US20210346625","PMD")</f>
        <v>0.0</v>
      </c>
      <c r="L1526" s="2" t="n">
        <f>HYPERLINK("https://globaldossier.uspto.gov/result/application/US/17313152/1","US20210346625")</f>
        <v>0.0</v>
      </c>
      <c r="M1526" t="s">
        <v>10545</v>
      </c>
      <c r="N1526" t="s">
        <v>10546</v>
      </c>
      <c r="O1526" t="s">
        <v>10547</v>
      </c>
      <c r="P1526" t="s">
        <v>10548</v>
      </c>
      <c r="Q1526" s="3" t="n">
        <v>44322.0</v>
      </c>
      <c r="R1526" s="3" t="n">
        <v>44511.0</v>
      </c>
      <c r="S1526" s="3" t="n">
        <v>44517.18958446759</v>
      </c>
      <c r="T1526" s="3" t="n">
        <v>44518.39114798611</v>
      </c>
      <c r="U1526" t="s">
        <v>10549</v>
      </c>
      <c r="V1526" t="s">
        <v>10550</v>
      </c>
    </row>
    <row r="1527">
      <c r="A1527" t="s">
        <v>22</v>
      </c>
      <c r="B1527" t="s">
        <v>10551</v>
      </c>
      <c r="C1527" t="s">
        <v>60</v>
      </c>
      <c r="D1527" t="s">
        <v>61</v>
      </c>
      <c r="E1527" t="s">
        <v>10552</v>
      </c>
      <c r="F1527" s="2" t="n">
        <f>HYPERLINK("https://patents.google.com/patent/US20210346613","Google")</f>
        <v>0.0</v>
      </c>
      <c r="G1527" s="2" t="n">
        <f>HYPERLINK("https://patentcenter.uspto.gov/applications/17105992","Patent Center")</f>
        <v>0.0</v>
      </c>
      <c r="H1527" s="2" t="n">
        <f>HYPERLINK("https://worldwide.espacenet.com/patent/search?q=US20210346613","Espacenet")</f>
        <v>0.0</v>
      </c>
      <c r="I1527" s="2" t="n">
        <f>HYPERLINK("https://ppubs.uspto.gov/pubwebapp/external.html?q=20210346613.pn.","USPTO")</f>
        <v>0.0</v>
      </c>
      <c r="J1527" s="2" t="n">
        <f>HYPERLINK("https://image-ppubs.uspto.gov/dirsearch-public/print/downloadPdf/20210346613","USPTO PDF")</f>
        <v>0.0</v>
      </c>
      <c r="K1527" s="2" t="n">
        <f>HYPERLINK("https://sectors.patentforecast.com/pmd/US20210346613","PMD")</f>
        <v>0.0</v>
      </c>
      <c r="L1527" s="2" t="n">
        <f>HYPERLINK("https://globaldossier.uspto.gov/result/application/US/17105992/1","US20210346613")</f>
        <v>0.0</v>
      </c>
      <c r="M1527" t="s">
        <v>10553</v>
      </c>
      <c r="N1527" t="s">
        <v>10554</v>
      </c>
      <c r="O1527" t="s">
        <v>10555</v>
      </c>
      <c r="P1527" t="s">
        <v>10556</v>
      </c>
      <c r="Q1527" s="3" t="n">
        <v>44162.0</v>
      </c>
      <c r="R1527" s="3" t="n">
        <v>44511.0</v>
      </c>
      <c r="S1527" s="3" t="n">
        <v>44517.18958446759</v>
      </c>
      <c r="T1527" s="3" t="n">
        <v>44518.377322280096</v>
      </c>
      <c r="U1527" t="s">
        <v>10557</v>
      </c>
      <c r="V1527" t="s">
        <v>10558</v>
      </c>
    </row>
    <row r="1528">
      <c r="A1528" t="s">
        <v>22</v>
      </c>
      <c r="B1528" t="s">
        <v>10559</v>
      </c>
      <c r="C1528" t="s">
        <v>24</v>
      </c>
      <c r="D1528" t="s">
        <v>69</v>
      </c>
      <c r="E1528" t="s">
        <v>10560</v>
      </c>
      <c r="F1528" s="2" t="n">
        <f>HYPERLINK("https://patents.google.com/patent/US20210346564","Google")</f>
        <v>0.0</v>
      </c>
      <c r="G1528" s="2" t="n">
        <f>HYPERLINK("https://patentcenter.uspto.gov/applications/17202844","Patent Center")</f>
        <v>0.0</v>
      </c>
      <c r="H1528" s="2" t="n">
        <f>HYPERLINK("https://worldwide.espacenet.com/patent/search?q=US20210346564","Espacenet")</f>
        <v>0.0</v>
      </c>
      <c r="I1528" s="2" t="n">
        <f>HYPERLINK("https://ppubs.uspto.gov/pubwebapp/external.html?q=20210346564.pn.","USPTO")</f>
        <v>0.0</v>
      </c>
      <c r="J1528" s="2" t="n">
        <f>HYPERLINK("https://image-ppubs.uspto.gov/dirsearch-public/print/downloadPdf/20210346564","USPTO PDF")</f>
        <v>0.0</v>
      </c>
      <c r="K1528" s="2" t="n">
        <f>HYPERLINK("https://sectors.patentforecast.com/pmd/US20210346564","PMD")</f>
        <v>0.0</v>
      </c>
      <c r="L1528" s="2" t="n">
        <f>HYPERLINK("https://globaldossier.uspto.gov/result/application/US/17202844/1","US20210346564")</f>
        <v>0.0</v>
      </c>
      <c r="M1528" t="s">
        <v>10561</v>
      </c>
      <c r="N1528" t="s">
        <v>10562</v>
      </c>
      <c r="O1528" t="s">
        <v>10563</v>
      </c>
      <c r="P1528" t="s">
        <v>10564</v>
      </c>
      <c r="Q1528" s="3" t="n">
        <v>44271.0</v>
      </c>
      <c r="R1528" s="3" t="n">
        <v>44511.0</v>
      </c>
      <c r="S1528" s="3" t="n">
        <v>44517.18958446759</v>
      </c>
      <c r="T1528" s="3" t="n">
        <v>44518.37754886574</v>
      </c>
      <c r="U1528" t="s">
        <v>10565</v>
      </c>
      <c r="V1528" t="s">
        <v>10566</v>
      </c>
    </row>
    <row r="1529">
      <c r="A1529" t="s">
        <v>22</v>
      </c>
      <c r="B1529" t="s">
        <v>10567</v>
      </c>
      <c r="C1529" t="s">
        <v>24</v>
      </c>
      <c r="D1529" t="s">
        <v>69</v>
      </c>
      <c r="E1529" t="s">
        <v>10568</v>
      </c>
      <c r="F1529" s="2" t="n">
        <f>HYPERLINK("https://patents.google.com/patent/US20210346555","Google")</f>
        <v>0.0</v>
      </c>
      <c r="G1529" s="2" t="n">
        <f>HYPERLINK("https://patentcenter.uspto.gov/applications/17073394","Patent Center")</f>
        <v>0.0</v>
      </c>
      <c r="H1529" s="2" t="n">
        <f>HYPERLINK("https://worldwide.espacenet.com/patent/search?q=US20210346555","Espacenet")</f>
        <v>0.0</v>
      </c>
      <c r="I1529" s="2" t="n">
        <f>HYPERLINK("https://ppubs.uspto.gov/pubwebapp/external.html?q=20210346555.pn.","USPTO")</f>
        <v>0.0</v>
      </c>
      <c r="J1529" s="2" t="n">
        <f>HYPERLINK("https://image-ppubs.uspto.gov/dirsearch-public/print/downloadPdf/20210346555","USPTO PDF")</f>
        <v>0.0</v>
      </c>
      <c r="K1529" s="2" t="n">
        <f>HYPERLINK("https://sectors.patentforecast.com/pmd/US20210346555","PMD")</f>
        <v>0.0</v>
      </c>
      <c r="L1529" s="2" t="n">
        <f>HYPERLINK("https://globaldossier.uspto.gov/result/application/US/17073394/1","US20210346555")</f>
        <v>0.0</v>
      </c>
      <c r="M1529" t="s">
        <v>10569</v>
      </c>
      <c r="N1529" t="s">
        <v>10570</v>
      </c>
      <c r="O1529" t="s">
        <v>10571</v>
      </c>
      <c r="P1529" t="s">
        <v>10572</v>
      </c>
      <c r="Q1529" s="3" t="n">
        <v>44122.0</v>
      </c>
      <c r="R1529" s="3" t="n">
        <v>44511.0</v>
      </c>
      <c r="S1529" s="3" t="n">
        <v>44517.18958446759</v>
      </c>
      <c r="T1529" s="3" t="n">
        <v>44518.3795118287</v>
      </c>
      <c r="U1529" t="s">
        <v>10573</v>
      </c>
      <c r="V1529" t="s">
        <v>10574</v>
      </c>
    </row>
    <row r="1530">
      <c r="A1530" t="s">
        <v>22</v>
      </c>
      <c r="B1530" t="s">
        <v>10575</v>
      </c>
      <c r="C1530" t="s">
        <v>24</v>
      </c>
      <c r="D1530" t="s">
        <v>69</v>
      </c>
      <c r="E1530" t="s">
        <v>10568</v>
      </c>
      <c r="F1530" s="2" t="n">
        <f>HYPERLINK("https://patents.google.com/patent/US20210346554","Google")</f>
        <v>0.0</v>
      </c>
      <c r="G1530" s="2" t="n">
        <f>HYPERLINK("https://patentcenter.uspto.gov/applications/16993066","Patent Center")</f>
        <v>0.0</v>
      </c>
      <c r="H1530" s="2" t="n">
        <f>HYPERLINK("https://worldwide.espacenet.com/patent/search?q=US20210346554","Espacenet")</f>
        <v>0.0</v>
      </c>
      <c r="I1530" s="2" t="n">
        <f>HYPERLINK("https://ppubs.uspto.gov/pubwebapp/external.html?q=20210346554.pn.","USPTO")</f>
        <v>0.0</v>
      </c>
      <c r="J1530" s="2" t="n">
        <f>HYPERLINK("https://image-ppubs.uspto.gov/dirsearch-public/print/downloadPdf/20210346554","USPTO PDF")</f>
        <v>0.0</v>
      </c>
      <c r="K1530" s="2" t="n">
        <f>HYPERLINK("https://sectors.patentforecast.com/pmd/US20210346554","PMD")</f>
        <v>0.0</v>
      </c>
      <c r="L1530" s="2" t="n">
        <f>HYPERLINK("https://globaldossier.uspto.gov/result/application/US/16993066/1","US20210346554")</f>
        <v>0.0</v>
      </c>
      <c r="M1530" t="s">
        <v>10576</v>
      </c>
      <c r="N1530" t="s">
        <v>10570</v>
      </c>
      <c r="O1530" t="s">
        <v>10571</v>
      </c>
      <c r="P1530" t="s">
        <v>10577</v>
      </c>
      <c r="Q1530" s="3" t="n">
        <v>44056.0</v>
      </c>
      <c r="R1530" s="3" t="n">
        <v>44511.0</v>
      </c>
      <c r="S1530" s="3" t="n">
        <v>44517.18958446759</v>
      </c>
      <c r="T1530" s="3" t="n">
        <v>44518.3795118287</v>
      </c>
      <c r="U1530" t="s">
        <v>10578</v>
      </c>
      <c r="V1530" t="s">
        <v>10574</v>
      </c>
    </row>
    <row r="1531">
      <c r="A1531" t="s">
        <v>22</v>
      </c>
      <c r="B1531" t="s">
        <v>10579</v>
      </c>
      <c r="C1531" t="s">
        <v>24</v>
      </c>
      <c r="D1531" t="s">
        <v>100</v>
      </c>
      <c r="E1531" t="s">
        <v>10580</v>
      </c>
      <c r="F1531" s="2" t="n">
        <f>HYPERLINK("https://patents.google.com/patent/US20210346535","Google")</f>
        <v>0.0</v>
      </c>
      <c r="G1531" s="2" t="n">
        <f>HYPERLINK("https://patentcenter.uspto.gov/applications/17245578","Patent Center")</f>
        <v>0.0</v>
      </c>
      <c r="H1531" s="2" t="n">
        <f>HYPERLINK("https://worldwide.espacenet.com/patent/search?q=US20210346535","Espacenet")</f>
        <v>0.0</v>
      </c>
      <c r="I1531" s="2" t="n">
        <f>HYPERLINK("https://ppubs.uspto.gov/pubwebapp/external.html?q=20210346535.pn.","USPTO")</f>
        <v>0.0</v>
      </c>
      <c r="J1531" s="2" t="n">
        <f>HYPERLINK("https://image-ppubs.uspto.gov/dirsearch-public/print/downloadPdf/20210346535","USPTO PDF")</f>
        <v>0.0</v>
      </c>
      <c r="K1531" s="2" t="n">
        <f>HYPERLINK("https://sectors.patentforecast.com/pmd/US20210346535","PMD")</f>
        <v>0.0</v>
      </c>
      <c r="L1531" s="2" t="n">
        <f>HYPERLINK("https://globaldossier.uspto.gov/result/application/US/17245578/1","US20210346535")</f>
        <v>0.0</v>
      </c>
      <c r="M1531" t="s">
        <v>10581</v>
      </c>
      <c r="N1531" t="s">
        <v>10582</v>
      </c>
      <c r="O1531" t="s">
        <v>10583</v>
      </c>
      <c r="P1531" t="s">
        <v>10584</v>
      </c>
      <c r="Q1531" s="3" t="n">
        <v>44316.0</v>
      </c>
      <c r="R1531" s="3" t="n">
        <v>44511.0</v>
      </c>
      <c r="S1531" s="3" t="n">
        <v>44517.18958446759</v>
      </c>
      <c r="T1531" s="3" t="n">
        <v>44643.446655405096</v>
      </c>
      <c r="U1531" t="s">
        <v>10585</v>
      </c>
      <c r="V1531" t="s">
        <v>10586</v>
      </c>
    </row>
    <row r="1532">
      <c r="A1532" t="s">
        <v>22</v>
      </c>
      <c r="B1532" t="s">
        <v>10587</v>
      </c>
      <c r="C1532" t="s">
        <v>60</v>
      </c>
      <c r="D1532" t="s">
        <v>715</v>
      </c>
      <c r="E1532" t="s">
        <v>10588</v>
      </c>
      <c r="F1532" s="2" t="n">
        <f>HYPERLINK("https://patents.google.com/patent/US20210346500","Google")</f>
        <v>0.0</v>
      </c>
      <c r="G1532" s="2" t="n">
        <f>HYPERLINK("https://patentcenter.uspto.gov/applications/17306174","Patent Center")</f>
        <v>0.0</v>
      </c>
      <c r="H1532" s="2" t="n">
        <f>HYPERLINK("https://worldwide.espacenet.com/patent/search?q=US20210346500","Espacenet")</f>
        <v>0.0</v>
      </c>
      <c r="I1532" s="2" t="n">
        <f>HYPERLINK("https://ppubs.uspto.gov/pubwebapp/external.html?q=20210346500.pn.","USPTO")</f>
        <v>0.0</v>
      </c>
      <c r="J1532" s="2" t="n">
        <f>HYPERLINK("https://image-ppubs.uspto.gov/dirsearch-public/print/downloadPdf/20210346500","USPTO PDF")</f>
        <v>0.0</v>
      </c>
      <c r="K1532" s="2" t="n">
        <f>HYPERLINK("https://sectors.patentforecast.com/pmd/US20210346500","PMD")</f>
        <v>0.0</v>
      </c>
      <c r="L1532" s="2" t="n">
        <f>HYPERLINK("https://globaldossier.uspto.gov/result/application/US/17306174/1","US20210346500")</f>
        <v>0.0</v>
      </c>
      <c r="M1532" t="s">
        <v>10589</v>
      </c>
      <c r="N1532" t="s">
        <v>10590</v>
      </c>
      <c r="O1532" t="s">
        <v>10591</v>
      </c>
      <c r="P1532" t="s">
        <v>10592</v>
      </c>
      <c r="Q1532" s="3" t="n">
        <v>44319.0</v>
      </c>
      <c r="R1532" s="3" t="n">
        <v>44511.0</v>
      </c>
      <c r="S1532" s="3" t="n">
        <v>44517.18958446759</v>
      </c>
      <c r="T1532" s="3" t="n">
        <v>44518.42446773148</v>
      </c>
      <c r="U1532" t="s">
        <v>10593</v>
      </c>
      <c r="V1532" t="s">
        <v>10594</v>
      </c>
    </row>
    <row r="1533">
      <c r="A1533" t="s">
        <v>22</v>
      </c>
      <c r="B1533" t="s">
        <v>10595</v>
      </c>
      <c r="C1533" t="s">
        <v>132</v>
      </c>
      <c r="D1533" t="s">
        <v>133</v>
      </c>
      <c r="E1533" t="s">
        <v>10596</v>
      </c>
      <c r="F1533" s="2" t="n">
        <f>HYPERLINK("https://patents.google.com/patent/US20210346493","Google")</f>
        <v>0.0</v>
      </c>
      <c r="G1533" s="2" t="n">
        <f>HYPERLINK("https://patentcenter.uspto.gov/applications/17327784","Patent Center")</f>
        <v>0.0</v>
      </c>
      <c r="H1533" s="2" t="n">
        <f>HYPERLINK("https://worldwide.espacenet.com/patent/search?q=US20210346493","Espacenet")</f>
        <v>0.0</v>
      </c>
      <c r="I1533" s="2" t="n">
        <f>HYPERLINK("https://ppubs.uspto.gov/pubwebapp/external.html?q=20210346493.pn.","USPTO")</f>
        <v>0.0</v>
      </c>
      <c r="J1533" s="2" t="n">
        <f>HYPERLINK("https://image-ppubs.uspto.gov/dirsearch-public/print/downloadPdf/20210346493","USPTO PDF")</f>
        <v>0.0</v>
      </c>
      <c r="K1533" s="2" t="n">
        <f>HYPERLINK("https://sectors.patentforecast.com/pmd/US20210346493","PMD")</f>
        <v>0.0</v>
      </c>
      <c r="L1533" s="2" t="n">
        <f>HYPERLINK("https://globaldossier.uspto.gov/result/application/US/17327784/1","US20210346493")</f>
        <v>0.0</v>
      </c>
      <c r="M1533" t="s">
        <v>10597</v>
      </c>
      <c r="N1533" t="s">
        <v>10598</v>
      </c>
      <c r="O1533" t="s">
        <v>10599</v>
      </c>
      <c r="P1533" t="s">
        <v>10600</v>
      </c>
      <c r="Q1533" s="3" t="n">
        <v>44340.0</v>
      </c>
      <c r="R1533" s="3" t="n">
        <v>44511.0</v>
      </c>
      <c r="S1533" s="3" t="n">
        <v>44517.18958446759</v>
      </c>
      <c r="T1533" s="3" t="n">
        <v>44518.42025689815</v>
      </c>
      <c r="U1533" t="s">
        <v>10601</v>
      </c>
      <c r="V1533" t="s">
        <v>10602</v>
      </c>
    </row>
    <row r="1534">
      <c r="A1534" t="s">
        <v>22</v>
      </c>
      <c r="B1534" t="s">
        <v>10603</v>
      </c>
      <c r="C1534" t="s">
        <v>132</v>
      </c>
      <c r="D1534" t="s">
        <v>133</v>
      </c>
      <c r="E1534" t="s">
        <v>10604</v>
      </c>
      <c r="F1534" s="2" t="n">
        <f>HYPERLINK("https://patents.google.com/patent/US20210346492","Google")</f>
        <v>0.0</v>
      </c>
      <c r="G1534" s="2" t="n">
        <f>HYPERLINK("https://patentcenter.uspto.gov/applications/17317279","Patent Center")</f>
        <v>0.0</v>
      </c>
      <c r="H1534" s="2" t="n">
        <f>HYPERLINK("https://worldwide.espacenet.com/patent/search?q=US20210346492","Espacenet")</f>
        <v>0.0</v>
      </c>
      <c r="I1534" s="2" t="n">
        <f>HYPERLINK("https://ppubs.uspto.gov/pubwebapp/external.html?q=20210346492.pn.","USPTO")</f>
        <v>0.0</v>
      </c>
      <c r="J1534" s="2" t="n">
        <f>HYPERLINK("https://image-ppubs.uspto.gov/dirsearch-public/print/downloadPdf/20210346492","USPTO PDF")</f>
        <v>0.0</v>
      </c>
      <c r="K1534" s="2" t="n">
        <f>HYPERLINK("https://sectors.patentforecast.com/pmd/US20210346492","PMD")</f>
        <v>0.0</v>
      </c>
      <c r="L1534" s="2" t="n">
        <f>HYPERLINK("https://globaldossier.uspto.gov/result/application/US/17317279/1","US20210346492")</f>
        <v>0.0</v>
      </c>
      <c r="M1534" t="s">
        <v>10605</v>
      </c>
      <c r="N1534" t="s">
        <v>6947</v>
      </c>
      <c r="O1534" t="s">
        <v>6948</v>
      </c>
      <c r="P1534" t="s">
        <v>10606</v>
      </c>
      <c r="Q1534" s="3" t="n">
        <v>44327.0</v>
      </c>
      <c r="R1534" s="3" t="n">
        <v>44511.0</v>
      </c>
      <c r="S1534" s="3" t="n">
        <v>44517.18958446759</v>
      </c>
      <c r="T1534" s="3" t="n">
        <v>44518.42001204861</v>
      </c>
      <c r="U1534" t="s">
        <v>10607</v>
      </c>
      <c r="V1534" t="s">
        <v>10608</v>
      </c>
    </row>
    <row r="1535">
      <c r="A1535" t="s">
        <v>22</v>
      </c>
      <c r="B1535" t="s">
        <v>10609</v>
      </c>
      <c r="C1535" t="s">
        <v>132</v>
      </c>
      <c r="D1535" t="s">
        <v>133</v>
      </c>
      <c r="E1535" t="s">
        <v>10610</v>
      </c>
      <c r="F1535" s="2" t="n">
        <f>HYPERLINK("https://patents.google.com/patent/US20210346491","Google")</f>
        <v>0.0</v>
      </c>
      <c r="G1535" s="2" t="n">
        <f>HYPERLINK("https://patentcenter.uspto.gov/applications/17314135","Patent Center")</f>
        <v>0.0</v>
      </c>
      <c r="H1535" s="2" t="n">
        <f>HYPERLINK("https://worldwide.espacenet.com/patent/search?q=US20210346491","Espacenet")</f>
        <v>0.0</v>
      </c>
      <c r="I1535" s="2" t="n">
        <f>HYPERLINK("https://ppubs.uspto.gov/pubwebapp/external.html?q=20210346491.pn.","USPTO")</f>
        <v>0.0</v>
      </c>
      <c r="J1535" s="2" t="n">
        <f>HYPERLINK("https://image-ppubs.uspto.gov/dirsearch-public/print/downloadPdf/20210346491","USPTO PDF")</f>
        <v>0.0</v>
      </c>
      <c r="K1535" s="2" t="n">
        <f>HYPERLINK("https://sectors.patentforecast.com/pmd/US20210346491","PMD")</f>
        <v>0.0</v>
      </c>
      <c r="L1535" s="2" t="n">
        <f>HYPERLINK("https://globaldossier.uspto.gov/result/application/US/17314135/1","US20210346491")</f>
        <v>0.0</v>
      </c>
      <c r="M1535" t="s">
        <v>10611</v>
      </c>
      <c r="N1535" t="s">
        <v>10612</v>
      </c>
      <c r="O1535" t="s">
        <v>10613</v>
      </c>
      <c r="P1535" t="s">
        <v>10614</v>
      </c>
      <c r="Q1535" s="3" t="n">
        <v>44323.0</v>
      </c>
      <c r="R1535" s="3" t="n">
        <v>44511.0</v>
      </c>
      <c r="S1535" s="3" t="n">
        <v>44517.18958446759</v>
      </c>
      <c r="T1535" s="3" t="n">
        <v>44518.40116534722</v>
      </c>
      <c r="U1535" t="s">
        <v>10615</v>
      </c>
      <c r="V1535" t="s">
        <v>10616</v>
      </c>
    </row>
    <row r="1536">
      <c r="A1536" t="s">
        <v>22</v>
      </c>
      <c r="B1536" t="s">
        <v>10617</v>
      </c>
      <c r="C1536" t="s">
        <v>60</v>
      </c>
      <c r="D1536" t="s">
        <v>77</v>
      </c>
      <c r="E1536" t="s">
        <v>3973</v>
      </c>
      <c r="F1536" s="2" t="n">
        <f>HYPERLINK("https://patents.google.com/patent/US20210346490","Google")</f>
        <v>0.0</v>
      </c>
      <c r="G1536" s="2" t="n">
        <f>HYPERLINK("https://patentcenter.uspto.gov/applications/17226690","Patent Center")</f>
        <v>0.0</v>
      </c>
      <c r="H1536" s="2" t="n">
        <f>HYPERLINK("https://worldwide.espacenet.com/patent/search?q=US20210346490","Espacenet")</f>
        <v>0.0</v>
      </c>
      <c r="I1536" s="2" t="n">
        <f>HYPERLINK("https://ppubs.uspto.gov/pubwebapp/external.html?q=20210346490.pn.","USPTO")</f>
        <v>0.0</v>
      </c>
      <c r="J1536" s="2" t="n">
        <f>HYPERLINK("https://image-ppubs.uspto.gov/dirsearch-public/print/downloadPdf/20210346490","USPTO PDF")</f>
        <v>0.0</v>
      </c>
      <c r="K1536" s="2" t="n">
        <f>HYPERLINK("https://sectors.patentforecast.com/pmd/US20210346490","PMD")</f>
        <v>0.0</v>
      </c>
      <c r="L1536" s="2" t="n">
        <f>HYPERLINK("https://globaldossier.uspto.gov/result/application/US/17226690/1","US20210346490")</f>
        <v>0.0</v>
      </c>
      <c r="M1536" t="s">
        <v>10618</v>
      </c>
      <c r="N1536" t="s">
        <v>3975</v>
      </c>
      <c r="O1536" t="s">
        <v>3976</v>
      </c>
      <c r="P1536" t="s">
        <v>3977</v>
      </c>
      <c r="Q1536" s="3" t="n">
        <v>44295.0</v>
      </c>
      <c r="R1536" s="3" t="n">
        <v>44511.0</v>
      </c>
      <c r="S1536" s="3" t="n">
        <v>44517.18958446759</v>
      </c>
      <c r="T1536" s="3" t="n">
        <v>44518.40522349537</v>
      </c>
      <c r="U1536" t="s">
        <v>10619</v>
      </c>
      <c r="V1536" t="s">
        <v>3979</v>
      </c>
    </row>
    <row r="1537">
      <c r="A1537" t="s">
        <v>22</v>
      </c>
      <c r="B1537" t="s">
        <v>10620</v>
      </c>
      <c r="C1537" t="s">
        <v>60</v>
      </c>
      <c r="D1537" t="s">
        <v>61</v>
      </c>
      <c r="E1537" t="s">
        <v>10621</v>
      </c>
      <c r="F1537" s="2" t="n">
        <f>HYPERLINK("https://patents.google.com/patent/US20210346460","Google")</f>
        <v>0.0</v>
      </c>
      <c r="G1537" s="2" t="n">
        <f>HYPERLINK("https://patentcenter.uspto.gov/applications/17313977","Patent Center")</f>
        <v>0.0</v>
      </c>
      <c r="H1537" s="2" t="n">
        <f>HYPERLINK("https://worldwide.espacenet.com/patent/search?q=US20210346460","Espacenet")</f>
        <v>0.0</v>
      </c>
      <c r="I1537" s="2" t="n">
        <f>HYPERLINK("https://ppubs.uspto.gov/pubwebapp/external.html?q=20210346460.pn.","USPTO")</f>
        <v>0.0</v>
      </c>
      <c r="J1537" s="2" t="n">
        <f>HYPERLINK("https://image-ppubs.uspto.gov/dirsearch-public/print/downloadPdf/20210346460","USPTO PDF")</f>
        <v>0.0</v>
      </c>
      <c r="K1537" s="2" t="n">
        <f>HYPERLINK("https://sectors.patentforecast.com/pmd/US20210346460","PMD")</f>
        <v>0.0</v>
      </c>
      <c r="L1537" s="2" t="n">
        <f>HYPERLINK("https://globaldossier.uspto.gov/result/application/US/17313977/1","US20210346460")</f>
        <v>0.0</v>
      </c>
      <c r="M1537" t="s">
        <v>10622</v>
      </c>
      <c r="N1537" t="s">
        <v>10623</v>
      </c>
      <c r="O1537" t="s">
        <v>10624</v>
      </c>
      <c r="P1537" t="s">
        <v>10625</v>
      </c>
      <c r="Q1537" s="3" t="n">
        <v>44322.0</v>
      </c>
      <c r="R1537" s="3" t="n">
        <v>44511.0</v>
      </c>
      <c r="S1537" s="3" t="n">
        <v>44517.18958446759</v>
      </c>
      <c r="T1537" s="3" t="n">
        <v>44518.38121225694</v>
      </c>
      <c r="U1537" t="s">
        <v>10626</v>
      </c>
      <c r="V1537" t="s">
        <v>10627</v>
      </c>
    </row>
    <row r="1538">
      <c r="A1538" t="s">
        <v>22</v>
      </c>
      <c r="B1538" t="s">
        <v>10628</v>
      </c>
      <c r="C1538" t="s">
        <v>60</v>
      </c>
      <c r="D1538" t="s">
        <v>61</v>
      </c>
      <c r="E1538" t="s">
        <v>10629</v>
      </c>
      <c r="F1538" s="2" t="n">
        <f>HYPERLINK("https://patents.google.com/patent/US20210346459","Google")</f>
        <v>0.0</v>
      </c>
      <c r="G1538" s="2" t="n">
        <f>HYPERLINK("https://patentcenter.uspto.gov/applications/16882631","Patent Center")</f>
        <v>0.0</v>
      </c>
      <c r="H1538" s="2" t="n">
        <f>HYPERLINK("https://worldwide.espacenet.com/patent/search?q=US20210346459","Espacenet")</f>
        <v>0.0</v>
      </c>
      <c r="I1538" s="2" t="n">
        <f>HYPERLINK("https://ppubs.uspto.gov/pubwebapp/external.html?q=20210346459.pn.","USPTO")</f>
        <v>0.0</v>
      </c>
      <c r="J1538" s="2" t="n">
        <f>HYPERLINK("https://image-ppubs.uspto.gov/dirsearch-public/print/downloadPdf/20210346459","USPTO PDF")</f>
        <v>0.0</v>
      </c>
      <c r="K1538" s="2" t="n">
        <f>HYPERLINK("https://sectors.patentforecast.com/pmd/US20210346459","PMD")</f>
        <v>0.0</v>
      </c>
      <c r="L1538" s="2" t="n">
        <f>HYPERLINK("https://globaldossier.uspto.gov/result/application/US/16882631/1","US20210346459")</f>
        <v>0.0</v>
      </c>
      <c r="M1538" t="s">
        <v>10630</v>
      </c>
      <c r="N1538" t="s">
        <v>10631</v>
      </c>
      <c r="O1538" t="s">
        <v>10632</v>
      </c>
      <c r="P1538" t="s">
        <v>10633</v>
      </c>
      <c r="Q1538" s="3" t="n">
        <v>43976.0</v>
      </c>
      <c r="R1538" s="3" t="n">
        <v>44511.0</v>
      </c>
      <c r="S1538" s="3" t="n">
        <v>44517.18958446759</v>
      </c>
      <c r="T1538" s="3" t="n">
        <v>44518.484715844905</v>
      </c>
      <c r="U1538" t="s">
        <v>10634</v>
      </c>
      <c r="V1538" t="s">
        <v>10635</v>
      </c>
    </row>
    <row r="1539">
      <c r="A1539" t="s">
        <v>22</v>
      </c>
      <c r="B1539" t="s">
        <v>10636</v>
      </c>
      <c r="C1539" t="s">
        <v>60</v>
      </c>
      <c r="D1539" t="s">
        <v>2262</v>
      </c>
      <c r="E1539" t="s">
        <v>10637</v>
      </c>
      <c r="F1539" s="2" t="n">
        <f>HYPERLINK("https://patents.google.com/patent/US20210346453","Google")</f>
        <v>0.0</v>
      </c>
      <c r="G1539" s="2" t="n">
        <f>HYPERLINK("https://patentcenter.uspto.gov/applications/17315519","Patent Center")</f>
        <v>0.0</v>
      </c>
      <c r="H1539" s="2" t="n">
        <f>HYPERLINK("https://worldwide.espacenet.com/patent/search?q=US20210346453","Espacenet")</f>
        <v>0.0</v>
      </c>
      <c r="I1539" s="2" t="n">
        <f>HYPERLINK("https://ppubs.uspto.gov/pubwebapp/external.html?q=20210346453.pn.","USPTO")</f>
        <v>0.0</v>
      </c>
      <c r="J1539" s="2" t="n">
        <f>HYPERLINK("https://image-ppubs.uspto.gov/dirsearch-public/print/downloadPdf/20210346453","USPTO PDF")</f>
        <v>0.0</v>
      </c>
      <c r="K1539" s="2" t="n">
        <f>HYPERLINK("https://sectors.patentforecast.com/pmd/US20210346453","PMD")</f>
        <v>0.0</v>
      </c>
      <c r="L1539" s="2" t="n">
        <f>HYPERLINK("https://globaldossier.uspto.gov/result/application/US/17315519/1","US20210346453")</f>
        <v>0.0</v>
      </c>
      <c r="M1539" t="s">
        <v>10638</v>
      </c>
      <c r="N1539" t="s">
        <v>10639</v>
      </c>
      <c r="O1539" t="s">
        <v>10640</v>
      </c>
      <c r="P1539" t="s">
        <v>10641</v>
      </c>
      <c r="Q1539" s="3" t="n">
        <v>44326.0</v>
      </c>
      <c r="R1539" s="3" t="n">
        <v>44511.0</v>
      </c>
      <c r="S1539" s="3" t="n">
        <v>44517.18958446759</v>
      </c>
      <c r="T1539" s="3" t="n">
        <v>44518.41157041667</v>
      </c>
      <c r="U1539" t="s">
        <v>10642</v>
      </c>
      <c r="V1539" t="s">
        <v>10643</v>
      </c>
    </row>
    <row r="1540">
      <c r="A1540" t="s">
        <v>22</v>
      </c>
      <c r="B1540" t="s">
        <v>10644</v>
      </c>
      <c r="C1540" t="s">
        <v>60</v>
      </c>
      <c r="D1540" t="s">
        <v>2262</v>
      </c>
      <c r="E1540" t="s">
        <v>10645</v>
      </c>
      <c r="F1540" s="2" t="n">
        <f>HYPERLINK("https://patents.google.com/patent/US20210346451","Google")</f>
        <v>0.0</v>
      </c>
      <c r="G1540" s="2" t="n">
        <f>HYPERLINK("https://patentcenter.uspto.gov/applications/16870997","Patent Center")</f>
        <v>0.0</v>
      </c>
      <c r="H1540" s="2" t="n">
        <f>HYPERLINK("https://worldwide.espacenet.com/patent/search?q=US20210346451","Espacenet")</f>
        <v>0.0</v>
      </c>
      <c r="I1540" s="2" t="n">
        <f>HYPERLINK("https://ppubs.uspto.gov/pubwebapp/external.html?q=20210346451.pn.","USPTO")</f>
        <v>0.0</v>
      </c>
      <c r="J1540" s="2" t="n">
        <f>HYPERLINK("https://image-ppubs.uspto.gov/dirsearch-public/print/downloadPdf/20210346451","USPTO PDF")</f>
        <v>0.0</v>
      </c>
      <c r="K1540" s="2" t="n">
        <f>HYPERLINK("https://sectors.patentforecast.com/pmd/US20210346451","PMD")</f>
        <v>0.0</v>
      </c>
      <c r="L1540" s="2" t="n">
        <f>HYPERLINK("https://globaldossier.uspto.gov/result/application/US/16870997/1","US20210346451")</f>
        <v>0.0</v>
      </c>
      <c r="M1540" t="s">
        <v>10646</v>
      </c>
      <c r="N1540" t="s">
        <v>10647</v>
      </c>
      <c r="O1540" t="s">
        <v>10648</v>
      </c>
      <c r="P1540" t="s">
        <v>10649</v>
      </c>
      <c r="Q1540" s="3" t="n">
        <v>43961.0</v>
      </c>
      <c r="R1540" s="3" t="n">
        <v>44511.0</v>
      </c>
      <c r="S1540" s="3" t="n">
        <v>44517.18958446759</v>
      </c>
      <c r="T1540" s="3" t="n">
        <v>44518.39087565972</v>
      </c>
      <c r="U1540" t="s">
        <v>10650</v>
      </c>
      <c r="V1540" t="s">
        <v>10651</v>
      </c>
    </row>
    <row r="1541">
      <c r="A1541" t="s">
        <v>22</v>
      </c>
      <c r="B1541" t="s">
        <v>10652</v>
      </c>
      <c r="C1541" t="s">
        <v>60</v>
      </c>
      <c r="D1541" t="s">
        <v>4942</v>
      </c>
      <c r="E1541" t="s">
        <v>10653</v>
      </c>
      <c r="F1541" s="2" t="n">
        <f>HYPERLINK("https://patents.google.com/patent/US20210346428","Google")</f>
        <v>0.0</v>
      </c>
      <c r="G1541" s="2" t="n">
        <f>HYPERLINK("https://patentcenter.uspto.gov/applications/17245085","Patent Center")</f>
        <v>0.0</v>
      </c>
      <c r="H1541" s="2" t="n">
        <f>HYPERLINK("https://worldwide.espacenet.com/patent/search?q=US20210346428","Espacenet")</f>
        <v>0.0</v>
      </c>
      <c r="I1541" s="2" t="n">
        <f>HYPERLINK("https://ppubs.uspto.gov/pubwebapp/external.html?q=20210346428.pn.","USPTO")</f>
        <v>0.0</v>
      </c>
      <c r="J1541" s="2" t="n">
        <f>HYPERLINK("https://image-ppubs.uspto.gov/dirsearch-public/print/downloadPdf/20210346428","USPTO PDF")</f>
        <v>0.0</v>
      </c>
      <c r="K1541" s="2" t="n">
        <f>HYPERLINK("https://sectors.patentforecast.com/pmd/US20210346428","PMD")</f>
        <v>0.0</v>
      </c>
      <c r="L1541" s="2" t="n">
        <f>HYPERLINK("https://globaldossier.uspto.gov/result/application/US/17245085/1","US20210346428")</f>
        <v>0.0</v>
      </c>
      <c r="M1541" t="s">
        <v>10654</v>
      </c>
      <c r="N1541" t="s">
        <v>10655</v>
      </c>
      <c r="O1541" t="s">
        <v>10656</v>
      </c>
      <c r="P1541" t="s">
        <v>10657</v>
      </c>
      <c r="Q1541" s="3" t="n">
        <v>44316.0</v>
      </c>
      <c r="R1541" s="3" t="n">
        <v>44511.0</v>
      </c>
      <c r="S1541" s="3" t="n">
        <v>44517.18784559028</v>
      </c>
      <c r="T1541" s="3" t="n">
        <v>44518.37406606482</v>
      </c>
      <c r="U1541" t="s">
        <v>10658</v>
      </c>
      <c r="V1541" t="s">
        <v>10659</v>
      </c>
    </row>
    <row r="1542">
      <c r="A1542" t="s">
        <v>22</v>
      </c>
      <c r="B1542" t="s">
        <v>10660</v>
      </c>
      <c r="C1542" t="s">
        <v>60</v>
      </c>
      <c r="D1542" t="s">
        <v>61</v>
      </c>
      <c r="E1542" t="s">
        <v>10661</v>
      </c>
      <c r="F1542" s="2" t="n">
        <f>HYPERLINK("https://patents.google.com/patent/US20210346426","Google")</f>
        <v>0.0</v>
      </c>
      <c r="G1542" s="2" t="n">
        <f>HYPERLINK("https://patentcenter.uspto.gov/applications/17225053","Patent Center")</f>
        <v>0.0</v>
      </c>
      <c r="H1542" s="2" t="n">
        <f>HYPERLINK("https://worldwide.espacenet.com/patent/search?q=US20210346426","Espacenet")</f>
        <v>0.0</v>
      </c>
      <c r="I1542" s="2" t="n">
        <f>HYPERLINK("https://ppubs.uspto.gov/pubwebapp/external.html?q=20210346426.pn.","USPTO")</f>
        <v>0.0</v>
      </c>
      <c r="J1542" s="2" t="n">
        <f>HYPERLINK("https://image-ppubs.uspto.gov/dirsearch-public/print/downloadPdf/20210346426","USPTO PDF")</f>
        <v>0.0</v>
      </c>
      <c r="K1542" s="2" t="n">
        <f>HYPERLINK("https://sectors.patentforecast.com/pmd/US20210346426","PMD")</f>
        <v>0.0</v>
      </c>
      <c r="L1542" s="2" t="n">
        <f>HYPERLINK("https://globaldossier.uspto.gov/result/application/US/17225053/1","US20210346426")</f>
        <v>0.0</v>
      </c>
      <c r="M1542" t="s">
        <v>10662</v>
      </c>
      <c r="N1542" t="s">
        <v>10663</v>
      </c>
      <c r="O1542" t="s">
        <v>10664</v>
      </c>
      <c r="P1542" t="s">
        <v>10665</v>
      </c>
      <c r="Q1542" s="3" t="n">
        <v>44293.0</v>
      </c>
      <c r="R1542" s="3" t="n">
        <v>44511.0</v>
      </c>
      <c r="S1542" s="3" t="n">
        <v>44517.18958446759</v>
      </c>
      <c r="T1542" s="3" t="n">
        <v>44518.38219960648</v>
      </c>
      <c r="U1542" t="s">
        <v>10666</v>
      </c>
      <c r="V1542" t="s">
        <v>10667</v>
      </c>
    </row>
    <row r="1543">
      <c r="A1543" t="s">
        <v>22</v>
      </c>
      <c r="B1543" t="s">
        <v>10668</v>
      </c>
      <c r="C1543" t="s">
        <v>60</v>
      </c>
      <c r="D1543" t="s">
        <v>61</v>
      </c>
      <c r="E1543" t="s">
        <v>10669</v>
      </c>
      <c r="F1543" s="2" t="n">
        <f>HYPERLINK("https://patents.google.com/patent/US20210346422","Google")</f>
        <v>0.0</v>
      </c>
      <c r="G1543" s="2" t="n">
        <f>HYPERLINK("https://patentcenter.uspto.gov/applications/17314962","Patent Center")</f>
        <v>0.0</v>
      </c>
      <c r="H1543" s="2" t="n">
        <f>HYPERLINK("https://worldwide.espacenet.com/patent/search?q=US20210346422","Espacenet")</f>
        <v>0.0</v>
      </c>
      <c r="I1543" s="2" t="n">
        <f>HYPERLINK("https://ppubs.uspto.gov/pubwebapp/external.html?q=20210346422.pn.","USPTO")</f>
        <v>0.0</v>
      </c>
      <c r="J1543" s="2" t="n">
        <f>HYPERLINK("https://image-ppubs.uspto.gov/dirsearch-public/print/downloadPdf/20210346422","USPTO PDF")</f>
        <v>0.0</v>
      </c>
      <c r="K1543" s="2" t="n">
        <f>HYPERLINK("https://sectors.patentforecast.com/pmd/US20210346422","PMD")</f>
        <v>0.0</v>
      </c>
      <c r="L1543" s="2" t="n">
        <f>HYPERLINK("https://globaldossier.uspto.gov/result/application/US/17314962/1","US20210346422")</f>
        <v>0.0</v>
      </c>
      <c r="M1543" t="s">
        <v>10670</v>
      </c>
      <c r="N1543" t="s">
        <v>10671</v>
      </c>
      <c r="O1543" t="s">
        <v>10672</v>
      </c>
      <c r="P1543" t="s">
        <v>10673</v>
      </c>
      <c r="Q1543" s="3" t="n">
        <v>44323.0</v>
      </c>
      <c r="R1543" s="3" t="n">
        <v>44511.0</v>
      </c>
      <c r="S1543" s="3" t="n">
        <v>44517.18958446759</v>
      </c>
      <c r="T1543" s="3" t="n">
        <v>44518.382560115744</v>
      </c>
      <c r="U1543" t="s">
        <v>10674</v>
      </c>
      <c r="V1543" t="s">
        <v>10675</v>
      </c>
    </row>
    <row r="1544">
      <c r="A1544" t="s">
        <v>22</v>
      </c>
      <c r="B1544" t="s">
        <v>10676</v>
      </c>
      <c r="C1544" t="s">
        <v>60</v>
      </c>
      <c r="D1544" t="s">
        <v>61</v>
      </c>
      <c r="E1544" t="s">
        <v>10677</v>
      </c>
      <c r="F1544" s="2" t="n">
        <f>HYPERLINK("https://patents.google.com/patent/US20210346416","Google")</f>
        <v>0.0</v>
      </c>
      <c r="G1544" s="2" t="n">
        <f>HYPERLINK("https://patentcenter.uspto.gov/applications/17245841","Patent Center")</f>
        <v>0.0</v>
      </c>
      <c r="H1544" s="2" t="n">
        <f>HYPERLINK("https://worldwide.espacenet.com/patent/search?q=US20210346416","Espacenet")</f>
        <v>0.0</v>
      </c>
      <c r="I1544" s="2" t="n">
        <f>HYPERLINK("https://ppubs.uspto.gov/pubwebapp/external.html?q=20210346416.pn.","USPTO")</f>
        <v>0.0</v>
      </c>
      <c r="J1544" s="2" t="n">
        <f>HYPERLINK("https://image-ppubs.uspto.gov/dirsearch-public/print/downloadPdf/20210346416","USPTO PDF")</f>
        <v>0.0</v>
      </c>
      <c r="K1544" s="2" t="n">
        <f>HYPERLINK("https://sectors.patentforecast.com/pmd/US20210346416","PMD")</f>
        <v>0.0</v>
      </c>
      <c r="L1544" s="2" t="n">
        <f>HYPERLINK("https://globaldossier.uspto.gov/result/application/US/17245841/1","US20210346416")</f>
        <v>0.0</v>
      </c>
      <c r="M1544" t="s">
        <v>10678</v>
      </c>
      <c r="N1544" t="s">
        <v>10679</v>
      </c>
      <c r="O1544" t="s">
        <v>10679</v>
      </c>
      <c r="P1544" t="s">
        <v>10680</v>
      </c>
      <c r="Q1544" s="3" t="n">
        <v>44316.0</v>
      </c>
      <c r="R1544" s="3" t="n">
        <v>44511.0</v>
      </c>
      <c r="S1544" s="3" t="n">
        <v>44517.18958446759</v>
      </c>
      <c r="T1544" s="3" t="n">
        <v>44518.38375712963</v>
      </c>
      <c r="U1544" t="s">
        <v>10681</v>
      </c>
      <c r="V1544" t="s">
        <v>10682</v>
      </c>
    </row>
    <row r="1545">
      <c r="A1545" t="s">
        <v>22</v>
      </c>
      <c r="B1545" t="s">
        <v>10683</v>
      </c>
      <c r="C1545" t="s">
        <v>60</v>
      </c>
      <c r="D1545" t="s">
        <v>61</v>
      </c>
      <c r="E1545" t="s">
        <v>10684</v>
      </c>
      <c r="F1545" s="2" t="n">
        <f>HYPERLINK("https://patents.google.com/patent/US20210346411","Google")</f>
        <v>0.0</v>
      </c>
      <c r="G1545" s="2" t="n">
        <f>HYPERLINK("https://patentcenter.uspto.gov/applications/17378415","Patent Center")</f>
        <v>0.0</v>
      </c>
      <c r="H1545" s="2" t="n">
        <f>HYPERLINK("https://worldwide.espacenet.com/patent/search?q=US20210346411","Espacenet")</f>
        <v>0.0</v>
      </c>
      <c r="I1545" s="2" t="n">
        <f>HYPERLINK("https://ppubs.uspto.gov/pubwebapp/external.html?q=20210346411.pn.","USPTO")</f>
        <v>0.0</v>
      </c>
      <c r="J1545" s="2" t="n">
        <f>HYPERLINK("https://image-ppubs.uspto.gov/dirsearch-public/print/downloadPdf/20210346411","USPTO PDF")</f>
        <v>0.0</v>
      </c>
      <c r="K1545" s="2" t="n">
        <f>HYPERLINK("https://sectors.patentforecast.com/pmd/US20210346411","PMD")</f>
        <v>0.0</v>
      </c>
      <c r="L1545" s="2" t="n">
        <f>HYPERLINK("https://globaldossier.uspto.gov/result/application/US/17378415/1","US20210346411")</f>
        <v>0.0</v>
      </c>
      <c r="M1545" t="s">
        <v>10685</v>
      </c>
      <c r="N1545" t="s">
        <v>153</v>
      </c>
      <c r="O1545" t="s">
        <v>154</v>
      </c>
      <c r="P1545" t="s">
        <v>10686</v>
      </c>
      <c r="Q1545" s="3" t="n">
        <v>44393.0</v>
      </c>
      <c r="R1545" s="3" t="n">
        <v>44511.0</v>
      </c>
      <c r="S1545" s="3" t="n">
        <v>44517.18958446759</v>
      </c>
      <c r="T1545" s="3" t="n">
        <v>44518.40097599537</v>
      </c>
      <c r="U1545" t="s">
        <v>10687</v>
      </c>
      <c r="V1545" t="s">
        <v>10688</v>
      </c>
    </row>
    <row r="1546">
      <c r="A1546" t="s">
        <v>22</v>
      </c>
      <c r="B1546" t="s">
        <v>10689</v>
      </c>
      <c r="C1546" t="s">
        <v>60</v>
      </c>
      <c r="D1546" t="s">
        <v>61</v>
      </c>
      <c r="E1546" t="s">
        <v>10690</v>
      </c>
      <c r="F1546" s="2" t="n">
        <f>HYPERLINK("https://patents.google.com/patent/US20210346409","Google")</f>
        <v>0.0</v>
      </c>
      <c r="G1546" s="2" t="n">
        <f>HYPERLINK("https://patentcenter.uspto.gov/applications/17315249","Patent Center")</f>
        <v>0.0</v>
      </c>
      <c r="H1546" s="2" t="n">
        <f>HYPERLINK("https://worldwide.espacenet.com/patent/search?q=US20210346409","Espacenet")</f>
        <v>0.0</v>
      </c>
      <c r="I1546" s="2" t="n">
        <f>HYPERLINK("https://ppubs.uspto.gov/pubwebapp/external.html?q=20210346409.pn.","USPTO")</f>
        <v>0.0</v>
      </c>
      <c r="J1546" s="2" t="n">
        <f>HYPERLINK("https://image-ppubs.uspto.gov/dirsearch-public/print/downloadPdf/20210346409","USPTO PDF")</f>
        <v>0.0</v>
      </c>
      <c r="K1546" s="2" t="n">
        <f>HYPERLINK("https://sectors.patentforecast.com/pmd/US20210346409","PMD")</f>
        <v>0.0</v>
      </c>
      <c r="L1546" s="2" t="n">
        <f>HYPERLINK("https://globaldossier.uspto.gov/result/application/US/17315249/1","US20210346409")</f>
        <v>0.0</v>
      </c>
      <c r="M1546" t="s">
        <v>10691</v>
      </c>
      <c r="N1546" t="s">
        <v>7160</v>
      </c>
      <c r="O1546" t="s">
        <v>7160</v>
      </c>
      <c r="P1546" t="s">
        <v>10692</v>
      </c>
      <c r="Q1546" s="3" t="n">
        <v>44323.0</v>
      </c>
      <c r="R1546" s="3" t="n">
        <v>44511.0</v>
      </c>
      <c r="S1546" s="3" t="n">
        <v>44517.18784559028</v>
      </c>
      <c r="T1546" s="3" t="n">
        <v>44518.40878107639</v>
      </c>
      <c r="U1546" t="s">
        <v>10693</v>
      </c>
      <c r="V1546" t="s">
        <v>10694</v>
      </c>
    </row>
    <row r="1547">
      <c r="A1547" t="s">
        <v>22</v>
      </c>
      <c r="B1547" t="s">
        <v>10695</v>
      </c>
      <c r="C1547" t="s">
        <v>60</v>
      </c>
      <c r="D1547" t="s">
        <v>61</v>
      </c>
      <c r="E1547" t="s">
        <v>10696</v>
      </c>
      <c r="F1547" s="2" t="n">
        <f>HYPERLINK("https://patents.google.com/patent/US20210346403","Google")</f>
        <v>0.0</v>
      </c>
      <c r="G1547" s="2" t="n">
        <f>HYPERLINK("https://patentcenter.uspto.gov/applications/17314727","Patent Center")</f>
        <v>0.0</v>
      </c>
      <c r="H1547" s="2" t="n">
        <f>HYPERLINK("https://worldwide.espacenet.com/patent/search?q=US20210346403","Espacenet")</f>
        <v>0.0</v>
      </c>
      <c r="I1547" s="2" t="n">
        <f>HYPERLINK("https://ppubs.uspto.gov/pubwebapp/external.html?q=20210346403.pn.","USPTO")</f>
        <v>0.0</v>
      </c>
      <c r="J1547" s="2" t="n">
        <f>HYPERLINK("https://image-ppubs.uspto.gov/dirsearch-public/print/downloadPdf/20210346403","USPTO PDF")</f>
        <v>0.0</v>
      </c>
      <c r="K1547" s="2" t="n">
        <f>HYPERLINK("https://sectors.patentforecast.com/pmd/US20210346403","PMD")</f>
        <v>0.0</v>
      </c>
      <c r="L1547" s="2" t="n">
        <f>HYPERLINK("https://globaldossier.uspto.gov/result/application/US/17314727/1","US20210346403")</f>
        <v>0.0</v>
      </c>
      <c r="M1547" t="s">
        <v>10697</v>
      </c>
      <c r="N1547" t="s">
        <v>10698</v>
      </c>
      <c r="O1547" t="s">
        <v>10698</v>
      </c>
      <c r="P1547" t="s">
        <v>10699</v>
      </c>
      <c r="Q1547" s="3" t="n">
        <v>44323.0</v>
      </c>
      <c r="R1547" s="3" t="n">
        <v>44511.0</v>
      </c>
      <c r="S1547" s="3" t="n">
        <v>44517.18958446759</v>
      </c>
      <c r="T1547" s="3" t="n">
        <v>44518.384052141206</v>
      </c>
      <c r="U1547" t="s">
        <v>10700</v>
      </c>
      <c r="V1547" t="s">
        <v>10701</v>
      </c>
    </row>
    <row r="1548">
      <c r="A1548" t="s">
        <v>22</v>
      </c>
      <c r="B1548" t="s">
        <v>10702</v>
      </c>
      <c r="C1548" t="s">
        <v>60</v>
      </c>
      <c r="D1548" t="s">
        <v>61</v>
      </c>
      <c r="E1548" t="s">
        <v>6036</v>
      </c>
      <c r="F1548" s="2" t="n">
        <f>HYPERLINK("https://patents.google.com/patent/US20210346402","Google")</f>
        <v>0.0</v>
      </c>
      <c r="G1548" s="2" t="n">
        <f>HYPERLINK("https://patentcenter.uspto.gov/applications/17194931","Patent Center")</f>
        <v>0.0</v>
      </c>
      <c r="H1548" s="2" t="n">
        <f>HYPERLINK("https://worldwide.espacenet.com/patent/search?q=US20210346402","Espacenet")</f>
        <v>0.0</v>
      </c>
      <c r="I1548" s="2" t="n">
        <f>HYPERLINK("https://ppubs.uspto.gov/pubwebapp/external.html?q=20210346402.pn.","USPTO")</f>
        <v>0.0</v>
      </c>
      <c r="J1548" s="2" t="n">
        <f>HYPERLINK("https://image-ppubs.uspto.gov/dirsearch-public/print/downloadPdf/20210346402","USPTO PDF")</f>
        <v>0.0</v>
      </c>
      <c r="K1548" s="2" t="n">
        <f>HYPERLINK("https://sectors.patentforecast.com/pmd/US20210346402","PMD")</f>
        <v>0.0</v>
      </c>
      <c r="L1548" s="2" t="n">
        <f>HYPERLINK("https://globaldossier.uspto.gov/result/application/US/17194931/1","US20210346402")</f>
        <v>0.0</v>
      </c>
      <c r="M1548" t="s">
        <v>10703</v>
      </c>
      <c r="N1548" t="s">
        <v>6038</v>
      </c>
      <c r="O1548" t="s">
        <v>6039</v>
      </c>
      <c r="P1548" t="s">
        <v>10704</v>
      </c>
      <c r="Q1548" s="3" t="n">
        <v>44263.0</v>
      </c>
      <c r="R1548" s="3" t="n">
        <v>44511.0</v>
      </c>
      <c r="S1548" s="3" t="n">
        <v>44517.18958446759</v>
      </c>
      <c r="T1548" s="3" t="n">
        <v>44518.41823037037</v>
      </c>
      <c r="U1548" t="s">
        <v>10705</v>
      </c>
      <c r="V1548" t="s">
        <v>6041</v>
      </c>
    </row>
    <row r="1549">
      <c r="A1549" t="s">
        <v>22</v>
      </c>
      <c r="B1549" t="s">
        <v>10706</v>
      </c>
      <c r="C1549" t="s">
        <v>60</v>
      </c>
      <c r="D1549" t="s">
        <v>61</v>
      </c>
      <c r="E1549" t="s">
        <v>10707</v>
      </c>
      <c r="F1549" s="2" t="n">
        <f>HYPERLINK("https://patents.google.com/patent/US20210346376","Google")</f>
        <v>0.0</v>
      </c>
      <c r="G1549" s="2" t="n">
        <f>HYPERLINK("https://patentcenter.uspto.gov/applications/17378361","Patent Center")</f>
        <v>0.0</v>
      </c>
      <c r="H1549" s="2" t="n">
        <f>HYPERLINK("https://worldwide.espacenet.com/patent/search?q=US20210346376","Espacenet")</f>
        <v>0.0</v>
      </c>
      <c r="I1549" s="2" t="n">
        <f>HYPERLINK("https://ppubs.uspto.gov/pubwebapp/external.html?q=20210346376.pn.","USPTO")</f>
        <v>0.0</v>
      </c>
      <c r="J1549" s="2" t="n">
        <f>HYPERLINK("https://image-ppubs.uspto.gov/dirsearch-public/print/downloadPdf/20210346376","USPTO PDF")</f>
        <v>0.0</v>
      </c>
      <c r="K1549" s="2" t="n">
        <f>HYPERLINK("https://sectors.patentforecast.com/pmd/US20210346376","PMD")</f>
        <v>0.0</v>
      </c>
      <c r="L1549" s="2" t="n">
        <f>HYPERLINK("https://globaldossier.uspto.gov/result/application/US/17378361/1","US20210346376")</f>
        <v>0.0</v>
      </c>
      <c r="M1549" t="s">
        <v>10708</v>
      </c>
      <c r="N1549" t="s">
        <v>153</v>
      </c>
      <c r="O1549" t="s">
        <v>154</v>
      </c>
      <c r="P1549" t="s">
        <v>10709</v>
      </c>
      <c r="Q1549" s="3" t="n">
        <v>44393.0</v>
      </c>
      <c r="R1549" s="3" t="n">
        <v>44511.0</v>
      </c>
      <c r="S1549" s="3" t="n">
        <v>44517.18958446759</v>
      </c>
      <c r="T1549" s="3" t="n">
        <v>44518.40101653935</v>
      </c>
      <c r="U1549" t="s">
        <v>10710</v>
      </c>
      <c r="V1549" t="s">
        <v>10711</v>
      </c>
    </row>
    <row r="1550">
      <c r="A1550" t="s">
        <v>22</v>
      </c>
      <c r="B1550" t="s">
        <v>10712</v>
      </c>
      <c r="C1550" t="s">
        <v>60</v>
      </c>
      <c r="D1550" t="s">
        <v>61</v>
      </c>
      <c r="E1550" t="s">
        <v>10713</v>
      </c>
      <c r="F1550" s="2" t="n">
        <f>HYPERLINK("https://patents.google.com/patent/US20210346357","Google")</f>
        <v>0.0</v>
      </c>
      <c r="G1550" s="2" t="n">
        <f>HYPERLINK("https://patentcenter.uspto.gov/applications/17302594","Patent Center")</f>
        <v>0.0</v>
      </c>
      <c r="H1550" s="2" t="n">
        <f>HYPERLINK("https://worldwide.espacenet.com/patent/search?q=US20210346357","Espacenet")</f>
        <v>0.0</v>
      </c>
      <c r="I1550" s="2" t="n">
        <f>HYPERLINK("https://ppubs.uspto.gov/pubwebapp/external.html?q=20210346357.pn.","USPTO")</f>
        <v>0.0</v>
      </c>
      <c r="J1550" s="2" t="n">
        <f>HYPERLINK("https://image-ppubs.uspto.gov/dirsearch-public/print/downloadPdf/20210346357","USPTO PDF")</f>
        <v>0.0</v>
      </c>
      <c r="K1550" s="2" t="n">
        <f>HYPERLINK("https://sectors.patentforecast.com/pmd/US20210346357","PMD")</f>
        <v>0.0</v>
      </c>
      <c r="L1550" s="2" t="n">
        <f>HYPERLINK("https://globaldossier.uspto.gov/result/application/US/17302594/1","US20210346357")</f>
        <v>0.0</v>
      </c>
      <c r="M1550" t="s">
        <v>10714</v>
      </c>
      <c r="N1550" t="s">
        <v>10715</v>
      </c>
      <c r="O1550" t="s">
        <v>10716</v>
      </c>
      <c r="P1550" t="s">
        <v>10717</v>
      </c>
      <c r="Q1550" s="3" t="n">
        <v>44323.0</v>
      </c>
      <c r="R1550" s="3" t="n">
        <v>44511.0</v>
      </c>
      <c r="S1550" s="3" t="n">
        <v>44517.18784559028</v>
      </c>
      <c r="T1550" s="3" t="n">
        <v>44518.49151982639</v>
      </c>
      <c r="U1550" t="s">
        <v>10718</v>
      </c>
      <c r="V1550" t="s">
        <v>10719</v>
      </c>
    </row>
    <row r="1551">
      <c r="A1551" t="s">
        <v>22</v>
      </c>
      <c r="B1551" t="s">
        <v>10720</v>
      </c>
      <c r="C1551" t="s">
        <v>60</v>
      </c>
      <c r="D1551" t="s">
        <v>61</v>
      </c>
      <c r="E1551" t="s">
        <v>10721</v>
      </c>
      <c r="F1551" s="2" t="n">
        <f>HYPERLINK("https://patents.google.com/patent/US20210346339","Google")</f>
        <v>0.0</v>
      </c>
      <c r="G1551" s="2" t="n">
        <f>HYPERLINK("https://patentcenter.uspto.gov/applications/17210159","Patent Center")</f>
        <v>0.0</v>
      </c>
      <c r="H1551" s="2" t="n">
        <f>HYPERLINK("https://worldwide.espacenet.com/patent/search?q=US20210346339","Espacenet")</f>
        <v>0.0</v>
      </c>
      <c r="I1551" s="2" t="n">
        <f>HYPERLINK("https://ppubs.uspto.gov/pubwebapp/external.html?q=20210346339.pn.","USPTO")</f>
        <v>0.0</v>
      </c>
      <c r="J1551" s="2" t="n">
        <f>HYPERLINK("https://image-ppubs.uspto.gov/dirsearch-public/print/downloadPdf/20210346339","USPTO PDF")</f>
        <v>0.0</v>
      </c>
      <c r="K1551" s="2" t="n">
        <f>HYPERLINK("https://sectors.patentforecast.com/pmd/US20210346339","PMD")</f>
        <v>0.0</v>
      </c>
      <c r="L1551" s="2" t="n">
        <f>HYPERLINK("https://globaldossier.uspto.gov/result/application/US/17210159/1","US20210346339")</f>
        <v>0.0</v>
      </c>
      <c r="M1551" t="s">
        <v>10722</v>
      </c>
      <c r="N1551" t="s">
        <v>10723</v>
      </c>
      <c r="O1551" t="s">
        <v>10724</v>
      </c>
      <c r="P1551" t="s">
        <v>10725</v>
      </c>
      <c r="Q1551" s="3" t="n">
        <v>44278.0</v>
      </c>
      <c r="R1551" s="3" t="n">
        <v>44511.0</v>
      </c>
      <c r="S1551" s="3" t="n">
        <v>44517.18958446759</v>
      </c>
      <c r="T1551" s="3" t="n">
        <v>44518.38532494213</v>
      </c>
      <c r="U1551" t="s">
        <v>10726</v>
      </c>
      <c r="V1551" t="s">
        <v>10727</v>
      </c>
    </row>
    <row r="1552">
      <c r="A1552" t="s">
        <v>22</v>
      </c>
      <c r="B1552" t="s">
        <v>10728</v>
      </c>
      <c r="C1552" t="s">
        <v>60</v>
      </c>
      <c r="D1552" t="s">
        <v>61</v>
      </c>
      <c r="E1552" t="s">
        <v>10729</v>
      </c>
      <c r="F1552" s="2" t="n">
        <f>HYPERLINK("https://patents.google.com/patent/US20210346335","Google")</f>
        <v>0.0</v>
      </c>
      <c r="G1552" s="2" t="n">
        <f>HYPERLINK("https://patentcenter.uspto.gov/applications/17211778","Patent Center")</f>
        <v>0.0</v>
      </c>
      <c r="H1552" s="2" t="n">
        <f>HYPERLINK("https://worldwide.espacenet.com/patent/search?q=US20210346335","Espacenet")</f>
        <v>0.0</v>
      </c>
      <c r="I1552" s="2" t="n">
        <f>HYPERLINK("https://ppubs.uspto.gov/pubwebapp/external.html?q=20210346335.pn.","USPTO")</f>
        <v>0.0</v>
      </c>
      <c r="J1552" s="2" t="n">
        <f>HYPERLINK("https://image-ppubs.uspto.gov/dirsearch-public/print/downloadPdf/20210346335","USPTO PDF")</f>
        <v>0.0</v>
      </c>
      <c r="K1552" s="2" t="n">
        <f>HYPERLINK("https://sectors.patentforecast.com/pmd/US20210346335","PMD")</f>
        <v>0.0</v>
      </c>
      <c r="L1552" s="2" t="n">
        <f>HYPERLINK("https://globaldossier.uspto.gov/result/application/US/17211778/1","US20210346335")</f>
        <v>0.0</v>
      </c>
      <c r="M1552" t="s">
        <v>10730</v>
      </c>
      <c r="N1552" t="s">
        <v>10731</v>
      </c>
      <c r="O1552" t="s">
        <v>10732</v>
      </c>
      <c r="P1552" t="s">
        <v>10733</v>
      </c>
      <c r="Q1552" s="3" t="n">
        <v>44279.0</v>
      </c>
      <c r="R1552" s="3" t="n">
        <v>44511.0</v>
      </c>
      <c r="S1552" s="3" t="n">
        <v>44517.18958446759</v>
      </c>
      <c r="T1552" s="3" t="n">
        <v>44518.411425439816</v>
      </c>
      <c r="U1552" t="s">
        <v>10734</v>
      </c>
      <c r="V1552" t="s">
        <v>10735</v>
      </c>
    </row>
    <row r="1553">
      <c r="A1553" t="s">
        <v>22</v>
      </c>
      <c r="B1553" t="s">
        <v>10736</v>
      </c>
      <c r="C1553" t="s">
        <v>60</v>
      </c>
      <c r="D1553" t="s">
        <v>61</v>
      </c>
      <c r="E1553" t="s">
        <v>7334</v>
      </c>
      <c r="F1553" s="2" t="n">
        <f>HYPERLINK("https://patents.google.com/patent/US20210346324","Google")</f>
        <v>0.0</v>
      </c>
      <c r="G1553" s="2" t="n">
        <f>HYPERLINK("https://patentcenter.uspto.gov/applications/17308712","Patent Center")</f>
        <v>0.0</v>
      </c>
      <c r="H1553" s="2" t="n">
        <f>HYPERLINK("https://worldwide.espacenet.com/patent/search?q=US20210346324","Espacenet")</f>
        <v>0.0</v>
      </c>
      <c r="I1553" s="2" t="n">
        <f>HYPERLINK("https://ppubs.uspto.gov/pubwebapp/external.html?q=20210346324.pn.","USPTO")</f>
        <v>0.0</v>
      </c>
      <c r="J1553" s="2" t="n">
        <f>HYPERLINK("https://image-ppubs.uspto.gov/dirsearch-public/print/downloadPdf/20210346324","USPTO PDF")</f>
        <v>0.0</v>
      </c>
      <c r="K1553" s="2" t="n">
        <f>HYPERLINK("https://sectors.patentforecast.com/pmd/US20210346324","PMD")</f>
        <v>0.0</v>
      </c>
      <c r="L1553" s="2" t="n">
        <f>HYPERLINK("https://globaldossier.uspto.gov/result/application/US/17308712/1","US20210346324")</f>
        <v>0.0</v>
      </c>
      <c r="M1553" t="s">
        <v>10737</v>
      </c>
      <c r="N1553" t="s">
        <v>10738</v>
      </c>
      <c r="O1553" t="s">
        <v>10739</v>
      </c>
      <c r="P1553" t="s">
        <v>7338</v>
      </c>
      <c r="Q1553" s="3" t="n">
        <v>44321.0</v>
      </c>
      <c r="R1553" s="3" t="n">
        <v>44511.0</v>
      </c>
      <c r="S1553" s="3" t="n">
        <v>44517.18958446759</v>
      </c>
      <c r="T1553" s="3" t="n">
        <v>44518.477154583336</v>
      </c>
      <c r="U1553" t="s">
        <v>10740</v>
      </c>
      <c r="V1553" t="s">
        <v>7340</v>
      </c>
    </row>
    <row r="1554">
      <c r="A1554" t="s">
        <v>22</v>
      </c>
      <c r="B1554" t="s">
        <v>10741</v>
      </c>
      <c r="C1554" t="s">
        <v>60</v>
      </c>
      <c r="D1554" t="s">
        <v>61</v>
      </c>
      <c r="E1554" t="s">
        <v>10742</v>
      </c>
      <c r="F1554" s="2" t="n">
        <f>HYPERLINK("https://patents.google.com/patent/US20210346305","Google")</f>
        <v>0.0</v>
      </c>
      <c r="G1554" s="2" t="n">
        <f>HYPERLINK("https://patentcenter.uspto.gov/applications/16871317","Patent Center")</f>
        <v>0.0</v>
      </c>
      <c r="H1554" s="2" t="n">
        <f>HYPERLINK("https://worldwide.espacenet.com/patent/search?q=US20210346305","Espacenet")</f>
        <v>0.0</v>
      </c>
      <c r="I1554" s="2" t="n">
        <f>HYPERLINK("https://ppubs.uspto.gov/pubwebapp/external.html?q=20210346305.pn.","USPTO")</f>
        <v>0.0</v>
      </c>
      <c r="J1554" s="2" t="n">
        <f>HYPERLINK("https://image-ppubs.uspto.gov/dirsearch-public/print/downloadPdf/20210346305","USPTO PDF")</f>
        <v>0.0</v>
      </c>
      <c r="K1554" s="2" t="n">
        <f>HYPERLINK("https://sectors.patentforecast.com/pmd/US20210346305","PMD")</f>
        <v>0.0</v>
      </c>
      <c r="L1554" s="2" t="n">
        <f>HYPERLINK("https://globaldossier.uspto.gov/result/application/US/16871317/1","US20210346305")</f>
        <v>0.0</v>
      </c>
      <c r="M1554" t="s">
        <v>10743</v>
      </c>
      <c r="N1554" t="s">
        <v>10744</v>
      </c>
      <c r="O1554" t="s">
        <v>10745</v>
      </c>
      <c r="P1554" t="s">
        <v>10746</v>
      </c>
      <c r="Q1554" s="3" t="n">
        <v>43962.0</v>
      </c>
      <c r="R1554" s="3" t="n">
        <v>44511.0</v>
      </c>
      <c r="S1554" s="3" t="n">
        <v>44517.18958446759</v>
      </c>
      <c r="T1554" s="3" t="n">
        <v>44518.38714115741</v>
      </c>
      <c r="U1554" t="s">
        <v>10747</v>
      </c>
      <c r="V1554" t="s">
        <v>10748</v>
      </c>
    </row>
    <row r="1555">
      <c r="A1555" t="s">
        <v>22</v>
      </c>
      <c r="B1555" t="s">
        <v>10749</v>
      </c>
      <c r="C1555" t="s">
        <v>60</v>
      </c>
      <c r="D1555" t="s">
        <v>61</v>
      </c>
      <c r="E1555" t="s">
        <v>10750</v>
      </c>
      <c r="F1555" s="2" t="n">
        <f>HYPERLINK("https://patents.google.com/patent/US20210346288","Google")</f>
        <v>0.0</v>
      </c>
      <c r="G1555" s="2" t="n">
        <f>HYPERLINK("https://patentcenter.uspto.gov/applications/17316933","Patent Center")</f>
        <v>0.0</v>
      </c>
      <c r="H1555" s="2" t="n">
        <f>HYPERLINK("https://worldwide.espacenet.com/patent/search?q=US20210346288","Espacenet")</f>
        <v>0.0</v>
      </c>
      <c r="I1555" s="2" t="n">
        <f>HYPERLINK("https://ppubs.uspto.gov/pubwebapp/external.html?q=20210346288.pn.","USPTO")</f>
        <v>0.0</v>
      </c>
      <c r="J1555" s="2" t="n">
        <f>HYPERLINK("https://image-ppubs.uspto.gov/dirsearch-public/print/downloadPdf/20210346288","USPTO PDF")</f>
        <v>0.0</v>
      </c>
      <c r="K1555" s="2" t="n">
        <f>HYPERLINK("https://sectors.patentforecast.com/pmd/US20210346288","PMD")</f>
        <v>0.0</v>
      </c>
      <c r="L1555" s="2" t="n">
        <f>HYPERLINK("https://globaldossier.uspto.gov/result/application/US/17316933/1","US20210346288")</f>
        <v>0.0</v>
      </c>
      <c r="M1555" t="s">
        <v>10751</v>
      </c>
      <c r="N1555" t="s">
        <v>8630</v>
      </c>
      <c r="O1555" t="s">
        <v>8631</v>
      </c>
      <c r="P1555" t="s">
        <v>8632</v>
      </c>
      <c r="Q1555" s="3" t="n">
        <v>44327.0</v>
      </c>
      <c r="R1555" s="3" t="n">
        <v>44511.0</v>
      </c>
      <c r="S1555" s="3" t="n">
        <v>44517.18958446759</v>
      </c>
      <c r="T1555" s="3" t="n">
        <v>44518.38834971065</v>
      </c>
      <c r="U1555" t="s">
        <v>10752</v>
      </c>
      <c r="V1555" t="s">
        <v>10753</v>
      </c>
    </row>
    <row r="1556">
      <c r="A1556" t="s">
        <v>22</v>
      </c>
      <c r="B1556" t="s">
        <v>10754</v>
      </c>
      <c r="C1556" t="s">
        <v>24</v>
      </c>
      <c r="D1556" t="s">
        <v>69</v>
      </c>
      <c r="E1556" t="s">
        <v>10755</v>
      </c>
      <c r="F1556" s="2" t="n">
        <f>HYPERLINK("https://patents.google.com/patent/US20210346205","Google")</f>
        <v>0.0</v>
      </c>
      <c r="G1556" s="2" t="n">
        <f>HYPERLINK("https://patentcenter.uspto.gov/applications/17316637","Patent Center")</f>
        <v>0.0</v>
      </c>
      <c r="H1556" s="2" t="n">
        <f>HYPERLINK("https://worldwide.espacenet.com/patent/search?q=US20210346205","Espacenet")</f>
        <v>0.0</v>
      </c>
      <c r="I1556" s="2" t="n">
        <f>HYPERLINK("https://ppubs.uspto.gov/pubwebapp/external.html?q=20210346205.pn.","USPTO")</f>
        <v>0.0</v>
      </c>
      <c r="J1556" s="2" t="n">
        <f>HYPERLINK("https://image-ppubs.uspto.gov/dirsearch-public/print/downloadPdf/20210346205","USPTO PDF")</f>
        <v>0.0</v>
      </c>
      <c r="K1556" s="2" t="n">
        <f>HYPERLINK("https://sectors.patentforecast.com/pmd/US20210346205","PMD")</f>
        <v>0.0</v>
      </c>
      <c r="L1556" s="2" t="n">
        <f>HYPERLINK("https://globaldossier.uspto.gov/result/application/US/17316637/1","US20210346205")</f>
        <v>0.0</v>
      </c>
      <c r="M1556" t="s">
        <v>10756</v>
      </c>
      <c r="N1556" t="s">
        <v>10757</v>
      </c>
      <c r="O1556" t="s">
        <v>10758</v>
      </c>
      <c r="P1556" t="s">
        <v>10759</v>
      </c>
      <c r="Q1556" s="3" t="n">
        <v>44326.0</v>
      </c>
      <c r="R1556" s="3" t="n">
        <v>44511.0</v>
      </c>
      <c r="S1556" s="3" t="n">
        <v>44517.18958446759</v>
      </c>
      <c r="T1556" s="3" t="n">
        <v>44518.42452674769</v>
      </c>
      <c r="U1556" t="s">
        <v>10760</v>
      </c>
      <c r="V1556" t="s">
        <v>10761</v>
      </c>
    </row>
    <row r="1557">
      <c r="A1557" t="s">
        <v>22</v>
      </c>
      <c r="B1557" t="s">
        <v>10762</v>
      </c>
      <c r="C1557" t="s">
        <v>60</v>
      </c>
      <c r="D1557" t="s">
        <v>715</v>
      </c>
      <c r="E1557" t="s">
        <v>10763</v>
      </c>
      <c r="F1557" s="2" t="n">
        <f>HYPERLINK("https://patents.google.com/patent/US20210346118","Google")</f>
        <v>0.0</v>
      </c>
      <c r="G1557" s="2" t="n">
        <f>HYPERLINK("https://patentcenter.uspto.gov/applications/17065218","Patent Center")</f>
        <v>0.0</v>
      </c>
      <c r="H1557" s="2" t="n">
        <f>HYPERLINK("https://worldwide.espacenet.com/patent/search?q=US20210346118","Espacenet")</f>
        <v>0.0</v>
      </c>
      <c r="I1557" s="2" t="n">
        <f>HYPERLINK("https://ppubs.uspto.gov/pubwebapp/external.html?q=20210346118.pn.","USPTO")</f>
        <v>0.0</v>
      </c>
      <c r="J1557" s="2" t="n">
        <f>HYPERLINK("https://image-ppubs.uspto.gov/dirsearch-public/print/downloadPdf/20210346118","USPTO PDF")</f>
        <v>0.0</v>
      </c>
      <c r="K1557" s="2" t="n">
        <f>HYPERLINK("https://sectors.patentforecast.com/pmd/US20210346118","PMD")</f>
        <v>0.0</v>
      </c>
      <c r="L1557" s="2" t="n">
        <f>HYPERLINK("https://globaldossier.uspto.gov/result/application/US/17065218/1","US20210346118")</f>
        <v>0.0</v>
      </c>
      <c r="M1557" t="s">
        <v>10764</v>
      </c>
      <c r="N1557" t="s">
        <v>10765</v>
      </c>
      <c r="O1557" t="s">
        <v>10766</v>
      </c>
      <c r="P1557" t="s">
        <v>10767</v>
      </c>
      <c r="Q1557" s="3" t="n">
        <v>44111.0</v>
      </c>
      <c r="R1557" s="3" t="n">
        <v>44511.0</v>
      </c>
      <c r="S1557" s="3" t="n">
        <v>44517.188539930554</v>
      </c>
      <c r="T1557" s="3" t="n">
        <v>44518.41163232639</v>
      </c>
      <c r="U1557" t="s">
        <v>10768</v>
      </c>
      <c r="V1557" t="s">
        <v>10769</v>
      </c>
    </row>
    <row r="1558">
      <c r="A1558" t="s">
        <v>22</v>
      </c>
      <c r="B1558" t="s">
        <v>10770</v>
      </c>
      <c r="C1558" t="s">
        <v>24</v>
      </c>
      <c r="D1558" t="s">
        <v>69</v>
      </c>
      <c r="E1558" t="s">
        <v>10771</v>
      </c>
      <c r="F1558" s="2" t="n">
        <f>HYPERLINK("https://patents.google.com/patent/US20210346114","Google")</f>
        <v>0.0</v>
      </c>
      <c r="G1558" s="2" t="n">
        <f>HYPERLINK("https://patentcenter.uspto.gov/applications/17317615","Patent Center")</f>
        <v>0.0</v>
      </c>
      <c r="H1558" s="2" t="n">
        <f>HYPERLINK("https://worldwide.espacenet.com/patent/search?q=US20210346114","Espacenet")</f>
        <v>0.0</v>
      </c>
      <c r="I1558" s="2" t="n">
        <f>HYPERLINK("https://ppubs.uspto.gov/pubwebapp/external.html?q=20210346114.pn.","USPTO")</f>
        <v>0.0</v>
      </c>
      <c r="J1558" s="2" t="n">
        <f>HYPERLINK("https://image-ppubs.uspto.gov/dirsearch-public/print/downloadPdf/20210346114","USPTO PDF")</f>
        <v>0.0</v>
      </c>
      <c r="K1558" s="2" t="n">
        <f>HYPERLINK("https://sectors.patentforecast.com/pmd/US20210346114","PMD")</f>
        <v>0.0</v>
      </c>
      <c r="L1558" s="2" t="n">
        <f>HYPERLINK("https://globaldossier.uspto.gov/result/application/US/17317615/1","US20210346114")</f>
        <v>0.0</v>
      </c>
      <c r="M1558" t="s">
        <v>10772</v>
      </c>
      <c r="N1558" t="s">
        <v>3998</v>
      </c>
      <c r="O1558" t="s">
        <v>3999</v>
      </c>
      <c r="P1558" t="s">
        <v>10773</v>
      </c>
      <c r="Q1558" s="3" t="n">
        <v>44327.0</v>
      </c>
      <c r="R1558" s="3" t="n">
        <v>44511.0</v>
      </c>
      <c r="S1558" s="3" t="n">
        <v>44517.188539930554</v>
      </c>
      <c r="T1558" s="3" t="n">
        <v>44518.49178415509</v>
      </c>
      <c r="U1558" t="s">
        <v>10774</v>
      </c>
      <c r="V1558" t="s">
        <v>10775</v>
      </c>
    </row>
    <row r="1559">
      <c r="A1559" t="s">
        <v>22</v>
      </c>
      <c r="B1559" t="s">
        <v>10776</v>
      </c>
      <c r="C1559" t="s">
        <v>24</v>
      </c>
      <c r="D1559" t="s">
        <v>1450</v>
      </c>
      <c r="E1559" t="s">
        <v>10777</v>
      </c>
      <c r="F1559" s="2" t="n">
        <f>HYPERLINK("https://patents.google.com/patent/US20210345974","Google")</f>
        <v>0.0</v>
      </c>
      <c r="G1559" s="2" t="n">
        <f>HYPERLINK("https://patentcenter.uspto.gov/applications/15929563","Patent Center")</f>
        <v>0.0</v>
      </c>
      <c r="H1559" s="2" t="n">
        <f>HYPERLINK("https://worldwide.espacenet.com/patent/search?q=US20210345974","Espacenet")</f>
        <v>0.0</v>
      </c>
      <c r="I1559" s="2" t="n">
        <f>HYPERLINK("https://ppubs.uspto.gov/pubwebapp/external.html?q=20210345974.pn.","USPTO")</f>
        <v>0.0</v>
      </c>
      <c r="J1559" s="2" t="n">
        <f>HYPERLINK("https://image-ppubs.uspto.gov/dirsearch-public/print/downloadPdf/20210345974","USPTO PDF")</f>
        <v>0.0</v>
      </c>
      <c r="K1559" s="2" t="n">
        <f>HYPERLINK("https://sectors.patentforecast.com/pmd/US20210345974","PMD")</f>
        <v>0.0</v>
      </c>
      <c r="L1559" s="2" t="n">
        <f>HYPERLINK("https://globaldossier.uspto.gov/result/application/US/15929563/1","US20210345974")</f>
        <v>0.0</v>
      </c>
      <c r="M1559" t="s">
        <v>10778</v>
      </c>
      <c r="N1559" t="s">
        <v>10779</v>
      </c>
      <c r="O1559" t="s">
        <v>10780</v>
      </c>
      <c r="P1559" t="s">
        <v>10781</v>
      </c>
      <c r="Q1559" s="3" t="n">
        <v>43962.0</v>
      </c>
      <c r="R1559" s="3" t="n">
        <v>44511.0</v>
      </c>
      <c r="S1559" s="3" t="n">
        <v>44517.188539930554</v>
      </c>
      <c r="T1559" s="3" t="n">
        <v>44518.388435787034</v>
      </c>
      <c r="U1559" t="s">
        <v>10782</v>
      </c>
      <c r="V1559" t="s">
        <v>10783</v>
      </c>
    </row>
    <row r="1560">
      <c r="A1560" t="s">
        <v>22</v>
      </c>
      <c r="B1560" t="s">
        <v>10784</v>
      </c>
      <c r="C1560" t="s">
        <v>24</v>
      </c>
      <c r="D1560" t="s">
        <v>34</v>
      </c>
      <c r="E1560" t="s">
        <v>3170</v>
      </c>
      <c r="F1560" s="2" t="n">
        <f>HYPERLINK("https://patents.google.com/patent/US20210345939","Google")</f>
        <v>0.0</v>
      </c>
      <c r="G1560" s="2" t="n">
        <f>HYPERLINK("https://patentcenter.uspto.gov/applications/17096806","Patent Center")</f>
        <v>0.0</v>
      </c>
      <c r="H1560" s="2" t="n">
        <f>HYPERLINK("https://worldwide.espacenet.com/patent/search?q=US20210345939","Espacenet")</f>
        <v>0.0</v>
      </c>
      <c r="I1560" s="2" t="n">
        <f>HYPERLINK("https://ppubs.uspto.gov/pubwebapp/external.html?q=20210345939.pn.","USPTO")</f>
        <v>0.0</v>
      </c>
      <c r="J1560" s="2" t="n">
        <f>HYPERLINK("https://image-ppubs.uspto.gov/dirsearch-public/print/downloadPdf/20210345939","USPTO PDF")</f>
        <v>0.0</v>
      </c>
      <c r="K1560" s="2" t="n">
        <f>HYPERLINK("https://sectors.patentforecast.com/pmd/US20210345939","PMD")</f>
        <v>0.0</v>
      </c>
      <c r="L1560" s="2" t="n">
        <f>HYPERLINK("https://globaldossier.uspto.gov/result/application/US/17096806/1","US20210345939")</f>
        <v>0.0</v>
      </c>
      <c r="M1560" t="s">
        <v>10785</v>
      </c>
      <c r="N1560" t="s">
        <v>3172</v>
      </c>
      <c r="O1560" t="s">
        <v>3173</v>
      </c>
      <c r="P1560" t="s">
        <v>3174</v>
      </c>
      <c r="Q1560" s="3" t="n">
        <v>44147.0</v>
      </c>
      <c r="R1560" s="3" t="n">
        <v>44511.0</v>
      </c>
      <c r="S1560" s="3" t="n">
        <v>44517.188539930554</v>
      </c>
      <c r="T1560" s="3" t="n">
        <v>44518.425005034725</v>
      </c>
      <c r="U1560" t="s">
        <v>10786</v>
      </c>
      <c r="V1560" t="s">
        <v>10787</v>
      </c>
    </row>
    <row r="1561">
      <c r="A1561" t="s">
        <v>22</v>
      </c>
      <c r="B1561" t="s">
        <v>10788</v>
      </c>
      <c r="C1561" t="s">
        <v>312</v>
      </c>
      <c r="D1561" t="s">
        <v>715</v>
      </c>
      <c r="E1561" t="s">
        <v>10789</v>
      </c>
      <c r="F1561" s="2" t="n">
        <f>HYPERLINK("https://patents.google.com/patent/US20210345878","Google")</f>
        <v>0.0</v>
      </c>
      <c r="G1561" s="2" t="n">
        <f>HYPERLINK("https://patentcenter.uspto.gov/applications/16866867","Patent Center")</f>
        <v>0.0</v>
      </c>
      <c r="H1561" s="2" t="n">
        <f>HYPERLINK("https://worldwide.espacenet.com/patent/search?q=US20210345878","Espacenet")</f>
        <v>0.0</v>
      </c>
      <c r="I1561" s="2" t="n">
        <f>HYPERLINK("https://ppubs.uspto.gov/pubwebapp/external.html?q=20210345878.pn.","USPTO")</f>
        <v>0.0</v>
      </c>
      <c r="J1561" s="2" t="n">
        <f>HYPERLINK("https://image-ppubs.uspto.gov/dirsearch-public/print/downloadPdf/20210345878","USPTO PDF")</f>
        <v>0.0</v>
      </c>
      <c r="K1561" s="2" t="n">
        <f>HYPERLINK("https://sectors.patentforecast.com/pmd/US20210345878","PMD")</f>
        <v>0.0</v>
      </c>
      <c r="L1561" s="2" t="n">
        <f>HYPERLINK("https://globaldossier.uspto.gov/result/application/US/16866867/1","US20210345878")</f>
        <v>0.0</v>
      </c>
      <c r="M1561" t="s">
        <v>10790</v>
      </c>
      <c r="N1561" t="s">
        <v>10791</v>
      </c>
      <c r="O1561" t="s">
        <v>10792</v>
      </c>
      <c r="P1561" t="s">
        <v>10793</v>
      </c>
      <c r="Q1561" s="3" t="n">
        <v>43956.0</v>
      </c>
      <c r="R1561" s="3" t="n">
        <v>44511.0</v>
      </c>
      <c r="S1561" s="3" t="n">
        <v>44517.188539930554</v>
      </c>
      <c r="T1561" s="3" t="n">
        <v>44518.39044050926</v>
      </c>
      <c r="U1561" t="s">
        <v>10794</v>
      </c>
      <c r="V1561" t="s">
        <v>10795</v>
      </c>
    </row>
    <row r="1562">
      <c r="A1562" t="s">
        <v>22</v>
      </c>
      <c r="B1562" t="s">
        <v>10796</v>
      </c>
      <c r="C1562" t="s">
        <v>24</v>
      </c>
      <c r="D1562" t="s">
        <v>100</v>
      </c>
      <c r="E1562" t="s">
        <v>10797</v>
      </c>
      <c r="F1562" s="2" t="n">
        <f>HYPERLINK("https://patents.google.com/patent/US20210345770","Google")</f>
        <v>0.0</v>
      </c>
      <c r="G1562" s="2" t="n">
        <f>HYPERLINK("https://patentcenter.uspto.gov/applications/17201861","Patent Center")</f>
        <v>0.0</v>
      </c>
      <c r="H1562" s="2" t="n">
        <f>HYPERLINK("https://worldwide.espacenet.com/patent/search?q=US20210345770","Espacenet")</f>
        <v>0.0</v>
      </c>
      <c r="I1562" s="2" t="n">
        <f>HYPERLINK("https://ppubs.uspto.gov/pubwebapp/external.html?q=20210345770.pn.","USPTO")</f>
        <v>0.0</v>
      </c>
      <c r="J1562" s="2" t="n">
        <f>HYPERLINK("https://image-ppubs.uspto.gov/dirsearch-public/print/downloadPdf/20210345770","USPTO PDF")</f>
        <v>0.0</v>
      </c>
      <c r="K1562" s="2" t="n">
        <f>HYPERLINK("https://sectors.patentforecast.com/pmd/US20210345770","PMD")</f>
        <v>0.0</v>
      </c>
      <c r="L1562" s="2" t="n">
        <f>HYPERLINK("https://globaldossier.uspto.gov/result/application/US/17201861/1","US20210345770")</f>
        <v>0.0</v>
      </c>
      <c r="M1562" t="s">
        <v>10798</v>
      </c>
      <c r="N1562" t="s">
        <v>10799</v>
      </c>
      <c r="O1562" t="s">
        <v>10799</v>
      </c>
      <c r="P1562" t="s">
        <v>10800</v>
      </c>
      <c r="Q1562" s="3" t="n">
        <v>44270.0</v>
      </c>
      <c r="R1562" s="3" t="n">
        <v>44511.0</v>
      </c>
      <c r="S1562" s="3" t="n">
        <v>44517.188539930554</v>
      </c>
      <c r="T1562" s="3" t="n">
        <v>44672.33546137731</v>
      </c>
      <c r="U1562" t="s">
        <v>10801</v>
      </c>
      <c r="V1562" t="s">
        <v>10802</v>
      </c>
    </row>
    <row r="1563">
      <c r="A1563" t="s">
        <v>22</v>
      </c>
      <c r="B1563" t="s">
        <v>10803</v>
      </c>
      <c r="C1563" t="s">
        <v>24</v>
      </c>
      <c r="D1563" t="s">
        <v>69</v>
      </c>
      <c r="E1563" t="s">
        <v>10804</v>
      </c>
      <c r="F1563" s="2" t="n">
        <f>HYPERLINK("https://patents.google.com/patent/US20210345710","Google")</f>
        <v>0.0</v>
      </c>
      <c r="G1563" s="2" t="n">
        <f>HYPERLINK("https://patentcenter.uspto.gov/applications/17300034","Patent Center")</f>
        <v>0.0</v>
      </c>
      <c r="H1563" s="2" t="n">
        <f>HYPERLINK("https://worldwide.espacenet.com/patent/search?q=US20210345710","Espacenet")</f>
        <v>0.0</v>
      </c>
      <c r="I1563" s="2" t="n">
        <f>HYPERLINK("https://ppubs.uspto.gov/pubwebapp/external.html?q=20210345710.pn.","USPTO")</f>
        <v>0.0</v>
      </c>
      <c r="J1563" s="2" t="n">
        <f>HYPERLINK("https://image-ppubs.uspto.gov/dirsearch-public/print/downloadPdf/20210345710","USPTO PDF")</f>
        <v>0.0</v>
      </c>
      <c r="K1563" s="2" t="n">
        <f>HYPERLINK("https://sectors.patentforecast.com/pmd/US20210345710","PMD")</f>
        <v>0.0</v>
      </c>
      <c r="L1563" s="2" t="n">
        <f>HYPERLINK("https://globaldossier.uspto.gov/result/application/US/17300034/1","US20210345710")</f>
        <v>0.0</v>
      </c>
      <c r="M1563" t="s">
        <v>10805</v>
      </c>
      <c r="N1563" t="s">
        <v>10806</v>
      </c>
      <c r="O1563" t="s">
        <v>10807</v>
      </c>
      <c r="P1563" t="s">
        <v>10808</v>
      </c>
      <c r="Q1563" s="3" t="n">
        <v>44246.0</v>
      </c>
      <c r="R1563" s="3" t="n">
        <v>44511.0</v>
      </c>
      <c r="S1563" s="3" t="n">
        <v>44517.188539930554</v>
      </c>
      <c r="T1563" s="3" t="n">
        <v>44518.37982672454</v>
      </c>
      <c r="U1563" t="s">
        <v>10809</v>
      </c>
      <c r="V1563" t="s">
        <v>10810</v>
      </c>
    </row>
    <row r="1564">
      <c r="A1564" t="s">
        <v>22</v>
      </c>
      <c r="B1564" t="s">
        <v>10811</v>
      </c>
      <c r="C1564" t="s">
        <v>24</v>
      </c>
      <c r="D1564" t="s">
        <v>69</v>
      </c>
      <c r="E1564" t="s">
        <v>10812</v>
      </c>
      <c r="F1564" s="2" t="n">
        <f>HYPERLINK("https://patents.google.com/patent/US20210345708","Google")</f>
        <v>0.0</v>
      </c>
      <c r="G1564" s="2" t="n">
        <f>HYPERLINK("https://patentcenter.uspto.gov/applications/16870204","Patent Center")</f>
        <v>0.0</v>
      </c>
      <c r="H1564" s="2" t="n">
        <f>HYPERLINK("https://worldwide.espacenet.com/patent/search?q=US20210345708","Espacenet")</f>
        <v>0.0</v>
      </c>
      <c r="I1564" s="2" t="n">
        <f>HYPERLINK("https://ppubs.uspto.gov/pubwebapp/external.html?q=20210345708.pn.","USPTO")</f>
        <v>0.0</v>
      </c>
      <c r="J1564" s="2" t="n">
        <f>HYPERLINK("https://image-ppubs.uspto.gov/dirsearch-public/print/downloadPdf/20210345708","USPTO PDF")</f>
        <v>0.0</v>
      </c>
      <c r="K1564" s="2" t="n">
        <f>HYPERLINK("https://sectors.patentforecast.com/pmd/US20210345708","PMD")</f>
        <v>0.0</v>
      </c>
      <c r="L1564" s="2" t="n">
        <f>HYPERLINK("https://globaldossier.uspto.gov/result/application/US/16870204/1","US20210345708")</f>
        <v>0.0</v>
      </c>
      <c r="M1564" t="s">
        <v>10813</v>
      </c>
      <c r="N1564" t="s">
        <v>10814</v>
      </c>
      <c r="O1564" t="s">
        <v>10815</v>
      </c>
      <c r="P1564" t="s">
        <v>10816</v>
      </c>
      <c r="Q1564" s="3" t="n">
        <v>43959.0</v>
      </c>
      <c r="R1564" s="3" t="n">
        <v>44511.0</v>
      </c>
      <c r="S1564" s="3" t="n">
        <v>44517.188539930554</v>
      </c>
      <c r="T1564" s="3" t="n">
        <v>44518.39032302083</v>
      </c>
      <c r="U1564" t="s">
        <v>10817</v>
      </c>
      <c r="V1564" t="s">
        <v>10818</v>
      </c>
    </row>
    <row r="1565">
      <c r="A1565" t="s">
        <v>22</v>
      </c>
      <c r="B1565" t="s">
        <v>10819</v>
      </c>
      <c r="C1565" t="s">
        <v>24</v>
      </c>
      <c r="D1565" t="s">
        <v>69</v>
      </c>
      <c r="E1565" t="s">
        <v>10820</v>
      </c>
      <c r="F1565" s="2" t="n">
        <f>HYPERLINK("https://patents.google.com/patent/US20210345704","Google")</f>
        <v>0.0</v>
      </c>
      <c r="G1565" s="2" t="n">
        <f>HYPERLINK("https://patentcenter.uspto.gov/applications/17314293","Patent Center")</f>
        <v>0.0</v>
      </c>
      <c r="H1565" s="2" t="n">
        <f>HYPERLINK("https://worldwide.espacenet.com/patent/search?q=US20210345704","Espacenet")</f>
        <v>0.0</v>
      </c>
      <c r="I1565" s="2" t="n">
        <f>HYPERLINK("https://ppubs.uspto.gov/pubwebapp/external.html?q=20210345704.pn.","USPTO")</f>
        <v>0.0</v>
      </c>
      <c r="J1565" s="2" t="n">
        <f>HYPERLINK("https://image-ppubs.uspto.gov/dirsearch-public/print/downloadPdf/20210345704","USPTO PDF")</f>
        <v>0.0</v>
      </c>
      <c r="K1565" s="2" t="n">
        <f>HYPERLINK("https://sectors.patentforecast.com/pmd/US20210345704","PMD")</f>
        <v>0.0</v>
      </c>
      <c r="L1565" s="2" t="n">
        <f>HYPERLINK("https://globaldossier.uspto.gov/result/application/US/17314293/1","US20210345704")</f>
        <v>0.0</v>
      </c>
      <c r="M1565" t="s">
        <v>10821</v>
      </c>
      <c r="N1565" t="s">
        <v>10822</v>
      </c>
      <c r="O1565" t="s">
        <v>10823</v>
      </c>
      <c r="P1565" t="s">
        <v>10824</v>
      </c>
      <c r="Q1565" s="3" t="n">
        <v>44323.0</v>
      </c>
      <c r="R1565" s="3" t="n">
        <v>44511.0</v>
      </c>
      <c r="S1565" s="3" t="n">
        <v>44517.188539930554</v>
      </c>
      <c r="T1565" s="3" t="n">
        <v>44518.41828232639</v>
      </c>
      <c r="U1565" t="s">
        <v>10825</v>
      </c>
      <c r="V1565" t="s">
        <v>10826</v>
      </c>
    </row>
    <row r="1566">
      <c r="A1566" t="s">
        <v>22</v>
      </c>
      <c r="B1566" t="s">
        <v>10827</v>
      </c>
      <c r="C1566" t="s">
        <v>24</v>
      </c>
      <c r="D1566" t="s">
        <v>69</v>
      </c>
      <c r="E1566" t="s">
        <v>10828</v>
      </c>
      <c r="F1566" s="2" t="n">
        <f>HYPERLINK("https://patents.google.com/patent/US20210345701","Google")</f>
        <v>0.0</v>
      </c>
      <c r="G1566" s="2" t="n">
        <f>HYPERLINK("https://patentcenter.uspto.gov/applications/16870660","Patent Center")</f>
        <v>0.0</v>
      </c>
      <c r="H1566" s="2" t="n">
        <f>HYPERLINK("https://worldwide.espacenet.com/patent/search?q=US20210345701","Espacenet")</f>
        <v>0.0</v>
      </c>
      <c r="I1566" s="2" t="n">
        <f>HYPERLINK("https://ppubs.uspto.gov/pubwebapp/external.html?q=20210345701.pn.","USPTO")</f>
        <v>0.0</v>
      </c>
      <c r="J1566" s="2" t="n">
        <f>HYPERLINK("https://image-ppubs.uspto.gov/dirsearch-public/print/downloadPdf/20210345701","USPTO PDF")</f>
        <v>0.0</v>
      </c>
      <c r="K1566" s="2" t="n">
        <f>HYPERLINK("https://sectors.patentforecast.com/pmd/US20210345701","PMD")</f>
        <v>0.0</v>
      </c>
      <c r="L1566" s="2" t="n">
        <f>HYPERLINK("https://globaldossier.uspto.gov/result/application/US/16870660/1","US20210345701")</f>
        <v>0.0</v>
      </c>
      <c r="M1566" t="s">
        <v>10829</v>
      </c>
      <c r="N1566" t="s">
        <v>10830</v>
      </c>
      <c r="O1566" t="s">
        <v>10830</v>
      </c>
      <c r="P1566" t="s">
        <v>10831</v>
      </c>
      <c r="Q1566" s="3" t="n">
        <v>43959.0</v>
      </c>
      <c r="R1566" s="3" t="n">
        <v>44511.0</v>
      </c>
      <c r="S1566" s="3" t="n">
        <v>44517.188539930554</v>
      </c>
      <c r="T1566" s="3" t="n">
        <v>44518.3796719213</v>
      </c>
      <c r="U1566" t="s">
        <v>10832</v>
      </c>
      <c r="V1566" t="s">
        <v>10833</v>
      </c>
    </row>
    <row r="1567">
      <c r="A1567" t="s">
        <v>22</v>
      </c>
      <c r="B1567" t="s">
        <v>10834</v>
      </c>
      <c r="C1567" t="s">
        <v>24</v>
      </c>
      <c r="D1567" t="s">
        <v>69</v>
      </c>
      <c r="E1567" t="s">
        <v>10835</v>
      </c>
      <c r="F1567" s="2" t="n">
        <f>HYPERLINK("https://patents.google.com/patent/US20210345699","Google")</f>
        <v>0.0</v>
      </c>
      <c r="G1567" s="2" t="n">
        <f>HYPERLINK("https://patentcenter.uspto.gov/applications/17243335","Patent Center")</f>
        <v>0.0</v>
      </c>
      <c r="H1567" s="2" t="n">
        <f>HYPERLINK("https://worldwide.espacenet.com/patent/search?q=US20210345699","Espacenet")</f>
        <v>0.0</v>
      </c>
      <c r="I1567" s="2" t="n">
        <f>HYPERLINK("https://ppubs.uspto.gov/pubwebapp/external.html?q=20210345699.pn.","USPTO")</f>
        <v>0.0</v>
      </c>
      <c r="J1567" s="2" t="n">
        <f>HYPERLINK("https://image-ppubs.uspto.gov/dirsearch-public/print/downloadPdf/20210345699","USPTO PDF")</f>
        <v>0.0</v>
      </c>
      <c r="K1567" s="2" t="n">
        <f>HYPERLINK("https://sectors.patentforecast.com/pmd/US20210345699","PMD")</f>
        <v>0.0</v>
      </c>
      <c r="L1567" s="2" t="n">
        <f>HYPERLINK("https://globaldossier.uspto.gov/result/application/US/17243335/1","US20210345699")</f>
        <v>0.0</v>
      </c>
      <c r="M1567" t="s">
        <v>10836</v>
      </c>
      <c r="N1567" t="s">
        <v>1196</v>
      </c>
      <c r="O1567" t="s">
        <v>1196</v>
      </c>
      <c r="P1567" t="s">
        <v>10837</v>
      </c>
      <c r="Q1567" s="3" t="n">
        <v>44314.0</v>
      </c>
      <c r="R1567" s="3" t="n">
        <v>44511.0</v>
      </c>
      <c r="S1567" s="3" t="n">
        <v>44517.188539930554</v>
      </c>
      <c r="T1567" s="3" t="n">
        <v>44518.425724953704</v>
      </c>
      <c r="U1567" t="s">
        <v>10838</v>
      </c>
      <c r="V1567" t="s">
        <v>10839</v>
      </c>
    </row>
    <row r="1568">
      <c r="A1568" t="s">
        <v>22</v>
      </c>
      <c r="B1568" t="s">
        <v>10840</v>
      </c>
      <c r="C1568" t="s">
        <v>24</v>
      </c>
      <c r="D1568" t="s">
        <v>69</v>
      </c>
      <c r="E1568" t="s">
        <v>5905</v>
      </c>
      <c r="F1568" s="2" t="n">
        <f>HYPERLINK("https://patents.google.com/patent/US20210345695","Google")</f>
        <v>0.0</v>
      </c>
      <c r="G1568" s="2" t="n">
        <f>HYPERLINK("https://patentcenter.uspto.gov/applications/17242266","Patent Center")</f>
        <v>0.0</v>
      </c>
      <c r="H1568" s="2" t="n">
        <f>HYPERLINK("https://worldwide.espacenet.com/patent/search?q=US20210345695","Espacenet")</f>
        <v>0.0</v>
      </c>
      <c r="I1568" s="2" t="n">
        <f>HYPERLINK("https://ppubs.uspto.gov/pubwebapp/external.html?q=20210345695.pn.","USPTO")</f>
        <v>0.0</v>
      </c>
      <c r="J1568" s="2" t="n">
        <f>HYPERLINK("https://image-ppubs.uspto.gov/dirsearch-public/print/downloadPdf/20210345695","USPTO PDF")</f>
        <v>0.0</v>
      </c>
      <c r="K1568" s="2" t="n">
        <f>HYPERLINK("https://sectors.patentforecast.com/pmd/US20210345695","PMD")</f>
        <v>0.0</v>
      </c>
      <c r="L1568" s="2" t="n">
        <f>HYPERLINK("https://globaldossier.uspto.gov/result/application/US/17242266/1","US20210345695")</f>
        <v>0.0</v>
      </c>
      <c r="M1568" t="s">
        <v>10841</v>
      </c>
      <c r="N1568" t="s">
        <v>5907</v>
      </c>
      <c r="O1568" t="s">
        <v>5908</v>
      </c>
      <c r="P1568" t="s">
        <v>5909</v>
      </c>
      <c r="Q1568" s="3" t="n">
        <v>44313.0</v>
      </c>
      <c r="R1568" s="3" t="n">
        <v>44511.0</v>
      </c>
      <c r="S1568" s="3" t="n">
        <v>44517.188539930554</v>
      </c>
      <c r="T1568" s="3" t="n">
        <v>44518.38993269676</v>
      </c>
      <c r="U1568" t="s">
        <v>10842</v>
      </c>
      <c r="V1568" t="s">
        <v>10843</v>
      </c>
    </row>
    <row r="1569">
      <c r="A1569" t="s">
        <v>22</v>
      </c>
      <c r="B1569" t="s">
        <v>10844</v>
      </c>
      <c r="C1569" t="s">
        <v>24</v>
      </c>
      <c r="D1569" t="s">
        <v>69</v>
      </c>
      <c r="E1569" t="s">
        <v>10845</v>
      </c>
      <c r="F1569" s="2" t="n">
        <f>HYPERLINK("https://patents.google.com/patent/US20210343426","Google")</f>
        <v>0.0</v>
      </c>
      <c r="G1569" s="2" t="n">
        <f>HYPERLINK("https://patentcenter.uspto.gov/applications/17306110","Patent Center")</f>
        <v>0.0</v>
      </c>
      <c r="H1569" s="2" t="n">
        <f>HYPERLINK("https://worldwide.espacenet.com/patent/search?q=US20210343426","Espacenet")</f>
        <v>0.0</v>
      </c>
      <c r="I1569" s="2" t="n">
        <f>HYPERLINK("https://ppubs.uspto.gov/pubwebapp/external.html?q=20210343426.pn.","USPTO")</f>
        <v>0.0</v>
      </c>
      <c r="J1569" s="2" t="n">
        <f>HYPERLINK("https://image-ppubs.uspto.gov/dirsearch-public/print/downloadPdf/20210343426","USPTO PDF")</f>
        <v>0.0</v>
      </c>
      <c r="K1569" s="2" t="n">
        <f>HYPERLINK("https://sectors.patentforecast.com/pmd/US20210343426","PMD")</f>
        <v>0.0</v>
      </c>
      <c r="L1569" s="2" t="n">
        <f>HYPERLINK("https://globaldossier.uspto.gov/result/application/US/17306110/1","US20210343426")</f>
        <v>0.0</v>
      </c>
      <c r="M1569" t="s">
        <v>10846</v>
      </c>
      <c r="N1569" t="s">
        <v>10847</v>
      </c>
      <c r="O1569" t="s">
        <v>10848</v>
      </c>
      <c r="P1569" t="s">
        <v>10849</v>
      </c>
      <c r="Q1569" s="3" t="n">
        <v>44319.0</v>
      </c>
      <c r="R1569" s="3" t="n">
        <v>44504.0</v>
      </c>
      <c r="S1569" s="3" t="n">
        <v>44505.23224844907</v>
      </c>
      <c r="T1569" s="3" t="n">
        <v>44509.70129402778</v>
      </c>
      <c r="U1569" t="s">
        <v>10850</v>
      </c>
      <c r="V1569" t="s">
        <v>10851</v>
      </c>
    </row>
    <row r="1570">
      <c r="A1570" t="s">
        <v>22</v>
      </c>
      <c r="B1570" t="s">
        <v>10852</v>
      </c>
      <c r="C1570" t="s">
        <v>24</v>
      </c>
      <c r="D1570" t="s">
        <v>43</v>
      </c>
      <c r="E1570" t="s">
        <v>10853</v>
      </c>
      <c r="F1570" s="2" t="n">
        <f>HYPERLINK("https://patents.google.com/patent/US20210343425","Google")</f>
        <v>0.0</v>
      </c>
      <c r="G1570" s="2" t="n">
        <f>HYPERLINK("https://patentcenter.uspto.gov/applications/16996303","Patent Center")</f>
        <v>0.0</v>
      </c>
      <c r="H1570" s="2" t="n">
        <f>HYPERLINK("https://worldwide.espacenet.com/patent/search?q=US20210343425","Espacenet")</f>
        <v>0.0</v>
      </c>
      <c r="I1570" s="2" t="n">
        <f>HYPERLINK("https://ppubs.uspto.gov/pubwebapp/external.html?q=20210343425.pn.","USPTO")</f>
        <v>0.0</v>
      </c>
      <c r="J1570" s="2" t="n">
        <f>HYPERLINK("https://image-ppubs.uspto.gov/dirsearch-public/print/downloadPdf/20210343425","USPTO PDF")</f>
        <v>0.0</v>
      </c>
      <c r="K1570" s="2" t="n">
        <f>HYPERLINK("https://sectors.patentforecast.com/pmd/US20210343425","PMD")</f>
        <v>0.0</v>
      </c>
      <c r="L1570" s="2" t="n">
        <f>HYPERLINK("https://globaldossier.uspto.gov/result/application/US/16996303/1","US20210343425")</f>
        <v>0.0</v>
      </c>
      <c r="M1570" t="s">
        <v>10854</v>
      </c>
      <c r="N1570" t="s">
        <v>8931</v>
      </c>
      <c r="O1570" t="s">
        <v>8931</v>
      </c>
      <c r="P1570" t="s">
        <v>8932</v>
      </c>
      <c r="Q1570" s="3" t="n">
        <v>44061.0</v>
      </c>
      <c r="R1570" s="3" t="n">
        <v>44504.0</v>
      </c>
      <c r="S1570" s="3" t="n">
        <v>44505.23051466435</v>
      </c>
      <c r="T1570" s="3" t="n">
        <v>44509.685950405095</v>
      </c>
      <c r="U1570" t="s">
        <v>8933</v>
      </c>
      <c r="V1570" t="s">
        <v>10855</v>
      </c>
    </row>
    <row r="1571">
      <c r="A1571" t="s">
        <v>22</v>
      </c>
      <c r="B1571" t="s">
        <v>10856</v>
      </c>
      <c r="C1571" t="s">
        <v>24</v>
      </c>
      <c r="D1571" t="s">
        <v>51</v>
      </c>
      <c r="E1571" t="s">
        <v>10857</v>
      </c>
      <c r="F1571" s="2" t="n">
        <f>HYPERLINK("https://patents.google.com/patent/US20210343378","Google")</f>
        <v>0.0</v>
      </c>
      <c r="G1571" s="2" t="n">
        <f>HYPERLINK("https://patentcenter.uspto.gov/applications/17306088","Patent Center")</f>
        <v>0.0</v>
      </c>
      <c r="H1571" s="2" t="n">
        <f>HYPERLINK("https://worldwide.espacenet.com/patent/search?q=US20210343378","Espacenet")</f>
        <v>0.0</v>
      </c>
      <c r="I1571" s="2" t="n">
        <f>HYPERLINK("https://ppubs.uspto.gov/pubwebapp/external.html?q=20210343378.pn.","USPTO")</f>
        <v>0.0</v>
      </c>
      <c r="J1571" s="2" t="n">
        <f>HYPERLINK("https://image-ppubs.uspto.gov/dirsearch-public/print/downloadPdf/20210343378","USPTO PDF")</f>
        <v>0.0</v>
      </c>
      <c r="K1571" s="2" t="n">
        <f>HYPERLINK("https://sectors.patentforecast.com/pmd/US20210343378","PMD")</f>
        <v>0.0</v>
      </c>
      <c r="L1571" s="2" t="n">
        <f>HYPERLINK("https://globaldossier.uspto.gov/result/application/US/17306088/1","US20210343378")</f>
        <v>0.0</v>
      </c>
      <c r="M1571" t="s">
        <v>10858</v>
      </c>
      <c r="N1571" t="s">
        <v>10859</v>
      </c>
      <c r="O1571" t="s">
        <v>10860</v>
      </c>
      <c r="P1571" t="s">
        <v>10861</v>
      </c>
      <c r="Q1571" s="3" t="n">
        <v>44319.0</v>
      </c>
      <c r="R1571" s="3" t="n">
        <v>44504.0</v>
      </c>
      <c r="S1571" s="3" t="n">
        <v>44505.23051466435</v>
      </c>
      <c r="T1571" s="3" t="n">
        <v>44509.67321753472</v>
      </c>
      <c r="U1571" t="s">
        <v>10862</v>
      </c>
      <c r="V1571" t="s">
        <v>10863</v>
      </c>
    </row>
    <row r="1572">
      <c r="A1572" t="s">
        <v>22</v>
      </c>
      <c r="B1572" t="s">
        <v>10864</v>
      </c>
      <c r="C1572" t="s">
        <v>24</v>
      </c>
      <c r="D1572" t="s">
        <v>51</v>
      </c>
      <c r="E1572" t="s">
        <v>10865</v>
      </c>
      <c r="F1572" s="2" t="n">
        <f>HYPERLINK("https://patents.google.com/patent/US20210343371","Google")</f>
        <v>0.0</v>
      </c>
      <c r="G1572" s="2" t="n">
        <f>HYPERLINK("https://patentcenter.uspto.gov/applications/17245006","Patent Center")</f>
        <v>0.0</v>
      </c>
      <c r="H1572" s="2" t="n">
        <f>HYPERLINK("https://worldwide.espacenet.com/patent/search?q=US20210343371","Espacenet")</f>
        <v>0.0</v>
      </c>
      <c r="I1572" s="2" t="n">
        <f>HYPERLINK("https://ppubs.uspto.gov/pubwebapp/external.html?q=20210343371.pn.","USPTO")</f>
        <v>0.0</v>
      </c>
      <c r="J1572" s="2" t="n">
        <f>HYPERLINK("https://image-ppubs.uspto.gov/dirsearch-public/print/downloadPdf/20210343371","USPTO PDF")</f>
        <v>0.0</v>
      </c>
      <c r="K1572" s="2" t="n">
        <f>HYPERLINK("https://sectors.patentforecast.com/pmd/US20210343371","PMD")</f>
        <v>0.0</v>
      </c>
      <c r="L1572" s="2" t="n">
        <f>HYPERLINK("https://globaldossier.uspto.gov/result/application/US/17245006/1","US20210343371")</f>
        <v>0.0</v>
      </c>
      <c r="M1572" t="s">
        <v>10866</v>
      </c>
      <c r="N1572" t="s">
        <v>10867</v>
      </c>
      <c r="O1572" t="s">
        <v>10868</v>
      </c>
      <c r="P1572" t="s">
        <v>10869</v>
      </c>
      <c r="Q1572" s="3" t="n">
        <v>44316.0</v>
      </c>
      <c r="R1572" s="3" t="n">
        <v>44504.0</v>
      </c>
      <c r="S1572" s="3" t="n">
        <v>44505.23051466435</v>
      </c>
      <c r="T1572" s="3" t="n">
        <v>44509.6874600463</v>
      </c>
      <c r="U1572" t="s">
        <v>10870</v>
      </c>
      <c r="V1572" t="s">
        <v>10871</v>
      </c>
    </row>
    <row r="1573">
      <c r="A1573" t="s">
        <v>22</v>
      </c>
      <c r="B1573" t="s">
        <v>10872</v>
      </c>
      <c r="C1573" t="s">
        <v>24</v>
      </c>
      <c r="D1573" t="s">
        <v>34</v>
      </c>
      <c r="E1573" t="s">
        <v>10873</v>
      </c>
      <c r="F1573" s="2" t="n">
        <f>HYPERLINK("https://patents.google.com/patent/US20210343005","Google")</f>
        <v>0.0</v>
      </c>
      <c r="G1573" s="2" t="n">
        <f>HYPERLINK("https://patentcenter.uspto.gov/applications/16865124","Patent Center")</f>
        <v>0.0</v>
      </c>
      <c r="H1573" s="2" t="n">
        <f>HYPERLINK("https://worldwide.espacenet.com/patent/search?q=US20210343005","Espacenet")</f>
        <v>0.0</v>
      </c>
      <c r="I1573" s="2" t="n">
        <f>HYPERLINK("https://ppubs.uspto.gov/pubwebapp/external.html?q=20210343005.pn.","USPTO")</f>
        <v>0.0</v>
      </c>
      <c r="J1573" s="2" t="n">
        <f>HYPERLINK("https://image-ppubs.uspto.gov/dirsearch-public/print/downloadPdf/20210343005","USPTO PDF")</f>
        <v>0.0</v>
      </c>
      <c r="K1573" s="2" t="n">
        <f>HYPERLINK("https://sectors.patentforecast.com/pmd/US20210343005","PMD")</f>
        <v>0.0</v>
      </c>
      <c r="L1573" s="2" t="n">
        <f>HYPERLINK("https://globaldossier.uspto.gov/result/application/US/16865124/1","US20210343005")</f>
        <v>0.0</v>
      </c>
      <c r="M1573" t="s">
        <v>10874</v>
      </c>
      <c r="N1573" t="s">
        <v>4170</v>
      </c>
      <c r="O1573" t="s">
        <v>4171</v>
      </c>
      <c r="P1573" t="s">
        <v>10875</v>
      </c>
      <c r="Q1573" s="3" t="n">
        <v>43952.0</v>
      </c>
      <c r="R1573" s="3" t="n">
        <v>44504.0</v>
      </c>
      <c r="S1573" s="3" t="n">
        <v>44505.23051466435</v>
      </c>
      <c r="T1573" s="3" t="n">
        <v>44509.669548171296</v>
      </c>
      <c r="U1573" t="s">
        <v>10876</v>
      </c>
      <c r="V1573" t="s">
        <v>10877</v>
      </c>
    </row>
    <row r="1574">
      <c r="A1574" t="s">
        <v>22</v>
      </c>
      <c r="B1574" t="s">
        <v>10878</v>
      </c>
      <c r="C1574" t="s">
        <v>24</v>
      </c>
      <c r="D1574" t="s">
        <v>51</v>
      </c>
      <c r="E1574" t="s">
        <v>10879</v>
      </c>
      <c r="F1574" s="2" t="n">
        <f>HYPERLINK("https://patents.google.com/patent/US20210341480","Google")</f>
        <v>0.0</v>
      </c>
      <c r="G1574" s="2" t="n">
        <f>HYPERLINK("https://patentcenter.uspto.gov/applications/17244333","Patent Center")</f>
        <v>0.0</v>
      </c>
      <c r="H1574" s="2" t="n">
        <f>HYPERLINK("https://worldwide.espacenet.com/patent/search?q=US20210341480","Espacenet")</f>
        <v>0.0</v>
      </c>
      <c r="I1574" s="2" t="n">
        <f>HYPERLINK("https://ppubs.uspto.gov/pubwebapp/external.html?q=20210341480.pn.","USPTO")</f>
        <v>0.0</v>
      </c>
      <c r="J1574" s="2" t="n">
        <f>HYPERLINK("https://image-ppubs.uspto.gov/dirsearch-public/print/downloadPdf/20210341480","USPTO PDF")</f>
        <v>0.0</v>
      </c>
      <c r="K1574" s="2" t="n">
        <f>HYPERLINK("https://sectors.patentforecast.com/pmd/US20210341480","PMD")</f>
        <v>0.0</v>
      </c>
      <c r="L1574" s="2" t="n">
        <f>HYPERLINK("https://globaldossier.uspto.gov/result/application/US/17244333/1","US20210341480")</f>
        <v>0.0</v>
      </c>
      <c r="M1574" t="s">
        <v>10880</v>
      </c>
      <c r="N1574" t="s">
        <v>2354</v>
      </c>
      <c r="O1574" t="s">
        <v>2355</v>
      </c>
      <c r="P1574" t="s">
        <v>10881</v>
      </c>
      <c r="Q1574" s="3" t="n">
        <v>44315.0</v>
      </c>
      <c r="R1574" s="3" t="n">
        <v>44504.0</v>
      </c>
      <c r="S1574" s="3" t="n">
        <v>44505.23051466435</v>
      </c>
      <c r="T1574" s="3" t="n">
        <v>44509.646596273145</v>
      </c>
      <c r="U1574" t="s">
        <v>10882</v>
      </c>
      <c r="V1574" t="s">
        <v>10883</v>
      </c>
    </row>
    <row r="1575">
      <c r="A1575" t="s">
        <v>22</v>
      </c>
      <c r="B1575" t="s">
        <v>10884</v>
      </c>
      <c r="C1575" t="s">
        <v>24</v>
      </c>
      <c r="D1575" t="s">
        <v>51</v>
      </c>
      <c r="E1575" t="s">
        <v>10885</v>
      </c>
      <c r="F1575" s="2" t="n">
        <f>HYPERLINK("https://patents.google.com/patent/US20210341479","Google")</f>
        <v>0.0</v>
      </c>
      <c r="G1575" s="2" t="n">
        <f>HYPERLINK("https://patentcenter.uspto.gov/applications/17243502","Patent Center")</f>
        <v>0.0</v>
      </c>
      <c r="H1575" s="2" t="n">
        <f>HYPERLINK("https://worldwide.espacenet.com/patent/search?q=US20210341479","Espacenet")</f>
        <v>0.0</v>
      </c>
      <c r="I1575" s="2" t="n">
        <f>HYPERLINK("https://ppubs.uspto.gov/pubwebapp/external.html?q=20210341479.pn.","USPTO")</f>
        <v>0.0</v>
      </c>
      <c r="J1575" s="2" t="n">
        <f>HYPERLINK("https://image-ppubs.uspto.gov/dirsearch-public/print/downloadPdf/20210341479","USPTO PDF")</f>
        <v>0.0</v>
      </c>
      <c r="K1575" s="2" t="n">
        <f>HYPERLINK("https://sectors.patentforecast.com/pmd/US20210341479","PMD")</f>
        <v>0.0</v>
      </c>
      <c r="L1575" s="2" t="n">
        <f>HYPERLINK("https://globaldossier.uspto.gov/result/application/US/17243502/1","US20210341479")</f>
        <v>0.0</v>
      </c>
      <c r="M1575" t="s">
        <v>10886</v>
      </c>
      <c r="N1575" t="s">
        <v>6317</v>
      </c>
      <c r="O1575" t="s">
        <v>6318</v>
      </c>
      <c r="P1575" t="s">
        <v>10887</v>
      </c>
      <c r="Q1575" s="3" t="n">
        <v>44314.0</v>
      </c>
      <c r="R1575" s="3" t="n">
        <v>44504.0</v>
      </c>
      <c r="S1575" s="3" t="n">
        <v>44505.23051466435</v>
      </c>
      <c r="T1575" s="3" t="n">
        <v>44509.70189263889</v>
      </c>
      <c r="U1575" t="s">
        <v>10888</v>
      </c>
      <c r="V1575" t="s">
        <v>10889</v>
      </c>
    </row>
    <row r="1576">
      <c r="A1576" t="s">
        <v>22</v>
      </c>
      <c r="B1576" t="s">
        <v>10890</v>
      </c>
      <c r="C1576" t="s">
        <v>60</v>
      </c>
      <c r="D1576" t="s">
        <v>77</v>
      </c>
      <c r="E1576" t="s">
        <v>10891</v>
      </c>
      <c r="F1576" s="2" t="n">
        <f>HYPERLINK("https://patents.google.com/patent/US20210341478","Google")</f>
        <v>0.0</v>
      </c>
      <c r="G1576" s="2" t="n">
        <f>HYPERLINK("https://patentcenter.uspto.gov/applications/17241355","Patent Center")</f>
        <v>0.0</v>
      </c>
      <c r="H1576" s="2" t="n">
        <f>HYPERLINK("https://worldwide.espacenet.com/patent/search?q=US20210341478","Espacenet")</f>
        <v>0.0</v>
      </c>
      <c r="I1576" s="2" t="n">
        <f>HYPERLINK("https://ppubs.uspto.gov/pubwebapp/external.html?q=20210341478.pn.","USPTO")</f>
        <v>0.0</v>
      </c>
      <c r="J1576" s="2" t="n">
        <f>HYPERLINK("https://image-ppubs.uspto.gov/dirsearch-public/print/downloadPdf/20210341478","USPTO PDF")</f>
        <v>0.0</v>
      </c>
      <c r="K1576" s="2" t="n">
        <f>HYPERLINK("https://sectors.patentforecast.com/pmd/US20210341478","PMD")</f>
        <v>0.0</v>
      </c>
      <c r="L1576" s="2" t="n">
        <f>HYPERLINK("https://globaldossier.uspto.gov/result/application/US/17241355/1","US20210341478")</f>
        <v>0.0</v>
      </c>
      <c r="M1576" t="s">
        <v>10892</v>
      </c>
      <c r="N1576" t="s">
        <v>10893</v>
      </c>
      <c r="O1576" t="s">
        <v>10894</v>
      </c>
      <c r="P1576" t="s">
        <v>10895</v>
      </c>
      <c r="Q1576" s="3" t="n">
        <v>44313.0</v>
      </c>
      <c r="R1576" s="3" t="n">
        <v>44504.0</v>
      </c>
      <c r="S1576" s="3" t="n">
        <v>44505.23051466435</v>
      </c>
      <c r="T1576" s="3" t="n">
        <v>44509.67149368056</v>
      </c>
      <c r="U1576" t="s">
        <v>10896</v>
      </c>
      <c r="V1576" t="s">
        <v>10897</v>
      </c>
    </row>
    <row r="1577">
      <c r="A1577" t="s">
        <v>22</v>
      </c>
      <c r="B1577" t="s">
        <v>10898</v>
      </c>
      <c r="C1577" t="s">
        <v>24</v>
      </c>
      <c r="D1577" t="s">
        <v>51</v>
      </c>
      <c r="E1577" t="s">
        <v>10899</v>
      </c>
      <c r="F1577" s="2" t="n">
        <f>HYPERLINK("https://patents.google.com/patent/US20210341468","Google")</f>
        <v>0.0</v>
      </c>
      <c r="G1577" s="2" t="n">
        <f>HYPERLINK("https://patentcenter.uspto.gov/applications/17096678","Patent Center")</f>
        <v>0.0</v>
      </c>
      <c r="H1577" s="2" t="n">
        <f>HYPERLINK("https://worldwide.espacenet.com/patent/search?q=US20210341468","Espacenet")</f>
        <v>0.0</v>
      </c>
      <c r="I1577" s="2" t="n">
        <f>HYPERLINK("https://ppubs.uspto.gov/pubwebapp/external.html?q=20210341468.pn.","USPTO")</f>
        <v>0.0</v>
      </c>
      <c r="J1577" s="2" t="n">
        <f>HYPERLINK("https://image-ppubs.uspto.gov/dirsearch-public/print/downloadPdf/20210341468","USPTO PDF")</f>
        <v>0.0</v>
      </c>
      <c r="K1577" s="2" t="n">
        <f>HYPERLINK("https://sectors.patentforecast.com/pmd/US20210341468","PMD")</f>
        <v>0.0</v>
      </c>
      <c r="L1577" s="2" t="n">
        <f>HYPERLINK("https://globaldossier.uspto.gov/result/application/US/17096678/1","US20210341468")</f>
        <v>0.0</v>
      </c>
      <c r="M1577" t="s">
        <v>10900</v>
      </c>
      <c r="N1577" t="s">
        <v>10901</v>
      </c>
      <c r="O1577" t="s">
        <v>10902</v>
      </c>
      <c r="P1577" t="s">
        <v>10903</v>
      </c>
      <c r="Q1577" s="3" t="n">
        <v>44147.0</v>
      </c>
      <c r="R1577" s="3" t="n">
        <v>44504.0</v>
      </c>
      <c r="S1577" s="3" t="n">
        <v>44505.23051466435</v>
      </c>
      <c r="T1577" s="3" t="n">
        <v>44509.70090805556</v>
      </c>
      <c r="U1577" t="s">
        <v>10904</v>
      </c>
      <c r="V1577" t="s">
        <v>10905</v>
      </c>
    </row>
    <row r="1578">
      <c r="A1578" t="s">
        <v>22</v>
      </c>
      <c r="B1578" t="s">
        <v>10906</v>
      </c>
      <c r="C1578" t="s">
        <v>24</v>
      </c>
      <c r="D1578" t="s">
        <v>51</v>
      </c>
      <c r="E1578" t="s">
        <v>10907</v>
      </c>
      <c r="F1578" s="2" t="n">
        <f>HYPERLINK("https://patents.google.com/patent/US20210341467","Google")</f>
        <v>0.0</v>
      </c>
      <c r="G1578" s="2" t="n">
        <f>HYPERLINK("https://patentcenter.uspto.gov/applications/16933525","Patent Center")</f>
        <v>0.0</v>
      </c>
      <c r="H1578" s="2" t="n">
        <f>HYPERLINK("https://worldwide.espacenet.com/patent/search?q=US20210341467","Espacenet")</f>
        <v>0.0</v>
      </c>
      <c r="I1578" s="2" t="n">
        <f>HYPERLINK("https://ppubs.uspto.gov/pubwebapp/external.html?q=20210341467.pn.","USPTO")</f>
        <v>0.0</v>
      </c>
      <c r="J1578" s="2" t="n">
        <f>HYPERLINK("https://image-ppubs.uspto.gov/dirsearch-public/print/downloadPdf/20210341467","USPTO PDF")</f>
        <v>0.0</v>
      </c>
      <c r="K1578" s="2" t="n">
        <f>HYPERLINK("https://sectors.patentforecast.com/pmd/US20210341467","PMD")</f>
        <v>0.0</v>
      </c>
      <c r="L1578" s="2" t="n">
        <f>HYPERLINK("https://globaldossier.uspto.gov/result/application/US/16933525/1","US20210341467")</f>
        <v>0.0</v>
      </c>
      <c r="M1578" t="s">
        <v>10908</v>
      </c>
      <c r="N1578" t="s">
        <v>10909</v>
      </c>
      <c r="O1578" t="s">
        <v>10910</v>
      </c>
      <c r="P1578" t="s">
        <v>10911</v>
      </c>
      <c r="Q1578" s="3" t="n">
        <v>44032.0</v>
      </c>
      <c r="R1578" s="3" t="n">
        <v>44504.0</v>
      </c>
      <c r="S1578" s="3" t="n">
        <v>44505.22958763889</v>
      </c>
      <c r="T1578" s="3" t="n">
        <v>44509.701679432874</v>
      </c>
      <c r="U1578" t="s">
        <v>10912</v>
      </c>
      <c r="V1578" t="s">
        <v>10913</v>
      </c>
    </row>
    <row r="1579">
      <c r="A1579" t="s">
        <v>22</v>
      </c>
      <c r="B1579" t="s">
        <v>10914</v>
      </c>
      <c r="C1579" t="s">
        <v>24</v>
      </c>
      <c r="D1579" t="s">
        <v>51</v>
      </c>
      <c r="E1579" t="s">
        <v>10915</v>
      </c>
      <c r="F1579" s="2" t="n">
        <f>HYPERLINK("https://patents.google.com/patent/US20210341464","Google")</f>
        <v>0.0</v>
      </c>
      <c r="G1579" s="2" t="n">
        <f>HYPERLINK("https://patentcenter.uspto.gov/applications/17240497","Patent Center")</f>
        <v>0.0</v>
      </c>
      <c r="H1579" s="2" t="n">
        <f>HYPERLINK("https://worldwide.espacenet.com/patent/search?q=US20210341464","Espacenet")</f>
        <v>0.0</v>
      </c>
      <c r="I1579" s="2" t="n">
        <f>HYPERLINK("https://ppubs.uspto.gov/pubwebapp/external.html?q=20210341464.pn.","USPTO")</f>
        <v>0.0</v>
      </c>
      <c r="J1579" s="2" t="n">
        <f>HYPERLINK("https://image-ppubs.uspto.gov/dirsearch-public/print/downloadPdf/20210341464","USPTO PDF")</f>
        <v>0.0</v>
      </c>
      <c r="K1579" s="2" t="n">
        <f>HYPERLINK("https://sectors.patentforecast.com/pmd/US20210341464","PMD")</f>
        <v>0.0</v>
      </c>
      <c r="L1579" s="2" t="n">
        <f>HYPERLINK("https://globaldossier.uspto.gov/result/application/US/17240497/1","US20210341464")</f>
        <v>0.0</v>
      </c>
      <c r="M1579" t="s">
        <v>10916</v>
      </c>
      <c r="N1579" t="s">
        <v>10917</v>
      </c>
      <c r="O1579" t="s">
        <v>10918</v>
      </c>
      <c r="P1579" t="s">
        <v>10919</v>
      </c>
      <c r="Q1579" s="3" t="n">
        <v>44312.0</v>
      </c>
      <c r="R1579" s="3" t="n">
        <v>44504.0</v>
      </c>
      <c r="S1579" s="3" t="n">
        <v>44505.23051466435</v>
      </c>
      <c r="T1579" s="3" t="n">
        <v>44509.6848575</v>
      </c>
      <c r="U1579" t="s">
        <v>10920</v>
      </c>
      <c r="V1579" t="s">
        <v>10921</v>
      </c>
    </row>
    <row r="1580">
      <c r="A1580" t="s">
        <v>22</v>
      </c>
      <c r="B1580" t="s">
        <v>10922</v>
      </c>
      <c r="C1580" t="s">
        <v>24</v>
      </c>
      <c r="D1580" t="s">
        <v>51</v>
      </c>
      <c r="E1580" t="s">
        <v>10923</v>
      </c>
      <c r="F1580" s="2" t="n">
        <f>HYPERLINK("https://patents.google.com/patent/US20210341460","Google")</f>
        <v>0.0</v>
      </c>
      <c r="G1580" s="2" t="n">
        <f>HYPERLINK("https://patentcenter.uspto.gov/applications/16866271","Patent Center")</f>
        <v>0.0</v>
      </c>
      <c r="H1580" s="2" t="n">
        <f>HYPERLINK("https://worldwide.espacenet.com/patent/search?q=US20210341460","Espacenet")</f>
        <v>0.0</v>
      </c>
      <c r="I1580" s="2" t="n">
        <f>HYPERLINK("https://ppubs.uspto.gov/pubwebapp/external.html?q=20210341460.pn.","USPTO")</f>
        <v>0.0</v>
      </c>
      <c r="J1580" s="2" t="n">
        <f>HYPERLINK("https://image-ppubs.uspto.gov/dirsearch-public/print/downloadPdf/20210341460","USPTO PDF")</f>
        <v>0.0</v>
      </c>
      <c r="K1580" s="2" t="n">
        <f>HYPERLINK("https://sectors.patentforecast.com/pmd/US20210341460","PMD")</f>
        <v>0.0</v>
      </c>
      <c r="L1580" s="2" t="n">
        <f>HYPERLINK("https://globaldossier.uspto.gov/result/application/US/16866271/1","US20210341460")</f>
        <v>0.0</v>
      </c>
      <c r="M1580" t="s">
        <v>10924</v>
      </c>
      <c r="N1580" t="s">
        <v>10925</v>
      </c>
      <c r="O1580" t="s">
        <v>10926</v>
      </c>
      <c r="P1580" t="s">
        <v>10927</v>
      </c>
      <c r="Q1580" s="3" t="n">
        <v>43955.0</v>
      </c>
      <c r="R1580" s="3" t="n">
        <v>44504.0</v>
      </c>
      <c r="S1580" s="3" t="n">
        <v>44505.23051466435</v>
      </c>
      <c r="T1580" s="3" t="n">
        <v>44509.70117428241</v>
      </c>
      <c r="U1580" t="s">
        <v>10928</v>
      </c>
      <c r="V1580" t="s">
        <v>10929</v>
      </c>
    </row>
    <row r="1581">
      <c r="A1581" t="s">
        <v>22</v>
      </c>
      <c r="B1581" t="s">
        <v>10930</v>
      </c>
      <c r="C1581" t="s">
        <v>24</v>
      </c>
      <c r="D1581" t="s">
        <v>51</v>
      </c>
      <c r="E1581" t="s">
        <v>10931</v>
      </c>
      <c r="F1581" s="2" t="n">
        <f>HYPERLINK("https://patents.google.com/patent/US20210340636","Google")</f>
        <v>0.0</v>
      </c>
      <c r="G1581" s="2" t="n">
        <f>HYPERLINK("https://patentcenter.uspto.gov/applications/17374333","Patent Center")</f>
        <v>0.0</v>
      </c>
      <c r="H1581" s="2" t="n">
        <f>HYPERLINK("https://worldwide.espacenet.com/patent/search?q=US20210340636","Espacenet")</f>
        <v>0.0</v>
      </c>
      <c r="I1581" s="2" t="n">
        <f>HYPERLINK("https://ppubs.uspto.gov/pubwebapp/external.html?q=20210340636.pn.","USPTO")</f>
        <v>0.0</v>
      </c>
      <c r="J1581" s="2" t="n">
        <f>HYPERLINK("https://image-ppubs.uspto.gov/dirsearch-public/print/downloadPdf/20210340636","USPTO PDF")</f>
        <v>0.0</v>
      </c>
      <c r="K1581" s="2" t="n">
        <f>HYPERLINK("https://sectors.patentforecast.com/pmd/US20210340636","PMD")</f>
        <v>0.0</v>
      </c>
      <c r="L1581" s="2" t="n">
        <f>HYPERLINK("https://globaldossier.uspto.gov/result/application/US/17374333/1","US20210340636")</f>
        <v>0.0</v>
      </c>
      <c r="M1581" t="s">
        <v>10932</v>
      </c>
      <c r="N1581" t="s">
        <v>10933</v>
      </c>
      <c r="O1581" t="s">
        <v>10934</v>
      </c>
      <c r="P1581" t="s">
        <v>10935</v>
      </c>
      <c r="Q1581" s="3" t="n">
        <v>44390.0</v>
      </c>
      <c r="R1581" s="3" t="n">
        <v>44504.0</v>
      </c>
      <c r="S1581" s="3" t="n">
        <v>44505.23051466435</v>
      </c>
      <c r="T1581" s="3" t="n">
        <v>44509.68491280093</v>
      </c>
      <c r="U1581" t="s">
        <v>10936</v>
      </c>
      <c r="V1581" t="s">
        <v>10937</v>
      </c>
    </row>
    <row r="1582">
      <c r="A1582" t="s">
        <v>22</v>
      </c>
      <c r="B1582" t="s">
        <v>10938</v>
      </c>
      <c r="C1582" t="s">
        <v>24</v>
      </c>
      <c r="D1582" t="s">
        <v>51</v>
      </c>
      <c r="E1582" t="s">
        <v>10939</v>
      </c>
      <c r="F1582" s="2" t="n">
        <f>HYPERLINK("https://patents.google.com/patent/US20210340635","Google")</f>
        <v>0.0</v>
      </c>
      <c r="G1582" s="2" t="n">
        <f>HYPERLINK("https://patentcenter.uspto.gov/applications/16906312","Patent Center")</f>
        <v>0.0</v>
      </c>
      <c r="H1582" s="2" t="n">
        <f>HYPERLINK("https://worldwide.espacenet.com/patent/search?q=US20210340635","Espacenet")</f>
        <v>0.0</v>
      </c>
      <c r="I1582" s="2" t="n">
        <f>HYPERLINK("https://ppubs.uspto.gov/pubwebapp/external.html?q=20210340635.pn.","USPTO")</f>
        <v>0.0</v>
      </c>
      <c r="J1582" s="2" t="n">
        <f>HYPERLINK("https://image-ppubs.uspto.gov/dirsearch-public/print/downloadPdf/20210340635","USPTO PDF")</f>
        <v>0.0</v>
      </c>
      <c r="K1582" s="2" t="n">
        <f>HYPERLINK("https://sectors.patentforecast.com/pmd/US20210340635","PMD")</f>
        <v>0.0</v>
      </c>
      <c r="L1582" s="2" t="n">
        <f>HYPERLINK("https://globaldossier.uspto.gov/result/application/US/16906312/1","US20210340635")</f>
        <v>0.0</v>
      </c>
      <c r="M1582" t="s">
        <v>10940</v>
      </c>
      <c r="N1582" t="s">
        <v>238</v>
      </c>
      <c r="O1582" t="s">
        <v>239</v>
      </c>
      <c r="P1582" t="s">
        <v>10941</v>
      </c>
      <c r="Q1582" s="3" t="n">
        <v>44001.0</v>
      </c>
      <c r="R1582" s="3" t="n">
        <v>44504.0</v>
      </c>
      <c r="S1582" s="3" t="n">
        <v>44505.23051466435</v>
      </c>
      <c r="T1582" s="3" t="n">
        <v>44509.700632858796</v>
      </c>
      <c r="U1582" t="s">
        <v>10942</v>
      </c>
      <c r="V1582" t="s">
        <v>10943</v>
      </c>
    </row>
    <row r="1583">
      <c r="A1583" t="s">
        <v>22</v>
      </c>
      <c r="B1583" t="s">
        <v>10944</v>
      </c>
      <c r="C1583" t="s">
        <v>24</v>
      </c>
      <c r="D1583" t="s">
        <v>51</v>
      </c>
      <c r="E1583" t="s">
        <v>10945</v>
      </c>
      <c r="F1583" s="2" t="n">
        <f>HYPERLINK("https://patents.google.com/patent/US20210340622","Google")</f>
        <v>0.0</v>
      </c>
      <c r="G1583" s="2" t="n">
        <f>HYPERLINK("https://patentcenter.uspto.gov/applications/17325390","Patent Center")</f>
        <v>0.0</v>
      </c>
      <c r="H1583" s="2" t="n">
        <f>HYPERLINK("https://worldwide.espacenet.com/patent/search?q=US20210340622","Espacenet")</f>
        <v>0.0</v>
      </c>
      <c r="I1583" s="2" t="n">
        <f>HYPERLINK("https://ppubs.uspto.gov/pubwebapp/external.html?q=20210340622.pn.","USPTO")</f>
        <v>0.0</v>
      </c>
      <c r="J1583" s="2" t="n">
        <f>HYPERLINK("https://image-ppubs.uspto.gov/dirsearch-public/print/downloadPdf/20210340622","USPTO PDF")</f>
        <v>0.0</v>
      </c>
      <c r="K1583" s="2" t="n">
        <f>HYPERLINK("https://sectors.patentforecast.com/pmd/US20210340622","PMD")</f>
        <v>0.0</v>
      </c>
      <c r="L1583" s="2" t="n">
        <f>HYPERLINK("https://globaldossier.uspto.gov/result/application/US/17325390/1","US20210340622")</f>
        <v>0.0</v>
      </c>
      <c r="M1583" t="s">
        <v>10946</v>
      </c>
      <c r="N1583" t="s">
        <v>10947</v>
      </c>
      <c r="O1583" t="s">
        <v>10948</v>
      </c>
      <c r="P1583" t="s">
        <v>10949</v>
      </c>
      <c r="Q1583" s="3" t="n">
        <v>44336.0</v>
      </c>
      <c r="R1583" s="3" t="n">
        <v>44504.0</v>
      </c>
      <c r="S1583" s="3" t="n">
        <v>44505.23051466435</v>
      </c>
      <c r="T1583" s="3" t="n">
        <v>44509.70371091435</v>
      </c>
      <c r="U1583" t="s">
        <v>10950</v>
      </c>
      <c r="V1583" t="s">
        <v>10951</v>
      </c>
    </row>
    <row r="1584">
      <c r="A1584" t="s">
        <v>22</v>
      </c>
      <c r="B1584" t="s">
        <v>10952</v>
      </c>
      <c r="C1584" t="s">
        <v>60</v>
      </c>
      <c r="D1584" t="s">
        <v>61</v>
      </c>
      <c r="E1584" t="s">
        <v>10953</v>
      </c>
      <c r="F1584" s="2" t="n">
        <f>HYPERLINK("https://patents.google.com/patent/US20210340545","Google")</f>
        <v>0.0</v>
      </c>
      <c r="G1584" s="2" t="n">
        <f>HYPERLINK("https://patentcenter.uspto.gov/applications/17306515","Patent Center")</f>
        <v>0.0</v>
      </c>
      <c r="H1584" s="2" t="n">
        <f>HYPERLINK("https://worldwide.espacenet.com/patent/search?q=US20210340545","Espacenet")</f>
        <v>0.0</v>
      </c>
      <c r="I1584" s="2" t="n">
        <f>HYPERLINK("https://ppubs.uspto.gov/pubwebapp/external.html?q=20210340545.pn.","USPTO")</f>
        <v>0.0</v>
      </c>
      <c r="J1584" s="2" t="n">
        <f>HYPERLINK("https://image-ppubs.uspto.gov/dirsearch-public/print/downloadPdf/20210340545","USPTO PDF")</f>
        <v>0.0</v>
      </c>
      <c r="K1584" s="2" t="n">
        <f>HYPERLINK("https://sectors.patentforecast.com/pmd/US20210340545","PMD")</f>
        <v>0.0</v>
      </c>
      <c r="L1584" s="2" t="n">
        <f>HYPERLINK("https://globaldossier.uspto.gov/result/application/US/17306515/1","US20210340545")</f>
        <v>0.0</v>
      </c>
      <c r="M1584" t="s">
        <v>10954</v>
      </c>
      <c r="N1584" t="s">
        <v>10955</v>
      </c>
      <c r="O1584" t="s">
        <v>10956</v>
      </c>
      <c r="P1584" t="s">
        <v>10957</v>
      </c>
      <c r="Q1584" s="3" t="n">
        <v>44319.0</v>
      </c>
      <c r="R1584" s="3" t="n">
        <v>44504.0</v>
      </c>
      <c r="S1584" s="3" t="n">
        <v>44505.23051466435</v>
      </c>
      <c r="T1584" s="3" t="n">
        <v>44509.6779869213</v>
      </c>
      <c r="U1584" t="s">
        <v>10958</v>
      </c>
      <c r="V1584" t="s">
        <v>10959</v>
      </c>
    </row>
    <row r="1585">
      <c r="A1585" t="s">
        <v>22</v>
      </c>
      <c r="B1585" t="s">
        <v>10960</v>
      </c>
      <c r="C1585" t="s">
        <v>60</v>
      </c>
      <c r="D1585" t="s">
        <v>77</v>
      </c>
      <c r="E1585" t="s">
        <v>10961</v>
      </c>
      <c r="F1585" s="2" t="n">
        <f>HYPERLINK("https://patents.google.com/patent/US20210340226","Google")</f>
        <v>0.0</v>
      </c>
      <c r="G1585" s="2" t="n">
        <f>HYPERLINK("https://patentcenter.uspto.gov/applications/17236213","Patent Center")</f>
        <v>0.0</v>
      </c>
      <c r="H1585" s="2" t="n">
        <f>HYPERLINK("https://worldwide.espacenet.com/patent/search?q=US20210340226","Espacenet")</f>
        <v>0.0</v>
      </c>
      <c r="I1585" s="2" t="n">
        <f>HYPERLINK("https://ppubs.uspto.gov/pubwebapp/external.html?q=20210340226.pn.","USPTO")</f>
        <v>0.0</v>
      </c>
      <c r="J1585" s="2" t="n">
        <f>HYPERLINK("https://image-ppubs.uspto.gov/dirsearch-public/print/downloadPdf/20210340226","USPTO PDF")</f>
        <v>0.0</v>
      </c>
      <c r="K1585" s="2" t="n">
        <f>HYPERLINK("https://sectors.patentforecast.com/pmd/US20210340226","PMD")</f>
        <v>0.0</v>
      </c>
      <c r="L1585" s="2" t="n">
        <f>HYPERLINK("https://globaldossier.uspto.gov/result/application/US/17236213/1","US20210340226")</f>
        <v>0.0</v>
      </c>
      <c r="M1585" t="s">
        <v>10962</v>
      </c>
      <c r="N1585" t="s">
        <v>10963</v>
      </c>
      <c r="O1585" t="s">
        <v>10964</v>
      </c>
      <c r="P1585" t="s">
        <v>10965</v>
      </c>
      <c r="Q1585" s="3" t="n">
        <v>44307.0</v>
      </c>
      <c r="R1585" s="3" t="n">
        <v>44504.0</v>
      </c>
      <c r="S1585" s="3" t="n">
        <v>44505.23051466435</v>
      </c>
      <c r="T1585" s="3" t="n">
        <v>44509.655938194446</v>
      </c>
      <c r="U1585" t="s">
        <v>10966</v>
      </c>
      <c r="V1585" t="s">
        <v>10967</v>
      </c>
    </row>
    <row r="1586">
      <c r="A1586" t="s">
        <v>22</v>
      </c>
      <c r="B1586" t="s">
        <v>10968</v>
      </c>
      <c r="C1586" t="s">
        <v>60</v>
      </c>
      <c r="D1586" t="s">
        <v>77</v>
      </c>
      <c r="E1586" t="s">
        <v>10969</v>
      </c>
      <c r="F1586" s="2" t="n">
        <f>HYPERLINK("https://patents.google.com/patent/US20210340225","Google")</f>
        <v>0.0</v>
      </c>
      <c r="G1586" s="2" t="n">
        <f>HYPERLINK("https://patentcenter.uspto.gov/applications/17194076","Patent Center")</f>
        <v>0.0</v>
      </c>
      <c r="H1586" s="2" t="n">
        <f>HYPERLINK("https://worldwide.espacenet.com/patent/search?q=US20210340225","Espacenet")</f>
        <v>0.0</v>
      </c>
      <c r="I1586" s="2" t="n">
        <f>HYPERLINK("https://ppubs.uspto.gov/pubwebapp/external.html?q=20210340225.pn.","USPTO")</f>
        <v>0.0</v>
      </c>
      <c r="J1586" s="2" t="n">
        <f>HYPERLINK("https://image-ppubs.uspto.gov/dirsearch-public/print/downloadPdf/20210340225","USPTO PDF")</f>
        <v>0.0</v>
      </c>
      <c r="K1586" s="2" t="n">
        <f>HYPERLINK("https://sectors.patentforecast.com/pmd/US20210340225","PMD")</f>
        <v>0.0</v>
      </c>
      <c r="L1586" s="2" t="n">
        <f>HYPERLINK("https://globaldossier.uspto.gov/result/application/US/17194076/1","US20210340225")</f>
        <v>0.0</v>
      </c>
      <c r="M1586" t="s">
        <v>10970</v>
      </c>
      <c r="N1586" t="s">
        <v>10971</v>
      </c>
      <c r="O1586" t="s">
        <v>10972</v>
      </c>
      <c r="P1586" t="s">
        <v>10973</v>
      </c>
      <c r="Q1586" s="3" t="n">
        <v>44260.0</v>
      </c>
      <c r="R1586" s="3" t="n">
        <v>44504.0</v>
      </c>
      <c r="S1586" s="3" t="n">
        <v>44505.23051466435</v>
      </c>
      <c r="T1586" s="3" t="n">
        <v>44509.67329141204</v>
      </c>
      <c r="U1586" t="s">
        <v>10974</v>
      </c>
      <c r="V1586" t="s">
        <v>10975</v>
      </c>
    </row>
    <row r="1587">
      <c r="A1587" t="s">
        <v>22</v>
      </c>
      <c r="B1587" t="s">
        <v>10976</v>
      </c>
      <c r="C1587" t="s">
        <v>60</v>
      </c>
      <c r="D1587" t="s">
        <v>61</v>
      </c>
      <c r="E1587" t="s">
        <v>10977</v>
      </c>
      <c r="F1587" s="2" t="n">
        <f>HYPERLINK("https://patents.google.com/patent/US20210340189","Google")</f>
        <v>0.0</v>
      </c>
      <c r="G1587" s="2" t="n">
        <f>HYPERLINK("https://patentcenter.uspto.gov/applications/17245599","Patent Center")</f>
        <v>0.0</v>
      </c>
      <c r="H1587" s="2" t="n">
        <f>HYPERLINK("https://worldwide.espacenet.com/patent/search?q=US20210340189","Espacenet")</f>
        <v>0.0</v>
      </c>
      <c r="I1587" s="2" t="n">
        <f>HYPERLINK("https://ppubs.uspto.gov/pubwebapp/external.html?q=20210340189.pn.","USPTO")</f>
        <v>0.0</v>
      </c>
      <c r="J1587" s="2" t="n">
        <f>HYPERLINK("https://image-ppubs.uspto.gov/dirsearch-public/print/downloadPdf/20210340189","USPTO PDF")</f>
        <v>0.0</v>
      </c>
      <c r="K1587" s="2" t="n">
        <f>HYPERLINK("https://sectors.patentforecast.com/pmd/US20210340189","PMD")</f>
        <v>0.0</v>
      </c>
      <c r="L1587" s="2" t="n">
        <f>HYPERLINK("https://globaldossier.uspto.gov/result/application/US/17245599/1","US20210340189")</f>
        <v>0.0</v>
      </c>
      <c r="M1587" t="s">
        <v>10978</v>
      </c>
      <c r="N1587" t="s">
        <v>10979</v>
      </c>
      <c r="O1587" t="s">
        <v>10980</v>
      </c>
      <c r="P1587" t="s">
        <v>10981</v>
      </c>
      <c r="Q1587" s="3" t="n">
        <v>44316.0</v>
      </c>
      <c r="R1587" s="3" t="n">
        <v>44504.0</v>
      </c>
      <c r="S1587" s="3" t="n">
        <v>44505.23051466435</v>
      </c>
      <c r="T1587" s="3" t="n">
        <v>44509.677083159724</v>
      </c>
      <c r="U1587" t="s">
        <v>10982</v>
      </c>
      <c r="V1587" t="s">
        <v>10983</v>
      </c>
    </row>
    <row r="1588">
      <c r="A1588" t="s">
        <v>22</v>
      </c>
      <c r="B1588" t="s">
        <v>10984</v>
      </c>
      <c r="C1588" t="s">
        <v>24</v>
      </c>
      <c r="D1588" t="s">
        <v>69</v>
      </c>
      <c r="E1588" t="s">
        <v>10985</v>
      </c>
      <c r="F1588" s="2" t="n">
        <f>HYPERLINK("https://patents.google.com/patent/US20210339296","Google")</f>
        <v>0.0</v>
      </c>
      <c r="G1588" s="2" t="n">
        <f>HYPERLINK("https://patentcenter.uspto.gov/applications/16865104","Patent Center")</f>
        <v>0.0</v>
      </c>
      <c r="H1588" s="2" t="n">
        <f>HYPERLINK("https://worldwide.espacenet.com/patent/search?q=US20210339296","Espacenet")</f>
        <v>0.0</v>
      </c>
      <c r="I1588" s="2" t="n">
        <f>HYPERLINK("https://ppubs.uspto.gov/pubwebapp/external.html?q=20210339296.pn.","USPTO")</f>
        <v>0.0</v>
      </c>
      <c r="J1588" s="2" t="n">
        <f>HYPERLINK("https://image-ppubs.uspto.gov/dirsearch-public/print/downloadPdf/20210339296","USPTO PDF")</f>
        <v>0.0</v>
      </c>
      <c r="K1588" s="2" t="n">
        <f>HYPERLINK("https://sectors.patentforecast.com/pmd/US20210339296","PMD")</f>
        <v>0.0</v>
      </c>
      <c r="L1588" s="2" t="n">
        <f>HYPERLINK("https://globaldossier.uspto.gov/result/application/US/16865104/1","US20210339296")</f>
        <v>0.0</v>
      </c>
      <c r="M1588" t="s">
        <v>10986</v>
      </c>
      <c r="N1588" t="s">
        <v>10987</v>
      </c>
      <c r="O1588" t="s">
        <v>10988</v>
      </c>
      <c r="P1588" t="s">
        <v>10989</v>
      </c>
      <c r="Q1588" s="3" t="n">
        <v>43952.0</v>
      </c>
      <c r="R1588" s="3" t="n">
        <v>44504.0</v>
      </c>
      <c r="S1588" s="3" t="n">
        <v>44505.23051466435</v>
      </c>
      <c r="T1588" s="3" t="n">
        <v>44509.65325758102</v>
      </c>
      <c r="U1588" t="s">
        <v>10990</v>
      </c>
      <c r="V1588" t="s">
        <v>10991</v>
      </c>
    </row>
    <row r="1589">
      <c r="A1589" t="s">
        <v>22</v>
      </c>
      <c r="B1589" t="s">
        <v>10992</v>
      </c>
      <c r="C1589" t="s">
        <v>24</v>
      </c>
      <c r="D1589" t="s">
        <v>100</v>
      </c>
      <c r="E1589" t="s">
        <v>10993</v>
      </c>
      <c r="F1589" s="2" t="n">
        <f>HYPERLINK("https://patents.google.com/patent/US20210339184","Google")</f>
        <v>0.0</v>
      </c>
      <c r="G1589" s="2" t="n">
        <f>HYPERLINK("https://patentcenter.uspto.gov/applications/16883981","Patent Center")</f>
        <v>0.0</v>
      </c>
      <c r="H1589" s="2" t="n">
        <f>HYPERLINK("https://worldwide.espacenet.com/patent/search?q=US20210339184","Espacenet")</f>
        <v>0.0</v>
      </c>
      <c r="I1589" s="2" t="n">
        <f>HYPERLINK("https://ppubs.uspto.gov/pubwebapp/external.html?q=20210339184.pn.","USPTO")</f>
        <v>0.0</v>
      </c>
      <c r="J1589" s="2" t="n">
        <f>HYPERLINK("https://image-ppubs.uspto.gov/dirsearch-public/print/downloadPdf/20210339184","USPTO PDF")</f>
        <v>0.0</v>
      </c>
      <c r="K1589" s="2" t="n">
        <f>HYPERLINK("https://sectors.patentforecast.com/pmd/US20210339184","PMD")</f>
        <v>0.0</v>
      </c>
      <c r="L1589" s="2" t="n">
        <f>HYPERLINK("https://globaldossier.uspto.gov/result/application/US/16883981/1","US20210339184")</f>
        <v>0.0</v>
      </c>
      <c r="M1589" t="s">
        <v>10994</v>
      </c>
      <c r="N1589" t="s">
        <v>10995</v>
      </c>
      <c r="O1589" t="s">
        <v>10996</v>
      </c>
      <c r="P1589" t="s">
        <v>10997</v>
      </c>
      <c r="Q1589" s="3" t="n">
        <v>43977.0</v>
      </c>
      <c r="R1589" s="3" t="n">
        <v>44504.0</v>
      </c>
      <c r="S1589" s="3" t="n">
        <v>44505.23051466435</v>
      </c>
      <c r="T1589" s="3" t="n">
        <v>44509.67927719907</v>
      </c>
      <c r="U1589" t="s">
        <v>10998</v>
      </c>
      <c r="V1589" t="s">
        <v>10999</v>
      </c>
    </row>
    <row r="1590">
      <c r="A1590" t="s">
        <v>22</v>
      </c>
      <c r="B1590" t="s">
        <v>11000</v>
      </c>
      <c r="C1590" t="s">
        <v>24</v>
      </c>
      <c r="D1590" t="s">
        <v>100</v>
      </c>
      <c r="E1590" t="s">
        <v>11001</v>
      </c>
      <c r="F1590" s="2" t="n">
        <f>HYPERLINK("https://patents.google.com/patent/US20210339183","Google")</f>
        <v>0.0</v>
      </c>
      <c r="G1590" s="2" t="n">
        <f>HYPERLINK("https://patentcenter.uspto.gov/applications/16883977","Patent Center")</f>
        <v>0.0</v>
      </c>
      <c r="H1590" s="2" t="n">
        <f>HYPERLINK("https://worldwide.espacenet.com/patent/search?q=US20210339183","Espacenet")</f>
        <v>0.0</v>
      </c>
      <c r="I1590" s="2" t="n">
        <f>HYPERLINK("https://ppubs.uspto.gov/pubwebapp/external.html?q=20210339183.pn.","USPTO")</f>
        <v>0.0</v>
      </c>
      <c r="J1590" s="2" t="n">
        <f>HYPERLINK("https://image-ppubs.uspto.gov/dirsearch-public/print/downloadPdf/20210339183","USPTO PDF")</f>
        <v>0.0</v>
      </c>
      <c r="K1590" s="2" t="n">
        <f>HYPERLINK("https://sectors.patentforecast.com/pmd/US20210339183","PMD")</f>
        <v>0.0</v>
      </c>
      <c r="L1590" s="2" t="n">
        <f>HYPERLINK("https://globaldossier.uspto.gov/result/application/US/16883977/1","US20210339183")</f>
        <v>0.0</v>
      </c>
      <c r="M1590" t="s">
        <v>11002</v>
      </c>
      <c r="N1590" t="s">
        <v>10995</v>
      </c>
      <c r="O1590" t="s">
        <v>10996</v>
      </c>
      <c r="P1590" t="s">
        <v>10997</v>
      </c>
      <c r="Q1590" s="3" t="n">
        <v>43977.0</v>
      </c>
      <c r="R1590" s="3" t="n">
        <v>44504.0</v>
      </c>
      <c r="S1590" s="3" t="n">
        <v>44505.23051466435</v>
      </c>
      <c r="T1590" s="3" t="n">
        <v>44509.687524733796</v>
      </c>
      <c r="U1590" t="s">
        <v>11003</v>
      </c>
      <c r="V1590" t="s">
        <v>11004</v>
      </c>
    </row>
    <row r="1591">
      <c r="A1591" t="s">
        <v>22</v>
      </c>
      <c r="B1591" t="s">
        <v>11005</v>
      </c>
      <c r="C1591" t="s">
        <v>24</v>
      </c>
      <c r="D1591" t="s">
        <v>69</v>
      </c>
      <c r="E1591" t="s">
        <v>11006</v>
      </c>
      <c r="F1591" s="2" t="n">
        <f>HYPERLINK("https://patents.google.com/patent/US20210339062","Google")</f>
        <v>0.0</v>
      </c>
      <c r="G1591" s="2" t="n">
        <f>HYPERLINK("https://patentcenter.uspto.gov/applications/17246180","Patent Center")</f>
        <v>0.0</v>
      </c>
      <c r="H1591" s="2" t="n">
        <f>HYPERLINK("https://worldwide.espacenet.com/patent/search?q=US20210339062","Espacenet")</f>
        <v>0.0</v>
      </c>
      <c r="I1591" s="2" t="n">
        <f>HYPERLINK("https://ppubs.uspto.gov/pubwebapp/external.html?q=20210339062.pn.","USPTO")</f>
        <v>0.0</v>
      </c>
      <c r="J1591" s="2" t="n">
        <f>HYPERLINK("https://image-ppubs.uspto.gov/dirsearch-public/print/downloadPdf/20210339062","USPTO PDF")</f>
        <v>0.0</v>
      </c>
      <c r="K1591" s="2" t="n">
        <f>HYPERLINK("https://sectors.patentforecast.com/pmd/US20210339062","PMD")</f>
        <v>0.0</v>
      </c>
      <c r="L1591" s="2" t="n">
        <f>HYPERLINK("https://globaldossier.uspto.gov/result/application/US/17246180/1","US20210339062")</f>
        <v>0.0</v>
      </c>
      <c r="M1591" t="s">
        <v>11007</v>
      </c>
      <c r="N1591" t="s">
        <v>11008</v>
      </c>
      <c r="O1591" t="s">
        <v>11009</v>
      </c>
      <c r="P1591" t="s">
        <v>11010</v>
      </c>
      <c r="Q1591" s="3" t="n">
        <v>44316.0</v>
      </c>
      <c r="R1591" s="3" t="n">
        <v>44504.0</v>
      </c>
      <c r="S1591" s="3" t="n">
        <v>44505.23051466435</v>
      </c>
      <c r="T1591" s="3" t="n">
        <v>44509.65129841435</v>
      </c>
      <c r="U1591" t="s">
        <v>11011</v>
      </c>
      <c r="V1591" t="s">
        <v>11012</v>
      </c>
    </row>
    <row r="1592">
      <c r="A1592" t="s">
        <v>22</v>
      </c>
      <c r="B1592" t="s">
        <v>11013</v>
      </c>
      <c r="C1592" t="s">
        <v>24</v>
      </c>
      <c r="D1592" t="s">
        <v>69</v>
      </c>
      <c r="E1592" t="s">
        <v>11014</v>
      </c>
      <c r="F1592" s="2" t="n">
        <f>HYPERLINK("https://patents.google.com/patent/US20210339061","Google")</f>
        <v>0.0</v>
      </c>
      <c r="G1592" s="2" t="n">
        <f>HYPERLINK("https://patentcenter.uspto.gov/applications/17230893","Patent Center")</f>
        <v>0.0</v>
      </c>
      <c r="H1592" s="2" t="n">
        <f>HYPERLINK("https://worldwide.espacenet.com/patent/search?q=US20210339061","Espacenet")</f>
        <v>0.0</v>
      </c>
      <c r="I1592" s="2" t="n">
        <f>HYPERLINK("https://ppubs.uspto.gov/pubwebapp/external.html?q=20210339061.pn.","USPTO")</f>
        <v>0.0</v>
      </c>
      <c r="J1592" s="2" t="n">
        <f>HYPERLINK("https://image-ppubs.uspto.gov/dirsearch-public/print/downloadPdf/20210339061","USPTO PDF")</f>
        <v>0.0</v>
      </c>
      <c r="K1592" s="2" t="n">
        <f>HYPERLINK("https://sectors.patentforecast.com/pmd/US20210339061","PMD")</f>
        <v>0.0</v>
      </c>
      <c r="L1592" s="2" t="n">
        <f>HYPERLINK("https://globaldossier.uspto.gov/result/application/US/17230893/1","US20210339061")</f>
        <v>0.0</v>
      </c>
      <c r="M1592" t="s">
        <v>11015</v>
      </c>
      <c r="N1592" t="s">
        <v>11016</v>
      </c>
      <c r="O1592" t="s">
        <v>11017</v>
      </c>
      <c r="P1592" t="s">
        <v>11018</v>
      </c>
      <c r="Q1592" s="3" t="n">
        <v>44300.0</v>
      </c>
      <c r="R1592" s="3" t="n">
        <v>44504.0</v>
      </c>
      <c r="S1592" s="3" t="n">
        <v>44505.23051466435</v>
      </c>
      <c r="T1592" s="3" t="n">
        <v>44509.68498413194</v>
      </c>
      <c r="U1592" t="s">
        <v>11019</v>
      </c>
      <c r="V1592" t="s">
        <v>11020</v>
      </c>
    </row>
    <row r="1593">
      <c r="A1593" t="s">
        <v>22</v>
      </c>
      <c r="B1593" t="s">
        <v>11021</v>
      </c>
      <c r="C1593" t="s">
        <v>24</v>
      </c>
      <c r="D1593" t="s">
        <v>69</v>
      </c>
      <c r="E1593" t="s">
        <v>11022</v>
      </c>
      <c r="F1593" s="2" t="n">
        <f>HYPERLINK("https://patents.google.com/patent/US20210339058","Google")</f>
        <v>0.0</v>
      </c>
      <c r="G1593" s="2" t="n">
        <f>HYPERLINK("https://patentcenter.uspto.gov/applications/17175675","Patent Center")</f>
        <v>0.0</v>
      </c>
      <c r="H1593" s="2" t="n">
        <f>HYPERLINK("https://worldwide.espacenet.com/patent/search?q=US20210339058","Espacenet")</f>
        <v>0.0</v>
      </c>
      <c r="I1593" s="2" t="n">
        <f>HYPERLINK("https://ppubs.uspto.gov/pubwebapp/external.html?q=20210339058.pn.","USPTO")</f>
        <v>0.0</v>
      </c>
      <c r="J1593" s="2" t="n">
        <f>HYPERLINK("https://image-ppubs.uspto.gov/dirsearch-public/print/downloadPdf/20210339058","USPTO PDF")</f>
        <v>0.0</v>
      </c>
      <c r="K1593" s="2" t="n">
        <f>HYPERLINK("https://sectors.patentforecast.com/pmd/US20210339058","PMD")</f>
        <v>0.0</v>
      </c>
      <c r="L1593" s="2" t="n">
        <f>HYPERLINK("https://globaldossier.uspto.gov/result/application/US/17175675/1","US20210339058")</f>
        <v>0.0</v>
      </c>
      <c r="M1593" t="s">
        <v>11023</v>
      </c>
      <c r="N1593" t="s">
        <v>3380</v>
      </c>
      <c r="O1593" t="s">
        <v>3381</v>
      </c>
      <c r="P1593" t="s">
        <v>3382</v>
      </c>
      <c r="Q1593" s="3" t="n">
        <v>44241.0</v>
      </c>
      <c r="R1593" s="3" t="n">
        <v>44504.0</v>
      </c>
      <c r="S1593" s="3" t="n">
        <v>44505.23051466435</v>
      </c>
      <c r="T1593" s="3" t="n">
        <v>44509.700560868056</v>
      </c>
      <c r="U1593" t="s">
        <v>11024</v>
      </c>
      <c r="V1593" t="s">
        <v>11025</v>
      </c>
    </row>
    <row r="1594">
      <c r="A1594" t="s">
        <v>22</v>
      </c>
      <c r="B1594" t="s">
        <v>11026</v>
      </c>
      <c r="C1594" t="s">
        <v>60</v>
      </c>
      <c r="D1594" t="s">
        <v>696</v>
      </c>
      <c r="E1594" t="s">
        <v>11027</v>
      </c>
      <c r="F1594" s="2" t="n">
        <f>HYPERLINK("https://patents.google.com/patent/US20210338973","Google")</f>
        <v>0.0</v>
      </c>
      <c r="G1594" s="2" t="n">
        <f>HYPERLINK("https://patentcenter.uspto.gov/applications/17375599","Patent Center")</f>
        <v>0.0</v>
      </c>
      <c r="H1594" s="2" t="n">
        <f>HYPERLINK("https://worldwide.espacenet.com/patent/search?q=US20210338973","Espacenet")</f>
        <v>0.0</v>
      </c>
      <c r="I1594" s="2" t="n">
        <f>HYPERLINK("https://ppubs.uspto.gov/pubwebapp/external.html?q=20210338973.pn.","USPTO")</f>
        <v>0.0</v>
      </c>
      <c r="J1594" s="2" t="n">
        <f>HYPERLINK("https://image-ppubs.uspto.gov/dirsearch-public/print/downloadPdf/20210338973","USPTO PDF")</f>
        <v>0.0</v>
      </c>
      <c r="K1594" s="2" t="n">
        <f>HYPERLINK("https://sectors.patentforecast.com/pmd/US20210338973","PMD")</f>
        <v>0.0</v>
      </c>
      <c r="L1594" s="2" t="n">
        <f>HYPERLINK("https://globaldossier.uspto.gov/result/application/US/17375599/1","US20210338973")</f>
        <v>0.0</v>
      </c>
      <c r="M1594" t="s">
        <v>11028</v>
      </c>
      <c r="N1594" t="s">
        <v>11029</v>
      </c>
      <c r="O1594" t="s">
        <v>11030</v>
      </c>
      <c r="P1594" t="s">
        <v>11031</v>
      </c>
      <c r="Q1594" s="3" t="n">
        <v>44391.0</v>
      </c>
      <c r="R1594" s="3" t="n">
        <v>44504.0</v>
      </c>
      <c r="S1594" s="3" t="n">
        <v>44505.22958763889</v>
      </c>
      <c r="T1594" s="3" t="n">
        <v>44509.701074780096</v>
      </c>
      <c r="U1594" t="s">
        <v>11032</v>
      </c>
      <c r="V1594" t="s">
        <v>11033</v>
      </c>
    </row>
    <row r="1595">
      <c r="A1595" t="s">
        <v>22</v>
      </c>
      <c r="B1595" t="s">
        <v>11034</v>
      </c>
      <c r="C1595" t="s">
        <v>24</v>
      </c>
      <c r="D1595" t="s">
        <v>69</v>
      </c>
      <c r="E1595" t="s">
        <v>11035</v>
      </c>
      <c r="F1595" s="2" t="n">
        <f>HYPERLINK("https://patents.google.com/patent/US20210338964","Google")</f>
        <v>0.0</v>
      </c>
      <c r="G1595" s="2" t="n">
        <f>HYPERLINK("https://patentcenter.uspto.gov/applications/17307579","Patent Center")</f>
        <v>0.0</v>
      </c>
      <c r="H1595" s="2" t="n">
        <f>HYPERLINK("https://worldwide.espacenet.com/patent/search?q=US20210338964","Espacenet")</f>
        <v>0.0</v>
      </c>
      <c r="I1595" s="2" t="n">
        <f>HYPERLINK("https://ppubs.uspto.gov/pubwebapp/external.html?q=20210338964.pn.","USPTO")</f>
        <v>0.0</v>
      </c>
      <c r="J1595" s="2" t="n">
        <f>HYPERLINK("https://image-ppubs.uspto.gov/dirsearch-public/print/downloadPdf/20210338964","USPTO PDF")</f>
        <v>0.0</v>
      </c>
      <c r="K1595" s="2" t="n">
        <f>HYPERLINK("https://sectors.patentforecast.com/pmd/US20210338964","PMD")</f>
        <v>0.0</v>
      </c>
      <c r="L1595" s="2" t="n">
        <f>HYPERLINK("https://globaldossier.uspto.gov/result/application/US/17307579/1","US20210338964")</f>
        <v>0.0</v>
      </c>
      <c r="M1595" t="s">
        <v>11036</v>
      </c>
      <c r="N1595" t="s">
        <v>11037</v>
      </c>
      <c r="O1595" t="s">
        <v>11038</v>
      </c>
      <c r="P1595" t="s">
        <v>11039</v>
      </c>
      <c r="Q1595" s="3" t="n">
        <v>44320.0</v>
      </c>
      <c r="R1595" s="3" t="n">
        <v>44504.0</v>
      </c>
      <c r="S1595" s="3" t="n">
        <v>44505.22958763889</v>
      </c>
      <c r="T1595" s="3" t="n">
        <v>44509.67007193287</v>
      </c>
      <c r="U1595" t="s">
        <v>11040</v>
      </c>
      <c r="V1595" t="s">
        <v>11041</v>
      </c>
    </row>
    <row r="1596">
      <c r="A1596" t="s">
        <v>22</v>
      </c>
      <c r="B1596" t="s">
        <v>11042</v>
      </c>
      <c r="C1596" t="s">
        <v>60</v>
      </c>
      <c r="D1596" t="s">
        <v>715</v>
      </c>
      <c r="E1596" t="s">
        <v>11043</v>
      </c>
      <c r="F1596" s="2" t="n">
        <f>HYPERLINK("https://patents.google.com/patent/US20210338963","Google")</f>
        <v>0.0</v>
      </c>
      <c r="G1596" s="2" t="n">
        <f>HYPERLINK("https://patentcenter.uspto.gov/applications/17306720","Patent Center")</f>
        <v>0.0</v>
      </c>
      <c r="H1596" s="2" t="n">
        <f>HYPERLINK("https://worldwide.espacenet.com/patent/search?q=US20210338963","Espacenet")</f>
        <v>0.0</v>
      </c>
      <c r="I1596" s="2" t="n">
        <f>HYPERLINK("https://ppubs.uspto.gov/pubwebapp/external.html?q=20210338963.pn.","USPTO")</f>
        <v>0.0</v>
      </c>
      <c r="J1596" s="2" t="n">
        <f>HYPERLINK("https://image-ppubs.uspto.gov/dirsearch-public/print/downloadPdf/20210338963","USPTO PDF")</f>
        <v>0.0</v>
      </c>
      <c r="K1596" s="2" t="n">
        <f>HYPERLINK("https://sectors.patentforecast.com/pmd/US20210338963","PMD")</f>
        <v>0.0</v>
      </c>
      <c r="L1596" s="2" t="n">
        <f>HYPERLINK("https://globaldossier.uspto.gov/result/application/US/17306720/1","US20210338963")</f>
        <v>0.0</v>
      </c>
      <c r="M1596" t="s">
        <v>11044</v>
      </c>
      <c r="N1596" t="s">
        <v>11045</v>
      </c>
      <c r="O1596" t="s">
        <v>11046</v>
      </c>
      <c r="P1596" t="s">
        <v>11047</v>
      </c>
      <c r="Q1596" s="3" t="n">
        <v>44319.0</v>
      </c>
      <c r="R1596" s="3" t="n">
        <v>44504.0</v>
      </c>
      <c r="S1596" s="3" t="n">
        <v>44505.23051466435</v>
      </c>
      <c r="T1596" s="3" t="n">
        <v>44678.63569258102</v>
      </c>
      <c r="U1596" t="s">
        <v>11048</v>
      </c>
      <c r="V1596" t="s">
        <v>11049</v>
      </c>
    </row>
    <row r="1597">
      <c r="A1597" t="s">
        <v>22</v>
      </c>
      <c r="B1597" t="s">
        <v>11050</v>
      </c>
      <c r="C1597" t="s">
        <v>60</v>
      </c>
      <c r="D1597" t="s">
        <v>715</v>
      </c>
      <c r="E1597" t="s">
        <v>11051</v>
      </c>
      <c r="F1597" s="2" t="n">
        <f>HYPERLINK("https://patents.google.com/patent/US20210338959","Google")</f>
        <v>0.0</v>
      </c>
      <c r="G1597" s="2" t="n">
        <f>HYPERLINK("https://patentcenter.uspto.gov/applications/17133668","Patent Center")</f>
        <v>0.0</v>
      </c>
      <c r="H1597" s="2" t="n">
        <f>HYPERLINK("https://worldwide.espacenet.com/patent/search?q=US20210338959","Espacenet")</f>
        <v>0.0</v>
      </c>
      <c r="I1597" s="2" t="n">
        <f>HYPERLINK("https://ppubs.uspto.gov/pubwebapp/external.html?q=20210338959.pn.","USPTO")</f>
        <v>0.0</v>
      </c>
      <c r="J1597" s="2" t="n">
        <f>HYPERLINK("https://image-ppubs.uspto.gov/dirsearch-public/print/downloadPdf/20210338959","USPTO PDF")</f>
        <v>0.0</v>
      </c>
      <c r="K1597" s="2" t="n">
        <f>HYPERLINK("https://sectors.patentforecast.com/pmd/US20210338959","PMD")</f>
        <v>0.0</v>
      </c>
      <c r="L1597" s="2" t="n">
        <f>HYPERLINK("https://globaldossier.uspto.gov/result/application/US/17133668/1","US20210338959")</f>
        <v>0.0</v>
      </c>
      <c r="M1597" t="s">
        <v>11052</v>
      </c>
      <c r="N1597" t="s">
        <v>11053</v>
      </c>
      <c r="O1597" t="s">
        <v>11054</v>
      </c>
      <c r="P1597" t="s">
        <v>11055</v>
      </c>
      <c r="Q1597" s="3" t="n">
        <v>44189.0</v>
      </c>
      <c r="R1597" s="3" t="n">
        <v>44504.0</v>
      </c>
      <c r="S1597" s="3" t="n">
        <v>44505.22958763889</v>
      </c>
      <c r="T1597" s="3" t="n">
        <v>44509.6510225463</v>
      </c>
      <c r="U1597" t="s">
        <v>11056</v>
      </c>
      <c r="V1597" t="s">
        <v>11057</v>
      </c>
    </row>
    <row r="1598">
      <c r="A1598" t="s">
        <v>22</v>
      </c>
      <c r="B1598" t="s">
        <v>11058</v>
      </c>
      <c r="C1598" t="s">
        <v>60</v>
      </c>
      <c r="D1598" t="s">
        <v>715</v>
      </c>
      <c r="E1598" t="s">
        <v>11059</v>
      </c>
      <c r="F1598" s="2" t="n">
        <f>HYPERLINK("https://patents.google.com/patent/US20210338953","Google")</f>
        <v>0.0</v>
      </c>
      <c r="G1598" s="2" t="n">
        <f>HYPERLINK("https://patentcenter.uspto.gov/applications/17306892","Patent Center")</f>
        <v>0.0</v>
      </c>
      <c r="H1598" s="2" t="n">
        <f>HYPERLINK("https://worldwide.espacenet.com/patent/search?q=US20210338953","Espacenet")</f>
        <v>0.0</v>
      </c>
      <c r="I1598" s="2" t="n">
        <f>HYPERLINK("https://ppubs.uspto.gov/pubwebapp/external.html?q=20210338953.pn.","USPTO")</f>
        <v>0.0</v>
      </c>
      <c r="J1598" s="2" t="n">
        <f>HYPERLINK("https://image-ppubs.uspto.gov/dirsearch-public/print/downloadPdf/20210338953","USPTO PDF")</f>
        <v>0.0</v>
      </c>
      <c r="K1598" s="2" t="n">
        <f>HYPERLINK("https://sectors.patentforecast.com/pmd/US20210338953","PMD")</f>
        <v>0.0</v>
      </c>
      <c r="L1598" s="2" t="n">
        <f>HYPERLINK("https://globaldossier.uspto.gov/result/application/US/17306892/1","US20210338953")</f>
        <v>0.0</v>
      </c>
      <c r="M1598" t="s">
        <v>11060</v>
      </c>
      <c r="N1598" t="s">
        <v>11061</v>
      </c>
      <c r="O1598" t="s">
        <v>11062</v>
      </c>
      <c r="P1598" t="s">
        <v>11063</v>
      </c>
      <c r="Q1598" s="3" t="n">
        <v>44319.0</v>
      </c>
      <c r="R1598" s="3" t="n">
        <v>44504.0</v>
      </c>
      <c r="S1598" s="3" t="n">
        <v>44505.23051466435</v>
      </c>
      <c r="T1598" s="3" t="n">
        <v>44509.679498969905</v>
      </c>
      <c r="U1598" t="s">
        <v>11064</v>
      </c>
      <c r="V1598" t="s">
        <v>11065</v>
      </c>
    </row>
    <row r="1599">
      <c r="A1599" t="s">
        <v>22</v>
      </c>
      <c r="B1599" t="s">
        <v>11066</v>
      </c>
      <c r="C1599" t="s">
        <v>60</v>
      </c>
      <c r="D1599" t="s">
        <v>715</v>
      </c>
      <c r="E1599" t="s">
        <v>11067</v>
      </c>
      <c r="F1599" s="2" t="n">
        <f>HYPERLINK("https://patents.google.com/patent/US20210338952","Google")</f>
        <v>0.0</v>
      </c>
      <c r="G1599" s="2" t="n">
        <f>HYPERLINK("https://patentcenter.uspto.gov/applications/17246741","Patent Center")</f>
        <v>0.0</v>
      </c>
      <c r="H1599" s="2" t="n">
        <f>HYPERLINK("https://worldwide.espacenet.com/patent/search?q=US20210338952","Espacenet")</f>
        <v>0.0</v>
      </c>
      <c r="I1599" s="2" t="n">
        <f>HYPERLINK("https://ppubs.uspto.gov/pubwebapp/external.html?q=20210338952.pn.","USPTO")</f>
        <v>0.0</v>
      </c>
      <c r="J1599" s="2" t="n">
        <f>HYPERLINK("https://image-ppubs.uspto.gov/dirsearch-public/print/downloadPdf/20210338952","USPTO PDF")</f>
        <v>0.0</v>
      </c>
      <c r="K1599" s="2" t="n">
        <f>HYPERLINK("https://sectors.patentforecast.com/pmd/US20210338952","PMD")</f>
        <v>0.0</v>
      </c>
      <c r="L1599" s="2" t="n">
        <f>HYPERLINK("https://globaldossier.uspto.gov/result/application/US/17246741/1","US20210338952")</f>
        <v>0.0</v>
      </c>
      <c r="M1599" t="s">
        <v>11068</v>
      </c>
      <c r="N1599" t="s">
        <v>11069</v>
      </c>
      <c r="O1599" t="s">
        <v>11070</v>
      </c>
      <c r="P1599" t="s">
        <v>11071</v>
      </c>
      <c r="Q1599" s="3" t="n">
        <v>44319.0</v>
      </c>
      <c r="R1599" s="3" t="n">
        <v>44504.0</v>
      </c>
      <c r="S1599" s="3" t="n">
        <v>44505.22958763889</v>
      </c>
      <c r="T1599" s="3" t="n">
        <v>44509.686770023145</v>
      </c>
      <c r="U1599" t="s">
        <v>11072</v>
      </c>
      <c r="V1599" t="s">
        <v>11073</v>
      </c>
    </row>
    <row r="1600">
      <c r="A1600" t="s">
        <v>22</v>
      </c>
      <c r="B1600" t="s">
        <v>11074</v>
      </c>
      <c r="C1600" t="s">
        <v>132</v>
      </c>
      <c r="D1600" t="s">
        <v>133</v>
      </c>
      <c r="E1600" t="s">
        <v>11075</v>
      </c>
      <c r="F1600" s="2" t="n">
        <f>HYPERLINK("https://patents.google.com/patent/US20210338807","Google")</f>
        <v>0.0</v>
      </c>
      <c r="G1600" s="2" t="n">
        <f>HYPERLINK("https://patentcenter.uspto.gov/applications/17338546","Patent Center")</f>
        <v>0.0</v>
      </c>
      <c r="H1600" s="2" t="n">
        <f>HYPERLINK("https://worldwide.espacenet.com/patent/search?q=US20210338807","Espacenet")</f>
        <v>0.0</v>
      </c>
      <c r="I1600" s="2" t="n">
        <f>HYPERLINK("https://ppubs.uspto.gov/pubwebapp/external.html?q=20210338807.pn.","USPTO")</f>
        <v>0.0</v>
      </c>
      <c r="J1600" s="2" t="n">
        <f>HYPERLINK("https://image-ppubs.uspto.gov/dirsearch-public/print/downloadPdf/20210338807","USPTO PDF")</f>
        <v>0.0</v>
      </c>
      <c r="K1600" s="2" t="n">
        <f>HYPERLINK("https://sectors.patentforecast.com/pmd/US20210338807","PMD")</f>
        <v>0.0</v>
      </c>
      <c r="L1600" s="2" t="n">
        <f>HYPERLINK("https://globaldossier.uspto.gov/result/application/US/17338546/1","US20210338807")</f>
        <v>0.0</v>
      </c>
      <c r="M1600" t="s">
        <v>11076</v>
      </c>
      <c r="N1600" t="s">
        <v>11077</v>
      </c>
      <c r="O1600" t="s">
        <v>11078</v>
      </c>
      <c r="P1600" t="s">
        <v>11079</v>
      </c>
      <c r="Q1600" s="3" t="n">
        <v>44350.0</v>
      </c>
      <c r="R1600" s="3" t="n">
        <v>44504.0</v>
      </c>
      <c r="S1600" s="3" t="n">
        <v>44505.22958763889</v>
      </c>
      <c r="T1600" s="3" t="n">
        <v>44509.67334962963</v>
      </c>
      <c r="U1600" t="s">
        <v>11080</v>
      </c>
      <c r="V1600" t="s">
        <v>11081</v>
      </c>
    </row>
    <row r="1601">
      <c r="A1601" t="s">
        <v>22</v>
      </c>
      <c r="B1601" t="s">
        <v>11082</v>
      </c>
      <c r="C1601" t="s">
        <v>132</v>
      </c>
      <c r="D1601" t="s">
        <v>133</v>
      </c>
      <c r="E1601" t="s">
        <v>11083</v>
      </c>
      <c r="F1601" s="2" t="n">
        <f>HYPERLINK("https://patents.google.com/patent/US20210338806","Google")</f>
        <v>0.0</v>
      </c>
      <c r="G1601" s="2" t="n">
        <f>HYPERLINK("https://patentcenter.uspto.gov/applications/17245355","Patent Center")</f>
        <v>0.0</v>
      </c>
      <c r="H1601" s="2" t="n">
        <f>HYPERLINK("https://worldwide.espacenet.com/patent/search?q=US20210338806","Espacenet")</f>
        <v>0.0</v>
      </c>
      <c r="I1601" s="2" t="n">
        <f>HYPERLINK("https://ppubs.uspto.gov/pubwebapp/external.html?q=20210338806.pn.","USPTO")</f>
        <v>0.0</v>
      </c>
      <c r="J1601" s="2" t="n">
        <f>HYPERLINK("https://image-ppubs.uspto.gov/dirsearch-public/print/downloadPdf/20210338806","USPTO PDF")</f>
        <v>0.0</v>
      </c>
      <c r="K1601" s="2" t="n">
        <f>HYPERLINK("https://sectors.patentforecast.com/pmd/US20210338806","PMD")</f>
        <v>0.0</v>
      </c>
      <c r="L1601" s="2" t="n">
        <f>HYPERLINK("https://globaldossier.uspto.gov/result/application/US/17245355/1","US20210338806")</f>
        <v>0.0</v>
      </c>
      <c r="M1601" t="s">
        <v>11084</v>
      </c>
      <c r="N1601" t="s">
        <v>11085</v>
      </c>
      <c r="O1601" t="s">
        <v>11086</v>
      </c>
      <c r="P1601" t="s">
        <v>11087</v>
      </c>
      <c r="Q1601" s="3" t="n">
        <v>44316.0</v>
      </c>
      <c r="R1601" s="3" t="n">
        <v>44504.0</v>
      </c>
      <c r="S1601" s="3" t="n">
        <v>44505.22958763889</v>
      </c>
      <c r="T1601" s="3" t="n">
        <v>44509.70177972222</v>
      </c>
      <c r="U1601" t="s">
        <v>11088</v>
      </c>
      <c r="V1601" t="s">
        <v>11089</v>
      </c>
    </row>
    <row r="1602">
      <c r="A1602" t="s">
        <v>22</v>
      </c>
      <c r="B1602" t="s">
        <v>11090</v>
      </c>
      <c r="C1602" t="s">
        <v>60</v>
      </c>
      <c r="D1602" t="s">
        <v>715</v>
      </c>
      <c r="E1602" t="s">
        <v>11091</v>
      </c>
      <c r="F1602" s="2" t="n">
        <f>HYPERLINK("https://patents.google.com/patent/US20210338805","Google")</f>
        <v>0.0</v>
      </c>
      <c r="G1602" s="2" t="n">
        <f>HYPERLINK("https://patentcenter.uspto.gov/applications/17244642","Patent Center")</f>
        <v>0.0</v>
      </c>
      <c r="H1602" s="2" t="n">
        <f>HYPERLINK("https://worldwide.espacenet.com/patent/search?q=US20210338805","Espacenet")</f>
        <v>0.0</v>
      </c>
      <c r="I1602" s="2" t="n">
        <f>HYPERLINK("https://ppubs.uspto.gov/pubwebapp/external.html?q=20210338805.pn.","USPTO")</f>
        <v>0.0</v>
      </c>
      <c r="J1602" s="2" t="n">
        <f>HYPERLINK("https://image-ppubs.uspto.gov/dirsearch-public/print/downloadPdf/20210338805","USPTO PDF")</f>
        <v>0.0</v>
      </c>
      <c r="K1602" s="2" t="n">
        <f>HYPERLINK("https://sectors.patentforecast.com/pmd/US20210338805","PMD")</f>
        <v>0.0</v>
      </c>
      <c r="L1602" s="2" t="n">
        <f>HYPERLINK("https://globaldossier.uspto.gov/result/application/US/17244642/1","US20210338805")</f>
        <v>0.0</v>
      </c>
      <c r="M1602" t="s">
        <v>11092</v>
      </c>
      <c r="N1602" t="s">
        <v>11093</v>
      </c>
      <c r="O1602" t="s">
        <v>11094</v>
      </c>
      <c r="P1602" t="s">
        <v>11095</v>
      </c>
      <c r="Q1602" s="3" t="n">
        <v>44315.0</v>
      </c>
      <c r="R1602" s="3" t="n">
        <v>44504.0</v>
      </c>
      <c r="S1602" s="3" t="n">
        <v>44510.19085265046</v>
      </c>
      <c r="T1602" s="3" t="n">
        <v>44518.364945</v>
      </c>
      <c r="U1602" t="s">
        <v>11096</v>
      </c>
      <c r="V1602" t="s">
        <v>11097</v>
      </c>
    </row>
    <row r="1603">
      <c r="A1603" t="s">
        <v>22</v>
      </c>
      <c r="B1603" t="s">
        <v>11098</v>
      </c>
      <c r="C1603" t="s">
        <v>132</v>
      </c>
      <c r="D1603" t="s">
        <v>133</v>
      </c>
      <c r="E1603" t="s">
        <v>11099</v>
      </c>
      <c r="F1603" s="2" t="n">
        <f>HYPERLINK("https://patents.google.com/patent/US20210338804","Google")</f>
        <v>0.0</v>
      </c>
      <c r="G1603" s="2" t="n">
        <f>HYPERLINK("https://patentcenter.uspto.gov/applications/17180147","Patent Center")</f>
        <v>0.0</v>
      </c>
      <c r="H1603" s="2" t="n">
        <f>HYPERLINK("https://worldwide.espacenet.com/patent/search?q=US20210338804","Espacenet")</f>
        <v>0.0</v>
      </c>
      <c r="I1603" s="2" t="n">
        <f>HYPERLINK("https://ppubs.uspto.gov/pubwebapp/external.html?q=20210338804.pn.","USPTO")</f>
        <v>0.0</v>
      </c>
      <c r="J1603" s="2" t="n">
        <f>HYPERLINK("https://image-ppubs.uspto.gov/dirsearch-public/print/downloadPdf/20210338804","USPTO PDF")</f>
        <v>0.0</v>
      </c>
      <c r="K1603" s="2" t="n">
        <f>HYPERLINK("https://sectors.patentforecast.com/pmd/US20210338804","PMD")</f>
        <v>0.0</v>
      </c>
      <c r="L1603" s="2" t="n">
        <f>HYPERLINK("https://globaldossier.uspto.gov/result/application/US/17180147/1","US20210338804")</f>
        <v>0.0</v>
      </c>
      <c r="M1603" t="s">
        <v>11100</v>
      </c>
      <c r="N1603" t="s">
        <v>11101</v>
      </c>
      <c r="O1603" t="s">
        <v>11101</v>
      </c>
      <c r="P1603" t="s">
        <v>11102</v>
      </c>
      <c r="Q1603" s="3" t="n">
        <v>44246.0</v>
      </c>
      <c r="R1603" s="3" t="n">
        <v>44504.0</v>
      </c>
      <c r="S1603" s="3" t="n">
        <v>44505.23120805556</v>
      </c>
      <c r="T1603" s="3" t="n">
        <v>44509.68684806713</v>
      </c>
      <c r="U1603" t="s">
        <v>11103</v>
      </c>
      <c r="V1603" t="s">
        <v>11104</v>
      </c>
    </row>
    <row r="1604">
      <c r="A1604" t="s">
        <v>22</v>
      </c>
      <c r="B1604" t="s">
        <v>11105</v>
      </c>
      <c r="C1604" t="s">
        <v>132</v>
      </c>
      <c r="D1604" t="s">
        <v>133</v>
      </c>
      <c r="E1604" t="s">
        <v>11106</v>
      </c>
      <c r="F1604" s="2" t="n">
        <f>HYPERLINK("https://patents.google.com/patent/US20210338803","Google")</f>
        <v>0.0</v>
      </c>
      <c r="G1604" s="2" t="n">
        <f>HYPERLINK("https://patentcenter.uspto.gov/applications/16874431","Patent Center")</f>
        <v>0.0</v>
      </c>
      <c r="H1604" s="2" t="n">
        <f>HYPERLINK("https://worldwide.espacenet.com/patent/search?q=US20210338803","Espacenet")</f>
        <v>0.0</v>
      </c>
      <c r="I1604" s="2" t="n">
        <f>HYPERLINK("https://ppubs.uspto.gov/pubwebapp/external.html?q=20210338803.pn.","USPTO")</f>
        <v>0.0</v>
      </c>
      <c r="J1604" s="2" t="n">
        <f>HYPERLINK("https://image-ppubs.uspto.gov/dirsearch-public/print/downloadPdf/20210338803","USPTO PDF")</f>
        <v>0.0</v>
      </c>
      <c r="K1604" s="2" t="n">
        <f>HYPERLINK("https://sectors.patentforecast.com/pmd/US20210338803","PMD")</f>
        <v>0.0</v>
      </c>
      <c r="L1604" s="2" t="n">
        <f>HYPERLINK("https://globaldossier.uspto.gov/result/application/US/16874431/1","US20210338803")</f>
        <v>0.0</v>
      </c>
      <c r="M1604" t="s">
        <v>11107</v>
      </c>
      <c r="N1604" t="s">
        <v>11108</v>
      </c>
      <c r="O1604" t="s">
        <v>11109</v>
      </c>
      <c r="P1604" t="s">
        <v>11110</v>
      </c>
      <c r="Q1604" s="3" t="n">
        <v>43965.0</v>
      </c>
      <c r="R1604" s="3" t="n">
        <v>44504.0</v>
      </c>
      <c r="S1604" s="3" t="n">
        <v>44505.23120805556</v>
      </c>
      <c r="T1604" s="3" t="n">
        <v>44509.70312186343</v>
      </c>
      <c r="U1604" t="s">
        <v>11111</v>
      </c>
      <c r="V1604" t="s">
        <v>11112</v>
      </c>
    </row>
    <row r="1605">
      <c r="A1605" t="s">
        <v>22</v>
      </c>
      <c r="B1605" t="s">
        <v>11113</v>
      </c>
      <c r="C1605" t="s">
        <v>60</v>
      </c>
      <c r="D1605" t="s">
        <v>61</v>
      </c>
      <c r="E1605" t="s">
        <v>11114</v>
      </c>
      <c r="F1605" s="2" t="n">
        <f>HYPERLINK("https://patents.google.com/patent/US20210338787","Google")</f>
        <v>0.0</v>
      </c>
      <c r="G1605" s="2" t="n">
        <f>HYPERLINK("https://patentcenter.uspto.gov/applications/17302247","Patent Center")</f>
        <v>0.0</v>
      </c>
      <c r="H1605" s="2" t="n">
        <f>HYPERLINK("https://worldwide.espacenet.com/patent/search?q=US20210338787","Espacenet")</f>
        <v>0.0</v>
      </c>
      <c r="I1605" s="2" t="n">
        <f>HYPERLINK("https://ppubs.uspto.gov/pubwebapp/external.html?q=20210338787.pn.","USPTO")</f>
        <v>0.0</v>
      </c>
      <c r="J1605" s="2" t="n">
        <f>HYPERLINK("https://image-ppubs.uspto.gov/dirsearch-public/print/downloadPdf/20210338787","USPTO PDF")</f>
        <v>0.0</v>
      </c>
      <c r="K1605" s="2" t="n">
        <f>HYPERLINK("https://sectors.patentforecast.com/pmd/US20210338787","PMD")</f>
        <v>0.0</v>
      </c>
      <c r="L1605" s="2" t="n">
        <f>HYPERLINK("https://globaldossier.uspto.gov/result/application/US/17302247/1","US20210338787")</f>
        <v>0.0</v>
      </c>
      <c r="M1605" t="s">
        <v>11115</v>
      </c>
      <c r="N1605" t="s">
        <v>11116</v>
      </c>
      <c r="O1605" t="s">
        <v>11117</v>
      </c>
      <c r="P1605" t="s">
        <v>11118</v>
      </c>
      <c r="Q1605" s="3" t="n">
        <v>44314.0</v>
      </c>
      <c r="R1605" s="3" t="n">
        <v>44504.0</v>
      </c>
      <c r="S1605" s="3" t="n">
        <v>44505.23120805556</v>
      </c>
      <c r="T1605" s="3" t="n">
        <v>44509.68196226852</v>
      </c>
      <c r="U1605" t="s">
        <v>11119</v>
      </c>
      <c r="V1605" t="s">
        <v>11120</v>
      </c>
    </row>
    <row r="1606">
      <c r="A1606" t="s">
        <v>22</v>
      </c>
      <c r="B1606" t="s">
        <v>11121</v>
      </c>
      <c r="C1606" t="s">
        <v>60</v>
      </c>
      <c r="D1606" t="s">
        <v>696</v>
      </c>
      <c r="E1606" t="s">
        <v>11122</v>
      </c>
      <c r="F1606" s="2" t="n">
        <f>HYPERLINK("https://patents.google.com/patent/US20210338765","Google")</f>
        <v>0.0</v>
      </c>
      <c r="G1606" s="2" t="n">
        <f>HYPERLINK("https://patentcenter.uspto.gov/applications/17306937","Patent Center")</f>
        <v>0.0</v>
      </c>
      <c r="H1606" s="2" t="n">
        <f>HYPERLINK("https://worldwide.espacenet.com/patent/search?q=US20210338765","Espacenet")</f>
        <v>0.0</v>
      </c>
      <c r="I1606" s="2" t="n">
        <f>HYPERLINK("https://ppubs.uspto.gov/pubwebapp/external.html?q=20210338765.pn.","USPTO")</f>
        <v>0.0</v>
      </c>
      <c r="J1606" s="2" t="n">
        <f>HYPERLINK("https://image-ppubs.uspto.gov/dirsearch-public/print/downloadPdf/20210338765","USPTO PDF")</f>
        <v>0.0</v>
      </c>
      <c r="K1606" s="2" t="n">
        <f>HYPERLINK("https://sectors.patentforecast.com/pmd/US20210338765","PMD")</f>
        <v>0.0</v>
      </c>
      <c r="L1606" s="2" t="n">
        <f>HYPERLINK("https://globaldossier.uspto.gov/result/application/US/17306937/1","US20210338765")</f>
        <v>0.0</v>
      </c>
      <c r="M1606" t="s">
        <v>11123</v>
      </c>
      <c r="N1606" t="s">
        <v>11124</v>
      </c>
      <c r="O1606" t="s">
        <v>11125</v>
      </c>
      <c r="P1606" t="s">
        <v>11126</v>
      </c>
      <c r="Q1606" s="3" t="n">
        <v>44319.0</v>
      </c>
      <c r="R1606" s="3" t="n">
        <v>44504.0</v>
      </c>
      <c r="S1606" s="3" t="n">
        <v>44505.23120805556</v>
      </c>
      <c r="T1606" s="3" t="n">
        <v>44509.67470527778</v>
      </c>
      <c r="U1606" t="s">
        <v>11127</v>
      </c>
      <c r="V1606" t="s">
        <v>11128</v>
      </c>
    </row>
    <row r="1607">
      <c r="A1607" t="s">
        <v>22</v>
      </c>
      <c r="B1607" t="s">
        <v>11129</v>
      </c>
      <c r="C1607" t="s">
        <v>60</v>
      </c>
      <c r="D1607" t="s">
        <v>4942</v>
      </c>
      <c r="E1607" t="s">
        <v>11130</v>
      </c>
      <c r="F1607" s="2" t="n">
        <f>HYPERLINK("https://patents.google.com/patent/US20210338763","Google")</f>
        <v>0.0</v>
      </c>
      <c r="G1607" s="2" t="n">
        <f>HYPERLINK("https://patentcenter.uspto.gov/applications/16866430","Patent Center")</f>
        <v>0.0</v>
      </c>
      <c r="H1607" s="2" t="n">
        <f>HYPERLINK("https://worldwide.espacenet.com/patent/search?q=US20210338763","Espacenet")</f>
        <v>0.0</v>
      </c>
      <c r="I1607" s="2" t="n">
        <f>HYPERLINK("https://ppubs.uspto.gov/pubwebapp/external.html?q=20210338763.pn.","USPTO")</f>
        <v>0.0</v>
      </c>
      <c r="J1607" s="2" t="n">
        <f>HYPERLINK("https://image-ppubs.uspto.gov/dirsearch-public/print/downloadPdf/20210338763","USPTO PDF")</f>
        <v>0.0</v>
      </c>
      <c r="K1607" s="2" t="n">
        <f>HYPERLINK("https://sectors.patentforecast.com/pmd/US20210338763","PMD")</f>
        <v>0.0</v>
      </c>
      <c r="L1607" s="2" t="n">
        <f>HYPERLINK("https://globaldossier.uspto.gov/result/application/US/16866430/1","US20210338763")</f>
        <v>0.0</v>
      </c>
      <c r="M1607" t="s">
        <v>11131</v>
      </c>
      <c r="N1607" t="s">
        <v>619</v>
      </c>
      <c r="O1607" t="s">
        <v>620</v>
      </c>
      <c r="P1607" t="s">
        <v>11132</v>
      </c>
      <c r="Q1607" s="3" t="n">
        <v>43955.0</v>
      </c>
      <c r="R1607" s="3" t="n">
        <v>44504.0</v>
      </c>
      <c r="S1607" s="3" t="n">
        <v>44505.22958763889</v>
      </c>
      <c r="T1607" s="3" t="n">
        <v>44509.70330180556</v>
      </c>
      <c r="U1607" t="s">
        <v>11133</v>
      </c>
      <c r="V1607" t="s">
        <v>11134</v>
      </c>
    </row>
    <row r="1608">
      <c r="A1608" t="s">
        <v>22</v>
      </c>
      <c r="B1608" t="s">
        <v>11135</v>
      </c>
      <c r="C1608" t="s">
        <v>60</v>
      </c>
      <c r="D1608" t="s">
        <v>61</v>
      </c>
      <c r="E1608" t="s">
        <v>11136</v>
      </c>
      <c r="F1608" s="2" t="n">
        <f>HYPERLINK("https://patents.google.com/patent/US20210338715","Google")</f>
        <v>0.0</v>
      </c>
      <c r="G1608" s="2" t="n">
        <f>HYPERLINK("https://patentcenter.uspto.gov/applications/16927613","Patent Center")</f>
        <v>0.0</v>
      </c>
      <c r="H1608" s="2" t="n">
        <f>HYPERLINK("https://worldwide.espacenet.com/patent/search?q=US20210338715","Espacenet")</f>
        <v>0.0</v>
      </c>
      <c r="I1608" s="2" t="n">
        <f>HYPERLINK("https://ppubs.uspto.gov/pubwebapp/external.html?q=20210338715.pn.","USPTO")</f>
        <v>0.0</v>
      </c>
      <c r="J1608" s="2" t="n">
        <f>HYPERLINK("https://image-ppubs.uspto.gov/dirsearch-public/print/downloadPdf/20210338715","USPTO PDF")</f>
        <v>0.0</v>
      </c>
      <c r="K1608" s="2" t="n">
        <f>HYPERLINK("https://sectors.patentforecast.com/pmd/US20210338715","PMD")</f>
        <v>0.0</v>
      </c>
      <c r="L1608" s="2" t="n">
        <f>HYPERLINK("https://globaldossier.uspto.gov/result/application/US/16927613/1","US20210338715")</f>
        <v>0.0</v>
      </c>
      <c r="M1608" t="s">
        <v>11137</v>
      </c>
      <c r="N1608" t="s">
        <v>11138</v>
      </c>
      <c r="O1608" t="s">
        <v>11139</v>
      </c>
      <c r="P1608" t="s">
        <v>11140</v>
      </c>
      <c r="Q1608" s="3" t="n">
        <v>44025.0</v>
      </c>
      <c r="R1608" s="3" t="n">
        <v>44504.0</v>
      </c>
      <c r="S1608" s="3" t="n">
        <v>44505.23120805556</v>
      </c>
      <c r="T1608" s="3" t="n">
        <v>44509.70197495371</v>
      </c>
      <c r="U1608" t="s">
        <v>11141</v>
      </c>
      <c r="V1608" t="s">
        <v>11142</v>
      </c>
    </row>
    <row r="1609">
      <c r="A1609" t="s">
        <v>22</v>
      </c>
      <c r="B1609" t="s">
        <v>11143</v>
      </c>
      <c r="C1609" t="s">
        <v>60</v>
      </c>
      <c r="D1609" t="s">
        <v>715</v>
      </c>
      <c r="E1609" t="s">
        <v>11144</v>
      </c>
      <c r="F1609" s="2" t="n">
        <f>HYPERLINK("https://patents.google.com/patent/US20210338713","Google")</f>
        <v>0.0</v>
      </c>
      <c r="G1609" s="2" t="n">
        <f>HYPERLINK("https://patentcenter.uspto.gov/applications/17306719","Patent Center")</f>
        <v>0.0</v>
      </c>
      <c r="H1609" s="2" t="n">
        <f>HYPERLINK("https://worldwide.espacenet.com/patent/search?q=US20210338713","Espacenet")</f>
        <v>0.0</v>
      </c>
      <c r="I1609" s="2" t="n">
        <f>HYPERLINK("https://ppubs.uspto.gov/pubwebapp/external.html?q=20210338713.pn.","USPTO")</f>
        <v>0.0</v>
      </c>
      <c r="J1609" s="2" t="n">
        <f>HYPERLINK("https://image-ppubs.uspto.gov/dirsearch-public/print/downloadPdf/20210338713","USPTO PDF")</f>
        <v>0.0</v>
      </c>
      <c r="K1609" s="2" t="n">
        <f>HYPERLINK("https://sectors.patentforecast.com/pmd/US20210338713","PMD")</f>
        <v>0.0</v>
      </c>
      <c r="L1609" s="2" t="n">
        <f>HYPERLINK("https://globaldossier.uspto.gov/result/application/US/17306719/1","US20210338713")</f>
        <v>0.0</v>
      </c>
      <c r="M1609" t="s">
        <v>11145</v>
      </c>
      <c r="N1609" t="s">
        <v>11146</v>
      </c>
      <c r="O1609" t="s">
        <v>11146</v>
      </c>
      <c r="P1609" t="s">
        <v>11147</v>
      </c>
      <c r="Q1609" s="3" t="n">
        <v>44319.0</v>
      </c>
      <c r="R1609" s="3" t="n">
        <v>44504.0</v>
      </c>
      <c r="S1609" s="3" t="n">
        <v>44505.22958763889</v>
      </c>
      <c r="T1609" s="3" t="n">
        <v>44509.67691174769</v>
      </c>
      <c r="U1609" t="s">
        <v>11148</v>
      </c>
      <c r="V1609" t="s">
        <v>11149</v>
      </c>
    </row>
    <row r="1610">
      <c r="A1610" t="s">
        <v>22</v>
      </c>
      <c r="B1610" t="s">
        <v>11150</v>
      </c>
      <c r="C1610" t="s">
        <v>60</v>
      </c>
      <c r="D1610" t="s">
        <v>61</v>
      </c>
      <c r="E1610" t="s">
        <v>11151</v>
      </c>
      <c r="F1610" s="2" t="n">
        <f>HYPERLINK("https://patents.google.com/patent/US20210338711","Google")</f>
        <v>0.0</v>
      </c>
      <c r="G1610" s="2" t="n">
        <f>HYPERLINK("https://patentcenter.uspto.gov/applications/17246887","Patent Center")</f>
        <v>0.0</v>
      </c>
      <c r="H1610" s="2" t="n">
        <f>HYPERLINK("https://worldwide.espacenet.com/patent/search?q=US20210338711","Espacenet")</f>
        <v>0.0</v>
      </c>
      <c r="I1610" s="2" t="n">
        <f>HYPERLINK("https://ppubs.uspto.gov/pubwebapp/external.html?q=20210338711.pn.","USPTO")</f>
        <v>0.0</v>
      </c>
      <c r="J1610" s="2" t="n">
        <f>HYPERLINK("https://image-ppubs.uspto.gov/dirsearch-public/print/downloadPdf/20210338711","USPTO PDF")</f>
        <v>0.0</v>
      </c>
      <c r="K1610" s="2" t="n">
        <f>HYPERLINK("https://sectors.patentforecast.com/pmd/US20210338711","PMD")</f>
        <v>0.0</v>
      </c>
      <c r="L1610" s="2" t="n">
        <f>HYPERLINK("https://globaldossier.uspto.gov/result/application/US/17246887/1","US20210338711")</f>
        <v>0.0</v>
      </c>
      <c r="M1610" t="s">
        <v>11152</v>
      </c>
      <c r="N1610" t="s">
        <v>1308</v>
      </c>
      <c r="O1610" t="s">
        <v>1309</v>
      </c>
      <c r="P1610" t="s">
        <v>11153</v>
      </c>
      <c r="Q1610" s="3" t="n">
        <v>44319.0</v>
      </c>
      <c r="R1610" s="3" t="n">
        <v>44504.0</v>
      </c>
      <c r="S1610" s="3" t="n">
        <v>44505.23120805556</v>
      </c>
      <c r="T1610" s="3" t="n">
        <v>44509.7048812963</v>
      </c>
      <c r="U1610" t="s">
        <v>11154</v>
      </c>
      <c r="V1610" t="s">
        <v>11155</v>
      </c>
    </row>
    <row r="1611">
      <c r="A1611" t="s">
        <v>22</v>
      </c>
      <c r="B1611" t="s">
        <v>11156</v>
      </c>
      <c r="C1611" t="s">
        <v>60</v>
      </c>
      <c r="D1611" t="s">
        <v>61</v>
      </c>
      <c r="E1611" t="s">
        <v>11157</v>
      </c>
      <c r="F1611" s="2" t="n">
        <f>HYPERLINK("https://patents.google.com/patent/US20210338708","Google")</f>
        <v>0.0</v>
      </c>
      <c r="G1611" s="2" t="n">
        <f>HYPERLINK("https://patentcenter.uspto.gov/applications/17205521","Patent Center")</f>
        <v>0.0</v>
      </c>
      <c r="H1611" s="2" t="n">
        <f>HYPERLINK("https://worldwide.espacenet.com/patent/search?q=US20210338708","Espacenet")</f>
        <v>0.0</v>
      </c>
      <c r="I1611" s="2" t="n">
        <f>HYPERLINK("https://ppubs.uspto.gov/pubwebapp/external.html?q=20210338708.pn.","USPTO")</f>
        <v>0.0</v>
      </c>
      <c r="J1611" s="2" t="n">
        <f>HYPERLINK("https://image-ppubs.uspto.gov/dirsearch-public/print/downloadPdf/20210338708","USPTO PDF")</f>
        <v>0.0</v>
      </c>
      <c r="K1611" s="2" t="n">
        <f>HYPERLINK("https://sectors.patentforecast.com/pmd/US20210338708","PMD")</f>
        <v>0.0</v>
      </c>
      <c r="L1611" s="2" t="n">
        <f>HYPERLINK("https://globaldossier.uspto.gov/result/application/US/17205521/1","US20210338708")</f>
        <v>0.0</v>
      </c>
      <c r="M1611" t="s">
        <v>11158</v>
      </c>
      <c r="N1611" t="s">
        <v>11159</v>
      </c>
      <c r="O1611" t="s">
        <v>11160</v>
      </c>
      <c r="P1611" t="s">
        <v>11161</v>
      </c>
      <c r="Q1611" s="3" t="n">
        <v>44273.0</v>
      </c>
      <c r="R1611" s="3" t="n">
        <v>44504.0</v>
      </c>
      <c r="S1611" s="3" t="n">
        <v>44505.23120805556</v>
      </c>
      <c r="T1611" s="3" t="n">
        <v>44509.70207002315</v>
      </c>
      <c r="U1611" t="s">
        <v>11162</v>
      </c>
      <c r="V1611" t="s">
        <v>11163</v>
      </c>
    </row>
    <row r="1612">
      <c r="A1612" t="s">
        <v>22</v>
      </c>
      <c r="B1612" t="s">
        <v>11164</v>
      </c>
      <c r="C1612" t="s">
        <v>60</v>
      </c>
      <c r="D1612" t="s">
        <v>61</v>
      </c>
      <c r="E1612" t="s">
        <v>11165</v>
      </c>
      <c r="F1612" s="2" t="n">
        <f>HYPERLINK("https://patents.google.com/patent/US20210338698","Google")</f>
        <v>0.0</v>
      </c>
      <c r="G1612" s="2" t="n">
        <f>HYPERLINK("https://patentcenter.uspto.gov/applications/17241894","Patent Center")</f>
        <v>0.0</v>
      </c>
      <c r="H1612" s="2" t="n">
        <f>HYPERLINK("https://worldwide.espacenet.com/patent/search?q=US20210338698","Espacenet")</f>
        <v>0.0</v>
      </c>
      <c r="I1612" s="2" t="n">
        <f>HYPERLINK("https://ppubs.uspto.gov/pubwebapp/external.html?q=20210338698.pn.","USPTO")</f>
        <v>0.0</v>
      </c>
      <c r="J1612" s="2" t="n">
        <f>HYPERLINK("https://image-ppubs.uspto.gov/dirsearch-public/print/downloadPdf/20210338698","USPTO PDF")</f>
        <v>0.0</v>
      </c>
      <c r="K1612" s="2" t="n">
        <f>HYPERLINK("https://sectors.patentforecast.com/pmd/US20210338698","PMD")</f>
        <v>0.0</v>
      </c>
      <c r="L1612" s="2" t="n">
        <f>HYPERLINK("https://globaldossier.uspto.gov/result/application/US/17241894/1","US20210338698")</f>
        <v>0.0</v>
      </c>
      <c r="M1612" t="s">
        <v>11166</v>
      </c>
      <c r="N1612" t="s">
        <v>11167</v>
      </c>
      <c r="O1612" t="s">
        <v>11168</v>
      </c>
      <c r="P1612" t="s">
        <v>11169</v>
      </c>
      <c r="Q1612" s="3" t="n">
        <v>44313.0</v>
      </c>
      <c r="R1612" s="3" t="n">
        <v>44504.0</v>
      </c>
      <c r="S1612" s="3" t="n">
        <v>44505.23120805556</v>
      </c>
      <c r="T1612" s="3" t="n">
        <v>44509.70152700231</v>
      </c>
      <c r="U1612" t="s">
        <v>11170</v>
      </c>
      <c r="V1612" t="s">
        <v>11171</v>
      </c>
    </row>
    <row r="1613">
      <c r="A1613" t="s">
        <v>22</v>
      </c>
      <c r="B1613" t="s">
        <v>11172</v>
      </c>
      <c r="C1613" t="s">
        <v>60</v>
      </c>
      <c r="D1613" t="s">
        <v>61</v>
      </c>
      <c r="E1613" t="s">
        <v>11173</v>
      </c>
      <c r="F1613" s="2" t="n">
        <f>HYPERLINK("https://patents.google.com/patent/US20210338690","Google")</f>
        <v>0.0</v>
      </c>
      <c r="G1613" s="2" t="n">
        <f>HYPERLINK("https://patentcenter.uspto.gov/applications/17245828","Patent Center")</f>
        <v>0.0</v>
      </c>
      <c r="H1613" s="2" t="n">
        <f>HYPERLINK("https://worldwide.espacenet.com/patent/search?q=US20210338690","Espacenet")</f>
        <v>0.0</v>
      </c>
      <c r="I1613" s="2" t="n">
        <f>HYPERLINK("https://ppubs.uspto.gov/pubwebapp/external.html?q=20210338690.pn.","USPTO")</f>
        <v>0.0</v>
      </c>
      <c r="J1613" s="2" t="n">
        <f>HYPERLINK("https://image-ppubs.uspto.gov/dirsearch-public/print/downloadPdf/20210338690","USPTO PDF")</f>
        <v>0.0</v>
      </c>
      <c r="K1613" s="2" t="n">
        <f>HYPERLINK("https://sectors.patentforecast.com/pmd/US20210338690","PMD")</f>
        <v>0.0</v>
      </c>
      <c r="L1613" s="2" t="n">
        <f>HYPERLINK("https://globaldossier.uspto.gov/result/application/US/17245828/1","US20210338690")</f>
        <v>0.0</v>
      </c>
      <c r="M1613" t="s">
        <v>11174</v>
      </c>
      <c r="N1613" t="s">
        <v>11175</v>
      </c>
      <c r="O1613" t="s">
        <v>11176</v>
      </c>
      <c r="P1613" t="s">
        <v>11177</v>
      </c>
      <c r="Q1613" s="3" t="n">
        <v>44316.0</v>
      </c>
      <c r="R1613" s="3" t="n">
        <v>44504.0</v>
      </c>
      <c r="S1613" s="3" t="n">
        <v>44505.23120805556</v>
      </c>
      <c r="T1613" s="3" t="n">
        <v>44509.671822881945</v>
      </c>
      <c r="U1613" t="s">
        <v>11178</v>
      </c>
      <c r="V1613" t="s">
        <v>11179</v>
      </c>
    </row>
    <row r="1614">
      <c r="A1614" t="s">
        <v>22</v>
      </c>
      <c r="B1614" t="s">
        <v>11180</v>
      </c>
      <c r="C1614" t="s">
        <v>60</v>
      </c>
      <c r="D1614" t="s">
        <v>696</v>
      </c>
      <c r="E1614" t="s">
        <v>11181</v>
      </c>
      <c r="F1614" s="2" t="n">
        <f>HYPERLINK("https://patents.google.com/patent/US20210338683","Google")</f>
        <v>0.0</v>
      </c>
      <c r="G1614" s="2" t="n">
        <f>HYPERLINK("https://patentcenter.uspto.gov/applications/17302438","Patent Center")</f>
        <v>0.0</v>
      </c>
      <c r="H1614" s="2" t="n">
        <f>HYPERLINK("https://worldwide.espacenet.com/patent/search?q=US20210338683","Espacenet")</f>
        <v>0.0</v>
      </c>
      <c r="I1614" s="2" t="n">
        <f>HYPERLINK("https://ppubs.uspto.gov/pubwebapp/external.html?q=20210338683.pn.","USPTO")</f>
        <v>0.0</v>
      </c>
      <c r="J1614" s="2" t="n">
        <f>HYPERLINK("https://image-ppubs.uspto.gov/dirsearch-public/print/downloadPdf/20210338683","USPTO PDF")</f>
        <v>0.0</v>
      </c>
      <c r="K1614" s="2" t="n">
        <f>HYPERLINK("https://sectors.patentforecast.com/pmd/US20210338683","PMD")</f>
        <v>0.0</v>
      </c>
      <c r="L1614" s="2" t="n">
        <f>HYPERLINK("https://globaldossier.uspto.gov/result/application/US/17302438/1","US20210338683")</f>
        <v>0.0</v>
      </c>
      <c r="M1614" t="s">
        <v>11182</v>
      </c>
      <c r="N1614" t="s">
        <v>11183</v>
      </c>
      <c r="O1614" t="s">
        <v>11184</v>
      </c>
      <c r="P1614" t="s">
        <v>11185</v>
      </c>
      <c r="Q1614" s="3" t="n">
        <v>44319.0</v>
      </c>
      <c r="R1614" s="3" t="n">
        <v>44504.0</v>
      </c>
      <c r="S1614" s="3" t="n">
        <v>44505.23120805556</v>
      </c>
      <c r="T1614" s="3" t="n">
        <v>44509.669057314815</v>
      </c>
      <c r="U1614" t="s">
        <v>11186</v>
      </c>
      <c r="V1614" t="s">
        <v>11187</v>
      </c>
    </row>
    <row r="1615">
      <c r="A1615" t="s">
        <v>22</v>
      </c>
      <c r="B1615" t="s">
        <v>11188</v>
      </c>
      <c r="C1615" t="s">
        <v>60</v>
      </c>
      <c r="D1615" t="s">
        <v>61</v>
      </c>
      <c r="E1615" t="s">
        <v>11189</v>
      </c>
      <c r="F1615" s="2" t="n">
        <f>HYPERLINK("https://patents.google.com/patent/US20210338631","Google")</f>
        <v>0.0</v>
      </c>
      <c r="G1615" s="2" t="n">
        <f>HYPERLINK("https://patentcenter.uspto.gov/applications/17222718","Patent Center")</f>
        <v>0.0</v>
      </c>
      <c r="H1615" s="2" t="n">
        <f>HYPERLINK("https://worldwide.espacenet.com/patent/search?q=US20210338631","Espacenet")</f>
        <v>0.0</v>
      </c>
      <c r="I1615" s="2" t="n">
        <f>HYPERLINK("https://ppubs.uspto.gov/pubwebapp/external.html?q=20210338631.pn.","USPTO")</f>
        <v>0.0</v>
      </c>
      <c r="J1615" s="2" t="n">
        <f>HYPERLINK("https://image-ppubs.uspto.gov/dirsearch-public/print/downloadPdf/20210338631","USPTO PDF")</f>
        <v>0.0</v>
      </c>
      <c r="K1615" s="2" t="n">
        <f>HYPERLINK("https://sectors.patentforecast.com/pmd/US20210338631","PMD")</f>
        <v>0.0</v>
      </c>
      <c r="L1615" s="2" t="n">
        <f>HYPERLINK("https://globaldossier.uspto.gov/result/application/US/17222718/1","US20210338631")</f>
        <v>0.0</v>
      </c>
      <c r="M1615" t="s">
        <v>11190</v>
      </c>
      <c r="N1615" t="s">
        <v>11191</v>
      </c>
      <c r="O1615" t="s">
        <v>11192</v>
      </c>
      <c r="P1615" t="s">
        <v>11193</v>
      </c>
      <c r="Q1615" s="3" t="n">
        <v>44291.0</v>
      </c>
      <c r="R1615" s="3" t="n">
        <v>44504.0</v>
      </c>
      <c r="S1615" s="3" t="n">
        <v>44505.23120805556</v>
      </c>
      <c r="T1615" s="3" t="n">
        <v>44509.65835711805</v>
      </c>
      <c r="U1615" t="s">
        <v>11194</v>
      </c>
      <c r="V1615" t="s">
        <v>11195</v>
      </c>
    </row>
    <row r="1616">
      <c r="A1616" t="s">
        <v>22</v>
      </c>
      <c r="B1616" t="s">
        <v>11196</v>
      </c>
      <c r="C1616" t="s">
        <v>60</v>
      </c>
      <c r="D1616" t="s">
        <v>61</v>
      </c>
      <c r="E1616" t="s">
        <v>11197</v>
      </c>
      <c r="F1616" s="2" t="n">
        <f>HYPERLINK("https://patents.google.com/patent/US20210338626","Google")</f>
        <v>0.0</v>
      </c>
      <c r="G1616" s="2" t="n">
        <f>HYPERLINK("https://patentcenter.uspto.gov/applications/17237777","Patent Center")</f>
        <v>0.0</v>
      </c>
      <c r="H1616" s="2" t="n">
        <f>HYPERLINK("https://worldwide.espacenet.com/patent/search?q=US20210338626","Espacenet")</f>
        <v>0.0</v>
      </c>
      <c r="I1616" s="2" t="n">
        <f>HYPERLINK("https://ppubs.uspto.gov/pubwebapp/external.html?q=20210338626.pn.","USPTO")</f>
        <v>0.0</v>
      </c>
      <c r="J1616" s="2" t="n">
        <f>HYPERLINK("https://image-ppubs.uspto.gov/dirsearch-public/print/downloadPdf/20210338626","USPTO PDF")</f>
        <v>0.0</v>
      </c>
      <c r="K1616" s="2" t="n">
        <f>HYPERLINK("https://sectors.patentforecast.com/pmd/US20210338626","PMD")</f>
        <v>0.0</v>
      </c>
      <c r="L1616" s="2" t="n">
        <f>HYPERLINK("https://globaldossier.uspto.gov/result/application/US/17237777/1","US20210338626")</f>
        <v>0.0</v>
      </c>
      <c r="M1616" t="s">
        <v>11198</v>
      </c>
      <c r="N1616" t="s">
        <v>11199</v>
      </c>
      <c r="O1616" t="s">
        <v>11200</v>
      </c>
      <c r="P1616" t="s">
        <v>11201</v>
      </c>
      <c r="Q1616" s="3" t="n">
        <v>44308.0</v>
      </c>
      <c r="R1616" s="3" t="n">
        <v>44504.0</v>
      </c>
      <c r="S1616" s="3" t="n">
        <v>44505.23120805556</v>
      </c>
      <c r="T1616" s="3" t="n">
        <v>44509.68461012731</v>
      </c>
      <c r="U1616" t="s">
        <v>11202</v>
      </c>
      <c r="V1616" t="s">
        <v>11203</v>
      </c>
    </row>
    <row r="1617">
      <c r="A1617" t="s">
        <v>22</v>
      </c>
      <c r="B1617" t="s">
        <v>11204</v>
      </c>
      <c r="C1617" t="s">
        <v>24</v>
      </c>
      <c r="D1617" t="s">
        <v>51</v>
      </c>
      <c r="E1617" t="s">
        <v>11205</v>
      </c>
      <c r="F1617" s="2" t="n">
        <f>HYPERLINK("https://patents.google.com/patent/US20210338491","Google")</f>
        <v>0.0</v>
      </c>
      <c r="G1617" s="2" t="n">
        <f>HYPERLINK("https://patentcenter.uspto.gov/applications/17246296","Patent Center")</f>
        <v>0.0</v>
      </c>
      <c r="H1617" s="2" t="n">
        <f>HYPERLINK("https://worldwide.espacenet.com/patent/search?q=US20210338491","Espacenet")</f>
        <v>0.0</v>
      </c>
      <c r="I1617" s="2" t="n">
        <f>HYPERLINK("https://ppubs.uspto.gov/pubwebapp/external.html?q=20210338491.pn.","USPTO")</f>
        <v>0.0</v>
      </c>
      <c r="J1617" s="2" t="n">
        <f>HYPERLINK("https://image-ppubs.uspto.gov/dirsearch-public/print/downloadPdf/20210338491","USPTO PDF")</f>
        <v>0.0</v>
      </c>
      <c r="K1617" s="2" t="n">
        <f>HYPERLINK("https://sectors.patentforecast.com/pmd/US20210338491","PMD")</f>
        <v>0.0</v>
      </c>
      <c r="L1617" s="2" t="n">
        <f>HYPERLINK("https://globaldossier.uspto.gov/result/application/US/17246296/1","US20210338491")</f>
        <v>0.0</v>
      </c>
      <c r="M1617" t="s">
        <v>11206</v>
      </c>
      <c r="N1617" t="s">
        <v>11207</v>
      </c>
      <c r="O1617" t="s">
        <v>11208</v>
      </c>
      <c r="P1617" t="s">
        <v>11209</v>
      </c>
      <c r="Q1617" s="3" t="n">
        <v>44316.0</v>
      </c>
      <c r="R1617" s="3" t="n">
        <v>44504.0</v>
      </c>
      <c r="S1617" s="3" t="n">
        <v>44505.23120805556</v>
      </c>
      <c r="T1617" s="3" t="n">
        <v>44509.703543194446</v>
      </c>
      <c r="U1617" t="s">
        <v>11210</v>
      </c>
      <c r="V1617" t="s">
        <v>11211</v>
      </c>
    </row>
    <row r="1618">
      <c r="A1618" t="s">
        <v>22</v>
      </c>
      <c r="B1618" t="s">
        <v>11212</v>
      </c>
      <c r="C1618" t="s">
        <v>24</v>
      </c>
      <c r="D1618" t="s">
        <v>69</v>
      </c>
      <c r="E1618" t="s">
        <v>11213</v>
      </c>
      <c r="F1618" s="2" t="n">
        <f>HYPERLINK("https://patents.google.com/patent/US20210338361","Google")</f>
        <v>0.0</v>
      </c>
      <c r="G1618" s="2" t="n">
        <f>HYPERLINK("https://patentcenter.uspto.gov/applications/17241278","Patent Center")</f>
        <v>0.0</v>
      </c>
      <c r="H1618" s="2" t="n">
        <f>HYPERLINK("https://worldwide.espacenet.com/patent/search?q=US20210338361","Espacenet")</f>
        <v>0.0</v>
      </c>
      <c r="I1618" s="2" t="n">
        <f>HYPERLINK("https://ppubs.uspto.gov/pubwebapp/external.html?q=20210338361.pn.","USPTO")</f>
        <v>0.0</v>
      </c>
      <c r="J1618" s="2" t="n">
        <f>HYPERLINK("https://image-ppubs.uspto.gov/dirsearch-public/print/downloadPdf/20210338361","USPTO PDF")</f>
        <v>0.0</v>
      </c>
      <c r="K1618" s="2" t="n">
        <f>HYPERLINK("https://sectors.patentforecast.com/pmd/US20210338361","PMD")</f>
        <v>0.0</v>
      </c>
      <c r="L1618" s="2" t="n">
        <f>HYPERLINK("https://globaldossier.uspto.gov/result/application/US/17241278/1","US20210338361")</f>
        <v>0.0</v>
      </c>
      <c r="M1618" t="s">
        <v>11214</v>
      </c>
      <c r="N1618" t="s">
        <v>11215</v>
      </c>
      <c r="O1618" t="s">
        <v>11216</v>
      </c>
      <c r="P1618" t="s">
        <v>11217</v>
      </c>
      <c r="Q1618" s="3" t="n">
        <v>44313.0</v>
      </c>
      <c r="R1618" s="3" t="n">
        <v>44504.0</v>
      </c>
      <c r="S1618" s="3" t="n">
        <v>44505.23120805556</v>
      </c>
      <c r="T1618" s="3" t="n">
        <v>44509.66199854167</v>
      </c>
      <c r="U1618" t="s">
        <v>11218</v>
      </c>
      <c r="V1618" t="s">
        <v>11219</v>
      </c>
    </row>
    <row r="1619">
      <c r="A1619" t="s">
        <v>22</v>
      </c>
      <c r="B1619" t="s">
        <v>11220</v>
      </c>
      <c r="C1619" t="s">
        <v>24</v>
      </c>
      <c r="D1619" t="s">
        <v>51</v>
      </c>
      <c r="E1619" t="s">
        <v>11221</v>
      </c>
      <c r="F1619" s="2" t="n">
        <f>HYPERLINK("https://patents.google.com/patent/US20210338212","Google")</f>
        <v>0.0</v>
      </c>
      <c r="G1619" s="2" t="n">
        <f>HYPERLINK("https://patentcenter.uspto.gov/applications/17342469","Patent Center")</f>
        <v>0.0</v>
      </c>
      <c r="H1619" s="2" t="n">
        <f>HYPERLINK("https://worldwide.espacenet.com/patent/search?q=US20210338212","Espacenet")</f>
        <v>0.0</v>
      </c>
      <c r="I1619" s="2" t="n">
        <f>HYPERLINK("https://ppubs.uspto.gov/pubwebapp/external.html?q=20210338212.pn.","USPTO")</f>
        <v>0.0</v>
      </c>
      <c r="J1619" s="2" t="n">
        <f>HYPERLINK("https://image-ppubs.uspto.gov/dirsearch-public/print/downloadPdf/20210338212","USPTO PDF")</f>
        <v>0.0</v>
      </c>
      <c r="K1619" s="2" t="n">
        <f>HYPERLINK("https://sectors.patentforecast.com/pmd/US20210338212","PMD")</f>
        <v>0.0</v>
      </c>
      <c r="L1619" s="2" t="n">
        <f>HYPERLINK("https://globaldossier.uspto.gov/result/application/US/17342469/1","US20210338212")</f>
        <v>0.0</v>
      </c>
      <c r="M1619" t="s">
        <v>11222</v>
      </c>
      <c r="N1619" t="s">
        <v>9375</v>
      </c>
      <c r="O1619" t="s">
        <v>9375</v>
      </c>
      <c r="P1619" t="s">
        <v>9376</v>
      </c>
      <c r="Q1619" s="3" t="n">
        <v>44355.0</v>
      </c>
      <c r="R1619" s="3" t="n">
        <v>44504.0</v>
      </c>
      <c r="S1619" s="3" t="n">
        <v>44505.23120805556</v>
      </c>
      <c r="T1619" s="3" t="n">
        <v>44509.6625365162</v>
      </c>
      <c r="U1619" t="s">
        <v>11223</v>
      </c>
      <c r="V1619" t="s">
        <v>11224</v>
      </c>
    </row>
    <row r="1620">
      <c r="A1620" t="s">
        <v>22</v>
      </c>
      <c r="B1620" t="s">
        <v>11225</v>
      </c>
      <c r="C1620" t="s">
        <v>24</v>
      </c>
      <c r="D1620" t="s">
        <v>25</v>
      </c>
      <c r="E1620" t="s">
        <v>3119</v>
      </c>
      <c r="F1620" s="2" t="n">
        <f>HYPERLINK("https://patents.google.com/patent/US20210338103","Google")</f>
        <v>0.0</v>
      </c>
      <c r="G1620" s="2" t="n">
        <f>HYPERLINK("https://patentcenter.uspto.gov/applications/17374843","Patent Center")</f>
        <v>0.0</v>
      </c>
      <c r="H1620" s="2" t="n">
        <f>HYPERLINK("https://worldwide.espacenet.com/patent/search?q=US20210338103","Espacenet")</f>
        <v>0.0</v>
      </c>
      <c r="I1620" s="2" t="n">
        <f>HYPERLINK("https://ppubs.uspto.gov/pubwebapp/external.html?q=20210338103.pn.","USPTO")</f>
        <v>0.0</v>
      </c>
      <c r="J1620" s="2" t="n">
        <f>HYPERLINK("https://image-ppubs.uspto.gov/dirsearch-public/print/downloadPdf/20210338103","USPTO PDF")</f>
        <v>0.0</v>
      </c>
      <c r="K1620" s="2" t="n">
        <f>HYPERLINK("https://sectors.patentforecast.com/pmd/US20210338103","PMD")</f>
        <v>0.0</v>
      </c>
      <c r="L1620" s="2" t="n">
        <f>HYPERLINK("https://globaldossier.uspto.gov/result/application/US/17374843/1","US20210338103")</f>
        <v>0.0</v>
      </c>
      <c r="M1620" t="s">
        <v>3120</v>
      </c>
      <c r="N1620" t="s">
        <v>3121</v>
      </c>
      <c r="O1620" t="s">
        <v>3122</v>
      </c>
      <c r="P1620" t="s">
        <v>3123</v>
      </c>
      <c r="Q1620" s="3" t="n">
        <v>44390.0</v>
      </c>
      <c r="R1620" s="3" t="n">
        <v>44504.0</v>
      </c>
      <c r="S1620" s="3" t="n">
        <v>44505.23120805556</v>
      </c>
      <c r="T1620" s="3" t="n">
        <v>44509.666564976855</v>
      </c>
      <c r="U1620" t="s">
        <v>11226</v>
      </c>
      <c r="V1620" t="s">
        <v>3124</v>
      </c>
    </row>
    <row r="1621">
      <c r="A1621" t="s">
        <v>22</v>
      </c>
      <c r="B1621" t="s">
        <v>11227</v>
      </c>
      <c r="C1621" t="s">
        <v>24</v>
      </c>
      <c r="D1621" t="s">
        <v>51</v>
      </c>
      <c r="E1621" t="s">
        <v>11228</v>
      </c>
      <c r="F1621" s="2" t="n">
        <f>HYPERLINK("https://patents.google.com/patent/US20210338102","Google")</f>
        <v>0.0</v>
      </c>
      <c r="G1621" s="2" t="n">
        <f>HYPERLINK("https://patentcenter.uspto.gov/applications/17238052","Patent Center")</f>
        <v>0.0</v>
      </c>
      <c r="H1621" s="2" t="n">
        <f>HYPERLINK("https://worldwide.espacenet.com/patent/search?q=US20210338102","Espacenet")</f>
        <v>0.0</v>
      </c>
      <c r="I1621" s="2" t="n">
        <f>HYPERLINK("https://ppubs.uspto.gov/pubwebapp/external.html?q=20210338102.pn.","USPTO")</f>
        <v>0.0</v>
      </c>
      <c r="J1621" s="2" t="n">
        <f>HYPERLINK("https://image-ppubs.uspto.gov/dirsearch-public/print/downloadPdf/20210338102","USPTO PDF")</f>
        <v>0.0</v>
      </c>
      <c r="K1621" s="2" t="n">
        <f>HYPERLINK("https://sectors.patentforecast.com/pmd/US20210338102","PMD")</f>
        <v>0.0</v>
      </c>
      <c r="L1621" s="2" t="n">
        <f>HYPERLINK("https://globaldossier.uspto.gov/result/application/US/17238052/1","US20210338102")</f>
        <v>0.0</v>
      </c>
      <c r="M1621" t="s">
        <v>11229</v>
      </c>
      <c r="N1621" t="s">
        <v>11230</v>
      </c>
      <c r="O1621" t="s">
        <v>11231</v>
      </c>
      <c r="P1621" t="s">
        <v>11232</v>
      </c>
      <c r="Q1621" s="3" t="n">
        <v>44308.0</v>
      </c>
      <c r="R1621" s="3" t="n">
        <v>44504.0</v>
      </c>
      <c r="S1621" s="3" t="n">
        <v>44505.23120805556</v>
      </c>
      <c r="T1621" s="3" t="n">
        <v>44509.687260659724</v>
      </c>
      <c r="U1621" t="s">
        <v>11233</v>
      </c>
      <c r="V1621" t="s">
        <v>11234</v>
      </c>
    </row>
    <row r="1622">
      <c r="A1622" t="s">
        <v>22</v>
      </c>
      <c r="B1622" t="s">
        <v>11235</v>
      </c>
      <c r="C1622" t="s">
        <v>24</v>
      </c>
      <c r="D1622" t="s">
        <v>51</v>
      </c>
      <c r="E1622" t="s">
        <v>11228</v>
      </c>
      <c r="F1622" s="2" t="n">
        <f>HYPERLINK("https://patents.google.com/patent/US20210338101","Google")</f>
        <v>0.0</v>
      </c>
      <c r="G1622" s="2" t="n">
        <f>HYPERLINK("https://patentcenter.uspto.gov/applications/17236994","Patent Center")</f>
        <v>0.0</v>
      </c>
      <c r="H1622" s="2" t="n">
        <f>HYPERLINK("https://worldwide.espacenet.com/patent/search?q=US20210338101","Espacenet")</f>
        <v>0.0</v>
      </c>
      <c r="I1622" s="2" t="n">
        <f>HYPERLINK("https://ppubs.uspto.gov/pubwebapp/external.html?q=20210338101.pn.","USPTO")</f>
        <v>0.0</v>
      </c>
      <c r="J1622" s="2" t="n">
        <f>HYPERLINK("https://image-ppubs.uspto.gov/dirsearch-public/print/downloadPdf/20210338101","USPTO PDF")</f>
        <v>0.0</v>
      </c>
      <c r="K1622" s="2" t="n">
        <f>HYPERLINK("https://sectors.patentforecast.com/pmd/US20210338101","PMD")</f>
        <v>0.0</v>
      </c>
      <c r="L1622" s="2" t="n">
        <f>HYPERLINK("https://globaldossier.uspto.gov/result/application/US/17236994/1","US20210338101")</f>
        <v>0.0</v>
      </c>
      <c r="M1622" t="s">
        <v>11236</v>
      </c>
      <c r="N1622" t="s">
        <v>11230</v>
      </c>
      <c r="O1622" t="s">
        <v>11231</v>
      </c>
      <c r="P1622" t="s">
        <v>11232</v>
      </c>
      <c r="Q1622" s="3" t="n">
        <v>44307.0</v>
      </c>
      <c r="R1622" s="3" t="n">
        <v>44504.0</v>
      </c>
      <c r="S1622" s="3" t="n">
        <v>44505.23120805556</v>
      </c>
      <c r="T1622" s="3" t="n">
        <v>44509.687260659724</v>
      </c>
      <c r="U1622" t="s">
        <v>11237</v>
      </c>
      <c r="V1622" t="s">
        <v>11234</v>
      </c>
    </row>
    <row r="1623">
      <c r="A1623" t="s">
        <v>22</v>
      </c>
      <c r="B1623" t="s">
        <v>11238</v>
      </c>
      <c r="C1623" t="s">
        <v>24</v>
      </c>
      <c r="D1623" t="s">
        <v>51</v>
      </c>
      <c r="E1623" t="s">
        <v>11228</v>
      </c>
      <c r="F1623" s="2" t="n">
        <f>HYPERLINK("https://patents.google.com/patent/US20210338100","Google")</f>
        <v>0.0</v>
      </c>
      <c r="G1623" s="2" t="n">
        <f>HYPERLINK("https://patentcenter.uspto.gov/applications/17061539","Patent Center")</f>
        <v>0.0</v>
      </c>
      <c r="H1623" s="2" t="n">
        <f>HYPERLINK("https://worldwide.espacenet.com/patent/search?q=US20210338100","Espacenet")</f>
        <v>0.0</v>
      </c>
      <c r="I1623" s="2" t="n">
        <f>HYPERLINK("https://ppubs.uspto.gov/pubwebapp/external.html?q=20210338100.pn.","USPTO")</f>
        <v>0.0</v>
      </c>
      <c r="J1623" s="2" t="n">
        <f>HYPERLINK("https://image-ppubs.uspto.gov/dirsearch-public/print/downloadPdf/20210338100","USPTO PDF")</f>
        <v>0.0</v>
      </c>
      <c r="K1623" s="2" t="n">
        <f>HYPERLINK("https://sectors.patentforecast.com/pmd/US20210338100","PMD")</f>
        <v>0.0</v>
      </c>
      <c r="L1623" s="2" t="n">
        <f>HYPERLINK("https://globaldossier.uspto.gov/result/application/US/17061539/1","US20210338100")</f>
        <v>0.0</v>
      </c>
      <c r="M1623" t="s">
        <v>11239</v>
      </c>
      <c r="N1623" t="s">
        <v>11230</v>
      </c>
      <c r="O1623" t="s">
        <v>11231</v>
      </c>
      <c r="P1623" t="s">
        <v>11232</v>
      </c>
      <c r="Q1623" s="3" t="n">
        <v>44105.0</v>
      </c>
      <c r="R1623" s="3" t="n">
        <v>44504.0</v>
      </c>
      <c r="S1623" s="3" t="n">
        <v>44505.23120805556</v>
      </c>
      <c r="T1623" s="3" t="n">
        <v>44509.687260659724</v>
      </c>
      <c r="U1623" t="s">
        <v>11240</v>
      </c>
      <c r="V1623" t="s">
        <v>11234</v>
      </c>
    </row>
    <row r="1624">
      <c r="A1624" t="s">
        <v>22</v>
      </c>
      <c r="B1624" t="s">
        <v>11241</v>
      </c>
      <c r="C1624" t="s">
        <v>24</v>
      </c>
      <c r="D1624" t="s">
        <v>69</v>
      </c>
      <c r="E1624" t="s">
        <v>11242</v>
      </c>
      <c r="F1624" s="2" t="n">
        <f>HYPERLINK("https://patents.google.com/patent/US20210337896","Google")</f>
        <v>0.0</v>
      </c>
      <c r="G1624" s="2" t="n">
        <f>HYPERLINK("https://patentcenter.uspto.gov/applications/16948313","Patent Center")</f>
        <v>0.0</v>
      </c>
      <c r="H1624" s="2" t="n">
        <f>HYPERLINK("https://worldwide.espacenet.com/patent/search?q=US20210337896","Espacenet")</f>
        <v>0.0</v>
      </c>
      <c r="I1624" s="2" t="n">
        <f>HYPERLINK("https://ppubs.uspto.gov/pubwebapp/external.html?q=20210337896.pn.","USPTO")</f>
        <v>0.0</v>
      </c>
      <c r="J1624" s="2" t="n">
        <f>HYPERLINK("https://image-ppubs.uspto.gov/dirsearch-public/print/downloadPdf/20210337896","USPTO PDF")</f>
        <v>0.0</v>
      </c>
      <c r="K1624" s="2" t="n">
        <f>HYPERLINK("https://sectors.patentforecast.com/pmd/US20210337896","PMD")</f>
        <v>0.0</v>
      </c>
      <c r="L1624" s="2" t="n">
        <f>HYPERLINK("https://globaldossier.uspto.gov/result/application/US/16948313/1","US20210337896")</f>
        <v>0.0</v>
      </c>
      <c r="M1624" t="s">
        <v>11243</v>
      </c>
      <c r="N1624" t="s">
        <v>11244</v>
      </c>
      <c r="O1624" t="s">
        <v>11244</v>
      </c>
      <c r="P1624" t="s">
        <v>11245</v>
      </c>
      <c r="Q1624" s="3" t="n">
        <v>44086.0</v>
      </c>
      <c r="R1624" s="3" t="n">
        <v>44504.0</v>
      </c>
      <c r="S1624" s="3" t="n">
        <v>44505.23120805556</v>
      </c>
      <c r="T1624" s="3" t="n">
        <v>44509.66274517361</v>
      </c>
      <c r="U1624" t="s">
        <v>9575</v>
      </c>
      <c r="V1624" t="s">
        <v>11246</v>
      </c>
    </row>
    <row r="1625">
      <c r="A1625" t="s">
        <v>22</v>
      </c>
      <c r="B1625" t="s">
        <v>11247</v>
      </c>
      <c r="C1625" t="s">
        <v>24</v>
      </c>
      <c r="D1625" t="s">
        <v>69</v>
      </c>
      <c r="E1625" t="s">
        <v>11248</v>
      </c>
      <c r="F1625" s="2" t="n">
        <f>HYPERLINK("https://patents.google.com/patent/US20210337894","Google")</f>
        <v>0.0</v>
      </c>
      <c r="G1625" s="2" t="n">
        <f>HYPERLINK("https://patentcenter.uspto.gov/applications/17241401","Patent Center")</f>
        <v>0.0</v>
      </c>
      <c r="H1625" s="2" t="n">
        <f>HYPERLINK("https://worldwide.espacenet.com/patent/search?q=US20210337894","Espacenet")</f>
        <v>0.0</v>
      </c>
      <c r="I1625" s="2" t="n">
        <f>HYPERLINK("https://ppubs.uspto.gov/pubwebapp/external.html?q=20210337894.pn.","USPTO")</f>
        <v>0.0</v>
      </c>
      <c r="J1625" s="2" t="n">
        <f>HYPERLINK("https://image-ppubs.uspto.gov/dirsearch-public/print/downloadPdf/20210337894","USPTO PDF")</f>
        <v>0.0</v>
      </c>
      <c r="K1625" s="2" t="n">
        <f>HYPERLINK("https://sectors.patentforecast.com/pmd/US20210337894","PMD")</f>
        <v>0.0</v>
      </c>
      <c r="L1625" s="2" t="n">
        <f>HYPERLINK("https://globaldossier.uspto.gov/result/application/US/17241401/1","US20210337894")</f>
        <v>0.0</v>
      </c>
      <c r="M1625" t="s">
        <v>11249</v>
      </c>
      <c r="N1625" t="s">
        <v>11250</v>
      </c>
      <c r="O1625" t="s">
        <v>11251</v>
      </c>
      <c r="P1625" t="s">
        <v>11252</v>
      </c>
      <c r="Q1625" s="3" t="n">
        <v>44313.0</v>
      </c>
      <c r="R1625" s="3" t="n">
        <v>44504.0</v>
      </c>
      <c r="S1625" s="3" t="n">
        <v>44505.23120805556</v>
      </c>
      <c r="T1625" s="3" t="n">
        <v>44509.66769806713</v>
      </c>
      <c r="U1625" t="s">
        <v>11253</v>
      </c>
      <c r="V1625" t="s">
        <v>11254</v>
      </c>
    </row>
    <row r="1626">
      <c r="A1626" t="s">
        <v>22</v>
      </c>
      <c r="B1626" t="s">
        <v>11255</v>
      </c>
      <c r="C1626" t="s">
        <v>24</v>
      </c>
      <c r="D1626" t="s">
        <v>69</v>
      </c>
      <c r="E1626" t="s">
        <v>11256</v>
      </c>
      <c r="F1626" s="2" t="n">
        <f>HYPERLINK("https://patents.google.com/patent/US20210337892","Google")</f>
        <v>0.0</v>
      </c>
      <c r="G1626" s="2" t="n">
        <f>HYPERLINK("https://patentcenter.uspto.gov/applications/16865269","Patent Center")</f>
        <v>0.0</v>
      </c>
      <c r="H1626" s="2" t="n">
        <f>HYPERLINK("https://worldwide.espacenet.com/patent/search?q=US20210337892","Espacenet")</f>
        <v>0.0</v>
      </c>
      <c r="I1626" s="2" t="n">
        <f>HYPERLINK("https://ppubs.uspto.gov/pubwebapp/external.html?q=20210337892.pn.","USPTO")</f>
        <v>0.0</v>
      </c>
      <c r="J1626" s="2" t="n">
        <f>HYPERLINK("https://image-ppubs.uspto.gov/dirsearch-public/print/downloadPdf/20210337892","USPTO PDF")</f>
        <v>0.0</v>
      </c>
      <c r="K1626" s="2" t="n">
        <f>HYPERLINK("https://sectors.patentforecast.com/pmd/US20210337892","PMD")</f>
        <v>0.0</v>
      </c>
      <c r="L1626" s="2" t="n">
        <f>HYPERLINK("https://globaldossier.uspto.gov/result/application/US/16865269/1","US20210337892")</f>
        <v>0.0</v>
      </c>
      <c r="M1626" t="s">
        <v>11257</v>
      </c>
      <c r="N1626" t="s">
        <v>11258</v>
      </c>
      <c r="O1626" t="s">
        <v>11258</v>
      </c>
      <c r="P1626" t="s">
        <v>11259</v>
      </c>
      <c r="Q1626" s="3" t="n">
        <v>43952.0</v>
      </c>
      <c r="R1626" s="3" t="n">
        <v>44504.0</v>
      </c>
      <c r="S1626" s="3" t="n">
        <v>44505.23120805556</v>
      </c>
      <c r="T1626" s="3" t="n">
        <v>44509.66259842592</v>
      </c>
      <c r="U1626" t="s">
        <v>11260</v>
      </c>
      <c r="V1626" t="s">
        <v>11261</v>
      </c>
    </row>
    <row r="1627">
      <c r="A1627" t="s">
        <v>22</v>
      </c>
      <c r="B1627" t="s">
        <v>11262</v>
      </c>
      <c r="C1627" t="s">
        <v>24</v>
      </c>
      <c r="D1627" t="s">
        <v>69</v>
      </c>
      <c r="E1627" t="s">
        <v>11263</v>
      </c>
      <c r="F1627" s="2" t="n">
        <f>HYPERLINK("https://patents.google.com/patent/US20210337889","Google")</f>
        <v>0.0</v>
      </c>
      <c r="G1627" s="2" t="n">
        <f>HYPERLINK("https://patentcenter.uspto.gov/applications/17242972","Patent Center")</f>
        <v>0.0</v>
      </c>
      <c r="H1627" s="2" t="n">
        <f>HYPERLINK("https://worldwide.espacenet.com/patent/search?q=US20210337889","Espacenet")</f>
        <v>0.0</v>
      </c>
      <c r="I1627" s="2" t="n">
        <f>HYPERLINK("https://ppubs.uspto.gov/pubwebapp/external.html?q=20210337889.pn.","USPTO")</f>
        <v>0.0</v>
      </c>
      <c r="J1627" s="2" t="n">
        <f>HYPERLINK("https://image-ppubs.uspto.gov/dirsearch-public/print/downloadPdf/20210337889","USPTO PDF")</f>
        <v>0.0</v>
      </c>
      <c r="K1627" s="2" t="n">
        <f>HYPERLINK("https://sectors.patentforecast.com/pmd/US20210337889","PMD")</f>
        <v>0.0</v>
      </c>
      <c r="L1627" s="2" t="n">
        <f>HYPERLINK("https://globaldossier.uspto.gov/result/application/US/17242972/1","US20210337889")</f>
        <v>0.0</v>
      </c>
      <c r="M1627" t="s">
        <v>11264</v>
      </c>
      <c r="N1627" t="s">
        <v>11265</v>
      </c>
      <c r="O1627" t="s">
        <v>11265</v>
      </c>
      <c r="P1627" t="s">
        <v>11266</v>
      </c>
      <c r="Q1627" s="3" t="n">
        <v>44314.0</v>
      </c>
      <c r="R1627" s="3" t="n">
        <v>44504.0</v>
      </c>
      <c r="S1627" s="3" t="n">
        <v>44505.23120805556</v>
      </c>
      <c r="T1627" s="3" t="n">
        <v>44509.66263949074</v>
      </c>
      <c r="U1627" t="s">
        <v>11267</v>
      </c>
      <c r="V1627" t="s">
        <v>11268</v>
      </c>
    </row>
    <row r="1628">
      <c r="A1628" t="s">
        <v>22</v>
      </c>
      <c r="B1628" t="s">
        <v>11269</v>
      </c>
      <c r="C1628" t="s">
        <v>60</v>
      </c>
      <c r="D1628" t="s">
        <v>696</v>
      </c>
      <c r="E1628" t="s">
        <v>11270</v>
      </c>
      <c r="F1628" s="2" t="n">
        <f>HYPERLINK("https://patents.google.com/patent/US20210337854","Google")</f>
        <v>0.0</v>
      </c>
      <c r="G1628" s="2" t="n">
        <f>HYPERLINK("https://patentcenter.uspto.gov/applications/17236990","Patent Center")</f>
        <v>0.0</v>
      </c>
      <c r="H1628" s="2" t="n">
        <f>HYPERLINK("https://worldwide.espacenet.com/patent/search?q=US20210337854","Espacenet")</f>
        <v>0.0</v>
      </c>
      <c r="I1628" s="2" t="n">
        <f>HYPERLINK("https://ppubs.uspto.gov/pubwebapp/external.html?q=20210337854.pn.","USPTO")</f>
        <v>0.0</v>
      </c>
      <c r="J1628" s="2" t="n">
        <f>HYPERLINK("https://image-ppubs.uspto.gov/dirsearch-public/print/downloadPdf/20210337854","USPTO PDF")</f>
        <v>0.0</v>
      </c>
      <c r="K1628" s="2" t="n">
        <f>HYPERLINK("https://sectors.patentforecast.com/pmd/US20210337854","PMD")</f>
        <v>0.0</v>
      </c>
      <c r="L1628" s="2" t="n">
        <f>HYPERLINK("https://globaldossier.uspto.gov/result/application/US/17236990/1","US20210337854")</f>
        <v>0.0</v>
      </c>
      <c r="M1628" t="s">
        <v>11271</v>
      </c>
      <c r="N1628" t="s">
        <v>11272</v>
      </c>
      <c r="O1628" t="s">
        <v>11272</v>
      </c>
      <c r="P1628" t="s">
        <v>11273</v>
      </c>
      <c r="Q1628" s="3" t="n">
        <v>44307.0</v>
      </c>
      <c r="R1628" s="3" t="n">
        <v>44504.0</v>
      </c>
      <c r="S1628" s="3" t="n">
        <v>44505.23120805556</v>
      </c>
      <c r="T1628" s="3" t="n">
        <v>44509.6681815162</v>
      </c>
      <c r="U1628" t="s">
        <v>11274</v>
      </c>
      <c r="V1628" t="s">
        <v>11275</v>
      </c>
    </row>
    <row r="1629">
      <c r="A1629" t="s">
        <v>22</v>
      </c>
      <c r="B1629" t="s">
        <v>11276</v>
      </c>
      <c r="C1629" t="s">
        <v>24</v>
      </c>
      <c r="D1629" t="s">
        <v>100</v>
      </c>
      <c r="E1629" t="s">
        <v>11277</v>
      </c>
      <c r="F1629" s="2" t="n">
        <f>HYPERLINK("https://patents.google.com/patent/US20210337802","Google")</f>
        <v>0.0</v>
      </c>
      <c r="G1629" s="2" t="n">
        <f>HYPERLINK("https://patentcenter.uspto.gov/applications/17246883","Patent Center")</f>
        <v>0.0</v>
      </c>
      <c r="H1629" s="2" t="n">
        <f>HYPERLINK("https://worldwide.espacenet.com/patent/search?q=US20210337802","Espacenet")</f>
        <v>0.0</v>
      </c>
      <c r="I1629" s="2" t="n">
        <f>HYPERLINK("https://ppubs.uspto.gov/pubwebapp/external.html?q=20210337802.pn.","USPTO")</f>
        <v>0.0</v>
      </c>
      <c r="J1629" s="2" t="n">
        <f>HYPERLINK("https://image-ppubs.uspto.gov/dirsearch-public/print/downloadPdf/20210337802","USPTO PDF")</f>
        <v>0.0</v>
      </c>
      <c r="K1629" s="2" t="n">
        <f>HYPERLINK("https://sectors.patentforecast.com/pmd/US20210337802","PMD")</f>
        <v>0.0</v>
      </c>
      <c r="L1629" s="2" t="n">
        <f>HYPERLINK("https://globaldossier.uspto.gov/result/application/US/17246883/1","US20210337802")</f>
        <v>0.0</v>
      </c>
      <c r="M1629" t="s">
        <v>11278</v>
      </c>
      <c r="N1629" t="s">
        <v>1308</v>
      </c>
      <c r="O1629" t="s">
        <v>1309</v>
      </c>
      <c r="P1629" t="s">
        <v>11279</v>
      </c>
      <c r="Q1629" s="3" t="n">
        <v>44319.0</v>
      </c>
      <c r="R1629" s="3" t="n">
        <v>44504.0</v>
      </c>
      <c r="S1629" s="3" t="n">
        <v>44505.23120805556</v>
      </c>
      <c r="T1629" s="3" t="n">
        <v>44509.7050255787</v>
      </c>
      <c r="U1629" t="s">
        <v>11280</v>
      </c>
      <c r="V1629" t="s">
        <v>11281</v>
      </c>
    </row>
    <row r="1630">
      <c r="A1630" t="s">
        <v>22</v>
      </c>
      <c r="B1630" t="s">
        <v>11282</v>
      </c>
      <c r="C1630" t="s">
        <v>24</v>
      </c>
      <c r="D1630" t="s">
        <v>69</v>
      </c>
      <c r="E1630" t="s">
        <v>11283</v>
      </c>
      <c r="F1630" s="2" t="n">
        <f>HYPERLINK("https://patents.google.com/patent/US20210337800","Google")</f>
        <v>0.0</v>
      </c>
      <c r="G1630" s="2" t="n">
        <f>HYPERLINK("https://patentcenter.uspto.gov/applications/17232350","Patent Center")</f>
        <v>0.0</v>
      </c>
      <c r="H1630" s="2" t="n">
        <f>HYPERLINK("https://worldwide.espacenet.com/patent/search?q=US20210337800","Espacenet")</f>
        <v>0.0</v>
      </c>
      <c r="I1630" s="2" t="n">
        <f>HYPERLINK("https://ppubs.uspto.gov/pubwebapp/external.html?q=20210337800.pn.","USPTO")</f>
        <v>0.0</v>
      </c>
      <c r="J1630" s="2" t="n">
        <f>HYPERLINK("https://image-ppubs.uspto.gov/dirsearch-public/print/downloadPdf/20210337800","USPTO PDF")</f>
        <v>0.0</v>
      </c>
      <c r="K1630" s="2" t="n">
        <f>HYPERLINK("https://sectors.patentforecast.com/pmd/US20210337800","PMD")</f>
        <v>0.0</v>
      </c>
      <c r="L1630" s="2" t="n">
        <f>HYPERLINK("https://globaldossier.uspto.gov/result/application/US/17232350/1","US20210337800")</f>
        <v>0.0</v>
      </c>
      <c r="M1630" t="s">
        <v>11284</v>
      </c>
      <c r="N1630" t="s">
        <v>11285</v>
      </c>
      <c r="O1630" t="s">
        <v>11286</v>
      </c>
      <c r="P1630" t="s">
        <v>11287</v>
      </c>
      <c r="Q1630" s="3" t="n">
        <v>44302.0</v>
      </c>
      <c r="R1630" s="3" t="n">
        <v>44504.0</v>
      </c>
      <c r="S1630" s="3" t="n">
        <v>44505.23120805556</v>
      </c>
      <c r="T1630" s="3" t="n">
        <v>44509.70340452546</v>
      </c>
      <c r="U1630" t="s">
        <v>11288</v>
      </c>
      <c r="V1630" t="s">
        <v>11289</v>
      </c>
    </row>
    <row r="1631">
      <c r="A1631" t="s">
        <v>22</v>
      </c>
      <c r="B1631" t="s">
        <v>11290</v>
      </c>
      <c r="C1631" t="s">
        <v>24</v>
      </c>
      <c r="D1631" t="s">
        <v>1356</v>
      </c>
      <c r="E1631" t="s">
        <v>11291</v>
      </c>
      <c r="F1631" s="2" t="n">
        <f>HYPERLINK("https://patents.google.com/patent/US20210337358","Google")</f>
        <v>0.0</v>
      </c>
      <c r="G1631" s="2" t="n">
        <f>HYPERLINK("https://patentcenter.uspto.gov/applications/17240930","Patent Center")</f>
        <v>0.0</v>
      </c>
      <c r="H1631" s="2" t="n">
        <f>HYPERLINK("https://worldwide.espacenet.com/patent/search?q=US20210337358","Espacenet")</f>
        <v>0.0</v>
      </c>
      <c r="I1631" s="2" t="n">
        <f>HYPERLINK("https://ppubs.uspto.gov/pubwebapp/external.html?q=20210337358.pn.","USPTO")</f>
        <v>0.0</v>
      </c>
      <c r="J1631" s="2" t="n">
        <f>HYPERLINK("https://image-ppubs.uspto.gov/dirsearch-public/print/downloadPdf/20210337358","USPTO PDF")</f>
        <v>0.0</v>
      </c>
      <c r="K1631" s="2" t="n">
        <f>HYPERLINK("https://sectors.patentforecast.com/pmd/US20210337358","PMD")</f>
        <v>0.0</v>
      </c>
      <c r="L1631" s="2" t="n">
        <f>HYPERLINK("https://globaldossier.uspto.gov/result/application/US/17240930/1","US20210337358")</f>
        <v>0.0</v>
      </c>
      <c r="M1631" t="s">
        <v>11292</v>
      </c>
      <c r="N1631" t="s">
        <v>11293</v>
      </c>
      <c r="O1631" t="s">
        <v>11294</v>
      </c>
      <c r="P1631" t="s">
        <v>11295</v>
      </c>
      <c r="Q1631" s="3" t="n">
        <v>44312.0</v>
      </c>
      <c r="R1631" s="3" t="n">
        <v>44497.0</v>
      </c>
      <c r="S1631" s="3" t="n">
        <v>44629.19247872685</v>
      </c>
      <c r="T1631" s="3" t="n">
        <v>44719.60370445602</v>
      </c>
      <c r="U1631" t="s">
        <v>11296</v>
      </c>
      <c r="V1631" t="s">
        <v>11297</v>
      </c>
    </row>
    <row r="1632">
      <c r="A1632" t="s">
        <v>22</v>
      </c>
      <c r="B1632" t="s">
        <v>11298</v>
      </c>
      <c r="C1632" t="s">
        <v>24</v>
      </c>
      <c r="D1632" t="s">
        <v>1356</v>
      </c>
      <c r="E1632" t="s">
        <v>11299</v>
      </c>
      <c r="F1632" s="2" t="n">
        <f>HYPERLINK("https://patents.google.com/patent/US20210335501","Google")</f>
        <v>0.0</v>
      </c>
      <c r="G1632" s="2" t="n">
        <f>HYPERLINK("https://patentcenter.uspto.gov/applications/17238275","Patent Center")</f>
        <v>0.0</v>
      </c>
      <c r="H1632" s="2" t="n">
        <f>HYPERLINK("https://worldwide.espacenet.com/patent/search?q=US20210335501","Espacenet")</f>
        <v>0.0</v>
      </c>
      <c r="I1632" s="2" t="n">
        <f>HYPERLINK("https://ppubs.uspto.gov/pubwebapp/external.html?q=20210335501.pn.","USPTO")</f>
        <v>0.0</v>
      </c>
      <c r="J1632" s="2" t="n">
        <f>HYPERLINK("https://image-ppubs.uspto.gov/dirsearch-public/print/downloadPdf/20210335501","USPTO PDF")</f>
        <v>0.0</v>
      </c>
      <c r="K1632" s="2" t="n">
        <f>HYPERLINK("https://sectors.patentforecast.com/pmd/US20210335501","PMD")</f>
        <v>0.0</v>
      </c>
      <c r="L1632" s="2" t="n">
        <f>HYPERLINK("https://globaldossier.uspto.gov/result/application/US/17238275/1","US20210335501")</f>
        <v>0.0</v>
      </c>
      <c r="M1632" t="s">
        <v>11300</v>
      </c>
      <c r="N1632" t="s">
        <v>11301</v>
      </c>
      <c r="O1632" t="s">
        <v>11302</v>
      </c>
      <c r="P1632" t="s">
        <v>11303</v>
      </c>
      <c r="Q1632" s="3" t="n">
        <v>44309.0</v>
      </c>
      <c r="R1632" s="3" t="n">
        <v>44497.0</v>
      </c>
      <c r="S1632" s="3" t="n">
        <v>44498.23046478009</v>
      </c>
      <c r="T1632" s="3" t="n">
        <v>44501.598836550926</v>
      </c>
      <c r="U1632" t="s">
        <v>11304</v>
      </c>
      <c r="V1632" t="s">
        <v>11305</v>
      </c>
    </row>
    <row r="1633">
      <c r="A1633" t="s">
        <v>22</v>
      </c>
      <c r="B1633" t="s">
        <v>11306</v>
      </c>
      <c r="C1633" t="s">
        <v>24</v>
      </c>
      <c r="D1633" t="s">
        <v>3193</v>
      </c>
      <c r="E1633" t="s">
        <v>11307</v>
      </c>
      <c r="F1633" s="2" t="n">
        <f>HYPERLINK("https://patents.google.com/patent/US20210335500","Google")</f>
        <v>0.0</v>
      </c>
      <c r="G1633" s="2" t="n">
        <f>HYPERLINK("https://patentcenter.uspto.gov/applications/16928762","Patent Center")</f>
        <v>0.0</v>
      </c>
      <c r="H1633" s="2" t="n">
        <f>HYPERLINK("https://worldwide.espacenet.com/patent/search?q=US20210335500","Espacenet")</f>
        <v>0.0</v>
      </c>
      <c r="I1633" s="2" t="n">
        <f>HYPERLINK("https://ppubs.uspto.gov/pubwebapp/external.html?q=20210335500.pn.","USPTO")</f>
        <v>0.0</v>
      </c>
      <c r="J1633" s="2" t="n">
        <f>HYPERLINK("https://image-ppubs.uspto.gov/dirsearch-public/print/downloadPdf/20210335500","USPTO PDF")</f>
        <v>0.0</v>
      </c>
      <c r="K1633" s="2" t="n">
        <f>HYPERLINK("https://sectors.patentforecast.com/pmd/US20210335500","PMD")</f>
        <v>0.0</v>
      </c>
      <c r="L1633" s="2" t="n">
        <f>HYPERLINK("https://globaldossier.uspto.gov/result/application/US/16928762/1","US20210335500")</f>
        <v>0.0</v>
      </c>
      <c r="M1633" t="s">
        <v>11308</v>
      </c>
      <c r="N1633" t="s">
        <v>11309</v>
      </c>
      <c r="O1633" t="s">
        <v>11310</v>
      </c>
      <c r="P1633" t="s">
        <v>11311</v>
      </c>
      <c r="Q1633" s="3" t="n">
        <v>44026.0</v>
      </c>
      <c r="R1633" s="3" t="n">
        <v>44497.0</v>
      </c>
      <c r="S1633" s="3" t="n">
        <v>44498.23242851852</v>
      </c>
      <c r="T1633" s="3" t="n">
        <v>44501.63296440972</v>
      </c>
      <c r="U1633" t="s">
        <v>11312</v>
      </c>
      <c r="V1633" t="s">
        <v>11313</v>
      </c>
    </row>
    <row r="1634">
      <c r="A1634" t="s">
        <v>22</v>
      </c>
      <c r="B1634" t="s">
        <v>11314</v>
      </c>
      <c r="C1634" t="s">
        <v>24</v>
      </c>
      <c r="D1634" t="s">
        <v>43</v>
      </c>
      <c r="E1634" t="s">
        <v>11315</v>
      </c>
      <c r="F1634" s="2" t="n">
        <f>HYPERLINK("https://patents.google.com/patent/US20210335494","Google")</f>
        <v>0.0</v>
      </c>
      <c r="G1634" s="2" t="n">
        <f>HYPERLINK("https://patentcenter.uspto.gov/applications/17241416","Patent Center")</f>
        <v>0.0</v>
      </c>
      <c r="H1634" s="2" t="n">
        <f>HYPERLINK("https://worldwide.espacenet.com/patent/search?q=US20210335494","Espacenet")</f>
        <v>0.0</v>
      </c>
      <c r="I1634" s="2" t="n">
        <f>HYPERLINK("https://ppubs.uspto.gov/pubwebapp/external.html?q=20210335494.pn.","USPTO")</f>
        <v>0.0</v>
      </c>
      <c r="J1634" s="2" t="n">
        <f>HYPERLINK("https://image-ppubs.uspto.gov/dirsearch-public/print/downloadPdf/20210335494","USPTO PDF")</f>
        <v>0.0</v>
      </c>
      <c r="K1634" s="2" t="n">
        <f>HYPERLINK("https://sectors.patentforecast.com/pmd/US20210335494","PMD")</f>
        <v>0.0</v>
      </c>
      <c r="L1634" s="2" t="n">
        <f>HYPERLINK("https://globaldossier.uspto.gov/result/application/US/17241416/1","US20210335494")</f>
        <v>0.0</v>
      </c>
      <c r="M1634" t="s">
        <v>11316</v>
      </c>
      <c r="N1634" t="s">
        <v>11317</v>
      </c>
      <c r="O1634" t="s">
        <v>11318</v>
      </c>
      <c r="P1634" t="s">
        <v>11319</v>
      </c>
      <c r="Q1634" s="3" t="n">
        <v>44313.0</v>
      </c>
      <c r="R1634" s="3" t="n">
        <v>44497.0</v>
      </c>
      <c r="S1634" s="3" t="n">
        <v>44498.23046478009</v>
      </c>
      <c r="T1634" s="3" t="n">
        <v>44501.59890621528</v>
      </c>
      <c r="U1634" t="s">
        <v>11320</v>
      </c>
      <c r="V1634" t="s">
        <v>11321</v>
      </c>
    </row>
    <row r="1635">
      <c r="A1635" t="s">
        <v>22</v>
      </c>
      <c r="B1635" t="s">
        <v>11322</v>
      </c>
      <c r="C1635" t="s">
        <v>24</v>
      </c>
      <c r="D1635" t="s">
        <v>25</v>
      </c>
      <c r="E1635" t="s">
        <v>11323</v>
      </c>
      <c r="F1635" s="2" t="n">
        <f>HYPERLINK("https://patents.google.com/patent/US20210335458","Google")</f>
        <v>0.0</v>
      </c>
      <c r="G1635" s="2" t="n">
        <f>HYPERLINK("https://patentcenter.uspto.gov/applications/17238789","Patent Center")</f>
        <v>0.0</v>
      </c>
      <c r="H1635" s="2" t="n">
        <f>HYPERLINK("https://worldwide.espacenet.com/patent/search?q=US20210335458","Espacenet")</f>
        <v>0.0</v>
      </c>
      <c r="I1635" s="2" t="n">
        <f>HYPERLINK("https://ppubs.uspto.gov/pubwebapp/external.html?q=20210335458.pn.","USPTO")</f>
        <v>0.0</v>
      </c>
      <c r="J1635" s="2" t="n">
        <f>HYPERLINK("https://image-ppubs.uspto.gov/dirsearch-public/print/downloadPdf/20210335458","USPTO PDF")</f>
        <v>0.0</v>
      </c>
      <c r="K1635" s="2" t="n">
        <f>HYPERLINK("https://sectors.patentforecast.com/pmd/US20210335458","PMD")</f>
        <v>0.0</v>
      </c>
      <c r="L1635" s="2" t="n">
        <f>HYPERLINK("https://globaldossier.uspto.gov/result/application/US/17238789/1","US20210335458")</f>
        <v>0.0</v>
      </c>
      <c r="M1635" t="s">
        <v>11324</v>
      </c>
      <c r="N1635" t="s">
        <v>11325</v>
      </c>
      <c r="O1635" t="s">
        <v>11326</v>
      </c>
      <c r="P1635" t="s">
        <v>11327</v>
      </c>
      <c r="Q1635" s="3" t="n">
        <v>44309.0</v>
      </c>
      <c r="R1635" s="3" t="n">
        <v>44497.0</v>
      </c>
      <c r="S1635" s="3" t="n">
        <v>44498.23046478009</v>
      </c>
      <c r="T1635" s="3" t="n">
        <v>44501.62552769676</v>
      </c>
      <c r="U1635" t="s">
        <v>11328</v>
      </c>
      <c r="V1635" t="s">
        <v>11329</v>
      </c>
    </row>
    <row r="1636">
      <c r="A1636" t="s">
        <v>22</v>
      </c>
      <c r="B1636" t="s">
        <v>11330</v>
      </c>
      <c r="C1636" t="s">
        <v>24</v>
      </c>
      <c r="D1636" t="s">
        <v>43</v>
      </c>
      <c r="E1636" t="s">
        <v>11331</v>
      </c>
      <c r="F1636" s="2" t="n">
        <f>HYPERLINK("https://patents.google.com/patent/US20210335073","Google")</f>
        <v>0.0</v>
      </c>
      <c r="G1636" s="2" t="n">
        <f>HYPERLINK("https://patentcenter.uspto.gov/applications/17301573","Patent Center")</f>
        <v>0.0</v>
      </c>
      <c r="H1636" s="2" t="n">
        <f>HYPERLINK("https://worldwide.espacenet.com/patent/search?q=US20210335073","Espacenet")</f>
        <v>0.0</v>
      </c>
      <c r="I1636" s="2" t="n">
        <f>HYPERLINK("https://ppubs.uspto.gov/pubwebapp/external.html?q=20210335073.pn.","USPTO")</f>
        <v>0.0</v>
      </c>
      <c r="J1636" s="2" t="n">
        <f>HYPERLINK("https://image-ppubs.uspto.gov/dirsearch-public/print/downloadPdf/20210335073","USPTO PDF")</f>
        <v>0.0</v>
      </c>
      <c r="K1636" s="2" t="n">
        <f>HYPERLINK("https://sectors.patentforecast.com/pmd/US20210335073","PMD")</f>
        <v>0.0</v>
      </c>
      <c r="L1636" s="2" t="n">
        <f>HYPERLINK("https://globaldossier.uspto.gov/result/application/US/17301573/1","US20210335073")</f>
        <v>0.0</v>
      </c>
      <c r="M1636" t="s">
        <v>11332</v>
      </c>
      <c r="N1636" t="s">
        <v>11333</v>
      </c>
      <c r="O1636" t="s">
        <v>11334</v>
      </c>
      <c r="P1636" t="s">
        <v>11335</v>
      </c>
      <c r="Q1636" s="3" t="n">
        <v>44294.0</v>
      </c>
      <c r="R1636" s="3" t="n">
        <v>44497.0</v>
      </c>
      <c r="S1636" s="3" t="n">
        <v>44498.23046478009</v>
      </c>
      <c r="T1636" s="3" t="n">
        <v>44501.62618038194</v>
      </c>
      <c r="U1636" t="s">
        <v>11336</v>
      </c>
      <c r="V1636" t="s">
        <v>11337</v>
      </c>
    </row>
    <row r="1637">
      <c r="A1637" t="s">
        <v>22</v>
      </c>
      <c r="B1637" t="s">
        <v>11338</v>
      </c>
      <c r="C1637" t="s">
        <v>24</v>
      </c>
      <c r="D1637" t="s">
        <v>34</v>
      </c>
      <c r="E1637" t="s">
        <v>11339</v>
      </c>
      <c r="F1637" s="2" t="n">
        <f>HYPERLINK("https://patents.google.com/patent/US20210333278","Google")</f>
        <v>0.0</v>
      </c>
      <c r="G1637" s="2" t="n">
        <f>HYPERLINK("https://patentcenter.uspto.gov/applications/17242887","Patent Center")</f>
        <v>0.0</v>
      </c>
      <c r="H1637" s="2" t="n">
        <f>HYPERLINK("https://worldwide.espacenet.com/patent/search?q=US20210333278","Espacenet")</f>
        <v>0.0</v>
      </c>
      <c r="I1637" s="2" t="n">
        <f>HYPERLINK("https://ppubs.uspto.gov/pubwebapp/external.html?q=20210333278.pn.","USPTO")</f>
        <v>0.0</v>
      </c>
      <c r="J1637" s="2" t="n">
        <f>HYPERLINK("https://image-ppubs.uspto.gov/dirsearch-public/print/downloadPdf/20210333278","USPTO PDF")</f>
        <v>0.0</v>
      </c>
      <c r="K1637" s="2" t="n">
        <f>HYPERLINK("https://sectors.patentforecast.com/pmd/US20210333278","PMD")</f>
        <v>0.0</v>
      </c>
      <c r="L1637" s="2" t="n">
        <f>HYPERLINK("https://globaldossier.uspto.gov/result/application/US/17242887/1","US20210333278")</f>
        <v>0.0</v>
      </c>
      <c r="M1637" t="s">
        <v>11340</v>
      </c>
      <c r="N1637" t="s">
        <v>11341</v>
      </c>
      <c r="O1637" t="s">
        <v>11342</v>
      </c>
      <c r="P1637" t="s">
        <v>11343</v>
      </c>
      <c r="Q1637" s="3" t="n">
        <v>44314.0</v>
      </c>
      <c r="R1637" s="3" t="n">
        <v>44497.0</v>
      </c>
      <c r="S1637" s="3" t="n">
        <v>44498.23046478009</v>
      </c>
      <c r="T1637" s="3" t="n">
        <v>44501.61870467592</v>
      </c>
      <c r="U1637" t="s">
        <v>11344</v>
      </c>
      <c r="V1637" t="s">
        <v>11345</v>
      </c>
    </row>
    <row r="1638">
      <c r="A1638" t="s">
        <v>22</v>
      </c>
      <c r="B1638" t="s">
        <v>11346</v>
      </c>
      <c r="C1638" t="s">
        <v>24</v>
      </c>
      <c r="D1638" t="s">
        <v>34</v>
      </c>
      <c r="E1638" t="s">
        <v>10382</v>
      </c>
      <c r="F1638" s="2" t="n">
        <f>HYPERLINK("https://patents.google.com/patent/US20210333277","Google")</f>
        <v>0.0</v>
      </c>
      <c r="G1638" s="2" t="n">
        <f>HYPERLINK("https://patentcenter.uspto.gov/applications/16856162","Patent Center")</f>
        <v>0.0</v>
      </c>
      <c r="H1638" s="2" t="n">
        <f>HYPERLINK("https://worldwide.espacenet.com/patent/search?q=US20210333277","Espacenet")</f>
        <v>0.0</v>
      </c>
      <c r="I1638" s="2" t="n">
        <f>HYPERLINK("https://ppubs.uspto.gov/pubwebapp/external.html?q=20210333277.pn.","USPTO")</f>
        <v>0.0</v>
      </c>
      <c r="J1638" s="2" t="n">
        <f>HYPERLINK("https://image-ppubs.uspto.gov/dirsearch-public/print/downloadPdf/20210333277","USPTO PDF")</f>
        <v>0.0</v>
      </c>
      <c r="K1638" s="2" t="n">
        <f>HYPERLINK("https://sectors.patentforecast.com/pmd/US20210333277","PMD")</f>
        <v>0.0</v>
      </c>
      <c r="L1638" s="2" t="n">
        <f>HYPERLINK("https://globaldossier.uspto.gov/result/application/US/16856162/1","US20210333277")</f>
        <v>0.0</v>
      </c>
      <c r="M1638" t="s">
        <v>11347</v>
      </c>
      <c r="N1638" t="s">
        <v>5274</v>
      </c>
      <c r="O1638" t="s">
        <v>5275</v>
      </c>
      <c r="P1638" t="s">
        <v>10384</v>
      </c>
      <c r="Q1638" s="3" t="n">
        <v>43944.0</v>
      </c>
      <c r="R1638" s="3" t="n">
        <v>44497.0</v>
      </c>
      <c r="S1638" s="3" t="n">
        <v>44498.23046478009</v>
      </c>
      <c r="T1638" s="3" t="n">
        <v>44501.63173</v>
      </c>
      <c r="U1638" t="s">
        <v>11348</v>
      </c>
      <c r="V1638" t="s">
        <v>11349</v>
      </c>
    </row>
    <row r="1639">
      <c r="A1639" t="s">
        <v>22</v>
      </c>
      <c r="B1639" t="s">
        <v>11350</v>
      </c>
      <c r="C1639" t="s">
        <v>24</v>
      </c>
      <c r="D1639" t="s">
        <v>43</v>
      </c>
      <c r="E1639" t="s">
        <v>11351</v>
      </c>
      <c r="F1639" s="2" t="n">
        <f>HYPERLINK("https://patents.google.com/patent/US20210333275","Google")</f>
        <v>0.0</v>
      </c>
      <c r="G1639" s="2" t="n">
        <f>HYPERLINK("https://patentcenter.uspto.gov/applications/17208878","Patent Center")</f>
        <v>0.0</v>
      </c>
      <c r="H1639" s="2" t="n">
        <f>HYPERLINK("https://worldwide.espacenet.com/patent/search?q=US20210333275","Espacenet")</f>
        <v>0.0</v>
      </c>
      <c r="I1639" s="2" t="n">
        <f>HYPERLINK("https://ppubs.uspto.gov/pubwebapp/external.html?q=20210333275.pn.","USPTO")</f>
        <v>0.0</v>
      </c>
      <c r="J1639" s="2" t="n">
        <f>HYPERLINK("https://image-ppubs.uspto.gov/dirsearch-public/print/downloadPdf/20210333275","USPTO PDF")</f>
        <v>0.0</v>
      </c>
      <c r="K1639" s="2" t="n">
        <f>HYPERLINK("https://sectors.patentforecast.com/pmd/US20210333275","PMD")</f>
        <v>0.0</v>
      </c>
      <c r="L1639" s="2" t="n">
        <f>HYPERLINK("https://globaldossier.uspto.gov/result/application/US/17208878/1","US20210333275")</f>
        <v>0.0</v>
      </c>
      <c r="M1639" t="s">
        <v>11352</v>
      </c>
      <c r="N1639" t="s">
        <v>11353</v>
      </c>
      <c r="O1639" t="s">
        <v>11354</v>
      </c>
      <c r="P1639" t="s">
        <v>11355</v>
      </c>
      <c r="Q1639" s="3" t="n">
        <v>44277.0</v>
      </c>
      <c r="R1639" s="3" t="n">
        <v>44497.0</v>
      </c>
      <c r="S1639" s="3" t="n">
        <v>44498.23046478009</v>
      </c>
      <c r="T1639" s="3" t="n">
        <v>44501.612523587966</v>
      </c>
      <c r="U1639" t="s">
        <v>11356</v>
      </c>
      <c r="V1639" t="s">
        <v>11357</v>
      </c>
    </row>
    <row r="1640">
      <c r="A1640" t="s">
        <v>22</v>
      </c>
      <c r="B1640" t="s">
        <v>11358</v>
      </c>
      <c r="C1640" t="s">
        <v>24</v>
      </c>
      <c r="D1640" t="s">
        <v>69</v>
      </c>
      <c r="E1640" t="s">
        <v>11359</v>
      </c>
      <c r="F1640" s="2" t="n">
        <f>HYPERLINK("https://patents.google.com/patent/US20210333262","Google")</f>
        <v>0.0</v>
      </c>
      <c r="G1640" s="2" t="n">
        <f>HYPERLINK("https://patentcenter.uspto.gov/applications/17224076","Patent Center")</f>
        <v>0.0</v>
      </c>
      <c r="H1640" s="2" t="n">
        <f>HYPERLINK("https://worldwide.espacenet.com/patent/search?q=US20210333262","Espacenet")</f>
        <v>0.0</v>
      </c>
      <c r="I1640" s="2" t="n">
        <f>HYPERLINK("https://ppubs.uspto.gov/pubwebapp/external.html?q=20210333262.pn.","USPTO")</f>
        <v>0.0</v>
      </c>
      <c r="J1640" s="2" t="n">
        <f>HYPERLINK("https://image-ppubs.uspto.gov/dirsearch-public/print/downloadPdf/20210333262","USPTO PDF")</f>
        <v>0.0</v>
      </c>
      <c r="K1640" s="2" t="n">
        <f>HYPERLINK("https://sectors.patentforecast.com/pmd/US20210333262","PMD")</f>
        <v>0.0</v>
      </c>
      <c r="L1640" s="2" t="n">
        <f>HYPERLINK("https://globaldossier.uspto.gov/result/application/US/17224076/1","US20210333262")</f>
        <v>0.0</v>
      </c>
      <c r="M1640" t="s">
        <v>11360</v>
      </c>
      <c r="N1640" t="s">
        <v>11361</v>
      </c>
      <c r="O1640" t="s">
        <v>11362</v>
      </c>
      <c r="P1640" t="s">
        <v>11363</v>
      </c>
      <c r="Q1640" s="3" t="n">
        <v>44292.0</v>
      </c>
      <c r="R1640" s="3" t="n">
        <v>44497.0</v>
      </c>
      <c r="S1640" s="3" t="n">
        <v>44498.23046478009</v>
      </c>
      <c r="T1640" s="3" t="n">
        <v>44501.59909211806</v>
      </c>
      <c r="U1640" t="s">
        <v>11364</v>
      </c>
      <c r="V1640" t="s">
        <v>11365</v>
      </c>
    </row>
    <row r="1641">
      <c r="A1641" t="s">
        <v>22</v>
      </c>
      <c r="B1641" t="s">
        <v>11366</v>
      </c>
      <c r="C1641" t="s">
        <v>24</v>
      </c>
      <c r="D1641" t="s">
        <v>69</v>
      </c>
      <c r="E1641" t="s">
        <v>11367</v>
      </c>
      <c r="F1641" s="2" t="n">
        <f>HYPERLINK("https://patents.google.com/patent/US20210332995","Google")</f>
        <v>0.0</v>
      </c>
      <c r="G1641" s="2" t="n">
        <f>HYPERLINK("https://patentcenter.uspto.gov/applications/17239570","Patent Center")</f>
        <v>0.0</v>
      </c>
      <c r="H1641" s="2" t="n">
        <f>HYPERLINK("https://worldwide.espacenet.com/patent/search?q=US20210332995","Espacenet")</f>
        <v>0.0</v>
      </c>
      <c r="I1641" s="2" t="n">
        <f>HYPERLINK("https://ppubs.uspto.gov/pubwebapp/external.html?q=20210332995.pn.","USPTO")</f>
        <v>0.0</v>
      </c>
      <c r="J1641" s="2" t="n">
        <f>HYPERLINK("https://image-ppubs.uspto.gov/dirsearch-public/print/downloadPdf/20210332995","USPTO PDF")</f>
        <v>0.0</v>
      </c>
      <c r="K1641" s="2" t="n">
        <f>HYPERLINK("https://sectors.patentforecast.com/pmd/US20210332995","PMD")</f>
        <v>0.0</v>
      </c>
      <c r="L1641" s="2" t="n">
        <f>HYPERLINK("https://globaldossier.uspto.gov/result/application/US/17239570/1","US20210332995")</f>
        <v>0.0</v>
      </c>
      <c r="M1641" t="s">
        <v>11368</v>
      </c>
      <c r="N1641" t="s">
        <v>11369</v>
      </c>
      <c r="O1641" t="s">
        <v>11369</v>
      </c>
      <c r="P1641" t="s">
        <v>11370</v>
      </c>
      <c r="Q1641" s="3" t="n">
        <v>44310.0</v>
      </c>
      <c r="R1641" s="3" t="n">
        <v>44497.0</v>
      </c>
      <c r="S1641" s="3" t="n">
        <v>44498.23046478009</v>
      </c>
      <c r="T1641" s="3" t="n">
        <v>44501.61444980324</v>
      </c>
      <c r="U1641" t="s">
        <v>11371</v>
      </c>
      <c r="V1641" t="s">
        <v>11372</v>
      </c>
    </row>
    <row r="1642">
      <c r="A1642" t="s">
        <v>22</v>
      </c>
      <c r="B1642" t="s">
        <v>11373</v>
      </c>
      <c r="C1642" t="s">
        <v>24</v>
      </c>
      <c r="D1642" t="s">
        <v>34</v>
      </c>
      <c r="E1642" t="s">
        <v>11374</v>
      </c>
      <c r="F1642" s="2" t="n">
        <f>HYPERLINK("https://patents.google.com/patent/US20210332446","Google")</f>
        <v>0.0</v>
      </c>
      <c r="G1642" s="2" t="n">
        <f>HYPERLINK("https://patentcenter.uspto.gov/applications/17240858","Patent Center")</f>
        <v>0.0</v>
      </c>
      <c r="H1642" s="2" t="n">
        <f>HYPERLINK("https://worldwide.espacenet.com/patent/search?q=US20210332446","Espacenet")</f>
        <v>0.0</v>
      </c>
      <c r="I1642" s="2" t="n">
        <f>HYPERLINK("https://ppubs.uspto.gov/pubwebapp/external.html?q=20210332446.pn.","USPTO")</f>
        <v>0.0</v>
      </c>
      <c r="J1642" s="2" t="n">
        <f>HYPERLINK("https://image-ppubs.uspto.gov/dirsearch-public/print/downloadPdf/20210332446","USPTO PDF")</f>
        <v>0.0</v>
      </c>
      <c r="K1642" s="2" t="n">
        <f>HYPERLINK("https://sectors.patentforecast.com/pmd/US20210332446","PMD")</f>
        <v>0.0</v>
      </c>
      <c r="L1642" s="2" t="n">
        <f>HYPERLINK("https://globaldossier.uspto.gov/result/application/US/17240858/1","US20210332446")</f>
        <v>0.0</v>
      </c>
      <c r="M1642" t="s">
        <v>11375</v>
      </c>
      <c r="N1642" t="s">
        <v>11376</v>
      </c>
      <c r="O1642" t="s">
        <v>11376</v>
      </c>
      <c r="P1642" t="s">
        <v>11377</v>
      </c>
      <c r="Q1642" s="3" t="n">
        <v>44312.0</v>
      </c>
      <c r="R1642" s="3" t="n">
        <v>44497.0</v>
      </c>
      <c r="S1642" s="3" t="n">
        <v>44498.23046478009</v>
      </c>
      <c r="T1642" s="3" t="n">
        <v>44501.62517288195</v>
      </c>
      <c r="U1642" t="s">
        <v>11378</v>
      </c>
      <c r="V1642" t="s">
        <v>11379</v>
      </c>
    </row>
    <row r="1643">
      <c r="A1643" t="s">
        <v>22</v>
      </c>
      <c r="B1643" t="s">
        <v>11380</v>
      </c>
      <c r="C1643" t="s">
        <v>24</v>
      </c>
      <c r="D1643" t="s">
        <v>34</v>
      </c>
      <c r="E1643" t="s">
        <v>11381</v>
      </c>
      <c r="F1643" s="2" t="n">
        <f>HYPERLINK("https://patents.google.com/patent/US20210332445","Google")</f>
        <v>0.0</v>
      </c>
      <c r="G1643" s="2" t="n">
        <f>HYPERLINK("https://patentcenter.uspto.gov/applications/17238466","Patent Center")</f>
        <v>0.0</v>
      </c>
      <c r="H1643" s="2" t="n">
        <f>HYPERLINK("https://worldwide.espacenet.com/patent/search?q=US20210332445","Espacenet")</f>
        <v>0.0</v>
      </c>
      <c r="I1643" s="2" t="n">
        <f>HYPERLINK("https://ppubs.uspto.gov/pubwebapp/external.html?q=20210332445.pn.","USPTO")</f>
        <v>0.0</v>
      </c>
      <c r="J1643" s="2" t="n">
        <f>HYPERLINK("https://image-ppubs.uspto.gov/dirsearch-public/print/downloadPdf/20210332445","USPTO PDF")</f>
        <v>0.0</v>
      </c>
      <c r="K1643" s="2" t="n">
        <f>HYPERLINK("https://sectors.patentforecast.com/pmd/US20210332445","PMD")</f>
        <v>0.0</v>
      </c>
      <c r="L1643" s="2" t="n">
        <f>HYPERLINK("https://globaldossier.uspto.gov/result/application/US/17238466/1","US20210332445")</f>
        <v>0.0</v>
      </c>
      <c r="M1643" t="s">
        <v>11382</v>
      </c>
      <c r="N1643" t="s">
        <v>11383</v>
      </c>
      <c r="O1643" t="s">
        <v>11384</v>
      </c>
      <c r="P1643" t="s">
        <v>11385</v>
      </c>
      <c r="Q1643" s="3" t="n">
        <v>44309.0</v>
      </c>
      <c r="R1643" s="3" t="n">
        <v>44497.0</v>
      </c>
      <c r="S1643" s="3" t="n">
        <v>44498.23046478009</v>
      </c>
      <c r="T1643" s="3" t="n">
        <v>44501.62600273148</v>
      </c>
      <c r="U1643" t="s">
        <v>11386</v>
      </c>
      <c r="V1643" t="s">
        <v>11387</v>
      </c>
    </row>
    <row r="1644">
      <c r="A1644" t="s">
        <v>22</v>
      </c>
      <c r="B1644" t="s">
        <v>11388</v>
      </c>
      <c r="C1644" t="s">
        <v>24</v>
      </c>
      <c r="D1644" t="s">
        <v>34</v>
      </c>
      <c r="E1644" t="s">
        <v>11389</v>
      </c>
      <c r="F1644" s="2" t="n">
        <f>HYPERLINK("https://patents.google.com/patent/US20210332444","Google")</f>
        <v>0.0</v>
      </c>
      <c r="G1644" s="2" t="n">
        <f>HYPERLINK("https://patentcenter.uspto.gov/applications/17233423","Patent Center")</f>
        <v>0.0</v>
      </c>
      <c r="H1644" s="2" t="n">
        <f>HYPERLINK("https://worldwide.espacenet.com/patent/search?q=US20210332444","Espacenet")</f>
        <v>0.0</v>
      </c>
      <c r="I1644" s="2" t="n">
        <f>HYPERLINK("https://ppubs.uspto.gov/pubwebapp/external.html?q=20210332444.pn.","USPTO")</f>
        <v>0.0</v>
      </c>
      <c r="J1644" s="2" t="n">
        <f>HYPERLINK("https://image-ppubs.uspto.gov/dirsearch-public/print/downloadPdf/20210332444","USPTO PDF")</f>
        <v>0.0</v>
      </c>
      <c r="K1644" s="2" t="n">
        <f>HYPERLINK("https://sectors.patentforecast.com/pmd/US20210332444","PMD")</f>
        <v>0.0</v>
      </c>
      <c r="L1644" s="2" t="n">
        <f>HYPERLINK("https://globaldossier.uspto.gov/result/application/US/17233423/1","US20210332444")</f>
        <v>0.0</v>
      </c>
      <c r="M1644" t="s">
        <v>11390</v>
      </c>
      <c r="N1644" t="s">
        <v>11391</v>
      </c>
      <c r="O1644" t="s">
        <v>11392</v>
      </c>
      <c r="P1644" t="s">
        <v>11393</v>
      </c>
      <c r="Q1644" s="3" t="n">
        <v>44302.0</v>
      </c>
      <c r="R1644" s="3" t="n">
        <v>44497.0</v>
      </c>
      <c r="S1644" s="3" t="n">
        <v>44498.23046478009</v>
      </c>
      <c r="T1644" s="3" t="n">
        <v>44501.599142673615</v>
      </c>
      <c r="U1644" t="s">
        <v>11394</v>
      </c>
      <c r="V1644" t="s">
        <v>11395</v>
      </c>
    </row>
    <row r="1645">
      <c r="A1645" t="s">
        <v>22</v>
      </c>
      <c r="B1645" t="s">
        <v>11396</v>
      </c>
      <c r="C1645" t="s">
        <v>24</v>
      </c>
      <c r="D1645" t="s">
        <v>3193</v>
      </c>
      <c r="E1645" t="s">
        <v>11397</v>
      </c>
      <c r="F1645" s="2" t="n">
        <f>HYPERLINK("https://patents.google.com/patent/US20210332422","Google")</f>
        <v>0.0</v>
      </c>
      <c r="G1645" s="2" t="n">
        <f>HYPERLINK("https://patentcenter.uspto.gov/applications/17240991","Patent Center")</f>
        <v>0.0</v>
      </c>
      <c r="H1645" s="2" t="n">
        <f>HYPERLINK("https://worldwide.espacenet.com/patent/search?q=US20210332422","Espacenet")</f>
        <v>0.0</v>
      </c>
      <c r="I1645" s="2" t="n">
        <f>HYPERLINK("https://ppubs.uspto.gov/pubwebapp/external.html?q=20210332422.pn.","USPTO")</f>
        <v>0.0</v>
      </c>
      <c r="J1645" s="2" t="n">
        <f>HYPERLINK("https://image-ppubs.uspto.gov/dirsearch-public/print/downloadPdf/20210332422","USPTO PDF")</f>
        <v>0.0</v>
      </c>
      <c r="K1645" s="2" t="n">
        <f>HYPERLINK("https://sectors.patentforecast.com/pmd/US20210332422","PMD")</f>
        <v>0.0</v>
      </c>
      <c r="L1645" s="2" t="n">
        <f>HYPERLINK("https://globaldossier.uspto.gov/result/application/US/17240991/1","US20210332422")</f>
        <v>0.0</v>
      </c>
      <c r="M1645" t="s">
        <v>11398</v>
      </c>
      <c r="N1645" t="s">
        <v>11399</v>
      </c>
      <c r="O1645" t="s">
        <v>11400</v>
      </c>
      <c r="P1645" t="s">
        <v>11401</v>
      </c>
      <c r="Q1645" s="3" t="n">
        <v>44312.0</v>
      </c>
      <c r="R1645" s="3" t="n">
        <v>44497.0</v>
      </c>
      <c r="S1645" s="3" t="n">
        <v>44498.22942074074</v>
      </c>
      <c r="T1645" s="3" t="n">
        <v>44501.623572233795</v>
      </c>
      <c r="U1645" t="s">
        <v>11402</v>
      </c>
      <c r="V1645" t="s">
        <v>11403</v>
      </c>
    </row>
    <row r="1646">
      <c r="A1646" t="s">
        <v>22</v>
      </c>
      <c r="B1646" t="s">
        <v>11404</v>
      </c>
      <c r="C1646" t="s">
        <v>60</v>
      </c>
      <c r="D1646" t="s">
        <v>61</v>
      </c>
      <c r="E1646" t="s">
        <v>10436</v>
      </c>
      <c r="F1646" s="2" t="n">
        <f>HYPERLINK("https://patents.google.com/patent/US20210332364","Google")</f>
        <v>0.0</v>
      </c>
      <c r="G1646" s="2" t="n">
        <f>HYPERLINK("https://patentcenter.uspto.gov/applications/17243173","Patent Center")</f>
        <v>0.0</v>
      </c>
      <c r="H1646" s="2" t="n">
        <f>HYPERLINK("https://worldwide.espacenet.com/patent/search?q=US20210332364","Espacenet")</f>
        <v>0.0</v>
      </c>
      <c r="I1646" s="2" t="n">
        <f>HYPERLINK("https://ppubs.uspto.gov/pubwebapp/external.html?q=20210332364.pn.","USPTO")</f>
        <v>0.0</v>
      </c>
      <c r="J1646" s="2" t="n">
        <f>HYPERLINK("https://image-ppubs.uspto.gov/dirsearch-public/print/downloadPdf/20210332364","USPTO PDF")</f>
        <v>0.0</v>
      </c>
      <c r="K1646" s="2" t="n">
        <f>HYPERLINK("https://sectors.patentforecast.com/pmd/US20210332364","PMD")</f>
        <v>0.0</v>
      </c>
      <c r="L1646" s="2" t="n">
        <f>HYPERLINK("https://globaldossier.uspto.gov/result/application/US/17243173/1","US20210332364")</f>
        <v>0.0</v>
      </c>
      <c r="M1646" t="s">
        <v>11405</v>
      </c>
      <c r="N1646" t="s">
        <v>10438</v>
      </c>
      <c r="O1646" t="s">
        <v>10439</v>
      </c>
      <c r="P1646" t="s">
        <v>10440</v>
      </c>
      <c r="Q1646" s="3" t="n">
        <v>44314.0</v>
      </c>
      <c r="R1646" s="3" t="n">
        <v>44497.0</v>
      </c>
      <c r="S1646" s="3" t="n">
        <v>44498.23046478009</v>
      </c>
      <c r="T1646" s="3" t="n">
        <v>44501.62676164352</v>
      </c>
      <c r="U1646" t="s">
        <v>11406</v>
      </c>
      <c r="V1646" t="s">
        <v>10442</v>
      </c>
    </row>
    <row r="1647">
      <c r="A1647" t="s">
        <v>22</v>
      </c>
      <c r="B1647" t="s">
        <v>11407</v>
      </c>
      <c r="C1647" t="s">
        <v>132</v>
      </c>
      <c r="D1647" t="s">
        <v>133</v>
      </c>
      <c r="E1647" t="s">
        <v>11408</v>
      </c>
      <c r="F1647" s="2" t="n">
        <f>HYPERLINK("https://patents.google.com/patent/US20210332110","Google")</f>
        <v>0.0</v>
      </c>
      <c r="G1647" s="2" t="n">
        <f>HYPERLINK("https://patentcenter.uspto.gov/applications/17242583","Patent Center")</f>
        <v>0.0</v>
      </c>
      <c r="H1647" s="2" t="n">
        <f>HYPERLINK("https://worldwide.espacenet.com/patent/search?q=US20210332110","Espacenet")</f>
        <v>0.0</v>
      </c>
      <c r="I1647" s="2" t="n">
        <f>HYPERLINK("https://ppubs.uspto.gov/pubwebapp/external.html?q=20210332110.pn.","USPTO")</f>
        <v>0.0</v>
      </c>
      <c r="J1647" s="2" t="n">
        <f>HYPERLINK("https://image-ppubs.uspto.gov/dirsearch-public/print/downloadPdf/20210332110","USPTO PDF")</f>
        <v>0.0</v>
      </c>
      <c r="K1647" s="2" t="n">
        <f>HYPERLINK("https://sectors.patentforecast.com/pmd/US20210332110","PMD")</f>
        <v>0.0</v>
      </c>
      <c r="L1647" s="2" t="n">
        <f>HYPERLINK("https://globaldossier.uspto.gov/result/application/US/17242583/1","US20210332110")</f>
        <v>0.0</v>
      </c>
      <c r="M1647" t="s">
        <v>11409</v>
      </c>
      <c r="N1647" t="s">
        <v>11410</v>
      </c>
      <c r="O1647" t="s">
        <v>11411</v>
      </c>
      <c r="P1647" t="s">
        <v>11412</v>
      </c>
      <c r="Q1647" s="3" t="n">
        <v>44314.0</v>
      </c>
      <c r="R1647" s="3" t="n">
        <v>44497.0</v>
      </c>
      <c r="S1647" s="3" t="n">
        <v>44498.23046478009</v>
      </c>
      <c r="T1647" s="3" t="n">
        <v>44501.63201019676</v>
      </c>
      <c r="U1647" t="s">
        <v>11413</v>
      </c>
      <c r="V1647" t="s">
        <v>11414</v>
      </c>
    </row>
    <row r="1648">
      <c r="A1648" t="s">
        <v>22</v>
      </c>
      <c r="B1648" t="s">
        <v>11415</v>
      </c>
      <c r="C1648" t="s">
        <v>132</v>
      </c>
      <c r="D1648" t="s">
        <v>133</v>
      </c>
      <c r="E1648" t="s">
        <v>11416</v>
      </c>
      <c r="F1648" s="2" t="n">
        <f>HYPERLINK("https://patents.google.com/patent/US20210332086","Google")</f>
        <v>0.0</v>
      </c>
      <c r="G1648" s="2" t="n">
        <f>HYPERLINK("https://patentcenter.uspto.gov/applications/17199342","Patent Center")</f>
        <v>0.0</v>
      </c>
      <c r="H1648" s="2" t="n">
        <f>HYPERLINK("https://worldwide.espacenet.com/patent/search?q=US20210332086","Espacenet")</f>
        <v>0.0</v>
      </c>
      <c r="I1648" s="2" t="n">
        <f>HYPERLINK("https://ppubs.uspto.gov/pubwebapp/external.html?q=20210332086.pn.","USPTO")</f>
        <v>0.0</v>
      </c>
      <c r="J1648" s="2" t="n">
        <f>HYPERLINK("https://image-ppubs.uspto.gov/dirsearch-public/print/downloadPdf/20210332086","USPTO PDF")</f>
        <v>0.0</v>
      </c>
      <c r="K1648" s="2" t="n">
        <f>HYPERLINK("https://sectors.patentforecast.com/pmd/US20210332086","PMD")</f>
        <v>0.0</v>
      </c>
      <c r="L1648" s="2" t="n">
        <f>HYPERLINK("https://globaldossier.uspto.gov/result/application/US/17199342/1","US20210332086")</f>
        <v>0.0</v>
      </c>
      <c r="M1648" t="s">
        <v>11417</v>
      </c>
      <c r="N1648" t="s">
        <v>11418</v>
      </c>
      <c r="O1648" t="s">
        <v>11418</v>
      </c>
      <c r="P1648" t="s">
        <v>11419</v>
      </c>
      <c r="Q1648" s="3" t="n">
        <v>44266.0</v>
      </c>
      <c r="R1648" s="3" t="n">
        <v>44497.0</v>
      </c>
      <c r="S1648" s="3" t="n">
        <v>44498.233123067126</v>
      </c>
      <c r="T1648" s="3" t="n">
        <v>44501.62308290509</v>
      </c>
      <c r="U1648" t="s">
        <v>11420</v>
      </c>
      <c r="V1648" t="s">
        <v>11421</v>
      </c>
    </row>
    <row r="1649">
      <c r="A1649" t="s">
        <v>22</v>
      </c>
      <c r="B1649" t="s">
        <v>11422</v>
      </c>
      <c r="C1649" t="s">
        <v>132</v>
      </c>
      <c r="D1649" t="s">
        <v>11423</v>
      </c>
      <c r="E1649" t="s">
        <v>11424</v>
      </c>
      <c r="F1649" s="2" t="n">
        <f>HYPERLINK("https://patents.google.com/patent/US20210332085","Google")</f>
        <v>0.0</v>
      </c>
      <c r="G1649" s="2" t="n">
        <f>HYPERLINK("https://patentcenter.uspto.gov/applications/17191519","Patent Center")</f>
        <v>0.0</v>
      </c>
      <c r="H1649" s="2" t="n">
        <f>HYPERLINK("https://worldwide.espacenet.com/patent/search?q=US20210332085","Espacenet")</f>
        <v>0.0</v>
      </c>
      <c r="I1649" s="2" t="n">
        <f>HYPERLINK("https://ppubs.uspto.gov/pubwebapp/external.html?q=20210332085.pn.","USPTO")</f>
        <v>0.0</v>
      </c>
      <c r="J1649" s="2" t="n">
        <f>HYPERLINK("https://image-ppubs.uspto.gov/dirsearch-public/print/downloadPdf/20210332085","USPTO PDF")</f>
        <v>0.0</v>
      </c>
      <c r="K1649" s="2" t="n">
        <f>HYPERLINK("https://sectors.patentforecast.com/pmd/US20210332085","PMD")</f>
        <v>0.0</v>
      </c>
      <c r="L1649" s="2" t="n">
        <f>HYPERLINK("https://globaldossier.uspto.gov/result/application/US/17191519/1","US20210332085")</f>
        <v>0.0</v>
      </c>
      <c r="M1649" t="s">
        <v>11425</v>
      </c>
      <c r="N1649" t="s">
        <v>11426</v>
      </c>
      <c r="O1649" t="s">
        <v>11427</v>
      </c>
      <c r="P1649" t="s">
        <v>11428</v>
      </c>
      <c r="Q1649" s="3" t="n">
        <v>44258.0</v>
      </c>
      <c r="R1649" s="3" t="n">
        <v>44497.0</v>
      </c>
      <c r="S1649" s="3" t="n">
        <v>44498.23046478009</v>
      </c>
      <c r="T1649" s="3" t="n">
        <v>44501.59931063657</v>
      </c>
      <c r="U1649" t="s">
        <v>11429</v>
      </c>
      <c r="V1649" t="s">
        <v>11430</v>
      </c>
    </row>
    <row r="1650">
      <c r="A1650" t="s">
        <v>22</v>
      </c>
      <c r="B1650" t="s">
        <v>11431</v>
      </c>
      <c r="C1650" t="s">
        <v>60</v>
      </c>
      <c r="D1650" t="s">
        <v>61</v>
      </c>
      <c r="E1650" t="s">
        <v>11432</v>
      </c>
      <c r="F1650" s="2" t="n">
        <f>HYPERLINK("https://patents.google.com/patent/US20210332033","Google")</f>
        <v>0.0</v>
      </c>
      <c r="G1650" s="2" t="n">
        <f>HYPERLINK("https://patentcenter.uspto.gov/applications/16858447","Patent Center")</f>
        <v>0.0</v>
      </c>
      <c r="H1650" s="2" t="n">
        <f>HYPERLINK("https://worldwide.espacenet.com/patent/search?q=US20210332033","Espacenet")</f>
        <v>0.0</v>
      </c>
      <c r="I1650" s="2" t="n">
        <f>HYPERLINK("https://ppubs.uspto.gov/pubwebapp/external.html?q=20210332033.pn.","USPTO")</f>
        <v>0.0</v>
      </c>
      <c r="J1650" s="2" t="n">
        <f>HYPERLINK("https://image-ppubs.uspto.gov/dirsearch-public/print/downloadPdf/20210332033","USPTO PDF")</f>
        <v>0.0</v>
      </c>
      <c r="K1650" s="2" t="n">
        <f>HYPERLINK("https://sectors.patentforecast.com/pmd/US20210332033","PMD")</f>
        <v>0.0</v>
      </c>
      <c r="L1650" s="2" t="n">
        <f>HYPERLINK("https://globaldossier.uspto.gov/result/application/US/16858447/1","US20210332033")</f>
        <v>0.0</v>
      </c>
      <c r="M1650" t="s">
        <v>11433</v>
      </c>
      <c r="N1650" t="s">
        <v>10167</v>
      </c>
      <c r="O1650" t="s">
        <v>10168</v>
      </c>
      <c r="P1650" t="s">
        <v>10169</v>
      </c>
      <c r="Q1650" s="3" t="n">
        <v>43945.0</v>
      </c>
      <c r="R1650" s="3" t="n">
        <v>44497.0</v>
      </c>
      <c r="S1650" s="3" t="n">
        <v>44498.23046478009</v>
      </c>
      <c r="T1650" s="3" t="n">
        <v>44501.62566292824</v>
      </c>
      <c r="U1650" t="s">
        <v>11434</v>
      </c>
      <c r="V1650" t="s">
        <v>11435</v>
      </c>
    </row>
    <row r="1651">
      <c r="A1651" t="s">
        <v>22</v>
      </c>
      <c r="B1651" t="s">
        <v>11436</v>
      </c>
      <c r="C1651" t="s">
        <v>24</v>
      </c>
      <c r="D1651" t="s">
        <v>69</v>
      </c>
      <c r="E1651" t="s">
        <v>11437</v>
      </c>
      <c r="F1651" s="2" t="n">
        <f>HYPERLINK("https://patents.google.com/patent/US20210331613","Google")</f>
        <v>0.0</v>
      </c>
      <c r="G1651" s="2" t="n">
        <f>HYPERLINK("https://patentcenter.uspto.gov/applications/17242934","Patent Center")</f>
        <v>0.0</v>
      </c>
      <c r="H1651" s="2" t="n">
        <f>HYPERLINK("https://worldwide.espacenet.com/patent/search?q=US20210331613","Espacenet")</f>
        <v>0.0</v>
      </c>
      <c r="I1651" s="2" t="n">
        <f>HYPERLINK("https://ppubs.uspto.gov/pubwebapp/external.html?q=20210331613.pn.","USPTO")</f>
        <v>0.0</v>
      </c>
      <c r="J1651" s="2" t="n">
        <f>HYPERLINK("https://image-ppubs.uspto.gov/dirsearch-public/print/downloadPdf/20210331613","USPTO PDF")</f>
        <v>0.0</v>
      </c>
      <c r="K1651" s="2" t="n">
        <f>HYPERLINK("https://sectors.patentforecast.com/pmd/US20210331613","PMD")</f>
        <v>0.0</v>
      </c>
      <c r="L1651" s="2" t="n">
        <f>HYPERLINK("https://globaldossier.uspto.gov/result/application/US/17242934/1","US20210331613")</f>
        <v>0.0</v>
      </c>
      <c r="M1651" t="s">
        <v>11438</v>
      </c>
      <c r="N1651" t="s">
        <v>11439</v>
      </c>
      <c r="O1651" t="s">
        <v>11440</v>
      </c>
      <c r="P1651" t="s">
        <v>11441</v>
      </c>
      <c r="Q1651" s="3" t="n">
        <v>44314.0</v>
      </c>
      <c r="R1651" s="3" t="n">
        <v>44497.0</v>
      </c>
      <c r="S1651" s="3" t="n">
        <v>44498.23046478009</v>
      </c>
      <c r="T1651" s="3" t="n">
        <v>44501.62022429398</v>
      </c>
      <c r="U1651" t="s">
        <v>11442</v>
      </c>
      <c r="V1651" t="s">
        <v>11443</v>
      </c>
    </row>
    <row r="1652">
      <c r="A1652" t="s">
        <v>22</v>
      </c>
      <c r="B1652" t="s">
        <v>11444</v>
      </c>
      <c r="C1652" t="s">
        <v>24</v>
      </c>
      <c r="D1652" t="s">
        <v>34</v>
      </c>
      <c r="E1652" t="s">
        <v>11445</v>
      </c>
      <c r="F1652" s="2" t="n">
        <f>HYPERLINK("https://patents.google.com/patent/US20210331150","Google")</f>
        <v>0.0</v>
      </c>
      <c r="G1652" s="2" t="n">
        <f>HYPERLINK("https://patentcenter.uspto.gov/applications/17238795","Patent Center")</f>
        <v>0.0</v>
      </c>
      <c r="H1652" s="2" t="n">
        <f>HYPERLINK("https://worldwide.espacenet.com/patent/search?q=US20210331150","Espacenet")</f>
        <v>0.0</v>
      </c>
      <c r="I1652" s="2" t="n">
        <f>HYPERLINK("https://ppubs.uspto.gov/pubwebapp/external.html?q=20210331150.pn.","USPTO")</f>
        <v>0.0</v>
      </c>
      <c r="J1652" s="2" t="n">
        <f>HYPERLINK("https://image-ppubs.uspto.gov/dirsearch-public/print/downloadPdf/20210331150","USPTO PDF")</f>
        <v>0.0</v>
      </c>
      <c r="K1652" s="2" t="n">
        <f>HYPERLINK("https://sectors.patentforecast.com/pmd/US20210331150","PMD")</f>
        <v>0.0</v>
      </c>
      <c r="L1652" s="2" t="n">
        <f>HYPERLINK("https://globaldossier.uspto.gov/result/application/US/17238795/1","US20210331150")</f>
        <v>0.0</v>
      </c>
      <c r="M1652" t="s">
        <v>11446</v>
      </c>
      <c r="N1652" t="s">
        <v>11447</v>
      </c>
      <c r="O1652" t="s">
        <v>11448</v>
      </c>
      <c r="P1652" t="s">
        <v>11449</v>
      </c>
      <c r="Q1652" s="3" t="n">
        <v>44309.0</v>
      </c>
      <c r="R1652" s="3" t="n">
        <v>44497.0</v>
      </c>
      <c r="S1652" s="3" t="n">
        <v>44498.23046478009</v>
      </c>
      <c r="T1652" s="3" t="n">
        <v>44501.60724612269</v>
      </c>
      <c r="U1652" t="s">
        <v>11450</v>
      </c>
      <c r="V1652" t="s">
        <v>11451</v>
      </c>
    </row>
    <row r="1653">
      <c r="A1653" t="s">
        <v>22</v>
      </c>
      <c r="B1653" t="s">
        <v>11452</v>
      </c>
      <c r="C1653" t="s">
        <v>24</v>
      </c>
      <c r="D1653" t="s">
        <v>69</v>
      </c>
      <c r="E1653" t="s">
        <v>11453</v>
      </c>
      <c r="F1653" s="2" t="n">
        <f>HYPERLINK("https://patents.google.com/patent/US20210331109","Google")</f>
        <v>0.0</v>
      </c>
      <c r="G1653" s="2" t="n">
        <f>HYPERLINK("https://patentcenter.uspto.gov/applications/16930600","Patent Center")</f>
        <v>0.0</v>
      </c>
      <c r="H1653" s="2" t="n">
        <f>HYPERLINK("https://worldwide.espacenet.com/patent/search?q=US20210331109","Espacenet")</f>
        <v>0.0</v>
      </c>
      <c r="I1653" s="2" t="n">
        <f>HYPERLINK("https://ppubs.uspto.gov/pubwebapp/external.html?q=20210331109.pn.","USPTO")</f>
        <v>0.0</v>
      </c>
      <c r="J1653" s="2" t="n">
        <f>HYPERLINK("https://image-ppubs.uspto.gov/dirsearch-public/print/downloadPdf/20210331109","USPTO PDF")</f>
        <v>0.0</v>
      </c>
      <c r="K1653" s="2" t="n">
        <f>HYPERLINK("https://sectors.patentforecast.com/pmd/US20210331109","PMD")</f>
        <v>0.0</v>
      </c>
      <c r="L1653" s="2" t="n">
        <f>HYPERLINK("https://globaldossier.uspto.gov/result/application/US/16930600/1","US20210331109")</f>
        <v>0.0</v>
      </c>
      <c r="M1653" t="s">
        <v>11454</v>
      </c>
      <c r="N1653" t="s">
        <v>2960</v>
      </c>
      <c r="O1653" t="s">
        <v>2961</v>
      </c>
      <c r="P1653" t="s">
        <v>11455</v>
      </c>
      <c r="Q1653" s="3" t="n">
        <v>44028.0</v>
      </c>
      <c r="R1653" s="3" t="n">
        <v>44497.0</v>
      </c>
      <c r="S1653" s="3" t="n">
        <v>44498.23046478009</v>
      </c>
      <c r="T1653" s="3" t="n">
        <v>44501.60733008102</v>
      </c>
      <c r="U1653" t="s">
        <v>11456</v>
      </c>
      <c r="V1653" t="s">
        <v>11457</v>
      </c>
    </row>
    <row r="1654">
      <c r="A1654" t="s">
        <v>22</v>
      </c>
      <c r="B1654" t="s">
        <v>11458</v>
      </c>
      <c r="C1654" t="s">
        <v>24</v>
      </c>
      <c r="D1654" t="s">
        <v>69</v>
      </c>
      <c r="E1654" t="s">
        <v>11459</v>
      </c>
      <c r="F1654" s="2" t="n">
        <f>HYPERLINK("https://patents.google.com/patent/US20210331107","Google")</f>
        <v>0.0</v>
      </c>
      <c r="G1654" s="2" t="n">
        <f>HYPERLINK("https://patentcenter.uspto.gov/applications/17239344","Patent Center")</f>
        <v>0.0</v>
      </c>
      <c r="H1654" s="2" t="n">
        <f>HYPERLINK("https://worldwide.espacenet.com/patent/search?q=US20210331107","Espacenet")</f>
        <v>0.0</v>
      </c>
      <c r="I1654" s="2" t="n">
        <f>HYPERLINK("https://ppubs.uspto.gov/pubwebapp/external.html?q=20210331107.pn.","USPTO")</f>
        <v>0.0</v>
      </c>
      <c r="J1654" s="2" t="n">
        <f>HYPERLINK("https://image-ppubs.uspto.gov/dirsearch-public/print/downloadPdf/20210331107","USPTO PDF")</f>
        <v>0.0</v>
      </c>
      <c r="K1654" s="2" t="n">
        <f>HYPERLINK("https://sectors.patentforecast.com/pmd/US20210331107","PMD")</f>
        <v>0.0</v>
      </c>
      <c r="L1654" s="2" t="n">
        <f>HYPERLINK("https://globaldossier.uspto.gov/result/application/US/17239344/1","US20210331107")</f>
        <v>0.0</v>
      </c>
      <c r="M1654" t="s">
        <v>11460</v>
      </c>
      <c r="N1654" t="s">
        <v>11461</v>
      </c>
      <c r="O1654" t="s">
        <v>11462</v>
      </c>
      <c r="P1654" t="s">
        <v>11463</v>
      </c>
      <c r="Q1654" s="3" t="n">
        <v>44309.0</v>
      </c>
      <c r="R1654" s="3" t="n">
        <v>44497.0</v>
      </c>
      <c r="S1654" s="3" t="n">
        <v>44498.23046478009</v>
      </c>
      <c r="T1654" s="3" t="n">
        <v>44501.6207625</v>
      </c>
      <c r="U1654" t="s">
        <v>11464</v>
      </c>
      <c r="V1654" t="s">
        <v>11465</v>
      </c>
    </row>
    <row r="1655">
      <c r="A1655" t="s">
        <v>22</v>
      </c>
      <c r="B1655" t="s">
        <v>11466</v>
      </c>
      <c r="C1655" t="s">
        <v>24</v>
      </c>
      <c r="D1655" t="s">
        <v>69</v>
      </c>
      <c r="E1655" t="s">
        <v>11467</v>
      </c>
      <c r="F1655" s="2" t="n">
        <f>HYPERLINK("https://patents.google.com/patent/US20210331005","Google")</f>
        <v>0.0</v>
      </c>
      <c r="G1655" s="2" t="n">
        <f>HYPERLINK("https://patentcenter.uspto.gov/applications/17239539","Patent Center")</f>
        <v>0.0</v>
      </c>
      <c r="H1655" s="2" t="n">
        <f>HYPERLINK("https://worldwide.espacenet.com/patent/search?q=US20210331005","Espacenet")</f>
        <v>0.0</v>
      </c>
      <c r="I1655" s="2" t="n">
        <f>HYPERLINK("https://ppubs.uspto.gov/pubwebapp/external.html?q=20210331005.pn.","USPTO")</f>
        <v>0.0</v>
      </c>
      <c r="J1655" s="2" t="n">
        <f>HYPERLINK("https://image-ppubs.uspto.gov/dirsearch-public/print/downloadPdf/20210331005","USPTO PDF")</f>
        <v>0.0</v>
      </c>
      <c r="K1655" s="2" t="n">
        <f>HYPERLINK("https://sectors.patentforecast.com/pmd/US20210331005","PMD")</f>
        <v>0.0</v>
      </c>
      <c r="L1655" s="2" t="n">
        <f>HYPERLINK("https://globaldossier.uspto.gov/result/application/US/17239539/1","US20210331005")</f>
        <v>0.0</v>
      </c>
      <c r="M1655" t="s">
        <v>11468</v>
      </c>
      <c r="N1655" t="s">
        <v>11469</v>
      </c>
      <c r="O1655" t="s">
        <v>11469</v>
      </c>
      <c r="P1655" t="s">
        <v>11470</v>
      </c>
      <c r="Q1655" s="3" t="n">
        <v>44309.0</v>
      </c>
      <c r="R1655" s="3" t="n">
        <v>44497.0</v>
      </c>
      <c r="S1655" s="3" t="n">
        <v>44498.23046478009</v>
      </c>
      <c r="T1655" s="3" t="n">
        <v>44501.6073712963</v>
      </c>
      <c r="U1655" t="s">
        <v>11471</v>
      </c>
      <c r="V1655" t="s">
        <v>11472</v>
      </c>
    </row>
    <row r="1656">
      <c r="A1656" t="s">
        <v>22</v>
      </c>
      <c r="B1656" t="s">
        <v>11473</v>
      </c>
      <c r="C1656" t="s">
        <v>24</v>
      </c>
      <c r="D1656" t="s">
        <v>69</v>
      </c>
      <c r="E1656" t="s">
        <v>11474</v>
      </c>
      <c r="F1656" s="2" t="n">
        <f>HYPERLINK("https://patents.google.com/patent/US20210331004","Google")</f>
        <v>0.0</v>
      </c>
      <c r="G1656" s="2" t="n">
        <f>HYPERLINK("https://patentcenter.uspto.gov/applications/17238259","Patent Center")</f>
        <v>0.0</v>
      </c>
      <c r="H1656" s="2" t="n">
        <f>HYPERLINK("https://worldwide.espacenet.com/patent/search?q=US20210331004","Espacenet")</f>
        <v>0.0</v>
      </c>
      <c r="I1656" s="2" t="n">
        <f>HYPERLINK("https://ppubs.uspto.gov/pubwebapp/external.html?q=20210331004.pn.","USPTO")</f>
        <v>0.0</v>
      </c>
      <c r="J1656" s="2" t="n">
        <f>HYPERLINK("https://image-ppubs.uspto.gov/dirsearch-public/print/downloadPdf/20210331004","USPTO PDF")</f>
        <v>0.0</v>
      </c>
      <c r="K1656" s="2" t="n">
        <f>HYPERLINK("https://sectors.patentforecast.com/pmd/US20210331004","PMD")</f>
        <v>0.0</v>
      </c>
      <c r="L1656" s="2" t="n">
        <f>HYPERLINK("https://globaldossier.uspto.gov/result/application/US/17238259/1","US20210331004")</f>
        <v>0.0</v>
      </c>
      <c r="M1656" t="s">
        <v>11475</v>
      </c>
      <c r="N1656" t="s">
        <v>11476</v>
      </c>
      <c r="O1656" t="s">
        <v>11477</v>
      </c>
      <c r="P1656" t="s">
        <v>11478</v>
      </c>
      <c r="Q1656" s="3" t="n">
        <v>44309.0</v>
      </c>
      <c r="R1656" s="3" t="n">
        <v>44497.0</v>
      </c>
      <c r="S1656" s="3" t="n">
        <v>44498.23046478009</v>
      </c>
      <c r="T1656" s="3" t="n">
        <v>44501.62331215278</v>
      </c>
      <c r="U1656" t="s">
        <v>11479</v>
      </c>
      <c r="V1656" t="s">
        <v>11480</v>
      </c>
    </row>
    <row r="1657">
      <c r="A1657" t="s">
        <v>22</v>
      </c>
      <c r="B1657" t="s">
        <v>11481</v>
      </c>
      <c r="C1657" t="s">
        <v>24</v>
      </c>
      <c r="D1657" t="s">
        <v>69</v>
      </c>
      <c r="E1657" t="s">
        <v>11482</v>
      </c>
      <c r="F1657" s="2" t="n">
        <f>HYPERLINK("https://patents.google.com/patent/US20210330999","Google")</f>
        <v>0.0</v>
      </c>
      <c r="G1657" s="2" t="n">
        <f>HYPERLINK("https://patentcenter.uspto.gov/applications/17239213","Patent Center")</f>
        <v>0.0</v>
      </c>
      <c r="H1657" s="2" t="n">
        <f>HYPERLINK("https://worldwide.espacenet.com/patent/search?q=US20210330999","Espacenet")</f>
        <v>0.0</v>
      </c>
      <c r="I1657" s="2" t="n">
        <f>HYPERLINK("https://ppubs.uspto.gov/pubwebapp/external.html?q=20210330999.pn.","USPTO")</f>
        <v>0.0</v>
      </c>
      <c r="J1657" s="2" t="n">
        <f>HYPERLINK("https://image-ppubs.uspto.gov/dirsearch-public/print/downloadPdf/20210330999","USPTO PDF")</f>
        <v>0.0</v>
      </c>
      <c r="K1657" s="2" t="n">
        <f>HYPERLINK("https://sectors.patentforecast.com/pmd/US20210330999","PMD")</f>
        <v>0.0</v>
      </c>
      <c r="L1657" s="2" t="n">
        <f>HYPERLINK("https://globaldossier.uspto.gov/result/application/US/17239213/1","US20210330999")</f>
        <v>0.0</v>
      </c>
      <c r="M1657" t="s">
        <v>11483</v>
      </c>
      <c r="N1657" t="s">
        <v>11484</v>
      </c>
      <c r="O1657" t="s">
        <v>11485</v>
      </c>
      <c r="P1657" t="s">
        <v>11486</v>
      </c>
      <c r="Q1657" s="3" t="n">
        <v>44309.0</v>
      </c>
      <c r="R1657" s="3" t="n">
        <v>44497.0</v>
      </c>
      <c r="S1657" s="3" t="n">
        <v>44498.23046478009</v>
      </c>
      <c r="T1657" s="3" t="n">
        <v>44501.62747100694</v>
      </c>
      <c r="U1657" t="s">
        <v>11487</v>
      </c>
      <c r="V1657" t="s">
        <v>11488</v>
      </c>
    </row>
    <row r="1658">
      <c r="A1658" t="s">
        <v>22</v>
      </c>
      <c r="B1658" t="s">
        <v>11489</v>
      </c>
      <c r="C1658" t="s">
        <v>24</v>
      </c>
      <c r="D1658" t="s">
        <v>69</v>
      </c>
      <c r="E1658" t="s">
        <v>11490</v>
      </c>
      <c r="F1658" s="2" t="n">
        <f>HYPERLINK("https://patents.google.com/patent/US20210330912","Google")</f>
        <v>0.0</v>
      </c>
      <c r="G1658" s="2" t="n">
        <f>HYPERLINK("https://patentcenter.uspto.gov/applications/17239735","Patent Center")</f>
        <v>0.0</v>
      </c>
      <c r="H1658" s="2" t="n">
        <f>HYPERLINK("https://worldwide.espacenet.com/patent/search?q=US20210330912","Espacenet")</f>
        <v>0.0</v>
      </c>
      <c r="I1658" s="2" t="n">
        <f>HYPERLINK("https://ppubs.uspto.gov/pubwebapp/external.html?q=20210330912.pn.","USPTO")</f>
        <v>0.0</v>
      </c>
      <c r="J1658" s="2" t="n">
        <f>HYPERLINK("https://image-ppubs.uspto.gov/dirsearch-public/print/downloadPdf/20210330912","USPTO PDF")</f>
        <v>0.0</v>
      </c>
      <c r="K1658" s="2" t="n">
        <f>HYPERLINK("https://sectors.patentforecast.com/pmd/US20210330912","PMD")</f>
        <v>0.0</v>
      </c>
      <c r="L1658" s="2" t="n">
        <f>HYPERLINK("https://globaldossier.uspto.gov/result/application/US/17239735/1","US20210330912")</f>
        <v>0.0</v>
      </c>
      <c r="M1658" t="s">
        <v>11491</v>
      </c>
      <c r="N1658" t="s">
        <v>11069</v>
      </c>
      <c r="O1658" t="s">
        <v>11070</v>
      </c>
      <c r="P1658" t="s">
        <v>11492</v>
      </c>
      <c r="Q1658" s="3" t="n">
        <v>44312.0</v>
      </c>
      <c r="R1658" s="3" t="n">
        <v>44497.0</v>
      </c>
      <c r="S1658" s="3" t="n">
        <v>44498.23104196759</v>
      </c>
      <c r="T1658" s="3" t="n">
        <v>44501.62024094907</v>
      </c>
      <c r="U1658" t="s">
        <v>11493</v>
      </c>
      <c r="V1658" t="s">
        <v>11494</v>
      </c>
    </row>
    <row r="1659">
      <c r="A1659" t="s">
        <v>22</v>
      </c>
      <c r="B1659" t="s">
        <v>11495</v>
      </c>
      <c r="C1659" t="s">
        <v>60</v>
      </c>
      <c r="D1659" t="s">
        <v>715</v>
      </c>
      <c r="E1659" t="s">
        <v>11496</v>
      </c>
      <c r="F1659" s="2" t="n">
        <f>HYPERLINK("https://patents.google.com/patent/US20210330907","Google")</f>
        <v>0.0</v>
      </c>
      <c r="G1659" s="2" t="n">
        <f>HYPERLINK("https://patentcenter.uspto.gov/applications/17204115","Patent Center")</f>
        <v>0.0</v>
      </c>
      <c r="H1659" s="2" t="n">
        <f>HYPERLINK("https://worldwide.espacenet.com/patent/search?q=US20210330907","Espacenet")</f>
        <v>0.0</v>
      </c>
      <c r="I1659" s="2" t="n">
        <f>HYPERLINK("https://ppubs.uspto.gov/pubwebapp/external.html?q=20210330907.pn.","USPTO")</f>
        <v>0.0</v>
      </c>
      <c r="J1659" s="2" t="n">
        <f>HYPERLINK("https://image-ppubs.uspto.gov/dirsearch-public/print/downloadPdf/20210330907","USPTO PDF")</f>
        <v>0.0</v>
      </c>
      <c r="K1659" s="2" t="n">
        <f>HYPERLINK("https://sectors.patentforecast.com/pmd/US20210330907","PMD")</f>
        <v>0.0</v>
      </c>
      <c r="L1659" s="2" t="n">
        <f>HYPERLINK("https://globaldossier.uspto.gov/result/application/US/17204115/1","US20210330907")</f>
        <v>0.0</v>
      </c>
      <c r="M1659" t="s">
        <v>11497</v>
      </c>
      <c r="N1659" t="s">
        <v>9610</v>
      </c>
      <c r="O1659" t="s">
        <v>9611</v>
      </c>
      <c r="P1659" t="s">
        <v>11498</v>
      </c>
      <c r="Q1659" s="3" t="n">
        <v>44272.0</v>
      </c>
      <c r="R1659" s="3" t="n">
        <v>44497.0</v>
      </c>
      <c r="S1659" s="3" t="n">
        <v>44498.23104196759</v>
      </c>
      <c r="T1659" s="3" t="n">
        <v>44501.626570486114</v>
      </c>
      <c r="U1659" t="s">
        <v>11499</v>
      </c>
      <c r="V1659" t="s">
        <v>11500</v>
      </c>
    </row>
    <row r="1660">
      <c r="A1660" t="s">
        <v>22</v>
      </c>
      <c r="B1660" t="s">
        <v>11501</v>
      </c>
      <c r="C1660" t="s">
        <v>24</v>
      </c>
      <c r="D1660" t="s">
        <v>69</v>
      </c>
      <c r="E1660" t="s">
        <v>11502</v>
      </c>
      <c r="F1660" s="2" t="n">
        <f>HYPERLINK("https://patents.google.com/patent/US20210330853","Google")</f>
        <v>0.0</v>
      </c>
      <c r="G1660" s="2" t="n">
        <f>HYPERLINK("https://patentcenter.uspto.gov/applications/17238594","Patent Center")</f>
        <v>0.0</v>
      </c>
      <c r="H1660" s="2" t="n">
        <f>HYPERLINK("https://worldwide.espacenet.com/patent/search?q=US20210330853","Espacenet")</f>
        <v>0.0</v>
      </c>
      <c r="I1660" s="2" t="n">
        <f>HYPERLINK("https://ppubs.uspto.gov/pubwebapp/external.html?q=20210330853.pn.","USPTO")</f>
        <v>0.0</v>
      </c>
      <c r="J1660" s="2" t="n">
        <f>HYPERLINK("https://image-ppubs.uspto.gov/dirsearch-public/print/downloadPdf/20210330853","USPTO PDF")</f>
        <v>0.0</v>
      </c>
      <c r="K1660" s="2" t="n">
        <f>HYPERLINK("https://sectors.patentforecast.com/pmd/US20210330853","PMD")</f>
        <v>0.0</v>
      </c>
      <c r="L1660" s="2" t="n">
        <f>HYPERLINK("https://globaldossier.uspto.gov/result/application/US/17238594/1","US20210330853")</f>
        <v>0.0</v>
      </c>
      <c r="M1660" t="s">
        <v>11503</v>
      </c>
      <c r="N1660" t="s">
        <v>11504</v>
      </c>
      <c r="O1660" t="s">
        <v>11504</v>
      </c>
      <c r="P1660" t="s">
        <v>11505</v>
      </c>
      <c r="Q1660" s="3" t="n">
        <v>44309.0</v>
      </c>
      <c r="R1660" s="3" t="n">
        <v>44497.0</v>
      </c>
      <c r="S1660" s="3" t="n">
        <v>44498.23104196759</v>
      </c>
      <c r="T1660" s="3" t="n">
        <v>44501.607420706016</v>
      </c>
      <c r="U1660" t="s">
        <v>11506</v>
      </c>
      <c r="V1660" t="s">
        <v>11507</v>
      </c>
    </row>
    <row r="1661">
      <c r="A1661" t="s">
        <v>22</v>
      </c>
      <c r="B1661" t="s">
        <v>11508</v>
      </c>
      <c r="C1661" t="s">
        <v>24</v>
      </c>
      <c r="D1661" t="s">
        <v>69</v>
      </c>
      <c r="E1661" t="s">
        <v>11509</v>
      </c>
      <c r="F1661" s="2" t="n">
        <f>HYPERLINK("https://patents.google.com/patent/US20210330851","Google")</f>
        <v>0.0</v>
      </c>
      <c r="G1661" s="2" t="n">
        <f>HYPERLINK("https://patentcenter.uspto.gov/applications/16860888","Patent Center")</f>
        <v>0.0</v>
      </c>
      <c r="H1661" s="2" t="n">
        <f>HYPERLINK("https://worldwide.espacenet.com/patent/search?q=US20210330851","Espacenet")</f>
        <v>0.0</v>
      </c>
      <c r="I1661" s="2" t="n">
        <f>HYPERLINK("https://ppubs.uspto.gov/pubwebapp/external.html?q=20210330851.pn.","USPTO")</f>
        <v>0.0</v>
      </c>
      <c r="J1661" s="2" t="n">
        <f>HYPERLINK("https://image-ppubs.uspto.gov/dirsearch-public/print/downloadPdf/20210330851","USPTO PDF")</f>
        <v>0.0</v>
      </c>
      <c r="K1661" s="2" t="n">
        <f>HYPERLINK("https://sectors.patentforecast.com/pmd/US20210330851","PMD")</f>
        <v>0.0</v>
      </c>
      <c r="L1661" s="2" t="n">
        <f>HYPERLINK("https://globaldossier.uspto.gov/result/application/US/16860888/1","US20210330851")</f>
        <v>0.0</v>
      </c>
      <c r="M1661" t="s">
        <v>11510</v>
      </c>
      <c r="N1661" t="s">
        <v>11511</v>
      </c>
      <c r="O1661" t="s">
        <v>11512</v>
      </c>
      <c r="P1661" t="s">
        <v>11513</v>
      </c>
      <c r="Q1661" s="3" t="n">
        <v>43949.0</v>
      </c>
      <c r="R1661" s="3" t="n">
        <v>44497.0</v>
      </c>
      <c r="S1661" s="3" t="n">
        <v>44498.23104196759</v>
      </c>
      <c r="T1661" s="3" t="n">
        <v>44501.60746460648</v>
      </c>
      <c r="U1661" t="s">
        <v>11514</v>
      </c>
      <c r="V1661" t="s">
        <v>11515</v>
      </c>
    </row>
    <row r="1662">
      <c r="A1662" t="s">
        <v>22</v>
      </c>
      <c r="B1662" t="s">
        <v>11516</v>
      </c>
      <c r="C1662" t="s">
        <v>24</v>
      </c>
      <c r="D1662" t="s">
        <v>100</v>
      </c>
      <c r="E1662" t="s">
        <v>11517</v>
      </c>
      <c r="F1662" s="2" t="n">
        <f>HYPERLINK("https://patents.google.com/patent/US20210330850","Google")</f>
        <v>0.0</v>
      </c>
      <c r="G1662" s="2" t="n">
        <f>HYPERLINK("https://patentcenter.uspto.gov/applications/16859088","Patent Center")</f>
        <v>0.0</v>
      </c>
      <c r="H1662" s="2" t="n">
        <f>HYPERLINK("https://worldwide.espacenet.com/patent/search?q=US20210330850","Espacenet")</f>
        <v>0.0</v>
      </c>
      <c r="I1662" s="2" t="n">
        <f>HYPERLINK("https://ppubs.uspto.gov/pubwebapp/external.html?q=20210330850.pn.","USPTO")</f>
        <v>0.0</v>
      </c>
      <c r="J1662" s="2" t="n">
        <f>HYPERLINK("https://image-ppubs.uspto.gov/dirsearch-public/print/downloadPdf/20210330850","USPTO PDF")</f>
        <v>0.0</v>
      </c>
      <c r="K1662" s="2" t="n">
        <f>HYPERLINK("https://sectors.patentforecast.com/pmd/US20210330850","PMD")</f>
        <v>0.0</v>
      </c>
      <c r="L1662" s="2" t="n">
        <f>HYPERLINK("https://globaldossier.uspto.gov/result/application/US/16859088/1","US20210330850")</f>
        <v>0.0</v>
      </c>
      <c r="M1662" t="s">
        <v>11518</v>
      </c>
      <c r="N1662" t="s">
        <v>11519</v>
      </c>
      <c r="O1662" t="s">
        <v>11519</v>
      </c>
      <c r="P1662" t="s">
        <v>11520</v>
      </c>
      <c r="Q1662" s="3" t="n">
        <v>43948.0</v>
      </c>
      <c r="R1662" s="3" t="n">
        <v>44497.0</v>
      </c>
      <c r="S1662" s="3" t="n">
        <v>44498.22942074074</v>
      </c>
      <c r="T1662" s="3" t="n">
        <v>44501.607562604164</v>
      </c>
      <c r="U1662" t="s">
        <v>11521</v>
      </c>
      <c r="V1662" t="s">
        <v>11522</v>
      </c>
    </row>
    <row r="1663">
      <c r="A1663" t="s">
        <v>22</v>
      </c>
      <c r="B1663" t="s">
        <v>11523</v>
      </c>
      <c r="C1663" t="s">
        <v>24</v>
      </c>
      <c r="D1663" t="s">
        <v>100</v>
      </c>
      <c r="E1663" t="s">
        <v>11524</v>
      </c>
      <c r="F1663" s="2" t="n">
        <f>HYPERLINK("https://patents.google.com/patent/US20210330844","Google")</f>
        <v>0.0</v>
      </c>
      <c r="G1663" s="2" t="n">
        <f>HYPERLINK("https://patentcenter.uspto.gov/applications/17243457","Patent Center")</f>
        <v>0.0</v>
      </c>
      <c r="H1663" s="2" t="n">
        <f>HYPERLINK("https://worldwide.espacenet.com/patent/search?q=US20210330844","Espacenet")</f>
        <v>0.0</v>
      </c>
      <c r="I1663" s="2" t="n">
        <f>HYPERLINK("https://ppubs.uspto.gov/pubwebapp/external.html?q=20210330844.pn.","USPTO")</f>
        <v>0.0</v>
      </c>
      <c r="J1663" s="2" t="n">
        <f>HYPERLINK("https://image-ppubs.uspto.gov/dirsearch-public/print/downloadPdf/20210330844","USPTO PDF")</f>
        <v>0.0</v>
      </c>
      <c r="K1663" s="2" t="n">
        <f>HYPERLINK("https://sectors.patentforecast.com/pmd/US20210330844","PMD")</f>
        <v>0.0</v>
      </c>
      <c r="L1663" s="2" t="n">
        <f>HYPERLINK("https://globaldossier.uspto.gov/result/application/US/17243457/1","US20210330844")</f>
        <v>0.0</v>
      </c>
      <c r="M1663" t="s">
        <v>11525</v>
      </c>
      <c r="N1663" t="s">
        <v>11526</v>
      </c>
      <c r="O1663" t="s">
        <v>11527</v>
      </c>
      <c r="P1663" t="s">
        <v>11528</v>
      </c>
      <c r="Q1663" s="3" t="n">
        <v>44314.0</v>
      </c>
      <c r="R1663" s="3" t="n">
        <v>44497.0</v>
      </c>
      <c r="S1663" s="3" t="n">
        <v>44498.23104196759</v>
      </c>
      <c r="T1663" s="3" t="n">
        <v>44501.62522988426</v>
      </c>
      <c r="U1663" t="s">
        <v>11529</v>
      </c>
      <c r="V1663" t="s">
        <v>11530</v>
      </c>
    </row>
    <row r="1664">
      <c r="A1664" t="s">
        <v>22</v>
      </c>
      <c r="B1664" t="s">
        <v>11531</v>
      </c>
      <c r="C1664" t="s">
        <v>24</v>
      </c>
      <c r="D1664" t="s">
        <v>100</v>
      </c>
      <c r="E1664" t="s">
        <v>11532</v>
      </c>
      <c r="F1664" s="2" t="n">
        <f>HYPERLINK("https://patents.google.com/patent/US20210330842","Google")</f>
        <v>0.0</v>
      </c>
      <c r="G1664" s="2" t="n">
        <f>HYPERLINK("https://patentcenter.uspto.gov/applications/17169260","Patent Center")</f>
        <v>0.0</v>
      </c>
      <c r="H1664" s="2" t="n">
        <f>HYPERLINK("https://worldwide.espacenet.com/patent/search?q=US20210330842","Espacenet")</f>
        <v>0.0</v>
      </c>
      <c r="I1664" s="2" t="n">
        <f>HYPERLINK("https://ppubs.uspto.gov/pubwebapp/external.html?q=20210330842.pn.","USPTO")</f>
        <v>0.0</v>
      </c>
      <c r="J1664" s="2" t="n">
        <f>HYPERLINK("https://image-ppubs.uspto.gov/dirsearch-public/print/downloadPdf/20210330842","USPTO PDF")</f>
        <v>0.0</v>
      </c>
      <c r="K1664" s="2" t="n">
        <f>HYPERLINK("https://sectors.patentforecast.com/pmd/US20210330842","PMD")</f>
        <v>0.0</v>
      </c>
      <c r="L1664" s="2" t="n">
        <f>HYPERLINK("https://globaldossier.uspto.gov/result/application/US/17169260/1","US20210330842")</f>
        <v>0.0</v>
      </c>
      <c r="M1664" t="s">
        <v>11533</v>
      </c>
      <c r="N1664" t="s">
        <v>1227</v>
      </c>
      <c r="O1664" t="s">
        <v>1228</v>
      </c>
      <c r="P1664" t="s">
        <v>11534</v>
      </c>
      <c r="Q1664" s="3" t="n">
        <v>44232.0</v>
      </c>
      <c r="R1664" s="3" t="n">
        <v>44497.0</v>
      </c>
      <c r="S1664" s="3" t="n">
        <v>44498.23104196759</v>
      </c>
      <c r="T1664" s="3" t="n">
        <v>44501.63036131945</v>
      </c>
      <c r="U1664" t="s">
        <v>11535</v>
      </c>
      <c r="V1664" t="s">
        <v>11536</v>
      </c>
    </row>
    <row r="1665">
      <c r="A1665" t="s">
        <v>22</v>
      </c>
      <c r="B1665" t="s">
        <v>11537</v>
      </c>
      <c r="C1665" t="s">
        <v>24</v>
      </c>
      <c r="D1665" t="s">
        <v>100</v>
      </c>
      <c r="E1665" t="s">
        <v>11538</v>
      </c>
      <c r="F1665" s="2" t="n">
        <f>HYPERLINK("https://patents.google.com/patent/US20210330841","Google")</f>
        <v>0.0</v>
      </c>
      <c r="G1665" s="2" t="n">
        <f>HYPERLINK("https://patentcenter.uspto.gov/applications/16944617","Patent Center")</f>
        <v>0.0</v>
      </c>
      <c r="H1665" s="2" t="n">
        <f>HYPERLINK("https://worldwide.espacenet.com/patent/search?q=US20210330841","Espacenet")</f>
        <v>0.0</v>
      </c>
      <c r="I1665" s="2" t="n">
        <f>HYPERLINK("https://ppubs.uspto.gov/pubwebapp/external.html?q=20210330841.pn.","USPTO")</f>
        <v>0.0</v>
      </c>
      <c r="J1665" s="2" t="n">
        <f>HYPERLINK("https://image-ppubs.uspto.gov/dirsearch-public/print/downloadPdf/20210330841","USPTO PDF")</f>
        <v>0.0</v>
      </c>
      <c r="K1665" s="2" t="n">
        <f>HYPERLINK("https://sectors.patentforecast.com/pmd/US20210330841","PMD")</f>
        <v>0.0</v>
      </c>
      <c r="L1665" s="2" t="n">
        <f>HYPERLINK("https://globaldossier.uspto.gov/result/application/US/16944617/1","US20210330841")</f>
        <v>0.0</v>
      </c>
      <c r="M1665" t="s">
        <v>11539</v>
      </c>
      <c r="N1665" t="s">
        <v>1227</v>
      </c>
      <c r="O1665" t="s">
        <v>1228</v>
      </c>
      <c r="P1665" t="s">
        <v>11540</v>
      </c>
      <c r="Q1665" s="3" t="n">
        <v>44043.0</v>
      </c>
      <c r="R1665" s="3" t="n">
        <v>44497.0</v>
      </c>
      <c r="S1665" s="3" t="n">
        <v>44498.23104196759</v>
      </c>
      <c r="T1665" s="3" t="n">
        <v>44501.631466921295</v>
      </c>
      <c r="U1665" t="s">
        <v>11541</v>
      </c>
      <c r="V1665" t="s">
        <v>11542</v>
      </c>
    </row>
    <row r="1666">
      <c r="A1666" t="s">
        <v>22</v>
      </c>
      <c r="B1666" t="s">
        <v>11543</v>
      </c>
      <c r="C1666" t="s">
        <v>24</v>
      </c>
      <c r="D1666" t="s">
        <v>100</v>
      </c>
      <c r="E1666" t="s">
        <v>11544</v>
      </c>
      <c r="F1666" s="2" t="n">
        <f>HYPERLINK("https://patents.google.com/patent/US20210330840","Google")</f>
        <v>0.0</v>
      </c>
      <c r="G1666" s="2" t="n">
        <f>HYPERLINK("https://patentcenter.uspto.gov/applications/17243344","Patent Center")</f>
        <v>0.0</v>
      </c>
      <c r="H1666" s="2" t="n">
        <f>HYPERLINK("https://worldwide.espacenet.com/patent/search?q=US20210330840","Espacenet")</f>
        <v>0.0</v>
      </c>
      <c r="I1666" s="2" t="n">
        <f>HYPERLINK("https://ppubs.uspto.gov/pubwebapp/external.html?q=20210330840.pn.","USPTO")</f>
        <v>0.0</v>
      </c>
      <c r="J1666" s="2" t="n">
        <f>HYPERLINK("https://image-ppubs.uspto.gov/dirsearch-public/print/downloadPdf/20210330840","USPTO PDF")</f>
        <v>0.0</v>
      </c>
      <c r="K1666" s="2" t="n">
        <f>HYPERLINK("https://sectors.patentforecast.com/pmd/US20210330840","PMD")</f>
        <v>0.0</v>
      </c>
      <c r="L1666" s="2" t="n">
        <f>HYPERLINK("https://globaldossier.uspto.gov/result/application/US/17243344/1","US20210330840")</f>
        <v>0.0</v>
      </c>
      <c r="M1666" t="s">
        <v>11545</v>
      </c>
      <c r="N1666" t="s">
        <v>11546</v>
      </c>
      <c r="O1666" t="s">
        <v>11547</v>
      </c>
      <c r="P1666" t="s">
        <v>11548</v>
      </c>
      <c r="Q1666" s="3" t="n">
        <v>44314.0</v>
      </c>
      <c r="R1666" s="3" t="n">
        <v>44497.0</v>
      </c>
      <c r="S1666" s="3" t="n">
        <v>44498.22942074074</v>
      </c>
      <c r="T1666" s="3" t="n">
        <v>44501.63455458333</v>
      </c>
      <c r="U1666" t="s">
        <v>11549</v>
      </c>
      <c r="V1666" t="s">
        <v>11550</v>
      </c>
    </row>
    <row r="1667">
      <c r="A1667" t="s">
        <v>22</v>
      </c>
      <c r="B1667" t="s">
        <v>11551</v>
      </c>
      <c r="C1667" t="s">
        <v>24</v>
      </c>
      <c r="D1667" t="s">
        <v>100</v>
      </c>
      <c r="E1667" t="s">
        <v>5944</v>
      </c>
      <c r="F1667" s="2" t="n">
        <f>HYPERLINK("https://patents.google.com/patent/US20210330825","Google")</f>
        <v>0.0</v>
      </c>
      <c r="G1667" s="2" t="n">
        <f>HYPERLINK("https://patentcenter.uspto.gov/applications/17362179","Patent Center")</f>
        <v>0.0</v>
      </c>
      <c r="H1667" s="2" t="n">
        <f>HYPERLINK("https://worldwide.espacenet.com/patent/search?q=US20210330825","Espacenet")</f>
        <v>0.0</v>
      </c>
      <c r="I1667" s="2" t="n">
        <f>HYPERLINK("https://ppubs.uspto.gov/pubwebapp/external.html?q=20210330825.pn.","USPTO")</f>
        <v>0.0</v>
      </c>
      <c r="J1667" s="2" t="n">
        <f>HYPERLINK("https://image-ppubs.uspto.gov/dirsearch-public/print/downloadPdf/20210330825","USPTO PDF")</f>
        <v>0.0</v>
      </c>
      <c r="K1667" s="2" t="n">
        <f>HYPERLINK("https://sectors.patentforecast.com/pmd/US20210330825","PMD")</f>
        <v>0.0</v>
      </c>
      <c r="L1667" s="2" t="n">
        <f>HYPERLINK("https://globaldossier.uspto.gov/result/application/US/17362179/1","US20210330825")</f>
        <v>0.0</v>
      </c>
      <c r="M1667" t="s">
        <v>11552</v>
      </c>
      <c r="N1667" t="s">
        <v>5946</v>
      </c>
      <c r="O1667" t="s">
        <v>5947</v>
      </c>
      <c r="P1667" t="s">
        <v>5948</v>
      </c>
      <c r="Q1667" s="3" t="n">
        <v>44376.0</v>
      </c>
      <c r="R1667" s="3" t="n">
        <v>44497.0</v>
      </c>
      <c r="S1667" s="3" t="n">
        <v>44498.23104196759</v>
      </c>
      <c r="T1667" s="3" t="n">
        <v>44501.625799594905</v>
      </c>
      <c r="U1667" t="s">
        <v>11553</v>
      </c>
      <c r="V1667" t="s">
        <v>11554</v>
      </c>
    </row>
    <row r="1668">
      <c r="A1668" t="s">
        <v>22</v>
      </c>
      <c r="B1668" t="s">
        <v>11555</v>
      </c>
      <c r="C1668" t="s">
        <v>24</v>
      </c>
      <c r="D1668" t="s">
        <v>100</v>
      </c>
      <c r="E1668" t="s">
        <v>11556</v>
      </c>
      <c r="F1668" s="2" t="n">
        <f>HYPERLINK("https://patents.google.com/patent/US20210330806","Google")</f>
        <v>0.0</v>
      </c>
      <c r="G1668" s="2" t="n">
        <f>HYPERLINK("https://patentcenter.uspto.gov/applications/16856893","Patent Center")</f>
        <v>0.0</v>
      </c>
      <c r="H1668" s="2" t="n">
        <f>HYPERLINK("https://worldwide.espacenet.com/patent/search?q=US20210330806","Espacenet")</f>
        <v>0.0</v>
      </c>
      <c r="I1668" s="2" t="n">
        <f>HYPERLINK("https://ppubs.uspto.gov/pubwebapp/external.html?q=20210330806.pn.","USPTO")</f>
        <v>0.0</v>
      </c>
      <c r="J1668" s="2" t="n">
        <f>HYPERLINK("https://image-ppubs.uspto.gov/dirsearch-public/print/downloadPdf/20210330806","USPTO PDF")</f>
        <v>0.0</v>
      </c>
      <c r="K1668" s="2" t="n">
        <f>HYPERLINK("https://sectors.patentforecast.com/pmd/US20210330806","PMD")</f>
        <v>0.0</v>
      </c>
      <c r="L1668" s="2" t="n">
        <f>HYPERLINK("https://globaldossier.uspto.gov/result/application/US/16856893/1","US20210330806")</f>
        <v>0.0</v>
      </c>
      <c r="M1668" t="s">
        <v>11557</v>
      </c>
      <c r="N1668" t="s">
        <v>11558</v>
      </c>
      <c r="O1668" t="s">
        <v>11559</v>
      </c>
      <c r="P1668" t="s">
        <v>11560</v>
      </c>
      <c r="Q1668" s="3" t="n">
        <v>43944.0</v>
      </c>
      <c r="R1668" s="3" t="n">
        <v>44497.0</v>
      </c>
      <c r="S1668" s="3" t="n">
        <v>44498.23104196759</v>
      </c>
      <c r="T1668" s="3" t="n">
        <v>44501.6228150463</v>
      </c>
      <c r="U1668" t="s">
        <v>11561</v>
      </c>
      <c r="V1668" t="s">
        <v>11562</v>
      </c>
    </row>
    <row r="1669">
      <c r="A1669" t="s">
        <v>22</v>
      </c>
      <c r="B1669" t="s">
        <v>11563</v>
      </c>
      <c r="C1669" t="s">
        <v>60</v>
      </c>
      <c r="D1669" t="s">
        <v>4942</v>
      </c>
      <c r="E1669" t="s">
        <v>11564</v>
      </c>
      <c r="F1669" s="2" t="n">
        <f>HYPERLINK("https://patents.google.com/patent/US20210330767","Google")</f>
        <v>0.0</v>
      </c>
      <c r="G1669" s="2" t="n">
        <f>HYPERLINK("https://patentcenter.uspto.gov/applications/17365925","Patent Center")</f>
        <v>0.0</v>
      </c>
      <c r="H1669" s="2" t="n">
        <f>HYPERLINK("https://worldwide.espacenet.com/patent/search?q=US20210330767","Espacenet")</f>
        <v>0.0</v>
      </c>
      <c r="I1669" s="2" t="n">
        <f>HYPERLINK("https://ppubs.uspto.gov/pubwebapp/external.html?q=20210330767.pn.","USPTO")</f>
        <v>0.0</v>
      </c>
      <c r="J1669" s="2" t="n">
        <f>HYPERLINK("https://image-ppubs.uspto.gov/dirsearch-public/print/downloadPdf/20210330767","USPTO PDF")</f>
        <v>0.0</v>
      </c>
      <c r="K1669" s="2" t="n">
        <f>HYPERLINK("https://sectors.patentforecast.com/pmd/US20210330767","PMD")</f>
        <v>0.0</v>
      </c>
      <c r="L1669" s="2" t="n">
        <f>HYPERLINK("https://globaldossier.uspto.gov/result/application/US/17365925/1","US20210330767")</f>
        <v>0.0</v>
      </c>
      <c r="M1669" t="s">
        <v>11565</v>
      </c>
      <c r="N1669" t="s">
        <v>11566</v>
      </c>
      <c r="O1669" t="s">
        <v>11567</v>
      </c>
      <c r="P1669" t="s">
        <v>11568</v>
      </c>
      <c r="Q1669" s="3" t="n">
        <v>44378.0</v>
      </c>
      <c r="R1669" s="3" t="n">
        <v>44497.0</v>
      </c>
      <c r="S1669" s="3" t="n">
        <v>44498.23104196759</v>
      </c>
      <c r="T1669" s="3" t="n">
        <v>44501.60809217593</v>
      </c>
      <c r="U1669" t="s">
        <v>11569</v>
      </c>
      <c r="V1669" t="s">
        <v>11570</v>
      </c>
    </row>
    <row r="1670">
      <c r="A1670" t="s">
        <v>22</v>
      </c>
      <c r="B1670" t="s">
        <v>11571</v>
      </c>
      <c r="C1670" t="s">
        <v>60</v>
      </c>
      <c r="D1670" t="s">
        <v>1257</v>
      </c>
      <c r="E1670" t="s">
        <v>11572</v>
      </c>
      <c r="F1670" s="2" t="n">
        <f>HYPERLINK("https://patents.google.com/patent/US20210330759","Google")</f>
        <v>0.0</v>
      </c>
      <c r="G1670" s="2" t="n">
        <f>HYPERLINK("https://patentcenter.uspto.gov/applications/17234301","Patent Center")</f>
        <v>0.0</v>
      </c>
      <c r="H1670" s="2" t="n">
        <f>HYPERLINK("https://worldwide.espacenet.com/patent/search?q=US20210330759","Espacenet")</f>
        <v>0.0</v>
      </c>
      <c r="I1670" s="2" t="n">
        <f>HYPERLINK("https://ppubs.uspto.gov/pubwebapp/external.html?q=20210330759.pn.","USPTO")</f>
        <v>0.0</v>
      </c>
      <c r="J1670" s="2" t="n">
        <f>HYPERLINK("https://image-ppubs.uspto.gov/dirsearch-public/print/downloadPdf/20210330759","USPTO PDF")</f>
        <v>0.0</v>
      </c>
      <c r="K1670" s="2" t="n">
        <f>HYPERLINK("https://sectors.patentforecast.com/pmd/US20210330759","PMD")</f>
        <v>0.0</v>
      </c>
      <c r="L1670" s="2" t="n">
        <f>HYPERLINK("https://globaldossier.uspto.gov/result/application/US/17234301/1","US20210330759")</f>
        <v>0.0</v>
      </c>
      <c r="M1670" t="s">
        <v>11573</v>
      </c>
      <c r="N1670" t="s">
        <v>3291</v>
      </c>
      <c r="O1670" t="s">
        <v>3292</v>
      </c>
      <c r="P1670" t="s">
        <v>11574</v>
      </c>
      <c r="Q1670" s="3" t="n">
        <v>44305.0</v>
      </c>
      <c r="R1670" s="3" t="n">
        <v>44497.0</v>
      </c>
      <c r="S1670" s="3" t="n">
        <v>44498.22942074074</v>
      </c>
      <c r="T1670" s="3" t="n">
        <v>44501.61852733796</v>
      </c>
      <c r="U1670" t="s">
        <v>11575</v>
      </c>
      <c r="V1670" t="s">
        <v>11576</v>
      </c>
    </row>
    <row r="1671">
      <c r="A1671" t="s">
        <v>22</v>
      </c>
      <c r="B1671" t="s">
        <v>11577</v>
      </c>
      <c r="C1671" t="s">
        <v>60</v>
      </c>
      <c r="D1671" t="s">
        <v>61</v>
      </c>
      <c r="E1671" t="s">
        <v>11578</v>
      </c>
      <c r="F1671" s="2" t="n">
        <f>HYPERLINK("https://patents.google.com/patent/US20210330753","Google")</f>
        <v>0.0</v>
      </c>
      <c r="G1671" s="2" t="n">
        <f>HYPERLINK("https://patentcenter.uspto.gov/applications/17242142","Patent Center")</f>
        <v>0.0</v>
      </c>
      <c r="H1671" s="2" t="n">
        <f>HYPERLINK("https://worldwide.espacenet.com/patent/search?q=US20210330753","Espacenet")</f>
        <v>0.0</v>
      </c>
      <c r="I1671" s="2" t="n">
        <f>HYPERLINK("https://ppubs.uspto.gov/pubwebapp/external.html?q=20210330753.pn.","USPTO")</f>
        <v>0.0</v>
      </c>
      <c r="J1671" s="2" t="n">
        <f>HYPERLINK("https://image-ppubs.uspto.gov/dirsearch-public/print/downloadPdf/20210330753","USPTO PDF")</f>
        <v>0.0</v>
      </c>
      <c r="K1671" s="2" t="n">
        <f>HYPERLINK("https://sectors.patentforecast.com/pmd/US20210330753","PMD")</f>
        <v>0.0</v>
      </c>
      <c r="L1671" s="2" t="n">
        <f>HYPERLINK("https://globaldossier.uspto.gov/result/application/US/17242142/1","US20210330753")</f>
        <v>0.0</v>
      </c>
      <c r="M1671" t="s">
        <v>11579</v>
      </c>
      <c r="N1671" t="s">
        <v>11580</v>
      </c>
      <c r="O1671" t="s">
        <v>11581</v>
      </c>
      <c r="P1671" t="s">
        <v>11582</v>
      </c>
      <c r="Q1671" s="3" t="n">
        <v>44313.0</v>
      </c>
      <c r="R1671" s="3" t="n">
        <v>44497.0</v>
      </c>
      <c r="S1671" s="3" t="n">
        <v>44498.23104196759</v>
      </c>
      <c r="T1671" s="3" t="n">
        <v>44501.608250335645</v>
      </c>
      <c r="U1671" t="s">
        <v>11583</v>
      </c>
      <c r="V1671" t="s">
        <v>11584</v>
      </c>
    </row>
    <row r="1672">
      <c r="A1672" t="s">
        <v>22</v>
      </c>
      <c r="B1672" t="s">
        <v>11585</v>
      </c>
      <c r="C1672" t="s">
        <v>60</v>
      </c>
      <c r="D1672" t="s">
        <v>2262</v>
      </c>
      <c r="E1672" t="s">
        <v>11586</v>
      </c>
      <c r="F1672" s="2" t="n">
        <f>HYPERLINK("https://patents.google.com/patent/US20210330728","Google")</f>
        <v>0.0</v>
      </c>
      <c r="G1672" s="2" t="n">
        <f>HYPERLINK("https://patentcenter.uspto.gov/applications/17237145","Patent Center")</f>
        <v>0.0</v>
      </c>
      <c r="H1672" s="2" t="n">
        <f>HYPERLINK("https://worldwide.espacenet.com/patent/search?q=US20210330728","Espacenet")</f>
        <v>0.0</v>
      </c>
      <c r="I1672" s="2" t="n">
        <f>HYPERLINK("https://ppubs.uspto.gov/pubwebapp/external.html?q=20210330728.pn.","USPTO")</f>
        <v>0.0</v>
      </c>
      <c r="J1672" s="2" t="n">
        <f>HYPERLINK("https://image-ppubs.uspto.gov/dirsearch-public/print/downloadPdf/20210330728","USPTO PDF")</f>
        <v>0.0</v>
      </c>
      <c r="K1672" s="2" t="n">
        <f>HYPERLINK("https://sectors.patentforecast.com/pmd/US20210330728","PMD")</f>
        <v>0.0</v>
      </c>
      <c r="L1672" s="2" t="n">
        <f>HYPERLINK("https://globaldossier.uspto.gov/result/application/US/17237145/1","US20210330728")</f>
        <v>0.0</v>
      </c>
      <c r="M1672" t="s">
        <v>11587</v>
      </c>
      <c r="N1672" t="s">
        <v>11588</v>
      </c>
      <c r="O1672" t="s">
        <v>11588</v>
      </c>
      <c r="P1672" t="s">
        <v>11589</v>
      </c>
      <c r="Q1672" s="3" t="n">
        <v>44308.0</v>
      </c>
      <c r="R1672" s="3" t="n">
        <v>44497.0</v>
      </c>
      <c r="S1672" s="3" t="n">
        <v>44498.23104196759</v>
      </c>
      <c r="T1672" s="3" t="n">
        <v>44501.60829615741</v>
      </c>
      <c r="U1672" t="s">
        <v>11590</v>
      </c>
      <c r="V1672" t="s">
        <v>11591</v>
      </c>
    </row>
    <row r="1673">
      <c r="A1673" t="s">
        <v>22</v>
      </c>
      <c r="B1673" t="s">
        <v>11592</v>
      </c>
      <c r="C1673" t="s">
        <v>60</v>
      </c>
      <c r="D1673" t="s">
        <v>61</v>
      </c>
      <c r="E1673" t="s">
        <v>11593</v>
      </c>
      <c r="F1673" s="2" t="n">
        <f>HYPERLINK("https://patents.google.com/patent/US20210330705","Google")</f>
        <v>0.0</v>
      </c>
      <c r="G1673" s="2" t="n">
        <f>HYPERLINK("https://patentcenter.uspto.gov/applications/17237475","Patent Center")</f>
        <v>0.0</v>
      </c>
      <c r="H1673" s="2" t="n">
        <f>HYPERLINK("https://worldwide.espacenet.com/patent/search?q=US20210330705","Espacenet")</f>
        <v>0.0</v>
      </c>
      <c r="I1673" s="2" t="n">
        <f>HYPERLINK("https://ppubs.uspto.gov/pubwebapp/external.html?q=20210330705.pn.","USPTO")</f>
        <v>0.0</v>
      </c>
      <c r="J1673" s="2" t="n">
        <f>HYPERLINK("https://image-ppubs.uspto.gov/dirsearch-public/print/downloadPdf/20210330705","USPTO PDF")</f>
        <v>0.0</v>
      </c>
      <c r="K1673" s="2" t="n">
        <f>HYPERLINK("https://sectors.patentforecast.com/pmd/US20210330705","PMD")</f>
        <v>0.0</v>
      </c>
      <c r="L1673" s="2" t="n">
        <f>HYPERLINK("https://globaldossier.uspto.gov/result/application/US/17237475/1","US20210330705")</f>
        <v>0.0</v>
      </c>
      <c r="M1673" t="s">
        <v>11594</v>
      </c>
      <c r="N1673" t="s">
        <v>11146</v>
      </c>
      <c r="O1673" t="s">
        <v>11146</v>
      </c>
      <c r="P1673" t="s">
        <v>11147</v>
      </c>
      <c r="Q1673" s="3" t="n">
        <v>44308.0</v>
      </c>
      <c r="R1673" s="3" t="n">
        <v>44497.0</v>
      </c>
      <c r="S1673" s="3" t="n">
        <v>44498.23104196759</v>
      </c>
      <c r="T1673" s="3" t="n">
        <v>44501.61220271991</v>
      </c>
      <c r="U1673" t="s">
        <v>11595</v>
      </c>
      <c r="V1673" t="s">
        <v>11596</v>
      </c>
    </row>
    <row r="1674">
      <c r="A1674" t="s">
        <v>22</v>
      </c>
      <c r="B1674" t="s">
        <v>11597</v>
      </c>
      <c r="C1674" t="s">
        <v>24</v>
      </c>
      <c r="D1674" t="s">
        <v>100</v>
      </c>
      <c r="E1674" t="s">
        <v>11598</v>
      </c>
      <c r="F1674" s="2" t="n">
        <f>HYPERLINK("https://patents.google.com/patent/US20210330701","Google")</f>
        <v>0.0</v>
      </c>
      <c r="G1674" s="2" t="n">
        <f>HYPERLINK("https://patentcenter.uspto.gov/applications/16856861","Patent Center")</f>
        <v>0.0</v>
      </c>
      <c r="H1674" s="2" t="n">
        <f>HYPERLINK("https://worldwide.espacenet.com/patent/search?q=US20210330701","Espacenet")</f>
        <v>0.0</v>
      </c>
      <c r="I1674" s="2" t="n">
        <f>HYPERLINK("https://ppubs.uspto.gov/pubwebapp/external.html?q=20210330701.pn.","USPTO")</f>
        <v>0.0</v>
      </c>
      <c r="J1674" s="2" t="n">
        <f>HYPERLINK("https://image-ppubs.uspto.gov/dirsearch-public/print/downloadPdf/20210330701","USPTO PDF")</f>
        <v>0.0</v>
      </c>
      <c r="K1674" s="2" t="n">
        <f>HYPERLINK("https://sectors.patentforecast.com/pmd/US20210330701","PMD")</f>
        <v>0.0</v>
      </c>
      <c r="L1674" s="2" t="n">
        <f>HYPERLINK("https://globaldossier.uspto.gov/result/application/US/16856861/1","US20210330701")</f>
        <v>0.0</v>
      </c>
      <c r="M1674" t="s">
        <v>11599</v>
      </c>
      <c r="N1674" t="s">
        <v>11558</v>
      </c>
      <c r="O1674" t="s">
        <v>11559</v>
      </c>
      <c r="P1674" t="s">
        <v>11560</v>
      </c>
      <c r="Q1674" s="3" t="n">
        <v>43944.0</v>
      </c>
      <c r="R1674" s="3" t="n">
        <v>44497.0</v>
      </c>
      <c r="S1674" s="3" t="n">
        <v>44498.23104196759</v>
      </c>
      <c r="T1674" s="3" t="n">
        <v>44501.6228150463</v>
      </c>
      <c r="U1674" t="s">
        <v>11600</v>
      </c>
      <c r="V1674" t="s">
        <v>11601</v>
      </c>
    </row>
    <row r="1675">
      <c r="A1675" t="s">
        <v>22</v>
      </c>
      <c r="B1675" t="s">
        <v>11602</v>
      </c>
      <c r="C1675" t="s">
        <v>24</v>
      </c>
      <c r="D1675" t="s">
        <v>100</v>
      </c>
      <c r="E1675" t="s">
        <v>11603</v>
      </c>
      <c r="F1675" s="2" t="n">
        <f>HYPERLINK("https://patents.google.com/patent/US20210330700","Google")</f>
        <v>0.0</v>
      </c>
      <c r="G1675" s="2" t="n">
        <f>HYPERLINK("https://patentcenter.uspto.gov/applications/16856801","Patent Center")</f>
        <v>0.0</v>
      </c>
      <c r="H1675" s="2" t="n">
        <f>HYPERLINK("https://worldwide.espacenet.com/patent/search?q=US20210330700","Espacenet")</f>
        <v>0.0</v>
      </c>
      <c r="I1675" s="2" t="n">
        <f>HYPERLINK("https://ppubs.uspto.gov/pubwebapp/external.html?q=20210330700.pn.","USPTO")</f>
        <v>0.0</v>
      </c>
      <c r="J1675" s="2" t="n">
        <f>HYPERLINK("https://image-ppubs.uspto.gov/dirsearch-public/print/downloadPdf/20210330700","USPTO PDF")</f>
        <v>0.0</v>
      </c>
      <c r="K1675" s="2" t="n">
        <f>HYPERLINK("https://sectors.patentforecast.com/pmd/US20210330700","PMD")</f>
        <v>0.0</v>
      </c>
      <c r="L1675" s="2" t="n">
        <f>HYPERLINK("https://globaldossier.uspto.gov/result/application/US/16856801/1","US20210330700")</f>
        <v>0.0</v>
      </c>
      <c r="M1675" t="s">
        <v>11604</v>
      </c>
      <c r="N1675" t="s">
        <v>11558</v>
      </c>
      <c r="O1675" t="s">
        <v>11559</v>
      </c>
      <c r="P1675" t="s">
        <v>11605</v>
      </c>
      <c r="Q1675" s="3" t="n">
        <v>43944.0</v>
      </c>
      <c r="R1675" s="3" t="n">
        <v>44497.0</v>
      </c>
      <c r="S1675" s="3" t="n">
        <v>44498.23104196759</v>
      </c>
      <c r="T1675" s="3" t="n">
        <v>44501.6228150463</v>
      </c>
      <c r="U1675" t="s">
        <v>11606</v>
      </c>
      <c r="V1675" t="s">
        <v>11607</v>
      </c>
    </row>
    <row r="1676">
      <c r="A1676" t="s">
        <v>22</v>
      </c>
      <c r="B1676" t="s">
        <v>11608</v>
      </c>
      <c r="C1676" t="s">
        <v>24</v>
      </c>
      <c r="D1676" t="s">
        <v>100</v>
      </c>
      <c r="E1676" t="s">
        <v>11609</v>
      </c>
      <c r="F1676" s="2" t="n">
        <f>HYPERLINK("https://patents.google.com/patent/US20210330699","Google")</f>
        <v>0.0</v>
      </c>
      <c r="G1676" s="2" t="n">
        <f>HYPERLINK("https://patentcenter.uspto.gov/applications/16856766","Patent Center")</f>
        <v>0.0</v>
      </c>
      <c r="H1676" s="2" t="n">
        <f>HYPERLINK("https://worldwide.espacenet.com/patent/search?q=US20210330699","Espacenet")</f>
        <v>0.0</v>
      </c>
      <c r="I1676" s="2" t="n">
        <f>HYPERLINK("https://ppubs.uspto.gov/pubwebapp/external.html?q=20210330699.pn.","USPTO")</f>
        <v>0.0</v>
      </c>
      <c r="J1676" s="2" t="n">
        <f>HYPERLINK("https://image-ppubs.uspto.gov/dirsearch-public/print/downloadPdf/20210330699","USPTO PDF")</f>
        <v>0.0</v>
      </c>
      <c r="K1676" s="2" t="n">
        <f>HYPERLINK("https://sectors.patentforecast.com/pmd/US20210330699","PMD")</f>
        <v>0.0</v>
      </c>
      <c r="L1676" s="2" t="n">
        <f>HYPERLINK("https://globaldossier.uspto.gov/result/application/US/16856766/1","US20210330699")</f>
        <v>0.0</v>
      </c>
      <c r="M1676" t="s">
        <v>11610</v>
      </c>
      <c r="N1676" t="s">
        <v>11558</v>
      </c>
      <c r="O1676" t="s">
        <v>11559</v>
      </c>
      <c r="P1676" t="s">
        <v>11605</v>
      </c>
      <c r="Q1676" s="3" t="n">
        <v>43944.0</v>
      </c>
      <c r="R1676" s="3" t="n">
        <v>44497.0</v>
      </c>
      <c r="S1676" s="3" t="n">
        <v>44498.23104196759</v>
      </c>
      <c r="T1676" s="3" t="n">
        <v>44501.62271056713</v>
      </c>
      <c r="U1676" t="s">
        <v>11611</v>
      </c>
      <c r="V1676" t="s">
        <v>11612</v>
      </c>
    </row>
    <row r="1677">
      <c r="A1677" t="s">
        <v>22</v>
      </c>
      <c r="B1677" t="s">
        <v>11613</v>
      </c>
      <c r="C1677" t="s">
        <v>24</v>
      </c>
      <c r="D1677" t="s">
        <v>100</v>
      </c>
      <c r="E1677" t="s">
        <v>11614</v>
      </c>
      <c r="F1677" s="2" t="n">
        <f>HYPERLINK("https://patents.google.com/patent/US20210330698","Google")</f>
        <v>0.0</v>
      </c>
      <c r="G1677" s="2" t="n">
        <f>HYPERLINK("https://patentcenter.uspto.gov/applications/16856735","Patent Center")</f>
        <v>0.0</v>
      </c>
      <c r="H1677" s="2" t="n">
        <f>HYPERLINK("https://worldwide.espacenet.com/patent/search?q=US20210330698","Espacenet")</f>
        <v>0.0</v>
      </c>
      <c r="I1677" s="2" t="n">
        <f>HYPERLINK("https://ppubs.uspto.gov/pubwebapp/external.html?q=20210330698.pn.","USPTO")</f>
        <v>0.0</v>
      </c>
      <c r="J1677" s="2" t="n">
        <f>HYPERLINK("https://image-ppubs.uspto.gov/dirsearch-public/print/downloadPdf/20210330698","USPTO PDF")</f>
        <v>0.0</v>
      </c>
      <c r="K1677" s="2" t="n">
        <f>HYPERLINK("https://sectors.patentforecast.com/pmd/US20210330698","PMD")</f>
        <v>0.0</v>
      </c>
      <c r="L1677" s="2" t="n">
        <f>HYPERLINK("https://globaldossier.uspto.gov/result/application/US/16856735/1","US20210330698")</f>
        <v>0.0</v>
      </c>
      <c r="M1677" t="s">
        <v>11615</v>
      </c>
      <c r="N1677" t="s">
        <v>11558</v>
      </c>
      <c r="O1677" t="s">
        <v>11559</v>
      </c>
      <c r="P1677" t="s">
        <v>11605</v>
      </c>
      <c r="Q1677" s="3" t="n">
        <v>43944.0</v>
      </c>
      <c r="R1677" s="3" t="n">
        <v>44497.0</v>
      </c>
      <c r="S1677" s="3" t="n">
        <v>44498.23104196759</v>
      </c>
      <c r="T1677" s="3" t="n">
        <v>44501.62274746528</v>
      </c>
      <c r="U1677" t="s">
        <v>11616</v>
      </c>
      <c r="V1677" t="s">
        <v>11617</v>
      </c>
    </row>
    <row r="1678">
      <c r="A1678" t="s">
        <v>22</v>
      </c>
      <c r="B1678" t="s">
        <v>11618</v>
      </c>
      <c r="C1678" t="s">
        <v>60</v>
      </c>
      <c r="D1678" t="s">
        <v>61</v>
      </c>
      <c r="E1678" t="s">
        <v>11619</v>
      </c>
      <c r="F1678" s="2" t="n">
        <f>HYPERLINK("https://patents.google.com/patent/US20210330685","Google")</f>
        <v>0.0</v>
      </c>
      <c r="G1678" s="2" t="n">
        <f>HYPERLINK("https://patentcenter.uspto.gov/applications/17222125","Patent Center")</f>
        <v>0.0</v>
      </c>
      <c r="H1678" s="2" t="n">
        <f>HYPERLINK("https://worldwide.espacenet.com/patent/search?q=US20210330685","Espacenet")</f>
        <v>0.0</v>
      </c>
      <c r="I1678" s="2" t="n">
        <f>HYPERLINK("https://ppubs.uspto.gov/pubwebapp/external.html?q=20210330685.pn.","USPTO")</f>
        <v>0.0</v>
      </c>
      <c r="J1678" s="2" t="n">
        <f>HYPERLINK("https://image-ppubs.uspto.gov/dirsearch-public/print/downloadPdf/20210330685","USPTO PDF")</f>
        <v>0.0</v>
      </c>
      <c r="K1678" s="2" t="n">
        <f>HYPERLINK("https://sectors.patentforecast.com/pmd/US20210330685","PMD")</f>
        <v>0.0</v>
      </c>
      <c r="L1678" s="2" t="n">
        <f>HYPERLINK("https://globaldossier.uspto.gov/result/application/US/17222125/1","US20210330685")</f>
        <v>0.0</v>
      </c>
      <c r="M1678" t="s">
        <v>11620</v>
      </c>
      <c r="N1678" t="s">
        <v>664</v>
      </c>
      <c r="O1678" t="s">
        <v>665</v>
      </c>
      <c r="P1678" t="s">
        <v>11621</v>
      </c>
      <c r="Q1678" s="3" t="n">
        <v>44291.0</v>
      </c>
      <c r="R1678" s="3" t="n">
        <v>44497.0</v>
      </c>
      <c r="S1678" s="3" t="n">
        <v>44498.23104196759</v>
      </c>
      <c r="T1678" s="3" t="n">
        <v>44501.620139224535</v>
      </c>
      <c r="U1678" t="s">
        <v>11622</v>
      </c>
      <c r="V1678" t="s">
        <v>11623</v>
      </c>
    </row>
    <row r="1679">
      <c r="A1679" t="s">
        <v>22</v>
      </c>
      <c r="B1679" t="s">
        <v>11624</v>
      </c>
      <c r="C1679" t="s">
        <v>60</v>
      </c>
      <c r="D1679" t="s">
        <v>2262</v>
      </c>
      <c r="E1679" t="s">
        <v>6043</v>
      </c>
      <c r="F1679" s="2" t="n">
        <f>HYPERLINK("https://patents.google.com/patent/US20210330683","Google")</f>
        <v>0.0</v>
      </c>
      <c r="G1679" s="2" t="n">
        <f>HYPERLINK("https://patentcenter.uspto.gov/applications/17234728","Patent Center")</f>
        <v>0.0</v>
      </c>
      <c r="H1679" s="2" t="n">
        <f>HYPERLINK("https://worldwide.espacenet.com/patent/search?q=US20210330683","Espacenet")</f>
        <v>0.0</v>
      </c>
      <c r="I1679" s="2" t="n">
        <f>HYPERLINK("https://ppubs.uspto.gov/pubwebapp/external.html?q=20210330683.pn.","USPTO")</f>
        <v>0.0</v>
      </c>
      <c r="J1679" s="2" t="n">
        <f>HYPERLINK("https://image-ppubs.uspto.gov/dirsearch-public/print/downloadPdf/20210330683","USPTO PDF")</f>
        <v>0.0</v>
      </c>
      <c r="K1679" s="2" t="n">
        <f>HYPERLINK("https://sectors.patentforecast.com/pmd/US20210330683","PMD")</f>
        <v>0.0</v>
      </c>
      <c r="L1679" s="2" t="n">
        <f>HYPERLINK("https://globaldossier.uspto.gov/result/application/US/17234728/1","US20210330683")</f>
        <v>0.0</v>
      </c>
      <c r="M1679" t="s">
        <v>11625</v>
      </c>
      <c r="N1679" t="s">
        <v>6045</v>
      </c>
      <c r="O1679" t="s">
        <v>6046</v>
      </c>
      <c r="P1679" t="s">
        <v>6047</v>
      </c>
      <c r="Q1679" s="3" t="n">
        <v>44305.0</v>
      </c>
      <c r="R1679" s="3" t="n">
        <v>44497.0</v>
      </c>
      <c r="S1679" s="3" t="n">
        <v>44498.23104196759</v>
      </c>
      <c r="T1679" s="3" t="n">
        <v>44501.627372650466</v>
      </c>
      <c r="U1679" t="s">
        <v>11626</v>
      </c>
      <c r="V1679" t="s">
        <v>6049</v>
      </c>
    </row>
    <row r="1680">
      <c r="A1680" t="s">
        <v>22</v>
      </c>
      <c r="B1680" t="s">
        <v>11627</v>
      </c>
      <c r="C1680" t="s">
        <v>24</v>
      </c>
      <c r="D1680" t="s">
        <v>69</v>
      </c>
      <c r="E1680" t="s">
        <v>11628</v>
      </c>
      <c r="F1680" s="2" t="n">
        <f>HYPERLINK("https://patents.google.com/patent/US20210330663","Google")</f>
        <v>0.0</v>
      </c>
      <c r="G1680" s="2" t="n">
        <f>HYPERLINK("https://patentcenter.uspto.gov/applications/17371009","Patent Center")</f>
        <v>0.0</v>
      </c>
      <c r="H1680" s="2" t="n">
        <f>HYPERLINK("https://worldwide.espacenet.com/patent/search?q=US20210330663","Espacenet")</f>
        <v>0.0</v>
      </c>
      <c r="I1680" s="2" t="n">
        <f>HYPERLINK("https://ppubs.uspto.gov/pubwebapp/external.html?q=20210330663.pn.","USPTO")</f>
        <v>0.0</v>
      </c>
      <c r="J1680" s="2" t="n">
        <f>HYPERLINK("https://image-ppubs.uspto.gov/dirsearch-public/print/downloadPdf/20210330663","USPTO PDF")</f>
        <v>0.0</v>
      </c>
      <c r="K1680" s="2" t="n">
        <f>HYPERLINK("https://sectors.patentforecast.com/pmd/US20210330663","PMD")</f>
        <v>0.0</v>
      </c>
      <c r="L1680" s="2" t="n">
        <f>HYPERLINK("https://globaldossier.uspto.gov/result/application/US/17371009/1","US20210330663")</f>
        <v>0.0</v>
      </c>
      <c r="M1680" t="s">
        <v>11629</v>
      </c>
      <c r="N1680" t="s">
        <v>11630</v>
      </c>
      <c r="O1680" t="s">
        <v>11631</v>
      </c>
      <c r="P1680" t="s">
        <v>11370</v>
      </c>
      <c r="Q1680" s="3" t="n">
        <v>44385.0</v>
      </c>
      <c r="R1680" s="3" t="n">
        <v>44497.0</v>
      </c>
      <c r="S1680" s="3" t="n">
        <v>44498.23104196759</v>
      </c>
      <c r="T1680" s="3" t="n">
        <v>44501.61468211806</v>
      </c>
      <c r="U1680" t="s">
        <v>11632</v>
      </c>
      <c r="V1680" t="s">
        <v>11633</v>
      </c>
    </row>
    <row r="1681">
      <c r="A1681" t="s">
        <v>22</v>
      </c>
      <c r="B1681" t="s">
        <v>11634</v>
      </c>
      <c r="C1681" t="s">
        <v>60</v>
      </c>
      <c r="D1681" t="s">
        <v>61</v>
      </c>
      <c r="E1681" t="s">
        <v>11635</v>
      </c>
      <c r="F1681" s="2" t="n">
        <f>HYPERLINK("https://patents.google.com/patent/US20210330661","Google")</f>
        <v>0.0</v>
      </c>
      <c r="G1681" s="2" t="n">
        <f>HYPERLINK("https://patentcenter.uspto.gov/applications/17237335","Patent Center")</f>
        <v>0.0</v>
      </c>
      <c r="H1681" s="2" t="n">
        <f>HYPERLINK("https://worldwide.espacenet.com/patent/search?q=US20210330661","Espacenet")</f>
        <v>0.0</v>
      </c>
      <c r="I1681" s="2" t="n">
        <f>HYPERLINK("https://ppubs.uspto.gov/pubwebapp/external.html?q=20210330661.pn.","USPTO")</f>
        <v>0.0</v>
      </c>
      <c r="J1681" s="2" t="n">
        <f>HYPERLINK("https://image-ppubs.uspto.gov/dirsearch-public/print/downloadPdf/20210330661","USPTO PDF")</f>
        <v>0.0</v>
      </c>
      <c r="K1681" s="2" t="n">
        <f>HYPERLINK("https://sectors.patentforecast.com/pmd/US20210330661","PMD")</f>
        <v>0.0</v>
      </c>
      <c r="L1681" s="2" t="n">
        <f>HYPERLINK("https://globaldossier.uspto.gov/result/application/US/17237335/1","US20210330661")</f>
        <v>0.0</v>
      </c>
      <c r="M1681" t="s">
        <v>11636</v>
      </c>
      <c r="N1681" t="s">
        <v>11637</v>
      </c>
      <c r="O1681" t="s">
        <v>11637</v>
      </c>
      <c r="P1681" t="s">
        <v>11638</v>
      </c>
      <c r="Q1681" s="3" t="n">
        <v>44308.0</v>
      </c>
      <c r="R1681" s="3" t="n">
        <v>44497.0</v>
      </c>
      <c r="S1681" s="3" t="n">
        <v>44498.23104196759</v>
      </c>
      <c r="T1681" s="3" t="n">
        <v>44501.61633549768</v>
      </c>
      <c r="U1681" t="s">
        <v>11639</v>
      </c>
      <c r="V1681" t="s">
        <v>11640</v>
      </c>
    </row>
    <row r="1682">
      <c r="A1682" t="s">
        <v>22</v>
      </c>
      <c r="B1682" t="s">
        <v>11641</v>
      </c>
      <c r="C1682" t="s">
        <v>24</v>
      </c>
      <c r="D1682" t="s">
        <v>69</v>
      </c>
      <c r="E1682" t="s">
        <v>11642</v>
      </c>
      <c r="F1682" s="2" t="n">
        <f>HYPERLINK("https://patents.google.com/patent/US20210330635","Google")</f>
        <v>0.0</v>
      </c>
      <c r="G1682" s="2" t="n">
        <f>HYPERLINK("https://patentcenter.uspto.gov/applications/17371036","Patent Center")</f>
        <v>0.0</v>
      </c>
      <c r="H1682" s="2" t="n">
        <f>HYPERLINK("https://worldwide.espacenet.com/patent/search?q=US20210330635","Espacenet")</f>
        <v>0.0</v>
      </c>
      <c r="I1682" s="2" t="n">
        <f>HYPERLINK("https://ppubs.uspto.gov/pubwebapp/external.html?q=20210330635.pn.","USPTO")</f>
        <v>0.0</v>
      </c>
      <c r="J1682" s="2" t="n">
        <f>HYPERLINK("https://image-ppubs.uspto.gov/dirsearch-public/print/downloadPdf/20210330635","USPTO PDF")</f>
        <v>0.0</v>
      </c>
      <c r="K1682" s="2" t="n">
        <f>HYPERLINK("https://sectors.patentforecast.com/pmd/US20210330635","PMD")</f>
        <v>0.0</v>
      </c>
      <c r="L1682" s="2" t="n">
        <f>HYPERLINK("https://globaldossier.uspto.gov/result/application/US/17371036/1","US20210330635")</f>
        <v>0.0</v>
      </c>
      <c r="M1682" t="s">
        <v>11643</v>
      </c>
      <c r="N1682" t="s">
        <v>11630</v>
      </c>
      <c r="O1682" t="s">
        <v>11631</v>
      </c>
      <c r="P1682" t="s">
        <v>11370</v>
      </c>
      <c r="Q1682" s="3" t="n">
        <v>44385.0</v>
      </c>
      <c r="R1682" s="3" t="n">
        <v>44497.0</v>
      </c>
      <c r="S1682" s="3" t="n">
        <v>44498.23104196759</v>
      </c>
      <c r="T1682" s="3" t="n">
        <v>44501.61473559028</v>
      </c>
      <c r="U1682" t="s">
        <v>11644</v>
      </c>
      <c r="V1682" t="s">
        <v>11645</v>
      </c>
    </row>
    <row r="1683">
      <c r="A1683" t="s">
        <v>22</v>
      </c>
      <c r="B1683" t="s">
        <v>11646</v>
      </c>
      <c r="C1683" t="s">
        <v>60</v>
      </c>
      <c r="D1683" t="s">
        <v>4942</v>
      </c>
      <c r="E1683" t="s">
        <v>11647</v>
      </c>
      <c r="F1683" s="2" t="n">
        <f>HYPERLINK("https://patents.google.com/patent/US20210330631","Google")</f>
        <v>0.0</v>
      </c>
      <c r="G1683" s="2" t="n">
        <f>HYPERLINK("https://patentcenter.uspto.gov/applications/17234112","Patent Center")</f>
        <v>0.0</v>
      </c>
      <c r="H1683" s="2" t="n">
        <f>HYPERLINK("https://worldwide.espacenet.com/patent/search?q=US20210330631","Espacenet")</f>
        <v>0.0</v>
      </c>
      <c r="I1683" s="2" t="n">
        <f>HYPERLINK("https://ppubs.uspto.gov/pubwebapp/external.html?q=20210330631.pn.","USPTO")</f>
        <v>0.0</v>
      </c>
      <c r="J1683" s="2" t="n">
        <f>HYPERLINK("https://image-ppubs.uspto.gov/dirsearch-public/print/downloadPdf/20210330631","USPTO PDF")</f>
        <v>0.0</v>
      </c>
      <c r="K1683" s="2" t="n">
        <f>HYPERLINK("https://sectors.patentforecast.com/pmd/US20210330631","PMD")</f>
        <v>0.0</v>
      </c>
      <c r="L1683" s="2" t="n">
        <f>HYPERLINK("https://globaldossier.uspto.gov/result/application/US/17234112/1","US20210330631")</f>
        <v>0.0</v>
      </c>
      <c r="M1683" t="s">
        <v>11648</v>
      </c>
      <c r="N1683" t="s">
        <v>11649</v>
      </c>
      <c r="O1683" t="s">
        <v>11650</v>
      </c>
      <c r="P1683" t="s">
        <v>11651</v>
      </c>
      <c r="Q1683" s="3" t="n">
        <v>44305.0</v>
      </c>
      <c r="R1683" s="3" t="n">
        <v>44497.0</v>
      </c>
      <c r="S1683" s="3" t="n">
        <v>44498.23104196759</v>
      </c>
      <c r="T1683" s="3" t="n">
        <v>44501.60981059028</v>
      </c>
      <c r="U1683" t="s">
        <v>11652</v>
      </c>
      <c r="V1683" t="s">
        <v>11653</v>
      </c>
    </row>
    <row r="1684">
      <c r="A1684" t="s">
        <v>22</v>
      </c>
      <c r="B1684" t="s">
        <v>11654</v>
      </c>
      <c r="C1684" t="s">
        <v>60</v>
      </c>
      <c r="D1684" t="s">
        <v>4942</v>
      </c>
      <c r="E1684" t="s">
        <v>11655</v>
      </c>
      <c r="F1684" s="2" t="n">
        <f>HYPERLINK("https://patents.google.com/patent/US20210330622","Google")</f>
        <v>0.0</v>
      </c>
      <c r="G1684" s="2" t="n">
        <f>HYPERLINK("https://patentcenter.uspto.gov/applications/17340064","Patent Center")</f>
        <v>0.0</v>
      </c>
      <c r="H1684" s="2" t="n">
        <f>HYPERLINK("https://worldwide.espacenet.com/patent/search?q=US20210330622","Espacenet")</f>
        <v>0.0</v>
      </c>
      <c r="I1684" s="2" t="n">
        <f>HYPERLINK("https://ppubs.uspto.gov/pubwebapp/external.html?q=20210330622.pn.","USPTO")</f>
        <v>0.0</v>
      </c>
      <c r="J1684" s="2" t="n">
        <f>HYPERLINK("https://image-ppubs.uspto.gov/dirsearch-public/print/downloadPdf/20210330622","USPTO PDF")</f>
        <v>0.0</v>
      </c>
      <c r="K1684" s="2" t="n">
        <f>HYPERLINK("https://sectors.patentforecast.com/pmd/US20210330622","PMD")</f>
        <v>0.0</v>
      </c>
      <c r="L1684" s="2" t="n">
        <f>HYPERLINK("https://globaldossier.uspto.gov/result/application/US/17340064/1","US20210330622")</f>
        <v>0.0</v>
      </c>
      <c r="M1684" t="s">
        <v>11656</v>
      </c>
      <c r="N1684" t="s">
        <v>11657</v>
      </c>
      <c r="O1684" t="s">
        <v>11658</v>
      </c>
      <c r="P1684" t="s">
        <v>11659</v>
      </c>
      <c r="Q1684" s="3" t="n">
        <v>44353.0</v>
      </c>
      <c r="R1684" s="3" t="n">
        <v>44497.0</v>
      </c>
      <c r="S1684" s="3" t="n">
        <v>44498.23104196759</v>
      </c>
      <c r="T1684" s="3" t="n">
        <v>44501.60990222222</v>
      </c>
      <c r="U1684" t="s">
        <v>11660</v>
      </c>
      <c r="V1684" t="s">
        <v>11661</v>
      </c>
    </row>
    <row r="1685">
      <c r="A1685" t="s">
        <v>22</v>
      </c>
      <c r="B1685" t="s">
        <v>11662</v>
      </c>
      <c r="C1685" t="s">
        <v>24</v>
      </c>
      <c r="D1685" t="s">
        <v>100</v>
      </c>
      <c r="E1685" t="s">
        <v>11663</v>
      </c>
      <c r="F1685" s="2" t="n">
        <f>HYPERLINK("https://patents.google.com/patent/US20210330587","Google")</f>
        <v>0.0</v>
      </c>
      <c r="G1685" s="2" t="n">
        <f>HYPERLINK("https://patentcenter.uspto.gov/applications/17243520","Patent Center")</f>
        <v>0.0</v>
      </c>
      <c r="H1685" s="2" t="n">
        <f>HYPERLINK("https://worldwide.espacenet.com/patent/search?q=US20210330587","Espacenet")</f>
        <v>0.0</v>
      </c>
      <c r="I1685" s="2" t="n">
        <f>HYPERLINK("https://ppubs.uspto.gov/pubwebapp/external.html?q=20210330587.pn.","USPTO")</f>
        <v>0.0</v>
      </c>
      <c r="J1685" s="2" t="n">
        <f>HYPERLINK("https://image-ppubs.uspto.gov/dirsearch-public/print/downloadPdf/20210330587","USPTO PDF")</f>
        <v>0.0</v>
      </c>
      <c r="K1685" s="2" t="n">
        <f>HYPERLINK("https://sectors.patentforecast.com/pmd/US20210330587","PMD")</f>
        <v>0.0</v>
      </c>
      <c r="L1685" s="2" t="n">
        <f>HYPERLINK("https://globaldossier.uspto.gov/result/application/US/17243520/1","US20210330587")</f>
        <v>0.0</v>
      </c>
      <c r="M1685" t="s">
        <v>11664</v>
      </c>
      <c r="N1685" t="s">
        <v>11665</v>
      </c>
      <c r="O1685" t="s">
        <v>11666</v>
      </c>
      <c r="P1685" t="s">
        <v>11667</v>
      </c>
      <c r="Q1685" s="3" t="n">
        <v>44314.0</v>
      </c>
      <c r="R1685" s="3" t="n">
        <v>44497.0</v>
      </c>
      <c r="S1685" s="3" t="n">
        <v>44498.23104196759</v>
      </c>
      <c r="T1685" s="3" t="n">
        <v>44501.61885076389</v>
      </c>
      <c r="U1685" t="s">
        <v>11668</v>
      </c>
      <c r="V1685" t="s">
        <v>11669</v>
      </c>
    </row>
    <row r="1686">
      <c r="A1686" t="s">
        <v>22</v>
      </c>
      <c r="B1686" t="s">
        <v>11670</v>
      </c>
      <c r="C1686" t="s">
        <v>24</v>
      </c>
      <c r="D1686" t="s">
        <v>69</v>
      </c>
      <c r="E1686" t="s">
        <v>11671</v>
      </c>
      <c r="F1686" s="2" t="n">
        <f>HYPERLINK("https://patents.google.com/patent/US20210330534","Google")</f>
        <v>0.0</v>
      </c>
      <c r="G1686" s="2" t="n">
        <f>HYPERLINK("https://patentcenter.uspto.gov/applications/17238379","Patent Center")</f>
        <v>0.0</v>
      </c>
      <c r="H1686" s="2" t="n">
        <f>HYPERLINK("https://worldwide.espacenet.com/patent/search?q=US20210330534","Espacenet")</f>
        <v>0.0</v>
      </c>
      <c r="I1686" s="2" t="n">
        <f>HYPERLINK("https://ppubs.uspto.gov/pubwebapp/external.html?q=20210330534.pn.","USPTO")</f>
        <v>0.0</v>
      </c>
      <c r="J1686" s="2" t="n">
        <f>HYPERLINK("https://image-ppubs.uspto.gov/dirsearch-public/print/downloadPdf/20210330534","USPTO PDF")</f>
        <v>0.0</v>
      </c>
      <c r="K1686" s="2" t="n">
        <f>HYPERLINK("https://sectors.patentforecast.com/pmd/US20210330534","PMD")</f>
        <v>0.0</v>
      </c>
      <c r="L1686" s="2" t="n">
        <f>HYPERLINK("https://globaldossier.uspto.gov/result/application/US/17238379/1","US20210330534")</f>
        <v>0.0</v>
      </c>
      <c r="M1686" t="s">
        <v>11672</v>
      </c>
      <c r="N1686" t="s">
        <v>11673</v>
      </c>
      <c r="O1686" t="s">
        <v>11674</v>
      </c>
      <c r="P1686" t="s">
        <v>11675</v>
      </c>
      <c r="Q1686" s="3" t="n">
        <v>44309.0</v>
      </c>
      <c r="R1686" s="3" t="n">
        <v>44497.0</v>
      </c>
      <c r="S1686" s="3" t="n">
        <v>44498.23104196759</v>
      </c>
      <c r="T1686" s="3" t="n">
        <v>44501.61177434028</v>
      </c>
      <c r="U1686" t="s">
        <v>11676</v>
      </c>
      <c r="V1686" t="s">
        <v>11677</v>
      </c>
    </row>
    <row r="1687">
      <c r="A1687" t="s">
        <v>22</v>
      </c>
      <c r="B1687" t="s">
        <v>11678</v>
      </c>
      <c r="C1687" t="s">
        <v>24</v>
      </c>
      <c r="D1687" t="s">
        <v>69</v>
      </c>
      <c r="E1687" t="s">
        <v>11679</v>
      </c>
      <c r="F1687" s="2" t="n">
        <f>HYPERLINK("https://patents.google.com/patent/US20210330533","Google")</f>
        <v>0.0</v>
      </c>
      <c r="G1687" s="2" t="n">
        <f>HYPERLINK("https://patentcenter.uspto.gov/applications/17237555","Patent Center")</f>
        <v>0.0</v>
      </c>
      <c r="H1687" s="2" t="n">
        <f>HYPERLINK("https://worldwide.espacenet.com/patent/search?q=US20210330533","Espacenet")</f>
        <v>0.0</v>
      </c>
      <c r="I1687" s="2" t="n">
        <f>HYPERLINK("https://ppubs.uspto.gov/pubwebapp/external.html?q=20210330533.pn.","USPTO")</f>
        <v>0.0</v>
      </c>
      <c r="J1687" s="2" t="n">
        <f>HYPERLINK("https://image-ppubs.uspto.gov/dirsearch-public/print/downloadPdf/20210330533","USPTO PDF")</f>
        <v>0.0</v>
      </c>
      <c r="K1687" s="2" t="n">
        <f>HYPERLINK("https://sectors.patentforecast.com/pmd/US20210330533","PMD")</f>
        <v>0.0</v>
      </c>
      <c r="L1687" s="2" t="n">
        <f>HYPERLINK("https://globaldossier.uspto.gov/result/application/US/17237555/1","US20210330533")</f>
        <v>0.0</v>
      </c>
      <c r="M1687" t="s">
        <v>11680</v>
      </c>
      <c r="N1687" t="s">
        <v>11681</v>
      </c>
      <c r="O1687" t="s">
        <v>11682</v>
      </c>
      <c r="P1687" t="s">
        <v>11683</v>
      </c>
      <c r="Q1687" s="3" t="n">
        <v>44308.0</v>
      </c>
      <c r="R1687" s="3" t="n">
        <v>44497.0</v>
      </c>
      <c r="S1687" s="3" t="n">
        <v>44498.22942074074</v>
      </c>
      <c r="T1687" s="3" t="n">
        <v>44501.6215396412</v>
      </c>
      <c r="U1687" t="s">
        <v>11684</v>
      </c>
      <c r="V1687" t="s">
        <v>11685</v>
      </c>
    </row>
    <row r="1688">
      <c r="A1688" t="s">
        <v>22</v>
      </c>
      <c r="B1688" t="s">
        <v>11686</v>
      </c>
      <c r="C1688" t="s">
        <v>24</v>
      </c>
      <c r="D1688" t="s">
        <v>69</v>
      </c>
      <c r="E1688" t="s">
        <v>11687</v>
      </c>
      <c r="F1688" s="2" t="n">
        <f>HYPERLINK("https://patents.google.com/patent/US20210330418","Google")</f>
        <v>0.0</v>
      </c>
      <c r="G1688" s="2" t="n">
        <f>HYPERLINK("https://patentcenter.uspto.gov/applications/17190028","Patent Center")</f>
        <v>0.0</v>
      </c>
      <c r="H1688" s="2" t="n">
        <f>HYPERLINK("https://worldwide.espacenet.com/patent/search?q=US20210330418","Espacenet")</f>
        <v>0.0</v>
      </c>
      <c r="I1688" s="2" t="n">
        <f>HYPERLINK("https://ppubs.uspto.gov/pubwebapp/external.html?q=20210330418.pn.","USPTO")</f>
        <v>0.0</v>
      </c>
      <c r="J1688" s="2" t="n">
        <f>HYPERLINK("https://image-ppubs.uspto.gov/dirsearch-public/print/downloadPdf/20210330418","USPTO PDF")</f>
        <v>0.0</v>
      </c>
      <c r="K1688" s="2" t="n">
        <f>HYPERLINK("https://sectors.patentforecast.com/pmd/US20210330418","PMD")</f>
        <v>0.0</v>
      </c>
      <c r="L1688" s="2" t="n">
        <f>HYPERLINK("https://globaldossier.uspto.gov/result/application/US/17190028/1","US20210330418")</f>
        <v>0.0</v>
      </c>
      <c r="M1688" t="s">
        <v>11688</v>
      </c>
      <c r="N1688" t="s">
        <v>11689</v>
      </c>
      <c r="O1688" t="s">
        <v>11690</v>
      </c>
      <c r="P1688" t="s">
        <v>11691</v>
      </c>
      <c r="Q1688" s="3" t="n">
        <v>44257.0</v>
      </c>
      <c r="R1688" s="3" t="n">
        <v>44497.0</v>
      </c>
      <c r="S1688" s="3" t="n">
        <v>44498.23104196759</v>
      </c>
      <c r="T1688" s="3" t="n">
        <v>44501.62072702546</v>
      </c>
      <c r="U1688" t="s">
        <v>11692</v>
      </c>
      <c r="V1688" t="s">
        <v>11693</v>
      </c>
    </row>
    <row r="1689">
      <c r="A1689" t="s">
        <v>22</v>
      </c>
      <c r="B1689" t="s">
        <v>11694</v>
      </c>
      <c r="C1689" t="s">
        <v>24</v>
      </c>
      <c r="D1689" t="s">
        <v>69</v>
      </c>
      <c r="E1689" t="s">
        <v>11695</v>
      </c>
      <c r="F1689" s="2" t="n">
        <f>HYPERLINK("https://patents.google.com/patent/US20210330413","Google")</f>
        <v>0.0</v>
      </c>
      <c r="G1689" s="2" t="n">
        <f>HYPERLINK("https://patentcenter.uspto.gov/applications/17237838","Patent Center")</f>
        <v>0.0</v>
      </c>
      <c r="H1689" s="2" t="n">
        <f>HYPERLINK("https://worldwide.espacenet.com/patent/search?q=US20210330413","Espacenet")</f>
        <v>0.0</v>
      </c>
      <c r="I1689" s="2" t="n">
        <f>HYPERLINK("https://ppubs.uspto.gov/pubwebapp/external.html?q=20210330413.pn.","USPTO")</f>
        <v>0.0</v>
      </c>
      <c r="J1689" s="2" t="n">
        <f>HYPERLINK("https://image-ppubs.uspto.gov/dirsearch-public/print/downloadPdf/20210330413","USPTO PDF")</f>
        <v>0.0</v>
      </c>
      <c r="K1689" s="2" t="n">
        <f>HYPERLINK("https://sectors.patentforecast.com/pmd/US20210330413","PMD")</f>
        <v>0.0</v>
      </c>
      <c r="L1689" s="2" t="n">
        <f>HYPERLINK("https://globaldossier.uspto.gov/result/application/US/17237838/1","US20210330413")</f>
        <v>0.0</v>
      </c>
      <c r="M1689" t="s">
        <v>11696</v>
      </c>
      <c r="N1689" t="s">
        <v>11697</v>
      </c>
      <c r="O1689" t="s">
        <v>11698</v>
      </c>
      <c r="P1689" t="s">
        <v>11699</v>
      </c>
      <c r="Q1689" s="3" t="n">
        <v>44308.0</v>
      </c>
      <c r="R1689" s="3" t="n">
        <v>44497.0</v>
      </c>
      <c r="S1689" s="3" t="n">
        <v>44498.23104196759</v>
      </c>
      <c r="T1689" s="3" t="n">
        <v>44501.619770300924</v>
      </c>
      <c r="U1689" t="s">
        <v>11700</v>
      </c>
      <c r="V1689" t="s">
        <v>11701</v>
      </c>
    </row>
    <row r="1690">
      <c r="A1690" t="s">
        <v>22</v>
      </c>
      <c r="B1690" t="s">
        <v>11702</v>
      </c>
      <c r="C1690" t="s">
        <v>24</v>
      </c>
      <c r="D1690" t="s">
        <v>43</v>
      </c>
      <c r="E1690" t="s">
        <v>11703</v>
      </c>
      <c r="F1690" s="2" t="n">
        <f>HYPERLINK("https://patents.google.com/patent/US20210330269","Google")</f>
        <v>0.0</v>
      </c>
      <c r="G1690" s="2" t="n">
        <f>HYPERLINK("https://patentcenter.uspto.gov/applications/16891309","Patent Center")</f>
        <v>0.0</v>
      </c>
      <c r="H1690" s="2" t="n">
        <f>HYPERLINK("https://worldwide.espacenet.com/patent/search?q=US20210330269","Espacenet")</f>
        <v>0.0</v>
      </c>
      <c r="I1690" s="2" t="n">
        <f>HYPERLINK("https://ppubs.uspto.gov/pubwebapp/external.html?q=20210330269.pn.","USPTO")</f>
        <v>0.0</v>
      </c>
      <c r="J1690" s="2" t="n">
        <f>HYPERLINK("https://image-ppubs.uspto.gov/dirsearch-public/print/downloadPdf/20210330269","USPTO PDF")</f>
        <v>0.0</v>
      </c>
      <c r="K1690" s="2" t="n">
        <f>HYPERLINK("https://sectors.patentforecast.com/pmd/US20210330269","PMD")</f>
        <v>0.0</v>
      </c>
      <c r="L1690" s="2" t="n">
        <f>HYPERLINK("https://globaldossier.uspto.gov/result/application/US/16891309/1","US20210330269")</f>
        <v>0.0</v>
      </c>
      <c r="M1690" t="s">
        <v>11704</v>
      </c>
      <c r="N1690" t="s">
        <v>7526</v>
      </c>
      <c r="O1690" t="s">
        <v>7527</v>
      </c>
      <c r="P1690" t="s">
        <v>11705</v>
      </c>
      <c r="Q1690" s="3" t="n">
        <v>43985.0</v>
      </c>
      <c r="R1690" s="3" t="n">
        <v>44497.0</v>
      </c>
      <c r="S1690" s="3" t="n">
        <v>44498.23104196759</v>
      </c>
      <c r="T1690" s="3" t="n">
        <v>44501.63218207176</v>
      </c>
      <c r="U1690" t="s">
        <v>11706</v>
      </c>
      <c r="V1690" t="s">
        <v>11707</v>
      </c>
    </row>
    <row r="1691">
      <c r="A1691" t="s">
        <v>22</v>
      </c>
      <c r="B1691" t="s">
        <v>11708</v>
      </c>
      <c r="C1691" t="s">
        <v>24</v>
      </c>
      <c r="D1691" t="s">
        <v>69</v>
      </c>
      <c r="E1691" t="s">
        <v>11709</v>
      </c>
      <c r="F1691" s="2" t="n">
        <f>HYPERLINK("https://patents.google.com/patent/US20210330098","Google")</f>
        <v>0.0</v>
      </c>
      <c r="G1691" s="2" t="n">
        <f>HYPERLINK("https://patentcenter.uspto.gov/applications/17240392","Patent Center")</f>
        <v>0.0</v>
      </c>
      <c r="H1691" s="2" t="n">
        <f>HYPERLINK("https://worldwide.espacenet.com/patent/search?q=US20210330098","Espacenet")</f>
        <v>0.0</v>
      </c>
      <c r="I1691" s="2" t="n">
        <f>HYPERLINK("https://ppubs.uspto.gov/pubwebapp/external.html?q=20210330098.pn.","USPTO")</f>
        <v>0.0</v>
      </c>
      <c r="J1691" s="2" t="n">
        <f>HYPERLINK("https://image-ppubs.uspto.gov/dirsearch-public/print/downloadPdf/20210330098","USPTO PDF")</f>
        <v>0.0</v>
      </c>
      <c r="K1691" s="2" t="n">
        <f>HYPERLINK("https://sectors.patentforecast.com/pmd/US20210330098","PMD")</f>
        <v>0.0</v>
      </c>
      <c r="L1691" s="2" t="n">
        <f>HYPERLINK("https://globaldossier.uspto.gov/result/application/US/17240392/1","US20210330098")</f>
        <v>0.0</v>
      </c>
      <c r="M1691" t="s">
        <v>11710</v>
      </c>
      <c r="N1691" t="s">
        <v>11711</v>
      </c>
      <c r="O1691" t="s">
        <v>11712</v>
      </c>
      <c r="P1691" t="s">
        <v>11713</v>
      </c>
      <c r="Q1691" s="3" t="n">
        <v>44312.0</v>
      </c>
      <c r="R1691" s="3" t="n">
        <v>44497.0</v>
      </c>
      <c r="S1691" s="3" t="n">
        <v>44498.23011408565</v>
      </c>
      <c r="T1691" s="3" t="n">
        <v>44501.62317665509</v>
      </c>
      <c r="U1691" t="s">
        <v>11714</v>
      </c>
      <c r="V1691" t="s">
        <v>11715</v>
      </c>
    </row>
    <row r="1692">
      <c r="A1692" t="s">
        <v>22</v>
      </c>
      <c r="B1692" t="s">
        <v>11716</v>
      </c>
      <c r="C1692" t="s">
        <v>24</v>
      </c>
      <c r="D1692" t="s">
        <v>69</v>
      </c>
      <c r="E1692" t="s">
        <v>7749</v>
      </c>
      <c r="F1692" s="2" t="n">
        <f>HYPERLINK("https://patents.google.com/patent/US20210329999","Google")</f>
        <v>0.0</v>
      </c>
      <c r="G1692" s="2" t="n">
        <f>HYPERLINK("https://patentcenter.uspto.gov/applications/17302040","Patent Center")</f>
        <v>0.0</v>
      </c>
      <c r="H1692" s="2" t="n">
        <f>HYPERLINK("https://worldwide.espacenet.com/patent/search?q=US20210329999","Espacenet")</f>
        <v>0.0</v>
      </c>
      <c r="I1692" s="2" t="n">
        <f>HYPERLINK("https://ppubs.uspto.gov/pubwebapp/external.html?q=20210329999.pn.","USPTO")</f>
        <v>0.0</v>
      </c>
      <c r="J1692" s="2" t="n">
        <f>HYPERLINK("https://image-ppubs.uspto.gov/dirsearch-public/print/downloadPdf/20210329999","USPTO PDF")</f>
        <v>0.0</v>
      </c>
      <c r="K1692" s="2" t="n">
        <f>HYPERLINK("https://sectors.patentforecast.com/pmd/US20210329999","PMD")</f>
        <v>0.0</v>
      </c>
      <c r="L1692" s="2" t="n">
        <f>HYPERLINK("https://globaldossier.uspto.gov/result/application/US/17302040/1","US20210329999")</f>
        <v>0.0</v>
      </c>
      <c r="M1692" t="s">
        <v>11717</v>
      </c>
      <c r="N1692" t="s">
        <v>11718</v>
      </c>
      <c r="O1692" t="s">
        <v>11718</v>
      </c>
      <c r="P1692" t="s">
        <v>11719</v>
      </c>
      <c r="Q1692" s="3" t="n">
        <v>44308.0</v>
      </c>
      <c r="R1692" s="3" t="n">
        <v>44497.0</v>
      </c>
      <c r="S1692" s="3" t="n">
        <v>44498.23011408565</v>
      </c>
      <c r="T1692" s="3" t="n">
        <v>44501.61132384259</v>
      </c>
      <c r="U1692" t="s">
        <v>11720</v>
      </c>
      <c r="V1692" t="s">
        <v>11721</v>
      </c>
    </row>
    <row r="1693">
      <c r="A1693" t="s">
        <v>22</v>
      </c>
      <c r="B1693" t="s">
        <v>11722</v>
      </c>
      <c r="C1693" t="s">
        <v>24</v>
      </c>
      <c r="D1693" t="s">
        <v>69</v>
      </c>
      <c r="E1693" t="s">
        <v>11723</v>
      </c>
      <c r="F1693" s="2" t="n">
        <f>HYPERLINK("https://patents.google.com/patent/US20210329994","Google")</f>
        <v>0.0</v>
      </c>
      <c r="G1693" s="2" t="n">
        <f>HYPERLINK("https://patentcenter.uspto.gov/applications/16900959","Patent Center")</f>
        <v>0.0</v>
      </c>
      <c r="H1693" s="2" t="n">
        <f>HYPERLINK("https://worldwide.espacenet.com/patent/search?q=US20210329994","Espacenet")</f>
        <v>0.0</v>
      </c>
      <c r="I1693" s="2" t="n">
        <f>HYPERLINK("https://ppubs.uspto.gov/pubwebapp/external.html?q=20210329994.pn.","USPTO")</f>
        <v>0.0</v>
      </c>
      <c r="J1693" s="2" t="n">
        <f>HYPERLINK("https://image-ppubs.uspto.gov/dirsearch-public/print/downloadPdf/20210329994","USPTO PDF")</f>
        <v>0.0</v>
      </c>
      <c r="K1693" s="2" t="n">
        <f>HYPERLINK("https://sectors.patentforecast.com/pmd/US20210329994","PMD")</f>
        <v>0.0</v>
      </c>
      <c r="L1693" s="2" t="n">
        <f>HYPERLINK("https://globaldossier.uspto.gov/result/application/US/16900959/1","US20210329994")</f>
        <v>0.0</v>
      </c>
      <c r="M1693" t="s">
        <v>11724</v>
      </c>
      <c r="N1693" t="s">
        <v>11725</v>
      </c>
      <c r="O1693" t="s">
        <v>11726</v>
      </c>
      <c r="P1693" t="s">
        <v>11727</v>
      </c>
      <c r="Q1693" s="3" t="n">
        <v>43996.0</v>
      </c>
      <c r="R1693" s="3" t="n">
        <v>44497.0</v>
      </c>
      <c r="S1693" s="3" t="n">
        <v>44498.23011408565</v>
      </c>
      <c r="T1693" s="3" t="n">
        <v>44501.6113796412</v>
      </c>
      <c r="U1693" t="s">
        <v>11728</v>
      </c>
      <c r="V1693" t="s">
        <v>11729</v>
      </c>
    </row>
    <row r="1694">
      <c r="A1694" t="s">
        <v>22</v>
      </c>
      <c r="B1694" t="s">
        <v>11730</v>
      </c>
      <c r="C1694" t="s">
        <v>24</v>
      </c>
      <c r="D1694" t="s">
        <v>69</v>
      </c>
      <c r="E1694" t="s">
        <v>11731</v>
      </c>
      <c r="F1694" s="2" t="n">
        <f>HYPERLINK("https://patents.google.com/patent/US20210329992","Google")</f>
        <v>0.0</v>
      </c>
      <c r="G1694" s="2" t="n">
        <f>HYPERLINK("https://patentcenter.uspto.gov/applications/17242076","Patent Center")</f>
        <v>0.0</v>
      </c>
      <c r="H1694" s="2" t="n">
        <f>HYPERLINK("https://worldwide.espacenet.com/patent/search?q=US20210329992","Espacenet")</f>
        <v>0.0</v>
      </c>
      <c r="I1694" s="2" t="n">
        <f>HYPERLINK("https://ppubs.uspto.gov/pubwebapp/external.html?q=20210329992.pn.","USPTO")</f>
        <v>0.0</v>
      </c>
      <c r="J1694" s="2" t="n">
        <f>HYPERLINK("https://image-ppubs.uspto.gov/dirsearch-public/print/downloadPdf/20210329992","USPTO PDF")</f>
        <v>0.0</v>
      </c>
      <c r="K1694" s="2" t="n">
        <f>HYPERLINK("https://sectors.patentforecast.com/pmd/US20210329992","PMD")</f>
        <v>0.0</v>
      </c>
      <c r="L1694" s="2" t="n">
        <f>HYPERLINK("https://globaldossier.uspto.gov/result/application/US/17242076/1","US20210329992")</f>
        <v>0.0</v>
      </c>
      <c r="M1694" t="s">
        <v>11732</v>
      </c>
      <c r="N1694" t="s">
        <v>11733</v>
      </c>
      <c r="O1694" t="s">
        <v>11734</v>
      </c>
      <c r="P1694" t="s">
        <v>11735</v>
      </c>
      <c r="Q1694" s="3" t="n">
        <v>44313.0</v>
      </c>
      <c r="R1694" s="3" t="n">
        <v>44497.0</v>
      </c>
      <c r="S1694" s="3" t="n">
        <v>44498.23011408565</v>
      </c>
      <c r="T1694" s="3" t="n">
        <v>44501.63504170139</v>
      </c>
      <c r="U1694" t="s">
        <v>11736</v>
      </c>
      <c r="V1694" t="s">
        <v>11737</v>
      </c>
    </row>
    <row r="1695">
      <c r="A1695" t="s">
        <v>22</v>
      </c>
      <c r="B1695" t="s">
        <v>11738</v>
      </c>
      <c r="C1695" t="s">
        <v>24</v>
      </c>
      <c r="D1695" t="s">
        <v>69</v>
      </c>
      <c r="E1695" t="s">
        <v>11739</v>
      </c>
      <c r="F1695" s="2" t="n">
        <f>HYPERLINK("https://patents.google.com/patent/US20210329990","Google")</f>
        <v>0.0</v>
      </c>
      <c r="G1695" s="2" t="n">
        <f>HYPERLINK("https://patentcenter.uspto.gov/applications/17239355","Patent Center")</f>
        <v>0.0</v>
      </c>
      <c r="H1695" s="2" t="n">
        <f>HYPERLINK("https://worldwide.espacenet.com/patent/search?q=US20210329990","Espacenet")</f>
        <v>0.0</v>
      </c>
      <c r="I1695" s="2" t="n">
        <f>HYPERLINK("https://ppubs.uspto.gov/pubwebapp/external.html?q=20210329990.pn.","USPTO")</f>
        <v>0.0</v>
      </c>
      <c r="J1695" s="2" t="n">
        <f>HYPERLINK("https://image-ppubs.uspto.gov/dirsearch-public/print/downloadPdf/20210329990","USPTO PDF")</f>
        <v>0.0</v>
      </c>
      <c r="K1695" s="2" t="n">
        <f>HYPERLINK("https://sectors.patentforecast.com/pmd/US20210329990","PMD")</f>
        <v>0.0</v>
      </c>
      <c r="L1695" s="2" t="n">
        <f>HYPERLINK("https://globaldossier.uspto.gov/result/application/US/17239355/1","US20210329990")</f>
        <v>0.0</v>
      </c>
      <c r="M1695" t="s">
        <v>11740</v>
      </c>
      <c r="N1695" t="s">
        <v>11461</v>
      </c>
      <c r="O1695" t="s">
        <v>11462</v>
      </c>
      <c r="P1695" t="s">
        <v>11463</v>
      </c>
      <c r="Q1695" s="3" t="n">
        <v>44309.0</v>
      </c>
      <c r="R1695" s="3" t="n">
        <v>44497.0</v>
      </c>
      <c r="S1695" s="3" t="n">
        <v>44498.23011408565</v>
      </c>
      <c r="T1695" s="3" t="n">
        <v>44501.62079949074</v>
      </c>
      <c r="U1695" t="s">
        <v>11741</v>
      </c>
      <c r="V1695" t="s">
        <v>11742</v>
      </c>
    </row>
    <row r="1696">
      <c r="A1696" t="s">
        <v>22</v>
      </c>
      <c r="B1696" t="s">
        <v>11743</v>
      </c>
      <c r="C1696" t="s">
        <v>24</v>
      </c>
      <c r="D1696" t="s">
        <v>69</v>
      </c>
      <c r="E1696" t="s">
        <v>2753</v>
      </c>
      <c r="F1696" s="2" t="n">
        <f>HYPERLINK("https://patents.google.com/patent/US20210329987","Google")</f>
        <v>0.0</v>
      </c>
      <c r="G1696" s="2" t="n">
        <f>HYPERLINK("https://patentcenter.uspto.gov/applications/16860917","Patent Center")</f>
        <v>0.0</v>
      </c>
      <c r="H1696" s="2" t="n">
        <f>HYPERLINK("https://worldwide.espacenet.com/patent/search?q=US20210329987","Espacenet")</f>
        <v>0.0</v>
      </c>
      <c r="I1696" s="2" t="n">
        <f>HYPERLINK("https://ppubs.uspto.gov/pubwebapp/external.html?q=20210329987.pn.","USPTO")</f>
        <v>0.0</v>
      </c>
      <c r="J1696" s="2" t="n">
        <f>HYPERLINK("https://image-ppubs.uspto.gov/dirsearch-public/print/downloadPdf/20210329987","USPTO PDF")</f>
        <v>0.0</v>
      </c>
      <c r="K1696" s="2" t="n">
        <f>HYPERLINK("https://sectors.patentforecast.com/pmd/US20210329987","PMD")</f>
        <v>0.0</v>
      </c>
      <c r="L1696" s="2" t="n">
        <f>HYPERLINK("https://globaldossier.uspto.gov/result/application/US/16860917/1","US20210329987")</f>
        <v>0.0</v>
      </c>
      <c r="M1696" t="s">
        <v>11744</v>
      </c>
      <c r="N1696" t="s">
        <v>11745</v>
      </c>
      <c r="O1696" t="s">
        <v>11746</v>
      </c>
      <c r="P1696" t="s">
        <v>11747</v>
      </c>
      <c r="Q1696" s="3" t="n">
        <v>43949.0</v>
      </c>
      <c r="R1696" s="3" t="n">
        <v>44497.0</v>
      </c>
      <c r="S1696" s="3" t="n">
        <v>44498.23011408565</v>
      </c>
      <c r="T1696" s="3" t="n">
        <v>44501.6113796412</v>
      </c>
      <c r="U1696" t="s">
        <v>11748</v>
      </c>
      <c r="V1696" t="s">
        <v>11749</v>
      </c>
    </row>
    <row r="1697">
      <c r="A1697" t="s">
        <v>22</v>
      </c>
      <c r="B1697" t="s">
        <v>11750</v>
      </c>
      <c r="C1697" t="s">
        <v>24</v>
      </c>
      <c r="D1697" t="s">
        <v>100</v>
      </c>
      <c r="E1697" t="s">
        <v>11751</v>
      </c>
      <c r="F1697" s="2" t="n">
        <f>HYPERLINK("https://patents.google.com/patent/US20210329926","Google")</f>
        <v>0.0</v>
      </c>
      <c r="G1697" s="2" t="n">
        <f>HYPERLINK("https://patentcenter.uspto.gov/applications/16858700","Patent Center")</f>
        <v>0.0</v>
      </c>
      <c r="H1697" s="2" t="n">
        <f>HYPERLINK("https://worldwide.espacenet.com/patent/search?q=US20210329926","Espacenet")</f>
        <v>0.0</v>
      </c>
      <c r="I1697" s="2" t="n">
        <f>HYPERLINK("https://ppubs.uspto.gov/pubwebapp/external.html?q=20210329926.pn.","USPTO")</f>
        <v>0.0</v>
      </c>
      <c r="J1697" s="2" t="n">
        <f>HYPERLINK("https://image-ppubs.uspto.gov/dirsearch-public/print/downloadPdf/20210329926","USPTO PDF")</f>
        <v>0.0</v>
      </c>
      <c r="K1697" s="2" t="n">
        <f>HYPERLINK("https://sectors.patentforecast.com/pmd/US20210329926","PMD")</f>
        <v>0.0</v>
      </c>
      <c r="L1697" s="2" t="n">
        <f>HYPERLINK("https://globaldossier.uspto.gov/result/application/US/16858700/1","US20210329926")</f>
        <v>0.0</v>
      </c>
      <c r="M1697" t="s">
        <v>11752</v>
      </c>
      <c r="N1697" t="s">
        <v>11753</v>
      </c>
      <c r="O1697" t="s">
        <v>11753</v>
      </c>
      <c r="P1697" t="s">
        <v>11754</v>
      </c>
      <c r="Q1697" s="3" t="n">
        <v>43947.0</v>
      </c>
      <c r="R1697" s="3" t="n">
        <v>44497.0</v>
      </c>
      <c r="S1697" s="3" t="n">
        <v>44498.23011408565</v>
      </c>
      <c r="T1697" s="3" t="n">
        <v>44501.61146864583</v>
      </c>
      <c r="U1697" t="s">
        <v>11755</v>
      </c>
      <c r="V1697" t="s">
        <v>11756</v>
      </c>
    </row>
    <row r="1698">
      <c r="A1698" t="s">
        <v>22</v>
      </c>
      <c r="B1698" t="s">
        <v>11757</v>
      </c>
      <c r="C1698" t="s">
        <v>24</v>
      </c>
      <c r="D1698" t="s">
        <v>43</v>
      </c>
      <c r="E1698" t="s">
        <v>11758</v>
      </c>
      <c r="F1698" s="2" t="n">
        <f>HYPERLINK("https://patents.google.com/patent/US20210329585","Google")</f>
        <v>0.0</v>
      </c>
      <c r="G1698" s="2" t="n">
        <f>HYPERLINK("https://patentcenter.uspto.gov/applications/17229881","Patent Center")</f>
        <v>0.0</v>
      </c>
      <c r="H1698" s="2" t="n">
        <f>HYPERLINK("https://worldwide.espacenet.com/patent/search?q=US20210329585","Espacenet")</f>
        <v>0.0</v>
      </c>
      <c r="I1698" s="2" t="n">
        <f>HYPERLINK("https://ppubs.uspto.gov/pubwebapp/external.html?q=20210329585.pn.","USPTO")</f>
        <v>0.0</v>
      </c>
      <c r="J1698" s="2" t="n">
        <f>HYPERLINK("https://image-ppubs.uspto.gov/dirsearch-public/print/downloadPdf/20210329585","USPTO PDF")</f>
        <v>0.0</v>
      </c>
      <c r="K1698" s="2" t="n">
        <f>HYPERLINK("https://sectors.patentforecast.com/pmd/US20210329585","PMD")</f>
        <v>0.0</v>
      </c>
      <c r="L1698" s="2" t="n">
        <f>HYPERLINK("https://globaldossier.uspto.gov/result/application/US/17229881/1","US20210329585")</f>
        <v>0.0</v>
      </c>
      <c r="M1698" t="s">
        <v>11759</v>
      </c>
      <c r="N1698" t="s">
        <v>11760</v>
      </c>
      <c r="O1698" t="s">
        <v>11761</v>
      </c>
      <c r="P1698" t="s">
        <v>11762</v>
      </c>
      <c r="Q1698" s="3" t="n">
        <v>44300.0</v>
      </c>
      <c r="R1698" s="3" t="n">
        <v>44490.0</v>
      </c>
      <c r="S1698" s="3" t="n">
        <v>44491.23095329861</v>
      </c>
      <c r="T1698" s="3" t="n">
        <v>44501.54766525463</v>
      </c>
      <c r="U1698" t="s">
        <v>11763</v>
      </c>
      <c r="V1698" t="s">
        <v>11764</v>
      </c>
    </row>
    <row r="1699">
      <c r="A1699" t="s">
        <v>22</v>
      </c>
      <c r="B1699" t="s">
        <v>11765</v>
      </c>
      <c r="C1699" t="s">
        <v>312</v>
      </c>
      <c r="D1699" t="s">
        <v>976</v>
      </c>
      <c r="E1699" t="s">
        <v>11766</v>
      </c>
      <c r="F1699" s="2" t="n">
        <f>HYPERLINK("https://patents.google.com/patent/US20210327595","Google")</f>
        <v>0.0</v>
      </c>
      <c r="G1699" s="2" t="n">
        <f>HYPERLINK("https://patentcenter.uspto.gov/applications/17234675","Patent Center")</f>
        <v>0.0</v>
      </c>
      <c r="H1699" s="2" t="n">
        <f>HYPERLINK("https://worldwide.espacenet.com/patent/search?q=US20210327595","Espacenet")</f>
        <v>0.0</v>
      </c>
      <c r="I1699" s="2" t="n">
        <f>HYPERLINK("https://ppubs.uspto.gov/pubwebapp/external.html?q=20210327595.pn.","USPTO")</f>
        <v>0.0</v>
      </c>
      <c r="J1699" s="2" t="n">
        <f>HYPERLINK("https://image-ppubs.uspto.gov/dirsearch-public/print/downloadPdf/20210327595","USPTO PDF")</f>
        <v>0.0</v>
      </c>
      <c r="K1699" s="2" t="n">
        <f>HYPERLINK("https://sectors.patentforecast.com/pmd/US20210327595","PMD")</f>
        <v>0.0</v>
      </c>
      <c r="L1699" s="2" t="n">
        <f>HYPERLINK("https://globaldossier.uspto.gov/result/application/US/17234675/1","US20210327595")</f>
        <v>0.0</v>
      </c>
      <c r="M1699" t="s">
        <v>11767</v>
      </c>
      <c r="N1699" t="s">
        <v>5035</v>
      </c>
      <c r="O1699" t="s">
        <v>5036</v>
      </c>
      <c r="P1699" t="s">
        <v>5037</v>
      </c>
      <c r="Q1699" s="3" t="n">
        <v>44305.0</v>
      </c>
      <c r="R1699" s="3" t="n">
        <v>44490.0</v>
      </c>
      <c r="S1699" s="3" t="n">
        <v>44491.2328015625</v>
      </c>
      <c r="T1699" s="3" t="n">
        <v>44498.699681018516</v>
      </c>
      <c r="U1699" t="s">
        <v>11768</v>
      </c>
      <c r="V1699" t="s">
        <v>11769</v>
      </c>
    </row>
    <row r="1700">
      <c r="A1700" t="s">
        <v>22</v>
      </c>
      <c r="B1700" t="s">
        <v>11770</v>
      </c>
      <c r="C1700" t="s">
        <v>24</v>
      </c>
      <c r="D1700" t="s">
        <v>25</v>
      </c>
      <c r="E1700" t="s">
        <v>11771</v>
      </c>
      <c r="F1700" s="2" t="n">
        <f>HYPERLINK("https://patents.google.com/patent/US20210327585","Google")</f>
        <v>0.0</v>
      </c>
      <c r="G1700" s="2" t="n">
        <f>HYPERLINK("https://patentcenter.uspto.gov/applications/17365113","Patent Center")</f>
        <v>0.0</v>
      </c>
      <c r="H1700" s="2" t="n">
        <f>HYPERLINK("https://worldwide.espacenet.com/patent/search?q=US20210327585","Espacenet")</f>
        <v>0.0</v>
      </c>
      <c r="I1700" s="2" t="n">
        <f>HYPERLINK("https://ppubs.uspto.gov/pubwebapp/external.html?q=20210327585.pn.","USPTO")</f>
        <v>0.0</v>
      </c>
      <c r="J1700" s="2" t="n">
        <f>HYPERLINK("https://image-ppubs.uspto.gov/dirsearch-public/print/downloadPdf/20210327585","USPTO PDF")</f>
        <v>0.0</v>
      </c>
      <c r="K1700" s="2" t="n">
        <f>HYPERLINK("https://sectors.patentforecast.com/pmd/US20210327585","PMD")</f>
        <v>0.0</v>
      </c>
      <c r="L1700" s="2" t="n">
        <f>HYPERLINK("https://globaldossier.uspto.gov/result/application/US/17365113/1","US20210327585")</f>
        <v>0.0</v>
      </c>
      <c r="M1700" t="s">
        <v>11772</v>
      </c>
      <c r="N1700" t="s">
        <v>11773</v>
      </c>
      <c r="O1700" t="s">
        <v>11774</v>
      </c>
      <c r="P1700" t="s">
        <v>11775</v>
      </c>
      <c r="Q1700" s="3" t="n">
        <v>44378.0</v>
      </c>
      <c r="R1700" s="3" t="n">
        <v>44490.0</v>
      </c>
      <c r="S1700" s="3" t="n">
        <v>44491.23095329861</v>
      </c>
      <c r="T1700" s="3" t="n">
        <v>44501.5950855787</v>
      </c>
      <c r="U1700" t="s">
        <v>11776</v>
      </c>
      <c r="V1700" t="s">
        <v>11777</v>
      </c>
    </row>
    <row r="1701">
      <c r="A1701" t="s">
        <v>22</v>
      </c>
      <c r="B1701" t="s">
        <v>11778</v>
      </c>
      <c r="C1701" t="s">
        <v>24</v>
      </c>
      <c r="D1701" t="s">
        <v>51</v>
      </c>
      <c r="E1701" t="s">
        <v>11779</v>
      </c>
      <c r="F1701" s="2" t="n">
        <f>HYPERLINK("https://patents.google.com/patent/US20210327562","Google")</f>
        <v>0.0</v>
      </c>
      <c r="G1701" s="2" t="n">
        <f>HYPERLINK("https://patentcenter.uspto.gov/applications/17235471","Patent Center")</f>
        <v>0.0</v>
      </c>
      <c r="H1701" s="2" t="n">
        <f>HYPERLINK("https://worldwide.espacenet.com/patent/search?q=US20210327562","Espacenet")</f>
        <v>0.0</v>
      </c>
      <c r="I1701" s="2" t="n">
        <f>HYPERLINK("https://ppubs.uspto.gov/pubwebapp/external.html?q=20210327562.pn.","USPTO")</f>
        <v>0.0</v>
      </c>
      <c r="J1701" s="2" t="n">
        <f>HYPERLINK("https://image-ppubs.uspto.gov/dirsearch-public/print/downloadPdf/20210327562","USPTO PDF")</f>
        <v>0.0</v>
      </c>
      <c r="K1701" s="2" t="n">
        <f>HYPERLINK("https://sectors.patentforecast.com/pmd/US20210327562","PMD")</f>
        <v>0.0</v>
      </c>
      <c r="L1701" s="2" t="n">
        <f>HYPERLINK("https://globaldossier.uspto.gov/result/application/US/17235471/1","US20210327562")</f>
        <v>0.0</v>
      </c>
      <c r="M1701" t="s">
        <v>11780</v>
      </c>
      <c r="N1701" t="s">
        <v>11781</v>
      </c>
      <c r="O1701" t="s">
        <v>11782</v>
      </c>
      <c r="P1701" t="s">
        <v>11783</v>
      </c>
      <c r="Q1701" s="3" t="n">
        <v>44306.0</v>
      </c>
      <c r="R1701" s="3" t="n">
        <v>44490.0</v>
      </c>
      <c r="S1701" s="3" t="n">
        <v>44491.22978872685</v>
      </c>
      <c r="T1701" s="3" t="n">
        <v>44501.56564914352</v>
      </c>
      <c r="U1701" t="s">
        <v>11784</v>
      </c>
      <c r="V1701" t="s">
        <v>11785</v>
      </c>
    </row>
    <row r="1702">
      <c r="A1702" t="s">
        <v>22</v>
      </c>
      <c r="B1702" t="s">
        <v>11786</v>
      </c>
      <c r="C1702" t="s">
        <v>132</v>
      </c>
      <c r="D1702" t="s">
        <v>142</v>
      </c>
      <c r="E1702" t="s">
        <v>11787</v>
      </c>
      <c r="F1702" s="2" t="n">
        <f>HYPERLINK("https://patents.google.com/patent/US20210327548","Google")</f>
        <v>0.0</v>
      </c>
      <c r="G1702" s="2" t="n">
        <f>HYPERLINK("https://patentcenter.uspto.gov/applications/17234491","Patent Center")</f>
        <v>0.0</v>
      </c>
      <c r="H1702" s="2" t="n">
        <f>HYPERLINK("https://worldwide.espacenet.com/patent/search?q=US20210327548","Espacenet")</f>
        <v>0.0</v>
      </c>
      <c r="I1702" s="2" t="n">
        <f>HYPERLINK("https://ppubs.uspto.gov/pubwebapp/external.html?q=20210327548.pn.","USPTO")</f>
        <v>0.0</v>
      </c>
      <c r="J1702" s="2" t="n">
        <f>HYPERLINK("https://image-ppubs.uspto.gov/dirsearch-public/print/downloadPdf/20210327548","USPTO PDF")</f>
        <v>0.0</v>
      </c>
      <c r="K1702" s="2" t="n">
        <f>HYPERLINK("https://sectors.patentforecast.com/pmd/US20210327548","PMD")</f>
        <v>0.0</v>
      </c>
      <c r="L1702" s="2" t="n">
        <f>HYPERLINK("https://globaldossier.uspto.gov/result/application/US/17234491/1","US20210327548")</f>
        <v>0.0</v>
      </c>
      <c r="M1702" t="s">
        <v>11788</v>
      </c>
      <c r="N1702" t="s">
        <v>11789</v>
      </c>
      <c r="O1702" t="s">
        <v>11790</v>
      </c>
      <c r="P1702" t="s">
        <v>11791</v>
      </c>
      <c r="Q1702" s="3" t="n">
        <v>44305.0</v>
      </c>
      <c r="R1702" s="3" t="n">
        <v>44490.0</v>
      </c>
      <c r="S1702" s="3" t="n">
        <v>44491.22978872685</v>
      </c>
      <c r="T1702" s="3" t="n">
        <v>44501.58090892361</v>
      </c>
      <c r="U1702" t="s">
        <v>11792</v>
      </c>
      <c r="V1702" t="s">
        <v>11793</v>
      </c>
    </row>
    <row r="1703">
      <c r="A1703" t="s">
        <v>22</v>
      </c>
      <c r="B1703" t="s">
        <v>11794</v>
      </c>
      <c r="C1703" t="s">
        <v>24</v>
      </c>
      <c r="D1703" t="s">
        <v>1450</v>
      </c>
      <c r="E1703" t="s">
        <v>11795</v>
      </c>
      <c r="F1703" s="2" t="n">
        <f>HYPERLINK("https://patents.google.com/patent/US20210327249","Google")</f>
        <v>0.0</v>
      </c>
      <c r="G1703" s="2" t="n">
        <f>HYPERLINK("https://patentcenter.uspto.gov/applications/17233870","Patent Center")</f>
        <v>0.0</v>
      </c>
      <c r="H1703" s="2" t="n">
        <f>HYPERLINK("https://worldwide.espacenet.com/patent/search?q=US20210327249","Espacenet")</f>
        <v>0.0</v>
      </c>
      <c r="I1703" s="2" t="n">
        <f>HYPERLINK("https://ppubs.uspto.gov/pubwebapp/external.html?q=20210327249.pn.","USPTO")</f>
        <v>0.0</v>
      </c>
      <c r="J1703" s="2" t="n">
        <f>HYPERLINK("https://image-ppubs.uspto.gov/dirsearch-public/print/downloadPdf/20210327249","USPTO PDF")</f>
        <v>0.0</v>
      </c>
      <c r="K1703" s="2" t="n">
        <f>HYPERLINK("https://sectors.patentforecast.com/pmd/US20210327249","PMD")</f>
        <v>0.0</v>
      </c>
      <c r="L1703" s="2" t="n">
        <f>HYPERLINK("https://globaldossier.uspto.gov/result/application/US/17233870/1","US20210327249")</f>
        <v>0.0</v>
      </c>
      <c r="M1703" t="s">
        <v>11796</v>
      </c>
      <c r="N1703" t="s">
        <v>11797</v>
      </c>
      <c r="O1703" t="s">
        <v>11797</v>
      </c>
      <c r="P1703" t="s">
        <v>11798</v>
      </c>
      <c r="Q1703" s="3" t="n">
        <v>44305.0</v>
      </c>
      <c r="R1703" s="3" t="n">
        <v>44490.0</v>
      </c>
      <c r="S1703" s="3" t="n">
        <v>44491.23095329861</v>
      </c>
      <c r="T1703" s="3" t="n">
        <v>44498.69982707176</v>
      </c>
      <c r="U1703" t="s">
        <v>11799</v>
      </c>
      <c r="V1703" t="s">
        <v>11800</v>
      </c>
    </row>
    <row r="1704">
      <c r="A1704" t="s">
        <v>22</v>
      </c>
      <c r="B1704" t="s">
        <v>11801</v>
      </c>
      <c r="C1704" t="s">
        <v>24</v>
      </c>
      <c r="D1704" t="s">
        <v>204</v>
      </c>
      <c r="E1704" t="s">
        <v>4638</v>
      </c>
      <c r="F1704" s="2" t="n">
        <f>HYPERLINK("https://patents.google.com/patent/US20210327181","Google")</f>
        <v>0.0</v>
      </c>
      <c r="G1704" s="2" t="n">
        <f>HYPERLINK("https://patentcenter.uspto.gov/applications/17235449","Patent Center")</f>
        <v>0.0</v>
      </c>
      <c r="H1704" s="2" t="n">
        <f>HYPERLINK("https://worldwide.espacenet.com/patent/search?q=US20210327181","Espacenet")</f>
        <v>0.0</v>
      </c>
      <c r="I1704" s="2" t="n">
        <f>HYPERLINK("https://ppubs.uspto.gov/pubwebapp/external.html?q=20210327181.pn.","USPTO")</f>
        <v>0.0</v>
      </c>
      <c r="J1704" s="2" t="n">
        <f>HYPERLINK("https://image-ppubs.uspto.gov/dirsearch-public/print/downloadPdf/20210327181","USPTO PDF")</f>
        <v>0.0</v>
      </c>
      <c r="K1704" s="2" t="n">
        <f>HYPERLINK("https://sectors.patentforecast.com/pmd/US20210327181","PMD")</f>
        <v>0.0</v>
      </c>
      <c r="L1704" s="2" t="n">
        <f>HYPERLINK("https://globaldossier.uspto.gov/result/application/US/17235449/1","US20210327181")</f>
        <v>0.0</v>
      </c>
      <c r="M1704" t="s">
        <v>11802</v>
      </c>
      <c r="N1704" t="s">
        <v>11803</v>
      </c>
      <c r="O1704" t="s">
        <v>11804</v>
      </c>
      <c r="P1704" t="s">
        <v>11805</v>
      </c>
      <c r="Q1704" s="3" t="n">
        <v>44306.0</v>
      </c>
      <c r="R1704" s="3" t="n">
        <v>44490.0</v>
      </c>
      <c r="S1704" s="3" t="n">
        <v>44491.23095329861</v>
      </c>
      <c r="T1704" s="3" t="n">
        <v>44498.70024486111</v>
      </c>
      <c r="U1704" t="s">
        <v>11806</v>
      </c>
      <c r="V1704" t="s">
        <v>4642</v>
      </c>
    </row>
    <row r="1705">
      <c r="A1705" t="s">
        <v>22</v>
      </c>
      <c r="B1705" t="s">
        <v>11807</v>
      </c>
      <c r="C1705" t="s">
        <v>24</v>
      </c>
      <c r="D1705" t="s">
        <v>34</v>
      </c>
      <c r="E1705" t="s">
        <v>11808</v>
      </c>
      <c r="F1705" s="2" t="n">
        <f>HYPERLINK("https://patents.google.com/patent/US20210327055","Google")</f>
        <v>0.0</v>
      </c>
      <c r="G1705" s="2" t="n">
        <f>HYPERLINK("https://patentcenter.uspto.gov/applications/16889412","Patent Center")</f>
        <v>0.0</v>
      </c>
      <c r="H1705" s="2" t="n">
        <f>HYPERLINK("https://worldwide.espacenet.com/patent/search?q=US20210327055","Espacenet")</f>
        <v>0.0</v>
      </c>
      <c r="I1705" s="2" t="n">
        <f>HYPERLINK("https://ppubs.uspto.gov/pubwebapp/external.html?q=20210327055.pn.","USPTO")</f>
        <v>0.0</v>
      </c>
      <c r="J1705" s="2" t="n">
        <f>HYPERLINK("https://image-ppubs.uspto.gov/dirsearch-public/print/downloadPdf/20210327055","USPTO PDF")</f>
        <v>0.0</v>
      </c>
      <c r="K1705" s="2" t="n">
        <f>HYPERLINK("https://sectors.patentforecast.com/pmd/US20210327055","PMD")</f>
        <v>0.0</v>
      </c>
      <c r="L1705" s="2" t="n">
        <f>HYPERLINK("https://globaldossier.uspto.gov/result/application/US/16889412/1","US20210327055")</f>
        <v>0.0</v>
      </c>
      <c r="M1705" t="s">
        <v>11809</v>
      </c>
      <c r="N1705" t="s">
        <v>11810</v>
      </c>
      <c r="O1705" t="s">
        <v>11811</v>
      </c>
      <c r="P1705" t="s">
        <v>11812</v>
      </c>
      <c r="Q1705" s="3" t="n">
        <v>43983.0</v>
      </c>
      <c r="R1705" s="3" t="n">
        <v>44490.0</v>
      </c>
      <c r="S1705" s="3" t="n">
        <v>44491.23095329861</v>
      </c>
      <c r="T1705" s="3" t="n">
        <v>44501.566000625</v>
      </c>
      <c r="U1705" t="s">
        <v>11813</v>
      </c>
      <c r="V1705" t="s">
        <v>11814</v>
      </c>
    </row>
    <row r="1706">
      <c r="A1706" t="s">
        <v>22</v>
      </c>
      <c r="B1706" t="s">
        <v>11815</v>
      </c>
      <c r="C1706" t="s">
        <v>24</v>
      </c>
      <c r="D1706" t="s">
        <v>25</v>
      </c>
      <c r="E1706" t="s">
        <v>11816</v>
      </c>
      <c r="F1706" s="2" t="n">
        <f>HYPERLINK("https://patents.google.com/patent/US20210327054","Google")</f>
        <v>0.0</v>
      </c>
      <c r="G1706" s="2" t="n">
        <f>HYPERLINK("https://patentcenter.uspto.gov/applications/16865266","Patent Center")</f>
        <v>0.0</v>
      </c>
      <c r="H1706" s="2" t="n">
        <f>HYPERLINK("https://worldwide.espacenet.com/patent/search?q=US20210327054","Espacenet")</f>
        <v>0.0</v>
      </c>
      <c r="I1706" s="2" t="n">
        <f>HYPERLINK("https://ppubs.uspto.gov/pubwebapp/external.html?q=20210327054.pn.","USPTO")</f>
        <v>0.0</v>
      </c>
      <c r="J1706" s="2" t="n">
        <f>HYPERLINK("https://image-ppubs.uspto.gov/dirsearch-public/print/downloadPdf/20210327054","USPTO PDF")</f>
        <v>0.0</v>
      </c>
      <c r="K1706" s="2" t="n">
        <f>HYPERLINK("https://sectors.patentforecast.com/pmd/US20210327054","PMD")</f>
        <v>0.0</v>
      </c>
      <c r="L1706" s="2" t="n">
        <f>HYPERLINK("https://globaldossier.uspto.gov/result/application/US/16865266/1","US20210327054")</f>
        <v>0.0</v>
      </c>
      <c r="M1706" t="s">
        <v>11817</v>
      </c>
      <c r="N1706" t="s">
        <v>7526</v>
      </c>
      <c r="O1706" t="s">
        <v>7527</v>
      </c>
      <c r="P1706" t="s">
        <v>11818</v>
      </c>
      <c r="Q1706" s="3" t="n">
        <v>43952.0</v>
      </c>
      <c r="R1706" s="3" t="n">
        <v>44490.0</v>
      </c>
      <c r="S1706" s="3" t="n">
        <v>44491.23095329861</v>
      </c>
      <c r="T1706" s="3" t="n">
        <v>44501.577251539355</v>
      </c>
      <c r="U1706" t="s">
        <v>11819</v>
      </c>
      <c r="V1706" t="s">
        <v>11820</v>
      </c>
    </row>
    <row r="1707">
      <c r="A1707" t="s">
        <v>22</v>
      </c>
      <c r="B1707" t="s">
        <v>11821</v>
      </c>
      <c r="C1707" t="s">
        <v>24</v>
      </c>
      <c r="D1707" t="s">
        <v>204</v>
      </c>
      <c r="E1707" t="s">
        <v>11822</v>
      </c>
      <c r="F1707" s="2" t="n">
        <f>HYPERLINK("https://patents.google.com/patent/US20210326810","Google")</f>
        <v>0.0</v>
      </c>
      <c r="G1707" s="2" t="n">
        <f>HYPERLINK("https://patentcenter.uspto.gov/applications/17232522","Patent Center")</f>
        <v>0.0</v>
      </c>
      <c r="H1707" s="2" t="n">
        <f>HYPERLINK("https://worldwide.espacenet.com/patent/search?q=US20210326810","Espacenet")</f>
        <v>0.0</v>
      </c>
      <c r="I1707" s="2" t="n">
        <f>HYPERLINK("https://ppubs.uspto.gov/pubwebapp/external.html?q=20210326810.pn.","USPTO")</f>
        <v>0.0</v>
      </c>
      <c r="J1707" s="2" t="n">
        <f>HYPERLINK("https://image-ppubs.uspto.gov/dirsearch-public/print/downloadPdf/20210326810","USPTO PDF")</f>
        <v>0.0</v>
      </c>
      <c r="K1707" s="2" t="n">
        <f>HYPERLINK("https://sectors.patentforecast.com/pmd/US20210326810","PMD")</f>
        <v>0.0</v>
      </c>
      <c r="L1707" s="2" t="n">
        <f>HYPERLINK("https://globaldossier.uspto.gov/result/application/US/17232522/1","US20210326810")</f>
        <v>0.0</v>
      </c>
      <c r="M1707" t="s">
        <v>11823</v>
      </c>
      <c r="N1707" t="s">
        <v>11824</v>
      </c>
      <c r="O1707" t="s">
        <v>11824</v>
      </c>
      <c r="P1707" t="s">
        <v>11825</v>
      </c>
      <c r="Q1707" s="3" t="n">
        <v>44302.0</v>
      </c>
      <c r="R1707" s="3" t="n">
        <v>44490.0</v>
      </c>
      <c r="S1707" s="3" t="n">
        <v>44491.2328015625</v>
      </c>
      <c r="T1707" s="3" t="n">
        <v>44498.70217520833</v>
      </c>
      <c r="U1707" t="s">
        <v>11826</v>
      </c>
      <c r="V1707" t="s">
        <v>11827</v>
      </c>
    </row>
    <row r="1708">
      <c r="A1708" t="s">
        <v>22</v>
      </c>
      <c r="B1708" t="s">
        <v>11828</v>
      </c>
      <c r="C1708" t="s">
        <v>24</v>
      </c>
      <c r="D1708" t="s">
        <v>3193</v>
      </c>
      <c r="E1708" t="s">
        <v>11829</v>
      </c>
      <c r="F1708" s="2" t="n">
        <f>HYPERLINK("https://patents.google.com/patent/US20210326787","Google")</f>
        <v>0.0</v>
      </c>
      <c r="G1708" s="2" t="n">
        <f>HYPERLINK("https://patentcenter.uspto.gov/applications/17364677","Patent Center")</f>
        <v>0.0</v>
      </c>
      <c r="H1708" s="2" t="n">
        <f>HYPERLINK("https://worldwide.espacenet.com/patent/search?q=US20210326787","Espacenet")</f>
        <v>0.0</v>
      </c>
      <c r="I1708" s="2" t="n">
        <f>HYPERLINK("https://ppubs.uspto.gov/pubwebapp/external.html?q=20210326787.pn.","USPTO")</f>
        <v>0.0</v>
      </c>
      <c r="J1708" s="2" t="n">
        <f>HYPERLINK("https://image-ppubs.uspto.gov/dirsearch-public/print/downloadPdf/20210326787","USPTO PDF")</f>
        <v>0.0</v>
      </c>
      <c r="K1708" s="2" t="n">
        <f>HYPERLINK("https://sectors.patentforecast.com/pmd/US20210326787","PMD")</f>
        <v>0.0</v>
      </c>
      <c r="L1708" s="2" t="n">
        <f>HYPERLINK("https://globaldossier.uspto.gov/result/application/US/17364677/1","US20210326787")</f>
        <v>0.0</v>
      </c>
      <c r="M1708" t="s">
        <v>11830</v>
      </c>
      <c r="N1708" t="s">
        <v>11831</v>
      </c>
      <c r="O1708" t="s">
        <v>11832</v>
      </c>
      <c r="P1708" t="s">
        <v>11833</v>
      </c>
      <c r="Q1708" s="3" t="n">
        <v>44377.0</v>
      </c>
      <c r="R1708" s="3" t="n">
        <v>44490.0</v>
      </c>
      <c r="S1708" s="3" t="n">
        <v>44491.23095329861</v>
      </c>
      <c r="T1708" s="3" t="n">
        <v>44501.54791763889</v>
      </c>
      <c r="U1708" t="s">
        <v>11834</v>
      </c>
      <c r="V1708" t="s">
        <v>11835</v>
      </c>
    </row>
    <row r="1709">
      <c r="A1709" t="s">
        <v>22</v>
      </c>
      <c r="B1709" t="s">
        <v>11836</v>
      </c>
      <c r="C1709" t="s">
        <v>132</v>
      </c>
      <c r="D1709" t="s">
        <v>142</v>
      </c>
      <c r="E1709" t="s">
        <v>11837</v>
      </c>
      <c r="F1709" s="2" t="n">
        <f>HYPERLINK("https://patents.google.com/patent/US20210326474","Google")</f>
        <v>0.0</v>
      </c>
      <c r="G1709" s="2" t="n">
        <f>HYPERLINK("https://patentcenter.uspto.gov/applications/16921784","Patent Center")</f>
        <v>0.0</v>
      </c>
      <c r="H1709" s="2" t="n">
        <f>HYPERLINK("https://worldwide.espacenet.com/patent/search?q=US20210326474","Espacenet")</f>
        <v>0.0</v>
      </c>
      <c r="I1709" s="2" t="n">
        <f>HYPERLINK("https://ppubs.uspto.gov/pubwebapp/external.html?q=20210326474.pn.","USPTO")</f>
        <v>0.0</v>
      </c>
      <c r="J1709" s="2" t="n">
        <f>HYPERLINK("https://image-ppubs.uspto.gov/dirsearch-public/print/downloadPdf/20210326474","USPTO PDF")</f>
        <v>0.0</v>
      </c>
      <c r="K1709" s="2" t="n">
        <f>HYPERLINK("https://sectors.patentforecast.com/pmd/US20210326474","PMD")</f>
        <v>0.0</v>
      </c>
      <c r="L1709" s="2" t="n">
        <f>HYPERLINK("https://globaldossier.uspto.gov/result/application/US/16921784/1","US20210326474")</f>
        <v>0.0</v>
      </c>
      <c r="M1709" t="s">
        <v>11838</v>
      </c>
      <c r="N1709" t="s">
        <v>11789</v>
      </c>
      <c r="O1709" t="s">
        <v>11790</v>
      </c>
      <c r="P1709" t="s">
        <v>11839</v>
      </c>
      <c r="Q1709" s="3" t="n">
        <v>44018.0</v>
      </c>
      <c r="R1709" s="3" t="n">
        <v>44490.0</v>
      </c>
      <c r="S1709" s="3" t="n">
        <v>44491.23095329861</v>
      </c>
      <c r="T1709" s="3" t="n">
        <v>44501.5809912037</v>
      </c>
      <c r="U1709" t="s">
        <v>11840</v>
      </c>
      <c r="V1709" t="s">
        <v>11841</v>
      </c>
    </row>
    <row r="1710">
      <c r="A1710" t="s">
        <v>22</v>
      </c>
      <c r="B1710" t="s">
        <v>11842</v>
      </c>
      <c r="C1710" t="s">
        <v>60</v>
      </c>
      <c r="D1710" t="s">
        <v>696</v>
      </c>
      <c r="E1710" t="s">
        <v>11843</v>
      </c>
      <c r="F1710" s="2" t="n">
        <f>HYPERLINK("https://patents.google.com/patent/US20210325407","Google")</f>
        <v>0.0</v>
      </c>
      <c r="G1710" s="2" t="n">
        <f>HYPERLINK("https://patentcenter.uspto.gov/applications/17131871","Patent Center")</f>
        <v>0.0</v>
      </c>
      <c r="H1710" s="2" t="n">
        <f>HYPERLINK("https://worldwide.espacenet.com/patent/search?q=US20210325407","Espacenet")</f>
        <v>0.0</v>
      </c>
      <c r="I1710" s="2" t="n">
        <f>HYPERLINK("https://ppubs.uspto.gov/pubwebapp/external.html?q=20210325407.pn.","USPTO")</f>
        <v>0.0</v>
      </c>
      <c r="J1710" s="2" t="n">
        <f>HYPERLINK("https://image-ppubs.uspto.gov/dirsearch-public/print/downloadPdf/20210325407","USPTO PDF")</f>
        <v>0.0</v>
      </c>
      <c r="K1710" s="2" t="n">
        <f>HYPERLINK("https://sectors.patentforecast.com/pmd/US20210325407","PMD")</f>
        <v>0.0</v>
      </c>
      <c r="L1710" s="2" t="n">
        <f>HYPERLINK("https://globaldossier.uspto.gov/result/application/US/17131871/1","US20210325407")</f>
        <v>0.0</v>
      </c>
      <c r="M1710" t="s">
        <v>11844</v>
      </c>
      <c r="N1710" t="s">
        <v>11116</v>
      </c>
      <c r="O1710" t="s">
        <v>11117</v>
      </c>
      <c r="P1710" t="s">
        <v>11845</v>
      </c>
      <c r="Q1710" s="3" t="n">
        <v>44188.0</v>
      </c>
      <c r="R1710" s="3" t="n">
        <v>44490.0</v>
      </c>
      <c r="S1710" s="3" t="n">
        <v>44491.23095329861</v>
      </c>
      <c r="T1710" s="3" t="n">
        <v>44501.54158197917</v>
      </c>
      <c r="U1710" t="s">
        <v>11846</v>
      </c>
      <c r="V1710" t="s">
        <v>11847</v>
      </c>
    </row>
    <row r="1711">
      <c r="A1711" t="s">
        <v>22</v>
      </c>
      <c r="B1711" t="s">
        <v>11848</v>
      </c>
      <c r="C1711" t="s">
        <v>24</v>
      </c>
      <c r="D1711" t="s">
        <v>34</v>
      </c>
      <c r="E1711" t="s">
        <v>11849</v>
      </c>
      <c r="F1711" s="2" t="n">
        <f>HYPERLINK("https://patents.google.com/patent/US20210325389","Google")</f>
        <v>0.0</v>
      </c>
      <c r="G1711" s="2" t="n">
        <f>HYPERLINK("https://patentcenter.uspto.gov/applications/17231937","Patent Center")</f>
        <v>0.0</v>
      </c>
      <c r="H1711" s="2" t="n">
        <f>HYPERLINK("https://worldwide.espacenet.com/patent/search?q=US20210325389","Espacenet")</f>
        <v>0.0</v>
      </c>
      <c r="I1711" s="2" t="n">
        <f>HYPERLINK("https://ppubs.uspto.gov/pubwebapp/external.html?q=20210325389.pn.","USPTO")</f>
        <v>0.0</v>
      </c>
      <c r="J1711" s="2" t="n">
        <f>HYPERLINK("https://image-ppubs.uspto.gov/dirsearch-public/print/downloadPdf/20210325389","USPTO PDF")</f>
        <v>0.0</v>
      </c>
      <c r="K1711" s="2" t="n">
        <f>HYPERLINK("https://sectors.patentforecast.com/pmd/US20210325389","PMD")</f>
        <v>0.0</v>
      </c>
      <c r="L1711" s="2" t="n">
        <f>HYPERLINK("https://globaldossier.uspto.gov/result/application/US/17231937/1","US20210325389")</f>
        <v>0.0</v>
      </c>
      <c r="M1711" t="s">
        <v>11850</v>
      </c>
      <c r="N1711" t="s">
        <v>11851</v>
      </c>
      <c r="O1711" t="s">
        <v>11852</v>
      </c>
      <c r="P1711" t="s">
        <v>11853</v>
      </c>
      <c r="Q1711" s="3" t="n">
        <v>44301.0</v>
      </c>
      <c r="R1711" s="3" t="n">
        <v>44490.0</v>
      </c>
      <c r="S1711" s="3" t="n">
        <v>44491.23095329861</v>
      </c>
      <c r="T1711" s="3" t="n">
        <v>44501.561178738426</v>
      </c>
      <c r="U1711" t="s">
        <v>11854</v>
      </c>
      <c r="V1711" t="s">
        <v>11855</v>
      </c>
    </row>
    <row r="1712">
      <c r="A1712" t="s">
        <v>22</v>
      </c>
      <c r="B1712" t="s">
        <v>11856</v>
      </c>
      <c r="C1712" t="s">
        <v>24</v>
      </c>
      <c r="D1712" t="s">
        <v>34</v>
      </c>
      <c r="E1712" t="s">
        <v>9268</v>
      </c>
      <c r="F1712" s="2" t="n">
        <f>HYPERLINK("https://patents.google.com/patent/US20210325388","Google")</f>
        <v>0.0</v>
      </c>
      <c r="G1712" s="2" t="n">
        <f>HYPERLINK("https://patentcenter.uspto.gov/applications/17230302","Patent Center")</f>
        <v>0.0</v>
      </c>
      <c r="H1712" s="2" t="n">
        <f>HYPERLINK("https://worldwide.espacenet.com/patent/search?q=US20210325388","Espacenet")</f>
        <v>0.0</v>
      </c>
      <c r="I1712" s="2" t="n">
        <f>HYPERLINK("https://ppubs.uspto.gov/pubwebapp/external.html?q=20210325388.pn.","USPTO")</f>
        <v>0.0</v>
      </c>
      <c r="J1712" s="2" t="n">
        <f>HYPERLINK("https://image-ppubs.uspto.gov/dirsearch-public/print/downloadPdf/20210325388","USPTO PDF")</f>
        <v>0.0</v>
      </c>
      <c r="K1712" s="2" t="n">
        <f>HYPERLINK("https://sectors.patentforecast.com/pmd/US20210325388","PMD")</f>
        <v>0.0</v>
      </c>
      <c r="L1712" s="2" t="n">
        <f>HYPERLINK("https://globaldossier.uspto.gov/result/application/US/17230302/1","US20210325388")</f>
        <v>0.0</v>
      </c>
      <c r="M1712" t="s">
        <v>11857</v>
      </c>
      <c r="N1712" t="s">
        <v>9270</v>
      </c>
      <c r="O1712" t="s">
        <v>9271</v>
      </c>
      <c r="P1712" t="s">
        <v>9272</v>
      </c>
      <c r="Q1712" s="3" t="n">
        <v>44300.0</v>
      </c>
      <c r="R1712" s="3" t="n">
        <v>44490.0</v>
      </c>
      <c r="S1712" s="3" t="n">
        <v>44491.23095329861</v>
      </c>
      <c r="T1712" s="3" t="n">
        <v>44501.54779467593</v>
      </c>
      <c r="U1712" t="s">
        <v>9261</v>
      </c>
      <c r="V1712" t="s">
        <v>11858</v>
      </c>
    </row>
    <row r="1713">
      <c r="A1713" t="s">
        <v>22</v>
      </c>
      <c r="B1713" t="s">
        <v>11859</v>
      </c>
      <c r="C1713" t="s">
        <v>24</v>
      </c>
      <c r="D1713" t="s">
        <v>34</v>
      </c>
      <c r="E1713" t="s">
        <v>11860</v>
      </c>
      <c r="F1713" s="2" t="n">
        <f>HYPERLINK("https://patents.google.com/patent/US20210325386","Google")</f>
        <v>0.0</v>
      </c>
      <c r="G1713" s="2" t="n">
        <f>HYPERLINK("https://patentcenter.uspto.gov/applications/17176135","Patent Center")</f>
        <v>0.0</v>
      </c>
      <c r="H1713" s="2" t="n">
        <f>HYPERLINK("https://worldwide.espacenet.com/patent/search?q=US20210325386","Espacenet")</f>
        <v>0.0</v>
      </c>
      <c r="I1713" s="2" t="n">
        <f>HYPERLINK("https://ppubs.uspto.gov/pubwebapp/external.html?q=20210325386.pn.","USPTO")</f>
        <v>0.0</v>
      </c>
      <c r="J1713" s="2" t="n">
        <f>HYPERLINK("https://image-ppubs.uspto.gov/dirsearch-public/print/downloadPdf/20210325386","USPTO PDF")</f>
        <v>0.0</v>
      </c>
      <c r="K1713" s="2" t="n">
        <f>HYPERLINK("https://sectors.patentforecast.com/pmd/US20210325386","PMD")</f>
        <v>0.0</v>
      </c>
      <c r="L1713" s="2" t="n">
        <f>HYPERLINK("https://globaldossier.uspto.gov/result/application/US/17176135/1","US20210325386")</f>
        <v>0.0</v>
      </c>
      <c r="M1713" t="s">
        <v>11861</v>
      </c>
      <c r="N1713" t="s">
        <v>6095</v>
      </c>
      <c r="O1713" t="s">
        <v>6096</v>
      </c>
      <c r="P1713" t="s">
        <v>11862</v>
      </c>
      <c r="Q1713" s="3" t="n">
        <v>44242.0</v>
      </c>
      <c r="R1713" s="3" t="n">
        <v>44490.0</v>
      </c>
      <c r="S1713" s="3" t="n">
        <v>44491.23095329861</v>
      </c>
      <c r="T1713" s="3" t="n">
        <v>44501.580571053244</v>
      </c>
      <c r="U1713" t="s">
        <v>11863</v>
      </c>
      <c r="V1713" t="s">
        <v>11864</v>
      </c>
    </row>
    <row r="1714">
      <c r="A1714" t="s">
        <v>22</v>
      </c>
      <c r="B1714" t="s">
        <v>11865</v>
      </c>
      <c r="C1714" t="s">
        <v>24</v>
      </c>
      <c r="D1714" t="s">
        <v>51</v>
      </c>
      <c r="E1714" t="s">
        <v>11866</v>
      </c>
      <c r="F1714" s="2" t="n">
        <f>HYPERLINK("https://patents.google.com/patent/US20210325383","Google")</f>
        <v>0.0</v>
      </c>
      <c r="G1714" s="2" t="n">
        <f>HYPERLINK("https://patentcenter.uspto.gov/applications/17232553","Patent Center")</f>
        <v>0.0</v>
      </c>
      <c r="H1714" s="2" t="n">
        <f>HYPERLINK("https://worldwide.espacenet.com/patent/search?q=US20210325383","Espacenet")</f>
        <v>0.0</v>
      </c>
      <c r="I1714" s="2" t="n">
        <f>HYPERLINK("https://ppubs.uspto.gov/pubwebapp/external.html?q=20210325383.pn.","USPTO")</f>
        <v>0.0</v>
      </c>
      <c r="J1714" s="2" t="n">
        <f>HYPERLINK("https://image-ppubs.uspto.gov/dirsearch-public/print/downloadPdf/20210325383","USPTO PDF")</f>
        <v>0.0</v>
      </c>
      <c r="K1714" s="2" t="n">
        <f>HYPERLINK("https://sectors.patentforecast.com/pmd/US20210325383","PMD")</f>
        <v>0.0</v>
      </c>
      <c r="L1714" s="2" t="n">
        <f>HYPERLINK("https://globaldossier.uspto.gov/result/application/US/17232553/1","US20210325383")</f>
        <v>0.0</v>
      </c>
      <c r="M1714" t="s">
        <v>11867</v>
      </c>
      <c r="N1714" t="s">
        <v>11868</v>
      </c>
      <c r="O1714" t="s">
        <v>11869</v>
      </c>
      <c r="P1714" t="s">
        <v>11870</v>
      </c>
      <c r="Q1714" s="3" t="n">
        <v>44302.0</v>
      </c>
      <c r="R1714" s="3" t="n">
        <v>44490.0</v>
      </c>
      <c r="S1714" s="3" t="n">
        <v>44491.23095329861</v>
      </c>
      <c r="T1714" s="3" t="n">
        <v>44501.50907240741</v>
      </c>
      <c r="U1714" t="s">
        <v>11871</v>
      </c>
      <c r="V1714" t="s">
        <v>11872</v>
      </c>
    </row>
    <row r="1715">
      <c r="A1715" t="s">
        <v>22</v>
      </c>
      <c r="B1715" t="s">
        <v>11873</v>
      </c>
      <c r="C1715" t="s">
        <v>24</v>
      </c>
      <c r="D1715" t="s">
        <v>34</v>
      </c>
      <c r="E1715" t="s">
        <v>11874</v>
      </c>
      <c r="F1715" s="2" t="n">
        <f>HYPERLINK("https://patents.google.com/patent/US20210325382","Google")</f>
        <v>0.0</v>
      </c>
      <c r="G1715" s="2" t="n">
        <f>HYPERLINK("https://patentcenter.uspto.gov/applications/16882447","Patent Center")</f>
        <v>0.0</v>
      </c>
      <c r="H1715" s="2" t="n">
        <f>HYPERLINK("https://worldwide.espacenet.com/patent/search?q=US20210325382","Espacenet")</f>
        <v>0.0</v>
      </c>
      <c r="I1715" s="2" t="n">
        <f>HYPERLINK("https://ppubs.uspto.gov/pubwebapp/external.html?q=20210325382.pn.","USPTO")</f>
        <v>0.0</v>
      </c>
      <c r="J1715" s="2" t="n">
        <f>HYPERLINK("https://image-ppubs.uspto.gov/dirsearch-public/print/downloadPdf/20210325382","USPTO PDF")</f>
        <v>0.0</v>
      </c>
      <c r="K1715" s="2" t="n">
        <f>HYPERLINK("https://sectors.patentforecast.com/pmd/US20210325382","PMD")</f>
        <v>0.0</v>
      </c>
      <c r="L1715" s="2" t="n">
        <f>HYPERLINK("https://globaldossier.uspto.gov/result/application/US/16882447/1","US20210325382")</f>
        <v>0.0</v>
      </c>
      <c r="M1715" t="s">
        <v>11875</v>
      </c>
      <c r="N1715" t="s">
        <v>11876</v>
      </c>
      <c r="O1715" t="s">
        <v>11877</v>
      </c>
      <c r="P1715" t="s">
        <v>11878</v>
      </c>
      <c r="Q1715" s="3" t="n">
        <v>43974.0</v>
      </c>
      <c r="R1715" s="3" t="n">
        <v>44490.0</v>
      </c>
      <c r="S1715" s="3" t="n">
        <v>44491.23095329861</v>
      </c>
      <c r="T1715" s="3" t="n">
        <v>44498.69929482639</v>
      </c>
      <c r="U1715" t="s">
        <v>11879</v>
      </c>
      <c r="V1715" t="s">
        <v>11880</v>
      </c>
    </row>
    <row r="1716">
      <c r="A1716" t="s">
        <v>22</v>
      </c>
      <c r="B1716" t="s">
        <v>11881</v>
      </c>
      <c r="C1716" t="s">
        <v>24</v>
      </c>
      <c r="D1716" t="s">
        <v>34</v>
      </c>
      <c r="E1716" t="s">
        <v>11882</v>
      </c>
      <c r="F1716" s="2" t="n">
        <f>HYPERLINK("https://patents.google.com/patent/US20210325381","Google")</f>
        <v>0.0</v>
      </c>
      <c r="G1716" s="2" t="n">
        <f>HYPERLINK("https://patentcenter.uspto.gov/applications/16876054","Patent Center")</f>
        <v>0.0</v>
      </c>
      <c r="H1716" s="2" t="n">
        <f>HYPERLINK("https://worldwide.espacenet.com/patent/search?q=US20210325381","Espacenet")</f>
        <v>0.0</v>
      </c>
      <c r="I1716" s="2" t="n">
        <f>HYPERLINK("https://ppubs.uspto.gov/pubwebapp/external.html?q=20210325381.pn.","USPTO")</f>
        <v>0.0</v>
      </c>
      <c r="J1716" s="2" t="n">
        <f>HYPERLINK("https://image-ppubs.uspto.gov/dirsearch-public/print/downloadPdf/20210325381","USPTO PDF")</f>
        <v>0.0</v>
      </c>
      <c r="K1716" s="2" t="n">
        <f>HYPERLINK("https://sectors.patentforecast.com/pmd/US20210325381","PMD")</f>
        <v>0.0</v>
      </c>
      <c r="L1716" s="2" t="n">
        <f>HYPERLINK("https://globaldossier.uspto.gov/result/application/US/16876054/1","US20210325381")</f>
        <v>0.0</v>
      </c>
      <c r="M1716" t="s">
        <v>11883</v>
      </c>
      <c r="N1716" t="s">
        <v>11884</v>
      </c>
      <c r="O1716" t="s">
        <v>11885</v>
      </c>
      <c r="P1716" t="s">
        <v>11878</v>
      </c>
      <c r="Q1716" s="3" t="n">
        <v>43968.0</v>
      </c>
      <c r="R1716" s="3" t="n">
        <v>44490.0</v>
      </c>
      <c r="S1716" s="3" t="n">
        <v>44491.23095329861</v>
      </c>
      <c r="T1716" s="3" t="n">
        <v>44498.69916836805</v>
      </c>
      <c r="U1716" t="s">
        <v>11879</v>
      </c>
      <c r="V1716" t="s">
        <v>11886</v>
      </c>
    </row>
    <row r="1717">
      <c r="A1717" t="s">
        <v>22</v>
      </c>
      <c r="B1717" t="s">
        <v>11887</v>
      </c>
      <c r="C1717" t="s">
        <v>24</v>
      </c>
      <c r="D1717" t="s">
        <v>34</v>
      </c>
      <c r="E1717" t="s">
        <v>11888</v>
      </c>
      <c r="F1717" s="2" t="n">
        <f>HYPERLINK("https://patents.google.com/patent/US20210325380","Google")</f>
        <v>0.0</v>
      </c>
      <c r="G1717" s="2" t="n">
        <f>HYPERLINK("https://patentcenter.uspto.gov/applications/17235672","Patent Center")</f>
        <v>0.0</v>
      </c>
      <c r="H1717" s="2" t="n">
        <f>HYPERLINK("https://worldwide.espacenet.com/patent/search?q=US20210325380","Espacenet")</f>
        <v>0.0</v>
      </c>
      <c r="I1717" s="2" t="n">
        <f>HYPERLINK("https://ppubs.uspto.gov/pubwebapp/external.html?q=20210325380.pn.","USPTO")</f>
        <v>0.0</v>
      </c>
      <c r="J1717" s="2" t="n">
        <f>HYPERLINK("https://image-ppubs.uspto.gov/dirsearch-public/print/downloadPdf/20210325380","USPTO PDF")</f>
        <v>0.0</v>
      </c>
      <c r="K1717" s="2" t="n">
        <f>HYPERLINK("https://sectors.patentforecast.com/pmd/US20210325380","PMD")</f>
        <v>0.0</v>
      </c>
      <c r="L1717" s="2" t="n">
        <f>HYPERLINK("https://globaldossier.uspto.gov/result/application/US/17235672/1","US20210325380")</f>
        <v>0.0</v>
      </c>
      <c r="M1717" t="s">
        <v>11889</v>
      </c>
      <c r="N1717" t="s">
        <v>11890</v>
      </c>
      <c r="O1717" t="s">
        <v>11891</v>
      </c>
      <c r="P1717" t="s">
        <v>11892</v>
      </c>
      <c r="Q1717" s="3" t="n">
        <v>44306.0</v>
      </c>
      <c r="R1717" s="3" t="n">
        <v>44490.0</v>
      </c>
      <c r="S1717" s="3" t="n">
        <v>44491.23095329861</v>
      </c>
      <c r="T1717" s="3" t="n">
        <v>44501.54734773148</v>
      </c>
      <c r="U1717" t="s">
        <v>11893</v>
      </c>
      <c r="V1717" t="s">
        <v>11894</v>
      </c>
    </row>
    <row r="1718">
      <c r="A1718" t="s">
        <v>22</v>
      </c>
      <c r="B1718" t="s">
        <v>11895</v>
      </c>
      <c r="C1718" t="s">
        <v>24</v>
      </c>
      <c r="D1718" t="s">
        <v>34</v>
      </c>
      <c r="E1718" t="s">
        <v>6882</v>
      </c>
      <c r="F1718" s="2" t="n">
        <f>HYPERLINK("https://patents.google.com/patent/US20210325341","Google")</f>
        <v>0.0</v>
      </c>
      <c r="G1718" s="2" t="n">
        <f>HYPERLINK("https://patentcenter.uspto.gov/applications/17232130","Patent Center")</f>
        <v>0.0</v>
      </c>
      <c r="H1718" s="2" t="n">
        <f>HYPERLINK("https://worldwide.espacenet.com/patent/search?q=US20210325341","Espacenet")</f>
        <v>0.0</v>
      </c>
      <c r="I1718" s="2" t="n">
        <f>HYPERLINK("https://ppubs.uspto.gov/pubwebapp/external.html?q=20210325341.pn.","USPTO")</f>
        <v>0.0</v>
      </c>
      <c r="J1718" s="2" t="n">
        <f>HYPERLINK("https://image-ppubs.uspto.gov/dirsearch-public/print/downloadPdf/20210325341","USPTO PDF")</f>
        <v>0.0</v>
      </c>
      <c r="K1718" s="2" t="n">
        <f>HYPERLINK("https://sectors.patentforecast.com/pmd/US20210325341","PMD")</f>
        <v>0.0</v>
      </c>
      <c r="L1718" s="2" t="n">
        <f>HYPERLINK("https://globaldossier.uspto.gov/result/application/US/17232130/1","US20210325341")</f>
        <v>0.0</v>
      </c>
      <c r="M1718" t="s">
        <v>11896</v>
      </c>
      <c r="N1718" t="s">
        <v>6884</v>
      </c>
      <c r="O1718" t="s">
        <v>6885</v>
      </c>
      <c r="P1718" t="s">
        <v>11897</v>
      </c>
      <c r="Q1718" s="3" t="n">
        <v>44301.0</v>
      </c>
      <c r="R1718" s="3" t="n">
        <v>44490.0</v>
      </c>
      <c r="S1718" s="3" t="n">
        <v>44491.23095329861</v>
      </c>
      <c r="T1718" s="3" t="n">
        <v>44501.5499578588</v>
      </c>
      <c r="U1718" t="s">
        <v>11898</v>
      </c>
      <c r="V1718" t="s">
        <v>6887</v>
      </c>
    </row>
    <row r="1719">
      <c r="A1719" t="s">
        <v>22</v>
      </c>
      <c r="B1719" t="s">
        <v>11899</v>
      </c>
      <c r="C1719" t="s">
        <v>24</v>
      </c>
      <c r="D1719" t="s">
        <v>34</v>
      </c>
      <c r="E1719" t="s">
        <v>11900</v>
      </c>
      <c r="F1719" s="2" t="n">
        <f>HYPERLINK("https://patents.google.com/patent/US20210325279","Google")</f>
        <v>0.0</v>
      </c>
      <c r="G1719" s="2" t="n">
        <f>HYPERLINK("https://patentcenter.uspto.gov/applications/17065488","Patent Center")</f>
        <v>0.0</v>
      </c>
      <c r="H1719" s="2" t="n">
        <f>HYPERLINK("https://worldwide.espacenet.com/patent/search?q=US20210325279","Espacenet")</f>
        <v>0.0</v>
      </c>
      <c r="I1719" s="2" t="n">
        <f>HYPERLINK("https://ppubs.uspto.gov/pubwebapp/external.html?q=20210325279.pn.","USPTO")</f>
        <v>0.0</v>
      </c>
      <c r="J1719" s="2" t="n">
        <f>HYPERLINK("https://image-ppubs.uspto.gov/dirsearch-public/print/downloadPdf/20210325279","USPTO PDF")</f>
        <v>0.0</v>
      </c>
      <c r="K1719" s="2" t="n">
        <f>HYPERLINK("https://sectors.patentforecast.com/pmd/US20210325279","PMD")</f>
        <v>0.0</v>
      </c>
      <c r="L1719" s="2" t="n">
        <f>HYPERLINK("https://globaldossier.uspto.gov/result/application/US/17065488/1","US20210325279")</f>
        <v>0.0</v>
      </c>
      <c r="M1719" t="s">
        <v>11901</v>
      </c>
      <c r="N1719" t="s">
        <v>11884</v>
      </c>
      <c r="O1719" t="s">
        <v>11885</v>
      </c>
      <c r="P1719" t="s">
        <v>11878</v>
      </c>
      <c r="Q1719" s="3" t="n">
        <v>44111.0</v>
      </c>
      <c r="R1719" s="3" t="n">
        <v>44490.0</v>
      </c>
      <c r="S1719" s="3" t="n">
        <v>44491.23095329861</v>
      </c>
      <c r="T1719" s="3" t="n">
        <v>44678.63538731482</v>
      </c>
      <c r="U1719" t="s">
        <v>11902</v>
      </c>
      <c r="V1719" t="s">
        <v>11903</v>
      </c>
    </row>
    <row r="1720">
      <c r="A1720" t="s">
        <v>22</v>
      </c>
      <c r="B1720" t="s">
        <v>11904</v>
      </c>
      <c r="C1720" t="s">
        <v>24</v>
      </c>
      <c r="D1720" t="s">
        <v>25</v>
      </c>
      <c r="E1720" t="s">
        <v>11905</v>
      </c>
      <c r="F1720" s="2" t="n">
        <f>HYPERLINK("https://patents.google.com/patent/US20210325260","Google")</f>
        <v>0.0</v>
      </c>
      <c r="G1720" s="2" t="n">
        <f>HYPERLINK("https://patentcenter.uspto.gov/applications/17229135","Patent Center")</f>
        <v>0.0</v>
      </c>
      <c r="H1720" s="2" t="n">
        <f>HYPERLINK("https://worldwide.espacenet.com/patent/search?q=US20210325260","Espacenet")</f>
        <v>0.0</v>
      </c>
      <c r="I1720" s="2" t="n">
        <f>HYPERLINK("https://ppubs.uspto.gov/pubwebapp/external.html?q=20210325260.pn.","USPTO")</f>
        <v>0.0</v>
      </c>
      <c r="J1720" s="2" t="n">
        <f>HYPERLINK("https://image-ppubs.uspto.gov/dirsearch-public/print/downloadPdf/20210325260","USPTO PDF")</f>
        <v>0.0</v>
      </c>
      <c r="K1720" s="2" t="n">
        <f>HYPERLINK("https://sectors.patentforecast.com/pmd/US20210325260","PMD")</f>
        <v>0.0</v>
      </c>
      <c r="L1720" s="2" t="n">
        <f>HYPERLINK("https://globaldossier.uspto.gov/result/application/US/17229135/1","US20210325260")</f>
        <v>0.0</v>
      </c>
      <c r="M1720" t="s">
        <v>11906</v>
      </c>
      <c r="N1720" t="s">
        <v>11907</v>
      </c>
      <c r="O1720" t="s">
        <v>11908</v>
      </c>
      <c r="P1720" t="s">
        <v>11909</v>
      </c>
      <c r="Q1720" s="3" t="n">
        <v>44299.0</v>
      </c>
      <c r="R1720" s="3" t="n">
        <v>44490.0</v>
      </c>
      <c r="S1720" s="3" t="n">
        <v>44491.23095329861</v>
      </c>
      <c r="T1720" s="3" t="n">
        <v>44501.579121076385</v>
      </c>
      <c r="U1720" t="s">
        <v>11910</v>
      </c>
      <c r="V1720" t="s">
        <v>11911</v>
      </c>
    </row>
    <row r="1721">
      <c r="A1721" t="s">
        <v>22</v>
      </c>
      <c r="B1721" t="s">
        <v>11912</v>
      </c>
      <c r="C1721" t="s">
        <v>60</v>
      </c>
      <c r="D1721" t="s">
        <v>715</v>
      </c>
      <c r="E1721" t="s">
        <v>11913</v>
      </c>
      <c r="F1721" s="2" t="n">
        <f>HYPERLINK("https://patents.google.com/patent/US20210325064","Google")</f>
        <v>0.0</v>
      </c>
      <c r="G1721" s="2" t="n">
        <f>HYPERLINK("https://patentcenter.uspto.gov/applications/17233687","Patent Center")</f>
        <v>0.0</v>
      </c>
      <c r="H1721" s="2" t="n">
        <f>HYPERLINK("https://worldwide.espacenet.com/patent/search?q=US20210325064","Espacenet")</f>
        <v>0.0</v>
      </c>
      <c r="I1721" s="2" t="n">
        <f>HYPERLINK("https://ppubs.uspto.gov/pubwebapp/external.html?q=20210325064.pn.","USPTO")</f>
        <v>0.0</v>
      </c>
      <c r="J1721" s="2" t="n">
        <f>HYPERLINK("https://image-ppubs.uspto.gov/dirsearch-public/print/downloadPdf/20210325064","USPTO PDF")</f>
        <v>0.0</v>
      </c>
      <c r="K1721" s="2" t="n">
        <f>HYPERLINK("https://sectors.patentforecast.com/pmd/US20210325064","PMD")</f>
        <v>0.0</v>
      </c>
      <c r="L1721" s="2" t="n">
        <f>HYPERLINK("https://globaldossier.uspto.gov/result/application/US/17233687/1","US20210325064")</f>
        <v>0.0</v>
      </c>
      <c r="M1721" t="s">
        <v>11914</v>
      </c>
      <c r="N1721" t="s">
        <v>11915</v>
      </c>
      <c r="O1721" t="s">
        <v>11916</v>
      </c>
      <c r="P1721" t="s">
        <v>11917</v>
      </c>
      <c r="Q1721" s="3" t="n">
        <v>44305.0</v>
      </c>
      <c r="R1721" s="3" t="n">
        <v>44490.0</v>
      </c>
      <c r="S1721" s="3" t="n">
        <v>44491.23095329861</v>
      </c>
      <c r="T1721" s="3" t="n">
        <v>44501.566049166664</v>
      </c>
      <c r="U1721" t="s">
        <v>11918</v>
      </c>
      <c r="V1721" t="s">
        <v>11919</v>
      </c>
    </row>
    <row r="1722">
      <c r="A1722" t="s">
        <v>22</v>
      </c>
      <c r="B1722" t="s">
        <v>11920</v>
      </c>
      <c r="C1722" t="s">
        <v>24</v>
      </c>
      <c r="D1722" t="s">
        <v>69</v>
      </c>
      <c r="E1722" t="s">
        <v>11921</v>
      </c>
      <c r="F1722" s="2" t="n">
        <f>HYPERLINK("https://patents.google.com/patent/US20210324654","Google")</f>
        <v>0.0</v>
      </c>
      <c r="G1722" s="2" t="n">
        <f>HYPERLINK("https://patentcenter.uspto.gov/applications/16853605","Patent Center")</f>
        <v>0.0</v>
      </c>
      <c r="H1722" s="2" t="n">
        <f>HYPERLINK("https://worldwide.espacenet.com/patent/search?q=US20210324654","Espacenet")</f>
        <v>0.0</v>
      </c>
      <c r="I1722" s="2" t="n">
        <f>HYPERLINK("https://ppubs.uspto.gov/pubwebapp/external.html?q=20210324654.pn.","USPTO")</f>
        <v>0.0</v>
      </c>
      <c r="J1722" s="2" t="n">
        <f>HYPERLINK("https://image-ppubs.uspto.gov/dirsearch-public/print/downloadPdf/20210324654","USPTO PDF")</f>
        <v>0.0</v>
      </c>
      <c r="K1722" s="2" t="n">
        <f>HYPERLINK("https://sectors.patentforecast.com/pmd/US20210324654","PMD")</f>
        <v>0.0</v>
      </c>
      <c r="L1722" s="2" t="n">
        <f>HYPERLINK("https://globaldossier.uspto.gov/result/application/US/16853605/1","US20210324654")</f>
        <v>0.0</v>
      </c>
      <c r="M1722" t="s">
        <v>11922</v>
      </c>
      <c r="N1722" t="s">
        <v>11923</v>
      </c>
      <c r="O1722" t="s">
        <v>11923</v>
      </c>
      <c r="P1722" t="s">
        <v>11924</v>
      </c>
      <c r="Q1722" s="3" t="n">
        <v>43941.0</v>
      </c>
      <c r="R1722" s="3" t="n">
        <v>44490.0</v>
      </c>
      <c r="S1722" s="3" t="n">
        <v>44491.23095329861</v>
      </c>
      <c r="T1722" s="3" t="n">
        <v>44498.69770936343</v>
      </c>
      <c r="U1722" t="s">
        <v>11925</v>
      </c>
      <c r="V1722" t="s">
        <v>11926</v>
      </c>
    </row>
    <row r="1723">
      <c r="A1723" t="s">
        <v>22</v>
      </c>
      <c r="B1723" t="s">
        <v>11927</v>
      </c>
      <c r="C1723" t="s">
        <v>24</v>
      </c>
      <c r="D1723" t="s">
        <v>11928</v>
      </c>
      <c r="E1723" t="s">
        <v>11929</v>
      </c>
      <c r="F1723" s="2" t="n">
        <f>HYPERLINK("https://patents.google.com/patent/US20210324485","Google")</f>
        <v>0.0</v>
      </c>
      <c r="G1723" s="2" t="n">
        <f>HYPERLINK("https://patentcenter.uspto.gov/applications/17165935","Patent Center")</f>
        <v>0.0</v>
      </c>
      <c r="H1723" s="2" t="n">
        <f>HYPERLINK("https://worldwide.espacenet.com/patent/search?q=US20210324485","Espacenet")</f>
        <v>0.0</v>
      </c>
      <c r="I1723" s="2" t="n">
        <f>HYPERLINK("https://ppubs.uspto.gov/pubwebapp/external.html?q=20210324485.pn.","USPTO")</f>
        <v>0.0</v>
      </c>
      <c r="J1723" s="2" t="n">
        <f>HYPERLINK("https://image-ppubs.uspto.gov/dirsearch-public/print/downloadPdf/20210324485","USPTO PDF")</f>
        <v>0.0</v>
      </c>
      <c r="K1723" s="2" t="n">
        <f>HYPERLINK("https://sectors.patentforecast.com/pmd/US20210324485","PMD")</f>
        <v>0.0</v>
      </c>
      <c r="L1723" s="2" t="n">
        <f>HYPERLINK("https://globaldossier.uspto.gov/result/application/US/17165935/1","US20210324485")</f>
        <v>0.0</v>
      </c>
      <c r="M1723" t="s">
        <v>11930</v>
      </c>
      <c r="N1723" t="s">
        <v>11931</v>
      </c>
      <c r="O1723" t="s">
        <v>11932</v>
      </c>
      <c r="P1723" t="s">
        <v>11933</v>
      </c>
      <c r="Q1723" s="3" t="n">
        <v>44229.0</v>
      </c>
      <c r="R1723" s="3" t="n">
        <v>44490.0</v>
      </c>
      <c r="S1723" s="3" t="n">
        <v>44491.23095329861</v>
      </c>
      <c r="T1723" s="3" t="n">
        <v>44501.56711174769</v>
      </c>
      <c r="U1723" t="s">
        <v>5807</v>
      </c>
      <c r="V1723" t="s">
        <v>11934</v>
      </c>
    </row>
    <row r="1724">
      <c r="A1724" t="s">
        <v>22</v>
      </c>
      <c r="B1724" t="s">
        <v>11935</v>
      </c>
      <c r="C1724" t="s">
        <v>24</v>
      </c>
      <c r="D1724" t="s">
        <v>34</v>
      </c>
      <c r="E1724" t="s">
        <v>10931</v>
      </c>
      <c r="F1724" s="2" t="n">
        <f>HYPERLINK("https://patents.google.com/patent/US20210324484","Google")</f>
        <v>0.0</v>
      </c>
      <c r="G1724" s="2" t="n">
        <f>HYPERLINK("https://patentcenter.uspto.gov/applications/17078249","Patent Center")</f>
        <v>0.0</v>
      </c>
      <c r="H1724" s="2" t="n">
        <f>HYPERLINK("https://worldwide.espacenet.com/patent/search?q=US20210324484","Espacenet")</f>
        <v>0.0</v>
      </c>
      <c r="I1724" s="2" t="n">
        <f>HYPERLINK("https://ppubs.uspto.gov/pubwebapp/external.html?q=20210324484.pn.","USPTO")</f>
        <v>0.0</v>
      </c>
      <c r="J1724" s="2" t="n">
        <f>HYPERLINK("https://image-ppubs.uspto.gov/dirsearch-public/print/downloadPdf/20210324484","USPTO PDF")</f>
        <v>0.0</v>
      </c>
      <c r="K1724" s="2" t="n">
        <f>HYPERLINK("https://sectors.patentforecast.com/pmd/US20210324484","PMD")</f>
        <v>0.0</v>
      </c>
      <c r="L1724" s="2" t="n">
        <f>HYPERLINK("https://globaldossier.uspto.gov/result/application/US/17078249/1","US20210324484")</f>
        <v>0.0</v>
      </c>
      <c r="M1724" t="s">
        <v>11936</v>
      </c>
      <c r="N1724" t="s">
        <v>10933</v>
      </c>
      <c r="O1724" t="s">
        <v>10934</v>
      </c>
      <c r="P1724" t="s">
        <v>10935</v>
      </c>
      <c r="Q1724" s="3" t="n">
        <v>44127.0</v>
      </c>
      <c r="R1724" s="3" t="n">
        <v>44490.0</v>
      </c>
      <c r="S1724" s="3" t="n">
        <v>44491.23095329861</v>
      </c>
      <c r="T1724" s="3" t="n">
        <v>44501.545057152776</v>
      </c>
      <c r="U1724" t="s">
        <v>5807</v>
      </c>
      <c r="V1724" t="s">
        <v>10937</v>
      </c>
    </row>
    <row r="1725">
      <c r="A1725" t="s">
        <v>22</v>
      </c>
      <c r="B1725" t="s">
        <v>11937</v>
      </c>
      <c r="C1725" t="s">
        <v>132</v>
      </c>
      <c r="D1725" t="s">
        <v>133</v>
      </c>
      <c r="E1725" t="s">
        <v>11938</v>
      </c>
      <c r="F1725" s="2" t="n">
        <f>HYPERLINK("https://patents.google.com/patent/US20210324392","Google")</f>
        <v>0.0</v>
      </c>
      <c r="G1725" s="2" t="n">
        <f>HYPERLINK("https://patentcenter.uspto.gov/applications/16995027","Patent Center")</f>
        <v>0.0</v>
      </c>
      <c r="H1725" s="2" t="n">
        <f>HYPERLINK("https://worldwide.espacenet.com/patent/search?q=US20210324392","Espacenet")</f>
        <v>0.0</v>
      </c>
      <c r="I1725" s="2" t="n">
        <f>HYPERLINK("https://ppubs.uspto.gov/pubwebapp/external.html?q=20210324392.pn.","USPTO")</f>
        <v>0.0</v>
      </c>
      <c r="J1725" s="2" t="n">
        <f>HYPERLINK("https://image-ppubs.uspto.gov/dirsearch-public/print/downloadPdf/20210324392","USPTO PDF")</f>
        <v>0.0</v>
      </c>
      <c r="K1725" s="2" t="n">
        <f>HYPERLINK("https://sectors.patentforecast.com/pmd/US20210324392","PMD")</f>
        <v>0.0</v>
      </c>
      <c r="L1725" s="2" t="n">
        <f>HYPERLINK("https://globaldossier.uspto.gov/result/application/US/16995027/1","US20210324392")</f>
        <v>0.0</v>
      </c>
      <c r="M1725" t="s">
        <v>11939</v>
      </c>
      <c r="N1725" t="s">
        <v>11940</v>
      </c>
      <c r="O1725" t="s">
        <v>11941</v>
      </c>
      <c r="P1725" t="s">
        <v>11942</v>
      </c>
      <c r="Q1725" s="3" t="n">
        <v>44060.0</v>
      </c>
      <c r="R1725" s="3" t="n">
        <v>44490.0</v>
      </c>
      <c r="S1725" s="3" t="n">
        <v>44491.23095329861</v>
      </c>
      <c r="T1725" s="3" t="n">
        <v>44498.705788287036</v>
      </c>
      <c r="U1725" t="s">
        <v>11943</v>
      </c>
      <c r="V1725" t="s">
        <v>11944</v>
      </c>
    </row>
    <row r="1726">
      <c r="A1726" t="s">
        <v>22</v>
      </c>
      <c r="B1726" t="s">
        <v>11945</v>
      </c>
      <c r="C1726" t="s">
        <v>60</v>
      </c>
      <c r="D1726" t="s">
        <v>61</v>
      </c>
      <c r="E1726" t="s">
        <v>11946</v>
      </c>
      <c r="F1726" s="2" t="n">
        <f>HYPERLINK("https://patents.google.com/patent/US20210324339","Google")</f>
        <v>0.0</v>
      </c>
      <c r="G1726" s="2" t="n">
        <f>HYPERLINK("https://patentcenter.uspto.gov/applications/17327719","Patent Center")</f>
        <v>0.0</v>
      </c>
      <c r="H1726" s="2" t="n">
        <f>HYPERLINK("https://worldwide.espacenet.com/patent/search?q=US20210324339","Espacenet")</f>
        <v>0.0</v>
      </c>
      <c r="I1726" s="2" t="n">
        <f>HYPERLINK("https://ppubs.uspto.gov/pubwebapp/external.html?q=20210324339.pn.","USPTO")</f>
        <v>0.0</v>
      </c>
      <c r="J1726" s="2" t="n">
        <f>HYPERLINK("https://image-ppubs.uspto.gov/dirsearch-public/print/downloadPdf/20210324339","USPTO PDF")</f>
        <v>0.0</v>
      </c>
      <c r="K1726" s="2" t="n">
        <f>HYPERLINK("https://sectors.patentforecast.com/pmd/US20210324339","PMD")</f>
        <v>0.0</v>
      </c>
      <c r="L1726" s="2" t="n">
        <f>HYPERLINK("https://globaldossier.uspto.gov/result/application/US/17327719/1","US20210324339")</f>
        <v>0.0</v>
      </c>
      <c r="M1726" t="s">
        <v>11947</v>
      </c>
      <c r="N1726" t="s">
        <v>11948</v>
      </c>
      <c r="O1726" t="s">
        <v>11949</v>
      </c>
      <c r="P1726" t="s">
        <v>11950</v>
      </c>
      <c r="Q1726" s="3" t="n">
        <v>44339.0</v>
      </c>
      <c r="R1726" s="3" t="n">
        <v>44490.0</v>
      </c>
      <c r="S1726" s="3" t="n">
        <v>44491.23095329861</v>
      </c>
      <c r="T1726" s="3" t="n">
        <v>44501.55275728009</v>
      </c>
      <c r="U1726" t="s">
        <v>11951</v>
      </c>
      <c r="V1726" t="s">
        <v>11952</v>
      </c>
    </row>
    <row r="1727">
      <c r="A1727" t="s">
        <v>22</v>
      </c>
      <c r="B1727" t="s">
        <v>11953</v>
      </c>
      <c r="C1727" t="s">
        <v>60</v>
      </c>
      <c r="D1727" t="s">
        <v>61</v>
      </c>
      <c r="E1727" t="s">
        <v>11954</v>
      </c>
      <c r="F1727" s="2" t="n">
        <f>HYPERLINK("https://patents.google.com/patent/US20210324107","Google")</f>
        <v>0.0</v>
      </c>
      <c r="G1727" s="2" t="n">
        <f>HYPERLINK("https://patentcenter.uspto.gov/applications/17233901","Patent Center")</f>
        <v>0.0</v>
      </c>
      <c r="H1727" s="2" t="n">
        <f>HYPERLINK("https://worldwide.espacenet.com/patent/search?q=US20210324107","Espacenet")</f>
        <v>0.0</v>
      </c>
      <c r="I1727" s="2" t="n">
        <f>HYPERLINK("https://ppubs.uspto.gov/pubwebapp/external.html?q=20210324107.pn.","USPTO")</f>
        <v>0.0</v>
      </c>
      <c r="J1727" s="2" t="n">
        <f>HYPERLINK("https://image-ppubs.uspto.gov/dirsearch-public/print/downloadPdf/20210324107","USPTO PDF")</f>
        <v>0.0</v>
      </c>
      <c r="K1727" s="2" t="n">
        <f>HYPERLINK("https://sectors.patentforecast.com/pmd/US20210324107","PMD")</f>
        <v>0.0</v>
      </c>
      <c r="L1727" s="2" t="n">
        <f>HYPERLINK("https://globaldossier.uspto.gov/result/application/US/17233901/1","US20210324107")</f>
        <v>0.0</v>
      </c>
      <c r="M1727" t="s">
        <v>11955</v>
      </c>
      <c r="N1727" t="s">
        <v>11956</v>
      </c>
      <c r="O1727" t="s">
        <v>11957</v>
      </c>
      <c r="P1727" t="s">
        <v>11958</v>
      </c>
      <c r="Q1727" s="3" t="n">
        <v>44305.0</v>
      </c>
      <c r="R1727" s="3" t="n">
        <v>44490.0</v>
      </c>
      <c r="S1727" s="3" t="n">
        <v>44491.23095329861</v>
      </c>
      <c r="T1727" s="3" t="n">
        <v>44501.56532327546</v>
      </c>
      <c r="U1727" t="s">
        <v>11959</v>
      </c>
      <c r="V1727" t="s">
        <v>11960</v>
      </c>
    </row>
    <row r="1728">
      <c r="A1728" t="s">
        <v>22</v>
      </c>
      <c r="B1728" t="s">
        <v>11961</v>
      </c>
      <c r="C1728" t="s">
        <v>60</v>
      </c>
      <c r="D1728" t="s">
        <v>61</v>
      </c>
      <c r="E1728" t="s">
        <v>244</v>
      </c>
      <c r="F1728" s="2" t="n">
        <f>HYPERLINK("https://patents.google.com/patent/US20210324048","Google")</f>
        <v>0.0</v>
      </c>
      <c r="G1728" s="2" t="n">
        <f>HYPERLINK("https://patentcenter.uspto.gov/applications/17226153","Patent Center")</f>
        <v>0.0</v>
      </c>
      <c r="H1728" s="2" t="n">
        <f>HYPERLINK("https://worldwide.espacenet.com/patent/search?q=US20210324048","Espacenet")</f>
        <v>0.0</v>
      </c>
      <c r="I1728" s="2" t="n">
        <f>HYPERLINK("https://ppubs.uspto.gov/pubwebapp/external.html?q=20210324048.pn.","USPTO")</f>
        <v>0.0</v>
      </c>
      <c r="J1728" s="2" t="n">
        <f>HYPERLINK("https://image-ppubs.uspto.gov/dirsearch-public/print/downloadPdf/20210324048","USPTO PDF")</f>
        <v>0.0</v>
      </c>
      <c r="K1728" s="2" t="n">
        <f>HYPERLINK("https://sectors.patentforecast.com/pmd/US20210324048","PMD")</f>
        <v>0.0</v>
      </c>
      <c r="L1728" s="2" t="n">
        <f>HYPERLINK("https://globaldossier.uspto.gov/result/application/US/17226153/1","US20210324048")</f>
        <v>0.0</v>
      </c>
      <c r="M1728" t="s">
        <v>11962</v>
      </c>
      <c r="N1728" t="s">
        <v>7848</v>
      </c>
      <c r="O1728" t="s">
        <v>7849</v>
      </c>
      <c r="P1728" t="s">
        <v>248</v>
      </c>
      <c r="Q1728" s="3" t="n">
        <v>44295.0</v>
      </c>
      <c r="R1728" s="3" t="n">
        <v>44490.0</v>
      </c>
      <c r="S1728" s="3" t="n">
        <v>44491.23095329861</v>
      </c>
      <c r="T1728" s="3" t="n">
        <v>44501.51053806713</v>
      </c>
      <c r="U1728" t="s">
        <v>8732</v>
      </c>
      <c r="V1728" t="s">
        <v>249</v>
      </c>
    </row>
    <row r="1729">
      <c r="A1729" t="s">
        <v>22</v>
      </c>
      <c r="B1729" t="s">
        <v>11963</v>
      </c>
      <c r="C1729" t="s">
        <v>60</v>
      </c>
      <c r="D1729" t="s">
        <v>61</v>
      </c>
      <c r="E1729" t="s">
        <v>11964</v>
      </c>
      <c r="F1729" s="2" t="n">
        <f>HYPERLINK("https://patents.google.com/patent/US20210324047","Google")</f>
        <v>0.0</v>
      </c>
      <c r="G1729" s="2" t="n">
        <f>HYPERLINK("https://patentcenter.uspto.gov/applications/17235652","Patent Center")</f>
        <v>0.0</v>
      </c>
      <c r="H1729" s="2" t="n">
        <f>HYPERLINK("https://worldwide.espacenet.com/patent/search?q=US20210324047","Espacenet")</f>
        <v>0.0</v>
      </c>
      <c r="I1729" s="2" t="n">
        <f>HYPERLINK("https://ppubs.uspto.gov/pubwebapp/external.html?q=20210324047.pn.","USPTO")</f>
        <v>0.0</v>
      </c>
      <c r="J1729" s="2" t="n">
        <f>HYPERLINK("https://image-ppubs.uspto.gov/dirsearch-public/print/downloadPdf/20210324047","USPTO PDF")</f>
        <v>0.0</v>
      </c>
      <c r="K1729" s="2" t="n">
        <f>HYPERLINK("https://sectors.patentforecast.com/pmd/US20210324047","PMD")</f>
        <v>0.0</v>
      </c>
      <c r="L1729" s="2" t="n">
        <f>HYPERLINK("https://globaldossier.uspto.gov/result/application/US/17235652/1","US20210324047")</f>
        <v>0.0</v>
      </c>
      <c r="M1729" t="s">
        <v>11965</v>
      </c>
      <c r="N1729" t="s">
        <v>11966</v>
      </c>
      <c r="O1729" t="s">
        <v>11967</v>
      </c>
      <c r="P1729" t="s">
        <v>11968</v>
      </c>
      <c r="Q1729" s="3" t="n">
        <v>44306.0</v>
      </c>
      <c r="R1729" s="3" t="n">
        <v>44490.0</v>
      </c>
      <c r="S1729" s="3" t="n">
        <v>44491.22978872685</v>
      </c>
      <c r="T1729" s="3" t="n">
        <v>44501.54489519676</v>
      </c>
      <c r="U1729" t="s">
        <v>11969</v>
      </c>
      <c r="V1729" t="s">
        <v>11970</v>
      </c>
    </row>
    <row r="1730">
      <c r="A1730" t="s">
        <v>22</v>
      </c>
      <c r="B1730" t="s">
        <v>11971</v>
      </c>
      <c r="C1730" t="s">
        <v>60</v>
      </c>
      <c r="D1730" t="s">
        <v>61</v>
      </c>
      <c r="E1730" t="s">
        <v>11972</v>
      </c>
      <c r="F1730" s="2" t="n">
        <f>HYPERLINK("https://patents.google.com/patent/US20210324005","Google")</f>
        <v>0.0</v>
      </c>
      <c r="G1730" s="2" t="n">
        <f>HYPERLINK("https://patentcenter.uspto.gov/applications/17235254","Patent Center")</f>
        <v>0.0</v>
      </c>
      <c r="H1730" s="2" t="n">
        <f>HYPERLINK("https://worldwide.espacenet.com/patent/search?q=US20210324005","Espacenet")</f>
        <v>0.0</v>
      </c>
      <c r="I1730" s="2" t="n">
        <f>HYPERLINK("https://ppubs.uspto.gov/pubwebapp/external.html?q=20210324005.pn.","USPTO")</f>
        <v>0.0</v>
      </c>
      <c r="J1730" s="2" t="n">
        <f>HYPERLINK("https://image-ppubs.uspto.gov/dirsearch-public/print/downloadPdf/20210324005","USPTO PDF")</f>
        <v>0.0</v>
      </c>
      <c r="K1730" s="2" t="n">
        <f>HYPERLINK("https://sectors.patentforecast.com/pmd/US20210324005","PMD")</f>
        <v>0.0</v>
      </c>
      <c r="L1730" s="2" t="n">
        <f>HYPERLINK("https://globaldossier.uspto.gov/result/application/US/17235254/1","US20210324005")</f>
        <v>0.0</v>
      </c>
      <c r="M1730" t="s">
        <v>11973</v>
      </c>
      <c r="N1730" t="s">
        <v>11974</v>
      </c>
      <c r="O1730" t="s">
        <v>11975</v>
      </c>
      <c r="P1730" t="s">
        <v>11976</v>
      </c>
      <c r="Q1730" s="3" t="n">
        <v>44306.0</v>
      </c>
      <c r="R1730" s="3" t="n">
        <v>44490.0</v>
      </c>
      <c r="S1730" s="3" t="n">
        <v>44491.231531377314</v>
      </c>
      <c r="T1730" s="3" t="n">
        <v>44501.57925238426</v>
      </c>
      <c r="U1730" t="s">
        <v>11977</v>
      </c>
      <c r="V1730" t="s">
        <v>11978</v>
      </c>
    </row>
    <row r="1731">
      <c r="A1731" t="s">
        <v>22</v>
      </c>
      <c r="B1731" t="s">
        <v>11979</v>
      </c>
      <c r="C1731" t="s">
        <v>60</v>
      </c>
      <c r="D1731" t="s">
        <v>61</v>
      </c>
      <c r="E1731" t="s">
        <v>11980</v>
      </c>
      <c r="F1731" s="2" t="n">
        <f>HYPERLINK("https://patents.google.com/patent/US20210324004","Google")</f>
        <v>0.0</v>
      </c>
      <c r="G1731" s="2" t="n">
        <f>HYPERLINK("https://patentcenter.uspto.gov/applications/17133035","Patent Center")</f>
        <v>0.0</v>
      </c>
      <c r="H1731" s="2" t="n">
        <f>HYPERLINK("https://worldwide.espacenet.com/patent/search?q=US20210324004","Espacenet")</f>
        <v>0.0</v>
      </c>
      <c r="I1731" s="2" t="n">
        <f>HYPERLINK("https://ppubs.uspto.gov/pubwebapp/external.html?q=20210324004.pn.","USPTO")</f>
        <v>0.0</v>
      </c>
      <c r="J1731" s="2" t="n">
        <f>HYPERLINK("https://image-ppubs.uspto.gov/dirsearch-public/print/downloadPdf/20210324004","USPTO PDF")</f>
        <v>0.0</v>
      </c>
      <c r="K1731" s="2" t="n">
        <f>HYPERLINK("https://sectors.patentforecast.com/pmd/US20210324004","PMD")</f>
        <v>0.0</v>
      </c>
      <c r="L1731" s="2" t="n">
        <f>HYPERLINK("https://globaldossier.uspto.gov/result/application/US/17133035/1","US20210324004")</f>
        <v>0.0</v>
      </c>
      <c r="M1731" t="s">
        <v>11981</v>
      </c>
      <c r="N1731" t="s">
        <v>11982</v>
      </c>
      <c r="O1731" t="s">
        <v>11982</v>
      </c>
      <c r="P1731" t="s">
        <v>11983</v>
      </c>
      <c r="Q1731" s="3" t="n">
        <v>44188.0</v>
      </c>
      <c r="R1731" s="3" t="n">
        <v>44490.0</v>
      </c>
      <c r="S1731" s="3" t="n">
        <v>44491.231531377314</v>
      </c>
      <c r="T1731" s="3" t="n">
        <v>44501.56662945602</v>
      </c>
      <c r="U1731" t="s">
        <v>11984</v>
      </c>
      <c r="V1731" t="s">
        <v>11985</v>
      </c>
    </row>
    <row r="1732">
      <c r="A1732" t="s">
        <v>22</v>
      </c>
      <c r="B1732" t="s">
        <v>11986</v>
      </c>
      <c r="C1732" t="s">
        <v>60</v>
      </c>
      <c r="D1732" t="s">
        <v>61</v>
      </c>
      <c r="E1732" t="s">
        <v>11987</v>
      </c>
      <c r="F1732" s="2" t="n">
        <f>HYPERLINK("https://patents.google.com/patent/US20210324003","Google")</f>
        <v>0.0</v>
      </c>
      <c r="G1732" s="2" t="n">
        <f>HYPERLINK("https://patentcenter.uspto.gov/applications/17231415","Patent Center")</f>
        <v>0.0</v>
      </c>
      <c r="H1732" s="2" t="n">
        <f>HYPERLINK("https://worldwide.espacenet.com/patent/search?q=US20210324003","Espacenet")</f>
        <v>0.0</v>
      </c>
      <c r="I1732" s="2" t="n">
        <f>HYPERLINK("https://ppubs.uspto.gov/pubwebapp/external.html?q=20210324003.pn.","USPTO")</f>
        <v>0.0</v>
      </c>
      <c r="J1732" s="2" t="n">
        <f>HYPERLINK("https://image-ppubs.uspto.gov/dirsearch-public/print/downloadPdf/20210324003","USPTO PDF")</f>
        <v>0.0</v>
      </c>
      <c r="K1732" s="2" t="n">
        <f>HYPERLINK("https://sectors.patentforecast.com/pmd/US20210324003","PMD")</f>
        <v>0.0</v>
      </c>
      <c r="L1732" s="2" t="n">
        <f>HYPERLINK("https://globaldossier.uspto.gov/result/application/US/17231415/1","US20210324003")</f>
        <v>0.0</v>
      </c>
      <c r="M1732" t="s">
        <v>11988</v>
      </c>
      <c r="N1732" t="s">
        <v>7310</v>
      </c>
      <c r="O1732" t="s">
        <v>7311</v>
      </c>
      <c r="P1732" t="s">
        <v>11989</v>
      </c>
      <c r="Q1732" s="3" t="n">
        <v>44301.0</v>
      </c>
      <c r="R1732" s="3" t="n">
        <v>44490.0</v>
      </c>
      <c r="S1732" s="3" t="n">
        <v>44491.23349197917</v>
      </c>
      <c r="T1732" s="3" t="n">
        <v>44501.56737803241</v>
      </c>
      <c r="U1732" t="s">
        <v>11990</v>
      </c>
      <c r="V1732" t="s">
        <v>11991</v>
      </c>
    </row>
    <row r="1733">
      <c r="A1733" t="s">
        <v>22</v>
      </c>
      <c r="B1733" t="s">
        <v>11992</v>
      </c>
      <c r="C1733" t="s">
        <v>24</v>
      </c>
      <c r="D1733" t="s">
        <v>100</v>
      </c>
      <c r="E1733" t="s">
        <v>11993</v>
      </c>
      <c r="F1733" s="2" t="n">
        <f>HYPERLINK("https://patents.google.com/patent/US20210322915","Google")</f>
        <v>0.0</v>
      </c>
      <c r="G1733" s="2" t="n">
        <f>HYPERLINK("https://patentcenter.uspto.gov/applications/17227347","Patent Center")</f>
        <v>0.0</v>
      </c>
      <c r="H1733" s="2" t="n">
        <f>HYPERLINK("https://worldwide.espacenet.com/patent/search?q=US20210322915","Espacenet")</f>
        <v>0.0</v>
      </c>
      <c r="I1733" s="2" t="n">
        <f>HYPERLINK("https://ppubs.uspto.gov/pubwebapp/external.html?q=20210322915.pn.","USPTO")</f>
        <v>0.0</v>
      </c>
      <c r="J1733" s="2" t="n">
        <f>HYPERLINK("https://image-ppubs.uspto.gov/dirsearch-public/print/downloadPdf/20210322915","USPTO PDF")</f>
        <v>0.0</v>
      </c>
      <c r="K1733" s="2" t="n">
        <f>HYPERLINK("https://sectors.patentforecast.com/pmd/US20210322915","PMD")</f>
        <v>0.0</v>
      </c>
      <c r="L1733" s="2" t="n">
        <f>HYPERLINK("https://globaldossier.uspto.gov/result/application/US/17227347/1","US20210322915")</f>
        <v>0.0</v>
      </c>
      <c r="M1733" t="s">
        <v>11994</v>
      </c>
      <c r="N1733" t="s">
        <v>11995</v>
      </c>
      <c r="O1733" t="s">
        <v>11996</v>
      </c>
      <c r="P1733" t="s">
        <v>11997</v>
      </c>
      <c r="Q1733" s="3" t="n">
        <v>44297.0</v>
      </c>
      <c r="R1733" s="3" t="n">
        <v>44490.0</v>
      </c>
      <c r="S1733" s="3" t="n">
        <v>44491.231531377314</v>
      </c>
      <c r="T1733" s="3" t="n">
        <v>44498.70182554398</v>
      </c>
      <c r="U1733" t="s">
        <v>11998</v>
      </c>
      <c r="V1733" t="s">
        <v>11999</v>
      </c>
    </row>
    <row r="1734">
      <c r="A1734" t="s">
        <v>22</v>
      </c>
      <c r="B1734" t="s">
        <v>12000</v>
      </c>
      <c r="C1734" t="s">
        <v>24</v>
      </c>
      <c r="D1734" t="s">
        <v>100</v>
      </c>
      <c r="E1734" t="s">
        <v>12001</v>
      </c>
      <c r="F1734" s="2" t="n">
        <f>HYPERLINK("https://patents.google.com/patent/US20210322909","Google")</f>
        <v>0.0</v>
      </c>
      <c r="G1734" s="2" t="n">
        <f>HYPERLINK("https://patentcenter.uspto.gov/applications/17244796","Patent Center")</f>
        <v>0.0</v>
      </c>
      <c r="H1734" s="2" t="n">
        <f>HYPERLINK("https://worldwide.espacenet.com/patent/search?q=US20210322909","Espacenet")</f>
        <v>0.0</v>
      </c>
      <c r="I1734" s="2" t="n">
        <f>HYPERLINK("https://ppubs.uspto.gov/pubwebapp/external.html?q=20210322909.pn.","USPTO")</f>
        <v>0.0</v>
      </c>
      <c r="J1734" s="2" t="n">
        <f>HYPERLINK("https://image-ppubs.uspto.gov/dirsearch-public/print/downloadPdf/20210322909","USPTO PDF")</f>
        <v>0.0</v>
      </c>
      <c r="K1734" s="2" t="n">
        <f>HYPERLINK("https://sectors.patentforecast.com/pmd/US20210322909","PMD")</f>
        <v>0.0</v>
      </c>
      <c r="L1734" s="2" t="n">
        <f>HYPERLINK("https://globaldossier.uspto.gov/result/application/US/17244796/1","US20210322909")</f>
        <v>0.0</v>
      </c>
      <c r="M1734" t="s">
        <v>12002</v>
      </c>
      <c r="N1734" t="s">
        <v>8931</v>
      </c>
      <c r="O1734" t="s">
        <v>8931</v>
      </c>
      <c r="P1734" t="s">
        <v>12003</v>
      </c>
      <c r="Q1734" s="3" t="n">
        <v>44315.0</v>
      </c>
      <c r="R1734" s="3" t="n">
        <v>44490.0</v>
      </c>
      <c r="S1734" s="3" t="n">
        <v>44491.231531377314</v>
      </c>
      <c r="T1734" s="3" t="n">
        <v>44501.57945979167</v>
      </c>
      <c r="U1734" t="s">
        <v>12004</v>
      </c>
      <c r="V1734" t="s">
        <v>12005</v>
      </c>
    </row>
    <row r="1735">
      <c r="A1735" t="s">
        <v>22</v>
      </c>
      <c r="B1735" t="s">
        <v>12006</v>
      </c>
      <c r="C1735" t="s">
        <v>24</v>
      </c>
      <c r="D1735" t="s">
        <v>69</v>
      </c>
      <c r="E1735" t="s">
        <v>12007</v>
      </c>
      <c r="F1735" s="2" t="n">
        <f>HYPERLINK("https://patents.google.com/patent/US20210322908","Google")</f>
        <v>0.0</v>
      </c>
      <c r="G1735" s="2" t="n">
        <f>HYPERLINK("https://patentcenter.uspto.gov/applications/17235345","Patent Center")</f>
        <v>0.0</v>
      </c>
      <c r="H1735" s="2" t="n">
        <f>HYPERLINK("https://worldwide.espacenet.com/patent/search?q=US20210322908","Espacenet")</f>
        <v>0.0</v>
      </c>
      <c r="I1735" s="2" t="n">
        <f>HYPERLINK("https://ppubs.uspto.gov/pubwebapp/external.html?q=20210322908.pn.","USPTO")</f>
        <v>0.0</v>
      </c>
      <c r="J1735" s="2" t="n">
        <f>HYPERLINK("https://image-ppubs.uspto.gov/dirsearch-public/print/downloadPdf/20210322908","USPTO PDF")</f>
        <v>0.0</v>
      </c>
      <c r="K1735" s="2" t="n">
        <f>HYPERLINK("https://sectors.patentforecast.com/pmd/US20210322908","PMD")</f>
        <v>0.0</v>
      </c>
      <c r="L1735" s="2" t="n">
        <f>HYPERLINK("https://globaldossier.uspto.gov/result/application/US/17235345/1","US20210322908")</f>
        <v>0.0</v>
      </c>
      <c r="M1735" t="s">
        <v>12008</v>
      </c>
      <c r="N1735" t="s">
        <v>5894</v>
      </c>
      <c r="O1735" t="s">
        <v>5895</v>
      </c>
      <c r="P1735" t="s">
        <v>12009</v>
      </c>
      <c r="Q1735" s="3" t="n">
        <v>44306.0</v>
      </c>
      <c r="R1735" s="3" t="n">
        <v>44490.0</v>
      </c>
      <c r="S1735" s="3" t="n">
        <v>44491.231531377314</v>
      </c>
      <c r="T1735" s="3" t="n">
        <v>44501.517021527776</v>
      </c>
      <c r="U1735" t="s">
        <v>12010</v>
      </c>
      <c r="V1735" t="s">
        <v>12011</v>
      </c>
    </row>
    <row r="1736">
      <c r="A1736" t="s">
        <v>22</v>
      </c>
      <c r="B1736" t="s">
        <v>12012</v>
      </c>
      <c r="C1736" t="s">
        <v>24</v>
      </c>
      <c r="D1736" t="s">
        <v>69</v>
      </c>
      <c r="E1736" t="s">
        <v>12013</v>
      </c>
      <c r="F1736" s="2" t="n">
        <f>HYPERLINK("https://patents.google.com/patent/US20210322907","Google")</f>
        <v>0.0</v>
      </c>
      <c r="G1736" s="2" t="n">
        <f>HYPERLINK("https://patentcenter.uspto.gov/applications/17235467","Patent Center")</f>
        <v>0.0</v>
      </c>
      <c r="H1736" s="2" t="n">
        <f>HYPERLINK("https://worldwide.espacenet.com/patent/search?q=US20210322907","Espacenet")</f>
        <v>0.0</v>
      </c>
      <c r="I1736" s="2" t="n">
        <f>HYPERLINK("https://ppubs.uspto.gov/pubwebapp/external.html?q=20210322907.pn.","USPTO")</f>
        <v>0.0</v>
      </c>
      <c r="J1736" s="2" t="n">
        <f>HYPERLINK("https://image-ppubs.uspto.gov/dirsearch-public/print/downloadPdf/20210322907","USPTO PDF")</f>
        <v>0.0</v>
      </c>
      <c r="K1736" s="2" t="n">
        <f>HYPERLINK("https://sectors.patentforecast.com/pmd/US20210322907","PMD")</f>
        <v>0.0</v>
      </c>
      <c r="L1736" s="2" t="n">
        <f>HYPERLINK("https://globaldossier.uspto.gov/result/application/US/17235467/1","US20210322907")</f>
        <v>0.0</v>
      </c>
      <c r="M1736" t="s">
        <v>12014</v>
      </c>
      <c r="N1736" t="s">
        <v>12015</v>
      </c>
      <c r="O1736" t="s">
        <v>12016</v>
      </c>
      <c r="P1736" t="s">
        <v>12017</v>
      </c>
      <c r="Q1736" s="3" t="n">
        <v>44306.0</v>
      </c>
      <c r="R1736" s="3" t="n">
        <v>44490.0</v>
      </c>
      <c r="S1736" s="3" t="n">
        <v>44491.231531377314</v>
      </c>
      <c r="T1736" s="3" t="n">
        <v>44501.51945717593</v>
      </c>
      <c r="U1736" t="s">
        <v>12018</v>
      </c>
      <c r="V1736" t="s">
        <v>12019</v>
      </c>
    </row>
    <row r="1737">
      <c r="A1737" t="s">
        <v>22</v>
      </c>
      <c r="B1737" t="s">
        <v>12020</v>
      </c>
      <c r="C1737" t="s">
        <v>24</v>
      </c>
      <c r="D1737" t="s">
        <v>69</v>
      </c>
      <c r="E1737" t="s">
        <v>12021</v>
      </c>
      <c r="F1737" s="2" t="n">
        <f>HYPERLINK("https://patents.google.com/patent/US20210322802","Google")</f>
        <v>0.0</v>
      </c>
      <c r="G1737" s="2" t="n">
        <f>HYPERLINK("https://patentcenter.uspto.gov/applications/17232081","Patent Center")</f>
        <v>0.0</v>
      </c>
      <c r="H1737" s="2" t="n">
        <f>HYPERLINK("https://worldwide.espacenet.com/patent/search?q=US20210322802","Espacenet")</f>
        <v>0.0</v>
      </c>
      <c r="I1737" s="2" t="n">
        <f>HYPERLINK("https://ppubs.uspto.gov/pubwebapp/external.html?q=20210322802.pn.","USPTO")</f>
        <v>0.0</v>
      </c>
      <c r="J1737" s="2" t="n">
        <f>HYPERLINK("https://image-ppubs.uspto.gov/dirsearch-public/print/downloadPdf/20210322802","USPTO PDF")</f>
        <v>0.0</v>
      </c>
      <c r="K1737" s="2" t="n">
        <f>HYPERLINK("https://sectors.patentforecast.com/pmd/US20210322802","PMD")</f>
        <v>0.0</v>
      </c>
      <c r="L1737" s="2" t="n">
        <f>HYPERLINK("https://globaldossier.uspto.gov/result/application/US/17232081/1","US20210322802")</f>
        <v>0.0</v>
      </c>
      <c r="M1737" t="s">
        <v>12022</v>
      </c>
      <c r="N1737" t="s">
        <v>12023</v>
      </c>
      <c r="O1737" t="s">
        <v>12024</v>
      </c>
      <c r="P1737" t="s">
        <v>12025</v>
      </c>
      <c r="Q1737" s="3" t="n">
        <v>44301.0</v>
      </c>
      <c r="R1737" s="3" t="n">
        <v>44490.0</v>
      </c>
      <c r="S1737" s="3" t="n">
        <v>44491.231531377314</v>
      </c>
      <c r="T1737" s="3" t="n">
        <v>44501.56039278935</v>
      </c>
      <c r="U1737" t="s">
        <v>12026</v>
      </c>
      <c r="V1737" t="s">
        <v>12027</v>
      </c>
    </row>
    <row r="1738">
      <c r="A1738" t="s">
        <v>22</v>
      </c>
      <c r="B1738" t="s">
        <v>12028</v>
      </c>
      <c r="C1738" t="s">
        <v>24</v>
      </c>
      <c r="D1738" t="s">
        <v>69</v>
      </c>
      <c r="E1738" t="s">
        <v>12029</v>
      </c>
      <c r="F1738" s="2" t="n">
        <f>HYPERLINK("https://patents.google.com/patent/US20210322799","Google")</f>
        <v>0.0</v>
      </c>
      <c r="G1738" s="2" t="n">
        <f>HYPERLINK("https://patentcenter.uspto.gov/applications/17222867","Patent Center")</f>
        <v>0.0</v>
      </c>
      <c r="H1738" s="2" t="n">
        <f>HYPERLINK("https://worldwide.espacenet.com/patent/search?q=US20210322799","Espacenet")</f>
        <v>0.0</v>
      </c>
      <c r="I1738" s="2" t="n">
        <f>HYPERLINK("https://ppubs.uspto.gov/pubwebapp/external.html?q=20210322799.pn.","USPTO")</f>
        <v>0.0</v>
      </c>
      <c r="J1738" s="2" t="n">
        <f>HYPERLINK("https://image-ppubs.uspto.gov/dirsearch-public/print/downloadPdf/20210322799","USPTO PDF")</f>
        <v>0.0</v>
      </c>
      <c r="K1738" s="2" t="n">
        <f>HYPERLINK("https://sectors.patentforecast.com/pmd/US20210322799","PMD")</f>
        <v>0.0</v>
      </c>
      <c r="L1738" s="2" t="n">
        <f>HYPERLINK("https://globaldossier.uspto.gov/result/application/US/17222867/1","US20210322799")</f>
        <v>0.0</v>
      </c>
      <c r="M1738" t="s">
        <v>12030</v>
      </c>
      <c r="N1738" t="s">
        <v>12031</v>
      </c>
      <c r="O1738" t="s">
        <v>12032</v>
      </c>
      <c r="P1738" t="s">
        <v>12033</v>
      </c>
      <c r="Q1738" s="3" t="n">
        <v>44291.0</v>
      </c>
      <c r="R1738" s="3" t="n">
        <v>44490.0</v>
      </c>
      <c r="S1738" s="3" t="n">
        <v>44491.231531377314</v>
      </c>
      <c r="T1738" s="3" t="n">
        <v>44501.58245886574</v>
      </c>
      <c r="U1738" t="s">
        <v>12034</v>
      </c>
      <c r="V1738" t="s">
        <v>12035</v>
      </c>
    </row>
    <row r="1739">
      <c r="A1739" t="s">
        <v>22</v>
      </c>
      <c r="B1739" t="s">
        <v>12036</v>
      </c>
      <c r="C1739" t="s">
        <v>24</v>
      </c>
      <c r="D1739" t="s">
        <v>69</v>
      </c>
      <c r="E1739" t="s">
        <v>12037</v>
      </c>
      <c r="F1739" s="2" t="n">
        <f>HYPERLINK("https://patents.google.com/patent/US20210322798","Google")</f>
        <v>0.0</v>
      </c>
      <c r="G1739" s="2" t="n">
        <f>HYPERLINK("https://patentcenter.uspto.gov/applications/17236867","Patent Center")</f>
        <v>0.0</v>
      </c>
      <c r="H1739" s="2" t="n">
        <f>HYPERLINK("https://worldwide.espacenet.com/patent/search?q=US20210322798","Espacenet")</f>
        <v>0.0</v>
      </c>
      <c r="I1739" s="2" t="n">
        <f>HYPERLINK("https://ppubs.uspto.gov/pubwebapp/external.html?q=20210322798.pn.","USPTO")</f>
        <v>0.0</v>
      </c>
      <c r="J1739" s="2" t="n">
        <f>HYPERLINK("https://image-ppubs.uspto.gov/dirsearch-public/print/downloadPdf/20210322798","USPTO PDF")</f>
        <v>0.0</v>
      </c>
      <c r="K1739" s="2" t="n">
        <f>HYPERLINK("https://sectors.patentforecast.com/pmd/US20210322798","PMD")</f>
        <v>0.0</v>
      </c>
      <c r="L1739" s="2" t="n">
        <f>HYPERLINK("https://globaldossier.uspto.gov/result/application/US/17236867/1","US20210322798")</f>
        <v>0.0</v>
      </c>
      <c r="M1739" t="s">
        <v>12038</v>
      </c>
      <c r="N1739" t="s">
        <v>12039</v>
      </c>
      <c r="O1739" t="s">
        <v>12040</v>
      </c>
      <c r="P1739" t="s">
        <v>12041</v>
      </c>
      <c r="Q1739" s="3" t="n">
        <v>44307.0</v>
      </c>
      <c r="R1739" s="3" t="n">
        <v>44490.0</v>
      </c>
      <c r="S1739" s="3" t="n">
        <v>44491.231531377314</v>
      </c>
      <c r="T1739" s="3" t="n">
        <v>44501.58238638889</v>
      </c>
      <c r="U1739" t="s">
        <v>12042</v>
      </c>
      <c r="V1739" t="s">
        <v>12043</v>
      </c>
    </row>
    <row r="1740">
      <c r="A1740" t="s">
        <v>22</v>
      </c>
      <c r="B1740" t="s">
        <v>12044</v>
      </c>
      <c r="C1740" t="s">
        <v>24</v>
      </c>
      <c r="D1740" t="s">
        <v>69</v>
      </c>
      <c r="E1740" t="s">
        <v>12045</v>
      </c>
      <c r="F1740" s="2" t="n">
        <f>HYPERLINK("https://patents.google.com/patent/US20210322797","Google")</f>
        <v>0.0</v>
      </c>
      <c r="G1740" s="2" t="n">
        <f>HYPERLINK("https://patentcenter.uspto.gov/applications/17233792","Patent Center")</f>
        <v>0.0</v>
      </c>
      <c r="H1740" s="2" t="n">
        <f>HYPERLINK("https://worldwide.espacenet.com/patent/search?q=US20210322797","Espacenet")</f>
        <v>0.0</v>
      </c>
      <c r="I1740" s="2" t="n">
        <f>HYPERLINK("https://ppubs.uspto.gov/pubwebapp/external.html?q=20210322797.pn.","USPTO")</f>
        <v>0.0</v>
      </c>
      <c r="J1740" s="2" t="n">
        <f>HYPERLINK("https://image-ppubs.uspto.gov/dirsearch-public/print/downloadPdf/20210322797","USPTO PDF")</f>
        <v>0.0</v>
      </c>
      <c r="K1740" s="2" t="n">
        <f>HYPERLINK("https://sectors.patentforecast.com/pmd/US20210322797","PMD")</f>
        <v>0.0</v>
      </c>
      <c r="L1740" s="2" t="n">
        <f>HYPERLINK("https://globaldossier.uspto.gov/result/application/US/17233792/1","US20210322797")</f>
        <v>0.0</v>
      </c>
      <c r="M1740" t="s">
        <v>12046</v>
      </c>
      <c r="N1740" t="s">
        <v>12047</v>
      </c>
      <c r="O1740" t="s">
        <v>12048</v>
      </c>
      <c r="P1740" t="s">
        <v>12049</v>
      </c>
      <c r="Q1740" s="3" t="n">
        <v>44305.0</v>
      </c>
      <c r="R1740" s="3" t="n">
        <v>44490.0</v>
      </c>
      <c r="S1740" s="3" t="n">
        <v>44491.231531377314</v>
      </c>
      <c r="T1740" s="3" t="n">
        <v>44501.56034957176</v>
      </c>
      <c r="U1740" t="s">
        <v>12050</v>
      </c>
      <c r="V1740" t="s">
        <v>12051</v>
      </c>
    </row>
    <row r="1741">
      <c r="A1741" t="s">
        <v>22</v>
      </c>
      <c r="B1741" t="s">
        <v>12052</v>
      </c>
      <c r="C1741" t="s">
        <v>24</v>
      </c>
      <c r="D1741" t="s">
        <v>69</v>
      </c>
      <c r="E1741" t="s">
        <v>2753</v>
      </c>
      <c r="F1741" s="2" t="n">
        <f>HYPERLINK("https://patents.google.com/patent/US20210322796","Google")</f>
        <v>0.0</v>
      </c>
      <c r="G1741" s="2" t="n">
        <f>HYPERLINK("https://patentcenter.uspto.gov/applications/17232596","Patent Center")</f>
        <v>0.0</v>
      </c>
      <c r="H1741" s="2" t="n">
        <f>HYPERLINK("https://worldwide.espacenet.com/patent/search?q=US20210322796","Espacenet")</f>
        <v>0.0</v>
      </c>
      <c r="I1741" s="2" t="n">
        <f>HYPERLINK("https://ppubs.uspto.gov/pubwebapp/external.html?q=20210322796.pn.","USPTO")</f>
        <v>0.0</v>
      </c>
      <c r="J1741" s="2" t="n">
        <f>HYPERLINK("https://image-ppubs.uspto.gov/dirsearch-public/print/downloadPdf/20210322796","USPTO PDF")</f>
        <v>0.0</v>
      </c>
      <c r="K1741" s="2" t="n">
        <f>HYPERLINK("https://sectors.patentforecast.com/pmd/US20210322796","PMD")</f>
        <v>0.0</v>
      </c>
      <c r="L1741" s="2" t="n">
        <f>HYPERLINK("https://globaldossier.uspto.gov/result/application/US/17232596/1","US20210322796")</f>
        <v>0.0</v>
      </c>
      <c r="M1741" t="s">
        <v>12053</v>
      </c>
      <c r="N1741" t="s">
        <v>12054</v>
      </c>
      <c r="O1741" t="s">
        <v>12055</v>
      </c>
      <c r="P1741" t="s">
        <v>12056</v>
      </c>
      <c r="Q1741" s="3" t="n">
        <v>44302.0</v>
      </c>
      <c r="R1741" s="3" t="n">
        <v>44490.0</v>
      </c>
      <c r="S1741" s="3" t="n">
        <v>44491.231531377314</v>
      </c>
      <c r="T1741" s="3" t="n">
        <v>44501.580387615744</v>
      </c>
      <c r="U1741" t="s">
        <v>12057</v>
      </c>
      <c r="V1741" t="s">
        <v>12058</v>
      </c>
    </row>
    <row r="1742">
      <c r="A1742" t="s">
        <v>22</v>
      </c>
      <c r="B1742" t="s">
        <v>12059</v>
      </c>
      <c r="C1742" t="s">
        <v>60</v>
      </c>
      <c r="D1742" t="s">
        <v>715</v>
      </c>
      <c r="E1742" t="s">
        <v>12060</v>
      </c>
      <c r="F1742" s="2" t="n">
        <f>HYPERLINK("https://patents.google.com/patent/US20210322718","Google")</f>
        <v>0.0</v>
      </c>
      <c r="G1742" s="2" t="n">
        <f>HYPERLINK("https://patentcenter.uspto.gov/applications/16848840","Patent Center")</f>
        <v>0.0</v>
      </c>
      <c r="H1742" s="2" t="n">
        <f>HYPERLINK("https://worldwide.espacenet.com/patent/search?q=US20210322718","Espacenet")</f>
        <v>0.0</v>
      </c>
      <c r="I1742" s="2" t="n">
        <f>HYPERLINK("https://ppubs.uspto.gov/pubwebapp/external.html?q=20210322718.pn.","USPTO")</f>
        <v>0.0</v>
      </c>
      <c r="J1742" s="2" t="n">
        <f>HYPERLINK("https://image-ppubs.uspto.gov/dirsearch-public/print/downloadPdf/20210322718","USPTO PDF")</f>
        <v>0.0</v>
      </c>
      <c r="K1742" s="2" t="n">
        <f>HYPERLINK("https://sectors.patentforecast.com/pmd/US20210322718","PMD")</f>
        <v>0.0</v>
      </c>
      <c r="L1742" s="2" t="n">
        <f>HYPERLINK("https://globaldossier.uspto.gov/result/application/US/16848840/1","US20210322718")</f>
        <v>0.0</v>
      </c>
      <c r="M1742" t="s">
        <v>12061</v>
      </c>
      <c r="N1742" t="s">
        <v>12062</v>
      </c>
      <c r="O1742" t="s">
        <v>12063</v>
      </c>
      <c r="P1742" t="s">
        <v>12064</v>
      </c>
      <c r="Q1742" s="3" t="n">
        <v>43936.0</v>
      </c>
      <c r="R1742" s="3" t="n">
        <v>44490.0</v>
      </c>
      <c r="S1742" s="3" t="n">
        <v>44491.231531377314</v>
      </c>
      <c r="T1742" s="3" t="n">
        <v>44498.70254097222</v>
      </c>
      <c r="U1742" t="s">
        <v>12065</v>
      </c>
      <c r="V1742" t="s">
        <v>12066</v>
      </c>
    </row>
    <row r="1743">
      <c r="A1743" t="s">
        <v>22</v>
      </c>
      <c r="B1743" t="s">
        <v>12067</v>
      </c>
      <c r="C1743" t="s">
        <v>24</v>
      </c>
      <c r="D1743" t="s">
        <v>69</v>
      </c>
      <c r="E1743" t="s">
        <v>12068</v>
      </c>
      <c r="F1743" s="2" t="n">
        <f>HYPERLINK("https://patents.google.com/patent/US20210322705","Google")</f>
        <v>0.0</v>
      </c>
      <c r="G1743" s="2" t="n">
        <f>HYPERLINK("https://patentcenter.uspto.gov/applications/16852460","Patent Center")</f>
        <v>0.0</v>
      </c>
      <c r="H1743" s="2" t="n">
        <f>HYPERLINK("https://worldwide.espacenet.com/patent/search?q=US20210322705","Espacenet")</f>
        <v>0.0</v>
      </c>
      <c r="I1743" s="2" t="n">
        <f>HYPERLINK("https://ppubs.uspto.gov/pubwebapp/external.html?q=20210322705.pn.","USPTO")</f>
        <v>0.0</v>
      </c>
      <c r="J1743" s="2" t="n">
        <f>HYPERLINK("https://image-ppubs.uspto.gov/dirsearch-public/print/downloadPdf/20210322705","USPTO PDF")</f>
        <v>0.0</v>
      </c>
      <c r="K1743" s="2" t="n">
        <f>HYPERLINK("https://sectors.patentforecast.com/pmd/US20210322705","PMD")</f>
        <v>0.0</v>
      </c>
      <c r="L1743" s="2" t="n">
        <f>HYPERLINK("https://globaldossier.uspto.gov/result/application/US/16852460/1","US20210322705")</f>
        <v>0.0</v>
      </c>
      <c r="M1743" t="s">
        <v>12069</v>
      </c>
      <c r="N1743" t="s">
        <v>12070</v>
      </c>
      <c r="O1743" t="s">
        <v>12070</v>
      </c>
      <c r="P1743" t="s">
        <v>12071</v>
      </c>
      <c r="Q1743" s="3" t="n">
        <v>43939.0</v>
      </c>
      <c r="R1743" s="3" t="n">
        <v>44490.0</v>
      </c>
      <c r="S1743" s="3" t="n">
        <v>44491.231531377314</v>
      </c>
      <c r="T1743" s="3" t="n">
        <v>44498.70098797454</v>
      </c>
      <c r="U1743" t="s">
        <v>12072</v>
      </c>
      <c r="V1743" t="s">
        <v>12073</v>
      </c>
    </row>
    <row r="1744">
      <c r="A1744" t="s">
        <v>22</v>
      </c>
      <c r="B1744" t="s">
        <v>12074</v>
      </c>
      <c r="C1744" t="s">
        <v>60</v>
      </c>
      <c r="D1744" t="s">
        <v>715</v>
      </c>
      <c r="E1744" t="s">
        <v>12075</v>
      </c>
      <c r="F1744" s="2" t="n">
        <f>HYPERLINK("https://patents.google.com/patent/US20210322704","Google")</f>
        <v>0.0</v>
      </c>
      <c r="G1744" s="2" t="n">
        <f>HYPERLINK("https://patentcenter.uspto.gov/applications/17141138","Patent Center")</f>
        <v>0.0</v>
      </c>
      <c r="H1744" s="2" t="n">
        <f>HYPERLINK("https://worldwide.espacenet.com/patent/search?q=US20210322704","Espacenet")</f>
        <v>0.0</v>
      </c>
      <c r="I1744" s="2" t="n">
        <f>HYPERLINK("https://ppubs.uspto.gov/pubwebapp/external.html?q=20210322704.pn.","USPTO")</f>
        <v>0.0</v>
      </c>
      <c r="J1744" s="2" t="n">
        <f>HYPERLINK("https://image-ppubs.uspto.gov/dirsearch-public/print/downloadPdf/20210322704","USPTO PDF")</f>
        <v>0.0</v>
      </c>
      <c r="K1744" s="2" t="n">
        <f>HYPERLINK("https://sectors.patentforecast.com/pmd/US20210322704","PMD")</f>
        <v>0.0</v>
      </c>
      <c r="L1744" s="2" t="n">
        <f>HYPERLINK("https://globaldossier.uspto.gov/result/application/US/17141138/1","US20210322704")</f>
        <v>0.0</v>
      </c>
      <c r="M1744" t="s">
        <v>12076</v>
      </c>
      <c r="N1744" t="s">
        <v>12077</v>
      </c>
      <c r="O1744" t="s">
        <v>12078</v>
      </c>
      <c r="P1744" t="s">
        <v>12079</v>
      </c>
      <c r="Q1744" s="3" t="n">
        <v>44200.0</v>
      </c>
      <c r="R1744" s="3" t="n">
        <v>44490.0</v>
      </c>
      <c r="S1744" s="3" t="n">
        <v>44491.231531377314</v>
      </c>
      <c r="T1744" s="3" t="n">
        <v>44501.56050189815</v>
      </c>
      <c r="U1744" t="s">
        <v>12080</v>
      </c>
      <c r="V1744" t="s">
        <v>12081</v>
      </c>
    </row>
    <row r="1745">
      <c r="A1745" t="s">
        <v>22</v>
      </c>
      <c r="B1745" t="s">
        <v>12082</v>
      </c>
      <c r="C1745" t="s">
        <v>24</v>
      </c>
      <c r="D1745" t="s">
        <v>69</v>
      </c>
      <c r="E1745" t="s">
        <v>537</v>
      </c>
      <c r="F1745" s="2" t="n">
        <f>HYPERLINK("https://patents.google.com/patent/US20210322702","Google")</f>
        <v>0.0</v>
      </c>
      <c r="G1745" s="2" t="n">
        <f>HYPERLINK("https://patentcenter.uspto.gov/applications/17365544","Patent Center")</f>
        <v>0.0</v>
      </c>
      <c r="H1745" s="2" t="n">
        <f>HYPERLINK("https://worldwide.espacenet.com/patent/search?q=US20210322702","Espacenet")</f>
        <v>0.0</v>
      </c>
      <c r="I1745" s="2" t="n">
        <f>HYPERLINK("https://ppubs.uspto.gov/pubwebapp/external.html?q=20210322702.pn.","USPTO")</f>
        <v>0.0</v>
      </c>
      <c r="J1745" s="2" t="n">
        <f>HYPERLINK("https://image-ppubs.uspto.gov/dirsearch-public/print/downloadPdf/20210322702","USPTO PDF")</f>
        <v>0.0</v>
      </c>
      <c r="K1745" s="2" t="n">
        <f>HYPERLINK("https://sectors.patentforecast.com/pmd/US20210322702","PMD")</f>
        <v>0.0</v>
      </c>
      <c r="L1745" s="2" t="n">
        <f>HYPERLINK("https://globaldossier.uspto.gov/result/application/US/17365544/1","US20210322702")</f>
        <v>0.0</v>
      </c>
      <c r="M1745" t="s">
        <v>12083</v>
      </c>
      <c r="N1745" t="s">
        <v>539</v>
      </c>
      <c r="O1745" t="s">
        <v>540</v>
      </c>
      <c r="P1745" t="s">
        <v>541</v>
      </c>
      <c r="Q1745" s="3" t="n">
        <v>44378.0</v>
      </c>
      <c r="R1745" s="3" t="n">
        <v>44490.0</v>
      </c>
      <c r="S1745" s="3" t="n">
        <v>44491.231531377314</v>
      </c>
      <c r="T1745" s="3" t="n">
        <v>44498.7026369213</v>
      </c>
      <c r="U1745" t="s">
        <v>12084</v>
      </c>
      <c r="V1745" t="s">
        <v>543</v>
      </c>
    </row>
    <row r="1746">
      <c r="A1746" t="s">
        <v>22</v>
      </c>
      <c r="B1746" t="s">
        <v>12085</v>
      </c>
      <c r="C1746" t="s">
        <v>60</v>
      </c>
      <c r="D1746" t="s">
        <v>715</v>
      </c>
      <c r="E1746" t="s">
        <v>12086</v>
      </c>
      <c r="F1746" s="2" t="n">
        <f>HYPERLINK("https://patents.google.com/patent/US20210322696","Google")</f>
        <v>0.0</v>
      </c>
      <c r="G1746" s="2" t="n">
        <f>HYPERLINK("https://patentcenter.uspto.gov/applications/17234360","Patent Center")</f>
        <v>0.0</v>
      </c>
      <c r="H1746" s="2" t="n">
        <f>HYPERLINK("https://worldwide.espacenet.com/patent/search?q=US20210322696","Espacenet")</f>
        <v>0.0</v>
      </c>
      <c r="I1746" s="2" t="n">
        <f>HYPERLINK("https://ppubs.uspto.gov/pubwebapp/external.html?q=20210322696.pn.","USPTO")</f>
        <v>0.0</v>
      </c>
      <c r="J1746" s="2" t="n">
        <f>HYPERLINK("https://image-ppubs.uspto.gov/dirsearch-public/print/downloadPdf/20210322696","USPTO PDF")</f>
        <v>0.0</v>
      </c>
      <c r="K1746" s="2" t="n">
        <f>HYPERLINK("https://sectors.patentforecast.com/pmd/US20210322696","PMD")</f>
        <v>0.0</v>
      </c>
      <c r="L1746" s="2" t="n">
        <f>HYPERLINK("https://globaldossier.uspto.gov/result/application/US/17234360/1","US20210322696")</f>
        <v>0.0</v>
      </c>
      <c r="M1746" t="s">
        <v>12087</v>
      </c>
      <c r="N1746" t="s">
        <v>2232</v>
      </c>
      <c r="O1746" t="s">
        <v>2232</v>
      </c>
      <c r="P1746" t="s">
        <v>12088</v>
      </c>
      <c r="Q1746" s="3" t="n">
        <v>44305.0</v>
      </c>
      <c r="R1746" s="3" t="n">
        <v>44490.0</v>
      </c>
      <c r="S1746" s="3" t="n">
        <v>44491.231531377314</v>
      </c>
      <c r="T1746" s="3" t="n">
        <v>44501.549997615744</v>
      </c>
      <c r="U1746" t="s">
        <v>12089</v>
      </c>
      <c r="V1746" t="s">
        <v>12090</v>
      </c>
    </row>
    <row r="1747">
      <c r="A1747" t="s">
        <v>22</v>
      </c>
      <c r="B1747" t="s">
        <v>12091</v>
      </c>
      <c r="C1747" t="s">
        <v>60</v>
      </c>
      <c r="D1747" t="s">
        <v>715</v>
      </c>
      <c r="E1747" t="s">
        <v>12092</v>
      </c>
      <c r="F1747" s="2" t="n">
        <f>HYPERLINK("https://patents.google.com/patent/US20210322695","Google")</f>
        <v>0.0</v>
      </c>
      <c r="G1747" s="2" t="n">
        <f>HYPERLINK("https://patentcenter.uspto.gov/applications/16852492","Patent Center")</f>
        <v>0.0</v>
      </c>
      <c r="H1747" s="2" t="n">
        <f>HYPERLINK("https://worldwide.espacenet.com/patent/search?q=US20210322695","Espacenet")</f>
        <v>0.0</v>
      </c>
      <c r="I1747" s="2" t="n">
        <f>HYPERLINK("https://ppubs.uspto.gov/pubwebapp/external.html?q=20210322695.pn.","USPTO")</f>
        <v>0.0</v>
      </c>
      <c r="J1747" s="2" t="n">
        <f>HYPERLINK("https://image-ppubs.uspto.gov/dirsearch-public/print/downloadPdf/20210322695","USPTO PDF")</f>
        <v>0.0</v>
      </c>
      <c r="K1747" s="2" t="n">
        <f>HYPERLINK("https://sectors.patentforecast.com/pmd/US20210322695","PMD")</f>
        <v>0.0</v>
      </c>
      <c r="L1747" s="2" t="n">
        <f>HYPERLINK("https://globaldossier.uspto.gov/result/application/US/16852492/1","US20210322695")</f>
        <v>0.0</v>
      </c>
      <c r="M1747" t="s">
        <v>12093</v>
      </c>
      <c r="N1747" t="s">
        <v>12094</v>
      </c>
      <c r="O1747" t="s">
        <v>12095</v>
      </c>
      <c r="P1747" t="s">
        <v>12096</v>
      </c>
      <c r="Q1747" s="3" t="n">
        <v>43940.0</v>
      </c>
      <c r="R1747" s="3" t="n">
        <v>44490.0</v>
      </c>
      <c r="S1747" s="3" t="n">
        <v>44491.231531377314</v>
      </c>
      <c r="T1747" s="3" t="n">
        <v>44498.703180069446</v>
      </c>
      <c r="U1747" t="s">
        <v>12097</v>
      </c>
      <c r="V1747" t="s">
        <v>12098</v>
      </c>
    </row>
    <row r="1748">
      <c r="A1748" t="s">
        <v>22</v>
      </c>
      <c r="B1748" t="s">
        <v>12099</v>
      </c>
      <c r="C1748" t="s">
        <v>60</v>
      </c>
      <c r="D1748" t="s">
        <v>696</v>
      </c>
      <c r="E1748" t="s">
        <v>12100</v>
      </c>
      <c r="F1748" s="2" t="n">
        <f>HYPERLINK("https://patents.google.com/patent/US20210322664","Google")</f>
        <v>0.0</v>
      </c>
      <c r="G1748" s="2" t="n">
        <f>HYPERLINK("https://patentcenter.uspto.gov/applications/17223585","Patent Center")</f>
        <v>0.0</v>
      </c>
      <c r="H1748" s="2" t="n">
        <f>HYPERLINK("https://worldwide.espacenet.com/patent/search?q=US20210322664","Espacenet")</f>
        <v>0.0</v>
      </c>
      <c r="I1748" s="2" t="n">
        <f>HYPERLINK("https://ppubs.uspto.gov/pubwebapp/external.html?q=20210322664.pn.","USPTO")</f>
        <v>0.0</v>
      </c>
      <c r="J1748" s="2" t="n">
        <f>HYPERLINK("https://image-ppubs.uspto.gov/dirsearch-public/print/downloadPdf/20210322664","USPTO PDF")</f>
        <v>0.0</v>
      </c>
      <c r="K1748" s="2" t="n">
        <f>HYPERLINK("https://sectors.patentforecast.com/pmd/US20210322664","PMD")</f>
        <v>0.0</v>
      </c>
      <c r="L1748" s="2" t="n">
        <f>HYPERLINK("https://globaldossier.uspto.gov/result/application/US/17223585/1","US20210322664")</f>
        <v>0.0</v>
      </c>
      <c r="M1748" t="s">
        <v>12101</v>
      </c>
      <c r="N1748" t="s">
        <v>12102</v>
      </c>
      <c r="O1748" t="s">
        <v>12103</v>
      </c>
      <c r="P1748" t="s">
        <v>12104</v>
      </c>
      <c r="Q1748" s="3" t="n">
        <v>44292.0</v>
      </c>
      <c r="R1748" s="3" t="n">
        <v>44490.0</v>
      </c>
      <c r="S1748" s="3" t="n">
        <v>44491.22978872685</v>
      </c>
      <c r="T1748" s="3" t="n">
        <v>44501.57758988426</v>
      </c>
      <c r="U1748" t="s">
        <v>12105</v>
      </c>
      <c r="V1748" t="s">
        <v>12106</v>
      </c>
    </row>
    <row r="1749">
      <c r="A1749" t="s">
        <v>22</v>
      </c>
      <c r="B1749" t="s">
        <v>12107</v>
      </c>
      <c r="C1749" t="s">
        <v>24</v>
      </c>
      <c r="D1749" t="s">
        <v>100</v>
      </c>
      <c r="E1749" t="s">
        <v>12108</v>
      </c>
      <c r="F1749" s="2" t="n">
        <f>HYPERLINK("https://patents.google.com/patent/US20210322619","Google")</f>
        <v>0.0</v>
      </c>
      <c r="G1749" s="2" t="n">
        <f>HYPERLINK("https://patentcenter.uspto.gov/applications/17234447","Patent Center")</f>
        <v>0.0</v>
      </c>
      <c r="H1749" s="2" t="n">
        <f>HYPERLINK("https://worldwide.espacenet.com/patent/search?q=US20210322619","Espacenet")</f>
        <v>0.0</v>
      </c>
      <c r="I1749" s="2" t="n">
        <f>HYPERLINK("https://ppubs.uspto.gov/pubwebapp/external.html?q=20210322619.pn.","USPTO")</f>
        <v>0.0</v>
      </c>
      <c r="J1749" s="2" t="n">
        <f>HYPERLINK("https://image-ppubs.uspto.gov/dirsearch-public/print/downloadPdf/20210322619","USPTO PDF")</f>
        <v>0.0</v>
      </c>
      <c r="K1749" s="2" t="n">
        <f>HYPERLINK("https://sectors.patentforecast.com/pmd/US20210322619","PMD")</f>
        <v>0.0</v>
      </c>
      <c r="L1749" s="2" t="n">
        <f>HYPERLINK("https://globaldossier.uspto.gov/result/application/US/17234447/1","US20210322619")</f>
        <v>0.0</v>
      </c>
      <c r="M1749" t="s">
        <v>12109</v>
      </c>
      <c r="N1749" t="s">
        <v>12110</v>
      </c>
      <c r="O1749" t="s">
        <v>12111</v>
      </c>
      <c r="P1749" t="s">
        <v>12112</v>
      </c>
      <c r="Q1749" s="3" t="n">
        <v>44305.0</v>
      </c>
      <c r="R1749" s="3" t="n">
        <v>44490.0</v>
      </c>
      <c r="S1749" s="3" t="n">
        <v>44491.231531377314</v>
      </c>
      <c r="T1749" s="3" t="n">
        <v>44498.70499020833</v>
      </c>
      <c r="U1749" t="s">
        <v>12113</v>
      </c>
      <c r="V1749" t="s">
        <v>12114</v>
      </c>
    </row>
    <row r="1750">
      <c r="A1750" t="s">
        <v>22</v>
      </c>
      <c r="B1750" t="s">
        <v>12115</v>
      </c>
      <c r="C1750" t="s">
        <v>24</v>
      </c>
      <c r="D1750" t="s">
        <v>100</v>
      </c>
      <c r="E1750" t="s">
        <v>12116</v>
      </c>
      <c r="F1750" s="2" t="n">
        <f>HYPERLINK("https://patents.google.com/patent/US20210322615","Google")</f>
        <v>0.0</v>
      </c>
      <c r="G1750" s="2" t="n">
        <f>HYPERLINK("https://patentcenter.uspto.gov/applications/17235865","Patent Center")</f>
        <v>0.0</v>
      </c>
      <c r="H1750" s="2" t="n">
        <f>HYPERLINK("https://worldwide.espacenet.com/patent/search?q=US20210322615","Espacenet")</f>
        <v>0.0</v>
      </c>
      <c r="I1750" s="2" t="n">
        <f>HYPERLINK("https://ppubs.uspto.gov/pubwebapp/external.html?q=20210322615.pn.","USPTO")</f>
        <v>0.0</v>
      </c>
      <c r="J1750" s="2" t="n">
        <f>HYPERLINK("https://image-ppubs.uspto.gov/dirsearch-public/print/downloadPdf/20210322615","USPTO PDF")</f>
        <v>0.0</v>
      </c>
      <c r="K1750" s="2" t="n">
        <f>HYPERLINK("https://sectors.patentforecast.com/pmd/US20210322615","PMD")</f>
        <v>0.0</v>
      </c>
      <c r="L1750" s="2" t="n">
        <f>HYPERLINK("https://globaldossier.uspto.gov/result/application/US/17235865/1","US20210322615")</f>
        <v>0.0</v>
      </c>
      <c r="M1750" t="s">
        <v>12117</v>
      </c>
      <c r="N1750" t="s">
        <v>12118</v>
      </c>
      <c r="O1750" t="s">
        <v>12119</v>
      </c>
      <c r="P1750" t="s">
        <v>12120</v>
      </c>
      <c r="Q1750" s="3" t="n">
        <v>44306.0</v>
      </c>
      <c r="R1750" s="3" t="n">
        <v>44490.0</v>
      </c>
      <c r="S1750" s="3" t="n">
        <v>44491.231531377314</v>
      </c>
      <c r="T1750" s="3" t="n">
        <v>44501.58227773148</v>
      </c>
      <c r="U1750" t="s">
        <v>12121</v>
      </c>
      <c r="V1750" t="s">
        <v>12122</v>
      </c>
    </row>
    <row r="1751">
      <c r="A1751" t="s">
        <v>22</v>
      </c>
      <c r="B1751" t="s">
        <v>12123</v>
      </c>
      <c r="C1751" t="s">
        <v>24</v>
      </c>
      <c r="D1751" t="s">
        <v>100</v>
      </c>
      <c r="E1751" t="s">
        <v>12124</v>
      </c>
      <c r="F1751" s="2" t="n">
        <f>HYPERLINK("https://patents.google.com/patent/US20210322613","Google")</f>
        <v>0.0</v>
      </c>
      <c r="G1751" s="2" t="n">
        <f>HYPERLINK("https://patentcenter.uspto.gov/applications/17231967","Patent Center")</f>
        <v>0.0</v>
      </c>
      <c r="H1751" s="2" t="n">
        <f>HYPERLINK("https://worldwide.espacenet.com/patent/search?q=US20210322613","Espacenet")</f>
        <v>0.0</v>
      </c>
      <c r="I1751" s="2" t="n">
        <f>HYPERLINK("https://ppubs.uspto.gov/pubwebapp/external.html?q=20210322613.pn.","USPTO")</f>
        <v>0.0</v>
      </c>
      <c r="J1751" s="2" t="n">
        <f>HYPERLINK("https://image-ppubs.uspto.gov/dirsearch-public/print/downloadPdf/20210322613","USPTO PDF")</f>
        <v>0.0</v>
      </c>
      <c r="K1751" s="2" t="n">
        <f>HYPERLINK("https://sectors.patentforecast.com/pmd/US20210322613","PMD")</f>
        <v>0.0</v>
      </c>
      <c r="L1751" s="2" t="n">
        <f>HYPERLINK("https://globaldossier.uspto.gov/result/application/US/17231967/1","US20210322613")</f>
        <v>0.0</v>
      </c>
      <c r="M1751" t="s">
        <v>12125</v>
      </c>
      <c r="N1751" t="s">
        <v>12126</v>
      </c>
      <c r="O1751" t="s">
        <v>12127</v>
      </c>
      <c r="P1751" t="s">
        <v>12128</v>
      </c>
      <c r="Q1751" s="3" t="n">
        <v>44301.0</v>
      </c>
      <c r="R1751" s="3" t="n">
        <v>44490.0</v>
      </c>
      <c r="S1751" s="3" t="n">
        <v>44491.231531377314</v>
      </c>
      <c r="T1751" s="3" t="n">
        <v>44501.56655815972</v>
      </c>
      <c r="U1751" t="s">
        <v>12129</v>
      </c>
      <c r="V1751" t="s">
        <v>12130</v>
      </c>
    </row>
    <row r="1752">
      <c r="A1752" t="s">
        <v>22</v>
      </c>
      <c r="B1752" t="s">
        <v>12131</v>
      </c>
      <c r="C1752" t="s">
        <v>24</v>
      </c>
      <c r="D1752" t="s">
        <v>100</v>
      </c>
      <c r="E1752" t="s">
        <v>12132</v>
      </c>
      <c r="F1752" s="2" t="n">
        <f>HYPERLINK("https://patents.google.com/patent/US20210322606","Google")</f>
        <v>0.0</v>
      </c>
      <c r="G1752" s="2" t="n">
        <f>HYPERLINK("https://patentcenter.uspto.gov/applications/17228624","Patent Center")</f>
        <v>0.0</v>
      </c>
      <c r="H1752" s="2" t="n">
        <f>HYPERLINK("https://worldwide.espacenet.com/patent/search?q=US20210322606","Espacenet")</f>
        <v>0.0</v>
      </c>
      <c r="I1752" s="2" t="n">
        <f>HYPERLINK("https://ppubs.uspto.gov/pubwebapp/external.html?q=20210322606.pn.","USPTO")</f>
        <v>0.0</v>
      </c>
      <c r="J1752" s="2" t="n">
        <f>HYPERLINK("https://image-ppubs.uspto.gov/dirsearch-public/print/downloadPdf/20210322606","USPTO PDF")</f>
        <v>0.0</v>
      </c>
      <c r="K1752" s="2" t="n">
        <f>HYPERLINK("https://sectors.patentforecast.com/pmd/US20210322606","PMD")</f>
        <v>0.0</v>
      </c>
      <c r="L1752" s="2" t="n">
        <f>HYPERLINK("https://globaldossier.uspto.gov/result/application/US/17228624/1","US20210322606")</f>
        <v>0.0</v>
      </c>
      <c r="M1752" t="s">
        <v>12133</v>
      </c>
      <c r="N1752" t="s">
        <v>11995</v>
      </c>
      <c r="O1752" t="s">
        <v>11996</v>
      </c>
      <c r="P1752" t="s">
        <v>12134</v>
      </c>
      <c r="Q1752" s="3" t="n">
        <v>44298.0</v>
      </c>
      <c r="R1752" s="3" t="n">
        <v>44490.0</v>
      </c>
      <c r="S1752" s="3" t="n">
        <v>44491.231531377314</v>
      </c>
      <c r="T1752" s="3" t="n">
        <v>44498.705091828706</v>
      </c>
      <c r="U1752" t="s">
        <v>12135</v>
      </c>
      <c r="V1752" t="s">
        <v>12136</v>
      </c>
    </row>
    <row r="1753">
      <c r="A1753" t="s">
        <v>22</v>
      </c>
      <c r="B1753" t="s">
        <v>12137</v>
      </c>
      <c r="C1753" t="s">
        <v>60</v>
      </c>
      <c r="D1753" t="s">
        <v>61</v>
      </c>
      <c r="E1753" t="s">
        <v>12138</v>
      </c>
      <c r="F1753" s="2" t="n">
        <f>HYPERLINK("https://patents.google.com/patent/US20210322560","Google")</f>
        <v>0.0</v>
      </c>
      <c r="G1753" s="2" t="n">
        <f>HYPERLINK("https://patentcenter.uspto.gov/applications/17232105","Patent Center")</f>
        <v>0.0</v>
      </c>
      <c r="H1753" s="2" t="n">
        <f>HYPERLINK("https://worldwide.espacenet.com/patent/search?q=US20210322560","Espacenet")</f>
        <v>0.0</v>
      </c>
      <c r="I1753" s="2" t="n">
        <f>HYPERLINK("https://ppubs.uspto.gov/pubwebapp/external.html?q=20210322560.pn.","USPTO")</f>
        <v>0.0</v>
      </c>
      <c r="J1753" s="2" t="n">
        <f>HYPERLINK("https://image-ppubs.uspto.gov/dirsearch-public/print/downloadPdf/20210322560","USPTO PDF")</f>
        <v>0.0</v>
      </c>
      <c r="K1753" s="2" t="n">
        <f>HYPERLINK("https://sectors.patentforecast.com/pmd/US20210322560","PMD")</f>
        <v>0.0</v>
      </c>
      <c r="L1753" s="2" t="n">
        <f>HYPERLINK("https://globaldossier.uspto.gov/result/application/US/17232105/1","US20210322560")</f>
        <v>0.0</v>
      </c>
      <c r="M1753" t="s">
        <v>12139</v>
      </c>
      <c r="N1753" t="s">
        <v>12140</v>
      </c>
      <c r="O1753" t="s">
        <v>12141</v>
      </c>
      <c r="P1753" t="s">
        <v>12142</v>
      </c>
      <c r="Q1753" s="3" t="n">
        <v>44301.0</v>
      </c>
      <c r="R1753" s="3" t="n">
        <v>44490.0</v>
      </c>
      <c r="S1753" s="3" t="n">
        <v>44491.231531377314</v>
      </c>
      <c r="T1753" s="3" t="n">
        <v>44501.565088090276</v>
      </c>
      <c r="U1753" t="s">
        <v>12143</v>
      </c>
      <c r="V1753" t="s">
        <v>12144</v>
      </c>
    </row>
    <row r="1754">
      <c r="A1754" t="s">
        <v>22</v>
      </c>
      <c r="B1754" t="s">
        <v>12145</v>
      </c>
      <c r="C1754" t="s">
        <v>132</v>
      </c>
      <c r="D1754" t="s">
        <v>133</v>
      </c>
      <c r="E1754" t="s">
        <v>12146</v>
      </c>
      <c r="F1754" s="2" t="n">
        <f>HYPERLINK("https://patents.google.com/patent/US20210322542","Google")</f>
        <v>0.0</v>
      </c>
      <c r="G1754" s="2" t="n">
        <f>HYPERLINK("https://patentcenter.uspto.gov/applications/17098449","Patent Center")</f>
        <v>0.0</v>
      </c>
      <c r="H1754" s="2" t="n">
        <f>HYPERLINK("https://worldwide.espacenet.com/patent/search?q=US20210322542","Espacenet")</f>
        <v>0.0</v>
      </c>
      <c r="I1754" s="2" t="n">
        <f>HYPERLINK("https://ppubs.uspto.gov/pubwebapp/external.html?q=20210322542.pn.","USPTO")</f>
        <v>0.0</v>
      </c>
      <c r="J1754" s="2" t="n">
        <f>HYPERLINK("https://image-ppubs.uspto.gov/dirsearch-public/print/downloadPdf/20210322542","USPTO PDF")</f>
        <v>0.0</v>
      </c>
      <c r="K1754" s="2" t="n">
        <f>HYPERLINK("https://sectors.patentforecast.com/pmd/US20210322542","PMD")</f>
        <v>0.0</v>
      </c>
      <c r="L1754" s="2" t="n">
        <f>HYPERLINK("https://globaldossier.uspto.gov/result/application/US/17098449/1","US20210322542")</f>
        <v>0.0</v>
      </c>
      <c r="M1754" t="s">
        <v>12147</v>
      </c>
      <c r="N1754" t="s">
        <v>12148</v>
      </c>
      <c r="O1754" t="s">
        <v>12149</v>
      </c>
      <c r="P1754" t="s">
        <v>12150</v>
      </c>
      <c r="Q1754" s="3" t="n">
        <v>44150.0</v>
      </c>
      <c r="R1754" s="3" t="n">
        <v>44490.0</v>
      </c>
      <c r="S1754" s="3" t="n">
        <v>44491.22978872685</v>
      </c>
      <c r="T1754" s="3" t="n">
        <v>44498.70084268518</v>
      </c>
      <c r="U1754" t="s">
        <v>12151</v>
      </c>
      <c r="V1754" t="s">
        <v>12152</v>
      </c>
    </row>
    <row r="1755">
      <c r="A1755" t="s">
        <v>22</v>
      </c>
      <c r="B1755" t="s">
        <v>12153</v>
      </c>
      <c r="C1755" t="s">
        <v>132</v>
      </c>
      <c r="D1755" t="s">
        <v>133</v>
      </c>
      <c r="E1755" t="s">
        <v>134</v>
      </c>
      <c r="F1755" s="2" t="n">
        <f>HYPERLINK("https://patents.google.com/patent/US20210322541","Google")</f>
        <v>0.0</v>
      </c>
      <c r="G1755" s="2" t="n">
        <f>HYPERLINK("https://patentcenter.uspto.gov/applications/17232666","Patent Center")</f>
        <v>0.0</v>
      </c>
      <c r="H1755" s="2" t="n">
        <f>HYPERLINK("https://worldwide.espacenet.com/patent/search?q=US20210322541","Espacenet")</f>
        <v>0.0</v>
      </c>
      <c r="I1755" s="2" t="n">
        <f>HYPERLINK("https://ppubs.uspto.gov/pubwebapp/external.html?q=20210322541.pn.","USPTO")</f>
        <v>0.0</v>
      </c>
      <c r="J1755" s="2" t="n">
        <f>HYPERLINK("https://image-ppubs.uspto.gov/dirsearch-public/print/downloadPdf/20210322541","USPTO PDF")</f>
        <v>0.0</v>
      </c>
      <c r="K1755" s="2" t="n">
        <f>HYPERLINK("https://sectors.patentforecast.com/pmd/US20210322541","PMD")</f>
        <v>0.0</v>
      </c>
      <c r="L1755" s="2" t="n">
        <f>HYPERLINK("https://globaldossier.uspto.gov/result/application/US/17232666/1","US20210322541")</f>
        <v>0.0</v>
      </c>
      <c r="M1755" t="s">
        <v>12154</v>
      </c>
      <c r="N1755" t="s">
        <v>12155</v>
      </c>
      <c r="O1755" t="s">
        <v>12156</v>
      </c>
      <c r="P1755" t="s">
        <v>12157</v>
      </c>
      <c r="Q1755" s="3" t="n">
        <v>44302.0</v>
      </c>
      <c r="R1755" s="3" t="n">
        <v>44490.0</v>
      </c>
      <c r="S1755" s="3" t="n">
        <v>44491.22978872685</v>
      </c>
      <c r="T1755" s="3" t="n">
        <v>44501.58205927083</v>
      </c>
      <c r="U1755" t="s">
        <v>12158</v>
      </c>
      <c r="V1755" t="s">
        <v>12159</v>
      </c>
    </row>
    <row r="1756">
      <c r="A1756" t="s">
        <v>22</v>
      </c>
      <c r="B1756" t="s">
        <v>12160</v>
      </c>
      <c r="C1756" t="s">
        <v>132</v>
      </c>
      <c r="D1756" t="s">
        <v>133</v>
      </c>
      <c r="E1756" t="s">
        <v>11938</v>
      </c>
      <c r="F1756" s="2" t="n">
        <f>HYPERLINK("https://patents.google.com/patent/US20210322540","Google")</f>
        <v>0.0</v>
      </c>
      <c r="G1756" s="2" t="n">
        <f>HYPERLINK("https://patentcenter.uspto.gov/applications/16937109","Patent Center")</f>
        <v>0.0</v>
      </c>
      <c r="H1756" s="2" t="n">
        <f>HYPERLINK("https://worldwide.espacenet.com/patent/search?q=US20210322540","Espacenet")</f>
        <v>0.0</v>
      </c>
      <c r="I1756" s="2" t="n">
        <f>HYPERLINK("https://ppubs.uspto.gov/pubwebapp/external.html?q=20210322540.pn.","USPTO")</f>
        <v>0.0</v>
      </c>
      <c r="J1756" s="2" t="n">
        <f>HYPERLINK("https://image-ppubs.uspto.gov/dirsearch-public/print/downloadPdf/20210322540","USPTO PDF")</f>
        <v>0.0</v>
      </c>
      <c r="K1756" s="2" t="n">
        <f>HYPERLINK("https://sectors.patentforecast.com/pmd/US20210322540","PMD")</f>
        <v>0.0</v>
      </c>
      <c r="L1756" s="2" t="n">
        <f>HYPERLINK("https://globaldossier.uspto.gov/result/application/US/16937109/1","US20210322540")</f>
        <v>0.0</v>
      </c>
      <c r="M1756" t="s">
        <v>12161</v>
      </c>
      <c r="N1756" t="s">
        <v>11940</v>
      </c>
      <c r="O1756" t="s">
        <v>11941</v>
      </c>
      <c r="P1756" t="s">
        <v>11942</v>
      </c>
      <c r="Q1756" s="3" t="n">
        <v>44035.0</v>
      </c>
      <c r="R1756" s="3" t="n">
        <v>44490.0</v>
      </c>
      <c r="S1756" s="3" t="n">
        <v>44491.231531377314</v>
      </c>
      <c r="T1756" s="3" t="n">
        <v>44498.705788287036</v>
      </c>
      <c r="U1756" t="s">
        <v>12162</v>
      </c>
      <c r="V1756" t="s">
        <v>11944</v>
      </c>
    </row>
    <row r="1757">
      <c r="A1757" t="s">
        <v>22</v>
      </c>
      <c r="B1757" t="s">
        <v>12163</v>
      </c>
      <c r="C1757" t="s">
        <v>132</v>
      </c>
      <c r="D1757" t="s">
        <v>11423</v>
      </c>
      <c r="E1757" t="s">
        <v>12164</v>
      </c>
      <c r="F1757" s="2" t="n">
        <f>HYPERLINK("https://patents.google.com/patent/US20210322539","Google")</f>
        <v>0.0</v>
      </c>
      <c r="G1757" s="2" t="n">
        <f>HYPERLINK("https://patentcenter.uspto.gov/applications/16873472","Patent Center")</f>
        <v>0.0</v>
      </c>
      <c r="H1757" s="2" t="n">
        <f>HYPERLINK("https://worldwide.espacenet.com/patent/search?q=US20210322539","Espacenet")</f>
        <v>0.0</v>
      </c>
      <c r="I1757" s="2" t="n">
        <f>HYPERLINK("https://ppubs.uspto.gov/pubwebapp/external.html?q=20210322539.pn.","USPTO")</f>
        <v>0.0</v>
      </c>
      <c r="J1757" s="2" t="n">
        <f>HYPERLINK("https://image-ppubs.uspto.gov/dirsearch-public/print/downloadPdf/20210322539","USPTO PDF")</f>
        <v>0.0</v>
      </c>
      <c r="K1757" s="2" t="n">
        <f>HYPERLINK("https://sectors.patentforecast.com/pmd/US20210322539","PMD")</f>
        <v>0.0</v>
      </c>
      <c r="L1757" s="2" t="n">
        <f>HYPERLINK("https://globaldossier.uspto.gov/result/application/US/16873472/1","US20210322539")</f>
        <v>0.0</v>
      </c>
      <c r="M1757" t="s">
        <v>12165</v>
      </c>
      <c r="N1757" t="s">
        <v>12166</v>
      </c>
      <c r="O1757" t="s">
        <v>12166</v>
      </c>
      <c r="P1757" t="s">
        <v>12167</v>
      </c>
      <c r="Q1757" s="3" t="n">
        <v>43938.0</v>
      </c>
      <c r="R1757" s="3" t="n">
        <v>44490.0</v>
      </c>
      <c r="S1757" s="3" t="n">
        <v>44491.23765822917</v>
      </c>
      <c r="T1757" s="3" t="n">
        <v>44501.50008938657</v>
      </c>
      <c r="U1757" t="s">
        <v>12168</v>
      </c>
      <c r="V1757" t="s">
        <v>12169</v>
      </c>
    </row>
    <row r="1758">
      <c r="A1758" t="s">
        <v>22</v>
      </c>
      <c r="B1758" t="s">
        <v>12170</v>
      </c>
      <c r="C1758" t="s">
        <v>60</v>
      </c>
      <c r="D1758" t="s">
        <v>696</v>
      </c>
      <c r="E1758" t="s">
        <v>12171</v>
      </c>
      <c r="F1758" s="2" t="n">
        <f>HYPERLINK("https://patents.google.com/patent/US20210322536","Google")</f>
        <v>0.0</v>
      </c>
      <c r="G1758" s="2" t="n">
        <f>HYPERLINK("https://patentcenter.uspto.gov/applications/17233333","Patent Center")</f>
        <v>0.0</v>
      </c>
      <c r="H1758" s="2" t="n">
        <f>HYPERLINK("https://worldwide.espacenet.com/patent/search?q=US20210322536","Espacenet")</f>
        <v>0.0</v>
      </c>
      <c r="I1758" s="2" t="n">
        <f>HYPERLINK("https://ppubs.uspto.gov/pubwebapp/external.html?q=20210322536.pn.","USPTO")</f>
        <v>0.0</v>
      </c>
      <c r="J1758" s="2" t="n">
        <f>HYPERLINK("https://image-ppubs.uspto.gov/dirsearch-public/print/downloadPdf/20210322536","USPTO PDF")</f>
        <v>0.0</v>
      </c>
      <c r="K1758" s="2" t="n">
        <f>HYPERLINK("https://sectors.patentforecast.com/pmd/US20210322536","PMD")</f>
        <v>0.0</v>
      </c>
      <c r="L1758" s="2" t="n">
        <f>HYPERLINK("https://globaldossier.uspto.gov/result/application/US/17233333/1","US20210322536")</f>
        <v>0.0</v>
      </c>
      <c r="M1758" t="s">
        <v>12172</v>
      </c>
      <c r="N1758" t="s">
        <v>12173</v>
      </c>
      <c r="O1758" t="s">
        <v>12173</v>
      </c>
      <c r="P1758" t="s">
        <v>12174</v>
      </c>
      <c r="Q1758" s="3" t="n">
        <v>44302.0</v>
      </c>
      <c r="R1758" s="3" t="n">
        <v>44490.0</v>
      </c>
      <c r="S1758" s="3" t="n">
        <v>44491.23626936343</v>
      </c>
      <c r="T1758" s="3" t="n">
        <v>44501.545708680555</v>
      </c>
      <c r="U1758" t="s">
        <v>12175</v>
      </c>
      <c r="V1758" t="s">
        <v>12176</v>
      </c>
    </row>
    <row r="1759">
      <c r="A1759" t="s">
        <v>22</v>
      </c>
      <c r="B1759" t="s">
        <v>12177</v>
      </c>
      <c r="C1759" t="s">
        <v>60</v>
      </c>
      <c r="D1759" t="s">
        <v>61</v>
      </c>
      <c r="E1759" t="s">
        <v>12178</v>
      </c>
      <c r="F1759" s="2" t="n">
        <f>HYPERLINK("https://patents.google.com/patent/US20210322488","Google")</f>
        <v>0.0</v>
      </c>
      <c r="G1759" s="2" t="n">
        <f>HYPERLINK("https://patentcenter.uspto.gov/applications/17232301","Patent Center")</f>
        <v>0.0</v>
      </c>
      <c r="H1759" s="2" t="n">
        <f>HYPERLINK("https://worldwide.espacenet.com/patent/search?q=US20210322488","Espacenet")</f>
        <v>0.0</v>
      </c>
      <c r="I1759" s="2" t="n">
        <f>HYPERLINK("https://ppubs.uspto.gov/pubwebapp/external.html?q=20210322488.pn.","USPTO")</f>
        <v>0.0</v>
      </c>
      <c r="J1759" s="2" t="n">
        <f>HYPERLINK("https://image-ppubs.uspto.gov/dirsearch-public/print/downloadPdf/20210322488","USPTO PDF")</f>
        <v>0.0</v>
      </c>
      <c r="K1759" s="2" t="n">
        <f>HYPERLINK("https://sectors.patentforecast.com/pmd/US20210322488","PMD")</f>
        <v>0.0</v>
      </c>
      <c r="L1759" s="2" t="n">
        <f>HYPERLINK("https://globaldossier.uspto.gov/result/application/US/17232301/1","US20210322488")</f>
        <v>0.0</v>
      </c>
      <c r="M1759" t="s">
        <v>12179</v>
      </c>
      <c r="N1759" t="s">
        <v>12180</v>
      </c>
      <c r="O1759" t="s">
        <v>12181</v>
      </c>
      <c r="P1759" t="s">
        <v>12182</v>
      </c>
      <c r="Q1759" s="3" t="n">
        <v>44302.0</v>
      </c>
      <c r="R1759" s="3" t="n">
        <v>44490.0</v>
      </c>
      <c r="S1759" s="3" t="n">
        <v>44491.22978872685</v>
      </c>
      <c r="T1759" s="3" t="n">
        <v>44501.50631366898</v>
      </c>
      <c r="U1759" t="s">
        <v>12183</v>
      </c>
      <c r="V1759" t="s">
        <v>12184</v>
      </c>
    </row>
    <row r="1760">
      <c r="A1760" t="s">
        <v>22</v>
      </c>
      <c r="B1760" t="s">
        <v>12185</v>
      </c>
      <c r="C1760" t="s">
        <v>60</v>
      </c>
      <c r="D1760" t="s">
        <v>61</v>
      </c>
      <c r="E1760" t="s">
        <v>11946</v>
      </c>
      <c r="F1760" s="2" t="n">
        <f>HYPERLINK("https://patents.google.com/patent/US20210322483","Google")</f>
        <v>0.0</v>
      </c>
      <c r="G1760" s="2" t="n">
        <f>HYPERLINK("https://patentcenter.uspto.gov/applications/17186039","Patent Center")</f>
        <v>0.0</v>
      </c>
      <c r="H1760" s="2" t="n">
        <f>HYPERLINK("https://worldwide.espacenet.com/patent/search?q=US20210322483","Espacenet")</f>
        <v>0.0</v>
      </c>
      <c r="I1760" s="2" t="n">
        <f>HYPERLINK("https://ppubs.uspto.gov/pubwebapp/external.html?q=20210322483.pn.","USPTO")</f>
        <v>0.0</v>
      </c>
      <c r="J1760" s="2" t="n">
        <f>HYPERLINK("https://image-ppubs.uspto.gov/dirsearch-public/print/downloadPdf/20210322483","USPTO PDF")</f>
        <v>0.0</v>
      </c>
      <c r="K1760" s="2" t="n">
        <f>HYPERLINK("https://sectors.patentforecast.com/pmd/US20210322483","PMD")</f>
        <v>0.0</v>
      </c>
      <c r="L1760" s="2" t="n">
        <f>HYPERLINK("https://globaldossier.uspto.gov/result/application/US/17186039/1","US20210322483")</f>
        <v>0.0</v>
      </c>
      <c r="M1760" t="s">
        <v>12186</v>
      </c>
      <c r="N1760" t="s">
        <v>11948</v>
      </c>
      <c r="O1760" t="s">
        <v>11949</v>
      </c>
      <c r="P1760" t="s">
        <v>11950</v>
      </c>
      <c r="Q1760" s="3" t="n">
        <v>44253.0</v>
      </c>
      <c r="R1760" s="3" t="n">
        <v>44490.0</v>
      </c>
      <c r="S1760" s="3" t="n">
        <v>44491.231531377314</v>
      </c>
      <c r="T1760" s="3" t="n">
        <v>44501.55275728009</v>
      </c>
      <c r="U1760" t="s">
        <v>12187</v>
      </c>
      <c r="V1760" t="s">
        <v>12188</v>
      </c>
    </row>
    <row r="1761">
      <c r="A1761" t="s">
        <v>22</v>
      </c>
      <c r="B1761" t="s">
        <v>12189</v>
      </c>
      <c r="C1761" t="s">
        <v>60</v>
      </c>
      <c r="D1761" t="s">
        <v>61</v>
      </c>
      <c r="E1761" t="s">
        <v>12190</v>
      </c>
      <c r="F1761" s="2" t="n">
        <f>HYPERLINK("https://patents.google.com/patent/US20210322481","Google")</f>
        <v>0.0</v>
      </c>
      <c r="G1761" s="2" t="n">
        <f>HYPERLINK("https://patentcenter.uspto.gov/applications/16898804","Patent Center")</f>
        <v>0.0</v>
      </c>
      <c r="H1761" s="2" t="n">
        <f>HYPERLINK("https://worldwide.espacenet.com/patent/search?q=US20210322481","Espacenet")</f>
        <v>0.0</v>
      </c>
      <c r="I1761" s="2" t="n">
        <f>HYPERLINK("https://ppubs.uspto.gov/pubwebapp/external.html?q=20210322481.pn.","USPTO")</f>
        <v>0.0</v>
      </c>
      <c r="J1761" s="2" t="n">
        <f>HYPERLINK("https://image-ppubs.uspto.gov/dirsearch-public/print/downloadPdf/20210322481","USPTO PDF")</f>
        <v>0.0</v>
      </c>
      <c r="K1761" s="2" t="n">
        <f>HYPERLINK("https://sectors.patentforecast.com/pmd/US20210322481","PMD")</f>
        <v>0.0</v>
      </c>
      <c r="L1761" s="2" t="n">
        <f>HYPERLINK("https://globaldossier.uspto.gov/result/application/US/16898804/1","US20210322481")</f>
        <v>0.0</v>
      </c>
      <c r="M1761" t="s">
        <v>12191</v>
      </c>
      <c r="N1761" t="s">
        <v>12192</v>
      </c>
      <c r="O1761" t="s">
        <v>12193</v>
      </c>
      <c r="P1761" t="s">
        <v>12194</v>
      </c>
      <c r="Q1761" s="3" t="n">
        <v>43993.0</v>
      </c>
      <c r="R1761" s="3" t="n">
        <v>44490.0</v>
      </c>
      <c r="S1761" s="3" t="n">
        <v>44491.231531377314</v>
      </c>
      <c r="T1761" s="3" t="n">
        <v>44501.50753351852</v>
      </c>
      <c r="U1761" t="s">
        <v>12195</v>
      </c>
      <c r="V1761" t="s">
        <v>12196</v>
      </c>
    </row>
    <row r="1762">
      <c r="A1762" t="s">
        <v>22</v>
      </c>
      <c r="B1762" t="s">
        <v>12197</v>
      </c>
      <c r="C1762" t="s">
        <v>60</v>
      </c>
      <c r="D1762" t="s">
        <v>4942</v>
      </c>
      <c r="E1762" t="s">
        <v>12198</v>
      </c>
      <c r="F1762" s="2" t="n">
        <f>HYPERLINK("https://patents.google.com/patent/US20210322469","Google")</f>
        <v>0.0</v>
      </c>
      <c r="G1762" s="2" t="n">
        <f>HYPERLINK("https://patentcenter.uspto.gov/applications/17235518","Patent Center")</f>
        <v>0.0</v>
      </c>
      <c r="H1762" s="2" t="n">
        <f>HYPERLINK("https://worldwide.espacenet.com/patent/search?q=US20210322469","Espacenet")</f>
        <v>0.0</v>
      </c>
      <c r="I1762" s="2" t="n">
        <f>HYPERLINK("https://ppubs.uspto.gov/pubwebapp/external.html?q=20210322469.pn.","USPTO")</f>
        <v>0.0</v>
      </c>
      <c r="J1762" s="2" t="n">
        <f>HYPERLINK("https://image-ppubs.uspto.gov/dirsearch-public/print/downloadPdf/20210322469","USPTO PDF")</f>
        <v>0.0</v>
      </c>
      <c r="K1762" s="2" t="n">
        <f>HYPERLINK("https://sectors.patentforecast.com/pmd/US20210322469","PMD")</f>
        <v>0.0</v>
      </c>
      <c r="L1762" s="2" t="n">
        <f>HYPERLINK("https://globaldossier.uspto.gov/result/application/US/17235518/1","US20210322469")</f>
        <v>0.0</v>
      </c>
      <c r="M1762" t="s">
        <v>12199</v>
      </c>
      <c r="N1762" t="s">
        <v>10979</v>
      </c>
      <c r="O1762" t="s">
        <v>10980</v>
      </c>
      <c r="P1762" t="s">
        <v>12200</v>
      </c>
      <c r="Q1762" s="3" t="n">
        <v>44306.0</v>
      </c>
      <c r="R1762" s="3" t="n">
        <v>44490.0</v>
      </c>
      <c r="S1762" s="3" t="n">
        <v>44491.231531377314</v>
      </c>
      <c r="T1762" s="3" t="n">
        <v>44501.58343614583</v>
      </c>
      <c r="U1762" t="s">
        <v>12201</v>
      </c>
      <c r="V1762" t="s">
        <v>12202</v>
      </c>
    </row>
    <row r="1763">
      <c r="A1763" t="s">
        <v>22</v>
      </c>
      <c r="B1763" t="s">
        <v>12203</v>
      </c>
      <c r="C1763" t="s">
        <v>60</v>
      </c>
      <c r="D1763" t="s">
        <v>61</v>
      </c>
      <c r="E1763" t="s">
        <v>12204</v>
      </c>
      <c r="F1763" s="2" t="n">
        <f>HYPERLINK("https://patents.google.com/patent/US20210322467","Google")</f>
        <v>0.0</v>
      </c>
      <c r="G1763" s="2" t="n">
        <f>HYPERLINK("https://patentcenter.uspto.gov/applications/17230069","Patent Center")</f>
        <v>0.0</v>
      </c>
      <c r="H1763" s="2" t="n">
        <f>HYPERLINK("https://worldwide.espacenet.com/patent/search?q=US20210322467","Espacenet")</f>
        <v>0.0</v>
      </c>
      <c r="I1763" s="2" t="n">
        <f>HYPERLINK("https://ppubs.uspto.gov/pubwebapp/external.html?q=20210322467.pn.","USPTO")</f>
        <v>0.0</v>
      </c>
      <c r="J1763" s="2" t="n">
        <f>HYPERLINK("https://image-ppubs.uspto.gov/dirsearch-public/print/downloadPdf/20210322467","USPTO PDF")</f>
        <v>0.0</v>
      </c>
      <c r="K1763" s="2" t="n">
        <f>HYPERLINK("https://sectors.patentforecast.com/pmd/US20210322467","PMD")</f>
        <v>0.0</v>
      </c>
      <c r="L1763" s="2" t="n">
        <f>HYPERLINK("https://globaldossier.uspto.gov/result/application/US/17230069/1","US20210322467")</f>
        <v>0.0</v>
      </c>
      <c r="M1763" t="s">
        <v>12205</v>
      </c>
      <c r="N1763" t="s">
        <v>12206</v>
      </c>
      <c r="O1763" t="s">
        <v>12207</v>
      </c>
      <c r="P1763" t="s">
        <v>12208</v>
      </c>
      <c r="Q1763" s="3" t="n">
        <v>44300.0</v>
      </c>
      <c r="R1763" s="3" t="n">
        <v>44490.0</v>
      </c>
      <c r="S1763" s="3" t="n">
        <v>44491.231531377314</v>
      </c>
      <c r="T1763" s="3" t="n">
        <v>44501.579196087965</v>
      </c>
      <c r="U1763" t="s">
        <v>12209</v>
      </c>
      <c r="V1763" t="s">
        <v>12210</v>
      </c>
    </row>
    <row r="1764">
      <c r="A1764" t="s">
        <v>22</v>
      </c>
      <c r="B1764" t="s">
        <v>12211</v>
      </c>
      <c r="C1764" t="s">
        <v>60</v>
      </c>
      <c r="D1764" t="s">
        <v>61</v>
      </c>
      <c r="E1764" t="s">
        <v>12212</v>
      </c>
      <c r="F1764" s="2" t="n">
        <f>HYPERLINK("https://patents.google.com/patent/US20210322464","Google")</f>
        <v>0.0</v>
      </c>
      <c r="G1764" s="2" t="n">
        <f>HYPERLINK("https://patentcenter.uspto.gov/applications/17235592","Patent Center")</f>
        <v>0.0</v>
      </c>
      <c r="H1764" s="2" t="n">
        <f>HYPERLINK("https://worldwide.espacenet.com/patent/search?q=US20210322464","Espacenet")</f>
        <v>0.0</v>
      </c>
      <c r="I1764" s="2" t="n">
        <f>HYPERLINK("https://ppubs.uspto.gov/pubwebapp/external.html?q=20210322464.pn.","USPTO")</f>
        <v>0.0</v>
      </c>
      <c r="J1764" s="2" t="n">
        <f>HYPERLINK("https://image-ppubs.uspto.gov/dirsearch-public/print/downloadPdf/20210322464","USPTO PDF")</f>
        <v>0.0</v>
      </c>
      <c r="K1764" s="2" t="n">
        <f>HYPERLINK("https://sectors.patentforecast.com/pmd/US20210322464","PMD")</f>
        <v>0.0</v>
      </c>
      <c r="L1764" s="2" t="n">
        <f>HYPERLINK("https://globaldossier.uspto.gov/result/application/US/17235592/1","US20210322464")</f>
        <v>0.0</v>
      </c>
      <c r="M1764" t="s">
        <v>12213</v>
      </c>
      <c r="N1764" t="s">
        <v>12214</v>
      </c>
      <c r="O1764" t="s">
        <v>12215</v>
      </c>
      <c r="P1764" t="s">
        <v>12216</v>
      </c>
      <c r="Q1764" s="3" t="n">
        <v>44306.0</v>
      </c>
      <c r="R1764" s="3" t="n">
        <v>44490.0</v>
      </c>
      <c r="S1764" s="3" t="n">
        <v>44491.231531377314</v>
      </c>
      <c r="T1764" s="3" t="n">
        <v>44498.705311875</v>
      </c>
      <c r="U1764" t="s">
        <v>12217</v>
      </c>
      <c r="V1764" t="s">
        <v>12218</v>
      </c>
    </row>
    <row r="1765">
      <c r="A1765" t="s">
        <v>22</v>
      </c>
      <c r="B1765" t="s">
        <v>12219</v>
      </c>
      <c r="C1765" t="s">
        <v>60</v>
      </c>
      <c r="D1765" t="s">
        <v>61</v>
      </c>
      <c r="E1765" t="s">
        <v>12220</v>
      </c>
      <c r="F1765" s="2" t="n">
        <f>HYPERLINK("https://patents.google.com/patent/US20210322445","Google")</f>
        <v>0.0</v>
      </c>
      <c r="G1765" s="2" t="n">
        <f>HYPERLINK("https://patentcenter.uspto.gov/applications/17220833","Patent Center")</f>
        <v>0.0</v>
      </c>
      <c r="H1765" s="2" t="n">
        <f>HYPERLINK("https://worldwide.espacenet.com/patent/search?q=US20210322445","Espacenet")</f>
        <v>0.0</v>
      </c>
      <c r="I1765" s="2" t="n">
        <f>HYPERLINK("https://ppubs.uspto.gov/pubwebapp/external.html?q=20210322445.pn.","USPTO")</f>
        <v>0.0</v>
      </c>
      <c r="J1765" s="2" t="n">
        <f>HYPERLINK("https://image-ppubs.uspto.gov/dirsearch-public/print/downloadPdf/20210322445","USPTO PDF")</f>
        <v>0.0</v>
      </c>
      <c r="K1765" s="2" t="n">
        <f>HYPERLINK("https://sectors.patentforecast.com/pmd/US20210322445","PMD")</f>
        <v>0.0</v>
      </c>
      <c r="L1765" s="2" t="n">
        <f>HYPERLINK("https://globaldossier.uspto.gov/result/application/US/17220833/1","US20210322445")</f>
        <v>0.0</v>
      </c>
      <c r="M1765" t="s">
        <v>12221</v>
      </c>
      <c r="N1765" t="s">
        <v>12222</v>
      </c>
      <c r="O1765" t="s">
        <v>12223</v>
      </c>
      <c r="P1765" t="s">
        <v>12224</v>
      </c>
      <c r="Q1765" s="3" t="n">
        <v>44287.0</v>
      </c>
      <c r="R1765" s="3" t="n">
        <v>44490.0</v>
      </c>
      <c r="S1765" s="3" t="n">
        <v>44491.231531377314</v>
      </c>
      <c r="T1765" s="3" t="n">
        <v>44501.58046835648</v>
      </c>
      <c r="U1765" t="s">
        <v>12225</v>
      </c>
      <c r="V1765" t="s">
        <v>12226</v>
      </c>
    </row>
    <row r="1766">
      <c r="A1766" t="s">
        <v>22</v>
      </c>
      <c r="B1766" t="s">
        <v>12227</v>
      </c>
      <c r="C1766" t="s">
        <v>60</v>
      </c>
      <c r="D1766" t="s">
        <v>61</v>
      </c>
      <c r="E1766" t="s">
        <v>12228</v>
      </c>
      <c r="F1766" s="2" t="n">
        <f>HYPERLINK("https://patents.google.com/patent/US20210322421","Google")</f>
        <v>0.0</v>
      </c>
      <c r="G1766" s="2" t="n">
        <f>HYPERLINK("https://patentcenter.uspto.gov/applications/17131875","Patent Center")</f>
        <v>0.0</v>
      </c>
      <c r="H1766" s="2" t="n">
        <f>HYPERLINK("https://worldwide.espacenet.com/patent/search?q=US20210322421","Espacenet")</f>
        <v>0.0</v>
      </c>
      <c r="I1766" s="2" t="n">
        <f>HYPERLINK("https://ppubs.uspto.gov/pubwebapp/external.html?q=20210322421.pn.","USPTO")</f>
        <v>0.0</v>
      </c>
      <c r="J1766" s="2" t="n">
        <f>HYPERLINK("https://image-ppubs.uspto.gov/dirsearch-public/print/downloadPdf/20210322421","USPTO PDF")</f>
        <v>0.0</v>
      </c>
      <c r="K1766" s="2" t="n">
        <f>HYPERLINK("https://sectors.patentforecast.com/pmd/US20210322421","PMD")</f>
        <v>0.0</v>
      </c>
      <c r="L1766" s="2" t="n">
        <f>HYPERLINK("https://globaldossier.uspto.gov/result/application/US/17131875/1","US20210322421")</f>
        <v>0.0</v>
      </c>
      <c r="M1766" t="s">
        <v>12229</v>
      </c>
      <c r="N1766" t="s">
        <v>11116</v>
      </c>
      <c r="O1766" t="s">
        <v>11117</v>
      </c>
      <c r="P1766" t="s">
        <v>11845</v>
      </c>
      <c r="Q1766" s="3" t="n">
        <v>44188.0</v>
      </c>
      <c r="R1766" s="3" t="n">
        <v>44490.0</v>
      </c>
      <c r="S1766" s="3" t="n">
        <v>44491.231531377314</v>
      </c>
      <c r="T1766" s="3" t="n">
        <v>44501.54189743056</v>
      </c>
      <c r="U1766" t="s">
        <v>12230</v>
      </c>
      <c r="V1766" t="s">
        <v>12231</v>
      </c>
    </row>
    <row r="1767">
      <c r="A1767" t="s">
        <v>22</v>
      </c>
      <c r="B1767" t="s">
        <v>12232</v>
      </c>
      <c r="C1767" t="s">
        <v>60</v>
      </c>
      <c r="D1767" t="s">
        <v>61</v>
      </c>
      <c r="E1767" t="s">
        <v>7324</v>
      </c>
      <c r="F1767" s="2" t="n">
        <f>HYPERLINK("https://patents.google.com/patent/US20210322390","Google")</f>
        <v>0.0</v>
      </c>
      <c r="G1767" s="2" t="n">
        <f>HYPERLINK("https://patentcenter.uspto.gov/applications/17364386","Patent Center")</f>
        <v>0.0</v>
      </c>
      <c r="H1767" s="2" t="n">
        <f>HYPERLINK("https://worldwide.espacenet.com/patent/search?q=US20210322390","Espacenet")</f>
        <v>0.0</v>
      </c>
      <c r="I1767" s="2" t="n">
        <f>HYPERLINK("https://ppubs.uspto.gov/pubwebapp/external.html?q=20210322390.pn.","USPTO")</f>
        <v>0.0</v>
      </c>
      <c r="J1767" s="2" t="n">
        <f>HYPERLINK("https://image-ppubs.uspto.gov/dirsearch-public/print/downloadPdf/20210322390","USPTO PDF")</f>
        <v>0.0</v>
      </c>
      <c r="K1767" s="2" t="n">
        <f>HYPERLINK("https://sectors.patentforecast.com/pmd/US20210322390","PMD")</f>
        <v>0.0</v>
      </c>
      <c r="L1767" s="2" t="n">
        <f>HYPERLINK("https://globaldossier.uspto.gov/result/application/US/17364386/1","US20210322390")</f>
        <v>0.0</v>
      </c>
      <c r="M1767" t="s">
        <v>12233</v>
      </c>
      <c r="N1767" t="s">
        <v>160</v>
      </c>
      <c r="O1767" t="s">
        <v>161</v>
      </c>
      <c r="P1767" t="s">
        <v>162</v>
      </c>
      <c r="Q1767" s="3" t="n">
        <v>44377.0</v>
      </c>
      <c r="R1767" s="3" t="n">
        <v>44490.0</v>
      </c>
      <c r="S1767" s="3" t="n">
        <v>44491.22978872685</v>
      </c>
      <c r="T1767" s="3" t="n">
        <v>44501.566385694445</v>
      </c>
      <c r="U1767" t="s">
        <v>12234</v>
      </c>
      <c r="V1767" t="s">
        <v>163</v>
      </c>
    </row>
    <row r="1768">
      <c r="A1768" t="s">
        <v>22</v>
      </c>
      <c r="B1768" t="s">
        <v>12235</v>
      </c>
      <c r="C1768" t="s">
        <v>60</v>
      </c>
      <c r="D1768" t="s">
        <v>61</v>
      </c>
      <c r="E1768" t="s">
        <v>12236</v>
      </c>
      <c r="F1768" s="2" t="n">
        <f>HYPERLINK("https://patents.google.com/patent/US20210322351","Google")</f>
        <v>0.0</v>
      </c>
      <c r="G1768" s="2" t="n">
        <f>HYPERLINK("https://patentcenter.uspto.gov/applications/17234986","Patent Center")</f>
        <v>0.0</v>
      </c>
      <c r="H1768" s="2" t="n">
        <f>HYPERLINK("https://worldwide.espacenet.com/patent/search?q=US20210322351","Espacenet")</f>
        <v>0.0</v>
      </c>
      <c r="I1768" s="2" t="n">
        <f>HYPERLINK("https://ppubs.uspto.gov/pubwebapp/external.html?q=20210322351.pn.","USPTO")</f>
        <v>0.0</v>
      </c>
      <c r="J1768" s="2" t="n">
        <f>HYPERLINK("https://image-ppubs.uspto.gov/dirsearch-public/print/downloadPdf/20210322351","USPTO PDF")</f>
        <v>0.0</v>
      </c>
      <c r="K1768" s="2" t="n">
        <f>HYPERLINK("https://sectors.patentforecast.com/pmd/US20210322351","PMD")</f>
        <v>0.0</v>
      </c>
      <c r="L1768" s="2" t="n">
        <f>HYPERLINK("https://globaldossier.uspto.gov/result/application/US/17234986/1","US20210322351")</f>
        <v>0.0</v>
      </c>
      <c r="M1768" t="s">
        <v>12237</v>
      </c>
      <c r="N1768" t="s">
        <v>12238</v>
      </c>
      <c r="O1768" t="s">
        <v>12239</v>
      </c>
      <c r="P1768" t="s">
        <v>12240</v>
      </c>
      <c r="Q1768" s="3" t="n">
        <v>44306.0</v>
      </c>
      <c r="R1768" s="3" t="n">
        <v>44490.0</v>
      </c>
      <c r="S1768" s="3" t="n">
        <v>44491.22978872685</v>
      </c>
      <c r="T1768" s="3" t="n">
        <v>44501.55355725694</v>
      </c>
      <c r="U1768" t="s">
        <v>12241</v>
      </c>
      <c r="V1768" t="s">
        <v>12242</v>
      </c>
    </row>
    <row r="1769">
      <c r="A1769" t="s">
        <v>22</v>
      </c>
      <c r="B1769" t="s">
        <v>12243</v>
      </c>
      <c r="C1769" t="s">
        <v>60</v>
      </c>
      <c r="D1769" t="s">
        <v>715</v>
      </c>
      <c r="E1769" t="s">
        <v>12244</v>
      </c>
      <c r="F1769" s="2" t="n">
        <f>HYPERLINK("https://patents.google.com/patent/US20210322242","Google")</f>
        <v>0.0</v>
      </c>
      <c r="G1769" s="2" t="n">
        <f>HYPERLINK("https://patentcenter.uspto.gov/applications/17231341","Patent Center")</f>
        <v>0.0</v>
      </c>
      <c r="H1769" s="2" t="n">
        <f>HYPERLINK("https://worldwide.espacenet.com/patent/search?q=US20210322242","Espacenet")</f>
        <v>0.0</v>
      </c>
      <c r="I1769" s="2" t="n">
        <f>HYPERLINK("https://ppubs.uspto.gov/pubwebapp/external.html?q=20210322242.pn.","USPTO")</f>
        <v>0.0</v>
      </c>
      <c r="J1769" s="2" t="n">
        <f>HYPERLINK("https://image-ppubs.uspto.gov/dirsearch-public/print/downloadPdf/20210322242","USPTO PDF")</f>
        <v>0.0</v>
      </c>
      <c r="K1769" s="2" t="n">
        <f>HYPERLINK("https://sectors.patentforecast.com/pmd/US20210322242","PMD")</f>
        <v>0.0</v>
      </c>
      <c r="L1769" s="2" t="n">
        <f>HYPERLINK("https://globaldossier.uspto.gov/result/application/US/17231341/1","US20210322242")</f>
        <v>0.0</v>
      </c>
      <c r="M1769" t="s">
        <v>12245</v>
      </c>
      <c r="N1769" t="s">
        <v>10979</v>
      </c>
      <c r="O1769" t="s">
        <v>10980</v>
      </c>
      <c r="P1769" t="s">
        <v>12246</v>
      </c>
      <c r="Q1769" s="3" t="n">
        <v>44301.0</v>
      </c>
      <c r="R1769" s="3" t="n">
        <v>44490.0</v>
      </c>
      <c r="S1769" s="3" t="n">
        <v>44491.230598993054</v>
      </c>
      <c r="T1769" s="3" t="n">
        <v>44501.579761180554</v>
      </c>
      <c r="U1769" t="s">
        <v>12247</v>
      </c>
      <c r="V1769" t="s">
        <v>12248</v>
      </c>
    </row>
    <row r="1770">
      <c r="A1770" t="s">
        <v>22</v>
      </c>
      <c r="B1770" t="s">
        <v>12249</v>
      </c>
      <c r="C1770" t="s">
        <v>24</v>
      </c>
      <c r="D1770" t="s">
        <v>25</v>
      </c>
      <c r="E1770" t="s">
        <v>12250</v>
      </c>
      <c r="F1770" s="2" t="n">
        <f>HYPERLINK("https://patents.google.com/patent/US20210321904","Google")</f>
        <v>0.0</v>
      </c>
      <c r="G1770" s="2" t="n">
        <f>HYPERLINK("https://patentcenter.uspto.gov/applications/17235259","Patent Center")</f>
        <v>0.0</v>
      </c>
      <c r="H1770" s="2" t="n">
        <f>HYPERLINK("https://worldwide.espacenet.com/patent/search?q=US20210321904","Espacenet")</f>
        <v>0.0</v>
      </c>
      <c r="I1770" s="2" t="n">
        <f>HYPERLINK("https://ppubs.uspto.gov/pubwebapp/external.html?q=20210321904.pn.","USPTO")</f>
        <v>0.0</v>
      </c>
      <c r="J1770" s="2" t="n">
        <f>HYPERLINK("https://image-ppubs.uspto.gov/dirsearch-public/print/downloadPdf/20210321904","USPTO PDF")</f>
        <v>0.0</v>
      </c>
      <c r="K1770" s="2" t="n">
        <f>HYPERLINK("https://sectors.patentforecast.com/pmd/US20210321904","PMD")</f>
        <v>0.0</v>
      </c>
      <c r="L1770" s="2" t="n">
        <f>HYPERLINK("https://globaldossier.uspto.gov/result/application/US/17235259/1","US20210321904")</f>
        <v>0.0</v>
      </c>
      <c r="M1770" t="s">
        <v>12251</v>
      </c>
      <c r="N1770" t="s">
        <v>9536</v>
      </c>
      <c r="O1770" t="s">
        <v>9537</v>
      </c>
      <c r="P1770" t="s">
        <v>12252</v>
      </c>
      <c r="Q1770" s="3" t="n">
        <v>44306.0</v>
      </c>
      <c r="R1770" s="3" t="n">
        <v>44490.0</v>
      </c>
      <c r="S1770" s="3" t="n">
        <v>44491.230598993054</v>
      </c>
      <c r="T1770" s="3" t="n">
        <v>44501.58065885417</v>
      </c>
      <c r="U1770" t="s">
        <v>12253</v>
      </c>
      <c r="V1770" t="s">
        <v>12254</v>
      </c>
    </row>
    <row r="1771">
      <c r="A1771" t="s">
        <v>22</v>
      </c>
      <c r="B1771" t="s">
        <v>12255</v>
      </c>
      <c r="C1771" t="s">
        <v>24</v>
      </c>
      <c r="D1771" t="s">
        <v>34</v>
      </c>
      <c r="E1771" t="s">
        <v>12256</v>
      </c>
      <c r="F1771" s="2" t="n">
        <f>HYPERLINK("https://patents.google.com/patent/US20210321903","Google")</f>
        <v>0.0</v>
      </c>
      <c r="G1771" s="2" t="n">
        <f>HYPERLINK("https://patentcenter.uspto.gov/applications/17189711","Patent Center")</f>
        <v>0.0</v>
      </c>
      <c r="H1771" s="2" t="n">
        <f>HYPERLINK("https://worldwide.espacenet.com/patent/search?q=US20210321903","Espacenet")</f>
        <v>0.0</v>
      </c>
      <c r="I1771" s="2" t="n">
        <f>HYPERLINK("https://ppubs.uspto.gov/pubwebapp/external.html?q=20210321903.pn.","USPTO")</f>
        <v>0.0</v>
      </c>
      <c r="J1771" s="2" t="n">
        <f>HYPERLINK("https://image-ppubs.uspto.gov/dirsearch-public/print/downloadPdf/20210321903","USPTO PDF")</f>
        <v>0.0</v>
      </c>
      <c r="K1771" s="2" t="n">
        <f>HYPERLINK("https://sectors.patentforecast.com/pmd/US20210321903","PMD")</f>
        <v>0.0</v>
      </c>
      <c r="L1771" s="2" t="n">
        <f>HYPERLINK("https://globaldossier.uspto.gov/result/application/US/17189711/1","US20210321903")</f>
        <v>0.0</v>
      </c>
      <c r="M1771" t="s">
        <v>12257</v>
      </c>
      <c r="N1771" t="s">
        <v>11884</v>
      </c>
      <c r="O1771" t="s">
        <v>11885</v>
      </c>
      <c r="P1771" t="s">
        <v>11878</v>
      </c>
      <c r="Q1771" s="3" t="n">
        <v>44257.0</v>
      </c>
      <c r="R1771" s="3" t="n">
        <v>44490.0</v>
      </c>
      <c r="S1771" s="3" t="n">
        <v>44491.230598993054</v>
      </c>
      <c r="T1771" s="3" t="n">
        <v>44498.70552820602</v>
      </c>
      <c r="U1771" t="s">
        <v>12258</v>
      </c>
      <c r="V1771" t="s">
        <v>12259</v>
      </c>
    </row>
    <row r="1772">
      <c r="A1772" t="s">
        <v>22</v>
      </c>
      <c r="B1772" t="s">
        <v>12260</v>
      </c>
      <c r="C1772" t="s">
        <v>24</v>
      </c>
      <c r="D1772" t="s">
        <v>25</v>
      </c>
      <c r="E1772" t="s">
        <v>12261</v>
      </c>
      <c r="F1772" s="2" t="n">
        <f>HYPERLINK("https://patents.google.com/patent/US20210321875","Google")</f>
        <v>0.0</v>
      </c>
      <c r="G1772" s="2" t="n">
        <f>HYPERLINK("https://patentcenter.uspto.gov/applications/17326650","Patent Center")</f>
        <v>0.0</v>
      </c>
      <c r="H1772" s="2" t="n">
        <f>HYPERLINK("https://worldwide.espacenet.com/patent/search?q=US20210321875","Espacenet")</f>
        <v>0.0</v>
      </c>
      <c r="I1772" s="2" t="n">
        <f>HYPERLINK("https://ppubs.uspto.gov/pubwebapp/external.html?q=20210321875.pn.","USPTO")</f>
        <v>0.0</v>
      </c>
      <c r="J1772" s="2" t="n">
        <f>HYPERLINK("https://image-ppubs.uspto.gov/dirsearch-public/print/downloadPdf/20210321875","USPTO PDF")</f>
        <v>0.0</v>
      </c>
      <c r="K1772" s="2" t="n">
        <f>HYPERLINK("https://sectors.patentforecast.com/pmd/US20210321875","PMD")</f>
        <v>0.0</v>
      </c>
      <c r="L1772" s="2" t="n">
        <f>HYPERLINK("https://globaldossier.uspto.gov/result/application/US/17326650/1","US20210321875")</f>
        <v>0.0</v>
      </c>
      <c r="M1772" t="s">
        <v>12262</v>
      </c>
      <c r="N1772" t="s">
        <v>12263</v>
      </c>
      <c r="O1772" t="s">
        <v>12264</v>
      </c>
      <c r="P1772" t="s">
        <v>12265</v>
      </c>
      <c r="Q1772" s="3" t="n">
        <v>44337.0</v>
      </c>
      <c r="R1772" s="3" t="n">
        <v>44490.0</v>
      </c>
      <c r="S1772" s="3" t="n">
        <v>44491.230598993054</v>
      </c>
      <c r="T1772" s="3" t="n">
        <v>44501.565237476854</v>
      </c>
      <c r="U1772" t="s">
        <v>12266</v>
      </c>
      <c r="V1772" t="s">
        <v>12267</v>
      </c>
    </row>
    <row r="1773">
      <c r="A1773" t="s">
        <v>22</v>
      </c>
      <c r="B1773" t="s">
        <v>12268</v>
      </c>
      <c r="C1773" t="s">
        <v>24</v>
      </c>
      <c r="D1773" t="s">
        <v>100</v>
      </c>
      <c r="E1773" t="s">
        <v>12269</v>
      </c>
      <c r="F1773" s="2" t="n">
        <f>HYPERLINK("https://patents.google.com/patent/US20210321703","Google")</f>
        <v>0.0</v>
      </c>
      <c r="G1773" s="2" t="n">
        <f>HYPERLINK("https://patentcenter.uspto.gov/applications/17232839","Patent Center")</f>
        <v>0.0</v>
      </c>
      <c r="H1773" s="2" t="n">
        <f>HYPERLINK("https://worldwide.espacenet.com/patent/search?q=US20210321703","Espacenet")</f>
        <v>0.0</v>
      </c>
      <c r="I1773" s="2" t="n">
        <f>HYPERLINK("https://ppubs.uspto.gov/pubwebapp/external.html?q=20210321703.pn.","USPTO")</f>
        <v>0.0</v>
      </c>
      <c r="J1773" s="2" t="n">
        <f>HYPERLINK("https://image-ppubs.uspto.gov/dirsearch-public/print/downloadPdf/20210321703","USPTO PDF")</f>
        <v>0.0</v>
      </c>
      <c r="K1773" s="2" t="n">
        <f>HYPERLINK("https://sectors.patentforecast.com/pmd/US20210321703","PMD")</f>
        <v>0.0</v>
      </c>
      <c r="L1773" s="2" t="n">
        <f>HYPERLINK("https://globaldossier.uspto.gov/result/application/US/17232839/1","US20210321703")</f>
        <v>0.0</v>
      </c>
      <c r="M1773" t="s">
        <v>12270</v>
      </c>
      <c r="N1773" t="s">
        <v>12271</v>
      </c>
      <c r="O1773" t="s">
        <v>12272</v>
      </c>
      <c r="P1773" t="s">
        <v>12273</v>
      </c>
      <c r="Q1773" s="3" t="n">
        <v>44302.0</v>
      </c>
      <c r="R1773" s="3" t="n">
        <v>44490.0</v>
      </c>
      <c r="S1773" s="3" t="n">
        <v>44491.230598993054</v>
      </c>
      <c r="T1773" s="3" t="n">
        <v>44501.59524614584</v>
      </c>
      <c r="U1773" t="s">
        <v>12274</v>
      </c>
      <c r="V1773" t="s">
        <v>12275</v>
      </c>
    </row>
    <row r="1774">
      <c r="A1774" t="s">
        <v>22</v>
      </c>
      <c r="B1774" t="s">
        <v>12276</v>
      </c>
      <c r="C1774" t="s">
        <v>24</v>
      </c>
      <c r="D1774" t="s">
        <v>69</v>
      </c>
      <c r="E1774" t="s">
        <v>12277</v>
      </c>
      <c r="F1774" s="2" t="n">
        <f>HYPERLINK("https://patents.google.com/patent/US20210321696","Google")</f>
        <v>0.0</v>
      </c>
      <c r="G1774" s="2" t="n">
        <f>HYPERLINK("https://patentcenter.uspto.gov/applications/16941371","Patent Center")</f>
        <v>0.0</v>
      </c>
      <c r="H1774" s="2" t="n">
        <f>HYPERLINK("https://worldwide.espacenet.com/patent/search?q=US20210321696","Espacenet")</f>
        <v>0.0</v>
      </c>
      <c r="I1774" s="2" t="n">
        <f>HYPERLINK("https://ppubs.uspto.gov/pubwebapp/external.html?q=20210321696.pn.","USPTO")</f>
        <v>0.0</v>
      </c>
      <c r="J1774" s="2" t="n">
        <f>HYPERLINK("https://image-ppubs.uspto.gov/dirsearch-public/print/downloadPdf/20210321696","USPTO PDF")</f>
        <v>0.0</v>
      </c>
      <c r="K1774" s="2" t="n">
        <f>HYPERLINK("https://sectors.patentforecast.com/pmd/US20210321696","PMD")</f>
        <v>0.0</v>
      </c>
      <c r="L1774" s="2" t="n">
        <f>HYPERLINK("https://globaldossier.uspto.gov/result/application/US/16941371/1","US20210321696")</f>
        <v>0.0</v>
      </c>
      <c r="M1774" t="s">
        <v>12278</v>
      </c>
      <c r="N1774" t="s">
        <v>12279</v>
      </c>
      <c r="O1774" t="s">
        <v>12280</v>
      </c>
      <c r="P1774" t="s">
        <v>12281</v>
      </c>
      <c r="Q1774" s="3" t="n">
        <v>44040.0</v>
      </c>
      <c r="R1774" s="3" t="n">
        <v>44490.0</v>
      </c>
      <c r="S1774" s="3" t="n">
        <v>44491.230598993054</v>
      </c>
      <c r="T1774" s="3" t="n">
        <v>44498.70588306713</v>
      </c>
      <c r="U1774" t="s">
        <v>12282</v>
      </c>
      <c r="V1774" t="s">
        <v>12283</v>
      </c>
    </row>
    <row r="1775">
      <c r="A1775" t="s">
        <v>22</v>
      </c>
      <c r="B1775" t="s">
        <v>12284</v>
      </c>
      <c r="C1775" t="s">
        <v>60</v>
      </c>
      <c r="D1775" t="s">
        <v>715</v>
      </c>
      <c r="E1775" t="s">
        <v>12285</v>
      </c>
      <c r="F1775" s="2" t="n">
        <f>HYPERLINK("https://patents.google.com/patent/US20210321693","Google")</f>
        <v>0.0</v>
      </c>
      <c r="G1775" s="2" t="n">
        <f>HYPERLINK("https://patentcenter.uspto.gov/applications/16893699","Patent Center")</f>
        <v>0.0</v>
      </c>
      <c r="H1775" s="2" t="n">
        <f>HYPERLINK("https://worldwide.espacenet.com/patent/search?q=US20210321693","Espacenet")</f>
        <v>0.0</v>
      </c>
      <c r="I1775" s="2" t="n">
        <f>HYPERLINK("https://ppubs.uspto.gov/pubwebapp/external.html?q=20210321693.pn.","USPTO")</f>
        <v>0.0</v>
      </c>
      <c r="J1775" s="2" t="n">
        <f>HYPERLINK("https://image-ppubs.uspto.gov/dirsearch-public/print/downloadPdf/20210321693","USPTO PDF")</f>
        <v>0.0</v>
      </c>
      <c r="K1775" s="2" t="n">
        <f>HYPERLINK("https://sectors.patentforecast.com/pmd/US20210321693","PMD")</f>
        <v>0.0</v>
      </c>
      <c r="L1775" s="2" t="n">
        <f>HYPERLINK("https://globaldossier.uspto.gov/result/application/US/16893699/1","US20210321693")</f>
        <v>0.0</v>
      </c>
      <c r="M1775" t="s">
        <v>12286</v>
      </c>
      <c r="N1775" t="s">
        <v>12287</v>
      </c>
      <c r="O1775" t="s">
        <v>12287</v>
      </c>
      <c r="P1775" t="s">
        <v>12288</v>
      </c>
      <c r="Q1775" s="3" t="n">
        <v>43987.0</v>
      </c>
      <c r="R1775" s="3" t="n">
        <v>44490.0</v>
      </c>
      <c r="S1775" s="3" t="n">
        <v>44491.230598993054</v>
      </c>
      <c r="T1775" s="3" t="n">
        <v>44501.56608512731</v>
      </c>
      <c r="U1775" t="s">
        <v>12289</v>
      </c>
      <c r="V1775" t="s">
        <v>12290</v>
      </c>
    </row>
    <row r="1776">
      <c r="A1776" t="s">
        <v>22</v>
      </c>
      <c r="B1776" t="s">
        <v>12291</v>
      </c>
      <c r="C1776" t="s">
        <v>60</v>
      </c>
      <c r="D1776" t="s">
        <v>715</v>
      </c>
      <c r="E1776" t="s">
        <v>12285</v>
      </c>
      <c r="F1776" s="2" t="n">
        <f>HYPERLINK("https://patents.google.com/patent/US20210321692","Google")</f>
        <v>0.0</v>
      </c>
      <c r="G1776" s="2" t="n">
        <f>HYPERLINK("https://patentcenter.uspto.gov/applications/16874609","Patent Center")</f>
        <v>0.0</v>
      </c>
      <c r="H1776" s="2" t="n">
        <f>HYPERLINK("https://worldwide.espacenet.com/patent/search?q=US20210321692","Espacenet")</f>
        <v>0.0</v>
      </c>
      <c r="I1776" s="2" t="n">
        <f>HYPERLINK("https://ppubs.uspto.gov/pubwebapp/external.html?q=20210321692.pn.","USPTO")</f>
        <v>0.0</v>
      </c>
      <c r="J1776" s="2" t="n">
        <f>HYPERLINK("https://image-ppubs.uspto.gov/dirsearch-public/print/downloadPdf/20210321692","USPTO PDF")</f>
        <v>0.0</v>
      </c>
      <c r="K1776" s="2" t="n">
        <f>HYPERLINK("https://sectors.patentforecast.com/pmd/US20210321692","PMD")</f>
        <v>0.0</v>
      </c>
      <c r="L1776" s="2" t="n">
        <f>HYPERLINK("https://globaldossier.uspto.gov/result/application/US/16874609/1","US20210321692")</f>
        <v>0.0</v>
      </c>
      <c r="M1776" t="s">
        <v>12292</v>
      </c>
      <c r="N1776" t="s">
        <v>12287</v>
      </c>
      <c r="O1776" t="s">
        <v>12287</v>
      </c>
      <c r="P1776" t="s">
        <v>12293</v>
      </c>
      <c r="Q1776" s="3" t="n">
        <v>43965.0</v>
      </c>
      <c r="R1776" s="3" t="n">
        <v>44490.0</v>
      </c>
      <c r="S1776" s="3" t="n">
        <v>44491.230598993054</v>
      </c>
      <c r="T1776" s="3" t="n">
        <v>44501.56608512731</v>
      </c>
      <c r="U1776" t="s">
        <v>12294</v>
      </c>
      <c r="V1776" t="s">
        <v>12295</v>
      </c>
    </row>
    <row r="1777">
      <c r="A1777" t="s">
        <v>22</v>
      </c>
      <c r="B1777" t="s">
        <v>12296</v>
      </c>
      <c r="C1777" t="s">
        <v>24</v>
      </c>
      <c r="D1777" t="s">
        <v>69</v>
      </c>
      <c r="E1777" t="s">
        <v>12297</v>
      </c>
      <c r="F1777" s="2" t="n">
        <f>HYPERLINK("https://patents.google.com/patent/US20210321691","Google")</f>
        <v>0.0</v>
      </c>
      <c r="G1777" s="2" t="n">
        <f>HYPERLINK("https://patentcenter.uspto.gov/applications/17210976","Patent Center")</f>
        <v>0.0</v>
      </c>
      <c r="H1777" s="2" t="n">
        <f>HYPERLINK("https://worldwide.espacenet.com/patent/search?q=US20210321691","Espacenet")</f>
        <v>0.0</v>
      </c>
      <c r="I1777" s="2" t="n">
        <f>HYPERLINK("https://ppubs.uspto.gov/pubwebapp/external.html?q=20210321691.pn.","USPTO")</f>
        <v>0.0</v>
      </c>
      <c r="J1777" s="2" t="n">
        <f>HYPERLINK("https://image-ppubs.uspto.gov/dirsearch-public/print/downloadPdf/20210321691","USPTO PDF")</f>
        <v>0.0</v>
      </c>
      <c r="K1777" s="2" t="n">
        <f>HYPERLINK("https://sectors.patentforecast.com/pmd/US20210321691","PMD")</f>
        <v>0.0</v>
      </c>
      <c r="L1777" s="2" t="n">
        <f>HYPERLINK("https://globaldossier.uspto.gov/result/application/US/17210976/1","US20210321691")</f>
        <v>0.0</v>
      </c>
      <c r="M1777" t="s">
        <v>12298</v>
      </c>
      <c r="N1777" t="s">
        <v>12299</v>
      </c>
      <c r="O1777" t="s">
        <v>12299</v>
      </c>
      <c r="P1777" t="s">
        <v>12300</v>
      </c>
      <c r="Q1777" s="3" t="n">
        <v>44279.0</v>
      </c>
      <c r="R1777" s="3" t="n">
        <v>44490.0</v>
      </c>
      <c r="S1777" s="3" t="n">
        <v>44491.230598993054</v>
      </c>
      <c r="T1777" s="3" t="n">
        <v>44498.70043575232</v>
      </c>
      <c r="U1777" t="s">
        <v>12301</v>
      </c>
      <c r="V1777" t="s">
        <v>12302</v>
      </c>
    </row>
    <row r="1778">
      <c r="A1778" t="s">
        <v>22</v>
      </c>
      <c r="B1778" t="s">
        <v>12303</v>
      </c>
      <c r="C1778" t="s">
        <v>24</v>
      </c>
      <c r="D1778" t="s">
        <v>69</v>
      </c>
      <c r="E1778" t="s">
        <v>12068</v>
      </c>
      <c r="F1778" s="2" t="n">
        <f>HYPERLINK("https://patents.google.com/patent/US20210321689","Google")</f>
        <v>0.0</v>
      </c>
      <c r="G1778" s="2" t="n">
        <f>HYPERLINK("https://patentcenter.uspto.gov/applications/16871058","Patent Center")</f>
        <v>0.0</v>
      </c>
      <c r="H1778" s="2" t="n">
        <f>HYPERLINK("https://worldwide.espacenet.com/patent/search?q=US20210321689","Espacenet")</f>
        <v>0.0</v>
      </c>
      <c r="I1778" s="2" t="n">
        <f>HYPERLINK("https://ppubs.uspto.gov/pubwebapp/external.html?q=20210321689.pn.","USPTO")</f>
        <v>0.0</v>
      </c>
      <c r="J1778" s="2" t="n">
        <f>HYPERLINK("https://image-ppubs.uspto.gov/dirsearch-public/print/downloadPdf/20210321689","USPTO PDF")</f>
        <v>0.0</v>
      </c>
      <c r="K1778" s="2" t="n">
        <f>HYPERLINK("https://sectors.patentforecast.com/pmd/US20210321689","PMD")</f>
        <v>0.0</v>
      </c>
      <c r="L1778" s="2" t="n">
        <f>HYPERLINK("https://globaldossier.uspto.gov/result/application/US/16871058/1","US20210321689")</f>
        <v>0.0</v>
      </c>
      <c r="M1778" t="s">
        <v>12304</v>
      </c>
      <c r="N1778" t="s">
        <v>12070</v>
      </c>
      <c r="O1778" t="s">
        <v>12070</v>
      </c>
      <c r="P1778" t="s">
        <v>12071</v>
      </c>
      <c r="Q1778" s="3" t="n">
        <v>43962.0</v>
      </c>
      <c r="R1778" s="3" t="n">
        <v>44490.0</v>
      </c>
      <c r="S1778" s="3" t="n">
        <v>44491.230598993054</v>
      </c>
      <c r="T1778" s="3" t="n">
        <v>44498.70048641204</v>
      </c>
      <c r="U1778" t="s">
        <v>12305</v>
      </c>
      <c r="V1778" t="s">
        <v>12306</v>
      </c>
    </row>
    <row r="1779">
      <c r="A1779" t="s">
        <v>22</v>
      </c>
      <c r="B1779" t="s">
        <v>12307</v>
      </c>
      <c r="C1779" t="s">
        <v>24</v>
      </c>
      <c r="D1779" t="s">
        <v>69</v>
      </c>
      <c r="E1779" t="s">
        <v>12308</v>
      </c>
      <c r="F1779" s="2" t="n">
        <f>HYPERLINK("https://patents.google.com/patent/US20210321686","Google")</f>
        <v>0.0</v>
      </c>
      <c r="G1779" s="2" t="n">
        <f>HYPERLINK("https://patentcenter.uspto.gov/applications/16853465","Patent Center")</f>
        <v>0.0</v>
      </c>
      <c r="H1779" s="2" t="n">
        <f>HYPERLINK("https://worldwide.espacenet.com/patent/search?q=US20210321686","Espacenet")</f>
        <v>0.0</v>
      </c>
      <c r="I1779" s="2" t="n">
        <f>HYPERLINK("https://ppubs.uspto.gov/pubwebapp/external.html?q=20210321686.pn.","USPTO")</f>
        <v>0.0</v>
      </c>
      <c r="J1779" s="2" t="n">
        <f>HYPERLINK("https://image-ppubs.uspto.gov/dirsearch-public/print/downloadPdf/20210321686","USPTO PDF")</f>
        <v>0.0</v>
      </c>
      <c r="K1779" s="2" t="n">
        <f>HYPERLINK("https://sectors.patentforecast.com/pmd/US20210321686","PMD")</f>
        <v>0.0</v>
      </c>
      <c r="L1779" s="2" t="n">
        <f>HYPERLINK("https://globaldossier.uspto.gov/result/application/US/16853465/1","US20210321686")</f>
        <v>0.0</v>
      </c>
      <c r="M1779" t="s">
        <v>12309</v>
      </c>
      <c r="N1779" t="s">
        <v>12310</v>
      </c>
      <c r="O1779" t="s">
        <v>12311</v>
      </c>
      <c r="P1779" t="s">
        <v>12312</v>
      </c>
      <c r="Q1779" s="3" t="n">
        <v>43941.0</v>
      </c>
      <c r="R1779" s="3" t="n">
        <v>44490.0</v>
      </c>
      <c r="S1779" s="3" t="n">
        <v>44491.230598993054</v>
      </c>
      <c r="T1779" s="3" t="n">
        <v>44498.70069592592</v>
      </c>
      <c r="U1779" t="s">
        <v>11748</v>
      </c>
      <c r="V1779" t="s">
        <v>12313</v>
      </c>
    </row>
    <row r="1780">
      <c r="A1780" t="s">
        <v>22</v>
      </c>
      <c r="B1780" t="s">
        <v>12314</v>
      </c>
      <c r="C1780" t="s">
        <v>24</v>
      </c>
      <c r="D1780" t="s">
        <v>100</v>
      </c>
      <c r="E1780" t="s">
        <v>12315</v>
      </c>
      <c r="F1780" s="2" t="n">
        <f>HYPERLINK("https://patents.google.com/patent/US20210321618","Google")</f>
        <v>0.0</v>
      </c>
      <c r="G1780" s="2" t="n">
        <f>HYPERLINK("https://patentcenter.uspto.gov/applications/17235827","Patent Center")</f>
        <v>0.0</v>
      </c>
      <c r="H1780" s="2" t="n">
        <f>HYPERLINK("https://worldwide.espacenet.com/patent/search?q=US20210321618","Espacenet")</f>
        <v>0.0</v>
      </c>
      <c r="I1780" s="2" t="n">
        <f>HYPERLINK("https://ppubs.uspto.gov/pubwebapp/external.html?q=20210321618.pn.","USPTO")</f>
        <v>0.0</v>
      </c>
      <c r="J1780" s="2" t="n">
        <f>HYPERLINK("https://image-ppubs.uspto.gov/dirsearch-public/print/downloadPdf/20210321618","USPTO PDF")</f>
        <v>0.0</v>
      </c>
      <c r="K1780" s="2" t="n">
        <f>HYPERLINK("https://sectors.patentforecast.com/pmd/US20210321618","PMD")</f>
        <v>0.0</v>
      </c>
      <c r="L1780" s="2" t="n">
        <f>HYPERLINK("https://globaldossier.uspto.gov/result/application/US/17235827/1","US20210321618")</f>
        <v>0.0</v>
      </c>
      <c r="M1780" t="s">
        <v>12316</v>
      </c>
      <c r="N1780" t="s">
        <v>6551</v>
      </c>
      <c r="O1780" t="s">
        <v>6552</v>
      </c>
      <c r="P1780" t="s">
        <v>12317</v>
      </c>
      <c r="Q1780" s="3" t="n">
        <v>44306.0</v>
      </c>
      <c r="R1780" s="3" t="n">
        <v>44490.0</v>
      </c>
      <c r="S1780" s="3" t="n">
        <v>44491.230598993054</v>
      </c>
      <c r="T1780" s="3" t="n">
        <v>44501.57951365741</v>
      </c>
      <c r="U1780" t="s">
        <v>12318</v>
      </c>
      <c r="V1780" t="s">
        <v>12319</v>
      </c>
    </row>
    <row r="1781">
      <c r="A1781" t="s">
        <v>22</v>
      </c>
      <c r="B1781" t="s">
        <v>12320</v>
      </c>
      <c r="C1781" t="s">
        <v>24</v>
      </c>
      <c r="D1781" t="s">
        <v>43</v>
      </c>
      <c r="E1781" t="s">
        <v>12321</v>
      </c>
      <c r="F1781" s="2" t="n">
        <f>HYPERLINK("https://patents.google.com/patent/US20210321220","Google")</f>
        <v>0.0</v>
      </c>
      <c r="G1781" s="2" t="n">
        <f>HYPERLINK("https://patentcenter.uspto.gov/applications/17214842","Patent Center")</f>
        <v>0.0</v>
      </c>
      <c r="H1781" s="2" t="n">
        <f>HYPERLINK("https://worldwide.espacenet.com/patent/search?q=US20210321220","Espacenet")</f>
        <v>0.0</v>
      </c>
      <c r="I1781" s="2" t="n">
        <f>HYPERLINK("https://ppubs.uspto.gov/pubwebapp/external.html?q=20210321220.pn.","USPTO")</f>
        <v>0.0</v>
      </c>
      <c r="J1781" s="2" t="n">
        <f>HYPERLINK("https://image-ppubs.uspto.gov/dirsearch-public/print/downloadPdf/20210321220","USPTO PDF")</f>
        <v>0.0</v>
      </c>
      <c r="K1781" s="2" t="n">
        <f>HYPERLINK("https://sectors.patentforecast.com/pmd/US20210321220","PMD")</f>
        <v>0.0</v>
      </c>
      <c r="L1781" s="2" t="n">
        <f>HYPERLINK("https://globaldossier.uspto.gov/result/application/US/17214842/1","US20210321220")</f>
        <v>0.0</v>
      </c>
      <c r="M1781" t="s">
        <v>12322</v>
      </c>
      <c r="N1781" t="s">
        <v>12323</v>
      </c>
      <c r="O1781" t="s">
        <v>12324</v>
      </c>
      <c r="P1781" t="s">
        <v>12325</v>
      </c>
      <c r="Q1781" s="3" t="n">
        <v>44282.0</v>
      </c>
      <c r="R1781" s="3" t="n">
        <v>44483.0</v>
      </c>
      <c r="S1781" s="3" t="n">
        <v>44484.231061273145</v>
      </c>
      <c r="T1781" s="3" t="n">
        <v>44489.460109583335</v>
      </c>
      <c r="U1781" t="s">
        <v>12326</v>
      </c>
      <c r="V1781" t="s">
        <v>12327</v>
      </c>
    </row>
    <row r="1782">
      <c r="A1782" t="s">
        <v>22</v>
      </c>
      <c r="B1782" t="s">
        <v>12328</v>
      </c>
      <c r="C1782" t="s">
        <v>24</v>
      </c>
      <c r="D1782" t="s">
        <v>43</v>
      </c>
      <c r="E1782" t="s">
        <v>12329</v>
      </c>
      <c r="F1782" s="2" t="n">
        <f>HYPERLINK("https://patents.google.com/patent/US20210321217","Google")</f>
        <v>0.0</v>
      </c>
      <c r="G1782" s="2" t="n">
        <f>HYPERLINK("https://patentcenter.uspto.gov/applications/17214840","Patent Center")</f>
        <v>0.0</v>
      </c>
      <c r="H1782" s="2" t="n">
        <f>HYPERLINK("https://worldwide.espacenet.com/patent/search?q=US20210321217","Espacenet")</f>
        <v>0.0</v>
      </c>
      <c r="I1782" s="2" t="n">
        <f>HYPERLINK("https://ppubs.uspto.gov/pubwebapp/external.html?q=20210321217.pn.","USPTO")</f>
        <v>0.0</v>
      </c>
      <c r="J1782" s="2" t="n">
        <f>HYPERLINK("https://image-ppubs.uspto.gov/dirsearch-public/print/downloadPdf/20210321217","USPTO PDF")</f>
        <v>0.0</v>
      </c>
      <c r="K1782" s="2" t="n">
        <f>HYPERLINK("https://sectors.patentforecast.com/pmd/US20210321217","PMD")</f>
        <v>0.0</v>
      </c>
      <c r="L1782" s="2" t="n">
        <f>HYPERLINK("https://globaldossier.uspto.gov/result/application/US/17214840/1","US20210321217")</f>
        <v>0.0</v>
      </c>
      <c r="M1782" t="s">
        <v>12330</v>
      </c>
      <c r="N1782" t="s">
        <v>12323</v>
      </c>
      <c r="O1782" t="s">
        <v>12324</v>
      </c>
      <c r="P1782" t="s">
        <v>12325</v>
      </c>
      <c r="Q1782" s="3" t="n">
        <v>44282.0</v>
      </c>
      <c r="R1782" s="3" t="n">
        <v>44483.0</v>
      </c>
      <c r="S1782" s="3" t="n">
        <v>44484.231061273145</v>
      </c>
      <c r="T1782" s="3" t="n">
        <v>44489.460109583335</v>
      </c>
      <c r="U1782" t="s">
        <v>12331</v>
      </c>
      <c r="V1782" t="s">
        <v>12332</v>
      </c>
    </row>
    <row r="1783">
      <c r="A1783" t="s">
        <v>22</v>
      </c>
      <c r="B1783" t="s">
        <v>12333</v>
      </c>
      <c r="C1783" t="s">
        <v>312</v>
      </c>
      <c r="D1783" t="s">
        <v>3202</v>
      </c>
      <c r="E1783" t="s">
        <v>12334</v>
      </c>
      <c r="F1783" s="2" t="n">
        <f>HYPERLINK("https://patents.google.com/patent/US20210319915","Google")</f>
        <v>0.0</v>
      </c>
      <c r="G1783" s="2" t="n">
        <f>HYPERLINK("https://patentcenter.uspto.gov/applications/17247037","Patent Center")</f>
        <v>0.0</v>
      </c>
      <c r="H1783" s="2" t="n">
        <f>HYPERLINK("https://worldwide.espacenet.com/patent/search?q=US20210319915","Espacenet")</f>
        <v>0.0</v>
      </c>
      <c r="I1783" s="2" t="n">
        <f>HYPERLINK("https://ppubs.uspto.gov/pubwebapp/external.html?q=20210319915.pn.","USPTO")</f>
        <v>0.0</v>
      </c>
      <c r="J1783" s="2" t="n">
        <f>HYPERLINK("https://image-ppubs.uspto.gov/dirsearch-public/print/downloadPdf/20210319915","USPTO PDF")</f>
        <v>0.0</v>
      </c>
      <c r="K1783" s="2" t="n">
        <f>HYPERLINK("https://sectors.patentforecast.com/pmd/US20210319915","PMD")</f>
        <v>0.0</v>
      </c>
      <c r="L1783" s="2" t="n">
        <f>HYPERLINK("https://globaldossier.uspto.gov/result/application/US/17247037/1","US20210319915")</f>
        <v>0.0</v>
      </c>
      <c r="M1783" t="s">
        <v>12335</v>
      </c>
      <c r="N1783" t="s">
        <v>5131</v>
      </c>
      <c r="O1783" t="s">
        <v>5132</v>
      </c>
      <c r="P1783" t="s">
        <v>12336</v>
      </c>
      <c r="Q1783" s="3" t="n">
        <v>44159.0</v>
      </c>
      <c r="R1783" s="3" t="n">
        <v>44483.0</v>
      </c>
      <c r="S1783" s="3" t="n">
        <v>44484.231061273145</v>
      </c>
      <c r="T1783" s="3" t="n">
        <v>44489.472121053244</v>
      </c>
      <c r="U1783" t="s">
        <v>12337</v>
      </c>
      <c r="V1783" t="s">
        <v>12338</v>
      </c>
    </row>
    <row r="1784">
      <c r="A1784" t="s">
        <v>22</v>
      </c>
      <c r="B1784" t="s">
        <v>12339</v>
      </c>
      <c r="C1784" t="s">
        <v>24</v>
      </c>
      <c r="D1784" t="s">
        <v>1450</v>
      </c>
      <c r="E1784" t="s">
        <v>12340</v>
      </c>
      <c r="F1784" s="2" t="n">
        <f>HYPERLINK("https://patents.google.com/patent/US20210319912","Google")</f>
        <v>0.0</v>
      </c>
      <c r="G1784" s="2" t="n">
        <f>HYPERLINK("https://patentcenter.uspto.gov/applications/17228116","Patent Center")</f>
        <v>0.0</v>
      </c>
      <c r="H1784" s="2" t="n">
        <f>HYPERLINK("https://worldwide.espacenet.com/patent/search?q=US20210319912","Espacenet")</f>
        <v>0.0</v>
      </c>
      <c r="I1784" s="2" t="n">
        <f>HYPERLINK("https://ppubs.uspto.gov/pubwebapp/external.html?q=20210319912.pn.","USPTO")</f>
        <v>0.0</v>
      </c>
      <c r="J1784" s="2" t="n">
        <f>HYPERLINK("https://image-ppubs.uspto.gov/dirsearch-public/print/downloadPdf/20210319912","USPTO PDF")</f>
        <v>0.0</v>
      </c>
      <c r="K1784" s="2" t="n">
        <f>HYPERLINK("https://sectors.patentforecast.com/pmd/US20210319912","PMD")</f>
        <v>0.0</v>
      </c>
      <c r="L1784" s="2" t="n">
        <f>HYPERLINK("https://globaldossier.uspto.gov/result/application/US/17228116/1","US20210319912")</f>
        <v>0.0</v>
      </c>
      <c r="M1784" t="s">
        <v>12341</v>
      </c>
      <c r="N1784" t="s">
        <v>12342</v>
      </c>
      <c r="O1784" t="s">
        <v>12343</v>
      </c>
      <c r="P1784" t="s">
        <v>12344</v>
      </c>
      <c r="Q1784" s="3" t="n">
        <v>44298.0</v>
      </c>
      <c r="R1784" s="3" t="n">
        <v>44483.0</v>
      </c>
      <c r="S1784" s="3" t="n">
        <v>44484.231061273145</v>
      </c>
      <c r="T1784" s="3" t="n">
        <v>44489.49340454861</v>
      </c>
      <c r="U1784" t="s">
        <v>12345</v>
      </c>
      <c r="V1784" t="s">
        <v>12346</v>
      </c>
    </row>
    <row r="1785">
      <c r="A1785" t="s">
        <v>22</v>
      </c>
      <c r="B1785" t="s">
        <v>12347</v>
      </c>
      <c r="C1785" t="s">
        <v>24</v>
      </c>
      <c r="D1785" t="s">
        <v>8459</v>
      </c>
      <c r="E1785" t="s">
        <v>12348</v>
      </c>
      <c r="F1785" s="2" t="n">
        <f>HYPERLINK("https://patents.google.com/patent/US20210319911","Google")</f>
        <v>0.0</v>
      </c>
      <c r="G1785" s="2" t="n">
        <f>HYPERLINK("https://patentcenter.uspto.gov/applications/17226001","Patent Center")</f>
        <v>0.0</v>
      </c>
      <c r="H1785" s="2" t="n">
        <f>HYPERLINK("https://worldwide.espacenet.com/patent/search?q=US20210319911","Espacenet")</f>
        <v>0.0</v>
      </c>
      <c r="I1785" s="2" t="n">
        <f>HYPERLINK("https://ppubs.uspto.gov/pubwebapp/external.html?q=20210319911.pn.","USPTO")</f>
        <v>0.0</v>
      </c>
      <c r="J1785" s="2" t="n">
        <f>HYPERLINK("https://image-ppubs.uspto.gov/dirsearch-public/print/downloadPdf/20210319911","USPTO PDF")</f>
        <v>0.0</v>
      </c>
      <c r="K1785" s="2" t="n">
        <f>HYPERLINK("https://sectors.patentforecast.com/pmd/US20210319911","PMD")</f>
        <v>0.0</v>
      </c>
      <c r="L1785" s="2" t="n">
        <f>HYPERLINK("https://globaldossier.uspto.gov/result/application/US/17226001/1","US20210319911")</f>
        <v>0.0</v>
      </c>
      <c r="M1785" t="s">
        <v>12349</v>
      </c>
      <c r="N1785" t="s">
        <v>11851</v>
      </c>
      <c r="O1785" t="s">
        <v>11852</v>
      </c>
      <c r="P1785" t="s">
        <v>12350</v>
      </c>
      <c r="Q1785" s="3" t="n">
        <v>44294.0</v>
      </c>
      <c r="R1785" s="3" t="n">
        <v>44483.0</v>
      </c>
      <c r="S1785" s="3" t="n">
        <v>44484.231061273145</v>
      </c>
      <c r="T1785" s="3" t="n">
        <v>44489.48929878472</v>
      </c>
      <c r="U1785" t="s">
        <v>12351</v>
      </c>
      <c r="V1785" t="s">
        <v>12352</v>
      </c>
    </row>
    <row r="1786">
      <c r="A1786" t="s">
        <v>22</v>
      </c>
      <c r="B1786" t="s">
        <v>12353</v>
      </c>
      <c r="C1786" t="s">
        <v>24</v>
      </c>
      <c r="D1786" t="s">
        <v>43</v>
      </c>
      <c r="E1786" t="s">
        <v>12354</v>
      </c>
      <c r="F1786" s="2" t="n">
        <f>HYPERLINK("https://patents.google.com/patent/US20210319910","Google")</f>
        <v>0.0</v>
      </c>
      <c r="G1786" s="2" t="n">
        <f>HYPERLINK("https://patentcenter.uspto.gov/applications/17221329","Patent Center")</f>
        <v>0.0</v>
      </c>
      <c r="H1786" s="2" t="n">
        <f>HYPERLINK("https://worldwide.espacenet.com/patent/search?q=US20210319910","Espacenet")</f>
        <v>0.0</v>
      </c>
      <c r="I1786" s="2" t="n">
        <f>HYPERLINK("https://ppubs.uspto.gov/pubwebapp/external.html?q=20210319910.pn.","USPTO")</f>
        <v>0.0</v>
      </c>
      <c r="J1786" s="2" t="n">
        <f>HYPERLINK("https://image-ppubs.uspto.gov/dirsearch-public/print/downloadPdf/20210319910","USPTO PDF")</f>
        <v>0.0</v>
      </c>
      <c r="K1786" s="2" t="n">
        <f>HYPERLINK("https://sectors.patentforecast.com/pmd/US20210319910","PMD")</f>
        <v>0.0</v>
      </c>
      <c r="L1786" s="2" t="n">
        <f>HYPERLINK("https://globaldossier.uspto.gov/result/application/US/17221329/1","US20210319910")</f>
        <v>0.0</v>
      </c>
      <c r="M1786" t="s">
        <v>12355</v>
      </c>
      <c r="N1786" t="s">
        <v>12356</v>
      </c>
      <c r="O1786" t="s">
        <v>12357</v>
      </c>
      <c r="P1786" t="s">
        <v>12358</v>
      </c>
      <c r="Q1786" s="3" t="n">
        <v>44288.0</v>
      </c>
      <c r="R1786" s="3" t="n">
        <v>44483.0</v>
      </c>
      <c r="S1786" s="3" t="n">
        <v>44484.231061273145</v>
      </c>
      <c r="T1786" s="3" t="n">
        <v>44489.460109583335</v>
      </c>
      <c r="U1786" t="s">
        <v>12359</v>
      </c>
      <c r="V1786" t="s">
        <v>12360</v>
      </c>
    </row>
    <row r="1787">
      <c r="A1787" t="s">
        <v>22</v>
      </c>
      <c r="B1787" t="s">
        <v>12361</v>
      </c>
      <c r="C1787" t="s">
        <v>312</v>
      </c>
      <c r="D1787" t="s">
        <v>3202</v>
      </c>
      <c r="E1787" t="s">
        <v>12362</v>
      </c>
      <c r="F1787" s="2" t="n">
        <f>HYPERLINK("https://patents.google.com/patent/US20210319909","Google")</f>
        <v>0.0</v>
      </c>
      <c r="G1787" s="2" t="n">
        <f>HYPERLINK("https://patentcenter.uspto.gov/applications/16847003","Patent Center")</f>
        <v>0.0</v>
      </c>
      <c r="H1787" s="2" t="n">
        <f>HYPERLINK("https://worldwide.espacenet.com/patent/search?q=US20210319909","Espacenet")</f>
        <v>0.0</v>
      </c>
      <c r="I1787" s="2" t="n">
        <f>HYPERLINK("https://ppubs.uspto.gov/pubwebapp/external.html?q=20210319909.pn.","USPTO")</f>
        <v>0.0</v>
      </c>
      <c r="J1787" s="2" t="n">
        <f>HYPERLINK("https://image-ppubs.uspto.gov/dirsearch-public/print/downloadPdf/20210319909","USPTO PDF")</f>
        <v>0.0</v>
      </c>
      <c r="K1787" s="2" t="n">
        <f>HYPERLINK("https://sectors.patentforecast.com/pmd/US20210319909","PMD")</f>
        <v>0.0</v>
      </c>
      <c r="L1787" s="2" t="n">
        <f>HYPERLINK("https://globaldossier.uspto.gov/result/application/US/16847003/1","US20210319909")</f>
        <v>0.0</v>
      </c>
      <c r="M1787" t="s">
        <v>12363</v>
      </c>
      <c r="N1787" t="s">
        <v>12364</v>
      </c>
      <c r="O1787" t="s">
        <v>12365</v>
      </c>
      <c r="P1787" t="s">
        <v>12366</v>
      </c>
      <c r="Q1787" s="3" t="n">
        <v>43934.0</v>
      </c>
      <c r="R1787" s="3" t="n">
        <v>44483.0</v>
      </c>
      <c r="S1787" s="3" t="n">
        <v>44484.244598020836</v>
      </c>
      <c r="T1787" s="3" t="n">
        <v>44489.47364420139</v>
      </c>
      <c r="U1787" t="s">
        <v>12367</v>
      </c>
      <c r="V1787" t="s">
        <v>12368</v>
      </c>
    </row>
    <row r="1788">
      <c r="A1788" t="s">
        <v>22</v>
      </c>
      <c r="B1788" t="s">
        <v>12369</v>
      </c>
      <c r="C1788" t="s">
        <v>312</v>
      </c>
      <c r="D1788" t="s">
        <v>976</v>
      </c>
      <c r="E1788" t="s">
        <v>12370</v>
      </c>
      <c r="F1788" s="2" t="n">
        <f>HYPERLINK("https://patents.google.com/patent/US20210319905","Google")</f>
        <v>0.0</v>
      </c>
      <c r="G1788" s="2" t="n">
        <f>HYPERLINK("https://patentcenter.uspto.gov/applications/17226021","Patent Center")</f>
        <v>0.0</v>
      </c>
      <c r="H1788" s="2" t="n">
        <f>HYPERLINK("https://worldwide.espacenet.com/patent/search?q=US20210319905","Espacenet")</f>
        <v>0.0</v>
      </c>
      <c r="I1788" s="2" t="n">
        <f>HYPERLINK("https://ppubs.uspto.gov/pubwebapp/external.html?q=20210319905.pn.","USPTO")</f>
        <v>0.0</v>
      </c>
      <c r="J1788" s="2" t="n">
        <f>HYPERLINK("https://image-ppubs.uspto.gov/dirsearch-public/print/downloadPdf/20210319905","USPTO PDF")</f>
        <v>0.0</v>
      </c>
      <c r="K1788" s="2" t="n">
        <f>HYPERLINK("https://sectors.patentforecast.com/pmd/US20210319905","PMD")</f>
        <v>0.0</v>
      </c>
      <c r="L1788" s="2" t="n">
        <f>HYPERLINK("https://globaldossier.uspto.gov/result/application/US/17226021/1","US20210319905")</f>
        <v>0.0</v>
      </c>
      <c r="M1788" t="s">
        <v>12371</v>
      </c>
      <c r="N1788" t="s">
        <v>12372</v>
      </c>
      <c r="O1788" t="s">
        <v>12373</v>
      </c>
      <c r="P1788" t="s">
        <v>12374</v>
      </c>
      <c r="Q1788" s="3" t="n">
        <v>44294.0</v>
      </c>
      <c r="R1788" s="3" t="n">
        <v>44483.0</v>
      </c>
      <c r="S1788" s="3" t="n">
        <v>44484.231061273145</v>
      </c>
      <c r="T1788" s="3" t="n">
        <v>44489.49301759259</v>
      </c>
      <c r="U1788" t="s">
        <v>12375</v>
      </c>
      <c r="V1788" t="s">
        <v>12376</v>
      </c>
    </row>
    <row r="1789">
      <c r="A1789" t="s">
        <v>22</v>
      </c>
      <c r="B1789" t="s">
        <v>12377</v>
      </c>
      <c r="C1789" t="s">
        <v>24</v>
      </c>
      <c r="D1789" t="s">
        <v>1356</v>
      </c>
      <c r="E1789" t="s">
        <v>12378</v>
      </c>
      <c r="F1789" s="2" t="n">
        <f>HYPERLINK("https://patents.google.com/patent/US20210319904","Google")</f>
        <v>0.0</v>
      </c>
      <c r="G1789" s="2" t="n">
        <f>HYPERLINK("https://patentcenter.uspto.gov/applications/17226007","Patent Center")</f>
        <v>0.0</v>
      </c>
      <c r="H1789" s="2" t="n">
        <f>HYPERLINK("https://worldwide.espacenet.com/patent/search?q=US20210319904","Espacenet")</f>
        <v>0.0</v>
      </c>
      <c r="I1789" s="2" t="n">
        <f>HYPERLINK("https://ppubs.uspto.gov/pubwebapp/external.html?q=20210319904.pn.","USPTO")</f>
        <v>0.0</v>
      </c>
      <c r="J1789" s="2" t="n">
        <f>HYPERLINK("https://image-ppubs.uspto.gov/dirsearch-public/print/downloadPdf/20210319904","USPTO PDF")</f>
        <v>0.0</v>
      </c>
      <c r="K1789" s="2" t="n">
        <f>HYPERLINK("https://sectors.patentforecast.com/pmd/US20210319904","PMD")</f>
        <v>0.0</v>
      </c>
      <c r="L1789" s="2" t="n">
        <f>HYPERLINK("https://globaldossier.uspto.gov/result/application/US/17226007/1","US20210319904")</f>
        <v>0.0</v>
      </c>
      <c r="M1789" t="s">
        <v>12379</v>
      </c>
      <c r="N1789" t="s">
        <v>11851</v>
      </c>
      <c r="O1789" t="s">
        <v>11852</v>
      </c>
      <c r="P1789" t="s">
        <v>12350</v>
      </c>
      <c r="Q1789" s="3" t="n">
        <v>44294.0</v>
      </c>
      <c r="R1789" s="3" t="n">
        <v>44483.0</v>
      </c>
      <c r="S1789" s="3" t="n">
        <v>44484.231061273145</v>
      </c>
      <c r="T1789" s="3" t="n">
        <v>44489.489497916664</v>
      </c>
      <c r="U1789" t="s">
        <v>12380</v>
      </c>
      <c r="V1789" t="s">
        <v>12381</v>
      </c>
    </row>
    <row r="1790">
      <c r="A1790" t="s">
        <v>22</v>
      </c>
      <c r="B1790" t="s">
        <v>12382</v>
      </c>
      <c r="C1790" t="s">
        <v>24</v>
      </c>
      <c r="D1790" t="s">
        <v>43</v>
      </c>
      <c r="E1790" t="s">
        <v>12383</v>
      </c>
      <c r="F1790" s="2" t="n">
        <f>HYPERLINK("https://patents.google.com/patent/US20210319901","Google")</f>
        <v>0.0</v>
      </c>
      <c r="G1790" s="2" t="n">
        <f>HYPERLINK("https://patentcenter.uspto.gov/applications/16947388","Patent Center")</f>
        <v>0.0</v>
      </c>
      <c r="H1790" s="2" t="n">
        <f>HYPERLINK("https://worldwide.espacenet.com/patent/search?q=US20210319901","Espacenet")</f>
        <v>0.0</v>
      </c>
      <c r="I1790" s="2" t="n">
        <f>HYPERLINK("https://ppubs.uspto.gov/pubwebapp/external.html?q=20210319901.pn.","USPTO")</f>
        <v>0.0</v>
      </c>
      <c r="J1790" s="2" t="n">
        <f>HYPERLINK("https://image-ppubs.uspto.gov/dirsearch-public/print/downloadPdf/20210319901","USPTO PDF")</f>
        <v>0.0</v>
      </c>
      <c r="K1790" s="2" t="n">
        <f>HYPERLINK("https://sectors.patentforecast.com/pmd/US20210319901","PMD")</f>
        <v>0.0</v>
      </c>
      <c r="L1790" s="2" t="n">
        <f>HYPERLINK("https://globaldossier.uspto.gov/result/application/US/16947388/1","US20210319901")</f>
        <v>0.0</v>
      </c>
      <c r="M1790" t="s">
        <v>12384</v>
      </c>
      <c r="N1790" t="s">
        <v>5131</v>
      </c>
      <c r="O1790" t="s">
        <v>5132</v>
      </c>
      <c r="P1790" t="s">
        <v>12385</v>
      </c>
      <c r="Q1790" s="3" t="n">
        <v>44042.0</v>
      </c>
      <c r="R1790" s="3" t="n">
        <v>44483.0</v>
      </c>
      <c r="S1790" s="3" t="n">
        <v>44484.231061273145</v>
      </c>
      <c r="T1790" s="3" t="n">
        <v>44489.48544591435</v>
      </c>
      <c r="U1790" t="s">
        <v>12386</v>
      </c>
      <c r="V1790" t="s">
        <v>12387</v>
      </c>
    </row>
    <row r="1791">
      <c r="A1791" t="s">
        <v>22</v>
      </c>
      <c r="B1791" t="s">
        <v>12388</v>
      </c>
      <c r="C1791" t="s">
        <v>24</v>
      </c>
      <c r="D1791" t="s">
        <v>3193</v>
      </c>
      <c r="E1791" t="s">
        <v>12389</v>
      </c>
      <c r="F1791" s="2" t="n">
        <f>HYPERLINK("https://patents.google.com/patent/US20210319900","Google")</f>
        <v>0.0</v>
      </c>
      <c r="G1791" s="2" t="n">
        <f>HYPERLINK("https://patentcenter.uspto.gov/applications/16877646","Patent Center")</f>
        <v>0.0</v>
      </c>
      <c r="H1791" s="2" t="n">
        <f>HYPERLINK("https://worldwide.espacenet.com/patent/search?q=US20210319900","Espacenet")</f>
        <v>0.0</v>
      </c>
      <c r="I1791" s="2" t="n">
        <f>HYPERLINK("https://ppubs.uspto.gov/pubwebapp/external.html?q=20210319900.pn.","USPTO")</f>
        <v>0.0</v>
      </c>
      <c r="J1791" s="2" t="n">
        <f>HYPERLINK("https://image-ppubs.uspto.gov/dirsearch-public/print/downloadPdf/20210319900","USPTO PDF")</f>
        <v>0.0</v>
      </c>
      <c r="K1791" s="2" t="n">
        <f>HYPERLINK("https://sectors.patentforecast.com/pmd/US20210319900","PMD")</f>
        <v>0.0</v>
      </c>
      <c r="L1791" s="2" t="n">
        <f>HYPERLINK("https://globaldossier.uspto.gov/result/application/US/16877646/1","US20210319900")</f>
        <v>0.0</v>
      </c>
      <c r="M1791" t="s">
        <v>12390</v>
      </c>
      <c r="N1791" t="s">
        <v>7526</v>
      </c>
      <c r="O1791" t="s">
        <v>7527</v>
      </c>
      <c r="P1791" t="s">
        <v>12391</v>
      </c>
      <c r="Q1791" s="3" t="n">
        <v>43970.0</v>
      </c>
      <c r="R1791" s="3" t="n">
        <v>44483.0</v>
      </c>
      <c r="S1791" s="3" t="n">
        <v>44484.231061273145</v>
      </c>
      <c r="T1791" s="3" t="n">
        <v>44489.422547581016</v>
      </c>
      <c r="U1791" t="s">
        <v>12392</v>
      </c>
      <c r="V1791" t="s">
        <v>12393</v>
      </c>
    </row>
    <row r="1792">
      <c r="A1792" t="s">
        <v>22</v>
      </c>
      <c r="B1792" t="s">
        <v>12394</v>
      </c>
      <c r="C1792" t="s">
        <v>24</v>
      </c>
      <c r="D1792" t="s">
        <v>204</v>
      </c>
      <c r="E1792" t="s">
        <v>12395</v>
      </c>
      <c r="F1792" s="2" t="n">
        <f>HYPERLINK("https://patents.google.com/patent/US20210319886","Google")</f>
        <v>0.0</v>
      </c>
      <c r="G1792" s="2" t="n">
        <f>HYPERLINK("https://patentcenter.uspto.gov/applications/17227225","Patent Center")</f>
        <v>0.0</v>
      </c>
      <c r="H1792" s="2" t="n">
        <f>HYPERLINK("https://worldwide.espacenet.com/patent/search?q=US20210319886","Espacenet")</f>
        <v>0.0</v>
      </c>
      <c r="I1792" s="2" t="n">
        <f>HYPERLINK("https://ppubs.uspto.gov/pubwebapp/external.html?q=20210319886.pn.","USPTO")</f>
        <v>0.0</v>
      </c>
      <c r="J1792" s="2" t="n">
        <f>HYPERLINK("https://image-ppubs.uspto.gov/dirsearch-public/print/downloadPdf/20210319886","USPTO PDF")</f>
        <v>0.0</v>
      </c>
      <c r="K1792" s="2" t="n">
        <f>HYPERLINK("https://sectors.patentforecast.com/pmd/US20210319886","PMD")</f>
        <v>0.0</v>
      </c>
      <c r="L1792" s="2" t="n">
        <f>HYPERLINK("https://globaldossier.uspto.gov/result/application/US/17227225/1","US20210319886")</f>
        <v>0.0</v>
      </c>
      <c r="M1792" t="s">
        <v>12396</v>
      </c>
      <c r="N1792" t="s">
        <v>338</v>
      </c>
      <c r="O1792" t="s">
        <v>339</v>
      </c>
      <c r="P1792" t="s">
        <v>12397</v>
      </c>
      <c r="Q1792" s="3" t="n">
        <v>44295.0</v>
      </c>
      <c r="R1792" s="3" t="n">
        <v>44483.0</v>
      </c>
      <c r="S1792" s="3" t="n">
        <v>44484.231061273145</v>
      </c>
      <c r="T1792" s="3" t="n">
        <v>44489.4940069213</v>
      </c>
      <c r="U1792" t="s">
        <v>12398</v>
      </c>
      <c r="V1792" t="s">
        <v>12399</v>
      </c>
    </row>
    <row r="1793">
      <c r="A1793" t="s">
        <v>22</v>
      </c>
      <c r="B1793" t="s">
        <v>12400</v>
      </c>
      <c r="C1793" t="s">
        <v>24</v>
      </c>
      <c r="D1793" t="s">
        <v>204</v>
      </c>
      <c r="E1793" t="s">
        <v>12401</v>
      </c>
      <c r="F1793" s="2" t="n">
        <f>HYPERLINK("https://patents.google.com/patent/US20210319885","Google")</f>
        <v>0.0</v>
      </c>
      <c r="G1793" s="2" t="n">
        <f>HYPERLINK("https://patentcenter.uspto.gov/applications/17227222","Patent Center")</f>
        <v>0.0</v>
      </c>
      <c r="H1793" s="2" t="n">
        <f>HYPERLINK("https://worldwide.espacenet.com/patent/search?q=US20210319885","Espacenet")</f>
        <v>0.0</v>
      </c>
      <c r="I1793" s="2" t="n">
        <f>HYPERLINK("https://ppubs.uspto.gov/pubwebapp/external.html?q=20210319885.pn.","USPTO")</f>
        <v>0.0</v>
      </c>
      <c r="J1793" s="2" t="n">
        <f>HYPERLINK("https://image-ppubs.uspto.gov/dirsearch-public/print/downloadPdf/20210319885","USPTO PDF")</f>
        <v>0.0</v>
      </c>
      <c r="K1793" s="2" t="n">
        <f>HYPERLINK("https://sectors.patentforecast.com/pmd/US20210319885","PMD")</f>
        <v>0.0</v>
      </c>
      <c r="L1793" s="2" t="n">
        <f>HYPERLINK("https://globaldossier.uspto.gov/result/application/US/17227222/1","US20210319885")</f>
        <v>0.0</v>
      </c>
      <c r="M1793" t="s">
        <v>12402</v>
      </c>
      <c r="N1793" t="s">
        <v>338</v>
      </c>
      <c r="O1793" t="s">
        <v>339</v>
      </c>
      <c r="P1793" t="s">
        <v>12403</v>
      </c>
      <c r="Q1793" s="3" t="n">
        <v>44295.0</v>
      </c>
      <c r="R1793" s="3" t="n">
        <v>44483.0</v>
      </c>
      <c r="S1793" s="3" t="n">
        <v>44484.2300150463</v>
      </c>
      <c r="T1793" s="3" t="n">
        <v>44489.49403248842</v>
      </c>
      <c r="U1793" t="s">
        <v>12404</v>
      </c>
      <c r="V1793" t="s">
        <v>12405</v>
      </c>
    </row>
    <row r="1794">
      <c r="A1794" t="s">
        <v>22</v>
      </c>
      <c r="B1794" t="s">
        <v>12406</v>
      </c>
      <c r="C1794" t="s">
        <v>24</v>
      </c>
      <c r="D1794" t="s">
        <v>204</v>
      </c>
      <c r="E1794" t="s">
        <v>12407</v>
      </c>
      <c r="F1794" s="2" t="n">
        <f>HYPERLINK("https://patents.google.com/patent/US20210319884","Google")</f>
        <v>0.0</v>
      </c>
      <c r="G1794" s="2" t="n">
        <f>HYPERLINK("https://patentcenter.uspto.gov/applications/17227221","Patent Center")</f>
        <v>0.0</v>
      </c>
      <c r="H1794" s="2" t="n">
        <f>HYPERLINK("https://worldwide.espacenet.com/patent/search?q=US20210319884","Espacenet")</f>
        <v>0.0</v>
      </c>
      <c r="I1794" s="2" t="n">
        <f>HYPERLINK("https://ppubs.uspto.gov/pubwebapp/external.html?q=20210319884.pn.","USPTO")</f>
        <v>0.0</v>
      </c>
      <c r="J1794" s="2" t="n">
        <f>HYPERLINK("https://image-ppubs.uspto.gov/dirsearch-public/print/downloadPdf/20210319884","USPTO PDF")</f>
        <v>0.0</v>
      </c>
      <c r="K1794" s="2" t="n">
        <f>HYPERLINK("https://sectors.patentforecast.com/pmd/US20210319884","PMD")</f>
        <v>0.0</v>
      </c>
      <c r="L1794" s="2" t="n">
        <f>HYPERLINK("https://globaldossier.uspto.gov/result/application/US/17227221/1","US20210319884")</f>
        <v>0.0</v>
      </c>
      <c r="M1794" t="s">
        <v>12408</v>
      </c>
      <c r="N1794" t="s">
        <v>338</v>
      </c>
      <c r="O1794" t="s">
        <v>339</v>
      </c>
      <c r="P1794" t="s">
        <v>12409</v>
      </c>
      <c r="Q1794" s="3" t="n">
        <v>44295.0</v>
      </c>
      <c r="R1794" s="3" t="n">
        <v>44483.0</v>
      </c>
      <c r="S1794" s="3" t="n">
        <v>44484.2300150463</v>
      </c>
      <c r="T1794" s="3" t="n">
        <v>44489.49409806713</v>
      </c>
      <c r="U1794" t="s">
        <v>12410</v>
      </c>
      <c r="V1794" t="s">
        <v>12411</v>
      </c>
    </row>
    <row r="1795">
      <c r="A1795" t="s">
        <v>22</v>
      </c>
      <c r="B1795" t="s">
        <v>12412</v>
      </c>
      <c r="C1795" t="s">
        <v>24</v>
      </c>
      <c r="D1795" t="s">
        <v>204</v>
      </c>
      <c r="E1795" t="s">
        <v>12413</v>
      </c>
      <c r="F1795" s="2" t="n">
        <f>HYPERLINK("https://patents.google.com/patent/US20210319863","Google")</f>
        <v>0.0</v>
      </c>
      <c r="G1795" s="2" t="n">
        <f>HYPERLINK("https://patentcenter.uspto.gov/applications/17226274","Patent Center")</f>
        <v>0.0</v>
      </c>
      <c r="H1795" s="2" t="n">
        <f>HYPERLINK("https://worldwide.espacenet.com/patent/search?q=US20210319863","Espacenet")</f>
        <v>0.0</v>
      </c>
      <c r="I1795" s="2" t="n">
        <f>HYPERLINK("https://ppubs.uspto.gov/pubwebapp/external.html?q=20210319863.pn.","USPTO")</f>
        <v>0.0</v>
      </c>
      <c r="J1795" s="2" t="n">
        <f>HYPERLINK("https://image-ppubs.uspto.gov/dirsearch-public/print/downloadPdf/20210319863","USPTO PDF")</f>
        <v>0.0</v>
      </c>
      <c r="K1795" s="2" t="n">
        <f>HYPERLINK("https://sectors.patentforecast.com/pmd/US20210319863","PMD")</f>
        <v>0.0</v>
      </c>
      <c r="L1795" s="2" t="n">
        <f>HYPERLINK("https://globaldossier.uspto.gov/result/application/US/17226274/1","US20210319863")</f>
        <v>0.0</v>
      </c>
      <c r="M1795" t="s">
        <v>12414</v>
      </c>
      <c r="N1795" t="s">
        <v>12415</v>
      </c>
      <c r="O1795" t="s">
        <v>12416</v>
      </c>
      <c r="P1795" t="s">
        <v>12417</v>
      </c>
      <c r="Q1795" s="3" t="n">
        <v>44295.0</v>
      </c>
      <c r="R1795" s="3" t="n">
        <v>44483.0</v>
      </c>
      <c r="S1795" s="3" t="n">
        <v>44484.231061273145</v>
      </c>
      <c r="T1795" s="3" t="n">
        <v>44489.49440728009</v>
      </c>
      <c r="U1795" t="s">
        <v>12418</v>
      </c>
      <c r="V1795" t="s">
        <v>12419</v>
      </c>
    </row>
    <row r="1796">
      <c r="A1796" t="s">
        <v>22</v>
      </c>
      <c r="B1796" t="s">
        <v>12420</v>
      </c>
      <c r="C1796" t="s">
        <v>24</v>
      </c>
      <c r="D1796" t="s">
        <v>34</v>
      </c>
      <c r="E1796" t="s">
        <v>12421</v>
      </c>
      <c r="F1796" s="2" t="n">
        <f>HYPERLINK("https://patents.google.com/patent/US20210319804","Google")</f>
        <v>0.0</v>
      </c>
      <c r="G1796" s="2" t="n">
        <f>HYPERLINK("https://patentcenter.uspto.gov/applications/17220677","Patent Center")</f>
        <v>0.0</v>
      </c>
      <c r="H1796" s="2" t="n">
        <f>HYPERLINK("https://worldwide.espacenet.com/patent/search?q=US20210319804","Espacenet")</f>
        <v>0.0</v>
      </c>
      <c r="I1796" s="2" t="n">
        <f>HYPERLINK("https://ppubs.uspto.gov/pubwebapp/external.html?q=20210319804.pn.","USPTO")</f>
        <v>0.0</v>
      </c>
      <c r="J1796" s="2" t="n">
        <f>HYPERLINK("https://image-ppubs.uspto.gov/dirsearch-public/print/downloadPdf/20210319804","USPTO PDF")</f>
        <v>0.0</v>
      </c>
      <c r="K1796" s="2" t="n">
        <f>HYPERLINK("https://sectors.patentforecast.com/pmd/US20210319804","PMD")</f>
        <v>0.0</v>
      </c>
      <c r="L1796" s="2" t="n">
        <f>HYPERLINK("https://globaldossier.uspto.gov/result/application/US/17220677/1","US20210319804")</f>
        <v>0.0</v>
      </c>
      <c r="M1796" t="s">
        <v>12422</v>
      </c>
      <c r="N1796" t="s">
        <v>3284</v>
      </c>
      <c r="O1796" t="s">
        <v>3285</v>
      </c>
      <c r="P1796" t="s">
        <v>12423</v>
      </c>
      <c r="Q1796" s="3" t="n">
        <v>44287.0</v>
      </c>
      <c r="R1796" s="3" t="n">
        <v>44483.0</v>
      </c>
      <c r="S1796" s="3" t="n">
        <v>44484.231061273145</v>
      </c>
      <c r="T1796" s="3" t="n">
        <v>44489.494924293984</v>
      </c>
      <c r="U1796" t="s">
        <v>12424</v>
      </c>
      <c r="V1796" t="s">
        <v>12425</v>
      </c>
    </row>
    <row r="1797">
      <c r="A1797" t="s">
        <v>22</v>
      </c>
      <c r="B1797" t="s">
        <v>12426</v>
      </c>
      <c r="C1797" t="s">
        <v>24</v>
      </c>
      <c r="D1797" t="s">
        <v>51</v>
      </c>
      <c r="E1797" t="s">
        <v>12427</v>
      </c>
      <c r="F1797" s="2" t="n">
        <f>HYPERLINK("https://patents.google.com/patent/US20210318342","Google")</f>
        <v>0.0</v>
      </c>
      <c r="G1797" s="2" t="n">
        <f>HYPERLINK("https://patentcenter.uspto.gov/applications/16846684","Patent Center")</f>
        <v>0.0</v>
      </c>
      <c r="H1797" s="2" t="n">
        <f>HYPERLINK("https://worldwide.espacenet.com/patent/search?q=US20210318342","Espacenet")</f>
        <v>0.0</v>
      </c>
      <c r="I1797" s="2" t="n">
        <f>HYPERLINK("https://ppubs.uspto.gov/pubwebapp/external.html?q=20210318342.pn.","USPTO")</f>
        <v>0.0</v>
      </c>
      <c r="J1797" s="2" t="n">
        <f>HYPERLINK("https://image-ppubs.uspto.gov/dirsearch-public/print/downloadPdf/20210318342","USPTO PDF")</f>
        <v>0.0</v>
      </c>
      <c r="K1797" s="2" t="n">
        <f>HYPERLINK("https://sectors.patentforecast.com/pmd/US20210318342","PMD")</f>
        <v>0.0</v>
      </c>
      <c r="L1797" s="2" t="n">
        <f>HYPERLINK("https://globaldossier.uspto.gov/result/application/US/16846684/1","US20210318342")</f>
        <v>0.0</v>
      </c>
      <c r="M1797" t="s">
        <v>12428</v>
      </c>
      <c r="N1797" t="s">
        <v>12429</v>
      </c>
      <c r="O1797" t="s">
        <v>12430</v>
      </c>
      <c r="P1797" t="s">
        <v>12431</v>
      </c>
      <c r="Q1797" s="3" t="n">
        <v>43934.0</v>
      </c>
      <c r="R1797" s="3" t="n">
        <v>44483.0</v>
      </c>
      <c r="S1797" s="3" t="n">
        <v>44484.231061273145</v>
      </c>
      <c r="T1797" s="3" t="n">
        <v>44489.42063025463</v>
      </c>
      <c r="U1797" t="s">
        <v>12432</v>
      </c>
      <c r="V1797" t="s">
        <v>12433</v>
      </c>
    </row>
    <row r="1798">
      <c r="A1798" t="s">
        <v>22</v>
      </c>
      <c r="B1798" t="s">
        <v>12434</v>
      </c>
      <c r="C1798" t="s">
        <v>24</v>
      </c>
      <c r="D1798" t="s">
        <v>34</v>
      </c>
      <c r="E1798" t="s">
        <v>12435</v>
      </c>
      <c r="F1798" s="2" t="n">
        <f>HYPERLINK("https://patents.google.com/patent/US20210318311","Google")</f>
        <v>0.0</v>
      </c>
      <c r="G1798" s="2" t="n">
        <f>HYPERLINK("https://patentcenter.uspto.gov/applications/17229512","Patent Center")</f>
        <v>0.0</v>
      </c>
      <c r="H1798" s="2" t="n">
        <f>HYPERLINK("https://worldwide.espacenet.com/patent/search?q=US20210318311","Espacenet")</f>
        <v>0.0</v>
      </c>
      <c r="I1798" s="2" t="n">
        <f>HYPERLINK("https://ppubs.uspto.gov/pubwebapp/external.html?q=20210318311.pn.","USPTO")</f>
        <v>0.0</v>
      </c>
      <c r="J1798" s="2" t="n">
        <f>HYPERLINK("https://image-ppubs.uspto.gov/dirsearch-public/print/downloadPdf/20210318311","USPTO PDF")</f>
        <v>0.0</v>
      </c>
      <c r="K1798" s="2" t="n">
        <f>HYPERLINK("https://sectors.patentforecast.com/pmd/US20210318311","PMD")</f>
        <v>0.0</v>
      </c>
      <c r="L1798" s="2" t="n">
        <f>HYPERLINK("https://globaldossier.uspto.gov/result/application/US/17229512/1","US20210318311")</f>
        <v>0.0</v>
      </c>
      <c r="M1798" t="s">
        <v>12436</v>
      </c>
      <c r="N1798" t="s">
        <v>12437</v>
      </c>
      <c r="O1798" t="s">
        <v>12438</v>
      </c>
      <c r="P1798" t="s">
        <v>12439</v>
      </c>
      <c r="Q1798" s="3" t="n">
        <v>44299.0</v>
      </c>
      <c r="R1798" s="3" t="n">
        <v>44483.0</v>
      </c>
      <c r="S1798" s="3" t="n">
        <v>44484.231061273145</v>
      </c>
      <c r="T1798" s="3" t="n">
        <v>44489.48845810185</v>
      </c>
      <c r="U1798" t="s">
        <v>12440</v>
      </c>
      <c r="V1798" t="s">
        <v>12441</v>
      </c>
    </row>
    <row r="1799">
      <c r="A1799" t="s">
        <v>22</v>
      </c>
      <c r="B1799" t="s">
        <v>12442</v>
      </c>
      <c r="C1799" t="s">
        <v>24</v>
      </c>
      <c r="D1799" t="s">
        <v>51</v>
      </c>
      <c r="E1799" t="s">
        <v>12443</v>
      </c>
      <c r="F1799" s="2" t="n">
        <f>HYPERLINK("https://patents.google.com/patent/US20210318309","Google")</f>
        <v>0.0</v>
      </c>
      <c r="G1799" s="2" t="n">
        <f>HYPERLINK("https://patentcenter.uspto.gov/applications/17226989","Patent Center")</f>
        <v>0.0</v>
      </c>
      <c r="H1799" s="2" t="n">
        <f>HYPERLINK("https://worldwide.espacenet.com/patent/search?q=US20210318309","Espacenet")</f>
        <v>0.0</v>
      </c>
      <c r="I1799" s="2" t="n">
        <f>HYPERLINK("https://ppubs.uspto.gov/pubwebapp/external.html?q=20210318309.pn.","USPTO")</f>
        <v>0.0</v>
      </c>
      <c r="J1799" s="2" t="n">
        <f>HYPERLINK("https://image-ppubs.uspto.gov/dirsearch-public/print/downloadPdf/20210318309","USPTO PDF")</f>
        <v>0.0</v>
      </c>
      <c r="K1799" s="2" t="n">
        <f>HYPERLINK("https://sectors.patentforecast.com/pmd/US20210318309","PMD")</f>
        <v>0.0</v>
      </c>
      <c r="L1799" s="2" t="n">
        <f>HYPERLINK("https://globaldossier.uspto.gov/result/application/US/17226989/1","US20210318309")</f>
        <v>0.0</v>
      </c>
      <c r="M1799" t="s">
        <v>12444</v>
      </c>
      <c r="N1799" t="s">
        <v>12445</v>
      </c>
      <c r="O1799" t="s">
        <v>12446</v>
      </c>
      <c r="P1799" t="s">
        <v>12447</v>
      </c>
      <c r="Q1799" s="3" t="n">
        <v>44295.0</v>
      </c>
      <c r="R1799" s="3" t="n">
        <v>44483.0</v>
      </c>
      <c r="S1799" s="3" t="n">
        <v>44484.231061273145</v>
      </c>
      <c r="T1799" s="3" t="n">
        <v>44489.41998957176</v>
      </c>
      <c r="U1799" t="s">
        <v>12448</v>
      </c>
      <c r="V1799" t="s">
        <v>12449</v>
      </c>
    </row>
    <row r="1800">
      <c r="A1800" t="s">
        <v>22</v>
      </c>
      <c r="B1800" t="s">
        <v>12450</v>
      </c>
      <c r="C1800" t="s">
        <v>24</v>
      </c>
      <c r="D1800" t="s">
        <v>69</v>
      </c>
      <c r="E1800" t="s">
        <v>12451</v>
      </c>
      <c r="F1800" s="2" t="n">
        <f>HYPERLINK("https://patents.google.com/patent/US20210317679","Google")</f>
        <v>0.0</v>
      </c>
      <c r="G1800" s="2" t="n">
        <f>HYPERLINK("https://patentcenter.uspto.gov/applications/17093723","Patent Center")</f>
        <v>0.0</v>
      </c>
      <c r="H1800" s="2" t="n">
        <f>HYPERLINK("https://worldwide.espacenet.com/patent/search?q=US20210317679","Espacenet")</f>
        <v>0.0</v>
      </c>
      <c r="I1800" s="2" t="n">
        <f>HYPERLINK("https://ppubs.uspto.gov/pubwebapp/external.html?q=20210317679.pn.","USPTO")</f>
        <v>0.0</v>
      </c>
      <c r="J1800" s="2" t="n">
        <f>HYPERLINK("https://image-ppubs.uspto.gov/dirsearch-public/print/downloadPdf/20210317679","USPTO PDF")</f>
        <v>0.0</v>
      </c>
      <c r="K1800" s="2" t="n">
        <f>HYPERLINK("https://sectors.patentforecast.com/pmd/US20210317679","PMD")</f>
        <v>0.0</v>
      </c>
      <c r="L1800" s="2" t="n">
        <f>HYPERLINK("https://globaldossier.uspto.gov/result/application/US/17093723/1","US20210317679")</f>
        <v>0.0</v>
      </c>
      <c r="M1800" t="s">
        <v>12452</v>
      </c>
      <c r="N1800" t="s">
        <v>12453</v>
      </c>
      <c r="O1800" t="s">
        <v>12454</v>
      </c>
      <c r="P1800" t="s">
        <v>12455</v>
      </c>
      <c r="Q1800" s="3" t="n">
        <v>44145.0</v>
      </c>
      <c r="R1800" s="3" t="n">
        <v>44483.0</v>
      </c>
      <c r="S1800" s="3" t="n">
        <v>44484.231061273145</v>
      </c>
      <c r="T1800" s="3" t="n">
        <v>44489.42371033565</v>
      </c>
      <c r="U1800" t="s">
        <v>12456</v>
      </c>
      <c r="V1800" t="s">
        <v>12457</v>
      </c>
    </row>
    <row r="1801">
      <c r="A1801" t="s">
        <v>22</v>
      </c>
      <c r="B1801" t="s">
        <v>12458</v>
      </c>
      <c r="C1801" t="s">
        <v>60</v>
      </c>
      <c r="D1801" t="s">
        <v>61</v>
      </c>
      <c r="E1801" t="s">
        <v>12459</v>
      </c>
      <c r="F1801" s="2" t="n">
        <f>HYPERLINK("https://patents.google.com/patent/US20210317457","Google")</f>
        <v>0.0</v>
      </c>
      <c r="G1801" s="2" t="n">
        <f>HYPERLINK("https://patentcenter.uspto.gov/applications/17226710","Patent Center")</f>
        <v>0.0</v>
      </c>
      <c r="H1801" s="2" t="n">
        <f>HYPERLINK("https://worldwide.espacenet.com/patent/search?q=US20210317457","Espacenet")</f>
        <v>0.0</v>
      </c>
      <c r="I1801" s="2" t="n">
        <f>HYPERLINK("https://ppubs.uspto.gov/pubwebapp/external.html?q=20210317457.pn.","USPTO")</f>
        <v>0.0</v>
      </c>
      <c r="J1801" s="2" t="n">
        <f>HYPERLINK("https://image-ppubs.uspto.gov/dirsearch-public/print/downloadPdf/20210317457","USPTO PDF")</f>
        <v>0.0</v>
      </c>
      <c r="K1801" s="2" t="n">
        <f>HYPERLINK("https://sectors.patentforecast.com/pmd/US20210317457","PMD")</f>
        <v>0.0</v>
      </c>
      <c r="L1801" s="2" t="n">
        <f>HYPERLINK("https://globaldossier.uspto.gov/result/application/US/17226710/1","US20210317457")</f>
        <v>0.0</v>
      </c>
      <c r="M1801" t="s">
        <v>12460</v>
      </c>
      <c r="N1801" t="s">
        <v>12461</v>
      </c>
      <c r="O1801" t="s">
        <v>12462</v>
      </c>
      <c r="P1801" t="s">
        <v>12463</v>
      </c>
      <c r="Q1801" s="3" t="n">
        <v>44295.0</v>
      </c>
      <c r="R1801" s="3" t="n">
        <v>44483.0</v>
      </c>
      <c r="S1801" s="3" t="n">
        <v>44484.231061273145</v>
      </c>
      <c r="T1801" s="3" t="n">
        <v>44489.418522002314</v>
      </c>
      <c r="U1801" t="s">
        <v>12464</v>
      </c>
      <c r="V1801" t="s">
        <v>12465</v>
      </c>
    </row>
    <row r="1802">
      <c r="A1802" t="s">
        <v>22</v>
      </c>
      <c r="B1802" t="s">
        <v>12466</v>
      </c>
      <c r="C1802" t="s">
        <v>60</v>
      </c>
      <c r="D1802" t="s">
        <v>61</v>
      </c>
      <c r="E1802" t="s">
        <v>12467</v>
      </c>
      <c r="F1802" s="2" t="n">
        <f>HYPERLINK("https://patents.google.com/patent/US20210317454","Google")</f>
        <v>0.0</v>
      </c>
      <c r="G1802" s="2" t="n">
        <f>HYPERLINK("https://patentcenter.uspto.gov/applications/17226866","Patent Center")</f>
        <v>0.0</v>
      </c>
      <c r="H1802" s="2" t="n">
        <f>HYPERLINK("https://worldwide.espacenet.com/patent/search?q=US20210317454","Espacenet")</f>
        <v>0.0</v>
      </c>
      <c r="I1802" s="2" t="n">
        <f>HYPERLINK("https://ppubs.uspto.gov/pubwebapp/external.html?q=20210317454.pn.","USPTO")</f>
        <v>0.0</v>
      </c>
      <c r="J1802" s="2" t="n">
        <f>HYPERLINK("https://image-ppubs.uspto.gov/dirsearch-public/print/downloadPdf/20210317454","USPTO PDF")</f>
        <v>0.0</v>
      </c>
      <c r="K1802" s="2" t="n">
        <f>HYPERLINK("https://sectors.patentforecast.com/pmd/US20210317454","PMD")</f>
        <v>0.0</v>
      </c>
      <c r="L1802" s="2" t="n">
        <f>HYPERLINK("https://globaldossier.uspto.gov/result/application/US/17226866/1","US20210317454")</f>
        <v>0.0</v>
      </c>
      <c r="M1802" t="s">
        <v>12468</v>
      </c>
      <c r="N1802" t="s">
        <v>12469</v>
      </c>
      <c r="O1802" t="s">
        <v>12470</v>
      </c>
      <c r="P1802" t="s">
        <v>12471</v>
      </c>
      <c r="Q1802" s="3" t="n">
        <v>44295.0</v>
      </c>
      <c r="R1802" s="3" t="n">
        <v>44483.0</v>
      </c>
      <c r="S1802" s="3" t="n">
        <v>44484.231061273145</v>
      </c>
      <c r="T1802" s="3" t="n">
        <v>44489.48960811343</v>
      </c>
      <c r="U1802" t="s">
        <v>12472</v>
      </c>
      <c r="V1802" t="s">
        <v>12473</v>
      </c>
    </row>
    <row r="1803">
      <c r="A1803" t="s">
        <v>22</v>
      </c>
      <c r="B1803" t="s">
        <v>12474</v>
      </c>
      <c r="C1803" t="s">
        <v>60</v>
      </c>
      <c r="D1803" t="s">
        <v>61</v>
      </c>
      <c r="E1803" t="s">
        <v>12475</v>
      </c>
      <c r="F1803" s="2" t="n">
        <f>HYPERLINK("https://patents.google.com/patent/US20210317170","Google")</f>
        <v>0.0</v>
      </c>
      <c r="G1803" s="2" t="n">
        <f>HYPERLINK("https://patentcenter.uspto.gov/applications/17086957","Patent Center")</f>
        <v>0.0</v>
      </c>
      <c r="H1803" s="2" t="n">
        <f>HYPERLINK("https://worldwide.espacenet.com/patent/search?q=US20210317170","Espacenet")</f>
        <v>0.0</v>
      </c>
      <c r="I1803" s="2" t="n">
        <f>HYPERLINK("https://ppubs.uspto.gov/pubwebapp/external.html?q=20210317170.pn.","USPTO")</f>
        <v>0.0</v>
      </c>
      <c r="J1803" s="2" t="n">
        <f>HYPERLINK("https://image-ppubs.uspto.gov/dirsearch-public/print/downloadPdf/20210317170","USPTO PDF")</f>
        <v>0.0</v>
      </c>
      <c r="K1803" s="2" t="n">
        <f>HYPERLINK("https://sectors.patentforecast.com/pmd/US20210317170","PMD")</f>
        <v>0.0</v>
      </c>
      <c r="L1803" s="2" t="n">
        <f>HYPERLINK("https://globaldossier.uspto.gov/result/application/US/17086957/1","US20210317170")</f>
        <v>0.0</v>
      </c>
      <c r="M1803" t="s">
        <v>12476</v>
      </c>
      <c r="N1803" t="s">
        <v>979</v>
      </c>
      <c r="O1803" t="s">
        <v>980</v>
      </c>
      <c r="P1803" t="s">
        <v>12477</v>
      </c>
      <c r="Q1803" s="3" t="n">
        <v>44137.0</v>
      </c>
      <c r="R1803" s="3" t="n">
        <v>44483.0</v>
      </c>
      <c r="S1803" s="3" t="n">
        <v>44484.231061273145</v>
      </c>
      <c r="T1803" s="3" t="n">
        <v>44489.425005833335</v>
      </c>
      <c r="U1803" t="s">
        <v>12478</v>
      </c>
      <c r="V1803" t="s">
        <v>12479</v>
      </c>
    </row>
    <row r="1804">
      <c r="A1804" t="s">
        <v>22</v>
      </c>
      <c r="B1804" t="s">
        <v>12480</v>
      </c>
      <c r="C1804" t="s">
        <v>24</v>
      </c>
      <c r="D1804" t="s">
        <v>69</v>
      </c>
      <c r="E1804" t="s">
        <v>12481</v>
      </c>
      <c r="F1804" s="2" t="n">
        <f>HYPERLINK("https://patents.google.com/patent/US20210316171","Google")</f>
        <v>0.0</v>
      </c>
      <c r="G1804" s="2" t="n">
        <f>HYPERLINK("https://patentcenter.uspto.gov/applications/16844062","Patent Center")</f>
        <v>0.0</v>
      </c>
      <c r="H1804" s="2" t="n">
        <f>HYPERLINK("https://worldwide.espacenet.com/patent/search?q=US20210316171","Espacenet")</f>
        <v>0.0</v>
      </c>
      <c r="I1804" s="2" t="n">
        <f>HYPERLINK("https://ppubs.uspto.gov/pubwebapp/external.html?q=20210316171.pn.","USPTO")</f>
        <v>0.0</v>
      </c>
      <c r="J1804" s="2" t="n">
        <f>HYPERLINK("https://image-ppubs.uspto.gov/dirsearch-public/print/downloadPdf/20210316171","USPTO PDF")</f>
        <v>0.0</v>
      </c>
      <c r="K1804" s="2" t="n">
        <f>HYPERLINK("https://sectors.patentforecast.com/pmd/US20210316171","PMD")</f>
        <v>0.0</v>
      </c>
      <c r="L1804" s="2" t="n">
        <f>HYPERLINK("https://globaldossier.uspto.gov/result/application/US/16844062/1","US20210316171")</f>
        <v>0.0</v>
      </c>
      <c r="M1804" t="s">
        <v>12482</v>
      </c>
      <c r="N1804" t="s">
        <v>1598</v>
      </c>
      <c r="O1804" t="s">
        <v>1599</v>
      </c>
      <c r="P1804" t="s">
        <v>1600</v>
      </c>
      <c r="Q1804" s="3" t="n">
        <v>43930.0</v>
      </c>
      <c r="R1804" s="3" t="n">
        <v>44483.0</v>
      </c>
      <c r="S1804" s="3" t="n">
        <v>44484.231061273145</v>
      </c>
      <c r="T1804" s="3" t="n">
        <v>44489.46658153935</v>
      </c>
      <c r="U1804" t="s">
        <v>12483</v>
      </c>
      <c r="V1804" t="s">
        <v>12484</v>
      </c>
    </row>
    <row r="1805">
      <c r="A1805" t="s">
        <v>22</v>
      </c>
      <c r="B1805" t="s">
        <v>12485</v>
      </c>
      <c r="C1805" t="s">
        <v>24</v>
      </c>
      <c r="D1805" t="s">
        <v>69</v>
      </c>
      <c r="E1805" t="s">
        <v>12486</v>
      </c>
      <c r="F1805" s="2" t="n">
        <f>HYPERLINK("https://patents.google.com/patent/US20210316170","Google")</f>
        <v>0.0</v>
      </c>
      <c r="G1805" s="2" t="n">
        <f>HYPERLINK("https://patentcenter.uspto.gov/applications/16843446","Patent Center")</f>
        <v>0.0</v>
      </c>
      <c r="H1805" s="2" t="n">
        <f>HYPERLINK("https://worldwide.espacenet.com/patent/search?q=US20210316170","Espacenet")</f>
        <v>0.0</v>
      </c>
      <c r="I1805" s="2" t="n">
        <f>HYPERLINK("https://ppubs.uspto.gov/pubwebapp/external.html?q=20210316170.pn.","USPTO")</f>
        <v>0.0</v>
      </c>
      <c r="J1805" s="2" t="n">
        <f>HYPERLINK("https://image-ppubs.uspto.gov/dirsearch-public/print/downloadPdf/20210316170","USPTO PDF")</f>
        <v>0.0</v>
      </c>
      <c r="K1805" s="2" t="n">
        <f>HYPERLINK("https://sectors.patentforecast.com/pmd/US20210316170","PMD")</f>
        <v>0.0</v>
      </c>
      <c r="L1805" s="2" t="n">
        <f>HYPERLINK("https://globaldossier.uspto.gov/result/application/US/16843446/1","US20210316170")</f>
        <v>0.0</v>
      </c>
      <c r="M1805" t="s">
        <v>12487</v>
      </c>
      <c r="N1805" t="s">
        <v>12488</v>
      </c>
      <c r="O1805" t="s">
        <v>12489</v>
      </c>
      <c r="P1805" t="s">
        <v>12490</v>
      </c>
      <c r="Q1805" s="3" t="n">
        <v>43929.0</v>
      </c>
      <c r="R1805" s="3" t="n">
        <v>44483.0</v>
      </c>
      <c r="S1805" s="3" t="n">
        <v>44484.231061273145</v>
      </c>
      <c r="T1805" s="3" t="n">
        <v>44489.479945810184</v>
      </c>
      <c r="U1805" t="s">
        <v>12491</v>
      </c>
      <c r="V1805" t="s">
        <v>12492</v>
      </c>
    </row>
    <row r="1806">
      <c r="A1806" t="s">
        <v>22</v>
      </c>
      <c r="B1806" t="s">
        <v>12493</v>
      </c>
      <c r="C1806" t="s">
        <v>24</v>
      </c>
      <c r="D1806" t="s">
        <v>69</v>
      </c>
      <c r="E1806" t="s">
        <v>2753</v>
      </c>
      <c r="F1806" s="2" t="n">
        <f>HYPERLINK("https://patents.google.com/patent/US20210316165","Google")</f>
        <v>0.0</v>
      </c>
      <c r="G1806" s="2" t="n">
        <f>HYPERLINK("https://patentcenter.uspto.gov/applications/17226504","Patent Center")</f>
        <v>0.0</v>
      </c>
      <c r="H1806" s="2" t="n">
        <f>HYPERLINK("https://worldwide.espacenet.com/patent/search?q=US20210316165","Espacenet")</f>
        <v>0.0</v>
      </c>
      <c r="I1806" s="2" t="n">
        <f>HYPERLINK("https://ppubs.uspto.gov/pubwebapp/external.html?q=20210316165.pn.","USPTO")</f>
        <v>0.0</v>
      </c>
      <c r="J1806" s="2" t="n">
        <f>HYPERLINK("https://image-ppubs.uspto.gov/dirsearch-public/print/downloadPdf/20210316165","USPTO PDF")</f>
        <v>0.0</v>
      </c>
      <c r="K1806" s="2" t="n">
        <f>HYPERLINK("https://sectors.patentforecast.com/pmd/US20210316165","PMD")</f>
        <v>0.0</v>
      </c>
      <c r="L1806" s="2" t="n">
        <f>HYPERLINK("https://globaldossier.uspto.gov/result/application/US/17226504/1","US20210316165")</f>
        <v>0.0</v>
      </c>
      <c r="M1806" t="s">
        <v>12494</v>
      </c>
      <c r="N1806" t="s">
        <v>12495</v>
      </c>
      <c r="O1806" t="s">
        <v>12496</v>
      </c>
      <c r="P1806" t="s">
        <v>12497</v>
      </c>
      <c r="Q1806" s="3" t="n">
        <v>44295.0</v>
      </c>
      <c r="R1806" s="3" t="n">
        <v>44483.0</v>
      </c>
      <c r="S1806" s="3" t="n">
        <v>44484.231061273145</v>
      </c>
      <c r="T1806" s="3" t="n">
        <v>44489.42701501158</v>
      </c>
      <c r="U1806" t="s">
        <v>12498</v>
      </c>
      <c r="V1806" t="s">
        <v>12499</v>
      </c>
    </row>
    <row r="1807">
      <c r="A1807" t="s">
        <v>22</v>
      </c>
      <c r="B1807" t="s">
        <v>12500</v>
      </c>
      <c r="C1807" t="s">
        <v>24</v>
      </c>
      <c r="D1807" t="s">
        <v>69</v>
      </c>
      <c r="E1807" t="s">
        <v>12501</v>
      </c>
      <c r="F1807" s="2" t="n">
        <f>HYPERLINK("https://patents.google.com/patent/US20210316164","Google")</f>
        <v>0.0</v>
      </c>
      <c r="G1807" s="2" t="n">
        <f>HYPERLINK("https://patentcenter.uspto.gov/applications/17226068","Patent Center")</f>
        <v>0.0</v>
      </c>
      <c r="H1807" s="2" t="n">
        <f>HYPERLINK("https://worldwide.espacenet.com/patent/search?q=US20210316164","Espacenet")</f>
        <v>0.0</v>
      </c>
      <c r="I1807" s="2" t="n">
        <f>HYPERLINK("https://ppubs.uspto.gov/pubwebapp/external.html?q=20210316164.pn.","USPTO")</f>
        <v>0.0</v>
      </c>
      <c r="J1807" s="2" t="n">
        <f>HYPERLINK("https://image-ppubs.uspto.gov/dirsearch-public/print/downloadPdf/20210316164","USPTO PDF")</f>
        <v>0.0</v>
      </c>
      <c r="K1807" s="2" t="n">
        <f>HYPERLINK("https://sectors.patentforecast.com/pmd/US20210316164","PMD")</f>
        <v>0.0</v>
      </c>
      <c r="L1807" s="2" t="n">
        <f>HYPERLINK("https://globaldossier.uspto.gov/result/application/US/17226068/1","US20210316164")</f>
        <v>0.0</v>
      </c>
      <c r="M1807" t="s">
        <v>12502</v>
      </c>
      <c r="N1807" t="s">
        <v>8322</v>
      </c>
      <c r="O1807" t="s">
        <v>8323</v>
      </c>
      <c r="P1807" t="s">
        <v>12503</v>
      </c>
      <c r="Q1807" s="3" t="n">
        <v>44294.0</v>
      </c>
      <c r="R1807" s="3" t="n">
        <v>44483.0</v>
      </c>
      <c r="S1807" s="3" t="n">
        <v>44484.231061273145</v>
      </c>
      <c r="T1807" s="3" t="n">
        <v>44489.48577712963</v>
      </c>
      <c r="U1807" t="s">
        <v>12504</v>
      </c>
      <c r="V1807" t="s">
        <v>12505</v>
      </c>
    </row>
    <row r="1808">
      <c r="A1808" t="s">
        <v>22</v>
      </c>
      <c r="B1808" t="s">
        <v>12506</v>
      </c>
      <c r="C1808" t="s">
        <v>24</v>
      </c>
      <c r="D1808" t="s">
        <v>69</v>
      </c>
      <c r="E1808" t="s">
        <v>12507</v>
      </c>
      <c r="F1808" s="2" t="n">
        <f>HYPERLINK("https://patents.google.com/patent/US20210316123","Google")</f>
        <v>0.0</v>
      </c>
      <c r="G1808" s="2" t="n">
        <f>HYPERLINK("https://patentcenter.uspto.gov/applications/16846282","Patent Center")</f>
        <v>0.0</v>
      </c>
      <c r="H1808" s="2" t="n">
        <f>HYPERLINK("https://worldwide.espacenet.com/patent/search?q=US20210316123","Espacenet")</f>
        <v>0.0</v>
      </c>
      <c r="I1808" s="2" t="n">
        <f>HYPERLINK("https://ppubs.uspto.gov/pubwebapp/external.html?q=20210316123.pn.","USPTO")</f>
        <v>0.0</v>
      </c>
      <c r="J1808" s="2" t="n">
        <f>HYPERLINK("https://image-ppubs.uspto.gov/dirsearch-public/print/downloadPdf/20210316123","USPTO PDF")</f>
        <v>0.0</v>
      </c>
      <c r="K1808" s="2" t="n">
        <f>HYPERLINK("https://sectors.patentforecast.com/pmd/US20210316123","PMD")</f>
        <v>0.0</v>
      </c>
      <c r="L1808" s="2" t="n">
        <f>HYPERLINK("https://globaldossier.uspto.gov/result/application/US/16846282/1","US20210316123")</f>
        <v>0.0</v>
      </c>
      <c r="M1808" t="s">
        <v>12508</v>
      </c>
      <c r="N1808" t="s">
        <v>12509</v>
      </c>
      <c r="O1808" t="s">
        <v>12510</v>
      </c>
      <c r="P1808" t="s">
        <v>12511</v>
      </c>
      <c r="Q1808" s="3" t="n">
        <v>43932.0</v>
      </c>
      <c r="R1808" s="3" t="n">
        <v>44483.0</v>
      </c>
      <c r="S1808" s="3" t="n">
        <v>44484.231061273145</v>
      </c>
      <c r="T1808" s="3" t="n">
        <v>44489.464181828705</v>
      </c>
      <c r="U1808" t="s">
        <v>12512</v>
      </c>
      <c r="V1808" t="s">
        <v>12513</v>
      </c>
    </row>
    <row r="1809">
      <c r="A1809" t="s">
        <v>22</v>
      </c>
      <c r="B1809" t="s">
        <v>12514</v>
      </c>
      <c r="C1809" t="s">
        <v>60</v>
      </c>
      <c r="D1809" t="s">
        <v>715</v>
      </c>
      <c r="E1809" t="s">
        <v>12515</v>
      </c>
      <c r="F1809" s="2" t="n">
        <f>HYPERLINK("https://patents.google.com/patent/US20210316096","Google")</f>
        <v>0.0</v>
      </c>
      <c r="G1809" s="2" t="n">
        <f>HYPERLINK("https://patentcenter.uspto.gov/applications/17230743","Patent Center")</f>
        <v>0.0</v>
      </c>
      <c r="H1809" s="2" t="n">
        <f>HYPERLINK("https://worldwide.espacenet.com/patent/search?q=US20210316096","Espacenet")</f>
        <v>0.0</v>
      </c>
      <c r="I1809" s="2" t="n">
        <f>HYPERLINK("https://ppubs.uspto.gov/pubwebapp/external.html?q=20210316096.pn.","USPTO")</f>
        <v>0.0</v>
      </c>
      <c r="J1809" s="2" t="n">
        <f>HYPERLINK("https://image-ppubs.uspto.gov/dirsearch-public/print/downloadPdf/20210316096","USPTO PDF")</f>
        <v>0.0</v>
      </c>
      <c r="K1809" s="2" t="n">
        <f>HYPERLINK("https://sectors.patentforecast.com/pmd/US20210316096","PMD")</f>
        <v>0.0</v>
      </c>
      <c r="L1809" s="2" t="n">
        <f>HYPERLINK("https://globaldossier.uspto.gov/result/application/US/17230743/1","US20210316096")</f>
        <v>0.0</v>
      </c>
      <c r="M1809" t="s">
        <v>12516</v>
      </c>
      <c r="N1809" t="s">
        <v>12517</v>
      </c>
      <c r="O1809" t="s">
        <v>12518</v>
      </c>
      <c r="P1809" t="s">
        <v>12519</v>
      </c>
      <c r="Q1809" s="3" t="n">
        <v>44300.0</v>
      </c>
      <c r="R1809" s="3" t="n">
        <v>44483.0</v>
      </c>
      <c r="S1809" s="3" t="n">
        <v>44484.230942152775</v>
      </c>
      <c r="T1809" s="3" t="n">
        <v>44489.48605121528</v>
      </c>
      <c r="U1809" t="s">
        <v>12520</v>
      </c>
      <c r="V1809" t="s">
        <v>12521</v>
      </c>
    </row>
    <row r="1810">
      <c r="A1810" t="s">
        <v>22</v>
      </c>
      <c r="B1810" t="s">
        <v>12522</v>
      </c>
      <c r="C1810" t="s">
        <v>60</v>
      </c>
      <c r="D1810" t="s">
        <v>715</v>
      </c>
      <c r="E1810" t="s">
        <v>12523</v>
      </c>
      <c r="F1810" s="2" t="n">
        <f>HYPERLINK("https://patents.google.com/patent/US20210316095","Google")</f>
        <v>0.0</v>
      </c>
      <c r="G1810" s="2" t="n">
        <f>HYPERLINK("https://patentcenter.uspto.gov/applications/17226938","Patent Center")</f>
        <v>0.0</v>
      </c>
      <c r="H1810" s="2" t="n">
        <f>HYPERLINK("https://worldwide.espacenet.com/patent/search?q=US20210316095","Espacenet")</f>
        <v>0.0</v>
      </c>
      <c r="I1810" s="2" t="n">
        <f>HYPERLINK("https://ppubs.uspto.gov/pubwebapp/external.html?q=20210316095.pn.","USPTO")</f>
        <v>0.0</v>
      </c>
      <c r="J1810" s="2" t="n">
        <f>HYPERLINK("https://image-ppubs.uspto.gov/dirsearch-public/print/downloadPdf/20210316095","USPTO PDF")</f>
        <v>0.0</v>
      </c>
      <c r="K1810" s="2" t="n">
        <f>HYPERLINK("https://sectors.patentforecast.com/pmd/US20210316095","PMD")</f>
        <v>0.0</v>
      </c>
      <c r="L1810" s="2" t="n">
        <f>HYPERLINK("https://globaldossier.uspto.gov/result/application/US/17226938/1","US20210316095")</f>
        <v>0.0</v>
      </c>
      <c r="M1810" t="s">
        <v>12524</v>
      </c>
      <c r="N1810" t="s">
        <v>11045</v>
      </c>
      <c r="O1810" t="s">
        <v>11046</v>
      </c>
      <c r="P1810" t="s">
        <v>12525</v>
      </c>
      <c r="Q1810" s="3" t="n">
        <v>44295.0</v>
      </c>
      <c r="R1810" s="3" t="n">
        <v>44483.0</v>
      </c>
      <c r="S1810" s="3" t="n">
        <v>44484.230942152775</v>
      </c>
      <c r="T1810" s="3" t="n">
        <v>44489.462422303244</v>
      </c>
      <c r="U1810" t="s">
        <v>12526</v>
      </c>
      <c r="V1810" t="s">
        <v>12527</v>
      </c>
    </row>
    <row r="1811">
      <c r="A1811" t="s">
        <v>22</v>
      </c>
      <c r="B1811" t="s">
        <v>12528</v>
      </c>
      <c r="C1811" t="s">
        <v>60</v>
      </c>
      <c r="D1811" t="s">
        <v>61</v>
      </c>
      <c r="E1811" t="s">
        <v>12475</v>
      </c>
      <c r="F1811" s="2" t="n">
        <f>HYPERLINK("https://patents.google.com/patent/US20210316002","Google")</f>
        <v>0.0</v>
      </c>
      <c r="G1811" s="2" t="n">
        <f>HYPERLINK("https://patentcenter.uspto.gov/applications/16848397","Patent Center")</f>
        <v>0.0</v>
      </c>
      <c r="H1811" s="2" t="n">
        <f>HYPERLINK("https://worldwide.espacenet.com/patent/search?q=US20210316002","Espacenet")</f>
        <v>0.0</v>
      </c>
      <c r="I1811" s="2" t="n">
        <f>HYPERLINK("https://ppubs.uspto.gov/pubwebapp/external.html?q=20210316002.pn.","USPTO")</f>
        <v>0.0</v>
      </c>
      <c r="J1811" s="2" t="n">
        <f>HYPERLINK("https://image-ppubs.uspto.gov/dirsearch-public/print/downloadPdf/20210316002","USPTO PDF")</f>
        <v>0.0</v>
      </c>
      <c r="K1811" s="2" t="n">
        <f>HYPERLINK("https://sectors.patentforecast.com/pmd/US20210316002","PMD")</f>
        <v>0.0</v>
      </c>
      <c r="L1811" s="2" t="n">
        <f>HYPERLINK("https://globaldossier.uspto.gov/result/application/US/16848397/1","US20210316002")</f>
        <v>0.0</v>
      </c>
      <c r="M1811" t="s">
        <v>12529</v>
      </c>
      <c r="N1811" t="s">
        <v>979</v>
      </c>
      <c r="O1811" t="s">
        <v>980</v>
      </c>
      <c r="P1811" t="s">
        <v>12477</v>
      </c>
      <c r="Q1811" s="3" t="n">
        <v>43935.0</v>
      </c>
      <c r="R1811" s="3" t="n">
        <v>44483.0</v>
      </c>
      <c r="S1811" s="3" t="n">
        <v>44484.230942152775</v>
      </c>
      <c r="T1811" s="3" t="n">
        <v>44489.425005833335</v>
      </c>
      <c r="U1811" t="s">
        <v>12530</v>
      </c>
      <c r="V1811" t="s">
        <v>12479</v>
      </c>
    </row>
    <row r="1812">
      <c r="A1812" t="s">
        <v>22</v>
      </c>
      <c r="B1812" t="s">
        <v>12531</v>
      </c>
      <c r="C1812" t="s">
        <v>132</v>
      </c>
      <c r="D1812" t="s">
        <v>133</v>
      </c>
      <c r="E1812" t="s">
        <v>12146</v>
      </c>
      <c r="F1812" s="2" t="n">
        <f>HYPERLINK("https://patents.google.com/patent/US20210315988","Google")</f>
        <v>0.0</v>
      </c>
      <c r="G1812" s="2" t="n">
        <f>HYPERLINK("https://patentcenter.uspto.gov/applications/17155953","Patent Center")</f>
        <v>0.0</v>
      </c>
      <c r="H1812" s="2" t="n">
        <f>HYPERLINK("https://worldwide.espacenet.com/patent/search?q=US20210315988","Espacenet")</f>
        <v>0.0</v>
      </c>
      <c r="I1812" s="2" t="n">
        <f>HYPERLINK("https://ppubs.uspto.gov/pubwebapp/external.html?q=20210315988.pn.","USPTO")</f>
        <v>0.0</v>
      </c>
      <c r="J1812" s="2" t="n">
        <f>HYPERLINK("https://image-ppubs.uspto.gov/dirsearch-public/print/downloadPdf/20210315988","USPTO PDF")</f>
        <v>0.0</v>
      </c>
      <c r="K1812" s="2" t="n">
        <f>HYPERLINK("https://sectors.patentforecast.com/pmd/US20210315988","PMD")</f>
        <v>0.0</v>
      </c>
      <c r="L1812" s="2" t="n">
        <f>HYPERLINK("https://globaldossier.uspto.gov/result/application/US/17155953/1","US20210315988")</f>
        <v>0.0</v>
      </c>
      <c r="M1812" t="s">
        <v>12532</v>
      </c>
      <c r="N1812" t="s">
        <v>12148</v>
      </c>
      <c r="O1812" t="s">
        <v>12149</v>
      </c>
      <c r="P1812" t="s">
        <v>12150</v>
      </c>
      <c r="Q1812" s="3" t="n">
        <v>44218.0</v>
      </c>
      <c r="R1812" s="3" t="n">
        <v>44483.0</v>
      </c>
      <c r="S1812" s="3" t="n">
        <v>44484.2300150463</v>
      </c>
      <c r="T1812" s="3" t="n">
        <v>44489.48096543981</v>
      </c>
      <c r="U1812" t="s">
        <v>12533</v>
      </c>
      <c r="V1812" t="s">
        <v>12534</v>
      </c>
    </row>
    <row r="1813">
      <c r="A1813" t="s">
        <v>22</v>
      </c>
      <c r="B1813" t="s">
        <v>12535</v>
      </c>
      <c r="C1813" t="s">
        <v>60</v>
      </c>
      <c r="D1813" t="s">
        <v>61</v>
      </c>
      <c r="E1813" t="s">
        <v>12536</v>
      </c>
      <c r="F1813" s="2" t="n">
        <f>HYPERLINK("https://patents.google.com/patent/US20210315973","Google")</f>
        <v>0.0</v>
      </c>
      <c r="G1813" s="2" t="n">
        <f>HYPERLINK("https://patentcenter.uspto.gov/applications/17224225","Patent Center")</f>
        <v>0.0</v>
      </c>
      <c r="H1813" s="2" t="n">
        <f>HYPERLINK("https://worldwide.espacenet.com/patent/search?q=US20210315973","Espacenet")</f>
        <v>0.0</v>
      </c>
      <c r="I1813" s="2" t="n">
        <f>HYPERLINK("https://ppubs.uspto.gov/pubwebapp/external.html?q=20210315973.pn.","USPTO")</f>
        <v>0.0</v>
      </c>
      <c r="J1813" s="2" t="n">
        <f>HYPERLINK("https://image-ppubs.uspto.gov/dirsearch-public/print/downloadPdf/20210315973","USPTO PDF")</f>
        <v>0.0</v>
      </c>
      <c r="K1813" s="2" t="n">
        <f>HYPERLINK("https://sectors.patentforecast.com/pmd/US20210315973","PMD")</f>
        <v>0.0</v>
      </c>
      <c r="L1813" s="2" t="n">
        <f>HYPERLINK("https://globaldossier.uspto.gov/result/application/US/17224225/1","US20210315973")</f>
        <v>0.0</v>
      </c>
      <c r="M1813" t="s">
        <v>12537</v>
      </c>
      <c r="N1813" t="s">
        <v>12538</v>
      </c>
      <c r="O1813" t="s">
        <v>12539</v>
      </c>
      <c r="P1813" t="s">
        <v>12540</v>
      </c>
      <c r="Q1813" s="3" t="n">
        <v>44293.0</v>
      </c>
      <c r="R1813" s="3" t="n">
        <v>44483.0</v>
      </c>
      <c r="S1813" s="3" t="n">
        <v>44484.230942152775</v>
      </c>
      <c r="T1813" s="3" t="n">
        <v>44489.42602087963</v>
      </c>
      <c r="U1813" t="s">
        <v>12541</v>
      </c>
      <c r="V1813" t="s">
        <v>12542</v>
      </c>
    </row>
    <row r="1814">
      <c r="A1814" t="s">
        <v>22</v>
      </c>
      <c r="B1814" t="s">
        <v>12543</v>
      </c>
      <c r="C1814" t="s">
        <v>60</v>
      </c>
      <c r="D1814" t="s">
        <v>61</v>
      </c>
      <c r="E1814" t="s">
        <v>12544</v>
      </c>
      <c r="F1814" s="2" t="n">
        <f>HYPERLINK("https://patents.google.com/patent/US20210315968","Google")</f>
        <v>0.0</v>
      </c>
      <c r="G1814" s="2" t="n">
        <f>HYPERLINK("https://patentcenter.uspto.gov/applications/17184781","Patent Center")</f>
        <v>0.0</v>
      </c>
      <c r="H1814" s="2" t="n">
        <f>HYPERLINK("https://worldwide.espacenet.com/patent/search?q=US20210315968","Espacenet")</f>
        <v>0.0</v>
      </c>
      <c r="I1814" s="2" t="n">
        <f>HYPERLINK("https://ppubs.uspto.gov/pubwebapp/external.html?q=20210315968.pn.","USPTO")</f>
        <v>0.0</v>
      </c>
      <c r="J1814" s="2" t="n">
        <f>HYPERLINK("https://image-ppubs.uspto.gov/dirsearch-public/print/downloadPdf/20210315968","USPTO PDF")</f>
        <v>0.0</v>
      </c>
      <c r="K1814" s="2" t="n">
        <f>HYPERLINK("https://sectors.patentforecast.com/pmd/US20210315968","PMD")</f>
        <v>0.0</v>
      </c>
      <c r="L1814" s="2" t="n">
        <f>HYPERLINK("https://globaldossier.uspto.gov/result/application/US/17184781/1","US20210315968")</f>
        <v>0.0</v>
      </c>
      <c r="M1814" t="s">
        <v>12545</v>
      </c>
      <c r="N1814" t="s">
        <v>12546</v>
      </c>
      <c r="O1814" t="s">
        <v>12546</v>
      </c>
      <c r="P1814" t="s">
        <v>12547</v>
      </c>
      <c r="Q1814" s="3" t="n">
        <v>44252.0</v>
      </c>
      <c r="R1814" s="3" t="n">
        <v>44483.0</v>
      </c>
      <c r="S1814" s="3" t="n">
        <v>44484.230942152775</v>
      </c>
      <c r="T1814" s="3" t="n">
        <v>44489.485342395834</v>
      </c>
      <c r="U1814" t="s">
        <v>12548</v>
      </c>
      <c r="V1814" t="s">
        <v>12549</v>
      </c>
    </row>
    <row r="1815">
      <c r="A1815" t="s">
        <v>22</v>
      </c>
      <c r="B1815" t="s">
        <v>12550</v>
      </c>
      <c r="C1815" t="s">
        <v>60</v>
      </c>
      <c r="D1815" t="s">
        <v>4942</v>
      </c>
      <c r="E1815" t="s">
        <v>12551</v>
      </c>
      <c r="F1815" s="2" t="n">
        <f>HYPERLINK("https://patents.google.com/patent/US20210315956","Google")</f>
        <v>0.0</v>
      </c>
      <c r="G1815" s="2" t="n">
        <f>HYPERLINK("https://patentcenter.uspto.gov/applications/16844311","Patent Center")</f>
        <v>0.0</v>
      </c>
      <c r="H1815" s="2" t="n">
        <f>HYPERLINK("https://worldwide.espacenet.com/patent/search?q=US20210315956","Espacenet")</f>
        <v>0.0</v>
      </c>
      <c r="I1815" s="2" t="n">
        <f>HYPERLINK("https://ppubs.uspto.gov/pubwebapp/external.html?q=20210315956.pn.","USPTO")</f>
        <v>0.0</v>
      </c>
      <c r="J1815" s="2" t="n">
        <f>HYPERLINK("https://image-ppubs.uspto.gov/dirsearch-public/print/downloadPdf/20210315956","USPTO PDF")</f>
        <v>0.0</v>
      </c>
      <c r="K1815" s="2" t="n">
        <f>HYPERLINK("https://sectors.patentforecast.com/pmd/US20210315956","PMD")</f>
        <v>0.0</v>
      </c>
      <c r="L1815" s="2" t="n">
        <f>HYPERLINK("https://globaldossier.uspto.gov/result/application/US/16844311/1","US20210315956")</f>
        <v>0.0</v>
      </c>
      <c r="M1815" t="s">
        <v>12552</v>
      </c>
      <c r="N1815" t="s">
        <v>12553</v>
      </c>
      <c r="O1815" t="s">
        <v>12554</v>
      </c>
      <c r="P1815" t="s">
        <v>12555</v>
      </c>
      <c r="Q1815" s="3" t="n">
        <v>43930.0</v>
      </c>
      <c r="R1815" s="3" t="n">
        <v>44483.0</v>
      </c>
      <c r="S1815" s="3" t="n">
        <v>44484.2300150463</v>
      </c>
      <c r="T1815" s="3" t="n">
        <v>44489.48985846065</v>
      </c>
      <c r="U1815" t="s">
        <v>12556</v>
      </c>
      <c r="V1815" t="s">
        <v>12557</v>
      </c>
    </row>
    <row r="1816">
      <c r="A1816" t="s">
        <v>22</v>
      </c>
      <c r="B1816" t="s">
        <v>12558</v>
      </c>
      <c r="C1816" t="s">
        <v>60</v>
      </c>
      <c r="D1816" t="s">
        <v>2262</v>
      </c>
      <c r="E1816" t="s">
        <v>12559</v>
      </c>
      <c r="F1816" s="2" t="n">
        <f>HYPERLINK("https://patents.google.com/patent/US20210315942","Google")</f>
        <v>0.0</v>
      </c>
      <c r="G1816" s="2" t="n">
        <f>HYPERLINK("https://patentcenter.uspto.gov/applications/16845004","Patent Center")</f>
        <v>0.0</v>
      </c>
      <c r="H1816" s="2" t="n">
        <f>HYPERLINK("https://worldwide.espacenet.com/patent/search?q=US20210315942","Espacenet")</f>
        <v>0.0</v>
      </c>
      <c r="I1816" s="2" t="n">
        <f>HYPERLINK("https://ppubs.uspto.gov/pubwebapp/external.html?q=20210315942.pn.","USPTO")</f>
        <v>0.0</v>
      </c>
      <c r="J1816" s="2" t="n">
        <f>HYPERLINK("https://image-ppubs.uspto.gov/dirsearch-public/print/downloadPdf/20210315942","USPTO PDF")</f>
        <v>0.0</v>
      </c>
      <c r="K1816" s="2" t="n">
        <f>HYPERLINK("https://sectors.patentforecast.com/pmd/US20210315942","PMD")</f>
        <v>0.0</v>
      </c>
      <c r="L1816" s="2" t="n">
        <f>HYPERLINK("https://globaldossier.uspto.gov/result/application/US/16845004/1","US20210315942")</f>
        <v>0.0</v>
      </c>
      <c r="M1816" t="s">
        <v>12560</v>
      </c>
      <c r="N1816" t="s">
        <v>12561</v>
      </c>
      <c r="O1816" t="s">
        <v>12562</v>
      </c>
      <c r="P1816" t="s">
        <v>12563</v>
      </c>
      <c r="Q1816" s="3" t="n">
        <v>43930.0</v>
      </c>
      <c r="R1816" s="3" t="n">
        <v>44483.0</v>
      </c>
      <c r="S1816" s="3" t="n">
        <v>44484.230942152775</v>
      </c>
      <c r="T1816" s="3" t="n">
        <v>44489.42690641204</v>
      </c>
      <c r="U1816" t="s">
        <v>12564</v>
      </c>
      <c r="V1816" t="s">
        <v>12565</v>
      </c>
    </row>
    <row r="1817">
      <c r="A1817" t="s">
        <v>22</v>
      </c>
      <c r="B1817" t="s">
        <v>12566</v>
      </c>
      <c r="C1817" t="s">
        <v>60</v>
      </c>
      <c r="D1817" t="s">
        <v>61</v>
      </c>
      <c r="E1817" t="s">
        <v>12567</v>
      </c>
      <c r="F1817" s="2" t="n">
        <f>HYPERLINK("https://patents.google.com/patent/US20210315939","Google")</f>
        <v>0.0</v>
      </c>
      <c r="G1817" s="2" t="n">
        <f>HYPERLINK("https://patentcenter.uspto.gov/applications/17226587","Patent Center")</f>
        <v>0.0</v>
      </c>
      <c r="H1817" s="2" t="n">
        <f>HYPERLINK("https://worldwide.espacenet.com/patent/search?q=US20210315939","Espacenet")</f>
        <v>0.0</v>
      </c>
      <c r="I1817" s="2" t="n">
        <f>HYPERLINK("https://ppubs.uspto.gov/pubwebapp/external.html?q=20210315939.pn.","USPTO")</f>
        <v>0.0</v>
      </c>
      <c r="J1817" s="2" t="n">
        <f>HYPERLINK("https://image-ppubs.uspto.gov/dirsearch-public/print/downloadPdf/20210315939","USPTO PDF")</f>
        <v>0.0</v>
      </c>
      <c r="K1817" s="2" t="n">
        <f>HYPERLINK("https://sectors.patentforecast.com/pmd/US20210315939","PMD")</f>
        <v>0.0</v>
      </c>
      <c r="L1817" s="2" t="n">
        <f>HYPERLINK("https://globaldossier.uspto.gov/result/application/US/17226587/1","US20210315939")</f>
        <v>0.0</v>
      </c>
      <c r="M1817" t="s">
        <v>12568</v>
      </c>
      <c r="N1817" t="s">
        <v>12569</v>
      </c>
      <c r="O1817" t="s">
        <v>12570</v>
      </c>
      <c r="P1817" t="s">
        <v>12571</v>
      </c>
      <c r="Q1817" s="3" t="n">
        <v>44295.0</v>
      </c>
      <c r="R1817" s="3" t="n">
        <v>44483.0</v>
      </c>
      <c r="S1817" s="3" t="n">
        <v>44484.2300150463</v>
      </c>
      <c r="T1817" s="3" t="n">
        <v>44489.459958217594</v>
      </c>
      <c r="U1817" t="s">
        <v>12572</v>
      </c>
      <c r="V1817" t="s">
        <v>12573</v>
      </c>
    </row>
    <row r="1818">
      <c r="A1818" t="s">
        <v>22</v>
      </c>
      <c r="B1818" t="s">
        <v>12574</v>
      </c>
      <c r="C1818" t="s">
        <v>60</v>
      </c>
      <c r="D1818" t="s">
        <v>61</v>
      </c>
      <c r="E1818" t="s">
        <v>12575</v>
      </c>
      <c r="F1818" s="2" t="n">
        <f>HYPERLINK("https://patents.google.com/patent/US20210315937","Google")</f>
        <v>0.0</v>
      </c>
      <c r="G1818" s="2" t="n">
        <f>HYPERLINK("https://patentcenter.uspto.gov/applications/17224831","Patent Center")</f>
        <v>0.0</v>
      </c>
      <c r="H1818" s="2" t="n">
        <f>HYPERLINK("https://worldwide.espacenet.com/patent/search?q=US20210315937","Espacenet")</f>
        <v>0.0</v>
      </c>
      <c r="I1818" s="2" t="n">
        <f>HYPERLINK("https://ppubs.uspto.gov/pubwebapp/external.html?q=20210315937.pn.","USPTO")</f>
        <v>0.0</v>
      </c>
      <c r="J1818" s="2" t="n">
        <f>HYPERLINK("https://image-ppubs.uspto.gov/dirsearch-public/print/downloadPdf/20210315937","USPTO PDF")</f>
        <v>0.0</v>
      </c>
      <c r="K1818" s="2" t="n">
        <f>HYPERLINK("https://sectors.patentforecast.com/pmd/US20210315937","PMD")</f>
        <v>0.0</v>
      </c>
      <c r="L1818" s="2" t="n">
        <f>HYPERLINK("https://globaldossier.uspto.gov/result/application/US/17224831/1","US20210315937")</f>
        <v>0.0</v>
      </c>
      <c r="M1818" t="s">
        <v>12576</v>
      </c>
      <c r="N1818" t="s">
        <v>9536</v>
      </c>
      <c r="O1818" t="s">
        <v>9537</v>
      </c>
      <c r="P1818" t="s">
        <v>12577</v>
      </c>
      <c r="Q1818" s="3" t="n">
        <v>44293.0</v>
      </c>
      <c r="R1818" s="3" t="n">
        <v>44483.0</v>
      </c>
      <c r="S1818" s="3" t="n">
        <v>44484.230942152775</v>
      </c>
      <c r="T1818" s="3" t="n">
        <v>44489.474253645836</v>
      </c>
      <c r="U1818" t="s">
        <v>12578</v>
      </c>
      <c r="V1818" t="s">
        <v>12579</v>
      </c>
    </row>
    <row r="1819">
      <c r="A1819" t="s">
        <v>22</v>
      </c>
      <c r="B1819" t="s">
        <v>12580</v>
      </c>
      <c r="C1819" t="s">
        <v>60</v>
      </c>
      <c r="D1819" t="s">
        <v>715</v>
      </c>
      <c r="E1819" t="s">
        <v>12581</v>
      </c>
      <c r="F1819" s="2" t="n">
        <f>HYPERLINK("https://patents.google.com/patent/US20210315925","Google")</f>
        <v>0.0</v>
      </c>
      <c r="G1819" s="2" t="n">
        <f>HYPERLINK("https://patentcenter.uspto.gov/applications/16848055","Patent Center")</f>
        <v>0.0</v>
      </c>
      <c r="H1819" s="2" t="n">
        <f>HYPERLINK("https://worldwide.espacenet.com/patent/search?q=US20210315925","Espacenet")</f>
        <v>0.0</v>
      </c>
      <c r="I1819" s="2" t="n">
        <f>HYPERLINK("https://ppubs.uspto.gov/pubwebapp/external.html?q=20210315925.pn.","USPTO")</f>
        <v>0.0</v>
      </c>
      <c r="J1819" s="2" t="n">
        <f>HYPERLINK("https://image-ppubs.uspto.gov/dirsearch-public/print/downloadPdf/20210315925","USPTO PDF")</f>
        <v>0.0</v>
      </c>
      <c r="K1819" s="2" t="n">
        <f>HYPERLINK("https://sectors.patentforecast.com/pmd/US20210315925","PMD")</f>
        <v>0.0</v>
      </c>
      <c r="L1819" s="2" t="n">
        <f>HYPERLINK("https://globaldossier.uspto.gov/result/application/US/16848055/1","US20210315925")</f>
        <v>0.0</v>
      </c>
      <c r="M1819" t="s">
        <v>12582</v>
      </c>
      <c r="N1819" t="s">
        <v>12583</v>
      </c>
      <c r="O1819" t="s">
        <v>12583</v>
      </c>
      <c r="P1819" t="s">
        <v>12584</v>
      </c>
      <c r="Q1819" s="3" t="n">
        <v>43935.0</v>
      </c>
      <c r="R1819" s="3" t="n">
        <v>44483.0</v>
      </c>
      <c r="S1819" s="3" t="n">
        <v>44484.230942152775</v>
      </c>
      <c r="T1819" s="3" t="n">
        <v>44489.477013020834</v>
      </c>
      <c r="U1819" t="s">
        <v>12585</v>
      </c>
      <c r="V1819" t="s">
        <v>12586</v>
      </c>
    </row>
    <row r="1820">
      <c r="A1820" t="s">
        <v>22</v>
      </c>
      <c r="B1820" t="s">
        <v>12587</v>
      </c>
      <c r="C1820" t="s">
        <v>60</v>
      </c>
      <c r="D1820" t="s">
        <v>61</v>
      </c>
      <c r="E1820" t="s">
        <v>12588</v>
      </c>
      <c r="F1820" s="2" t="n">
        <f>HYPERLINK("https://patents.google.com/patent/US20210315910","Google")</f>
        <v>0.0</v>
      </c>
      <c r="G1820" s="2" t="n">
        <f>HYPERLINK("https://patentcenter.uspto.gov/applications/16842787","Patent Center")</f>
        <v>0.0</v>
      </c>
      <c r="H1820" s="2" t="n">
        <f>HYPERLINK("https://worldwide.espacenet.com/patent/search?q=US20210315910","Espacenet")</f>
        <v>0.0</v>
      </c>
      <c r="I1820" s="2" t="n">
        <f>HYPERLINK("https://ppubs.uspto.gov/pubwebapp/external.html?q=20210315910.pn.","USPTO")</f>
        <v>0.0</v>
      </c>
      <c r="J1820" s="2" t="n">
        <f>HYPERLINK("https://image-ppubs.uspto.gov/dirsearch-public/print/downloadPdf/20210315910","USPTO PDF")</f>
        <v>0.0</v>
      </c>
      <c r="K1820" s="2" t="n">
        <f>HYPERLINK("https://sectors.patentforecast.com/pmd/US20210315910","PMD")</f>
        <v>0.0</v>
      </c>
      <c r="L1820" s="2" t="n">
        <f>HYPERLINK("https://globaldossier.uspto.gov/result/application/US/16842787/1","US20210315910")</f>
        <v>0.0</v>
      </c>
      <c r="M1820" t="s">
        <v>12589</v>
      </c>
      <c r="N1820" t="s">
        <v>12590</v>
      </c>
      <c r="O1820" t="s">
        <v>12591</v>
      </c>
      <c r="P1820" t="s">
        <v>12592</v>
      </c>
      <c r="Q1820" s="3" t="n">
        <v>43929.0</v>
      </c>
      <c r="R1820" s="3" t="n">
        <v>44483.0</v>
      </c>
      <c r="S1820" s="3" t="n">
        <v>44484.2300150463</v>
      </c>
      <c r="T1820" s="3" t="n">
        <v>44489.47249436343</v>
      </c>
      <c r="U1820" t="s">
        <v>12593</v>
      </c>
      <c r="V1820" t="s">
        <v>12594</v>
      </c>
    </row>
    <row r="1821">
      <c r="A1821" t="s">
        <v>22</v>
      </c>
      <c r="B1821" t="s">
        <v>12595</v>
      </c>
      <c r="C1821" t="s">
        <v>60</v>
      </c>
      <c r="D1821" t="s">
        <v>61</v>
      </c>
      <c r="E1821" t="s">
        <v>12596</v>
      </c>
      <c r="F1821" s="2" t="n">
        <f>HYPERLINK("https://patents.google.com/patent/US20210315889","Google")</f>
        <v>0.0</v>
      </c>
      <c r="G1821" s="2" t="n">
        <f>HYPERLINK("https://patentcenter.uspto.gov/applications/16844981","Patent Center")</f>
        <v>0.0</v>
      </c>
      <c r="H1821" s="2" t="n">
        <f>HYPERLINK("https://worldwide.espacenet.com/patent/search?q=US20210315889","Espacenet")</f>
        <v>0.0</v>
      </c>
      <c r="I1821" s="2" t="n">
        <f>HYPERLINK("https://ppubs.uspto.gov/pubwebapp/external.html?q=20210315889.pn.","USPTO")</f>
        <v>0.0</v>
      </c>
      <c r="J1821" s="2" t="n">
        <f>HYPERLINK("https://image-ppubs.uspto.gov/dirsearch-public/print/downloadPdf/20210315889","USPTO PDF")</f>
        <v>0.0</v>
      </c>
      <c r="K1821" s="2" t="n">
        <f>HYPERLINK("https://sectors.patentforecast.com/pmd/US20210315889","PMD")</f>
        <v>0.0</v>
      </c>
      <c r="L1821" s="2" t="n">
        <f>HYPERLINK("https://globaldossier.uspto.gov/result/application/US/16844981/1","US20210315889")</f>
        <v>0.0</v>
      </c>
      <c r="M1821" t="s">
        <v>12597</v>
      </c>
      <c r="N1821" t="s">
        <v>12598</v>
      </c>
      <c r="O1821" t="s">
        <v>12599</v>
      </c>
      <c r="P1821" t="s">
        <v>12600</v>
      </c>
      <c r="Q1821" s="3" t="n">
        <v>43930.0</v>
      </c>
      <c r="R1821" s="3" t="n">
        <v>44483.0</v>
      </c>
      <c r="S1821" s="3" t="n">
        <v>44484.230942152775</v>
      </c>
      <c r="T1821" s="3" t="n">
        <v>44489.47781863426</v>
      </c>
      <c r="U1821" t="s">
        <v>12601</v>
      </c>
      <c r="V1821" t="s">
        <v>12602</v>
      </c>
    </row>
    <row r="1822">
      <c r="A1822" t="s">
        <v>22</v>
      </c>
      <c r="B1822" t="s">
        <v>12603</v>
      </c>
      <c r="C1822" t="s">
        <v>60</v>
      </c>
      <c r="D1822" t="s">
        <v>61</v>
      </c>
      <c r="E1822" t="s">
        <v>12604</v>
      </c>
      <c r="F1822" s="2" t="n">
        <f>HYPERLINK("https://patents.google.com/patent/US20210315883","Google")</f>
        <v>0.0</v>
      </c>
      <c r="G1822" s="2" t="n">
        <f>HYPERLINK("https://patentcenter.uspto.gov/applications/17224231","Patent Center")</f>
        <v>0.0</v>
      </c>
      <c r="H1822" s="2" t="n">
        <f>HYPERLINK("https://worldwide.espacenet.com/patent/search?q=US20210315883","Espacenet")</f>
        <v>0.0</v>
      </c>
      <c r="I1822" s="2" t="n">
        <f>HYPERLINK("https://ppubs.uspto.gov/pubwebapp/external.html?q=20210315883.pn.","USPTO")</f>
        <v>0.0</v>
      </c>
      <c r="J1822" s="2" t="n">
        <f>HYPERLINK("https://image-ppubs.uspto.gov/dirsearch-public/print/downloadPdf/20210315883","USPTO PDF")</f>
        <v>0.0</v>
      </c>
      <c r="K1822" s="2" t="n">
        <f>HYPERLINK("https://sectors.patentforecast.com/pmd/US20210315883","PMD")</f>
        <v>0.0</v>
      </c>
      <c r="L1822" s="2" t="n">
        <f>HYPERLINK("https://globaldossier.uspto.gov/result/application/US/17224231/1","US20210315883")</f>
        <v>0.0</v>
      </c>
      <c r="M1822" t="s">
        <v>12605</v>
      </c>
      <c r="N1822" t="s">
        <v>12538</v>
      </c>
      <c r="O1822" t="s">
        <v>12539</v>
      </c>
      <c r="P1822" t="s">
        <v>12606</v>
      </c>
      <c r="Q1822" s="3" t="n">
        <v>44293.0</v>
      </c>
      <c r="R1822" s="3" t="n">
        <v>44483.0</v>
      </c>
      <c r="S1822" s="3" t="n">
        <v>44484.230942152775</v>
      </c>
      <c r="T1822" s="3" t="n">
        <v>44489.42582258102</v>
      </c>
      <c r="U1822" t="s">
        <v>12607</v>
      </c>
      <c r="V1822" t="s">
        <v>12608</v>
      </c>
    </row>
    <row r="1823">
      <c r="A1823" t="s">
        <v>22</v>
      </c>
      <c r="B1823" t="s">
        <v>12609</v>
      </c>
      <c r="C1823" t="s">
        <v>60</v>
      </c>
      <c r="D1823" t="s">
        <v>61</v>
      </c>
      <c r="E1823" t="s">
        <v>12610</v>
      </c>
      <c r="F1823" s="2" t="n">
        <f>HYPERLINK("https://patents.google.com/patent/US20210315880","Google")</f>
        <v>0.0</v>
      </c>
      <c r="G1823" s="2" t="n">
        <f>HYPERLINK("https://patentcenter.uspto.gov/applications/17207504","Patent Center")</f>
        <v>0.0</v>
      </c>
      <c r="H1823" s="2" t="n">
        <f>HYPERLINK("https://worldwide.espacenet.com/patent/search?q=US20210315880","Espacenet")</f>
        <v>0.0</v>
      </c>
      <c r="I1823" s="2" t="n">
        <f>HYPERLINK("https://ppubs.uspto.gov/pubwebapp/external.html?q=20210315880.pn.","USPTO")</f>
        <v>0.0</v>
      </c>
      <c r="J1823" s="2" t="n">
        <f>HYPERLINK("https://image-ppubs.uspto.gov/dirsearch-public/print/downloadPdf/20210315880","USPTO PDF")</f>
        <v>0.0</v>
      </c>
      <c r="K1823" s="2" t="n">
        <f>HYPERLINK("https://sectors.patentforecast.com/pmd/US20210315880","PMD")</f>
        <v>0.0</v>
      </c>
      <c r="L1823" s="2" t="n">
        <f>HYPERLINK("https://globaldossier.uspto.gov/result/application/US/17207504/1","US20210315880")</f>
        <v>0.0</v>
      </c>
      <c r="M1823" t="s">
        <v>12611</v>
      </c>
      <c r="N1823" t="s">
        <v>12612</v>
      </c>
      <c r="O1823" t="s">
        <v>12613</v>
      </c>
      <c r="P1823" t="s">
        <v>12614</v>
      </c>
      <c r="Q1823" s="3" t="n">
        <v>44274.0</v>
      </c>
      <c r="R1823" s="3" t="n">
        <v>44483.0</v>
      </c>
      <c r="S1823" s="3" t="n">
        <v>44484.2300150463</v>
      </c>
      <c r="T1823" s="3" t="n">
        <v>44489.47720574074</v>
      </c>
      <c r="U1823" t="s">
        <v>12615</v>
      </c>
      <c r="V1823" t="s">
        <v>12616</v>
      </c>
    </row>
    <row r="1824">
      <c r="A1824" t="s">
        <v>22</v>
      </c>
      <c r="B1824" t="s">
        <v>12617</v>
      </c>
      <c r="C1824" t="s">
        <v>60</v>
      </c>
      <c r="D1824" t="s">
        <v>61</v>
      </c>
      <c r="E1824" t="s">
        <v>12618</v>
      </c>
      <c r="F1824" s="2" t="n">
        <f>HYPERLINK("https://patents.google.com/patent/US20210315858","Google")</f>
        <v>0.0</v>
      </c>
      <c r="G1824" s="2" t="n">
        <f>HYPERLINK("https://patentcenter.uspto.gov/applications/17196121","Patent Center")</f>
        <v>0.0</v>
      </c>
      <c r="H1824" s="2" t="n">
        <f>HYPERLINK("https://worldwide.espacenet.com/patent/search?q=US20210315858","Espacenet")</f>
        <v>0.0</v>
      </c>
      <c r="I1824" s="2" t="n">
        <f>HYPERLINK("https://ppubs.uspto.gov/pubwebapp/external.html?q=20210315858.pn.","USPTO")</f>
        <v>0.0</v>
      </c>
      <c r="J1824" s="2" t="n">
        <f>HYPERLINK("https://image-ppubs.uspto.gov/dirsearch-public/print/downloadPdf/20210315858","USPTO PDF")</f>
        <v>0.0</v>
      </c>
      <c r="K1824" s="2" t="n">
        <f>HYPERLINK("https://sectors.patentforecast.com/pmd/US20210315858","PMD")</f>
        <v>0.0</v>
      </c>
      <c r="L1824" s="2" t="n">
        <f>HYPERLINK("https://globaldossier.uspto.gov/result/application/US/17196121/1","US20210315858")</f>
        <v>0.0</v>
      </c>
      <c r="M1824" t="s">
        <v>12619</v>
      </c>
      <c r="N1824" t="s">
        <v>6634</v>
      </c>
      <c r="O1824" t="s">
        <v>6635</v>
      </c>
      <c r="P1824" t="s">
        <v>12620</v>
      </c>
      <c r="Q1824" s="3" t="n">
        <v>44264.0</v>
      </c>
      <c r="R1824" s="3" t="n">
        <v>44483.0</v>
      </c>
      <c r="S1824" s="3" t="n">
        <v>44484.230942152775</v>
      </c>
      <c r="T1824" s="3" t="n">
        <v>44489.48492497685</v>
      </c>
      <c r="U1824" t="s">
        <v>12621</v>
      </c>
      <c r="V1824" t="s">
        <v>12622</v>
      </c>
    </row>
    <row r="1825">
      <c r="A1825" t="s">
        <v>22</v>
      </c>
      <c r="B1825" t="s">
        <v>12623</v>
      </c>
      <c r="C1825" t="s">
        <v>60</v>
      </c>
      <c r="D1825" t="s">
        <v>61</v>
      </c>
      <c r="E1825" t="s">
        <v>12624</v>
      </c>
      <c r="F1825" s="2" t="n">
        <f>HYPERLINK("https://patents.google.com/patent/US20210315857","Google")</f>
        <v>0.0</v>
      </c>
      <c r="G1825" s="2" t="n">
        <f>HYPERLINK("https://patentcenter.uspto.gov/applications/17212727","Patent Center")</f>
        <v>0.0</v>
      </c>
      <c r="H1825" s="2" t="n">
        <f>HYPERLINK("https://worldwide.espacenet.com/patent/search?q=US20210315857","Espacenet")</f>
        <v>0.0</v>
      </c>
      <c r="I1825" s="2" t="n">
        <f>HYPERLINK("https://ppubs.uspto.gov/pubwebapp/external.html?q=20210315857.pn.","USPTO")</f>
        <v>0.0</v>
      </c>
      <c r="J1825" s="2" t="n">
        <f>HYPERLINK("https://image-ppubs.uspto.gov/dirsearch-public/print/downloadPdf/20210315857","USPTO PDF")</f>
        <v>0.0</v>
      </c>
      <c r="K1825" s="2" t="n">
        <f>HYPERLINK("https://sectors.patentforecast.com/pmd/US20210315857","PMD")</f>
        <v>0.0</v>
      </c>
      <c r="L1825" s="2" t="n">
        <f>HYPERLINK("https://globaldossier.uspto.gov/result/application/US/17212727/1","US20210315857")</f>
        <v>0.0</v>
      </c>
      <c r="M1825" t="s">
        <v>12625</v>
      </c>
      <c r="N1825" t="s">
        <v>6634</v>
      </c>
      <c r="O1825" t="s">
        <v>6635</v>
      </c>
      <c r="P1825" t="s">
        <v>12626</v>
      </c>
      <c r="Q1825" s="3" t="n">
        <v>44280.0</v>
      </c>
      <c r="R1825" s="3" t="n">
        <v>44483.0</v>
      </c>
      <c r="S1825" s="3" t="n">
        <v>44484.230942152775</v>
      </c>
      <c r="T1825" s="3" t="n">
        <v>44489.48504662037</v>
      </c>
      <c r="U1825" t="s">
        <v>12627</v>
      </c>
      <c r="V1825" t="s">
        <v>12628</v>
      </c>
    </row>
    <row r="1826">
      <c r="A1826" t="s">
        <v>22</v>
      </c>
      <c r="B1826" t="s">
        <v>12629</v>
      </c>
      <c r="C1826" t="s">
        <v>60</v>
      </c>
      <c r="D1826" t="s">
        <v>61</v>
      </c>
      <c r="E1826" t="s">
        <v>12630</v>
      </c>
      <c r="F1826" s="2" t="n">
        <f>HYPERLINK("https://patents.google.com/patent/US20210315838","Google")</f>
        <v>0.0</v>
      </c>
      <c r="G1826" s="2" t="n">
        <f>HYPERLINK("https://patentcenter.uspto.gov/applications/17301188","Patent Center")</f>
        <v>0.0</v>
      </c>
      <c r="H1826" s="2" t="n">
        <f>HYPERLINK("https://worldwide.espacenet.com/patent/search?q=US20210315838","Espacenet")</f>
        <v>0.0</v>
      </c>
      <c r="I1826" s="2" t="n">
        <f>HYPERLINK("https://ppubs.uspto.gov/pubwebapp/external.html?q=20210315838.pn.","USPTO")</f>
        <v>0.0</v>
      </c>
      <c r="J1826" s="2" t="n">
        <f>HYPERLINK("https://image-ppubs.uspto.gov/dirsearch-public/print/downloadPdf/20210315838","USPTO PDF")</f>
        <v>0.0</v>
      </c>
      <c r="K1826" s="2" t="n">
        <f>HYPERLINK("https://sectors.patentforecast.com/pmd/US20210315838","PMD")</f>
        <v>0.0</v>
      </c>
      <c r="L1826" s="2" t="n">
        <f>HYPERLINK("https://globaldossier.uspto.gov/result/application/US/17301188/1","US20210315838")</f>
        <v>0.0</v>
      </c>
      <c r="M1826" t="s">
        <v>12631</v>
      </c>
      <c r="N1826" t="s">
        <v>12632</v>
      </c>
      <c r="O1826" t="s">
        <v>12633</v>
      </c>
      <c r="P1826" t="s">
        <v>12634</v>
      </c>
      <c r="Q1826" s="3" t="n">
        <v>44284.0</v>
      </c>
      <c r="R1826" s="3" t="n">
        <v>44483.0</v>
      </c>
      <c r="S1826" s="3" t="n">
        <v>44484.230942152775</v>
      </c>
      <c r="T1826" s="3" t="n">
        <v>44489.49469863426</v>
      </c>
      <c r="U1826" t="s">
        <v>12635</v>
      </c>
      <c r="V1826" t="s">
        <v>12636</v>
      </c>
    </row>
    <row r="1827">
      <c r="A1827" t="s">
        <v>22</v>
      </c>
      <c r="B1827" t="s">
        <v>12637</v>
      </c>
      <c r="C1827" t="s">
        <v>24</v>
      </c>
      <c r="D1827" t="s">
        <v>69</v>
      </c>
      <c r="E1827" t="s">
        <v>12638</v>
      </c>
      <c r="F1827" s="2" t="n">
        <f>HYPERLINK("https://patents.google.com/patent/US20210315758","Google")</f>
        <v>0.0</v>
      </c>
      <c r="G1827" s="2" t="n">
        <f>HYPERLINK("https://patentcenter.uspto.gov/applications/17163699","Patent Center")</f>
        <v>0.0</v>
      </c>
      <c r="H1827" s="2" t="n">
        <f>HYPERLINK("https://worldwide.espacenet.com/patent/search?q=US20210315758","Espacenet")</f>
        <v>0.0</v>
      </c>
      <c r="I1827" s="2" t="n">
        <f>HYPERLINK("https://ppubs.uspto.gov/pubwebapp/external.html?q=20210315758.pn.","USPTO")</f>
        <v>0.0</v>
      </c>
      <c r="J1827" s="2" t="n">
        <f>HYPERLINK("https://image-ppubs.uspto.gov/dirsearch-public/print/downloadPdf/20210315758","USPTO PDF")</f>
        <v>0.0</v>
      </c>
      <c r="K1827" s="2" t="n">
        <f>HYPERLINK("https://sectors.patentforecast.com/pmd/US20210315758","PMD")</f>
        <v>0.0</v>
      </c>
      <c r="L1827" s="2" t="n">
        <f>HYPERLINK("https://globaldossier.uspto.gov/result/application/US/17163699/1","US20210315758")</f>
        <v>0.0</v>
      </c>
      <c r="M1827" t="s">
        <v>12639</v>
      </c>
      <c r="N1827" t="s">
        <v>12640</v>
      </c>
      <c r="O1827" t="s">
        <v>12641</v>
      </c>
      <c r="P1827" t="s">
        <v>12642</v>
      </c>
      <c r="Q1827" s="3" t="n">
        <v>44228.0</v>
      </c>
      <c r="R1827" s="3" t="n">
        <v>44483.0</v>
      </c>
      <c r="S1827" s="3" t="n">
        <v>44484.230942152775</v>
      </c>
      <c r="T1827" s="3" t="n">
        <v>44489.479862071756</v>
      </c>
      <c r="U1827" t="s">
        <v>12643</v>
      </c>
      <c r="V1827" t="s">
        <v>12644</v>
      </c>
    </row>
    <row r="1828">
      <c r="A1828" t="s">
        <v>22</v>
      </c>
      <c r="B1828" t="s">
        <v>12645</v>
      </c>
      <c r="C1828" t="s">
        <v>24</v>
      </c>
      <c r="D1828" t="s">
        <v>69</v>
      </c>
      <c r="E1828" t="s">
        <v>12646</v>
      </c>
      <c r="F1828" s="2" t="n">
        <f>HYPERLINK("https://patents.google.com/patent/US20210315757","Google")</f>
        <v>0.0</v>
      </c>
      <c r="G1828" s="2" t="n">
        <f>HYPERLINK("https://patentcenter.uspto.gov/applications/17112929","Patent Center")</f>
        <v>0.0</v>
      </c>
      <c r="H1828" s="2" t="n">
        <f>HYPERLINK("https://worldwide.espacenet.com/patent/search?q=US20210315757","Espacenet")</f>
        <v>0.0</v>
      </c>
      <c r="I1828" s="2" t="n">
        <f>HYPERLINK("https://ppubs.uspto.gov/pubwebapp/external.html?q=20210315757.pn.","USPTO")</f>
        <v>0.0</v>
      </c>
      <c r="J1828" s="2" t="n">
        <f>HYPERLINK("https://image-ppubs.uspto.gov/dirsearch-public/print/downloadPdf/20210315757","USPTO PDF")</f>
        <v>0.0</v>
      </c>
      <c r="K1828" s="2" t="n">
        <f>HYPERLINK("https://sectors.patentforecast.com/pmd/US20210315757","PMD")</f>
        <v>0.0</v>
      </c>
      <c r="L1828" s="2" t="n">
        <f>HYPERLINK("https://globaldossier.uspto.gov/result/application/US/17112929/1","US20210315757")</f>
        <v>0.0</v>
      </c>
      <c r="M1828" t="s">
        <v>12647</v>
      </c>
      <c r="N1828" t="s">
        <v>12648</v>
      </c>
      <c r="O1828" t="s">
        <v>12649</v>
      </c>
      <c r="P1828" t="s">
        <v>12650</v>
      </c>
      <c r="Q1828" s="3" t="n">
        <v>44169.0</v>
      </c>
      <c r="R1828" s="3" t="n">
        <v>44483.0</v>
      </c>
      <c r="S1828" s="3" t="n">
        <v>44484.230942152775</v>
      </c>
      <c r="T1828" s="3" t="n">
        <v>44489.48073502315</v>
      </c>
      <c r="U1828" t="s">
        <v>12651</v>
      </c>
      <c r="V1828" t="s">
        <v>12652</v>
      </c>
    </row>
    <row r="1829">
      <c r="A1829" t="s">
        <v>22</v>
      </c>
      <c r="B1829" t="s">
        <v>12653</v>
      </c>
      <c r="C1829" t="s">
        <v>24</v>
      </c>
      <c r="D1829" t="s">
        <v>69</v>
      </c>
      <c r="E1829" t="s">
        <v>12654</v>
      </c>
      <c r="F1829" s="2" t="n">
        <f>HYPERLINK("https://patents.google.com/patent/US20210315654","Google")</f>
        <v>0.0</v>
      </c>
      <c r="G1829" s="2" t="n">
        <f>HYPERLINK("https://patentcenter.uspto.gov/applications/17227375","Patent Center")</f>
        <v>0.0</v>
      </c>
      <c r="H1829" s="2" t="n">
        <f>HYPERLINK("https://worldwide.espacenet.com/patent/search?q=US20210315654","Espacenet")</f>
        <v>0.0</v>
      </c>
      <c r="I1829" s="2" t="n">
        <f>HYPERLINK("https://ppubs.uspto.gov/pubwebapp/external.html?q=20210315654.pn.","USPTO")</f>
        <v>0.0</v>
      </c>
      <c r="J1829" s="2" t="n">
        <f>HYPERLINK("https://image-ppubs.uspto.gov/dirsearch-public/print/downloadPdf/20210315654","USPTO PDF")</f>
        <v>0.0</v>
      </c>
      <c r="K1829" s="2" t="n">
        <f>HYPERLINK("https://sectors.patentforecast.com/pmd/US20210315654","PMD")</f>
        <v>0.0</v>
      </c>
      <c r="L1829" s="2" t="n">
        <f>HYPERLINK("https://globaldossier.uspto.gov/result/application/US/17227375/1","US20210315654")</f>
        <v>0.0</v>
      </c>
      <c r="M1829" t="s">
        <v>12655</v>
      </c>
      <c r="N1829" t="s">
        <v>12656</v>
      </c>
      <c r="O1829" t="s">
        <v>12656</v>
      </c>
      <c r="P1829" t="s">
        <v>12657</v>
      </c>
      <c r="Q1829" s="3" t="n">
        <v>44298.0</v>
      </c>
      <c r="R1829" s="3" t="n">
        <v>44483.0</v>
      </c>
      <c r="S1829" s="3" t="n">
        <v>44484.230942152775</v>
      </c>
      <c r="T1829" s="3" t="n">
        <v>44489.46119533565</v>
      </c>
      <c r="U1829" t="s">
        <v>12658</v>
      </c>
      <c r="V1829" t="s">
        <v>12659</v>
      </c>
    </row>
    <row r="1830">
      <c r="A1830" t="s">
        <v>22</v>
      </c>
      <c r="B1830" t="s">
        <v>12660</v>
      </c>
      <c r="C1830" t="s">
        <v>24</v>
      </c>
      <c r="D1830" t="s">
        <v>34</v>
      </c>
      <c r="E1830" t="s">
        <v>12661</v>
      </c>
      <c r="F1830" s="2" t="n">
        <f>HYPERLINK("https://patents.google.com/patent/US20210315517","Google")</f>
        <v>0.0</v>
      </c>
      <c r="G1830" s="2" t="n">
        <f>HYPERLINK("https://patentcenter.uspto.gov/applications/17226442","Patent Center")</f>
        <v>0.0</v>
      </c>
      <c r="H1830" s="2" t="n">
        <f>HYPERLINK("https://worldwide.espacenet.com/patent/search?q=US20210315517","Espacenet")</f>
        <v>0.0</v>
      </c>
      <c r="I1830" s="2" t="n">
        <f>HYPERLINK("https://ppubs.uspto.gov/pubwebapp/external.html?q=20210315517.pn.","USPTO")</f>
        <v>0.0</v>
      </c>
      <c r="J1830" s="2" t="n">
        <f>HYPERLINK("https://image-ppubs.uspto.gov/dirsearch-public/print/downloadPdf/20210315517","USPTO PDF")</f>
        <v>0.0</v>
      </c>
      <c r="K1830" s="2" t="n">
        <f>HYPERLINK("https://sectors.patentforecast.com/pmd/US20210315517","PMD")</f>
        <v>0.0</v>
      </c>
      <c r="L1830" s="2" t="n">
        <f>HYPERLINK("https://globaldossier.uspto.gov/result/application/US/17226442/1","US20210315517")</f>
        <v>0.0</v>
      </c>
      <c r="M1830" t="s">
        <v>12662</v>
      </c>
      <c r="N1830" t="s">
        <v>1251</v>
      </c>
      <c r="O1830" t="s">
        <v>1252</v>
      </c>
      <c r="P1830" t="s">
        <v>12663</v>
      </c>
      <c r="Q1830" s="3" t="n">
        <v>44295.0</v>
      </c>
      <c r="R1830" s="3" t="n">
        <v>44483.0</v>
      </c>
      <c r="S1830" s="3" t="n">
        <v>44484.230942152775</v>
      </c>
      <c r="T1830" s="3" t="n">
        <v>44489.42229841435</v>
      </c>
      <c r="U1830" t="s">
        <v>12664</v>
      </c>
      <c r="V1830" t="s">
        <v>12665</v>
      </c>
    </row>
    <row r="1831">
      <c r="A1831" t="s">
        <v>22</v>
      </c>
      <c r="B1831" t="s">
        <v>12666</v>
      </c>
      <c r="C1831" t="s">
        <v>24</v>
      </c>
      <c r="D1831" t="s">
        <v>25</v>
      </c>
      <c r="E1831" t="s">
        <v>12667</v>
      </c>
      <c r="F1831" s="2" t="n">
        <f>HYPERLINK("https://patents.google.com/patent/US20210315503","Google")</f>
        <v>0.0</v>
      </c>
      <c r="G1831" s="2" t="n">
        <f>HYPERLINK("https://patentcenter.uspto.gov/applications/17358499","Patent Center")</f>
        <v>0.0</v>
      </c>
      <c r="H1831" s="2" t="n">
        <f>HYPERLINK("https://worldwide.espacenet.com/patent/search?q=US20210315503","Espacenet")</f>
        <v>0.0</v>
      </c>
      <c r="I1831" s="2" t="n">
        <f>HYPERLINK("https://ppubs.uspto.gov/pubwebapp/external.html?q=20210315503.pn.","USPTO")</f>
        <v>0.0</v>
      </c>
      <c r="J1831" s="2" t="n">
        <f>HYPERLINK("https://image-ppubs.uspto.gov/dirsearch-public/print/downloadPdf/20210315503","USPTO PDF")</f>
        <v>0.0</v>
      </c>
      <c r="K1831" s="2" t="n">
        <f>HYPERLINK("https://sectors.patentforecast.com/pmd/US20210315503","PMD")</f>
        <v>0.0</v>
      </c>
      <c r="L1831" s="2" t="n">
        <f>HYPERLINK("https://globaldossier.uspto.gov/result/application/US/17358499/1","US20210315503")</f>
        <v>0.0</v>
      </c>
      <c r="M1831" t="s">
        <v>12668</v>
      </c>
      <c r="N1831" t="s">
        <v>12669</v>
      </c>
      <c r="O1831" t="s">
        <v>12670</v>
      </c>
      <c r="P1831" t="s">
        <v>12671</v>
      </c>
      <c r="Q1831" s="3" t="n">
        <v>44372.0</v>
      </c>
      <c r="R1831" s="3" t="n">
        <v>44483.0</v>
      </c>
      <c r="S1831" s="3" t="n">
        <v>44484.230942152775</v>
      </c>
      <c r="T1831" s="3" t="n">
        <v>44489.4889206713</v>
      </c>
      <c r="U1831" t="s">
        <v>12672</v>
      </c>
      <c r="V1831" t="s">
        <v>12673</v>
      </c>
    </row>
    <row r="1832">
      <c r="A1832" t="s">
        <v>22</v>
      </c>
      <c r="B1832" t="s">
        <v>12674</v>
      </c>
      <c r="C1832" t="s">
        <v>24</v>
      </c>
      <c r="D1832" t="s">
        <v>25</v>
      </c>
      <c r="E1832" t="s">
        <v>12675</v>
      </c>
      <c r="F1832" s="2" t="n">
        <f>HYPERLINK("https://patents.google.com/patent/US20210315461","Google")</f>
        <v>0.0</v>
      </c>
      <c r="G1832" s="2" t="n">
        <f>HYPERLINK("https://patentcenter.uspto.gov/applications/17229185","Patent Center")</f>
        <v>0.0</v>
      </c>
      <c r="H1832" s="2" t="n">
        <f>HYPERLINK("https://worldwide.espacenet.com/patent/search?q=US20210315461","Espacenet")</f>
        <v>0.0</v>
      </c>
      <c r="I1832" s="2" t="n">
        <f>HYPERLINK("https://ppubs.uspto.gov/pubwebapp/external.html?q=20210315461.pn.","USPTO")</f>
        <v>0.0</v>
      </c>
      <c r="J1832" s="2" t="n">
        <f>HYPERLINK("https://image-ppubs.uspto.gov/dirsearch-public/print/downloadPdf/20210315461","USPTO PDF")</f>
        <v>0.0</v>
      </c>
      <c r="K1832" s="2" t="n">
        <f>HYPERLINK("https://sectors.patentforecast.com/pmd/US20210315461","PMD")</f>
        <v>0.0</v>
      </c>
      <c r="L1832" s="2" t="n">
        <f>HYPERLINK("https://globaldossier.uspto.gov/result/application/US/17229185/1","US20210315461")</f>
        <v>0.0</v>
      </c>
      <c r="M1832" t="s">
        <v>12676</v>
      </c>
      <c r="N1832" t="s">
        <v>12583</v>
      </c>
      <c r="O1832" t="s">
        <v>12583</v>
      </c>
      <c r="P1832" t="s">
        <v>12677</v>
      </c>
      <c r="Q1832" s="3" t="n">
        <v>44299.0</v>
      </c>
      <c r="R1832" s="3" t="n">
        <v>44483.0</v>
      </c>
      <c r="S1832" s="3" t="n">
        <v>44484.230942152775</v>
      </c>
      <c r="T1832" s="3" t="n">
        <v>44489.47380269676</v>
      </c>
      <c r="U1832" t="s">
        <v>12678</v>
      </c>
      <c r="V1832" t="s">
        <v>12679</v>
      </c>
    </row>
    <row r="1833">
      <c r="A1833" t="s">
        <v>22</v>
      </c>
      <c r="B1833" t="s">
        <v>12680</v>
      </c>
      <c r="C1833" t="s">
        <v>24</v>
      </c>
      <c r="D1833" t="s">
        <v>69</v>
      </c>
      <c r="E1833" t="s">
        <v>12681</v>
      </c>
      <c r="F1833" s="2" t="n">
        <f>HYPERLINK("https://patents.google.com/patent/US20210315293","Google")</f>
        <v>0.0</v>
      </c>
      <c r="G1833" s="2" t="n">
        <f>HYPERLINK("https://patentcenter.uspto.gov/applications/17223724","Patent Center")</f>
        <v>0.0</v>
      </c>
      <c r="H1833" s="2" t="n">
        <f>HYPERLINK("https://worldwide.espacenet.com/patent/search?q=US20210315293","Espacenet")</f>
        <v>0.0</v>
      </c>
      <c r="I1833" s="2" t="n">
        <f>HYPERLINK("https://ppubs.uspto.gov/pubwebapp/external.html?q=20210315293.pn.","USPTO")</f>
        <v>0.0</v>
      </c>
      <c r="J1833" s="2" t="n">
        <f>HYPERLINK("https://image-ppubs.uspto.gov/dirsearch-public/print/downloadPdf/20210315293","USPTO PDF")</f>
        <v>0.0</v>
      </c>
      <c r="K1833" s="2" t="n">
        <f>HYPERLINK("https://sectors.patentforecast.com/pmd/US20210315293","PMD")</f>
        <v>0.0</v>
      </c>
      <c r="L1833" s="2" t="n">
        <f>HYPERLINK("https://globaldossier.uspto.gov/result/application/US/17223724/1","US20210315293")</f>
        <v>0.0</v>
      </c>
      <c r="M1833" t="s">
        <v>12682</v>
      </c>
      <c r="N1833" t="s">
        <v>12683</v>
      </c>
      <c r="O1833" t="s">
        <v>12684</v>
      </c>
      <c r="P1833" t="s">
        <v>12685</v>
      </c>
      <c r="Q1833" s="3" t="n">
        <v>44292.0</v>
      </c>
      <c r="R1833" s="3" t="n">
        <v>44483.0</v>
      </c>
      <c r="S1833" s="3" t="n">
        <v>44484.230942152775</v>
      </c>
      <c r="T1833" s="3" t="n">
        <v>44489.480854629626</v>
      </c>
      <c r="U1833" t="s">
        <v>12686</v>
      </c>
      <c r="V1833" t="s">
        <v>12687</v>
      </c>
    </row>
    <row r="1834">
      <c r="A1834" t="s">
        <v>22</v>
      </c>
      <c r="B1834" t="s">
        <v>12688</v>
      </c>
      <c r="C1834" t="s">
        <v>60</v>
      </c>
      <c r="D1834" t="s">
        <v>4942</v>
      </c>
      <c r="E1834" t="s">
        <v>12689</v>
      </c>
      <c r="F1834" s="2" t="n">
        <f>HYPERLINK("https://patents.google.com/patent/US20210315250","Google")</f>
        <v>0.0</v>
      </c>
      <c r="G1834" s="2" t="n">
        <f>HYPERLINK("https://patentcenter.uspto.gov/applications/17175613","Patent Center")</f>
        <v>0.0</v>
      </c>
      <c r="H1834" s="2" t="n">
        <f>HYPERLINK("https://worldwide.espacenet.com/patent/search?q=US20210315250","Espacenet")</f>
        <v>0.0</v>
      </c>
      <c r="I1834" s="2" t="n">
        <f>HYPERLINK("https://ppubs.uspto.gov/pubwebapp/external.html?q=20210315250.pn.","USPTO")</f>
        <v>0.0</v>
      </c>
      <c r="J1834" s="2" t="n">
        <f>HYPERLINK("https://image-ppubs.uspto.gov/dirsearch-public/print/downloadPdf/20210315250","USPTO PDF")</f>
        <v>0.0</v>
      </c>
      <c r="K1834" s="2" t="n">
        <f>HYPERLINK("https://sectors.patentforecast.com/pmd/US20210315250","PMD")</f>
        <v>0.0</v>
      </c>
      <c r="L1834" s="2" t="n">
        <f>HYPERLINK("https://globaldossier.uspto.gov/result/application/US/17175613/1","US20210315250")</f>
        <v>0.0</v>
      </c>
      <c r="M1834" t="s">
        <v>12690</v>
      </c>
      <c r="N1834" t="s">
        <v>12691</v>
      </c>
      <c r="O1834" t="s">
        <v>12692</v>
      </c>
      <c r="P1834" t="s">
        <v>12693</v>
      </c>
      <c r="Q1834" s="3" t="n">
        <v>44240.0</v>
      </c>
      <c r="R1834" s="3" t="n">
        <v>44483.0</v>
      </c>
      <c r="S1834" s="3" t="n">
        <v>44484.230942152775</v>
      </c>
      <c r="T1834" s="3" t="n">
        <v>44489.42408645833</v>
      </c>
      <c r="U1834" t="s">
        <v>12694</v>
      </c>
      <c r="V1834" t="s">
        <v>12695</v>
      </c>
    </row>
    <row r="1835">
      <c r="A1835" t="s">
        <v>22</v>
      </c>
      <c r="B1835" t="s">
        <v>12696</v>
      </c>
      <c r="C1835" t="s">
        <v>24</v>
      </c>
      <c r="D1835" t="s">
        <v>69</v>
      </c>
      <c r="E1835" t="s">
        <v>12697</v>
      </c>
      <c r="F1835" s="2" t="n">
        <f>HYPERLINK("https://patents.google.com/patent/US20210315210","Google")</f>
        <v>0.0</v>
      </c>
      <c r="G1835" s="2" t="n">
        <f>HYPERLINK("https://patentcenter.uspto.gov/applications/17227326","Patent Center")</f>
        <v>0.0</v>
      </c>
      <c r="H1835" s="2" t="n">
        <f>HYPERLINK("https://worldwide.espacenet.com/patent/search?q=US20210315210","Espacenet")</f>
        <v>0.0</v>
      </c>
      <c r="I1835" s="2" t="n">
        <f>HYPERLINK("https://ppubs.uspto.gov/pubwebapp/external.html?q=20210315210.pn.","USPTO")</f>
        <v>0.0</v>
      </c>
      <c r="J1835" s="2" t="n">
        <f>HYPERLINK("https://image-ppubs.uspto.gov/dirsearch-public/print/downloadPdf/20210315210","USPTO PDF")</f>
        <v>0.0</v>
      </c>
      <c r="K1835" s="2" t="n">
        <f>HYPERLINK("https://sectors.patentforecast.com/pmd/US20210315210","PMD")</f>
        <v>0.0</v>
      </c>
      <c r="L1835" s="2" t="n">
        <f>HYPERLINK("https://globaldossier.uspto.gov/result/application/US/17227326/1","US20210315210")</f>
        <v>0.0</v>
      </c>
      <c r="M1835" t="s">
        <v>12698</v>
      </c>
      <c r="N1835" t="s">
        <v>12699</v>
      </c>
      <c r="O1835" t="s">
        <v>12700</v>
      </c>
      <c r="P1835" t="s">
        <v>12701</v>
      </c>
      <c r="Q1835" s="3" t="n">
        <v>44297.0</v>
      </c>
      <c r="R1835" s="3" t="n">
        <v>44483.0</v>
      </c>
      <c r="S1835" s="3" t="n">
        <v>44484.230942152775</v>
      </c>
      <c r="T1835" s="3" t="n">
        <v>44489.41818525463</v>
      </c>
      <c r="U1835" t="s">
        <v>12702</v>
      </c>
      <c r="V1835" t="s">
        <v>12703</v>
      </c>
    </row>
    <row r="1836">
      <c r="A1836" t="s">
        <v>22</v>
      </c>
      <c r="B1836" t="s">
        <v>12704</v>
      </c>
      <c r="C1836" t="s">
        <v>24</v>
      </c>
      <c r="D1836" t="s">
        <v>8459</v>
      </c>
      <c r="E1836" t="s">
        <v>12705</v>
      </c>
      <c r="F1836" s="2" t="n">
        <f>HYPERLINK("https://patents.google.com/patent/US20210314727","Google")</f>
        <v>0.0</v>
      </c>
      <c r="G1836" s="2" t="n">
        <f>HYPERLINK("https://patentcenter.uspto.gov/applications/16925025","Patent Center")</f>
        <v>0.0</v>
      </c>
      <c r="H1836" s="2" t="n">
        <f>HYPERLINK("https://worldwide.espacenet.com/patent/search?q=US20210314727","Espacenet")</f>
        <v>0.0</v>
      </c>
      <c r="I1836" s="2" t="n">
        <f>HYPERLINK("https://ppubs.uspto.gov/pubwebapp/external.html?q=20210314727.pn.","USPTO")</f>
        <v>0.0</v>
      </c>
      <c r="J1836" s="2" t="n">
        <f>HYPERLINK("https://image-ppubs.uspto.gov/dirsearch-public/print/downloadPdf/20210314727","USPTO PDF")</f>
        <v>0.0</v>
      </c>
      <c r="K1836" s="2" t="n">
        <f>HYPERLINK("https://sectors.patentforecast.com/pmd/US20210314727","PMD")</f>
        <v>0.0</v>
      </c>
      <c r="L1836" s="2" t="n">
        <f>HYPERLINK("https://globaldossier.uspto.gov/result/application/US/16925025/1","US20210314727")</f>
        <v>0.0</v>
      </c>
      <c r="M1836" t="s">
        <v>12706</v>
      </c>
      <c r="N1836" t="s">
        <v>11016</v>
      </c>
      <c r="O1836" t="s">
        <v>11017</v>
      </c>
      <c r="P1836" t="s">
        <v>12707</v>
      </c>
      <c r="Q1836" s="3" t="n">
        <v>44021.0</v>
      </c>
      <c r="R1836" s="3" t="n">
        <v>44476.0</v>
      </c>
      <c r="S1836" s="3" t="n">
        <v>44477.24169534722</v>
      </c>
      <c r="T1836" s="3" t="n">
        <v>44480.38126770833</v>
      </c>
      <c r="U1836" t="s">
        <v>12708</v>
      </c>
      <c r="V1836" t="s">
        <v>12709</v>
      </c>
    </row>
    <row r="1837">
      <c r="A1837" t="s">
        <v>22</v>
      </c>
      <c r="B1837" t="s">
        <v>12710</v>
      </c>
      <c r="C1837" t="s">
        <v>24</v>
      </c>
      <c r="D1837" t="s">
        <v>43</v>
      </c>
      <c r="E1837" t="s">
        <v>12711</v>
      </c>
      <c r="F1837" s="2" t="n">
        <f>HYPERLINK("https://patents.google.com/patent/US20210313074","Google")</f>
        <v>0.0</v>
      </c>
      <c r="G1837" s="2" t="n">
        <f>HYPERLINK("https://patentcenter.uspto.gov/applications/17220375","Patent Center")</f>
        <v>0.0</v>
      </c>
      <c r="H1837" s="2" t="n">
        <f>HYPERLINK("https://worldwide.espacenet.com/patent/search?q=US20210313074","Espacenet")</f>
        <v>0.0</v>
      </c>
      <c r="I1837" s="2" t="n">
        <f>HYPERLINK("https://ppubs.uspto.gov/pubwebapp/external.html?q=20210313074.pn.","USPTO")</f>
        <v>0.0</v>
      </c>
      <c r="J1837" s="2" t="n">
        <f>HYPERLINK("https://image-ppubs.uspto.gov/dirsearch-public/print/downloadPdf/20210313074","USPTO PDF")</f>
        <v>0.0</v>
      </c>
      <c r="K1837" s="2" t="n">
        <f>HYPERLINK("https://sectors.patentforecast.com/pmd/US20210313074","PMD")</f>
        <v>0.0</v>
      </c>
      <c r="L1837" s="2" t="n">
        <f>HYPERLINK("https://globaldossier.uspto.gov/result/application/US/17220375/1","US20210313074")</f>
        <v>0.0</v>
      </c>
      <c r="M1837" t="s">
        <v>12712</v>
      </c>
      <c r="N1837" t="s">
        <v>5107</v>
      </c>
      <c r="O1837" t="s">
        <v>5108</v>
      </c>
      <c r="P1837" t="s">
        <v>12713</v>
      </c>
      <c r="Q1837" s="3" t="n">
        <v>44287.0</v>
      </c>
      <c r="R1837" s="3" t="n">
        <v>44476.0</v>
      </c>
      <c r="S1837" s="3" t="n">
        <v>44477.25072069444</v>
      </c>
      <c r="T1837" s="3" t="n">
        <v>44480.39982673611</v>
      </c>
      <c r="U1837" t="s">
        <v>12714</v>
      </c>
      <c r="V1837" t="s">
        <v>12715</v>
      </c>
    </row>
    <row r="1838">
      <c r="A1838" t="s">
        <v>22</v>
      </c>
      <c r="B1838" t="s">
        <v>12716</v>
      </c>
      <c r="C1838" t="s">
        <v>24</v>
      </c>
      <c r="D1838" t="s">
        <v>43</v>
      </c>
      <c r="E1838" t="s">
        <v>12717</v>
      </c>
      <c r="F1838" s="2" t="n">
        <f>HYPERLINK("https://patents.google.com/patent/US20210313073","Google")</f>
        <v>0.0</v>
      </c>
      <c r="G1838" s="2" t="n">
        <f>HYPERLINK("https://patentcenter.uspto.gov/applications/16839697","Patent Center")</f>
        <v>0.0</v>
      </c>
      <c r="H1838" s="2" t="n">
        <f>HYPERLINK("https://worldwide.espacenet.com/patent/search?q=US20210313073","Espacenet")</f>
        <v>0.0</v>
      </c>
      <c r="I1838" s="2" t="n">
        <f>HYPERLINK("https://ppubs.uspto.gov/pubwebapp/external.html?q=20210313073.pn.","USPTO")</f>
        <v>0.0</v>
      </c>
      <c r="J1838" s="2" t="n">
        <f>HYPERLINK("https://image-ppubs.uspto.gov/dirsearch-public/print/downloadPdf/20210313073","USPTO PDF")</f>
        <v>0.0</v>
      </c>
      <c r="K1838" s="2" t="n">
        <f>HYPERLINK("https://sectors.patentforecast.com/pmd/US20210313073","PMD")</f>
        <v>0.0</v>
      </c>
      <c r="L1838" s="2" t="n">
        <f>HYPERLINK("https://globaldossier.uspto.gov/result/application/US/16839697/1","US20210313073")</f>
        <v>0.0</v>
      </c>
      <c r="M1838" t="s">
        <v>12718</v>
      </c>
      <c r="N1838" t="s">
        <v>12719</v>
      </c>
      <c r="O1838" t="s">
        <v>12720</v>
      </c>
      <c r="P1838" t="s">
        <v>12721</v>
      </c>
      <c r="Q1838" s="3" t="n">
        <v>43924.0</v>
      </c>
      <c r="R1838" s="3" t="n">
        <v>44476.0</v>
      </c>
      <c r="S1838" s="3" t="n">
        <v>44477.25072069444</v>
      </c>
      <c r="T1838" s="3" t="n">
        <v>44480.38074100694</v>
      </c>
      <c r="U1838" t="s">
        <v>12722</v>
      </c>
      <c r="V1838" t="s">
        <v>12723</v>
      </c>
    </row>
    <row r="1839">
      <c r="A1839" t="s">
        <v>22</v>
      </c>
      <c r="B1839" t="s">
        <v>12724</v>
      </c>
      <c r="C1839" t="s">
        <v>24</v>
      </c>
      <c r="D1839" t="s">
        <v>204</v>
      </c>
      <c r="E1839" t="s">
        <v>12725</v>
      </c>
      <c r="F1839" s="2" t="n">
        <f>HYPERLINK("https://patents.google.com/patent/US20210313069","Google")</f>
        <v>0.0</v>
      </c>
      <c r="G1839" s="2" t="n">
        <f>HYPERLINK("https://patentcenter.uspto.gov/applications/17221736","Patent Center")</f>
        <v>0.0</v>
      </c>
      <c r="H1839" s="2" t="n">
        <f>HYPERLINK("https://worldwide.espacenet.com/patent/search?q=US20210313069","Espacenet")</f>
        <v>0.0</v>
      </c>
      <c r="I1839" s="2" t="n">
        <f>HYPERLINK("https://ppubs.uspto.gov/pubwebapp/external.html?q=20210313069.pn.","USPTO")</f>
        <v>0.0</v>
      </c>
      <c r="J1839" s="2" t="n">
        <f>HYPERLINK("https://image-ppubs.uspto.gov/dirsearch-public/print/downloadPdf/20210313069","USPTO PDF")</f>
        <v>0.0</v>
      </c>
      <c r="K1839" s="2" t="n">
        <f>HYPERLINK("https://sectors.patentforecast.com/pmd/US20210313069","PMD")</f>
        <v>0.0</v>
      </c>
      <c r="L1839" s="2" t="n">
        <f>HYPERLINK("https://globaldossier.uspto.gov/result/application/US/17221736/1","US20210313069")</f>
        <v>0.0</v>
      </c>
      <c r="M1839" t="s">
        <v>12726</v>
      </c>
      <c r="N1839" t="s">
        <v>12727</v>
      </c>
      <c r="O1839" t="s">
        <v>12728</v>
      </c>
      <c r="P1839" t="s">
        <v>12729</v>
      </c>
      <c r="Q1839" s="3" t="n">
        <v>44288.0</v>
      </c>
      <c r="R1839" s="3" t="n">
        <v>44476.0</v>
      </c>
      <c r="S1839" s="3" t="n">
        <v>44477.24169534722</v>
      </c>
      <c r="T1839" s="3" t="n">
        <v>44480.40065145833</v>
      </c>
      <c r="U1839" t="s">
        <v>12730</v>
      </c>
      <c r="V1839" t="s">
        <v>12731</v>
      </c>
    </row>
    <row r="1840">
      <c r="A1840" t="s">
        <v>22</v>
      </c>
      <c r="B1840" t="s">
        <v>12732</v>
      </c>
      <c r="C1840" t="s">
        <v>24</v>
      </c>
      <c r="D1840" t="s">
        <v>3193</v>
      </c>
      <c r="E1840" t="s">
        <v>12733</v>
      </c>
      <c r="F1840" s="2" t="n">
        <f>HYPERLINK("https://patents.google.com/patent/US20210313068","Google")</f>
        <v>0.0</v>
      </c>
      <c r="G1840" s="2" t="n">
        <f>HYPERLINK("https://patentcenter.uspto.gov/applications/17207440","Patent Center")</f>
        <v>0.0</v>
      </c>
      <c r="H1840" s="2" t="n">
        <f>HYPERLINK("https://worldwide.espacenet.com/patent/search?q=US20210313068","Espacenet")</f>
        <v>0.0</v>
      </c>
      <c r="I1840" s="2" t="n">
        <f>HYPERLINK("https://ppubs.uspto.gov/pubwebapp/external.html?q=20210313068.pn.","USPTO")</f>
        <v>0.0</v>
      </c>
      <c r="J1840" s="2" t="n">
        <f>HYPERLINK("https://image-ppubs.uspto.gov/dirsearch-public/print/downloadPdf/20210313068","USPTO PDF")</f>
        <v>0.0</v>
      </c>
      <c r="K1840" s="2" t="n">
        <f>HYPERLINK("https://sectors.patentforecast.com/pmd/US20210313068","PMD")</f>
        <v>0.0</v>
      </c>
      <c r="L1840" s="2" t="n">
        <f>HYPERLINK("https://globaldossier.uspto.gov/result/application/US/17207440/1","US20210313068")</f>
        <v>0.0</v>
      </c>
      <c r="M1840" t="s">
        <v>12734</v>
      </c>
      <c r="N1840" t="s">
        <v>7571</v>
      </c>
      <c r="O1840" t="s">
        <v>7572</v>
      </c>
      <c r="P1840" t="s">
        <v>12735</v>
      </c>
      <c r="Q1840" s="3" t="n">
        <v>44274.0</v>
      </c>
      <c r="R1840" s="3" t="n">
        <v>44476.0</v>
      </c>
      <c r="S1840" s="3" t="n">
        <v>44477.24169534722</v>
      </c>
      <c r="T1840" s="3" t="n">
        <v>44480.38278190972</v>
      </c>
      <c r="U1840" t="s">
        <v>12736</v>
      </c>
      <c r="V1840" t="s">
        <v>12737</v>
      </c>
    </row>
    <row r="1841">
      <c r="A1841" t="s">
        <v>22</v>
      </c>
      <c r="B1841" t="s">
        <v>12738</v>
      </c>
      <c r="C1841" t="s">
        <v>24</v>
      </c>
      <c r="D1841" t="s">
        <v>3193</v>
      </c>
      <c r="E1841" t="s">
        <v>12733</v>
      </c>
      <c r="F1841" s="2" t="n">
        <f>HYPERLINK("https://patents.google.com/patent/US20210313067","Google")</f>
        <v>0.0</v>
      </c>
      <c r="G1841" s="2" t="n">
        <f>HYPERLINK("https://patentcenter.uspto.gov/applications/17229332","Patent Center")</f>
        <v>0.0</v>
      </c>
      <c r="H1841" s="2" t="n">
        <f>HYPERLINK("https://worldwide.espacenet.com/patent/search?q=US20210313067","Espacenet")</f>
        <v>0.0</v>
      </c>
      <c r="I1841" s="2" t="n">
        <f>HYPERLINK("https://ppubs.uspto.gov/pubwebapp/external.html?q=20210313067.pn.","USPTO")</f>
        <v>0.0</v>
      </c>
      <c r="J1841" s="2" t="n">
        <f>HYPERLINK("https://image-ppubs.uspto.gov/dirsearch-public/print/downloadPdf/20210313067","USPTO PDF")</f>
        <v>0.0</v>
      </c>
      <c r="K1841" s="2" t="n">
        <f>HYPERLINK("https://sectors.patentforecast.com/pmd/US20210313067","PMD")</f>
        <v>0.0</v>
      </c>
      <c r="L1841" s="2" t="n">
        <f>HYPERLINK("https://globaldossier.uspto.gov/result/application/US/17229332/1","US20210313067")</f>
        <v>0.0</v>
      </c>
      <c r="M1841" t="s">
        <v>12739</v>
      </c>
      <c r="N1841" t="s">
        <v>7571</v>
      </c>
      <c r="O1841" t="s">
        <v>7572</v>
      </c>
      <c r="P1841" t="s">
        <v>12735</v>
      </c>
      <c r="Q1841" s="3" t="n">
        <v>44299.0</v>
      </c>
      <c r="R1841" s="3" t="n">
        <v>44476.0</v>
      </c>
      <c r="S1841" s="3" t="n">
        <v>44477.24169534722</v>
      </c>
      <c r="T1841" s="3" t="n">
        <v>44480.38310128472</v>
      </c>
      <c r="U1841" t="s">
        <v>12740</v>
      </c>
      <c r="V1841" t="s">
        <v>12737</v>
      </c>
    </row>
    <row r="1842">
      <c r="A1842" t="s">
        <v>22</v>
      </c>
      <c r="B1842" t="s">
        <v>12741</v>
      </c>
      <c r="C1842" t="s">
        <v>312</v>
      </c>
      <c r="D1842" t="s">
        <v>976</v>
      </c>
      <c r="E1842" t="s">
        <v>12742</v>
      </c>
      <c r="F1842" s="2" t="n">
        <f>HYPERLINK("https://patents.google.com/patent/US20210313026","Google")</f>
        <v>0.0</v>
      </c>
      <c r="G1842" s="2" t="n">
        <f>HYPERLINK("https://patentcenter.uspto.gov/applications/16900846","Patent Center")</f>
        <v>0.0</v>
      </c>
      <c r="H1842" s="2" t="n">
        <f>HYPERLINK("https://worldwide.espacenet.com/patent/search?q=US20210313026","Espacenet")</f>
        <v>0.0</v>
      </c>
      <c r="I1842" s="2" t="n">
        <f>HYPERLINK("https://ppubs.uspto.gov/pubwebapp/external.html?q=20210313026.pn.","USPTO")</f>
        <v>0.0</v>
      </c>
      <c r="J1842" s="2" t="n">
        <f>HYPERLINK("https://image-ppubs.uspto.gov/dirsearch-public/print/downloadPdf/20210313026","USPTO PDF")</f>
        <v>0.0</v>
      </c>
      <c r="K1842" s="2" t="n">
        <f>HYPERLINK("https://sectors.patentforecast.com/pmd/US20210313026","PMD")</f>
        <v>0.0</v>
      </c>
      <c r="L1842" s="2" t="n">
        <f>HYPERLINK("https://globaldossier.uspto.gov/result/application/US/16900846/1","US20210313026")</f>
        <v>0.0</v>
      </c>
      <c r="M1842" t="s">
        <v>12743</v>
      </c>
      <c r="N1842" t="s">
        <v>12744</v>
      </c>
      <c r="O1842" t="s">
        <v>12745</v>
      </c>
      <c r="P1842" t="s">
        <v>12746</v>
      </c>
      <c r="Q1842" s="3" t="n">
        <v>43994.0</v>
      </c>
      <c r="R1842" s="3" t="n">
        <v>44476.0</v>
      </c>
      <c r="S1842" s="3" t="n">
        <v>44477.24169534722</v>
      </c>
      <c r="T1842" s="3" t="n">
        <v>44480.37591951389</v>
      </c>
      <c r="U1842" t="s">
        <v>12747</v>
      </c>
      <c r="V1842" t="s">
        <v>12748</v>
      </c>
    </row>
    <row r="1843">
      <c r="A1843" t="s">
        <v>22</v>
      </c>
      <c r="B1843" t="s">
        <v>12749</v>
      </c>
      <c r="C1843" t="s">
        <v>24</v>
      </c>
      <c r="D1843" t="s">
        <v>204</v>
      </c>
      <c r="E1843" t="s">
        <v>12750</v>
      </c>
      <c r="F1843" s="2" t="n">
        <f>HYPERLINK("https://patents.google.com/patent/US20210311073","Google")</f>
        <v>0.0</v>
      </c>
      <c r="G1843" s="2" t="n">
        <f>HYPERLINK("https://patentcenter.uspto.gov/applications/15931843","Patent Center")</f>
        <v>0.0</v>
      </c>
      <c r="H1843" s="2" t="n">
        <f>HYPERLINK("https://worldwide.espacenet.com/patent/search?q=US20210311073","Espacenet")</f>
        <v>0.0</v>
      </c>
      <c r="I1843" s="2" t="n">
        <f>HYPERLINK("https://ppubs.uspto.gov/pubwebapp/external.html?q=20210311073.pn.","USPTO")</f>
        <v>0.0</v>
      </c>
      <c r="J1843" s="2" t="n">
        <f>HYPERLINK("https://image-ppubs.uspto.gov/dirsearch-public/print/downloadPdf/20210311073","USPTO PDF")</f>
        <v>0.0</v>
      </c>
      <c r="K1843" s="2" t="n">
        <f>HYPERLINK("https://sectors.patentforecast.com/pmd/US20210311073","PMD")</f>
        <v>0.0</v>
      </c>
      <c r="L1843" s="2" t="n">
        <f>HYPERLINK("https://globaldossier.uspto.gov/result/application/US/15931843/1","US20210311073")</f>
        <v>0.0</v>
      </c>
      <c r="M1843" t="s">
        <v>12751</v>
      </c>
      <c r="N1843" t="s">
        <v>12752</v>
      </c>
      <c r="O1843" t="s">
        <v>12753</v>
      </c>
      <c r="P1843" t="s">
        <v>12754</v>
      </c>
      <c r="Q1843" s="3" t="n">
        <v>43965.0</v>
      </c>
      <c r="R1843" s="3" t="n">
        <v>44476.0</v>
      </c>
      <c r="S1843" s="3" t="n">
        <v>44477.24169534722</v>
      </c>
      <c r="T1843" s="3" t="n">
        <v>44480.395276840274</v>
      </c>
      <c r="U1843" t="s">
        <v>12755</v>
      </c>
      <c r="V1843" t="s">
        <v>12756</v>
      </c>
    </row>
    <row r="1844">
      <c r="A1844" t="s">
        <v>22</v>
      </c>
      <c r="B1844" t="s">
        <v>12757</v>
      </c>
      <c r="C1844" t="s">
        <v>24</v>
      </c>
      <c r="D1844" t="s">
        <v>51</v>
      </c>
      <c r="E1844" t="s">
        <v>12758</v>
      </c>
      <c r="F1844" s="2" t="n">
        <f>HYPERLINK("https://patents.google.com/patent/US20210311056","Google")</f>
        <v>0.0</v>
      </c>
      <c r="G1844" s="2" t="n">
        <f>HYPERLINK("https://patentcenter.uspto.gov/applications/17220875","Patent Center")</f>
        <v>0.0</v>
      </c>
      <c r="H1844" s="2" t="n">
        <f>HYPERLINK("https://worldwide.espacenet.com/patent/search?q=US20210311056","Espacenet")</f>
        <v>0.0</v>
      </c>
      <c r="I1844" s="2" t="n">
        <f>HYPERLINK("https://ppubs.uspto.gov/pubwebapp/external.html?q=20210311056.pn.","USPTO")</f>
        <v>0.0</v>
      </c>
      <c r="J1844" s="2" t="n">
        <f>HYPERLINK("https://image-ppubs.uspto.gov/dirsearch-public/print/downloadPdf/20210311056","USPTO PDF")</f>
        <v>0.0</v>
      </c>
      <c r="K1844" s="2" t="n">
        <f>HYPERLINK("https://sectors.patentforecast.com/pmd/US20210311056","PMD")</f>
        <v>0.0</v>
      </c>
      <c r="L1844" s="2" t="n">
        <f>HYPERLINK("https://globaldossier.uspto.gov/result/application/US/17220875/1","US20210311056")</f>
        <v>0.0</v>
      </c>
      <c r="M1844" t="s">
        <v>12759</v>
      </c>
      <c r="N1844" t="s">
        <v>12760</v>
      </c>
      <c r="O1844" t="s">
        <v>12761</v>
      </c>
      <c r="P1844" t="s">
        <v>12762</v>
      </c>
      <c r="Q1844" s="3" t="n">
        <v>44287.0</v>
      </c>
      <c r="R1844" s="3" t="n">
        <v>44476.0</v>
      </c>
      <c r="S1844" s="3" t="n">
        <v>44477.24169534722</v>
      </c>
      <c r="T1844" s="3" t="n">
        <v>44480.41258561343</v>
      </c>
      <c r="U1844" t="s">
        <v>12763</v>
      </c>
      <c r="V1844" t="s">
        <v>12764</v>
      </c>
    </row>
    <row r="1845">
      <c r="A1845" t="s">
        <v>22</v>
      </c>
      <c r="B1845" t="s">
        <v>12765</v>
      </c>
      <c r="C1845" t="s">
        <v>24</v>
      </c>
      <c r="D1845" t="s">
        <v>51</v>
      </c>
      <c r="E1845" t="s">
        <v>12766</v>
      </c>
      <c r="F1845" s="2" t="n">
        <f>HYPERLINK("https://patents.google.com/patent/US20210311055","Google")</f>
        <v>0.0</v>
      </c>
      <c r="G1845" s="2" t="n">
        <f>HYPERLINK("https://patentcenter.uspto.gov/applications/17212360","Patent Center")</f>
        <v>0.0</v>
      </c>
      <c r="H1845" s="2" t="n">
        <f>HYPERLINK("https://worldwide.espacenet.com/patent/search?q=US20210311055","Espacenet")</f>
        <v>0.0</v>
      </c>
      <c r="I1845" s="2" t="n">
        <f>HYPERLINK("https://ppubs.uspto.gov/pubwebapp/external.html?q=20210311055.pn.","USPTO")</f>
        <v>0.0</v>
      </c>
      <c r="J1845" s="2" t="n">
        <f>HYPERLINK("https://image-ppubs.uspto.gov/dirsearch-public/print/downloadPdf/20210311055","USPTO PDF")</f>
        <v>0.0</v>
      </c>
      <c r="K1845" s="2" t="n">
        <f>HYPERLINK("https://sectors.patentforecast.com/pmd/US20210311055","PMD")</f>
        <v>0.0</v>
      </c>
      <c r="L1845" s="2" t="n">
        <f>HYPERLINK("https://globaldossier.uspto.gov/result/application/US/17212360/1","US20210311055")</f>
        <v>0.0</v>
      </c>
      <c r="M1845" t="s">
        <v>12767</v>
      </c>
      <c r="N1845" t="s">
        <v>1834</v>
      </c>
      <c r="O1845" t="s">
        <v>1835</v>
      </c>
      <c r="P1845" t="s">
        <v>12768</v>
      </c>
      <c r="Q1845" s="3" t="n">
        <v>44280.0</v>
      </c>
      <c r="R1845" s="3" t="n">
        <v>44476.0</v>
      </c>
      <c r="S1845" s="3" t="n">
        <v>44477.23717961805</v>
      </c>
      <c r="T1845" s="3" t="n">
        <v>44480.395018194446</v>
      </c>
      <c r="U1845" t="s">
        <v>12769</v>
      </c>
      <c r="V1845" t="s">
        <v>12770</v>
      </c>
    </row>
    <row r="1846">
      <c r="A1846" t="s">
        <v>22</v>
      </c>
      <c r="B1846" t="s">
        <v>12771</v>
      </c>
      <c r="C1846" t="s">
        <v>24</v>
      </c>
      <c r="D1846" t="s">
        <v>51</v>
      </c>
      <c r="E1846" t="s">
        <v>6862</v>
      </c>
      <c r="F1846" s="2" t="n">
        <f>HYPERLINK("https://patents.google.com/patent/US20210311054","Google")</f>
        <v>0.0</v>
      </c>
      <c r="G1846" s="2" t="n">
        <f>HYPERLINK("https://patentcenter.uspto.gov/applications/16936752","Patent Center")</f>
        <v>0.0</v>
      </c>
      <c r="H1846" s="2" t="n">
        <f>HYPERLINK("https://worldwide.espacenet.com/patent/search?q=US20210311054","Espacenet")</f>
        <v>0.0</v>
      </c>
      <c r="I1846" s="2" t="n">
        <f>HYPERLINK("https://ppubs.uspto.gov/pubwebapp/external.html?q=20210311054.pn.","USPTO")</f>
        <v>0.0</v>
      </c>
      <c r="J1846" s="2" t="n">
        <f>HYPERLINK("https://image-ppubs.uspto.gov/dirsearch-public/print/downloadPdf/20210311054","USPTO PDF")</f>
        <v>0.0</v>
      </c>
      <c r="K1846" s="2" t="n">
        <f>HYPERLINK("https://sectors.patentforecast.com/pmd/US20210311054","PMD")</f>
        <v>0.0</v>
      </c>
      <c r="L1846" s="2" t="n">
        <f>HYPERLINK("https://globaldossier.uspto.gov/result/application/US/16936752/1","US20210311054")</f>
        <v>0.0</v>
      </c>
      <c r="M1846" t="s">
        <v>12772</v>
      </c>
      <c r="N1846" t="s">
        <v>6864</v>
      </c>
      <c r="O1846" t="s">
        <v>6864</v>
      </c>
      <c r="P1846" t="s">
        <v>6865</v>
      </c>
      <c r="Q1846" s="3" t="n">
        <v>44035.0</v>
      </c>
      <c r="R1846" s="3" t="n">
        <v>44476.0</v>
      </c>
      <c r="S1846" s="3" t="n">
        <v>44477.24169534722</v>
      </c>
      <c r="T1846" s="3" t="n">
        <v>44480.387261875</v>
      </c>
      <c r="U1846" t="s">
        <v>12773</v>
      </c>
      <c r="V1846" t="s">
        <v>12774</v>
      </c>
    </row>
    <row r="1847">
      <c r="A1847" t="s">
        <v>22</v>
      </c>
      <c r="B1847" t="s">
        <v>12775</v>
      </c>
      <c r="C1847" t="s">
        <v>24</v>
      </c>
      <c r="D1847" t="s">
        <v>204</v>
      </c>
      <c r="E1847" t="s">
        <v>12776</v>
      </c>
      <c r="F1847" s="2" t="n">
        <f>HYPERLINK("https://patents.google.com/patent/US20210311053","Google")</f>
        <v>0.0</v>
      </c>
      <c r="G1847" s="2" t="n">
        <f>HYPERLINK("https://patentcenter.uspto.gov/applications/16868480","Patent Center")</f>
        <v>0.0</v>
      </c>
      <c r="H1847" s="2" t="n">
        <f>HYPERLINK("https://worldwide.espacenet.com/patent/search?q=US20210311053","Espacenet")</f>
        <v>0.0</v>
      </c>
      <c r="I1847" s="2" t="n">
        <f>HYPERLINK("https://ppubs.uspto.gov/pubwebapp/external.html?q=20210311053.pn.","USPTO")</f>
        <v>0.0</v>
      </c>
      <c r="J1847" s="2" t="n">
        <f>HYPERLINK("https://image-ppubs.uspto.gov/dirsearch-public/print/downloadPdf/20210311053","USPTO PDF")</f>
        <v>0.0</v>
      </c>
      <c r="K1847" s="2" t="n">
        <f>HYPERLINK("https://sectors.patentforecast.com/pmd/US20210311053","PMD")</f>
        <v>0.0</v>
      </c>
      <c r="L1847" s="2" t="n">
        <f>HYPERLINK("https://globaldossier.uspto.gov/result/application/US/16868480/1","US20210311053")</f>
        <v>0.0</v>
      </c>
      <c r="M1847" t="s">
        <v>12777</v>
      </c>
      <c r="N1847" t="s">
        <v>12752</v>
      </c>
      <c r="O1847" t="s">
        <v>12753</v>
      </c>
      <c r="P1847" t="s">
        <v>12754</v>
      </c>
      <c r="Q1847" s="3" t="n">
        <v>43957.0</v>
      </c>
      <c r="R1847" s="3" t="n">
        <v>44476.0</v>
      </c>
      <c r="S1847" s="3" t="n">
        <v>44477.24169534722</v>
      </c>
      <c r="T1847" s="3" t="n">
        <v>44480.395437465275</v>
      </c>
      <c r="U1847" t="s">
        <v>12778</v>
      </c>
      <c r="V1847" t="s">
        <v>12779</v>
      </c>
    </row>
    <row r="1848">
      <c r="A1848" t="s">
        <v>22</v>
      </c>
      <c r="B1848" t="s">
        <v>12780</v>
      </c>
      <c r="C1848" t="s">
        <v>24</v>
      </c>
      <c r="D1848" t="s">
        <v>204</v>
      </c>
      <c r="E1848" t="s">
        <v>12781</v>
      </c>
      <c r="F1848" s="2" t="n">
        <f>HYPERLINK("https://patents.google.com/patent/US20210311052","Google")</f>
        <v>0.0</v>
      </c>
      <c r="G1848" s="2" t="n">
        <f>HYPERLINK("https://patentcenter.uspto.gov/applications/16868467","Patent Center")</f>
        <v>0.0</v>
      </c>
      <c r="H1848" s="2" t="n">
        <f>HYPERLINK("https://worldwide.espacenet.com/patent/search?q=US20210311052","Espacenet")</f>
        <v>0.0</v>
      </c>
      <c r="I1848" s="2" t="n">
        <f>HYPERLINK("https://ppubs.uspto.gov/pubwebapp/external.html?q=20210311052.pn.","USPTO")</f>
        <v>0.0</v>
      </c>
      <c r="J1848" s="2" t="n">
        <f>HYPERLINK("https://image-ppubs.uspto.gov/dirsearch-public/print/downloadPdf/20210311052","USPTO PDF")</f>
        <v>0.0</v>
      </c>
      <c r="K1848" s="2" t="n">
        <f>HYPERLINK("https://sectors.patentforecast.com/pmd/US20210311052","PMD")</f>
        <v>0.0</v>
      </c>
      <c r="L1848" s="2" t="n">
        <f>HYPERLINK("https://globaldossier.uspto.gov/result/application/US/16868467/1","US20210311052")</f>
        <v>0.0</v>
      </c>
      <c r="M1848" t="s">
        <v>12782</v>
      </c>
      <c r="N1848" t="s">
        <v>12752</v>
      </c>
      <c r="O1848" t="s">
        <v>12753</v>
      </c>
      <c r="P1848" t="s">
        <v>12754</v>
      </c>
      <c r="Q1848" s="3" t="n">
        <v>43957.0</v>
      </c>
      <c r="R1848" s="3" t="n">
        <v>44476.0</v>
      </c>
      <c r="S1848" s="3" t="n">
        <v>44477.24169534722</v>
      </c>
      <c r="T1848" s="3" t="n">
        <v>44480.39530738426</v>
      </c>
      <c r="U1848" t="s">
        <v>12783</v>
      </c>
      <c r="V1848" t="s">
        <v>12784</v>
      </c>
    </row>
    <row r="1849">
      <c r="A1849" t="s">
        <v>22</v>
      </c>
      <c r="B1849" t="s">
        <v>12785</v>
      </c>
      <c r="C1849" t="s">
        <v>24</v>
      </c>
      <c r="D1849" t="s">
        <v>204</v>
      </c>
      <c r="E1849" t="s">
        <v>12786</v>
      </c>
      <c r="F1849" s="2" t="n">
        <f>HYPERLINK("https://patents.google.com/patent/US20210311051","Google")</f>
        <v>0.0</v>
      </c>
      <c r="G1849" s="2" t="n">
        <f>HYPERLINK("https://patentcenter.uspto.gov/applications/16868464","Patent Center")</f>
        <v>0.0</v>
      </c>
      <c r="H1849" s="2" t="n">
        <f>HYPERLINK("https://worldwide.espacenet.com/patent/search?q=US20210311051","Espacenet")</f>
        <v>0.0</v>
      </c>
      <c r="I1849" s="2" t="n">
        <f>HYPERLINK("https://ppubs.uspto.gov/pubwebapp/external.html?q=20210311051.pn.","USPTO")</f>
        <v>0.0</v>
      </c>
      <c r="J1849" s="2" t="n">
        <f>HYPERLINK("https://image-ppubs.uspto.gov/dirsearch-public/print/downloadPdf/20210311051","USPTO PDF")</f>
        <v>0.0</v>
      </c>
      <c r="K1849" s="2" t="n">
        <f>HYPERLINK("https://sectors.patentforecast.com/pmd/US20210311051","PMD")</f>
        <v>0.0</v>
      </c>
      <c r="L1849" s="2" t="n">
        <f>HYPERLINK("https://globaldossier.uspto.gov/result/application/US/16868464/1","US20210311051")</f>
        <v>0.0</v>
      </c>
      <c r="M1849" t="s">
        <v>12787</v>
      </c>
      <c r="N1849" t="s">
        <v>12752</v>
      </c>
      <c r="O1849" t="s">
        <v>12753</v>
      </c>
      <c r="P1849" t="s">
        <v>12754</v>
      </c>
      <c r="Q1849" s="3" t="n">
        <v>43957.0</v>
      </c>
      <c r="R1849" s="3" t="n">
        <v>44476.0</v>
      </c>
      <c r="S1849" s="3" t="n">
        <v>44477.24169534722</v>
      </c>
      <c r="T1849" s="3" t="n">
        <v>44480.395437465275</v>
      </c>
      <c r="U1849" t="s">
        <v>12788</v>
      </c>
      <c r="V1849" t="s">
        <v>12789</v>
      </c>
    </row>
    <row r="1850">
      <c r="A1850" t="s">
        <v>22</v>
      </c>
      <c r="B1850" t="s">
        <v>12790</v>
      </c>
      <c r="C1850" t="s">
        <v>24</v>
      </c>
      <c r="D1850" t="s">
        <v>204</v>
      </c>
      <c r="E1850" t="s">
        <v>12750</v>
      </c>
      <c r="F1850" s="2" t="n">
        <f>HYPERLINK("https://patents.google.com/patent/US20210311036","Google")</f>
        <v>0.0</v>
      </c>
      <c r="G1850" s="2" t="n">
        <f>HYPERLINK("https://patentcenter.uspto.gov/applications/16870874","Patent Center")</f>
        <v>0.0</v>
      </c>
      <c r="H1850" s="2" t="n">
        <f>HYPERLINK("https://worldwide.espacenet.com/patent/search?q=US20210311036","Espacenet")</f>
        <v>0.0</v>
      </c>
      <c r="I1850" s="2" t="n">
        <f>HYPERLINK("https://ppubs.uspto.gov/pubwebapp/external.html?q=20210311036.pn.","USPTO")</f>
        <v>0.0</v>
      </c>
      <c r="J1850" s="2" t="n">
        <f>HYPERLINK("https://image-ppubs.uspto.gov/dirsearch-public/print/downloadPdf/20210311036","USPTO PDF")</f>
        <v>0.0</v>
      </c>
      <c r="K1850" s="2" t="n">
        <f>HYPERLINK("https://sectors.patentforecast.com/pmd/US20210311036","PMD")</f>
        <v>0.0</v>
      </c>
      <c r="L1850" s="2" t="n">
        <f>HYPERLINK("https://globaldossier.uspto.gov/result/application/US/16870874/1","US20210311036")</f>
        <v>0.0</v>
      </c>
      <c r="M1850" t="s">
        <v>12791</v>
      </c>
      <c r="N1850" t="s">
        <v>12752</v>
      </c>
      <c r="O1850" t="s">
        <v>12753</v>
      </c>
      <c r="P1850" t="s">
        <v>12792</v>
      </c>
      <c r="Q1850" s="3" t="n">
        <v>43959.0</v>
      </c>
      <c r="R1850" s="3" t="n">
        <v>44476.0</v>
      </c>
      <c r="S1850" s="3" t="n">
        <v>44477.24169534722</v>
      </c>
      <c r="T1850" s="3" t="n">
        <v>44480.395213842596</v>
      </c>
      <c r="U1850" t="s">
        <v>12793</v>
      </c>
      <c r="V1850" t="s">
        <v>12756</v>
      </c>
    </row>
    <row r="1851">
      <c r="A1851" t="s">
        <v>22</v>
      </c>
      <c r="B1851" t="s">
        <v>12794</v>
      </c>
      <c r="C1851" t="s">
        <v>24</v>
      </c>
      <c r="D1851" t="s">
        <v>51</v>
      </c>
      <c r="E1851" t="s">
        <v>12795</v>
      </c>
      <c r="F1851" s="2" t="n">
        <f>HYPERLINK("https://patents.google.com/patent/US20210310947","Google")</f>
        <v>0.0</v>
      </c>
      <c r="G1851" s="2" t="n">
        <f>HYPERLINK("https://patentcenter.uspto.gov/applications/17224806","Patent Center")</f>
        <v>0.0</v>
      </c>
      <c r="H1851" s="2" t="n">
        <f>HYPERLINK("https://worldwide.espacenet.com/patent/search?q=US20210310947","Espacenet")</f>
        <v>0.0</v>
      </c>
      <c r="I1851" s="2" t="n">
        <f>HYPERLINK("https://ppubs.uspto.gov/pubwebapp/external.html?q=20210310947.pn.","USPTO")</f>
        <v>0.0</v>
      </c>
      <c r="J1851" s="2" t="n">
        <f>HYPERLINK("https://image-ppubs.uspto.gov/dirsearch-public/print/downloadPdf/20210310947","USPTO PDF")</f>
        <v>0.0</v>
      </c>
      <c r="K1851" s="2" t="n">
        <f>HYPERLINK("https://sectors.patentforecast.com/pmd/US20210310947","PMD")</f>
        <v>0.0</v>
      </c>
      <c r="L1851" s="2" t="n">
        <f>HYPERLINK("https://globaldossier.uspto.gov/result/application/US/17224806/1","US20210310947")</f>
        <v>0.0</v>
      </c>
      <c r="M1851" t="s">
        <v>12796</v>
      </c>
      <c r="N1851" t="s">
        <v>12797</v>
      </c>
      <c r="O1851" t="s">
        <v>12798</v>
      </c>
      <c r="P1851" t="s">
        <v>12799</v>
      </c>
      <c r="Q1851" s="3" t="n">
        <v>44293.0</v>
      </c>
      <c r="R1851" s="3" t="n">
        <v>44476.0</v>
      </c>
      <c r="S1851" s="3" t="n">
        <v>44477.24169534722</v>
      </c>
      <c r="T1851" s="3" t="n">
        <v>44477.71521304398</v>
      </c>
      <c r="U1851" t="s">
        <v>12800</v>
      </c>
      <c r="V1851" t="s">
        <v>12801</v>
      </c>
    </row>
    <row r="1852">
      <c r="A1852" t="s">
        <v>22</v>
      </c>
      <c r="B1852" t="s">
        <v>12802</v>
      </c>
      <c r="C1852" t="s">
        <v>24</v>
      </c>
      <c r="D1852" t="s">
        <v>51</v>
      </c>
      <c r="E1852" t="s">
        <v>12803</v>
      </c>
      <c r="F1852" s="2" t="n">
        <f>HYPERLINK("https://patents.google.com/patent/US20210310928","Google")</f>
        <v>0.0</v>
      </c>
      <c r="G1852" s="2" t="n">
        <f>HYPERLINK("https://patentcenter.uspto.gov/applications/17209785","Patent Center")</f>
        <v>0.0</v>
      </c>
      <c r="H1852" s="2" t="n">
        <f>HYPERLINK("https://worldwide.espacenet.com/patent/search?q=US20210310928","Espacenet")</f>
        <v>0.0</v>
      </c>
      <c r="I1852" s="2" t="n">
        <f>HYPERLINK("https://ppubs.uspto.gov/pubwebapp/external.html?q=20210310928.pn.","USPTO")</f>
        <v>0.0</v>
      </c>
      <c r="J1852" s="2" t="n">
        <f>HYPERLINK("https://image-ppubs.uspto.gov/dirsearch-public/print/downloadPdf/20210310928","USPTO PDF")</f>
        <v>0.0</v>
      </c>
      <c r="K1852" s="2" t="n">
        <f>HYPERLINK("https://sectors.patentforecast.com/pmd/US20210310928","PMD")</f>
        <v>0.0</v>
      </c>
      <c r="L1852" s="2" t="n">
        <f>HYPERLINK("https://globaldossier.uspto.gov/result/application/US/17209785/1","US20210310928")</f>
        <v>0.0</v>
      </c>
      <c r="M1852" t="s">
        <v>12804</v>
      </c>
      <c r="N1852" t="s">
        <v>12805</v>
      </c>
      <c r="O1852" t="s">
        <v>12806</v>
      </c>
      <c r="P1852" t="s">
        <v>12807</v>
      </c>
      <c r="Q1852" s="3" t="n">
        <v>44278.0</v>
      </c>
      <c r="R1852" s="3" t="n">
        <v>44476.0</v>
      </c>
      <c r="S1852" s="3" t="n">
        <v>44477.24169534722</v>
      </c>
      <c r="T1852" s="3" t="n">
        <v>44480.40180730324</v>
      </c>
      <c r="U1852" t="s">
        <v>12808</v>
      </c>
      <c r="V1852" t="s">
        <v>12809</v>
      </c>
    </row>
    <row r="1853">
      <c r="A1853" t="s">
        <v>22</v>
      </c>
      <c r="B1853" t="s">
        <v>12810</v>
      </c>
      <c r="C1853" t="s">
        <v>312</v>
      </c>
      <c r="D1853" t="s">
        <v>3202</v>
      </c>
      <c r="E1853" t="s">
        <v>12811</v>
      </c>
      <c r="F1853" s="2" t="n">
        <f>HYPERLINK("https://patents.google.com/patent/US20210310675","Google")</f>
        <v>0.0</v>
      </c>
      <c r="G1853" s="2" t="n">
        <f>HYPERLINK("https://patentcenter.uspto.gov/applications/16033062","Patent Center")</f>
        <v>0.0</v>
      </c>
      <c r="H1853" s="2" t="n">
        <f>HYPERLINK("https://worldwide.espacenet.com/patent/search?q=US20210310675","Espacenet")</f>
        <v>0.0</v>
      </c>
      <c r="I1853" s="2" t="n">
        <f>HYPERLINK("https://ppubs.uspto.gov/pubwebapp/external.html?q=20210310675.pn.","USPTO")</f>
        <v>0.0</v>
      </c>
      <c r="J1853" s="2" t="n">
        <f>HYPERLINK("https://image-ppubs.uspto.gov/dirsearch-public/print/downloadPdf/20210310675","USPTO PDF")</f>
        <v>0.0</v>
      </c>
      <c r="K1853" s="2" t="n">
        <f>HYPERLINK("https://sectors.patentforecast.com/pmd/US20210310675","PMD")</f>
        <v>0.0</v>
      </c>
      <c r="L1853" s="2" t="n">
        <f>HYPERLINK("https://globaldossier.uspto.gov/result/application/US/16033062/1","US20210310675")</f>
        <v>0.0</v>
      </c>
      <c r="M1853" t="s">
        <v>12812</v>
      </c>
      <c r="N1853" t="s">
        <v>12813</v>
      </c>
      <c r="O1853" t="s">
        <v>12814</v>
      </c>
      <c r="P1853" t="s">
        <v>12815</v>
      </c>
      <c r="Q1853" s="3" t="n">
        <v>43292.0</v>
      </c>
      <c r="R1853" s="3" t="n">
        <v>44476.0</v>
      </c>
      <c r="S1853" s="3" t="n">
        <v>44477.25072069444</v>
      </c>
      <c r="T1853" s="3" t="n">
        <v>44480.41271607639</v>
      </c>
      <c r="U1853" t="s">
        <v>12816</v>
      </c>
      <c r="V1853" t="s">
        <v>12817</v>
      </c>
    </row>
    <row r="1854">
      <c r="A1854" t="s">
        <v>22</v>
      </c>
      <c r="B1854" t="s">
        <v>12818</v>
      </c>
      <c r="C1854" t="s">
        <v>24</v>
      </c>
      <c r="D1854" t="s">
        <v>34</v>
      </c>
      <c r="E1854" t="s">
        <v>12819</v>
      </c>
      <c r="F1854" s="2" t="n">
        <f>HYPERLINK("https://patents.google.com/patent/US20210310083","Google")</f>
        <v>0.0</v>
      </c>
      <c r="G1854" s="2" t="n">
        <f>HYPERLINK("https://patentcenter.uspto.gov/applications/17220647","Patent Center")</f>
        <v>0.0</v>
      </c>
      <c r="H1854" s="2" t="n">
        <f>HYPERLINK("https://worldwide.espacenet.com/patent/search?q=US20210310083","Espacenet")</f>
        <v>0.0</v>
      </c>
      <c r="I1854" s="2" t="n">
        <f>HYPERLINK("https://ppubs.uspto.gov/pubwebapp/external.html?q=20210310083.pn.","USPTO")</f>
        <v>0.0</v>
      </c>
      <c r="J1854" s="2" t="n">
        <f>HYPERLINK("https://image-ppubs.uspto.gov/dirsearch-public/print/downloadPdf/20210310083","USPTO PDF")</f>
        <v>0.0</v>
      </c>
      <c r="K1854" s="2" t="n">
        <f>HYPERLINK("https://sectors.patentforecast.com/pmd/US20210310083","PMD")</f>
        <v>0.0</v>
      </c>
      <c r="L1854" s="2" t="n">
        <f>HYPERLINK("https://globaldossier.uspto.gov/result/application/US/17220647/1","US20210310083")</f>
        <v>0.0</v>
      </c>
      <c r="M1854" t="s">
        <v>12820</v>
      </c>
      <c r="N1854" t="s">
        <v>5169</v>
      </c>
      <c r="O1854" t="s">
        <v>5170</v>
      </c>
      <c r="P1854" t="s">
        <v>12821</v>
      </c>
      <c r="Q1854" s="3" t="n">
        <v>44287.0</v>
      </c>
      <c r="R1854" s="3" t="n">
        <v>44476.0</v>
      </c>
      <c r="S1854" s="3" t="n">
        <v>44477.24169534722</v>
      </c>
      <c r="T1854" s="3" t="n">
        <v>44480.39024532407</v>
      </c>
      <c r="U1854" t="s">
        <v>12822</v>
      </c>
      <c r="V1854" t="s">
        <v>12823</v>
      </c>
    </row>
    <row r="1855">
      <c r="A1855" t="s">
        <v>22</v>
      </c>
      <c r="B1855" t="s">
        <v>12824</v>
      </c>
      <c r="C1855" t="s">
        <v>24</v>
      </c>
      <c r="D1855" t="s">
        <v>25</v>
      </c>
      <c r="E1855" t="s">
        <v>12825</v>
      </c>
      <c r="F1855" s="2" t="n">
        <f>HYPERLINK("https://patents.google.com/patent/US20210310070","Google")</f>
        <v>0.0</v>
      </c>
      <c r="G1855" s="2" t="n">
        <f>HYPERLINK("https://patentcenter.uspto.gov/applications/17221672","Patent Center")</f>
        <v>0.0</v>
      </c>
      <c r="H1855" s="2" t="n">
        <f>HYPERLINK("https://worldwide.espacenet.com/patent/search?q=US20210310070","Espacenet")</f>
        <v>0.0</v>
      </c>
      <c r="I1855" s="2" t="n">
        <f>HYPERLINK("https://ppubs.uspto.gov/pubwebapp/external.html?q=20210310070.pn.","USPTO")</f>
        <v>0.0</v>
      </c>
      <c r="J1855" s="2" t="n">
        <f>HYPERLINK("https://image-ppubs.uspto.gov/dirsearch-public/print/downloadPdf/20210310070","USPTO PDF")</f>
        <v>0.0</v>
      </c>
      <c r="K1855" s="2" t="n">
        <f>HYPERLINK("https://sectors.patentforecast.com/pmd/US20210310070","PMD")</f>
        <v>0.0</v>
      </c>
      <c r="L1855" s="2" t="n">
        <f>HYPERLINK("https://globaldossier.uspto.gov/result/application/US/17221672/1","US20210310070")</f>
        <v>0.0</v>
      </c>
      <c r="M1855" t="s">
        <v>12826</v>
      </c>
      <c r="N1855" t="s">
        <v>12827</v>
      </c>
      <c r="O1855" t="s">
        <v>12828</v>
      </c>
      <c r="P1855" t="s">
        <v>12829</v>
      </c>
      <c r="Q1855" s="3" t="n">
        <v>44288.0</v>
      </c>
      <c r="R1855" s="3" t="n">
        <v>44476.0</v>
      </c>
      <c r="S1855" s="3" t="n">
        <v>44477.24169534722</v>
      </c>
      <c r="T1855" s="3" t="n">
        <v>44480.39903814815</v>
      </c>
      <c r="U1855" t="s">
        <v>12830</v>
      </c>
      <c r="V1855" t="s">
        <v>12831</v>
      </c>
    </row>
    <row r="1856">
      <c r="A1856" t="s">
        <v>22</v>
      </c>
      <c r="B1856" t="s">
        <v>12832</v>
      </c>
      <c r="C1856" t="s">
        <v>24</v>
      </c>
      <c r="D1856" t="s">
        <v>51</v>
      </c>
      <c r="E1856" t="s">
        <v>12833</v>
      </c>
      <c r="F1856" s="2" t="n">
        <f>HYPERLINK("https://patents.google.com/patent/US20210310060","Google")</f>
        <v>0.0</v>
      </c>
      <c r="G1856" s="2" t="n">
        <f>HYPERLINK("https://patentcenter.uspto.gov/applications/17209985","Patent Center")</f>
        <v>0.0</v>
      </c>
      <c r="H1856" s="2" t="n">
        <f>HYPERLINK("https://worldwide.espacenet.com/patent/search?q=US20210310060","Espacenet")</f>
        <v>0.0</v>
      </c>
      <c r="I1856" s="2" t="n">
        <f>HYPERLINK("https://ppubs.uspto.gov/pubwebapp/external.html?q=20210310060.pn.","USPTO")</f>
        <v>0.0</v>
      </c>
      <c r="J1856" s="2" t="n">
        <f>HYPERLINK("https://image-ppubs.uspto.gov/dirsearch-public/print/downloadPdf/20210310060","USPTO PDF")</f>
        <v>0.0</v>
      </c>
      <c r="K1856" s="2" t="n">
        <f>HYPERLINK("https://sectors.patentforecast.com/pmd/US20210310060","PMD")</f>
        <v>0.0</v>
      </c>
      <c r="L1856" s="2" t="n">
        <f>HYPERLINK("https://globaldossier.uspto.gov/result/application/US/17209985/1","US20210310060")</f>
        <v>0.0</v>
      </c>
      <c r="M1856" t="s">
        <v>12834</v>
      </c>
      <c r="N1856" t="s">
        <v>12835</v>
      </c>
      <c r="O1856" t="s">
        <v>12836</v>
      </c>
      <c r="P1856" t="s">
        <v>12837</v>
      </c>
      <c r="Q1856" s="3" t="n">
        <v>44278.0</v>
      </c>
      <c r="R1856" s="3" t="n">
        <v>44476.0</v>
      </c>
      <c r="S1856" s="3" t="n">
        <v>44477.23717961805</v>
      </c>
      <c r="T1856" s="3" t="n">
        <v>44480.4000909838</v>
      </c>
      <c r="U1856" t="s">
        <v>12838</v>
      </c>
      <c r="V1856" t="s">
        <v>12839</v>
      </c>
    </row>
    <row r="1857">
      <c r="A1857" t="s">
        <v>22</v>
      </c>
      <c r="B1857" t="s">
        <v>12840</v>
      </c>
      <c r="C1857" t="s">
        <v>60</v>
      </c>
      <c r="D1857" t="s">
        <v>61</v>
      </c>
      <c r="E1857" t="s">
        <v>12841</v>
      </c>
      <c r="F1857" s="2" t="n">
        <f>HYPERLINK("https://patents.google.com/patent/US20210309998","Google")</f>
        <v>0.0</v>
      </c>
      <c r="G1857" s="2" t="n">
        <f>HYPERLINK("https://patentcenter.uspto.gov/applications/17218604","Patent Center")</f>
        <v>0.0</v>
      </c>
      <c r="H1857" s="2" t="n">
        <f>HYPERLINK("https://worldwide.espacenet.com/patent/search?q=US20210309998","Espacenet")</f>
        <v>0.0</v>
      </c>
      <c r="I1857" s="2" t="n">
        <f>HYPERLINK("https://ppubs.uspto.gov/pubwebapp/external.html?q=20210309998.pn.","USPTO")</f>
        <v>0.0</v>
      </c>
      <c r="J1857" s="2" t="n">
        <f>HYPERLINK("https://image-ppubs.uspto.gov/dirsearch-public/print/downloadPdf/20210309998","USPTO PDF")</f>
        <v>0.0</v>
      </c>
      <c r="K1857" s="2" t="n">
        <f>HYPERLINK("https://sectors.patentforecast.com/pmd/US20210309998","PMD")</f>
        <v>0.0</v>
      </c>
      <c r="L1857" s="2" t="n">
        <f>HYPERLINK("https://globaldossier.uspto.gov/result/application/US/17218604/1","US20210309998")</f>
        <v>0.0</v>
      </c>
      <c r="M1857" t="s">
        <v>12842</v>
      </c>
      <c r="N1857" t="s">
        <v>4069</v>
      </c>
      <c r="O1857" t="s">
        <v>4070</v>
      </c>
      <c r="P1857" t="s">
        <v>12843</v>
      </c>
      <c r="Q1857" s="3" t="n">
        <v>44286.0</v>
      </c>
      <c r="R1857" s="3" t="n">
        <v>44476.0</v>
      </c>
      <c r="S1857" s="3" t="n">
        <v>44477.24169534722</v>
      </c>
      <c r="T1857" s="3" t="n">
        <v>44480.41211546296</v>
      </c>
      <c r="U1857" t="s">
        <v>12844</v>
      </c>
      <c r="V1857" t="s">
        <v>12845</v>
      </c>
    </row>
    <row r="1858">
      <c r="A1858" t="s">
        <v>22</v>
      </c>
      <c r="B1858" t="s">
        <v>12846</v>
      </c>
      <c r="C1858" t="s">
        <v>60</v>
      </c>
      <c r="D1858" t="s">
        <v>77</v>
      </c>
      <c r="E1858" t="s">
        <v>12847</v>
      </c>
      <c r="F1858" s="2" t="n">
        <f>HYPERLINK("https://patents.google.com/patent/US20210309973","Google")</f>
        <v>0.0</v>
      </c>
      <c r="G1858" s="2" t="n">
        <f>HYPERLINK("https://patentcenter.uspto.gov/applications/17222463","Patent Center")</f>
        <v>0.0</v>
      </c>
      <c r="H1858" s="2" t="n">
        <f>HYPERLINK("https://worldwide.espacenet.com/patent/search?q=US20210309973","Espacenet")</f>
        <v>0.0</v>
      </c>
      <c r="I1858" s="2" t="n">
        <f>HYPERLINK("https://ppubs.uspto.gov/pubwebapp/external.html?q=20210309973.pn.","USPTO")</f>
        <v>0.0</v>
      </c>
      <c r="J1858" s="2" t="n">
        <f>HYPERLINK("https://image-ppubs.uspto.gov/dirsearch-public/print/downloadPdf/20210309973","USPTO PDF")</f>
        <v>0.0</v>
      </c>
      <c r="K1858" s="2" t="n">
        <f>HYPERLINK("https://sectors.patentforecast.com/pmd/US20210309973","PMD")</f>
        <v>0.0</v>
      </c>
      <c r="L1858" s="2" t="n">
        <f>HYPERLINK("https://globaldossier.uspto.gov/result/application/US/17222463/1","US20210309973")</f>
        <v>0.0</v>
      </c>
      <c r="M1858" t="s">
        <v>12848</v>
      </c>
      <c r="N1858" t="s">
        <v>12849</v>
      </c>
      <c r="O1858" t="s">
        <v>12850</v>
      </c>
      <c r="P1858" t="s">
        <v>12851</v>
      </c>
      <c r="Q1858" s="3" t="n">
        <v>44291.0</v>
      </c>
      <c r="R1858" s="3" t="n">
        <v>44476.0</v>
      </c>
      <c r="S1858" s="3" t="n">
        <v>44477.24169534722</v>
      </c>
      <c r="T1858" s="3" t="n">
        <v>44480.36944616898</v>
      </c>
      <c r="U1858" t="s">
        <v>12852</v>
      </c>
      <c r="V1858" t="s">
        <v>12853</v>
      </c>
    </row>
    <row r="1859">
      <c r="A1859" t="s">
        <v>22</v>
      </c>
      <c r="B1859" t="s">
        <v>12854</v>
      </c>
      <c r="C1859" t="s">
        <v>60</v>
      </c>
      <c r="D1859" t="s">
        <v>61</v>
      </c>
      <c r="E1859" t="s">
        <v>12855</v>
      </c>
      <c r="F1859" s="2" t="n">
        <f>HYPERLINK("https://patents.google.com/patent/US20210309733","Google")</f>
        <v>0.0</v>
      </c>
      <c r="G1859" s="2" t="n">
        <f>HYPERLINK("https://patentcenter.uspto.gov/applications/17216660","Patent Center")</f>
        <v>0.0</v>
      </c>
      <c r="H1859" s="2" t="n">
        <f>HYPERLINK("https://worldwide.espacenet.com/patent/search?q=US20210309733","Espacenet")</f>
        <v>0.0</v>
      </c>
      <c r="I1859" s="2" t="n">
        <f>HYPERLINK("https://ppubs.uspto.gov/pubwebapp/external.html?q=20210309733.pn.","USPTO")</f>
        <v>0.0</v>
      </c>
      <c r="J1859" s="2" t="n">
        <f>HYPERLINK("https://image-ppubs.uspto.gov/dirsearch-public/print/downloadPdf/20210309733","USPTO PDF")</f>
        <v>0.0</v>
      </c>
      <c r="K1859" s="2" t="n">
        <f>HYPERLINK("https://sectors.patentforecast.com/pmd/US20210309733","PMD")</f>
        <v>0.0</v>
      </c>
      <c r="L1859" s="2" t="n">
        <f>HYPERLINK("https://globaldossier.uspto.gov/result/application/US/17216660/1","US20210309733")</f>
        <v>0.0</v>
      </c>
      <c r="M1859" t="s">
        <v>12856</v>
      </c>
      <c r="N1859" t="s">
        <v>12857</v>
      </c>
      <c r="O1859" t="s">
        <v>12858</v>
      </c>
      <c r="P1859" t="s">
        <v>12859</v>
      </c>
      <c r="Q1859" s="3" t="n">
        <v>44284.0</v>
      </c>
      <c r="R1859" s="3" t="n">
        <v>44476.0</v>
      </c>
      <c r="S1859" s="3" t="n">
        <v>44477.23717961805</v>
      </c>
      <c r="T1859" s="3" t="n">
        <v>44480.38582009259</v>
      </c>
      <c r="U1859" t="s">
        <v>12860</v>
      </c>
      <c r="V1859" t="s">
        <v>12861</v>
      </c>
    </row>
    <row r="1860">
      <c r="A1860" t="s">
        <v>22</v>
      </c>
      <c r="B1860" t="s">
        <v>12862</v>
      </c>
      <c r="C1860" t="s">
        <v>24</v>
      </c>
      <c r="D1860" t="s">
        <v>69</v>
      </c>
      <c r="E1860" t="s">
        <v>12863</v>
      </c>
      <c r="F1860" s="2" t="n">
        <f>HYPERLINK("https://patents.google.com/patent/US20210308629","Google")</f>
        <v>0.0</v>
      </c>
      <c r="G1860" s="2" t="n">
        <f>HYPERLINK("https://patentcenter.uspto.gov/applications/17349097","Patent Center")</f>
        <v>0.0</v>
      </c>
      <c r="H1860" s="2" t="n">
        <f>HYPERLINK("https://worldwide.espacenet.com/patent/search?q=US20210308629","Espacenet")</f>
        <v>0.0</v>
      </c>
      <c r="I1860" s="2" t="n">
        <f>HYPERLINK("https://ppubs.uspto.gov/pubwebapp/external.html?q=20210308629.pn.","USPTO")</f>
        <v>0.0</v>
      </c>
      <c r="J1860" s="2" t="n">
        <f>HYPERLINK("https://image-ppubs.uspto.gov/dirsearch-public/print/downloadPdf/20210308629","USPTO PDF")</f>
        <v>0.0</v>
      </c>
      <c r="K1860" s="2" t="n">
        <f>HYPERLINK("https://sectors.patentforecast.com/pmd/US20210308629","PMD")</f>
        <v>0.0</v>
      </c>
      <c r="L1860" s="2" t="n">
        <f>HYPERLINK("https://globaldossier.uspto.gov/result/application/US/17349097/1","US20210308629")</f>
        <v>0.0</v>
      </c>
      <c r="M1860" t="s">
        <v>12864</v>
      </c>
      <c r="N1860" t="s">
        <v>12865</v>
      </c>
      <c r="O1860" t="s">
        <v>12866</v>
      </c>
      <c r="P1860" t="s">
        <v>12867</v>
      </c>
      <c r="Q1860" s="3" t="n">
        <v>44363.0</v>
      </c>
      <c r="R1860" s="3" t="n">
        <v>44476.0</v>
      </c>
      <c r="S1860" s="3" t="n">
        <v>44477.24169534722</v>
      </c>
      <c r="T1860" s="3" t="n">
        <v>44480.40351458333</v>
      </c>
      <c r="U1860" t="s">
        <v>12868</v>
      </c>
      <c r="V1860" t="s">
        <v>12869</v>
      </c>
    </row>
    <row r="1861">
      <c r="A1861" t="s">
        <v>22</v>
      </c>
      <c r="B1861" t="s">
        <v>12870</v>
      </c>
      <c r="C1861" t="s">
        <v>24</v>
      </c>
      <c r="D1861" t="s">
        <v>69</v>
      </c>
      <c r="E1861" t="s">
        <v>12871</v>
      </c>
      <c r="F1861" s="2" t="n">
        <f>HYPERLINK("https://patents.google.com/patent/US20210308495","Google")</f>
        <v>0.0</v>
      </c>
      <c r="G1861" s="2" t="n">
        <f>HYPERLINK("https://patentcenter.uspto.gov/applications/17221083","Patent Center")</f>
        <v>0.0</v>
      </c>
      <c r="H1861" s="2" t="n">
        <f>HYPERLINK("https://worldwide.espacenet.com/patent/search?q=US20210308495","Espacenet")</f>
        <v>0.0</v>
      </c>
      <c r="I1861" s="2" t="n">
        <f>HYPERLINK("https://ppubs.uspto.gov/pubwebapp/external.html?q=20210308495.pn.","USPTO")</f>
        <v>0.0</v>
      </c>
      <c r="J1861" s="2" t="n">
        <f>HYPERLINK("https://image-ppubs.uspto.gov/dirsearch-public/print/downloadPdf/20210308495","USPTO PDF")</f>
        <v>0.0</v>
      </c>
      <c r="K1861" s="2" t="n">
        <f>HYPERLINK("https://sectors.patentforecast.com/pmd/US20210308495","PMD")</f>
        <v>0.0</v>
      </c>
      <c r="L1861" s="2" t="n">
        <f>HYPERLINK("https://globaldossier.uspto.gov/result/application/US/17221083/1","US20210308495")</f>
        <v>0.0</v>
      </c>
      <c r="M1861" t="s">
        <v>12872</v>
      </c>
      <c r="N1861" t="s">
        <v>12873</v>
      </c>
      <c r="O1861" t="s">
        <v>12874</v>
      </c>
      <c r="P1861" t="s">
        <v>12875</v>
      </c>
      <c r="Q1861" s="3" t="n">
        <v>44288.0</v>
      </c>
      <c r="R1861" s="3" t="n">
        <v>44476.0</v>
      </c>
      <c r="S1861" s="3" t="n">
        <v>44477.24169534722</v>
      </c>
      <c r="T1861" s="3" t="n">
        <v>44480.4001978125</v>
      </c>
      <c r="U1861" t="s">
        <v>12876</v>
      </c>
      <c r="V1861" t="s">
        <v>12877</v>
      </c>
    </row>
    <row r="1862">
      <c r="A1862" t="s">
        <v>22</v>
      </c>
      <c r="B1862" t="s">
        <v>12878</v>
      </c>
      <c r="C1862" t="s">
        <v>60</v>
      </c>
      <c r="D1862" t="s">
        <v>715</v>
      </c>
      <c r="E1862" t="s">
        <v>12879</v>
      </c>
      <c r="F1862" s="2" t="n">
        <f>HYPERLINK("https://patents.google.com/patent/US20210308410","Google")</f>
        <v>0.0</v>
      </c>
      <c r="G1862" s="2" t="n">
        <f>HYPERLINK("https://patentcenter.uspto.gov/applications/17191066","Patent Center")</f>
        <v>0.0</v>
      </c>
      <c r="H1862" s="2" t="n">
        <f>HYPERLINK("https://worldwide.espacenet.com/patent/search?q=US20210308410","Espacenet")</f>
        <v>0.0</v>
      </c>
      <c r="I1862" s="2" t="n">
        <f>HYPERLINK("https://ppubs.uspto.gov/pubwebapp/external.html?q=20210308410.pn.","USPTO")</f>
        <v>0.0</v>
      </c>
      <c r="J1862" s="2" t="n">
        <f>HYPERLINK("https://image-ppubs.uspto.gov/dirsearch-public/print/downloadPdf/20210308410","USPTO PDF")</f>
        <v>0.0</v>
      </c>
      <c r="K1862" s="2" t="n">
        <f>HYPERLINK("https://sectors.patentforecast.com/pmd/US20210308410","PMD")</f>
        <v>0.0</v>
      </c>
      <c r="L1862" s="2" t="n">
        <f>HYPERLINK("https://globaldossier.uspto.gov/result/application/US/17191066/1","US20210308410")</f>
        <v>0.0</v>
      </c>
      <c r="M1862" t="s">
        <v>12880</v>
      </c>
      <c r="N1862" t="s">
        <v>9610</v>
      </c>
      <c r="O1862" t="s">
        <v>9611</v>
      </c>
      <c r="P1862" t="s">
        <v>12881</v>
      </c>
      <c r="Q1862" s="3" t="n">
        <v>44258.0</v>
      </c>
      <c r="R1862" s="3" t="n">
        <v>44476.0</v>
      </c>
      <c r="S1862" s="3" t="n">
        <v>44477.24169534722</v>
      </c>
      <c r="T1862" s="3" t="n">
        <v>44480.39825967592</v>
      </c>
      <c r="U1862" t="s">
        <v>12882</v>
      </c>
      <c r="V1862" t="s">
        <v>12883</v>
      </c>
    </row>
    <row r="1863">
      <c r="A1863" t="s">
        <v>22</v>
      </c>
      <c r="B1863" t="s">
        <v>12884</v>
      </c>
      <c r="C1863" t="s">
        <v>24</v>
      </c>
      <c r="D1863" t="s">
        <v>69</v>
      </c>
      <c r="E1863" t="s">
        <v>12885</v>
      </c>
      <c r="F1863" s="2" t="n">
        <f>HYPERLINK("https://patents.google.com/patent/US20210308408","Google")</f>
        <v>0.0</v>
      </c>
      <c r="G1863" s="2" t="n">
        <f>HYPERLINK("https://patentcenter.uspto.gov/applications/17222339","Patent Center")</f>
        <v>0.0</v>
      </c>
      <c r="H1863" s="2" t="n">
        <f>HYPERLINK("https://worldwide.espacenet.com/patent/search?q=US20210308408","Espacenet")</f>
        <v>0.0</v>
      </c>
      <c r="I1863" s="2" t="n">
        <f>HYPERLINK("https://ppubs.uspto.gov/pubwebapp/external.html?q=20210308408.pn.","USPTO")</f>
        <v>0.0</v>
      </c>
      <c r="J1863" s="2" t="n">
        <f>HYPERLINK("https://image-ppubs.uspto.gov/dirsearch-public/print/downloadPdf/20210308408","USPTO PDF")</f>
        <v>0.0</v>
      </c>
      <c r="K1863" s="2" t="n">
        <f>HYPERLINK("https://sectors.patentforecast.com/pmd/US20210308408","PMD")</f>
        <v>0.0</v>
      </c>
      <c r="L1863" s="2" t="n">
        <f>HYPERLINK("https://globaldossier.uspto.gov/result/application/US/17222339/1","US20210308408")</f>
        <v>0.0</v>
      </c>
      <c r="M1863" t="s">
        <v>12886</v>
      </c>
      <c r="N1863" t="s">
        <v>12887</v>
      </c>
      <c r="O1863" t="s">
        <v>12888</v>
      </c>
      <c r="P1863" t="s">
        <v>12889</v>
      </c>
      <c r="Q1863" s="3" t="n">
        <v>44291.0</v>
      </c>
      <c r="R1863" s="3" t="n">
        <v>44476.0</v>
      </c>
      <c r="S1863" s="3" t="n">
        <v>44477.24169534722</v>
      </c>
      <c r="T1863" s="3" t="n">
        <v>44480.36915319444</v>
      </c>
      <c r="U1863" t="s">
        <v>12890</v>
      </c>
      <c r="V1863" t="s">
        <v>12891</v>
      </c>
    </row>
    <row r="1864">
      <c r="A1864" t="s">
        <v>22</v>
      </c>
      <c r="B1864" t="s">
        <v>12892</v>
      </c>
      <c r="C1864" t="s">
        <v>24</v>
      </c>
      <c r="D1864" t="s">
        <v>69</v>
      </c>
      <c r="E1864" t="s">
        <v>12893</v>
      </c>
      <c r="F1864" s="2" t="n">
        <f>HYPERLINK("https://patents.google.com/patent/US20210308407","Google")</f>
        <v>0.0</v>
      </c>
      <c r="G1864" s="2" t="n">
        <f>HYPERLINK("https://patentcenter.uspto.gov/applications/16839187","Patent Center")</f>
        <v>0.0</v>
      </c>
      <c r="H1864" s="2" t="n">
        <f>HYPERLINK("https://worldwide.espacenet.com/patent/search?q=US20210308407","Espacenet")</f>
        <v>0.0</v>
      </c>
      <c r="I1864" s="2" t="n">
        <f>HYPERLINK("https://ppubs.uspto.gov/pubwebapp/external.html?q=20210308407.pn.","USPTO")</f>
        <v>0.0</v>
      </c>
      <c r="J1864" s="2" t="n">
        <f>HYPERLINK("https://image-ppubs.uspto.gov/dirsearch-public/print/downloadPdf/20210308407","USPTO PDF")</f>
        <v>0.0</v>
      </c>
      <c r="K1864" s="2" t="n">
        <f>HYPERLINK("https://sectors.patentforecast.com/pmd/US20210308407","PMD")</f>
        <v>0.0</v>
      </c>
      <c r="L1864" s="2" t="n">
        <f>HYPERLINK("https://globaldossier.uspto.gov/result/application/US/16839187/1","US20210308407")</f>
        <v>0.0</v>
      </c>
      <c r="M1864" t="s">
        <v>12894</v>
      </c>
      <c r="N1864" t="s">
        <v>12895</v>
      </c>
      <c r="O1864" t="s">
        <v>12896</v>
      </c>
      <c r="P1864" t="s">
        <v>12897</v>
      </c>
      <c r="Q1864" s="3" t="n">
        <v>43924.0</v>
      </c>
      <c r="R1864" s="3" t="n">
        <v>44476.0</v>
      </c>
      <c r="S1864" s="3" t="n">
        <v>44477.24169534722</v>
      </c>
      <c r="T1864" s="3" t="n">
        <v>44480.372076342595</v>
      </c>
      <c r="U1864" t="s">
        <v>12898</v>
      </c>
      <c r="V1864" t="s">
        <v>12899</v>
      </c>
    </row>
    <row r="1865">
      <c r="A1865" t="s">
        <v>22</v>
      </c>
      <c r="B1865" t="s">
        <v>12900</v>
      </c>
      <c r="C1865" t="s">
        <v>60</v>
      </c>
      <c r="D1865" t="s">
        <v>715</v>
      </c>
      <c r="E1865" t="s">
        <v>12901</v>
      </c>
      <c r="F1865" s="2" t="n">
        <f>HYPERLINK("https://patents.google.com/patent/US20210308404","Google")</f>
        <v>0.0</v>
      </c>
      <c r="G1865" s="2" t="n">
        <f>HYPERLINK("https://patentcenter.uspto.gov/applications/16839014","Patent Center")</f>
        <v>0.0</v>
      </c>
      <c r="H1865" s="2" t="n">
        <f>HYPERLINK("https://worldwide.espacenet.com/patent/search?q=US20210308404","Espacenet")</f>
        <v>0.0</v>
      </c>
      <c r="I1865" s="2" t="n">
        <f>HYPERLINK("https://ppubs.uspto.gov/pubwebapp/external.html?q=20210308404.pn.","USPTO")</f>
        <v>0.0</v>
      </c>
      <c r="J1865" s="2" t="n">
        <f>HYPERLINK("https://image-ppubs.uspto.gov/dirsearch-public/print/downloadPdf/20210308404","USPTO PDF")</f>
        <v>0.0</v>
      </c>
      <c r="K1865" s="2" t="n">
        <f>HYPERLINK("https://sectors.patentforecast.com/pmd/US20210308404","PMD")</f>
        <v>0.0</v>
      </c>
      <c r="L1865" s="2" t="n">
        <f>HYPERLINK("https://globaldossier.uspto.gov/result/application/US/16839014/1","US20210308404")</f>
        <v>0.0</v>
      </c>
      <c r="M1865" t="s">
        <v>12902</v>
      </c>
      <c r="N1865" t="s">
        <v>12903</v>
      </c>
      <c r="O1865" t="s">
        <v>12903</v>
      </c>
      <c r="P1865" t="s">
        <v>12904</v>
      </c>
      <c r="Q1865" s="3" t="n">
        <v>43923.0</v>
      </c>
      <c r="R1865" s="3" t="n">
        <v>44476.0</v>
      </c>
      <c r="S1865" s="3" t="n">
        <v>44477.24169534722</v>
      </c>
      <c r="T1865" s="3" t="n">
        <v>44477.71489033565</v>
      </c>
      <c r="U1865" t="s">
        <v>12905</v>
      </c>
      <c r="V1865" t="s">
        <v>12906</v>
      </c>
    </row>
    <row r="1866">
      <c r="A1866" t="s">
        <v>22</v>
      </c>
      <c r="B1866" t="s">
        <v>12907</v>
      </c>
      <c r="C1866" t="s">
        <v>24</v>
      </c>
      <c r="D1866" t="s">
        <v>100</v>
      </c>
      <c r="E1866" t="s">
        <v>12908</v>
      </c>
      <c r="F1866" s="2" t="n">
        <f>HYPERLINK("https://patents.google.com/patent/US20210308310","Google")</f>
        <v>0.0</v>
      </c>
      <c r="G1866" s="2" t="n">
        <f>HYPERLINK("https://patentcenter.uspto.gov/applications/17081400","Patent Center")</f>
        <v>0.0</v>
      </c>
      <c r="H1866" s="2" t="n">
        <f>HYPERLINK("https://worldwide.espacenet.com/patent/search?q=US20210308310","Espacenet")</f>
        <v>0.0</v>
      </c>
      <c r="I1866" s="2" t="n">
        <f>HYPERLINK("https://ppubs.uspto.gov/pubwebapp/external.html?q=20210308310.pn.","USPTO")</f>
        <v>0.0</v>
      </c>
      <c r="J1866" s="2" t="n">
        <f>HYPERLINK("https://image-ppubs.uspto.gov/dirsearch-public/print/downloadPdf/20210308310","USPTO PDF")</f>
        <v>0.0</v>
      </c>
      <c r="K1866" s="2" t="n">
        <f>HYPERLINK("https://sectors.patentforecast.com/pmd/US20210308310","PMD")</f>
        <v>0.0</v>
      </c>
      <c r="L1866" s="2" t="n">
        <f>HYPERLINK("https://globaldossier.uspto.gov/result/application/US/17081400/1","US20210308310")</f>
        <v>0.0</v>
      </c>
      <c r="M1866" t="s">
        <v>12909</v>
      </c>
      <c r="N1866" t="s">
        <v>12910</v>
      </c>
      <c r="O1866" t="s">
        <v>12911</v>
      </c>
      <c r="P1866" t="s">
        <v>12912</v>
      </c>
      <c r="Q1866" s="3" t="n">
        <v>44131.0</v>
      </c>
      <c r="R1866" s="3" t="n">
        <v>44476.0</v>
      </c>
      <c r="S1866" s="3" t="n">
        <v>44477.24169534722</v>
      </c>
      <c r="T1866" s="3" t="n">
        <v>44477.71463033565</v>
      </c>
      <c r="U1866" t="s">
        <v>12913</v>
      </c>
      <c r="V1866" t="s">
        <v>12914</v>
      </c>
    </row>
    <row r="1867">
      <c r="A1867" t="s">
        <v>22</v>
      </c>
      <c r="B1867" t="s">
        <v>12915</v>
      </c>
      <c r="C1867" t="s">
        <v>24</v>
      </c>
      <c r="D1867" t="s">
        <v>100</v>
      </c>
      <c r="E1867" t="s">
        <v>12916</v>
      </c>
      <c r="F1867" s="2" t="n">
        <f>HYPERLINK("https://patents.google.com/patent/US20210308309","Google")</f>
        <v>0.0</v>
      </c>
      <c r="G1867" s="2" t="n">
        <f>HYPERLINK("https://patentcenter.uspto.gov/applications/17017517","Patent Center")</f>
        <v>0.0</v>
      </c>
      <c r="H1867" s="2" t="n">
        <f>HYPERLINK("https://worldwide.espacenet.com/patent/search?q=US20210308309","Espacenet")</f>
        <v>0.0</v>
      </c>
      <c r="I1867" s="2" t="n">
        <f>HYPERLINK("https://ppubs.uspto.gov/pubwebapp/external.html?q=20210308309.pn.","USPTO")</f>
        <v>0.0</v>
      </c>
      <c r="J1867" s="2" t="n">
        <f>HYPERLINK("https://image-ppubs.uspto.gov/dirsearch-public/print/downloadPdf/20210308309","USPTO PDF")</f>
        <v>0.0</v>
      </c>
      <c r="K1867" s="2" t="n">
        <f>HYPERLINK("https://sectors.patentforecast.com/pmd/US20210308309","PMD")</f>
        <v>0.0</v>
      </c>
      <c r="L1867" s="2" t="n">
        <f>HYPERLINK("https://globaldossier.uspto.gov/result/application/US/17017517/1","US20210308309")</f>
        <v>0.0</v>
      </c>
      <c r="M1867" t="s">
        <v>12917</v>
      </c>
      <c r="N1867" t="s">
        <v>12918</v>
      </c>
      <c r="O1867" t="s">
        <v>12919</v>
      </c>
      <c r="P1867" t="s">
        <v>12920</v>
      </c>
      <c r="Q1867" s="3" t="n">
        <v>44084.0</v>
      </c>
      <c r="R1867" s="3" t="n">
        <v>44476.0</v>
      </c>
      <c r="S1867" s="3" t="n">
        <v>44477.24169534722</v>
      </c>
      <c r="T1867" s="3" t="n">
        <v>44480.39335908565</v>
      </c>
      <c r="U1867" t="s">
        <v>12921</v>
      </c>
      <c r="V1867" t="s">
        <v>12922</v>
      </c>
    </row>
    <row r="1868">
      <c r="A1868" t="s">
        <v>22</v>
      </c>
      <c r="B1868" t="s">
        <v>12923</v>
      </c>
      <c r="C1868" t="s">
        <v>24</v>
      </c>
      <c r="D1868" t="s">
        <v>100</v>
      </c>
      <c r="E1868" t="s">
        <v>12924</v>
      </c>
      <c r="F1868" s="2" t="n">
        <f>HYPERLINK("https://patents.google.com/patent/US20210308288","Google")</f>
        <v>0.0</v>
      </c>
      <c r="G1868" s="2" t="n">
        <f>HYPERLINK("https://patentcenter.uspto.gov/applications/17220143","Patent Center")</f>
        <v>0.0</v>
      </c>
      <c r="H1868" s="2" t="n">
        <f>HYPERLINK("https://worldwide.espacenet.com/patent/search?q=US20210308288","Espacenet")</f>
        <v>0.0</v>
      </c>
      <c r="I1868" s="2" t="n">
        <f>HYPERLINK("https://ppubs.uspto.gov/pubwebapp/external.html?q=20210308288.pn.","USPTO")</f>
        <v>0.0</v>
      </c>
      <c r="J1868" s="2" t="n">
        <f>HYPERLINK("https://image-ppubs.uspto.gov/dirsearch-public/print/downloadPdf/20210308288","USPTO PDF")</f>
        <v>0.0</v>
      </c>
      <c r="K1868" s="2" t="n">
        <f>HYPERLINK("https://sectors.patentforecast.com/pmd/US20210308288","PMD")</f>
        <v>0.0</v>
      </c>
      <c r="L1868" s="2" t="n">
        <f>HYPERLINK("https://globaldossier.uspto.gov/result/application/US/17220143/1","US20210308288")</f>
        <v>0.0</v>
      </c>
      <c r="M1868" t="s">
        <v>12925</v>
      </c>
      <c r="N1868" t="s">
        <v>12926</v>
      </c>
      <c r="O1868" t="s">
        <v>12927</v>
      </c>
      <c r="P1868" t="s">
        <v>12928</v>
      </c>
      <c r="Q1868" s="3" t="n">
        <v>44287.0</v>
      </c>
      <c r="R1868" s="3" t="n">
        <v>44476.0</v>
      </c>
      <c r="S1868" s="3" t="n">
        <v>44477.24169534722</v>
      </c>
      <c r="T1868" s="3" t="n">
        <v>44480.35748116898</v>
      </c>
      <c r="U1868" t="s">
        <v>12929</v>
      </c>
      <c r="V1868" t="s">
        <v>12930</v>
      </c>
    </row>
    <row r="1869">
      <c r="A1869" t="s">
        <v>22</v>
      </c>
      <c r="B1869" t="s">
        <v>12931</v>
      </c>
      <c r="C1869" t="s">
        <v>132</v>
      </c>
      <c r="D1869" t="s">
        <v>133</v>
      </c>
      <c r="E1869" t="s">
        <v>12932</v>
      </c>
      <c r="F1869" s="2" t="n">
        <f>HYPERLINK("https://patents.google.com/patent/US20210308257","Google")</f>
        <v>0.0</v>
      </c>
      <c r="G1869" s="2" t="n">
        <f>HYPERLINK("https://patentcenter.uspto.gov/applications/17351363","Patent Center")</f>
        <v>0.0</v>
      </c>
      <c r="H1869" s="2" t="n">
        <f>HYPERLINK("https://worldwide.espacenet.com/patent/search?q=US20210308257","Espacenet")</f>
        <v>0.0</v>
      </c>
      <c r="I1869" s="2" t="n">
        <f>HYPERLINK("https://ppubs.uspto.gov/pubwebapp/external.html?q=20210308257.pn.","USPTO")</f>
        <v>0.0</v>
      </c>
      <c r="J1869" s="2" t="n">
        <f>HYPERLINK("https://image-ppubs.uspto.gov/dirsearch-public/print/downloadPdf/20210308257","USPTO PDF")</f>
        <v>0.0</v>
      </c>
      <c r="K1869" s="2" t="n">
        <f>HYPERLINK("https://sectors.patentforecast.com/pmd/US20210308257","PMD")</f>
        <v>0.0</v>
      </c>
      <c r="L1869" s="2" t="n">
        <f>HYPERLINK("https://globaldossier.uspto.gov/result/application/US/17351363/1","US20210308257")</f>
        <v>0.0</v>
      </c>
      <c r="M1869" t="s">
        <v>12933</v>
      </c>
      <c r="N1869" t="s">
        <v>7210</v>
      </c>
      <c r="O1869" t="s">
        <v>7211</v>
      </c>
      <c r="P1869" t="s">
        <v>12934</v>
      </c>
      <c r="Q1869" s="3" t="n">
        <v>44365.0</v>
      </c>
      <c r="R1869" s="3" t="n">
        <v>44476.0</v>
      </c>
      <c r="S1869" s="3" t="n">
        <v>44477.24169534722</v>
      </c>
      <c r="T1869" s="3" t="n">
        <v>44480.39115146991</v>
      </c>
      <c r="U1869" t="s">
        <v>12935</v>
      </c>
      <c r="V1869" t="s">
        <v>12936</v>
      </c>
    </row>
    <row r="1870">
      <c r="A1870" t="s">
        <v>22</v>
      </c>
      <c r="B1870" t="s">
        <v>12937</v>
      </c>
      <c r="C1870" t="s">
        <v>132</v>
      </c>
      <c r="D1870" t="s">
        <v>12938</v>
      </c>
      <c r="E1870" t="s">
        <v>12939</v>
      </c>
      <c r="F1870" s="2" t="n">
        <f>HYPERLINK("https://patents.google.com/patent/US20210308250","Google")</f>
        <v>0.0</v>
      </c>
      <c r="G1870" s="2" t="n">
        <f>HYPERLINK("https://patentcenter.uspto.gov/applications/17287938","Patent Center")</f>
        <v>0.0</v>
      </c>
      <c r="H1870" s="2" t="n">
        <f>HYPERLINK("https://worldwide.espacenet.com/patent/search?q=US20210308250","Espacenet")</f>
        <v>0.0</v>
      </c>
      <c r="I1870" s="2" t="n">
        <f>HYPERLINK("https://ppubs.uspto.gov/pubwebapp/external.html?q=20210308250.pn.","USPTO")</f>
        <v>0.0</v>
      </c>
      <c r="J1870" s="2" t="n">
        <f>HYPERLINK("https://image-ppubs.uspto.gov/dirsearch-public/print/downloadPdf/20210308250","USPTO PDF")</f>
        <v>0.0</v>
      </c>
      <c r="K1870" s="2" t="n">
        <f>HYPERLINK("https://sectors.patentforecast.com/pmd/US20210308250","PMD")</f>
        <v>0.0</v>
      </c>
      <c r="L1870" s="2" t="n">
        <f>HYPERLINK("https://globaldossier.uspto.gov/result/application/US/17287938/1","US20210308250")</f>
        <v>0.0</v>
      </c>
      <c r="M1870" t="s">
        <v>12940</v>
      </c>
      <c r="N1870" t="s">
        <v>10979</v>
      </c>
      <c r="O1870" t="s">
        <v>10980</v>
      </c>
      <c r="P1870" t="s">
        <v>12941</v>
      </c>
      <c r="Q1870" s="3" t="n">
        <v>43763.0</v>
      </c>
      <c r="R1870" s="3" t="n">
        <v>44476.0</v>
      </c>
      <c r="S1870" s="3" t="n">
        <v>44477.25315142361</v>
      </c>
      <c r="T1870" s="3" t="n">
        <v>44480.39392888889</v>
      </c>
      <c r="U1870" t="s">
        <v>12942</v>
      </c>
      <c r="V1870" t="s">
        <v>12943</v>
      </c>
    </row>
    <row r="1871">
      <c r="A1871" t="s">
        <v>22</v>
      </c>
      <c r="B1871" t="s">
        <v>12944</v>
      </c>
      <c r="C1871" t="s">
        <v>60</v>
      </c>
      <c r="D1871" t="s">
        <v>4942</v>
      </c>
      <c r="E1871" t="s">
        <v>12945</v>
      </c>
      <c r="F1871" s="2" t="n">
        <f>HYPERLINK("https://patents.google.com/patent/US20210308232","Google")</f>
        <v>0.0</v>
      </c>
      <c r="G1871" s="2" t="n">
        <f>HYPERLINK("https://patentcenter.uspto.gov/applications/17184177","Patent Center")</f>
        <v>0.0</v>
      </c>
      <c r="H1871" s="2" t="n">
        <f>HYPERLINK("https://worldwide.espacenet.com/patent/search?q=US20210308232","Espacenet")</f>
        <v>0.0</v>
      </c>
      <c r="I1871" s="2" t="n">
        <f>HYPERLINK("https://ppubs.uspto.gov/pubwebapp/external.html?q=20210308232.pn.","USPTO")</f>
        <v>0.0</v>
      </c>
      <c r="J1871" s="2" t="n">
        <f>HYPERLINK("https://image-ppubs.uspto.gov/dirsearch-public/print/downloadPdf/20210308232","USPTO PDF")</f>
        <v>0.0</v>
      </c>
      <c r="K1871" s="2" t="n">
        <f>HYPERLINK("https://sectors.patentforecast.com/pmd/US20210308232","PMD")</f>
        <v>0.0</v>
      </c>
      <c r="L1871" s="2" t="n">
        <f>HYPERLINK("https://globaldossier.uspto.gov/result/application/US/17184177/1","US20210308232")</f>
        <v>0.0</v>
      </c>
      <c r="M1871" t="s">
        <v>12946</v>
      </c>
      <c r="N1871" t="s">
        <v>12947</v>
      </c>
      <c r="O1871" t="s">
        <v>12947</v>
      </c>
      <c r="P1871" t="s">
        <v>12948</v>
      </c>
      <c r="Q1871" s="3" t="n">
        <v>44251.0</v>
      </c>
      <c r="R1871" s="3" t="n">
        <v>44476.0</v>
      </c>
      <c r="S1871" s="3" t="n">
        <v>44477.24227422454</v>
      </c>
      <c r="T1871" s="3" t="n">
        <v>44480.35931334491</v>
      </c>
      <c r="U1871" t="s">
        <v>12949</v>
      </c>
      <c r="V1871" t="s">
        <v>12950</v>
      </c>
    </row>
    <row r="1872">
      <c r="A1872" t="s">
        <v>22</v>
      </c>
      <c r="B1872" t="s">
        <v>12951</v>
      </c>
      <c r="C1872" t="s">
        <v>60</v>
      </c>
      <c r="D1872" t="s">
        <v>61</v>
      </c>
      <c r="E1872" t="s">
        <v>7970</v>
      </c>
      <c r="F1872" s="2" t="n">
        <f>HYPERLINK("https://patents.google.com/patent/US20210308230","Google")</f>
        <v>0.0</v>
      </c>
      <c r="G1872" s="2" t="n">
        <f>HYPERLINK("https://patentcenter.uspto.gov/applications/17211553","Patent Center")</f>
        <v>0.0</v>
      </c>
      <c r="H1872" s="2" t="n">
        <f>HYPERLINK("https://worldwide.espacenet.com/patent/search?q=US20210308230","Espacenet")</f>
        <v>0.0</v>
      </c>
      <c r="I1872" s="2" t="n">
        <f>HYPERLINK("https://ppubs.uspto.gov/pubwebapp/external.html?q=20210308230.pn.","USPTO")</f>
        <v>0.0</v>
      </c>
      <c r="J1872" s="2" t="n">
        <f>HYPERLINK("https://image-ppubs.uspto.gov/dirsearch-public/print/downloadPdf/20210308230","USPTO PDF")</f>
        <v>0.0</v>
      </c>
      <c r="K1872" s="2" t="n">
        <f>HYPERLINK("https://sectors.patentforecast.com/pmd/US20210308230","PMD")</f>
        <v>0.0</v>
      </c>
      <c r="L1872" s="2" t="n">
        <f>HYPERLINK("https://globaldossier.uspto.gov/result/application/US/17211553/1","US20210308230")</f>
        <v>0.0</v>
      </c>
      <c r="M1872" t="s">
        <v>12952</v>
      </c>
      <c r="N1872" t="s">
        <v>7972</v>
      </c>
      <c r="O1872" t="s">
        <v>7973</v>
      </c>
      <c r="P1872" t="s">
        <v>7974</v>
      </c>
      <c r="Q1872" s="3" t="n">
        <v>44279.0</v>
      </c>
      <c r="R1872" s="3" t="n">
        <v>44476.0</v>
      </c>
      <c r="S1872" s="3" t="n">
        <v>44477.24227422454</v>
      </c>
      <c r="T1872" s="3" t="n">
        <v>44480.373113877315</v>
      </c>
      <c r="U1872" t="s">
        <v>12953</v>
      </c>
      <c r="V1872" t="s">
        <v>7976</v>
      </c>
    </row>
    <row r="1873">
      <c r="A1873" t="s">
        <v>22</v>
      </c>
      <c r="B1873" t="s">
        <v>12954</v>
      </c>
      <c r="C1873" t="s">
        <v>60</v>
      </c>
      <c r="D1873" t="s">
        <v>61</v>
      </c>
      <c r="E1873" t="s">
        <v>12955</v>
      </c>
      <c r="F1873" s="2" t="n">
        <f>HYPERLINK("https://patents.google.com/patent/US20210308224","Google")</f>
        <v>0.0</v>
      </c>
      <c r="G1873" s="2" t="n">
        <f>HYPERLINK("https://patentcenter.uspto.gov/applications/17221009","Patent Center")</f>
        <v>0.0</v>
      </c>
      <c r="H1873" s="2" t="n">
        <f>HYPERLINK("https://worldwide.espacenet.com/patent/search?q=US20210308224","Espacenet")</f>
        <v>0.0</v>
      </c>
      <c r="I1873" s="2" t="n">
        <f>HYPERLINK("https://ppubs.uspto.gov/pubwebapp/external.html?q=20210308224.pn.","USPTO")</f>
        <v>0.0</v>
      </c>
      <c r="J1873" s="2" t="n">
        <f>HYPERLINK("https://image-ppubs.uspto.gov/dirsearch-public/print/downloadPdf/20210308224","USPTO PDF")</f>
        <v>0.0</v>
      </c>
      <c r="K1873" s="2" t="n">
        <f>HYPERLINK("https://sectors.patentforecast.com/pmd/US20210308224","PMD")</f>
        <v>0.0</v>
      </c>
      <c r="L1873" s="2" t="n">
        <f>HYPERLINK("https://globaldossier.uspto.gov/result/application/US/17221009/1","US20210308224")</f>
        <v>0.0</v>
      </c>
      <c r="M1873" t="s">
        <v>12956</v>
      </c>
      <c r="N1873" t="s">
        <v>12957</v>
      </c>
      <c r="O1873" t="s">
        <v>12957</v>
      </c>
      <c r="P1873" t="s">
        <v>12958</v>
      </c>
      <c r="Q1873" s="3" t="n">
        <v>44288.0</v>
      </c>
      <c r="R1873" s="3" t="n">
        <v>44476.0</v>
      </c>
      <c r="S1873" s="3" t="n">
        <v>44477.24227422454</v>
      </c>
      <c r="T1873" s="3" t="n">
        <v>44477.71571805556</v>
      </c>
      <c r="U1873" t="s">
        <v>12959</v>
      </c>
      <c r="V1873" t="s">
        <v>12960</v>
      </c>
    </row>
    <row r="1874">
      <c r="A1874" t="s">
        <v>22</v>
      </c>
      <c r="B1874" t="s">
        <v>12961</v>
      </c>
      <c r="C1874" t="s">
        <v>60</v>
      </c>
      <c r="D1874" t="s">
        <v>61</v>
      </c>
      <c r="E1874" t="s">
        <v>12962</v>
      </c>
      <c r="F1874" s="2" t="n">
        <f>HYPERLINK("https://patents.google.com/patent/US20210308211","Google")</f>
        <v>0.0</v>
      </c>
      <c r="G1874" s="2" t="n">
        <f>HYPERLINK("https://patentcenter.uspto.gov/applications/17215089","Patent Center")</f>
        <v>0.0</v>
      </c>
      <c r="H1874" s="2" t="n">
        <f>HYPERLINK("https://worldwide.espacenet.com/patent/search?q=US20210308211","Espacenet")</f>
        <v>0.0</v>
      </c>
      <c r="I1874" s="2" t="n">
        <f>HYPERLINK("https://ppubs.uspto.gov/pubwebapp/external.html?q=20210308211.pn.","USPTO")</f>
        <v>0.0</v>
      </c>
      <c r="J1874" s="2" t="n">
        <f>HYPERLINK("https://image-ppubs.uspto.gov/dirsearch-public/print/downloadPdf/20210308211","USPTO PDF")</f>
        <v>0.0</v>
      </c>
      <c r="K1874" s="2" t="n">
        <f>HYPERLINK("https://sectors.patentforecast.com/pmd/US20210308211","PMD")</f>
        <v>0.0</v>
      </c>
      <c r="L1874" s="2" t="n">
        <f>HYPERLINK("https://globaldossier.uspto.gov/result/application/US/17215089/1","US20210308211")</f>
        <v>0.0</v>
      </c>
      <c r="M1874" t="s">
        <v>12963</v>
      </c>
      <c r="N1874" t="s">
        <v>12964</v>
      </c>
      <c r="O1874" t="s">
        <v>12965</v>
      </c>
      <c r="P1874" t="s">
        <v>12966</v>
      </c>
      <c r="Q1874" s="3" t="n">
        <v>44284.0</v>
      </c>
      <c r="R1874" s="3" t="n">
        <v>44476.0</v>
      </c>
      <c r="S1874" s="3" t="n">
        <v>44477.24227422454</v>
      </c>
      <c r="T1874" s="3" t="n">
        <v>44480.386905671294</v>
      </c>
      <c r="U1874" t="s">
        <v>12967</v>
      </c>
      <c r="V1874" t="s">
        <v>12968</v>
      </c>
    </row>
    <row r="1875">
      <c r="A1875" t="s">
        <v>22</v>
      </c>
      <c r="B1875" t="s">
        <v>12969</v>
      </c>
      <c r="C1875" t="s">
        <v>60</v>
      </c>
      <c r="D1875" t="s">
        <v>2262</v>
      </c>
      <c r="E1875" t="s">
        <v>12970</v>
      </c>
      <c r="F1875" s="2" t="n">
        <f>HYPERLINK("https://patents.google.com/patent/US20210308201","Google")</f>
        <v>0.0</v>
      </c>
      <c r="G1875" s="2" t="n">
        <f>HYPERLINK("https://patentcenter.uspto.gov/applications/17221411","Patent Center")</f>
        <v>0.0</v>
      </c>
      <c r="H1875" s="2" t="n">
        <f>HYPERLINK("https://worldwide.espacenet.com/patent/search?q=US20210308201","Espacenet")</f>
        <v>0.0</v>
      </c>
      <c r="I1875" s="2" t="n">
        <f>HYPERLINK("https://ppubs.uspto.gov/pubwebapp/external.html?q=20210308201.pn.","USPTO")</f>
        <v>0.0</v>
      </c>
      <c r="J1875" s="2" t="n">
        <f>HYPERLINK("https://image-ppubs.uspto.gov/dirsearch-public/print/downloadPdf/20210308201","USPTO PDF")</f>
        <v>0.0</v>
      </c>
      <c r="K1875" s="2" t="n">
        <f>HYPERLINK("https://sectors.patentforecast.com/pmd/US20210308201","PMD")</f>
        <v>0.0</v>
      </c>
      <c r="L1875" s="2" t="n">
        <f>HYPERLINK("https://globaldossier.uspto.gov/result/application/US/17221411/1","US20210308201")</f>
        <v>0.0</v>
      </c>
      <c r="M1875" t="s">
        <v>12971</v>
      </c>
      <c r="N1875" t="s">
        <v>12972</v>
      </c>
      <c r="O1875" t="s">
        <v>12973</v>
      </c>
      <c r="P1875" t="s">
        <v>12974</v>
      </c>
      <c r="Q1875" s="3" t="n">
        <v>44288.0</v>
      </c>
      <c r="R1875" s="3" t="n">
        <v>44476.0</v>
      </c>
      <c r="S1875" s="3" t="n">
        <v>44477.24227422454</v>
      </c>
      <c r="T1875" s="3" t="n">
        <v>44480.40396640046</v>
      </c>
      <c r="U1875" t="s">
        <v>12975</v>
      </c>
      <c r="V1875" t="s">
        <v>12976</v>
      </c>
    </row>
    <row r="1876">
      <c r="A1876" t="s">
        <v>22</v>
      </c>
      <c r="B1876" t="s">
        <v>12977</v>
      </c>
      <c r="C1876" t="s">
        <v>60</v>
      </c>
      <c r="D1876" t="s">
        <v>2262</v>
      </c>
      <c r="E1876" t="s">
        <v>12970</v>
      </c>
      <c r="F1876" s="2" t="n">
        <f>HYPERLINK("https://patents.google.com/patent/US20210308200","Google")</f>
        <v>0.0</v>
      </c>
      <c r="G1876" s="2" t="n">
        <f>HYPERLINK("https://patentcenter.uspto.gov/applications/17221437","Patent Center")</f>
        <v>0.0</v>
      </c>
      <c r="H1876" s="2" t="n">
        <f>HYPERLINK("https://worldwide.espacenet.com/patent/search?q=US20210308200","Espacenet")</f>
        <v>0.0</v>
      </c>
      <c r="I1876" s="2" t="n">
        <f>HYPERLINK("https://ppubs.uspto.gov/pubwebapp/external.html?q=20210308200.pn.","USPTO")</f>
        <v>0.0</v>
      </c>
      <c r="J1876" s="2" t="n">
        <f>HYPERLINK("https://image-ppubs.uspto.gov/dirsearch-public/print/downloadPdf/20210308200","USPTO PDF")</f>
        <v>0.0</v>
      </c>
      <c r="K1876" s="2" t="n">
        <f>HYPERLINK("https://sectors.patentforecast.com/pmd/US20210308200","PMD")</f>
        <v>0.0</v>
      </c>
      <c r="L1876" s="2" t="n">
        <f>HYPERLINK("https://globaldossier.uspto.gov/result/application/US/17221437/1","US20210308200")</f>
        <v>0.0</v>
      </c>
      <c r="M1876" t="s">
        <v>12978</v>
      </c>
      <c r="N1876" t="s">
        <v>12972</v>
      </c>
      <c r="O1876" t="s">
        <v>12973</v>
      </c>
      <c r="P1876" t="s">
        <v>12974</v>
      </c>
      <c r="Q1876" s="3" t="n">
        <v>44288.0</v>
      </c>
      <c r="R1876" s="3" t="n">
        <v>44476.0</v>
      </c>
      <c r="S1876" s="3" t="n">
        <v>44477.24227422454</v>
      </c>
      <c r="T1876" s="3" t="n">
        <v>44480.40406175926</v>
      </c>
      <c r="U1876" t="s">
        <v>12979</v>
      </c>
      <c r="V1876" t="s">
        <v>12980</v>
      </c>
    </row>
    <row r="1877">
      <c r="A1877" t="s">
        <v>22</v>
      </c>
      <c r="B1877" t="s">
        <v>12981</v>
      </c>
      <c r="C1877" t="s">
        <v>60</v>
      </c>
      <c r="D1877" t="s">
        <v>61</v>
      </c>
      <c r="E1877" t="s">
        <v>12982</v>
      </c>
      <c r="F1877" s="2" t="n">
        <f>HYPERLINK("https://patents.google.com/patent/US20210308190","Google")</f>
        <v>0.0</v>
      </c>
      <c r="G1877" s="2" t="n">
        <f>HYPERLINK("https://patentcenter.uspto.gov/applications/17217065","Patent Center")</f>
        <v>0.0</v>
      </c>
      <c r="H1877" s="2" t="n">
        <f>HYPERLINK("https://worldwide.espacenet.com/patent/search?q=US20210308190","Espacenet")</f>
        <v>0.0</v>
      </c>
      <c r="I1877" s="2" t="n">
        <f>HYPERLINK("https://ppubs.uspto.gov/pubwebapp/external.html?q=20210308190.pn.","USPTO")</f>
        <v>0.0</v>
      </c>
      <c r="J1877" s="2" t="n">
        <f>HYPERLINK("https://image-ppubs.uspto.gov/dirsearch-public/print/downloadPdf/20210308190","USPTO PDF")</f>
        <v>0.0</v>
      </c>
      <c r="K1877" s="2" t="n">
        <f>HYPERLINK("https://sectors.patentforecast.com/pmd/US20210308190","PMD")</f>
        <v>0.0</v>
      </c>
      <c r="L1877" s="2" t="n">
        <f>HYPERLINK("https://globaldossier.uspto.gov/result/application/US/17217065/1","US20210308190")</f>
        <v>0.0</v>
      </c>
      <c r="M1877" t="s">
        <v>12983</v>
      </c>
      <c r="N1877" t="s">
        <v>12984</v>
      </c>
      <c r="O1877" t="s">
        <v>12985</v>
      </c>
      <c r="P1877" t="s">
        <v>12986</v>
      </c>
      <c r="Q1877" s="3" t="n">
        <v>44285.0</v>
      </c>
      <c r="R1877" s="3" t="n">
        <v>44476.0</v>
      </c>
      <c r="S1877" s="3" t="n">
        <v>44477.24227422454</v>
      </c>
      <c r="T1877" s="3" t="n">
        <v>44480.35709575231</v>
      </c>
      <c r="U1877" t="s">
        <v>12987</v>
      </c>
      <c r="V1877" t="s">
        <v>12988</v>
      </c>
    </row>
    <row r="1878">
      <c r="A1878" t="s">
        <v>22</v>
      </c>
      <c r="B1878" t="s">
        <v>12989</v>
      </c>
      <c r="C1878" t="s">
        <v>60</v>
      </c>
      <c r="D1878" t="s">
        <v>696</v>
      </c>
      <c r="E1878" t="s">
        <v>12990</v>
      </c>
      <c r="F1878" s="2" t="n">
        <f>HYPERLINK("https://patents.google.com/patent/US20210308186","Google")</f>
        <v>0.0</v>
      </c>
      <c r="G1878" s="2" t="n">
        <f>HYPERLINK("https://patentcenter.uspto.gov/applications/17224909","Patent Center")</f>
        <v>0.0</v>
      </c>
      <c r="H1878" s="2" t="n">
        <f>HYPERLINK("https://worldwide.espacenet.com/patent/search?q=US20210308186","Espacenet")</f>
        <v>0.0</v>
      </c>
      <c r="I1878" s="2" t="n">
        <f>HYPERLINK("https://ppubs.uspto.gov/pubwebapp/external.html?q=20210308186.pn.","USPTO")</f>
        <v>0.0</v>
      </c>
      <c r="J1878" s="2" t="n">
        <f>HYPERLINK("https://image-ppubs.uspto.gov/dirsearch-public/print/downloadPdf/20210308186","USPTO PDF")</f>
        <v>0.0</v>
      </c>
      <c r="K1878" s="2" t="n">
        <f>HYPERLINK("https://sectors.patentforecast.com/pmd/US20210308186","PMD")</f>
        <v>0.0</v>
      </c>
      <c r="L1878" s="2" t="n">
        <f>HYPERLINK("https://globaldossier.uspto.gov/result/application/US/17224909/1","US20210308186")</f>
        <v>0.0</v>
      </c>
      <c r="M1878" t="s">
        <v>12991</v>
      </c>
      <c r="N1878" t="s">
        <v>11146</v>
      </c>
      <c r="O1878" t="s">
        <v>11146</v>
      </c>
      <c r="P1878" t="s">
        <v>11147</v>
      </c>
      <c r="Q1878" s="3" t="n">
        <v>44293.0</v>
      </c>
      <c r="R1878" s="3" t="n">
        <v>44476.0</v>
      </c>
      <c r="S1878" s="3" t="n">
        <v>44477.24227422454</v>
      </c>
      <c r="T1878" s="3" t="n">
        <v>44480.37366538194</v>
      </c>
      <c r="U1878" t="s">
        <v>12992</v>
      </c>
      <c r="V1878" t="s">
        <v>12993</v>
      </c>
    </row>
    <row r="1879">
      <c r="A1879" t="s">
        <v>22</v>
      </c>
      <c r="B1879" t="s">
        <v>12994</v>
      </c>
      <c r="C1879" t="s">
        <v>60</v>
      </c>
      <c r="D1879" t="s">
        <v>61</v>
      </c>
      <c r="E1879" t="s">
        <v>12995</v>
      </c>
      <c r="F1879" s="2" t="n">
        <f>HYPERLINK("https://patents.google.com/patent/US20210308180","Google")</f>
        <v>0.0</v>
      </c>
      <c r="G1879" s="2" t="n">
        <f>HYPERLINK("https://patentcenter.uspto.gov/applications/16929730","Patent Center")</f>
        <v>0.0</v>
      </c>
      <c r="H1879" s="2" t="n">
        <f>HYPERLINK("https://worldwide.espacenet.com/patent/search?q=US20210308180","Espacenet")</f>
        <v>0.0</v>
      </c>
      <c r="I1879" s="2" t="n">
        <f>HYPERLINK("https://ppubs.uspto.gov/pubwebapp/external.html?q=20210308180.pn.","USPTO")</f>
        <v>0.0</v>
      </c>
      <c r="J1879" s="2" t="n">
        <f>HYPERLINK("https://image-ppubs.uspto.gov/dirsearch-public/print/downloadPdf/20210308180","USPTO PDF")</f>
        <v>0.0</v>
      </c>
      <c r="K1879" s="2" t="n">
        <f>HYPERLINK("https://sectors.patentforecast.com/pmd/US20210308180","PMD")</f>
        <v>0.0</v>
      </c>
      <c r="L1879" s="2" t="n">
        <f>HYPERLINK("https://globaldossier.uspto.gov/result/application/US/16929730/1","US20210308180")</f>
        <v>0.0</v>
      </c>
      <c r="M1879" t="s">
        <v>12996</v>
      </c>
      <c r="N1879" t="s">
        <v>12997</v>
      </c>
      <c r="O1879" t="s">
        <v>12997</v>
      </c>
      <c r="P1879" t="s">
        <v>12998</v>
      </c>
      <c r="Q1879" s="3" t="n">
        <v>44027.0</v>
      </c>
      <c r="R1879" s="3" t="n">
        <v>44476.0</v>
      </c>
      <c r="S1879" s="3" t="n">
        <v>44477.24227422454</v>
      </c>
      <c r="T1879" s="3" t="n">
        <v>44477.71593489583</v>
      </c>
      <c r="U1879" t="s">
        <v>12999</v>
      </c>
      <c r="V1879" t="s">
        <v>13000</v>
      </c>
    </row>
    <row r="1880">
      <c r="A1880" t="s">
        <v>22</v>
      </c>
      <c r="B1880" t="s">
        <v>13001</v>
      </c>
      <c r="C1880" t="s">
        <v>60</v>
      </c>
      <c r="D1880" t="s">
        <v>4942</v>
      </c>
      <c r="E1880" t="s">
        <v>1804</v>
      </c>
      <c r="F1880" s="2" t="n">
        <f>HYPERLINK("https://patents.google.com/patent/US20210308167","Google")</f>
        <v>0.0</v>
      </c>
      <c r="G1880" s="2" t="n">
        <f>HYPERLINK("https://patentcenter.uspto.gov/applications/17350520","Patent Center")</f>
        <v>0.0</v>
      </c>
      <c r="H1880" s="2" t="n">
        <f>HYPERLINK("https://worldwide.espacenet.com/patent/search?q=US20210308167","Espacenet")</f>
        <v>0.0</v>
      </c>
      <c r="I1880" s="2" t="n">
        <f>HYPERLINK("https://ppubs.uspto.gov/pubwebapp/external.html?q=20210308167.pn.","USPTO")</f>
        <v>0.0</v>
      </c>
      <c r="J1880" s="2" t="n">
        <f>HYPERLINK("https://image-ppubs.uspto.gov/dirsearch-public/print/downloadPdf/20210308167","USPTO PDF")</f>
        <v>0.0</v>
      </c>
      <c r="K1880" s="2" t="n">
        <f>HYPERLINK("https://sectors.patentforecast.com/pmd/US20210308167","PMD")</f>
        <v>0.0</v>
      </c>
      <c r="L1880" s="2" t="n">
        <f>HYPERLINK("https://globaldossier.uspto.gov/result/application/US/17350520/1","US20210308167")</f>
        <v>0.0</v>
      </c>
      <c r="M1880" t="s">
        <v>13002</v>
      </c>
      <c r="N1880" t="s">
        <v>1806</v>
      </c>
      <c r="O1880" t="s">
        <v>1806</v>
      </c>
      <c r="P1880" t="s">
        <v>1807</v>
      </c>
      <c r="Q1880" s="3" t="n">
        <v>44364.0</v>
      </c>
      <c r="R1880" s="3" t="n">
        <v>44476.0</v>
      </c>
      <c r="S1880" s="3" t="n">
        <v>44477.23717961805</v>
      </c>
      <c r="T1880" s="3" t="n">
        <v>44477.71438488426</v>
      </c>
      <c r="U1880" t="s">
        <v>13003</v>
      </c>
      <c r="V1880" t="s">
        <v>13004</v>
      </c>
    </row>
    <row r="1881">
      <c r="A1881" t="s">
        <v>22</v>
      </c>
      <c r="B1881" t="s">
        <v>13005</v>
      </c>
      <c r="C1881" t="s">
        <v>60</v>
      </c>
      <c r="D1881" t="s">
        <v>4942</v>
      </c>
      <c r="E1881" t="s">
        <v>13006</v>
      </c>
      <c r="F1881" s="2" t="n">
        <f>HYPERLINK("https://patents.google.com/patent/US20210308151","Google")</f>
        <v>0.0</v>
      </c>
      <c r="G1881" s="2" t="n">
        <f>HYPERLINK("https://patentcenter.uspto.gov/applications/17223631","Patent Center")</f>
        <v>0.0</v>
      </c>
      <c r="H1881" s="2" t="n">
        <f>HYPERLINK("https://worldwide.espacenet.com/patent/search?q=US20210308151","Espacenet")</f>
        <v>0.0</v>
      </c>
      <c r="I1881" s="2" t="n">
        <f>HYPERLINK("https://ppubs.uspto.gov/pubwebapp/external.html?q=20210308151.pn.","USPTO")</f>
        <v>0.0</v>
      </c>
      <c r="J1881" s="2" t="n">
        <f>HYPERLINK("https://image-ppubs.uspto.gov/dirsearch-public/print/downloadPdf/20210308151","USPTO PDF")</f>
        <v>0.0</v>
      </c>
      <c r="K1881" s="2" t="n">
        <f>HYPERLINK("https://sectors.patentforecast.com/pmd/US20210308151","PMD")</f>
        <v>0.0</v>
      </c>
      <c r="L1881" s="2" t="n">
        <f>HYPERLINK("https://globaldossier.uspto.gov/result/application/US/17223631/1","US20210308151")</f>
        <v>0.0</v>
      </c>
      <c r="M1881" t="s">
        <v>13007</v>
      </c>
      <c r="N1881" t="s">
        <v>13008</v>
      </c>
      <c r="O1881" t="s">
        <v>13009</v>
      </c>
      <c r="P1881" t="s">
        <v>13010</v>
      </c>
      <c r="Q1881" s="3" t="n">
        <v>44292.0</v>
      </c>
      <c r="R1881" s="3" t="n">
        <v>44476.0</v>
      </c>
      <c r="S1881" s="3" t="n">
        <v>44477.24227422454</v>
      </c>
      <c r="T1881" s="3" t="n">
        <v>44477.71230650463</v>
      </c>
      <c r="U1881" t="s">
        <v>13011</v>
      </c>
      <c r="V1881" t="s">
        <v>13012</v>
      </c>
    </row>
    <row r="1882">
      <c r="A1882" t="s">
        <v>22</v>
      </c>
      <c r="B1882" t="s">
        <v>13013</v>
      </c>
      <c r="C1882" t="s">
        <v>60</v>
      </c>
      <c r="D1882" t="s">
        <v>61</v>
      </c>
      <c r="E1882" t="s">
        <v>12610</v>
      </c>
      <c r="F1882" s="2" t="n">
        <f>HYPERLINK("https://patents.google.com/patent/US20210308117","Google")</f>
        <v>0.0</v>
      </c>
      <c r="G1882" s="2" t="n">
        <f>HYPERLINK("https://patentcenter.uspto.gov/applications/17207511","Patent Center")</f>
        <v>0.0</v>
      </c>
      <c r="H1882" s="2" t="n">
        <f>HYPERLINK("https://worldwide.espacenet.com/patent/search?q=US20210308117","Espacenet")</f>
        <v>0.0</v>
      </c>
      <c r="I1882" s="2" t="n">
        <f>HYPERLINK("https://ppubs.uspto.gov/pubwebapp/external.html?q=20210308117.pn.","USPTO")</f>
        <v>0.0</v>
      </c>
      <c r="J1882" s="2" t="n">
        <f>HYPERLINK("https://image-ppubs.uspto.gov/dirsearch-public/print/downloadPdf/20210308117","USPTO PDF")</f>
        <v>0.0</v>
      </c>
      <c r="K1882" s="2" t="n">
        <f>HYPERLINK("https://sectors.patentforecast.com/pmd/US20210308117","PMD")</f>
        <v>0.0</v>
      </c>
      <c r="L1882" s="2" t="n">
        <f>HYPERLINK("https://globaldossier.uspto.gov/result/application/US/17207511/1","US20210308117")</f>
        <v>0.0</v>
      </c>
      <c r="M1882" t="s">
        <v>13014</v>
      </c>
      <c r="N1882" t="s">
        <v>12612</v>
      </c>
      <c r="O1882" t="s">
        <v>12613</v>
      </c>
      <c r="P1882" t="s">
        <v>12614</v>
      </c>
      <c r="Q1882" s="3" t="n">
        <v>44274.0</v>
      </c>
      <c r="R1882" s="3" t="n">
        <v>44476.0</v>
      </c>
      <c r="S1882" s="3" t="n">
        <v>44477.23717961805</v>
      </c>
      <c r="T1882" s="3" t="n">
        <v>44480.37951892361</v>
      </c>
      <c r="U1882" t="s">
        <v>13015</v>
      </c>
      <c r="V1882" t="s">
        <v>12616</v>
      </c>
    </row>
    <row r="1883">
      <c r="A1883" t="s">
        <v>22</v>
      </c>
      <c r="B1883" t="s">
        <v>13016</v>
      </c>
      <c r="C1883" t="s">
        <v>60</v>
      </c>
      <c r="D1883" t="s">
        <v>61</v>
      </c>
      <c r="E1883" t="s">
        <v>13017</v>
      </c>
      <c r="F1883" s="2" t="n">
        <f>HYPERLINK("https://patents.google.com/patent/US20210308114","Google")</f>
        <v>0.0</v>
      </c>
      <c r="G1883" s="2" t="n">
        <f>HYPERLINK("https://patentcenter.uspto.gov/applications/17301454","Patent Center")</f>
        <v>0.0</v>
      </c>
      <c r="H1883" s="2" t="n">
        <f>HYPERLINK("https://worldwide.espacenet.com/patent/search?q=US20210308114","Espacenet")</f>
        <v>0.0</v>
      </c>
      <c r="I1883" s="2" t="n">
        <f>HYPERLINK("https://ppubs.uspto.gov/pubwebapp/external.html?q=20210308114.pn.","USPTO")</f>
        <v>0.0</v>
      </c>
      <c r="J1883" s="2" t="n">
        <f>HYPERLINK("https://image-ppubs.uspto.gov/dirsearch-public/print/downloadPdf/20210308114","USPTO PDF")</f>
        <v>0.0</v>
      </c>
      <c r="K1883" s="2" t="n">
        <f>HYPERLINK("https://sectors.patentforecast.com/pmd/US20210308114","PMD")</f>
        <v>0.0</v>
      </c>
      <c r="L1883" s="2" t="n">
        <f>HYPERLINK("https://globaldossier.uspto.gov/result/application/US/17301454/1","US20210308114")</f>
        <v>0.0</v>
      </c>
      <c r="M1883" t="s">
        <v>13018</v>
      </c>
      <c r="N1883" t="s">
        <v>13019</v>
      </c>
      <c r="O1883" t="s">
        <v>13019</v>
      </c>
      <c r="P1883" t="s">
        <v>13020</v>
      </c>
      <c r="Q1883" s="3" t="n">
        <v>44288.0</v>
      </c>
      <c r="R1883" s="3" t="n">
        <v>44476.0</v>
      </c>
      <c r="S1883" s="3" t="n">
        <v>44477.24227422454</v>
      </c>
      <c r="T1883" s="3" t="n">
        <v>44480.39574013889</v>
      </c>
      <c r="U1883" t="s">
        <v>13021</v>
      </c>
      <c r="V1883" t="s">
        <v>13022</v>
      </c>
    </row>
    <row r="1884">
      <c r="A1884" t="s">
        <v>22</v>
      </c>
      <c r="B1884" t="s">
        <v>13023</v>
      </c>
      <c r="C1884" t="s">
        <v>60</v>
      </c>
      <c r="D1884" t="s">
        <v>61</v>
      </c>
      <c r="E1884" t="s">
        <v>13024</v>
      </c>
      <c r="F1884" s="2" t="n">
        <f>HYPERLINK("https://patents.google.com/patent/US20210308110","Google")</f>
        <v>0.0</v>
      </c>
      <c r="G1884" s="2" t="n">
        <f>HYPERLINK("https://patentcenter.uspto.gov/applications/17205823","Patent Center")</f>
        <v>0.0</v>
      </c>
      <c r="H1884" s="2" t="n">
        <f>HYPERLINK("https://worldwide.espacenet.com/patent/search?q=US20210308110","Espacenet")</f>
        <v>0.0</v>
      </c>
      <c r="I1884" s="2" t="n">
        <f>HYPERLINK("https://ppubs.uspto.gov/pubwebapp/external.html?q=20210308110.pn.","USPTO")</f>
        <v>0.0</v>
      </c>
      <c r="J1884" s="2" t="n">
        <f>HYPERLINK("https://image-ppubs.uspto.gov/dirsearch-public/print/downloadPdf/20210308110","USPTO PDF")</f>
        <v>0.0</v>
      </c>
      <c r="K1884" s="2" t="n">
        <f>HYPERLINK("https://sectors.patentforecast.com/pmd/US20210308110","PMD")</f>
        <v>0.0</v>
      </c>
      <c r="L1884" s="2" t="n">
        <f>HYPERLINK("https://globaldossier.uspto.gov/result/application/US/17205823/1","US20210308110")</f>
        <v>0.0</v>
      </c>
      <c r="M1884" t="s">
        <v>13025</v>
      </c>
      <c r="N1884" t="s">
        <v>13026</v>
      </c>
      <c r="O1884" t="s">
        <v>13027</v>
      </c>
      <c r="P1884" t="s">
        <v>13028</v>
      </c>
      <c r="Q1884" s="3" t="n">
        <v>44273.0</v>
      </c>
      <c r="R1884" s="3" t="n">
        <v>44476.0</v>
      </c>
      <c r="S1884" s="3" t="n">
        <v>44477.24227422454</v>
      </c>
      <c r="T1884" s="3" t="n">
        <v>44480.40116233796</v>
      </c>
      <c r="U1884" t="s">
        <v>13029</v>
      </c>
      <c r="V1884" t="s">
        <v>13030</v>
      </c>
    </row>
    <row r="1885">
      <c r="A1885" t="s">
        <v>22</v>
      </c>
      <c r="B1885" t="s">
        <v>13031</v>
      </c>
      <c r="C1885" t="s">
        <v>60</v>
      </c>
      <c r="D1885" t="s">
        <v>696</v>
      </c>
      <c r="E1885" t="s">
        <v>13032</v>
      </c>
      <c r="F1885" s="2" t="n">
        <f>HYPERLINK("https://patents.google.com/patent/US20210308109","Google")</f>
        <v>0.0</v>
      </c>
      <c r="G1885" s="2" t="n">
        <f>HYPERLINK("https://patentcenter.uspto.gov/applications/17222673","Patent Center")</f>
        <v>0.0</v>
      </c>
      <c r="H1885" s="2" t="n">
        <f>HYPERLINK("https://worldwide.espacenet.com/patent/search?q=US20210308109","Espacenet")</f>
        <v>0.0</v>
      </c>
      <c r="I1885" s="2" t="n">
        <f>HYPERLINK("https://ppubs.uspto.gov/pubwebapp/external.html?q=20210308109.pn.","USPTO")</f>
        <v>0.0</v>
      </c>
      <c r="J1885" s="2" t="n">
        <f>HYPERLINK("https://image-ppubs.uspto.gov/dirsearch-public/print/downloadPdf/20210308109","USPTO PDF")</f>
        <v>0.0</v>
      </c>
      <c r="K1885" s="2" t="n">
        <f>HYPERLINK("https://sectors.patentforecast.com/pmd/US20210308109","PMD")</f>
        <v>0.0</v>
      </c>
      <c r="L1885" s="2" t="n">
        <f>HYPERLINK("https://globaldossier.uspto.gov/result/application/US/17222673/1","US20210308109")</f>
        <v>0.0</v>
      </c>
      <c r="M1885" t="s">
        <v>13033</v>
      </c>
      <c r="N1885" t="s">
        <v>13034</v>
      </c>
      <c r="O1885" t="s">
        <v>13035</v>
      </c>
      <c r="P1885" t="s">
        <v>13036</v>
      </c>
      <c r="Q1885" s="3" t="n">
        <v>44291.0</v>
      </c>
      <c r="R1885" s="3" t="n">
        <v>44476.0</v>
      </c>
      <c r="S1885" s="3" t="n">
        <v>44477.24227422454</v>
      </c>
      <c r="T1885" s="3" t="n">
        <v>44480.39136991898</v>
      </c>
      <c r="U1885" t="s">
        <v>13037</v>
      </c>
      <c r="V1885" t="s">
        <v>13038</v>
      </c>
    </row>
    <row r="1886">
      <c r="A1886" t="s">
        <v>22</v>
      </c>
      <c r="B1886" t="s">
        <v>13039</v>
      </c>
      <c r="C1886" t="s">
        <v>60</v>
      </c>
      <c r="D1886" t="s">
        <v>61</v>
      </c>
      <c r="E1886" t="s">
        <v>13040</v>
      </c>
      <c r="F1886" s="2" t="n">
        <f>HYPERLINK("https://patents.google.com/patent/US20210308105","Google")</f>
        <v>0.0</v>
      </c>
      <c r="G1886" s="2" t="n">
        <f>HYPERLINK("https://patentcenter.uspto.gov/applications/17222835","Patent Center")</f>
        <v>0.0</v>
      </c>
      <c r="H1886" s="2" t="n">
        <f>HYPERLINK("https://worldwide.espacenet.com/patent/search?q=US20210308105","Espacenet")</f>
        <v>0.0</v>
      </c>
      <c r="I1886" s="2" t="n">
        <f>HYPERLINK("https://ppubs.uspto.gov/pubwebapp/external.html?q=20210308105.pn.","USPTO")</f>
        <v>0.0</v>
      </c>
      <c r="J1886" s="2" t="n">
        <f>HYPERLINK("https://image-ppubs.uspto.gov/dirsearch-public/print/downloadPdf/20210308105","USPTO PDF")</f>
        <v>0.0</v>
      </c>
      <c r="K1886" s="2" t="n">
        <f>HYPERLINK("https://sectors.patentforecast.com/pmd/US20210308105","PMD")</f>
        <v>0.0</v>
      </c>
      <c r="L1886" s="2" t="n">
        <f>HYPERLINK("https://globaldossier.uspto.gov/result/application/US/17222835/1","US20210308105")</f>
        <v>0.0</v>
      </c>
      <c r="M1886" t="s">
        <v>13041</v>
      </c>
      <c r="N1886" t="s">
        <v>13042</v>
      </c>
      <c r="O1886" t="s">
        <v>13043</v>
      </c>
      <c r="P1886" t="s">
        <v>13044</v>
      </c>
      <c r="Q1886" s="3" t="n">
        <v>44291.0</v>
      </c>
      <c r="R1886" s="3" t="n">
        <v>44476.0</v>
      </c>
      <c r="S1886" s="3" t="n">
        <v>44477.24227422454</v>
      </c>
      <c r="T1886" s="3" t="n">
        <v>44480.41235136574</v>
      </c>
      <c r="U1886" t="s">
        <v>13045</v>
      </c>
      <c r="V1886" t="s">
        <v>13046</v>
      </c>
    </row>
    <row r="1887">
      <c r="A1887" t="s">
        <v>22</v>
      </c>
      <c r="B1887" t="s">
        <v>13047</v>
      </c>
      <c r="C1887" t="s">
        <v>60</v>
      </c>
      <c r="D1887" t="s">
        <v>61</v>
      </c>
      <c r="E1887" t="s">
        <v>13048</v>
      </c>
      <c r="F1887" s="2" t="n">
        <f>HYPERLINK("https://patents.google.com/patent/US20210308089","Google")</f>
        <v>0.0</v>
      </c>
      <c r="G1887" s="2" t="n">
        <f>HYPERLINK("https://patentcenter.uspto.gov/applications/17224691","Patent Center")</f>
        <v>0.0</v>
      </c>
      <c r="H1887" s="2" t="n">
        <f>HYPERLINK("https://worldwide.espacenet.com/patent/search?q=US20210308089","Espacenet")</f>
        <v>0.0</v>
      </c>
      <c r="I1887" s="2" t="n">
        <f>HYPERLINK("https://ppubs.uspto.gov/pubwebapp/external.html?q=20210308089.pn.","USPTO")</f>
        <v>0.0</v>
      </c>
      <c r="J1887" s="2" t="n">
        <f>HYPERLINK("https://image-ppubs.uspto.gov/dirsearch-public/print/downloadPdf/20210308089","USPTO PDF")</f>
        <v>0.0</v>
      </c>
      <c r="K1887" s="2" t="n">
        <f>HYPERLINK("https://sectors.patentforecast.com/pmd/US20210308089","PMD")</f>
        <v>0.0</v>
      </c>
      <c r="L1887" s="2" t="n">
        <f>HYPERLINK("https://globaldossier.uspto.gov/result/application/US/17224691/1","US20210308089")</f>
        <v>0.0</v>
      </c>
      <c r="M1887" t="s">
        <v>13049</v>
      </c>
      <c r="N1887" t="s">
        <v>13050</v>
      </c>
      <c r="O1887" t="s">
        <v>13051</v>
      </c>
      <c r="P1887" t="s">
        <v>13052</v>
      </c>
      <c r="Q1887" s="3" t="n">
        <v>44293.0</v>
      </c>
      <c r="R1887" s="3" t="n">
        <v>44476.0</v>
      </c>
      <c r="S1887" s="3" t="n">
        <v>44477.24227422454</v>
      </c>
      <c r="T1887" s="3" t="n">
        <v>44480.37292262731</v>
      </c>
      <c r="U1887" t="s">
        <v>13053</v>
      </c>
      <c r="V1887" t="s">
        <v>13054</v>
      </c>
    </row>
    <row r="1888">
      <c r="A1888" t="s">
        <v>22</v>
      </c>
      <c r="B1888" t="s">
        <v>13055</v>
      </c>
      <c r="C1888" t="s">
        <v>60</v>
      </c>
      <c r="D1888" t="s">
        <v>715</v>
      </c>
      <c r="E1888" t="s">
        <v>13056</v>
      </c>
      <c r="F1888" s="2" t="n">
        <f>HYPERLINK("https://patents.google.com/patent/US20210308080","Google")</f>
        <v>0.0</v>
      </c>
      <c r="G1888" s="2" t="n">
        <f>HYPERLINK("https://patentcenter.uspto.gov/applications/16837861","Patent Center")</f>
        <v>0.0</v>
      </c>
      <c r="H1888" s="2" t="n">
        <f>HYPERLINK("https://worldwide.espacenet.com/patent/search?q=US20210308080","Espacenet")</f>
        <v>0.0</v>
      </c>
      <c r="I1888" s="2" t="n">
        <f>HYPERLINK("https://ppubs.uspto.gov/pubwebapp/external.html?q=20210308080.pn.","USPTO")</f>
        <v>0.0</v>
      </c>
      <c r="J1888" s="2" t="n">
        <f>HYPERLINK("https://image-ppubs.uspto.gov/dirsearch-public/print/downloadPdf/20210308080","USPTO PDF")</f>
        <v>0.0</v>
      </c>
      <c r="K1888" s="2" t="n">
        <f>HYPERLINK("https://sectors.patentforecast.com/pmd/US20210308080","PMD")</f>
        <v>0.0</v>
      </c>
      <c r="L1888" s="2" t="n">
        <f>HYPERLINK("https://globaldossier.uspto.gov/result/application/US/16837861/1","US20210308080")</f>
        <v>0.0</v>
      </c>
      <c r="M1888" t="s">
        <v>13057</v>
      </c>
      <c r="N1888" t="s">
        <v>13058</v>
      </c>
      <c r="O1888" t="s">
        <v>13059</v>
      </c>
      <c r="P1888" t="s">
        <v>13060</v>
      </c>
      <c r="Q1888" s="3" t="n">
        <v>43922.0</v>
      </c>
      <c r="R1888" s="3" t="n">
        <v>44476.0</v>
      </c>
      <c r="S1888" s="3" t="n">
        <v>44477.24227422454</v>
      </c>
      <c r="T1888" s="3" t="n">
        <v>44480.35989423611</v>
      </c>
      <c r="U1888" t="s">
        <v>13061</v>
      </c>
      <c r="V1888" t="s">
        <v>13062</v>
      </c>
    </row>
    <row r="1889">
      <c r="A1889" t="s">
        <v>22</v>
      </c>
      <c r="B1889" t="s">
        <v>13063</v>
      </c>
      <c r="C1889" t="s">
        <v>60</v>
      </c>
      <c r="D1889" t="s">
        <v>61</v>
      </c>
      <c r="E1889" t="s">
        <v>13064</v>
      </c>
      <c r="F1889" s="2" t="n">
        <f>HYPERLINK("https://patents.google.com/patent/US20210308079","Google")</f>
        <v>0.0</v>
      </c>
      <c r="G1889" s="2" t="n">
        <f>HYPERLINK("https://patentcenter.uspto.gov/applications/17301444","Patent Center")</f>
        <v>0.0</v>
      </c>
      <c r="H1889" s="2" t="n">
        <f>HYPERLINK("https://worldwide.espacenet.com/patent/search?q=US20210308079","Espacenet")</f>
        <v>0.0</v>
      </c>
      <c r="I1889" s="2" t="n">
        <f>HYPERLINK("https://ppubs.uspto.gov/pubwebapp/external.html?q=20210308079.pn.","USPTO")</f>
        <v>0.0</v>
      </c>
      <c r="J1889" s="2" t="n">
        <f>HYPERLINK("https://image-ppubs.uspto.gov/dirsearch-public/print/downloadPdf/20210308079","USPTO PDF")</f>
        <v>0.0</v>
      </c>
      <c r="K1889" s="2" t="n">
        <f>HYPERLINK("https://sectors.patentforecast.com/pmd/US20210308079","PMD")</f>
        <v>0.0</v>
      </c>
      <c r="L1889" s="2" t="n">
        <f>HYPERLINK("https://globaldossier.uspto.gov/result/application/US/17301444/1","US20210308079")</f>
        <v>0.0</v>
      </c>
      <c r="M1889" t="s">
        <v>13065</v>
      </c>
      <c r="N1889" t="s">
        <v>13066</v>
      </c>
      <c r="O1889" t="s">
        <v>13066</v>
      </c>
      <c r="P1889" t="s">
        <v>13067</v>
      </c>
      <c r="Q1889" s="3" t="n">
        <v>44288.0</v>
      </c>
      <c r="R1889" s="3" t="n">
        <v>44476.0</v>
      </c>
      <c r="S1889" s="3" t="n">
        <v>44477.23717961805</v>
      </c>
      <c r="T1889" s="3" t="n">
        <v>44480.382227835646</v>
      </c>
      <c r="U1889" t="s">
        <v>13068</v>
      </c>
      <c r="V1889" t="s">
        <v>13069</v>
      </c>
    </row>
    <row r="1890">
      <c r="A1890" t="s">
        <v>22</v>
      </c>
      <c r="B1890" t="s">
        <v>13070</v>
      </c>
      <c r="C1890" t="s">
        <v>60</v>
      </c>
      <c r="D1890" t="s">
        <v>61</v>
      </c>
      <c r="E1890" t="s">
        <v>13071</v>
      </c>
      <c r="F1890" s="2" t="n">
        <f>HYPERLINK("https://patents.google.com/patent/US20210308075","Google")</f>
        <v>0.0</v>
      </c>
      <c r="G1890" s="2" t="n">
        <f>HYPERLINK("https://patentcenter.uspto.gov/applications/17224530","Patent Center")</f>
        <v>0.0</v>
      </c>
      <c r="H1890" s="2" t="n">
        <f>HYPERLINK("https://worldwide.espacenet.com/patent/search?q=US20210308075","Espacenet")</f>
        <v>0.0</v>
      </c>
      <c r="I1890" s="2" t="n">
        <f>HYPERLINK("https://ppubs.uspto.gov/pubwebapp/external.html?q=20210308075.pn.","USPTO")</f>
        <v>0.0</v>
      </c>
      <c r="J1890" s="2" t="n">
        <f>HYPERLINK("https://image-ppubs.uspto.gov/dirsearch-public/print/downloadPdf/20210308075","USPTO PDF")</f>
        <v>0.0</v>
      </c>
      <c r="K1890" s="2" t="n">
        <f>HYPERLINK("https://sectors.patentforecast.com/pmd/US20210308075","PMD")</f>
        <v>0.0</v>
      </c>
      <c r="L1890" s="2" t="n">
        <f>HYPERLINK("https://globaldossier.uspto.gov/result/application/US/17224530/1","US20210308075")</f>
        <v>0.0</v>
      </c>
      <c r="M1890" t="s">
        <v>13072</v>
      </c>
      <c r="N1890" t="s">
        <v>13073</v>
      </c>
      <c r="O1890" t="s">
        <v>13073</v>
      </c>
      <c r="P1890" t="s">
        <v>13074</v>
      </c>
      <c r="Q1890" s="3" t="n">
        <v>44293.0</v>
      </c>
      <c r="R1890" s="3" t="n">
        <v>44476.0</v>
      </c>
      <c r="S1890" s="3" t="n">
        <v>44477.24227422454</v>
      </c>
      <c r="T1890" s="3" t="n">
        <v>44480.360481793985</v>
      </c>
      <c r="U1890" t="s">
        <v>13075</v>
      </c>
      <c r="V1890" t="s">
        <v>13076</v>
      </c>
    </row>
    <row r="1891">
      <c r="A1891" t="s">
        <v>22</v>
      </c>
      <c r="B1891" t="s">
        <v>13077</v>
      </c>
      <c r="C1891" t="s">
        <v>60</v>
      </c>
      <c r="D1891" t="s">
        <v>4942</v>
      </c>
      <c r="E1891" t="s">
        <v>13078</v>
      </c>
      <c r="F1891" s="2" t="n">
        <f>HYPERLINK("https://patents.google.com/patent/US20210308071","Google")</f>
        <v>0.0</v>
      </c>
      <c r="G1891" s="2" t="n">
        <f>HYPERLINK("https://patentcenter.uspto.gov/applications/17221838","Patent Center")</f>
        <v>0.0</v>
      </c>
      <c r="H1891" s="2" t="n">
        <f>HYPERLINK("https://worldwide.espacenet.com/patent/search?q=US20210308071","Espacenet")</f>
        <v>0.0</v>
      </c>
      <c r="I1891" s="2" t="n">
        <f>HYPERLINK("https://ppubs.uspto.gov/pubwebapp/external.html?q=20210308071.pn.","USPTO")</f>
        <v>0.0</v>
      </c>
      <c r="J1891" s="2" t="n">
        <f>HYPERLINK("https://image-ppubs.uspto.gov/dirsearch-public/print/downloadPdf/20210308071","USPTO PDF")</f>
        <v>0.0</v>
      </c>
      <c r="K1891" s="2" t="n">
        <f>HYPERLINK("https://sectors.patentforecast.com/pmd/US20210308071","PMD")</f>
        <v>0.0</v>
      </c>
      <c r="L1891" s="2" t="n">
        <f>HYPERLINK("https://globaldossier.uspto.gov/result/application/US/17221838/1","US20210308071")</f>
        <v>0.0</v>
      </c>
      <c r="M1891" t="s">
        <v>13079</v>
      </c>
      <c r="N1891" t="s">
        <v>13080</v>
      </c>
      <c r="O1891" t="s">
        <v>13080</v>
      </c>
      <c r="P1891" t="s">
        <v>13081</v>
      </c>
      <c r="Q1891" s="3" t="n">
        <v>44290.0</v>
      </c>
      <c r="R1891" s="3" t="n">
        <v>44476.0</v>
      </c>
      <c r="S1891" s="3" t="n">
        <v>44477.24227422454</v>
      </c>
      <c r="T1891" s="3" t="n">
        <v>44480.3619562963</v>
      </c>
      <c r="U1891" t="s">
        <v>13082</v>
      </c>
      <c r="V1891" t="s">
        <v>13083</v>
      </c>
    </row>
    <row r="1892">
      <c r="A1892" t="s">
        <v>22</v>
      </c>
      <c r="B1892" t="s">
        <v>13084</v>
      </c>
      <c r="C1892" t="s">
        <v>60</v>
      </c>
      <c r="D1892" t="s">
        <v>61</v>
      </c>
      <c r="E1892" t="s">
        <v>13085</v>
      </c>
      <c r="F1892" s="2" t="n">
        <f>HYPERLINK("https://patents.google.com/patent/US20210308047","Google")</f>
        <v>0.0</v>
      </c>
      <c r="G1892" s="2" t="n">
        <f>HYPERLINK("https://patentcenter.uspto.gov/applications/16904590","Patent Center")</f>
        <v>0.0</v>
      </c>
      <c r="H1892" s="2" t="n">
        <f>HYPERLINK("https://worldwide.espacenet.com/patent/search?q=US20210308047","Espacenet")</f>
        <v>0.0</v>
      </c>
      <c r="I1892" s="2" t="n">
        <f>HYPERLINK("https://ppubs.uspto.gov/pubwebapp/external.html?q=20210308047.pn.","USPTO")</f>
        <v>0.0</v>
      </c>
      <c r="J1892" s="2" t="n">
        <f>HYPERLINK("https://image-ppubs.uspto.gov/dirsearch-public/print/downloadPdf/20210308047","USPTO PDF")</f>
        <v>0.0</v>
      </c>
      <c r="K1892" s="2" t="n">
        <f>HYPERLINK("https://sectors.patentforecast.com/pmd/US20210308047","PMD")</f>
        <v>0.0</v>
      </c>
      <c r="L1892" s="2" t="n">
        <f>HYPERLINK("https://globaldossier.uspto.gov/result/application/US/16904590/1","US20210308047")</f>
        <v>0.0</v>
      </c>
      <c r="M1892" t="s">
        <v>13086</v>
      </c>
      <c r="N1892" t="s">
        <v>13087</v>
      </c>
      <c r="O1892" t="s">
        <v>13088</v>
      </c>
      <c r="P1892" t="s">
        <v>13089</v>
      </c>
      <c r="Q1892" s="3" t="n">
        <v>44000.0</v>
      </c>
      <c r="R1892" s="3" t="n">
        <v>44476.0</v>
      </c>
      <c r="S1892" s="3" t="n">
        <v>44477.24227422454</v>
      </c>
      <c r="T1892" s="3" t="n">
        <v>44480.402163680556</v>
      </c>
      <c r="U1892" t="s">
        <v>13090</v>
      </c>
      <c r="V1892" t="s">
        <v>13091</v>
      </c>
    </row>
    <row r="1893">
      <c r="A1893" t="s">
        <v>22</v>
      </c>
      <c r="B1893" t="s">
        <v>13092</v>
      </c>
      <c r="C1893" t="s">
        <v>24</v>
      </c>
      <c r="D1893" t="s">
        <v>69</v>
      </c>
      <c r="E1893" t="s">
        <v>13093</v>
      </c>
      <c r="F1893" s="2" t="n">
        <f>HYPERLINK("https://patents.google.com/patent/US20210308046","Google")</f>
        <v>0.0</v>
      </c>
      <c r="G1893" s="2" t="n">
        <f>HYPERLINK("https://patentcenter.uspto.gov/applications/16841776","Patent Center")</f>
        <v>0.0</v>
      </c>
      <c r="H1893" s="2" t="n">
        <f>HYPERLINK("https://worldwide.espacenet.com/patent/search?q=US20210308046","Espacenet")</f>
        <v>0.0</v>
      </c>
      <c r="I1893" s="2" t="n">
        <f>HYPERLINK("https://ppubs.uspto.gov/pubwebapp/external.html?q=20210308046.pn.","USPTO")</f>
        <v>0.0</v>
      </c>
      <c r="J1893" s="2" t="n">
        <f>HYPERLINK("https://image-ppubs.uspto.gov/dirsearch-public/print/downloadPdf/20210308046","USPTO PDF")</f>
        <v>0.0</v>
      </c>
      <c r="K1893" s="2" t="n">
        <f>HYPERLINK("https://sectors.patentforecast.com/pmd/US20210308046","PMD")</f>
        <v>0.0</v>
      </c>
      <c r="L1893" s="2" t="n">
        <f>HYPERLINK("https://globaldossier.uspto.gov/result/application/US/16841776/1","US20210308046")</f>
        <v>0.0</v>
      </c>
      <c r="M1893" t="s">
        <v>13094</v>
      </c>
      <c r="N1893" t="s">
        <v>13095</v>
      </c>
      <c r="O1893" t="s">
        <v>13095</v>
      </c>
      <c r="P1893" t="s">
        <v>13096</v>
      </c>
      <c r="Q1893" s="3" t="n">
        <v>43928.0</v>
      </c>
      <c r="R1893" s="3" t="n">
        <v>44476.0</v>
      </c>
      <c r="S1893" s="3" t="n">
        <v>44477.24227422454</v>
      </c>
      <c r="T1893" s="3" t="n">
        <v>44480.36366178241</v>
      </c>
      <c r="U1893" t="s">
        <v>13097</v>
      </c>
      <c r="V1893" t="s">
        <v>13098</v>
      </c>
    </row>
    <row r="1894">
      <c r="A1894" t="s">
        <v>22</v>
      </c>
      <c r="B1894" t="s">
        <v>13099</v>
      </c>
      <c r="C1894" t="s">
        <v>60</v>
      </c>
      <c r="D1894" t="s">
        <v>715</v>
      </c>
      <c r="E1894" t="s">
        <v>13100</v>
      </c>
      <c r="F1894" s="2" t="n">
        <f>HYPERLINK("https://patents.google.com/patent/US20210308001","Google")</f>
        <v>0.0</v>
      </c>
      <c r="G1894" s="2" t="n">
        <f>HYPERLINK("https://patentcenter.uspto.gov/applications/17221562","Patent Center")</f>
        <v>0.0</v>
      </c>
      <c r="H1894" s="2" t="n">
        <f>HYPERLINK("https://worldwide.espacenet.com/patent/search?q=US20210308001","Espacenet")</f>
        <v>0.0</v>
      </c>
      <c r="I1894" s="2" t="n">
        <f>HYPERLINK("https://ppubs.uspto.gov/pubwebapp/external.html?q=20210308001.pn.","USPTO")</f>
        <v>0.0</v>
      </c>
      <c r="J1894" s="2" t="n">
        <f>HYPERLINK("https://image-ppubs.uspto.gov/dirsearch-public/print/downloadPdf/20210308001","USPTO PDF")</f>
        <v>0.0</v>
      </c>
      <c r="K1894" s="2" t="n">
        <f>HYPERLINK("https://sectors.patentforecast.com/pmd/US20210308001","PMD")</f>
        <v>0.0</v>
      </c>
      <c r="L1894" s="2" t="n">
        <f>HYPERLINK("https://globaldossier.uspto.gov/result/application/US/17221562/1","US20210308001")</f>
        <v>0.0</v>
      </c>
      <c r="M1894" t="s">
        <v>13101</v>
      </c>
      <c r="N1894" t="s">
        <v>13102</v>
      </c>
      <c r="O1894" t="s">
        <v>13103</v>
      </c>
      <c r="P1894" t="s">
        <v>13104</v>
      </c>
      <c r="Q1894" s="3" t="n">
        <v>44288.0</v>
      </c>
      <c r="R1894" s="3" t="n">
        <v>44476.0</v>
      </c>
      <c r="S1894" s="3" t="n">
        <v>44477.24227422454</v>
      </c>
      <c r="T1894" s="3" t="n">
        <v>44480.40103525463</v>
      </c>
      <c r="U1894" t="s">
        <v>13105</v>
      </c>
      <c r="V1894" t="s">
        <v>13106</v>
      </c>
    </row>
    <row r="1895">
      <c r="A1895" t="s">
        <v>22</v>
      </c>
      <c r="B1895" t="s">
        <v>13107</v>
      </c>
      <c r="C1895" t="s">
        <v>60</v>
      </c>
      <c r="D1895" t="s">
        <v>715</v>
      </c>
      <c r="E1895" t="s">
        <v>13108</v>
      </c>
      <c r="F1895" s="2" t="n">
        <f>HYPERLINK("https://patents.google.com/patent/US20210307987","Google")</f>
        <v>0.0</v>
      </c>
      <c r="G1895" s="2" t="n">
        <f>HYPERLINK("https://patentcenter.uspto.gov/applications/17223777","Patent Center")</f>
        <v>0.0</v>
      </c>
      <c r="H1895" s="2" t="n">
        <f>HYPERLINK("https://worldwide.espacenet.com/patent/search?q=US20210307987","Espacenet")</f>
        <v>0.0</v>
      </c>
      <c r="I1895" s="2" t="n">
        <f>HYPERLINK("https://ppubs.uspto.gov/pubwebapp/external.html?q=20210307987.pn.","USPTO")</f>
        <v>0.0</v>
      </c>
      <c r="J1895" s="2" t="n">
        <f>HYPERLINK("https://image-ppubs.uspto.gov/dirsearch-public/print/downloadPdf/20210307987","USPTO PDF")</f>
        <v>0.0</v>
      </c>
      <c r="K1895" s="2" t="n">
        <f>HYPERLINK("https://sectors.patentforecast.com/pmd/US20210307987","PMD")</f>
        <v>0.0</v>
      </c>
      <c r="L1895" s="2" t="n">
        <f>HYPERLINK("https://globaldossier.uspto.gov/result/application/US/17223777/1","US20210307987")</f>
        <v>0.0</v>
      </c>
      <c r="M1895" t="s">
        <v>13109</v>
      </c>
      <c r="N1895" t="s">
        <v>13110</v>
      </c>
      <c r="O1895" t="s">
        <v>13111</v>
      </c>
      <c r="P1895" t="s">
        <v>13112</v>
      </c>
      <c r="Q1895" s="3" t="n">
        <v>44292.0</v>
      </c>
      <c r="R1895" s="3" t="n">
        <v>44476.0</v>
      </c>
      <c r="S1895" s="3" t="n">
        <v>44477.24227422454</v>
      </c>
      <c r="T1895" s="3" t="n">
        <v>44480.38499160879</v>
      </c>
      <c r="U1895" t="s">
        <v>13113</v>
      </c>
      <c r="V1895" t="s">
        <v>13114</v>
      </c>
    </row>
    <row r="1896">
      <c r="A1896" t="s">
        <v>22</v>
      </c>
      <c r="B1896" t="s">
        <v>13115</v>
      </c>
      <c r="C1896" t="s">
        <v>60</v>
      </c>
      <c r="D1896" t="s">
        <v>715</v>
      </c>
      <c r="E1896" t="s">
        <v>13116</v>
      </c>
      <c r="F1896" s="2" t="n">
        <f>HYPERLINK("https://patents.google.com/patent/US20210307985","Google")</f>
        <v>0.0</v>
      </c>
      <c r="G1896" s="2" t="n">
        <f>HYPERLINK("https://patentcenter.uspto.gov/applications/17219330","Patent Center")</f>
        <v>0.0</v>
      </c>
      <c r="H1896" s="2" t="n">
        <f>HYPERLINK("https://worldwide.espacenet.com/patent/search?q=US20210307985","Espacenet")</f>
        <v>0.0</v>
      </c>
      <c r="I1896" s="2" t="n">
        <f>HYPERLINK("https://ppubs.uspto.gov/pubwebapp/external.html?q=20210307985.pn.","USPTO")</f>
        <v>0.0</v>
      </c>
      <c r="J1896" s="2" t="n">
        <f>HYPERLINK("https://image-ppubs.uspto.gov/dirsearch-public/print/downloadPdf/20210307985","USPTO PDF")</f>
        <v>0.0</v>
      </c>
      <c r="K1896" s="2" t="n">
        <f>HYPERLINK("https://sectors.patentforecast.com/pmd/US20210307985","PMD")</f>
        <v>0.0</v>
      </c>
      <c r="L1896" s="2" t="n">
        <f>HYPERLINK("https://globaldossier.uspto.gov/result/application/US/17219330/1","US20210307985")</f>
        <v>0.0</v>
      </c>
      <c r="M1896" t="s">
        <v>13117</v>
      </c>
      <c r="N1896" t="s">
        <v>13118</v>
      </c>
      <c r="O1896" t="s">
        <v>13119</v>
      </c>
      <c r="P1896" t="s">
        <v>13120</v>
      </c>
      <c r="Q1896" s="3" t="n">
        <v>44286.0</v>
      </c>
      <c r="R1896" s="3" t="n">
        <v>44476.0</v>
      </c>
      <c r="S1896" s="3" t="n">
        <v>44477.24227422454</v>
      </c>
      <c r="T1896" s="3" t="n">
        <v>44480.40268497685</v>
      </c>
      <c r="U1896" t="s">
        <v>13121</v>
      </c>
      <c r="V1896" t="s">
        <v>13122</v>
      </c>
    </row>
    <row r="1897">
      <c r="A1897" t="s">
        <v>22</v>
      </c>
      <c r="B1897" t="s">
        <v>13123</v>
      </c>
      <c r="C1897" t="s">
        <v>24</v>
      </c>
      <c r="D1897" t="s">
        <v>69</v>
      </c>
      <c r="E1897" t="s">
        <v>13124</v>
      </c>
      <c r="F1897" s="2" t="n">
        <f>HYPERLINK("https://patents.google.com/patent/US20210307984","Google")</f>
        <v>0.0</v>
      </c>
      <c r="G1897" s="2" t="n">
        <f>HYPERLINK("https://patentcenter.uspto.gov/applications/16919387","Patent Center")</f>
        <v>0.0</v>
      </c>
      <c r="H1897" s="2" t="n">
        <f>HYPERLINK("https://worldwide.espacenet.com/patent/search?q=US20210307984","Espacenet")</f>
        <v>0.0</v>
      </c>
      <c r="I1897" s="2" t="n">
        <f>HYPERLINK("https://ppubs.uspto.gov/pubwebapp/external.html?q=20210307984.pn.","USPTO")</f>
        <v>0.0</v>
      </c>
      <c r="J1897" s="2" t="n">
        <f>HYPERLINK("https://image-ppubs.uspto.gov/dirsearch-public/print/downloadPdf/20210307984","USPTO PDF")</f>
        <v>0.0</v>
      </c>
      <c r="K1897" s="2" t="n">
        <f>HYPERLINK("https://sectors.patentforecast.com/pmd/US20210307984","PMD")</f>
        <v>0.0</v>
      </c>
      <c r="L1897" s="2" t="n">
        <f>HYPERLINK("https://globaldossier.uspto.gov/result/application/US/16919387/1","US20210307984")</f>
        <v>0.0</v>
      </c>
      <c r="M1897" t="s">
        <v>13125</v>
      </c>
      <c r="N1897" t="s">
        <v>13126</v>
      </c>
      <c r="O1897" t="s">
        <v>13126</v>
      </c>
      <c r="P1897" t="s">
        <v>13127</v>
      </c>
      <c r="Q1897" s="3" t="n">
        <v>44014.0</v>
      </c>
      <c r="R1897" s="3" t="n">
        <v>44476.0</v>
      </c>
      <c r="S1897" s="3" t="n">
        <v>44477.24227422454</v>
      </c>
      <c r="T1897" s="3" t="n">
        <v>44480.36453160879</v>
      </c>
      <c r="U1897" t="s">
        <v>12651</v>
      </c>
      <c r="V1897" t="s">
        <v>13128</v>
      </c>
    </row>
    <row r="1898">
      <c r="A1898" t="s">
        <v>22</v>
      </c>
      <c r="B1898" t="s">
        <v>13129</v>
      </c>
      <c r="C1898" t="s">
        <v>60</v>
      </c>
      <c r="D1898" t="s">
        <v>715</v>
      </c>
      <c r="E1898" t="s">
        <v>2699</v>
      </c>
      <c r="F1898" s="2" t="n">
        <f>HYPERLINK("https://patents.google.com/patent/US20210307872","Google")</f>
        <v>0.0</v>
      </c>
      <c r="G1898" s="2" t="n">
        <f>HYPERLINK("https://patentcenter.uspto.gov/applications/17220690","Patent Center")</f>
        <v>0.0</v>
      </c>
      <c r="H1898" s="2" t="n">
        <f>HYPERLINK("https://worldwide.espacenet.com/patent/search?q=US20210307872","Espacenet")</f>
        <v>0.0</v>
      </c>
      <c r="I1898" s="2" t="n">
        <f>HYPERLINK("https://ppubs.uspto.gov/pubwebapp/external.html?q=20210307872.pn.","USPTO")</f>
        <v>0.0</v>
      </c>
      <c r="J1898" s="2" t="n">
        <f>HYPERLINK("https://image-ppubs.uspto.gov/dirsearch-public/print/downloadPdf/20210307872","USPTO PDF")</f>
        <v>0.0</v>
      </c>
      <c r="K1898" s="2" t="n">
        <f>HYPERLINK("https://sectors.patentforecast.com/pmd/US20210307872","PMD")</f>
        <v>0.0</v>
      </c>
      <c r="L1898" s="2" t="n">
        <f>HYPERLINK("https://globaldossier.uspto.gov/result/application/US/17220690/1","US20210307872")</f>
        <v>0.0</v>
      </c>
      <c r="M1898" t="s">
        <v>13130</v>
      </c>
      <c r="N1898" t="s">
        <v>13131</v>
      </c>
      <c r="O1898" t="s">
        <v>13132</v>
      </c>
      <c r="P1898" t="s">
        <v>13133</v>
      </c>
      <c r="Q1898" s="3" t="n">
        <v>44287.0</v>
      </c>
      <c r="R1898" s="3" t="n">
        <v>44476.0</v>
      </c>
      <c r="S1898" s="3" t="n">
        <v>44477.24227422454</v>
      </c>
      <c r="T1898" s="3" t="n">
        <v>44480.41221715278</v>
      </c>
      <c r="U1898" t="s">
        <v>13134</v>
      </c>
      <c r="V1898" t="s">
        <v>13135</v>
      </c>
    </row>
    <row r="1899">
      <c r="A1899" t="s">
        <v>22</v>
      </c>
      <c r="B1899" t="s">
        <v>13136</v>
      </c>
      <c r="C1899" t="s">
        <v>24</v>
      </c>
      <c r="D1899" t="s">
        <v>3193</v>
      </c>
      <c r="E1899" t="s">
        <v>13137</v>
      </c>
      <c r="F1899" s="2" t="n">
        <f>HYPERLINK("https://patents.google.com/patent/US20210307701","Google")</f>
        <v>0.0</v>
      </c>
      <c r="G1899" s="2" t="n">
        <f>HYPERLINK("https://patentcenter.uspto.gov/applications/17229315","Patent Center")</f>
        <v>0.0</v>
      </c>
      <c r="H1899" s="2" t="n">
        <f>HYPERLINK("https://worldwide.espacenet.com/patent/search?q=US20210307701","Espacenet")</f>
        <v>0.0</v>
      </c>
      <c r="I1899" s="2" t="n">
        <f>HYPERLINK("https://ppubs.uspto.gov/pubwebapp/external.html?q=20210307701.pn.","USPTO")</f>
        <v>0.0</v>
      </c>
      <c r="J1899" s="2" t="n">
        <f>HYPERLINK("https://image-ppubs.uspto.gov/dirsearch-public/print/downloadPdf/20210307701","USPTO PDF")</f>
        <v>0.0</v>
      </c>
      <c r="K1899" s="2" t="n">
        <f>HYPERLINK("https://sectors.patentforecast.com/pmd/US20210307701","PMD")</f>
        <v>0.0</v>
      </c>
      <c r="L1899" s="2" t="n">
        <f>HYPERLINK("https://globaldossier.uspto.gov/result/application/US/17229315/1","US20210307701")</f>
        <v>0.0</v>
      </c>
      <c r="M1899" t="s">
        <v>13138</v>
      </c>
      <c r="N1899" t="s">
        <v>7571</v>
      </c>
      <c r="O1899" t="s">
        <v>7572</v>
      </c>
      <c r="P1899" t="s">
        <v>12735</v>
      </c>
      <c r="Q1899" s="3" t="n">
        <v>44299.0</v>
      </c>
      <c r="R1899" s="3" t="n">
        <v>44476.0</v>
      </c>
      <c r="S1899" s="3" t="n">
        <v>44477.24227422454</v>
      </c>
      <c r="T1899" s="3" t="n">
        <v>44480.38296065972</v>
      </c>
      <c r="U1899" t="s">
        <v>13139</v>
      </c>
      <c r="V1899" t="s">
        <v>13140</v>
      </c>
    </row>
    <row r="1900">
      <c r="A1900" t="s">
        <v>22</v>
      </c>
      <c r="B1900" t="s">
        <v>13141</v>
      </c>
      <c r="C1900" t="s">
        <v>24</v>
      </c>
      <c r="D1900" t="s">
        <v>3193</v>
      </c>
      <c r="E1900" t="s">
        <v>13137</v>
      </c>
      <c r="F1900" s="2" t="n">
        <f>HYPERLINK("https://patents.google.com/patent/US20210307700","Google")</f>
        <v>0.0</v>
      </c>
      <c r="G1900" s="2" t="n">
        <f>HYPERLINK("https://patentcenter.uspto.gov/applications/17207434","Patent Center")</f>
        <v>0.0</v>
      </c>
      <c r="H1900" s="2" t="n">
        <f>HYPERLINK("https://worldwide.espacenet.com/patent/search?q=US20210307700","Espacenet")</f>
        <v>0.0</v>
      </c>
      <c r="I1900" s="2" t="n">
        <f>HYPERLINK("https://ppubs.uspto.gov/pubwebapp/external.html?q=20210307700.pn.","USPTO")</f>
        <v>0.0</v>
      </c>
      <c r="J1900" s="2" t="n">
        <f>HYPERLINK("https://image-ppubs.uspto.gov/dirsearch-public/print/downloadPdf/20210307700","USPTO PDF")</f>
        <v>0.0</v>
      </c>
      <c r="K1900" s="2" t="n">
        <f>HYPERLINK("https://sectors.patentforecast.com/pmd/US20210307700","PMD")</f>
        <v>0.0</v>
      </c>
      <c r="L1900" s="2" t="n">
        <f>HYPERLINK("https://globaldossier.uspto.gov/result/application/US/17207434/1","US20210307700")</f>
        <v>0.0</v>
      </c>
      <c r="M1900" t="s">
        <v>13142</v>
      </c>
      <c r="N1900" t="s">
        <v>7571</v>
      </c>
      <c r="O1900" t="s">
        <v>7572</v>
      </c>
      <c r="P1900" t="s">
        <v>12735</v>
      </c>
      <c r="Q1900" s="3" t="n">
        <v>44274.0</v>
      </c>
      <c r="R1900" s="3" t="n">
        <v>44476.0</v>
      </c>
      <c r="S1900" s="3" t="n">
        <v>44477.24227422454</v>
      </c>
      <c r="T1900" s="3" t="n">
        <v>44480.383701956016</v>
      </c>
      <c r="U1900" t="s">
        <v>13143</v>
      </c>
      <c r="V1900" t="s">
        <v>13140</v>
      </c>
    </row>
    <row r="1901">
      <c r="A1901" t="s">
        <v>22</v>
      </c>
      <c r="B1901" t="s">
        <v>13144</v>
      </c>
      <c r="C1901" t="s">
        <v>24</v>
      </c>
      <c r="D1901" t="s">
        <v>34</v>
      </c>
      <c r="E1901" t="s">
        <v>13145</v>
      </c>
      <c r="F1901" s="2" t="n">
        <f>HYPERLINK("https://patents.google.com/patent/US20210307683","Google")</f>
        <v>0.0</v>
      </c>
      <c r="G1901" s="2" t="n">
        <f>HYPERLINK("https://patentcenter.uspto.gov/applications/17112074","Patent Center")</f>
        <v>0.0</v>
      </c>
      <c r="H1901" s="2" t="n">
        <f>HYPERLINK("https://worldwide.espacenet.com/patent/search?q=US20210307683","Espacenet")</f>
        <v>0.0</v>
      </c>
      <c r="I1901" s="2" t="n">
        <f>HYPERLINK("https://ppubs.uspto.gov/pubwebapp/external.html?q=20210307683.pn.","USPTO")</f>
        <v>0.0</v>
      </c>
      <c r="J1901" s="2" t="n">
        <f>HYPERLINK("https://image-ppubs.uspto.gov/dirsearch-public/print/downloadPdf/20210307683","USPTO PDF")</f>
        <v>0.0</v>
      </c>
      <c r="K1901" s="2" t="n">
        <f>HYPERLINK("https://sectors.patentforecast.com/pmd/US20210307683","PMD")</f>
        <v>0.0</v>
      </c>
      <c r="L1901" s="2" t="n">
        <f>HYPERLINK("https://globaldossier.uspto.gov/result/application/US/17112074/1","US20210307683")</f>
        <v>0.0</v>
      </c>
      <c r="M1901" t="s">
        <v>13146</v>
      </c>
      <c r="N1901" t="s">
        <v>13147</v>
      </c>
      <c r="O1901" t="s">
        <v>13148</v>
      </c>
      <c r="P1901" t="s">
        <v>13149</v>
      </c>
      <c r="Q1901" s="3" t="n">
        <v>44169.0</v>
      </c>
      <c r="R1901" s="3" t="n">
        <v>44476.0</v>
      </c>
      <c r="S1901" s="3" t="n">
        <v>44643.23830542824</v>
      </c>
      <c r="T1901" s="3" t="n">
        <v>44719.603829976855</v>
      </c>
      <c r="U1901" t="s">
        <v>13150</v>
      </c>
      <c r="V1901" t="s">
        <v>13151</v>
      </c>
    </row>
    <row r="1902">
      <c r="A1902" t="s">
        <v>22</v>
      </c>
      <c r="B1902" t="s">
        <v>13152</v>
      </c>
      <c r="C1902" t="s">
        <v>24</v>
      </c>
      <c r="D1902" t="s">
        <v>34</v>
      </c>
      <c r="E1902" t="s">
        <v>13153</v>
      </c>
      <c r="F1902" s="2" t="n">
        <f>HYPERLINK("https://patents.google.com/patent/US20210307636","Google")</f>
        <v>0.0</v>
      </c>
      <c r="G1902" s="2" t="n">
        <f>HYPERLINK("https://patentcenter.uspto.gov/applications/17220769","Patent Center")</f>
        <v>0.0</v>
      </c>
      <c r="H1902" s="2" t="n">
        <f>HYPERLINK("https://worldwide.espacenet.com/patent/search?q=US20210307636","Espacenet")</f>
        <v>0.0</v>
      </c>
      <c r="I1902" s="2" t="n">
        <f>HYPERLINK("https://ppubs.uspto.gov/pubwebapp/external.html?q=20210307636.pn.","USPTO")</f>
        <v>0.0</v>
      </c>
      <c r="J1902" s="2" t="n">
        <f>HYPERLINK("https://image-ppubs.uspto.gov/dirsearch-public/print/downloadPdf/20210307636","USPTO PDF")</f>
        <v>0.0</v>
      </c>
      <c r="K1902" s="2" t="n">
        <f>HYPERLINK("https://sectors.patentforecast.com/pmd/US20210307636","PMD")</f>
        <v>0.0</v>
      </c>
      <c r="L1902" s="2" t="n">
        <f>HYPERLINK("https://globaldossier.uspto.gov/result/application/US/17220769/1","US20210307636")</f>
        <v>0.0</v>
      </c>
      <c r="M1902" t="s">
        <v>13154</v>
      </c>
      <c r="N1902" t="s">
        <v>13155</v>
      </c>
      <c r="O1902" t="s">
        <v>13156</v>
      </c>
      <c r="P1902" t="s">
        <v>13157</v>
      </c>
      <c r="Q1902" s="3" t="n">
        <v>44287.0</v>
      </c>
      <c r="R1902" s="3" t="n">
        <v>44476.0</v>
      </c>
      <c r="S1902" s="3" t="n">
        <v>44477.24227422454</v>
      </c>
      <c r="T1902" s="3" t="n">
        <v>44480.371936145835</v>
      </c>
      <c r="U1902" t="s">
        <v>13158</v>
      </c>
      <c r="V1902" t="s">
        <v>13159</v>
      </c>
    </row>
    <row r="1903">
      <c r="A1903" t="s">
        <v>22</v>
      </c>
      <c r="B1903" t="s">
        <v>13160</v>
      </c>
      <c r="C1903" t="s">
        <v>24</v>
      </c>
      <c r="D1903" t="s">
        <v>51</v>
      </c>
      <c r="E1903" t="s">
        <v>13161</v>
      </c>
      <c r="F1903" s="2" t="n">
        <f>HYPERLINK("https://patents.google.com/patent/US20210307614","Google")</f>
        <v>0.0</v>
      </c>
      <c r="G1903" s="2" t="n">
        <f>HYPERLINK("https://patentcenter.uspto.gov/applications/17195739","Patent Center")</f>
        <v>0.0</v>
      </c>
      <c r="H1903" s="2" t="n">
        <f>HYPERLINK("https://worldwide.espacenet.com/patent/search?q=US20210307614","Espacenet")</f>
        <v>0.0</v>
      </c>
      <c r="I1903" s="2" t="n">
        <f>HYPERLINK("https://ppubs.uspto.gov/pubwebapp/external.html?q=20210307614.pn.","USPTO")</f>
        <v>0.0</v>
      </c>
      <c r="J1903" s="2" t="n">
        <f>HYPERLINK("https://image-ppubs.uspto.gov/dirsearch-public/print/downloadPdf/20210307614","USPTO PDF")</f>
        <v>0.0</v>
      </c>
      <c r="K1903" s="2" t="n">
        <f>HYPERLINK("https://sectors.patentforecast.com/pmd/US20210307614","PMD")</f>
        <v>0.0</v>
      </c>
      <c r="L1903" s="2" t="n">
        <f>HYPERLINK("https://globaldossier.uspto.gov/result/application/US/17195739/1","US20210307614")</f>
        <v>0.0</v>
      </c>
      <c r="M1903" t="s">
        <v>13162</v>
      </c>
      <c r="N1903" t="s">
        <v>13163</v>
      </c>
      <c r="O1903" t="s">
        <v>13164</v>
      </c>
      <c r="P1903" t="s">
        <v>13165</v>
      </c>
      <c r="Q1903" s="3" t="n">
        <v>44264.0</v>
      </c>
      <c r="R1903" s="3" t="n">
        <v>44476.0</v>
      </c>
      <c r="S1903" s="3" t="n">
        <v>44477.24227422454</v>
      </c>
      <c r="T1903" s="3" t="n">
        <v>44480.39010278935</v>
      </c>
      <c r="U1903" t="s">
        <v>13166</v>
      </c>
      <c r="V1903" t="s">
        <v>13167</v>
      </c>
    </row>
    <row r="1904">
      <c r="A1904" t="s">
        <v>22</v>
      </c>
      <c r="B1904" t="s">
        <v>13168</v>
      </c>
      <c r="C1904" t="s">
        <v>24</v>
      </c>
      <c r="D1904" t="s">
        <v>69</v>
      </c>
      <c r="E1904" t="s">
        <v>13169</v>
      </c>
      <c r="F1904" s="2" t="n">
        <f>HYPERLINK("https://patents.google.com/patent/US20210307430","Google")</f>
        <v>0.0</v>
      </c>
      <c r="G1904" s="2" t="n">
        <f>HYPERLINK("https://patentcenter.uspto.gov/applications/17220648","Patent Center")</f>
        <v>0.0</v>
      </c>
      <c r="H1904" s="2" t="n">
        <f>HYPERLINK("https://worldwide.espacenet.com/patent/search?q=US20210307430","Espacenet")</f>
        <v>0.0</v>
      </c>
      <c r="I1904" s="2" t="n">
        <f>HYPERLINK("https://ppubs.uspto.gov/pubwebapp/external.html?q=20210307430.pn.","USPTO")</f>
        <v>0.0</v>
      </c>
      <c r="J1904" s="2" t="n">
        <f>HYPERLINK("https://image-ppubs.uspto.gov/dirsearch-public/print/downloadPdf/20210307430","USPTO PDF")</f>
        <v>0.0</v>
      </c>
      <c r="K1904" s="2" t="n">
        <f>HYPERLINK("https://sectors.patentforecast.com/pmd/US20210307430","PMD")</f>
        <v>0.0</v>
      </c>
      <c r="L1904" s="2" t="n">
        <f>HYPERLINK("https://globaldossier.uspto.gov/result/application/US/17220648/1","US20210307430")</f>
        <v>0.0</v>
      </c>
      <c r="M1904" t="s">
        <v>13170</v>
      </c>
      <c r="N1904" t="s">
        <v>13171</v>
      </c>
      <c r="O1904" t="s">
        <v>13172</v>
      </c>
      <c r="P1904" t="s">
        <v>13173</v>
      </c>
      <c r="Q1904" s="3" t="n">
        <v>44287.0</v>
      </c>
      <c r="R1904" s="3" t="n">
        <v>44476.0</v>
      </c>
      <c r="S1904" s="3" t="n">
        <v>44477.24227422454</v>
      </c>
      <c r="T1904" s="3" t="n">
        <v>44477.716088217596</v>
      </c>
      <c r="U1904" t="s">
        <v>13174</v>
      </c>
      <c r="V1904" t="s">
        <v>13175</v>
      </c>
    </row>
    <row r="1905">
      <c r="A1905" t="s">
        <v>22</v>
      </c>
      <c r="B1905" t="s">
        <v>13176</v>
      </c>
      <c r="C1905" t="s">
        <v>24</v>
      </c>
      <c r="D1905" t="s">
        <v>69</v>
      </c>
      <c r="E1905" t="s">
        <v>13177</v>
      </c>
      <c r="F1905" s="2" t="n">
        <f>HYPERLINK("https://patents.google.com/patent/US20210307429","Google")</f>
        <v>0.0</v>
      </c>
      <c r="G1905" s="2" t="n">
        <f>HYPERLINK("https://patentcenter.uspto.gov/applications/16839847","Patent Center")</f>
        <v>0.0</v>
      </c>
      <c r="H1905" s="2" t="n">
        <f>HYPERLINK("https://worldwide.espacenet.com/patent/search?q=US20210307429","Espacenet")</f>
        <v>0.0</v>
      </c>
      <c r="I1905" s="2" t="n">
        <f>HYPERLINK("https://ppubs.uspto.gov/pubwebapp/external.html?q=20210307429.pn.","USPTO")</f>
        <v>0.0</v>
      </c>
      <c r="J1905" s="2" t="n">
        <f>HYPERLINK("https://image-ppubs.uspto.gov/dirsearch-public/print/downloadPdf/20210307429","USPTO PDF")</f>
        <v>0.0</v>
      </c>
      <c r="K1905" s="2" t="n">
        <f>HYPERLINK("https://sectors.patentforecast.com/pmd/US20210307429","PMD")</f>
        <v>0.0</v>
      </c>
      <c r="L1905" s="2" t="n">
        <f>HYPERLINK("https://globaldossier.uspto.gov/result/application/US/16839847/1","US20210307429")</f>
        <v>0.0</v>
      </c>
      <c r="M1905" t="s">
        <v>13178</v>
      </c>
      <c r="N1905" t="s">
        <v>1598</v>
      </c>
      <c r="O1905" t="s">
        <v>1599</v>
      </c>
      <c r="P1905" t="s">
        <v>1600</v>
      </c>
      <c r="Q1905" s="3" t="n">
        <v>43924.0</v>
      </c>
      <c r="R1905" s="3" t="n">
        <v>44476.0</v>
      </c>
      <c r="S1905" s="3" t="n">
        <v>44477.24227422454</v>
      </c>
      <c r="T1905" s="3" t="n">
        <v>44480.393578344905</v>
      </c>
      <c r="U1905" t="s">
        <v>13179</v>
      </c>
      <c r="V1905" t="s">
        <v>13180</v>
      </c>
    </row>
    <row r="1906">
      <c r="A1906" t="s">
        <v>22</v>
      </c>
      <c r="B1906" t="s">
        <v>13181</v>
      </c>
      <c r="C1906" t="s">
        <v>24</v>
      </c>
      <c r="D1906" t="s">
        <v>69</v>
      </c>
      <c r="E1906" t="s">
        <v>13182</v>
      </c>
      <c r="F1906" s="2" t="n">
        <f>HYPERLINK("https://patents.google.com/patent/US20210307428","Google")</f>
        <v>0.0</v>
      </c>
      <c r="G1906" s="2" t="n">
        <f>HYPERLINK("https://patentcenter.uspto.gov/applications/16839827","Patent Center")</f>
        <v>0.0</v>
      </c>
      <c r="H1906" s="2" t="n">
        <f>HYPERLINK("https://worldwide.espacenet.com/patent/search?q=US20210307428","Espacenet")</f>
        <v>0.0</v>
      </c>
      <c r="I1906" s="2" t="n">
        <f>HYPERLINK("https://ppubs.uspto.gov/pubwebapp/external.html?q=20210307428.pn.","USPTO")</f>
        <v>0.0</v>
      </c>
      <c r="J1906" s="2" t="n">
        <f>HYPERLINK("https://image-ppubs.uspto.gov/dirsearch-public/print/downloadPdf/20210307428","USPTO PDF")</f>
        <v>0.0</v>
      </c>
      <c r="K1906" s="2" t="n">
        <f>HYPERLINK("https://sectors.patentforecast.com/pmd/US20210307428","PMD")</f>
        <v>0.0</v>
      </c>
      <c r="L1906" s="2" t="n">
        <f>HYPERLINK("https://globaldossier.uspto.gov/result/application/US/16839827/1","US20210307428")</f>
        <v>0.0</v>
      </c>
      <c r="M1906" t="s">
        <v>13183</v>
      </c>
      <c r="N1906" t="s">
        <v>1598</v>
      </c>
      <c r="O1906" t="s">
        <v>1599</v>
      </c>
      <c r="P1906" t="s">
        <v>1600</v>
      </c>
      <c r="Q1906" s="3" t="n">
        <v>43924.0</v>
      </c>
      <c r="R1906" s="3" t="n">
        <v>44476.0</v>
      </c>
      <c r="S1906" s="3" t="n">
        <v>44477.24227422454</v>
      </c>
      <c r="T1906" s="3" t="n">
        <v>44480.39371571759</v>
      </c>
      <c r="U1906" t="s">
        <v>13184</v>
      </c>
      <c r="V1906" t="s">
        <v>13185</v>
      </c>
    </row>
    <row r="1907">
      <c r="A1907" t="s">
        <v>22</v>
      </c>
      <c r="B1907" t="s">
        <v>13186</v>
      </c>
      <c r="C1907" t="s">
        <v>24</v>
      </c>
      <c r="D1907" t="s">
        <v>69</v>
      </c>
      <c r="E1907" t="s">
        <v>13187</v>
      </c>
      <c r="F1907" s="2" t="n">
        <f>HYPERLINK("https://patents.google.com/patent/US20210307426","Google")</f>
        <v>0.0</v>
      </c>
      <c r="G1907" s="2" t="n">
        <f>HYPERLINK("https://patentcenter.uspto.gov/applications/17201074","Patent Center")</f>
        <v>0.0</v>
      </c>
      <c r="H1907" s="2" t="n">
        <f>HYPERLINK("https://worldwide.espacenet.com/patent/search?q=US20210307426","Espacenet")</f>
        <v>0.0</v>
      </c>
      <c r="I1907" s="2" t="n">
        <f>HYPERLINK("https://ppubs.uspto.gov/pubwebapp/external.html?q=20210307426.pn.","USPTO")</f>
        <v>0.0</v>
      </c>
      <c r="J1907" s="2" t="n">
        <f>HYPERLINK("https://image-ppubs.uspto.gov/dirsearch-public/print/downloadPdf/20210307426","USPTO PDF")</f>
        <v>0.0</v>
      </c>
      <c r="K1907" s="2" t="n">
        <f>HYPERLINK("https://sectors.patentforecast.com/pmd/US20210307426","PMD")</f>
        <v>0.0</v>
      </c>
      <c r="L1907" s="2" t="n">
        <f>HYPERLINK("https://globaldossier.uspto.gov/result/application/US/17201074/1","US20210307426")</f>
        <v>0.0</v>
      </c>
      <c r="M1907" t="s">
        <v>13188</v>
      </c>
      <c r="N1907" t="s">
        <v>13189</v>
      </c>
      <c r="O1907" t="s">
        <v>13190</v>
      </c>
      <c r="P1907" t="s">
        <v>13191</v>
      </c>
      <c r="Q1907" s="3" t="n">
        <v>44270.0</v>
      </c>
      <c r="R1907" s="3" t="n">
        <v>44476.0</v>
      </c>
      <c r="S1907" s="3" t="n">
        <v>44477.24227422454</v>
      </c>
      <c r="T1907" s="3" t="n">
        <v>44480.40126099537</v>
      </c>
      <c r="U1907" t="s">
        <v>11720</v>
      </c>
      <c r="V1907" t="s">
        <v>13192</v>
      </c>
    </row>
    <row r="1908">
      <c r="A1908" t="s">
        <v>22</v>
      </c>
      <c r="B1908" t="s">
        <v>13193</v>
      </c>
      <c r="C1908" t="s">
        <v>24</v>
      </c>
      <c r="D1908" t="s">
        <v>69</v>
      </c>
      <c r="E1908" t="s">
        <v>13194</v>
      </c>
      <c r="F1908" s="2" t="n">
        <f>HYPERLINK("https://patents.google.com/patent/US20210307422","Google")</f>
        <v>0.0</v>
      </c>
      <c r="G1908" s="2" t="n">
        <f>HYPERLINK("https://patentcenter.uspto.gov/applications/17221233","Patent Center")</f>
        <v>0.0</v>
      </c>
      <c r="H1908" s="2" t="n">
        <f>HYPERLINK("https://worldwide.espacenet.com/patent/search?q=US20210307422","Espacenet")</f>
        <v>0.0</v>
      </c>
      <c r="I1908" s="2" t="n">
        <f>HYPERLINK("https://ppubs.uspto.gov/pubwebapp/external.html?q=20210307422.pn.","USPTO")</f>
        <v>0.0</v>
      </c>
      <c r="J1908" s="2" t="n">
        <f>HYPERLINK("https://image-ppubs.uspto.gov/dirsearch-public/print/downloadPdf/20210307422","USPTO PDF")</f>
        <v>0.0</v>
      </c>
      <c r="K1908" s="2" t="n">
        <f>HYPERLINK("https://sectors.patentforecast.com/pmd/US20210307422","PMD")</f>
        <v>0.0</v>
      </c>
      <c r="L1908" s="2" t="n">
        <f>HYPERLINK("https://globaldossier.uspto.gov/result/application/US/17221233/1","US20210307422")</f>
        <v>0.0</v>
      </c>
      <c r="M1908" t="s">
        <v>13195</v>
      </c>
      <c r="N1908" t="s">
        <v>13196</v>
      </c>
      <c r="O1908" t="s">
        <v>13197</v>
      </c>
      <c r="P1908" t="s">
        <v>13198</v>
      </c>
      <c r="Q1908" s="3" t="n">
        <v>44288.0</v>
      </c>
      <c r="R1908" s="3" t="n">
        <v>44476.0</v>
      </c>
      <c r="S1908" s="3" t="n">
        <v>44477.24227422454</v>
      </c>
      <c r="T1908" s="3" t="n">
        <v>44477.71950361111</v>
      </c>
      <c r="U1908" t="s">
        <v>13199</v>
      </c>
      <c r="V1908" t="s">
        <v>13200</v>
      </c>
    </row>
    <row r="1909">
      <c r="A1909" t="s">
        <v>22</v>
      </c>
      <c r="B1909" t="s">
        <v>13201</v>
      </c>
      <c r="C1909" t="s">
        <v>24</v>
      </c>
      <c r="D1909" t="s">
        <v>69</v>
      </c>
      <c r="E1909" t="s">
        <v>13202</v>
      </c>
      <c r="F1909" s="2" t="n">
        <f>HYPERLINK("https://patents.google.com/patent/US20210307421","Google")</f>
        <v>0.0</v>
      </c>
      <c r="G1909" s="2" t="n">
        <f>HYPERLINK("https://patentcenter.uspto.gov/applications/17220266","Patent Center")</f>
        <v>0.0</v>
      </c>
      <c r="H1909" s="2" t="n">
        <f>HYPERLINK("https://worldwide.espacenet.com/patent/search?q=US20210307421","Espacenet")</f>
        <v>0.0</v>
      </c>
      <c r="I1909" s="2" t="n">
        <f>HYPERLINK("https://ppubs.uspto.gov/pubwebapp/external.html?q=20210307421.pn.","USPTO")</f>
        <v>0.0</v>
      </c>
      <c r="J1909" s="2" t="n">
        <f>HYPERLINK("https://image-ppubs.uspto.gov/dirsearch-public/print/downloadPdf/20210307421","USPTO PDF")</f>
        <v>0.0</v>
      </c>
      <c r="K1909" s="2" t="n">
        <f>HYPERLINK("https://sectors.patentforecast.com/pmd/US20210307421","PMD")</f>
        <v>0.0</v>
      </c>
      <c r="L1909" s="2" t="n">
        <f>HYPERLINK("https://globaldossier.uspto.gov/result/application/US/17220266/1","US20210307421")</f>
        <v>0.0</v>
      </c>
      <c r="M1909" t="s">
        <v>13203</v>
      </c>
      <c r="N1909" t="s">
        <v>13204</v>
      </c>
      <c r="O1909" t="s">
        <v>13205</v>
      </c>
      <c r="P1909" t="s">
        <v>13206</v>
      </c>
      <c r="Q1909" s="3" t="n">
        <v>44287.0</v>
      </c>
      <c r="R1909" s="3" t="n">
        <v>44476.0</v>
      </c>
      <c r="S1909" s="3" t="n">
        <v>44477.24227422454</v>
      </c>
      <c r="T1909" s="3" t="n">
        <v>44480.35669248843</v>
      </c>
      <c r="U1909" t="s">
        <v>12301</v>
      </c>
      <c r="V1909" t="s">
        <v>13207</v>
      </c>
    </row>
    <row r="1910">
      <c r="A1910" t="s">
        <v>22</v>
      </c>
      <c r="B1910" t="s">
        <v>13208</v>
      </c>
      <c r="C1910" t="s">
        <v>24</v>
      </c>
      <c r="D1910" t="s">
        <v>69</v>
      </c>
      <c r="E1910" t="s">
        <v>13209</v>
      </c>
      <c r="F1910" s="2" t="n">
        <f>HYPERLINK("https://patents.google.com/patent/US20210307419","Google")</f>
        <v>0.0</v>
      </c>
      <c r="G1910" s="2" t="n">
        <f>HYPERLINK("https://patentcenter.uspto.gov/applications/16875853","Patent Center")</f>
        <v>0.0</v>
      </c>
      <c r="H1910" s="2" t="n">
        <f>HYPERLINK("https://worldwide.espacenet.com/patent/search?q=US20210307419","Espacenet")</f>
        <v>0.0</v>
      </c>
      <c r="I1910" s="2" t="n">
        <f>HYPERLINK("https://ppubs.uspto.gov/pubwebapp/external.html?q=20210307419.pn.","USPTO")</f>
        <v>0.0</v>
      </c>
      <c r="J1910" s="2" t="n">
        <f>HYPERLINK("https://image-ppubs.uspto.gov/dirsearch-public/print/downloadPdf/20210307419","USPTO PDF")</f>
        <v>0.0</v>
      </c>
      <c r="K1910" s="2" t="n">
        <f>HYPERLINK("https://sectors.patentforecast.com/pmd/US20210307419","PMD")</f>
        <v>0.0</v>
      </c>
      <c r="L1910" s="2" t="n">
        <f>HYPERLINK("https://globaldossier.uspto.gov/result/application/US/16875853/1","US20210307419")</f>
        <v>0.0</v>
      </c>
      <c r="M1910" t="s">
        <v>13210</v>
      </c>
      <c r="N1910" t="s">
        <v>13211</v>
      </c>
      <c r="O1910" t="s">
        <v>13212</v>
      </c>
      <c r="P1910" t="s">
        <v>13213</v>
      </c>
      <c r="Q1910" s="3" t="n">
        <v>43966.0</v>
      </c>
      <c r="R1910" s="3" t="n">
        <v>44476.0</v>
      </c>
      <c r="S1910" s="3" t="n">
        <v>44477.24227422454</v>
      </c>
      <c r="T1910" s="3" t="n">
        <v>44477.712140578704</v>
      </c>
      <c r="U1910" t="s">
        <v>13214</v>
      </c>
      <c r="V1910" t="s">
        <v>13215</v>
      </c>
    </row>
    <row r="1911">
      <c r="A1911" t="s">
        <v>22</v>
      </c>
      <c r="B1911" t="s">
        <v>13216</v>
      </c>
      <c r="C1911" t="s">
        <v>24</v>
      </c>
      <c r="D1911" t="s">
        <v>69</v>
      </c>
      <c r="E1911" t="s">
        <v>1172</v>
      </c>
      <c r="F1911" s="2" t="n">
        <f>HYPERLINK("https://patents.google.com/patent/US20210307418","Google")</f>
        <v>0.0</v>
      </c>
      <c r="G1911" s="2" t="n">
        <f>HYPERLINK("https://patentcenter.uspto.gov/applications/17352340","Patent Center")</f>
        <v>0.0</v>
      </c>
      <c r="H1911" s="2" t="n">
        <f>HYPERLINK("https://worldwide.espacenet.com/patent/search?q=US20210307418","Espacenet")</f>
        <v>0.0</v>
      </c>
      <c r="I1911" s="2" t="n">
        <f>HYPERLINK("https://ppubs.uspto.gov/pubwebapp/external.html?q=20210307418.pn.","USPTO")</f>
        <v>0.0</v>
      </c>
      <c r="J1911" s="2" t="n">
        <f>HYPERLINK("https://image-ppubs.uspto.gov/dirsearch-public/print/downloadPdf/20210307418","USPTO PDF")</f>
        <v>0.0</v>
      </c>
      <c r="K1911" s="2" t="n">
        <f>HYPERLINK("https://sectors.patentforecast.com/pmd/US20210307418","PMD")</f>
        <v>0.0</v>
      </c>
      <c r="L1911" s="2" t="n">
        <f>HYPERLINK("https://globaldossier.uspto.gov/result/application/US/17352340/1","US20210307418")</f>
        <v>0.0</v>
      </c>
      <c r="M1911" t="s">
        <v>13217</v>
      </c>
      <c r="N1911" t="s">
        <v>1174</v>
      </c>
      <c r="O1911" t="s">
        <v>1175</v>
      </c>
      <c r="P1911" t="s">
        <v>13218</v>
      </c>
      <c r="Q1911" s="3" t="n">
        <v>44367.0</v>
      </c>
      <c r="R1911" s="3" t="n">
        <v>44476.0</v>
      </c>
      <c r="S1911" s="3" t="n">
        <v>44477.24227422454</v>
      </c>
      <c r="T1911" s="3" t="n">
        <v>44480.383912094905</v>
      </c>
      <c r="U1911" t="s">
        <v>13219</v>
      </c>
      <c r="V1911" t="s">
        <v>13220</v>
      </c>
    </row>
    <row r="1912">
      <c r="A1912" t="s">
        <v>22</v>
      </c>
      <c r="B1912" t="s">
        <v>13221</v>
      </c>
      <c r="C1912" t="s">
        <v>24</v>
      </c>
      <c r="D1912" t="s">
        <v>69</v>
      </c>
      <c r="E1912" t="s">
        <v>13222</v>
      </c>
      <c r="F1912" s="2" t="n">
        <f>HYPERLINK("https://patents.google.com/patent/US20210307415","Google")</f>
        <v>0.0</v>
      </c>
      <c r="G1912" s="2" t="n">
        <f>HYPERLINK("https://patentcenter.uspto.gov/applications/17039240","Patent Center")</f>
        <v>0.0</v>
      </c>
      <c r="H1912" s="2" t="n">
        <f>HYPERLINK("https://worldwide.espacenet.com/patent/search?q=US20210307415","Espacenet")</f>
        <v>0.0</v>
      </c>
      <c r="I1912" s="2" t="n">
        <f>HYPERLINK("https://ppubs.uspto.gov/pubwebapp/external.html?q=20210307415.pn.","USPTO")</f>
        <v>0.0</v>
      </c>
      <c r="J1912" s="2" t="n">
        <f>HYPERLINK("https://image-ppubs.uspto.gov/dirsearch-public/print/downloadPdf/20210307415","USPTO PDF")</f>
        <v>0.0</v>
      </c>
      <c r="K1912" s="2" t="n">
        <f>HYPERLINK("https://sectors.patentforecast.com/pmd/US20210307415","PMD")</f>
        <v>0.0</v>
      </c>
      <c r="L1912" s="2" t="n">
        <f>HYPERLINK("https://globaldossier.uspto.gov/result/application/US/17039240/1","US20210307415")</f>
        <v>0.0</v>
      </c>
      <c r="M1912" t="s">
        <v>13223</v>
      </c>
      <c r="N1912" t="s">
        <v>13224</v>
      </c>
      <c r="O1912" t="s">
        <v>13225</v>
      </c>
      <c r="P1912" t="s">
        <v>13226</v>
      </c>
      <c r="Q1912" s="3" t="n">
        <v>44104.0</v>
      </c>
      <c r="R1912" s="3" t="n">
        <v>44476.0</v>
      </c>
      <c r="S1912" s="3" t="n">
        <v>44477.24227422454</v>
      </c>
      <c r="T1912" s="3" t="n">
        <v>44480.40014806713</v>
      </c>
      <c r="U1912" t="s">
        <v>13227</v>
      </c>
      <c r="V1912" t="s">
        <v>13228</v>
      </c>
    </row>
    <row r="1913">
      <c r="A1913" t="s">
        <v>22</v>
      </c>
      <c r="B1913" t="s">
        <v>13229</v>
      </c>
      <c r="C1913" t="s">
        <v>24</v>
      </c>
      <c r="D1913" t="s">
        <v>43</v>
      </c>
      <c r="E1913" t="s">
        <v>13230</v>
      </c>
      <c r="F1913" s="2" t="n">
        <f>HYPERLINK("https://patents.google.com/patent/US20210306808","Google")</f>
        <v>0.0</v>
      </c>
      <c r="G1913" s="2" t="n">
        <f>HYPERLINK("https://patentcenter.uspto.gov/applications/17219302","Patent Center")</f>
        <v>0.0</v>
      </c>
      <c r="H1913" s="2" t="n">
        <f>HYPERLINK("https://worldwide.espacenet.com/patent/search?q=US20210306808","Espacenet")</f>
        <v>0.0</v>
      </c>
      <c r="I1913" s="2" t="n">
        <f>HYPERLINK("https://ppubs.uspto.gov/pubwebapp/external.html?q=20210306808.pn.","USPTO")</f>
        <v>0.0</v>
      </c>
      <c r="J1913" s="2" t="n">
        <f>HYPERLINK("https://image-ppubs.uspto.gov/dirsearch-public/print/downloadPdf/20210306808","USPTO PDF")</f>
        <v>0.0</v>
      </c>
      <c r="K1913" s="2" t="n">
        <f>HYPERLINK("https://sectors.patentforecast.com/pmd/US20210306808","PMD")</f>
        <v>0.0</v>
      </c>
      <c r="L1913" s="2" t="n">
        <f>HYPERLINK("https://globaldossier.uspto.gov/result/application/US/17219302/1","US20210306808")</f>
        <v>0.0</v>
      </c>
      <c r="M1913" t="s">
        <v>13231</v>
      </c>
      <c r="N1913" t="s">
        <v>13232</v>
      </c>
      <c r="O1913" t="s">
        <v>13233</v>
      </c>
      <c r="P1913" t="s">
        <v>13234</v>
      </c>
      <c r="Q1913" s="3" t="n">
        <v>44286.0</v>
      </c>
      <c r="R1913" s="3" t="n">
        <v>44469.0</v>
      </c>
      <c r="S1913" s="3" t="n">
        <v>44470.23335619213</v>
      </c>
      <c r="T1913" s="3" t="n">
        <v>44474.61023092593</v>
      </c>
      <c r="U1913" t="s">
        <v>13235</v>
      </c>
      <c r="V1913" t="s">
        <v>13236</v>
      </c>
    </row>
    <row r="1914">
      <c r="A1914" t="s">
        <v>22</v>
      </c>
      <c r="B1914" t="s">
        <v>13237</v>
      </c>
      <c r="C1914" t="s">
        <v>24</v>
      </c>
      <c r="D1914" t="s">
        <v>43</v>
      </c>
      <c r="E1914" t="s">
        <v>13238</v>
      </c>
      <c r="F1914" s="2" t="n">
        <f>HYPERLINK("https://patents.google.com/patent/US20210306797","Google")</f>
        <v>0.0</v>
      </c>
      <c r="G1914" s="2" t="n">
        <f>HYPERLINK("https://patentcenter.uspto.gov/applications/17208551","Patent Center")</f>
        <v>0.0</v>
      </c>
      <c r="H1914" s="2" t="n">
        <f>HYPERLINK("https://worldwide.espacenet.com/patent/search?q=US20210306797","Espacenet")</f>
        <v>0.0</v>
      </c>
      <c r="I1914" s="2" t="n">
        <f>HYPERLINK("https://ppubs.uspto.gov/pubwebapp/external.html?q=20210306797.pn.","USPTO")</f>
        <v>0.0</v>
      </c>
      <c r="J1914" s="2" t="n">
        <f>HYPERLINK("https://image-ppubs.uspto.gov/dirsearch-public/print/downloadPdf/20210306797","USPTO PDF")</f>
        <v>0.0</v>
      </c>
      <c r="K1914" s="2" t="n">
        <f>HYPERLINK("https://sectors.patentforecast.com/pmd/US20210306797","PMD")</f>
        <v>0.0</v>
      </c>
      <c r="L1914" s="2" t="n">
        <f>HYPERLINK("https://globaldossier.uspto.gov/result/application/US/17208551/1","US20210306797")</f>
        <v>0.0</v>
      </c>
      <c r="M1914" t="s">
        <v>13239</v>
      </c>
      <c r="N1914" t="s">
        <v>5352</v>
      </c>
      <c r="O1914" t="s">
        <v>5352</v>
      </c>
      <c r="P1914" t="s">
        <v>13240</v>
      </c>
      <c r="Q1914" s="3" t="n">
        <v>44277.0</v>
      </c>
      <c r="R1914" s="3" t="n">
        <v>44469.0</v>
      </c>
      <c r="S1914" s="3" t="n">
        <v>44470.23335619213</v>
      </c>
      <c r="T1914" s="3" t="n">
        <v>44474.57711412037</v>
      </c>
      <c r="U1914" t="s">
        <v>13241</v>
      </c>
      <c r="V1914" t="s">
        <v>13242</v>
      </c>
    </row>
    <row r="1915">
      <c r="A1915" t="s">
        <v>22</v>
      </c>
      <c r="B1915" t="s">
        <v>13243</v>
      </c>
      <c r="C1915" t="s">
        <v>24</v>
      </c>
      <c r="D1915" t="s">
        <v>34</v>
      </c>
      <c r="E1915" t="s">
        <v>13244</v>
      </c>
      <c r="F1915" s="2" t="n">
        <f>HYPERLINK("https://patents.google.com/patent/US20210304901","Google")</f>
        <v>0.0</v>
      </c>
      <c r="G1915" s="2" t="n">
        <f>HYPERLINK("https://patentcenter.uspto.gov/applications/17211349","Patent Center")</f>
        <v>0.0</v>
      </c>
      <c r="H1915" s="2" t="n">
        <f>HYPERLINK("https://worldwide.espacenet.com/patent/search?q=US20210304901","Espacenet")</f>
        <v>0.0</v>
      </c>
      <c r="I1915" s="2" t="n">
        <f>HYPERLINK("https://ppubs.uspto.gov/pubwebapp/external.html?q=20210304901.pn.","USPTO")</f>
        <v>0.0</v>
      </c>
      <c r="J1915" s="2" t="n">
        <f>HYPERLINK("https://image-ppubs.uspto.gov/dirsearch-public/print/downloadPdf/20210304901","USPTO PDF")</f>
        <v>0.0</v>
      </c>
      <c r="K1915" s="2" t="n">
        <f>HYPERLINK("https://sectors.patentforecast.com/pmd/US20210304901","PMD")</f>
        <v>0.0</v>
      </c>
      <c r="L1915" s="2" t="n">
        <f>HYPERLINK("https://globaldossier.uspto.gov/result/application/US/17211349/1","US20210304901")</f>
        <v>0.0</v>
      </c>
      <c r="M1915" t="s">
        <v>13245</v>
      </c>
      <c r="N1915" t="s">
        <v>103</v>
      </c>
      <c r="O1915" t="s">
        <v>104</v>
      </c>
      <c r="P1915" t="s">
        <v>13246</v>
      </c>
      <c r="Q1915" s="3" t="n">
        <v>44279.0</v>
      </c>
      <c r="R1915" s="3" t="n">
        <v>44469.0</v>
      </c>
      <c r="S1915" s="3" t="n">
        <v>44470.23335619213</v>
      </c>
      <c r="T1915" s="3" t="n">
        <v>44474.62032648148</v>
      </c>
      <c r="U1915" t="s">
        <v>13247</v>
      </c>
      <c r="V1915" t="s">
        <v>13248</v>
      </c>
    </row>
    <row r="1916">
      <c r="A1916" t="s">
        <v>22</v>
      </c>
      <c r="B1916" t="s">
        <v>13249</v>
      </c>
      <c r="C1916" t="s">
        <v>24</v>
      </c>
      <c r="D1916" t="s">
        <v>3193</v>
      </c>
      <c r="E1916" t="s">
        <v>13250</v>
      </c>
      <c r="F1916" s="2" t="n">
        <f>HYPERLINK("https://patents.google.com/patent/US20210304900","Google")</f>
        <v>0.0</v>
      </c>
      <c r="G1916" s="2" t="n">
        <f>HYPERLINK("https://patentcenter.uspto.gov/applications/16928689","Patent Center")</f>
        <v>0.0</v>
      </c>
      <c r="H1916" s="2" t="n">
        <f>HYPERLINK("https://worldwide.espacenet.com/patent/search?q=US20210304900","Espacenet")</f>
        <v>0.0</v>
      </c>
      <c r="I1916" s="2" t="n">
        <f>HYPERLINK("https://ppubs.uspto.gov/pubwebapp/external.html?q=20210304900.pn.","USPTO")</f>
        <v>0.0</v>
      </c>
      <c r="J1916" s="2" t="n">
        <f>HYPERLINK("https://image-ppubs.uspto.gov/dirsearch-public/print/downloadPdf/20210304900","USPTO PDF")</f>
        <v>0.0</v>
      </c>
      <c r="K1916" s="2" t="n">
        <f>HYPERLINK("https://sectors.patentforecast.com/pmd/US20210304900","PMD")</f>
        <v>0.0</v>
      </c>
      <c r="L1916" s="2" t="n">
        <f>HYPERLINK("https://globaldossier.uspto.gov/result/application/US/16928689/1","US20210304900")</f>
        <v>0.0</v>
      </c>
      <c r="M1916" t="s">
        <v>13251</v>
      </c>
      <c r="N1916" t="s">
        <v>11309</v>
      </c>
      <c r="O1916" t="s">
        <v>11310</v>
      </c>
      <c r="P1916" t="s">
        <v>13252</v>
      </c>
      <c r="Q1916" s="3" t="n">
        <v>44026.0</v>
      </c>
      <c r="R1916" s="3" t="n">
        <v>44469.0</v>
      </c>
      <c r="S1916" s="3" t="n">
        <v>44470.23405313658</v>
      </c>
      <c r="T1916" s="3" t="n">
        <v>44474.635846377314</v>
      </c>
      <c r="U1916" t="s">
        <v>13253</v>
      </c>
      <c r="V1916" t="s">
        <v>13254</v>
      </c>
    </row>
    <row r="1917">
      <c r="A1917" t="s">
        <v>22</v>
      </c>
      <c r="B1917" t="s">
        <v>13255</v>
      </c>
      <c r="C1917" t="s">
        <v>24</v>
      </c>
      <c r="D1917" t="s">
        <v>43</v>
      </c>
      <c r="E1917" t="s">
        <v>13256</v>
      </c>
      <c r="F1917" s="2" t="n">
        <f>HYPERLINK("https://patents.google.com/patent/US20210304897","Google")</f>
        <v>0.0</v>
      </c>
      <c r="G1917" s="2" t="n">
        <f>HYPERLINK("https://patentcenter.uspto.gov/applications/16828314","Patent Center")</f>
        <v>0.0</v>
      </c>
      <c r="H1917" s="2" t="n">
        <f>HYPERLINK("https://worldwide.espacenet.com/patent/search?q=US20210304897","Espacenet")</f>
        <v>0.0</v>
      </c>
      <c r="I1917" s="2" t="n">
        <f>HYPERLINK("https://ppubs.uspto.gov/pubwebapp/external.html?q=20210304897.pn.","USPTO")</f>
        <v>0.0</v>
      </c>
      <c r="J1917" s="2" t="n">
        <f>HYPERLINK("https://image-ppubs.uspto.gov/dirsearch-public/print/downloadPdf/20210304897","USPTO PDF")</f>
        <v>0.0</v>
      </c>
      <c r="K1917" s="2" t="n">
        <f>HYPERLINK("https://sectors.patentforecast.com/pmd/US20210304897","PMD")</f>
        <v>0.0</v>
      </c>
      <c r="L1917" s="2" t="n">
        <f>HYPERLINK("https://globaldossier.uspto.gov/result/application/US/16828314/1","US20210304897")</f>
        <v>0.0</v>
      </c>
      <c r="M1917" t="s">
        <v>13257</v>
      </c>
      <c r="N1917" t="s">
        <v>947</v>
      </c>
      <c r="O1917" t="s">
        <v>948</v>
      </c>
      <c r="P1917" t="s">
        <v>13258</v>
      </c>
      <c r="Q1917" s="3" t="n">
        <v>43914.0</v>
      </c>
      <c r="R1917" s="3" t="n">
        <v>44469.0</v>
      </c>
      <c r="S1917" s="3" t="n">
        <v>44498.23242851852</v>
      </c>
      <c r="T1917" s="3" t="n">
        <v>44501.62048737268</v>
      </c>
      <c r="U1917" t="s">
        <v>13259</v>
      </c>
      <c r="V1917" t="s">
        <v>13260</v>
      </c>
    </row>
    <row r="1918">
      <c r="A1918" t="s">
        <v>22</v>
      </c>
      <c r="B1918" t="s">
        <v>13261</v>
      </c>
      <c r="C1918" t="s">
        <v>24</v>
      </c>
      <c r="D1918" t="s">
        <v>204</v>
      </c>
      <c r="E1918" t="s">
        <v>13262</v>
      </c>
      <c r="F1918" s="2" t="n">
        <f>HYPERLINK("https://patents.google.com/patent/US20210304858","Google")</f>
        <v>0.0</v>
      </c>
      <c r="G1918" s="2" t="n">
        <f>HYPERLINK("https://patentcenter.uspto.gov/applications/17217762","Patent Center")</f>
        <v>0.0</v>
      </c>
      <c r="H1918" s="2" t="n">
        <f>HYPERLINK("https://worldwide.espacenet.com/patent/search?q=US20210304858","Espacenet")</f>
        <v>0.0</v>
      </c>
      <c r="I1918" s="2" t="n">
        <f>HYPERLINK("https://ppubs.uspto.gov/pubwebapp/external.html?q=20210304858.pn.","USPTO")</f>
        <v>0.0</v>
      </c>
      <c r="J1918" s="2" t="n">
        <f>HYPERLINK("https://image-ppubs.uspto.gov/dirsearch-public/print/downloadPdf/20210304858","USPTO PDF")</f>
        <v>0.0</v>
      </c>
      <c r="K1918" s="2" t="n">
        <f>HYPERLINK("https://sectors.patentforecast.com/pmd/US20210304858","PMD")</f>
        <v>0.0</v>
      </c>
      <c r="L1918" s="2" t="n">
        <f>HYPERLINK("https://globaldossier.uspto.gov/result/application/US/17217762/1","US20210304858")</f>
        <v>0.0</v>
      </c>
      <c r="M1918" t="s">
        <v>13263</v>
      </c>
      <c r="N1918" t="s">
        <v>13264</v>
      </c>
      <c r="O1918" t="s">
        <v>13265</v>
      </c>
      <c r="P1918" t="s">
        <v>13266</v>
      </c>
      <c r="Q1918" s="3" t="n">
        <v>44285.0</v>
      </c>
      <c r="R1918" s="3" t="n">
        <v>44469.0</v>
      </c>
      <c r="S1918" s="3" t="n">
        <v>44470.23335619213</v>
      </c>
      <c r="T1918" s="3" t="n">
        <v>44474.577327824074</v>
      </c>
      <c r="U1918" t="s">
        <v>13267</v>
      </c>
      <c r="V1918" t="s">
        <v>13268</v>
      </c>
    </row>
    <row r="1919">
      <c r="A1919" t="s">
        <v>22</v>
      </c>
      <c r="B1919" t="s">
        <v>13269</v>
      </c>
      <c r="C1919" t="s">
        <v>24</v>
      </c>
      <c r="D1919" t="s">
        <v>51</v>
      </c>
      <c r="E1919" t="s">
        <v>13270</v>
      </c>
      <c r="F1919" s="2" t="n">
        <f>HYPERLINK("https://patents.google.com/patent/US20210304856","Google")</f>
        <v>0.0</v>
      </c>
      <c r="G1919" s="2" t="n">
        <f>HYPERLINK("https://patentcenter.uspto.gov/applications/17216451","Patent Center")</f>
        <v>0.0</v>
      </c>
      <c r="H1919" s="2" t="n">
        <f>HYPERLINK("https://worldwide.espacenet.com/patent/search?q=US20210304856","Espacenet")</f>
        <v>0.0</v>
      </c>
      <c r="I1919" s="2" t="n">
        <f>HYPERLINK("https://ppubs.uspto.gov/pubwebapp/external.html?q=20210304856.pn.","USPTO")</f>
        <v>0.0</v>
      </c>
      <c r="J1919" s="2" t="n">
        <f>HYPERLINK("https://image-ppubs.uspto.gov/dirsearch-public/print/downloadPdf/20210304856","USPTO PDF")</f>
        <v>0.0</v>
      </c>
      <c r="K1919" s="2" t="n">
        <f>HYPERLINK("https://sectors.patentforecast.com/pmd/US20210304856","PMD")</f>
        <v>0.0</v>
      </c>
      <c r="L1919" s="2" t="n">
        <f>HYPERLINK("https://globaldossier.uspto.gov/result/application/US/17216451/1","US20210304856")</f>
        <v>0.0</v>
      </c>
      <c r="M1919" t="s">
        <v>13271</v>
      </c>
      <c r="N1919" t="s">
        <v>13272</v>
      </c>
      <c r="O1919" t="s">
        <v>13273</v>
      </c>
      <c r="P1919" t="s">
        <v>13274</v>
      </c>
      <c r="Q1919" s="3" t="n">
        <v>44284.0</v>
      </c>
      <c r="R1919" s="3" t="n">
        <v>44469.0</v>
      </c>
      <c r="S1919" s="3" t="n">
        <v>44470.23335619213</v>
      </c>
      <c r="T1919" s="3" t="n">
        <v>44474.57751023148</v>
      </c>
      <c r="U1919" t="s">
        <v>13275</v>
      </c>
      <c r="V1919" t="s">
        <v>13276</v>
      </c>
    </row>
    <row r="1920">
      <c r="A1920" t="s">
        <v>22</v>
      </c>
      <c r="B1920" t="s">
        <v>13277</v>
      </c>
      <c r="C1920" t="s">
        <v>24</v>
      </c>
      <c r="D1920" t="s">
        <v>100</v>
      </c>
      <c r="E1920" t="s">
        <v>13278</v>
      </c>
      <c r="F1920" s="2" t="n">
        <f>HYPERLINK("https://patents.google.com/patent/US20210304420","Google")</f>
        <v>0.0</v>
      </c>
      <c r="G1920" s="2" t="n">
        <f>HYPERLINK("https://patentcenter.uspto.gov/applications/17215319","Patent Center")</f>
        <v>0.0</v>
      </c>
      <c r="H1920" s="2" t="n">
        <f>HYPERLINK("https://worldwide.espacenet.com/patent/search?q=US20210304420","Espacenet")</f>
        <v>0.0</v>
      </c>
      <c r="I1920" s="2" t="n">
        <f>HYPERLINK("https://ppubs.uspto.gov/pubwebapp/external.html?q=20210304420.pn.","USPTO")</f>
        <v>0.0</v>
      </c>
      <c r="J1920" s="2" t="n">
        <f>HYPERLINK("https://image-ppubs.uspto.gov/dirsearch-public/print/downloadPdf/20210304420","USPTO PDF")</f>
        <v>0.0</v>
      </c>
      <c r="K1920" s="2" t="n">
        <f>HYPERLINK("https://sectors.patentforecast.com/pmd/US20210304420","PMD")</f>
        <v>0.0</v>
      </c>
      <c r="L1920" s="2" t="n">
        <f>HYPERLINK("https://globaldossier.uspto.gov/result/application/US/17215319/1","US20210304420")</f>
        <v>0.0</v>
      </c>
      <c r="M1920" t="s">
        <v>13279</v>
      </c>
      <c r="N1920" t="s">
        <v>13280</v>
      </c>
      <c r="O1920" t="s">
        <v>13281</v>
      </c>
      <c r="P1920" t="s">
        <v>13282</v>
      </c>
      <c r="Q1920" s="3" t="n">
        <v>44284.0</v>
      </c>
      <c r="R1920" s="3" t="n">
        <v>44469.0</v>
      </c>
      <c r="S1920" s="3" t="n">
        <v>44470.23335619213</v>
      </c>
      <c r="T1920" s="3" t="n">
        <v>44474.617061261575</v>
      </c>
      <c r="U1920" t="s">
        <v>13283</v>
      </c>
      <c r="V1920" t="s">
        <v>13284</v>
      </c>
    </row>
    <row r="1921">
      <c r="A1921" t="s">
        <v>22</v>
      </c>
      <c r="B1921" t="s">
        <v>13285</v>
      </c>
      <c r="C1921" t="s">
        <v>24</v>
      </c>
      <c r="D1921" t="s">
        <v>34</v>
      </c>
      <c r="E1921" t="s">
        <v>13286</v>
      </c>
      <c r="F1921" s="2" t="n">
        <f>HYPERLINK("https://patents.google.com/patent/US20210304408","Google")</f>
        <v>0.0</v>
      </c>
      <c r="G1921" s="2" t="n">
        <f>HYPERLINK("https://patentcenter.uspto.gov/applications/16837979","Patent Center")</f>
        <v>0.0</v>
      </c>
      <c r="H1921" s="2" t="n">
        <f>HYPERLINK("https://worldwide.espacenet.com/patent/search?q=US20210304408","Espacenet")</f>
        <v>0.0</v>
      </c>
      <c r="I1921" s="2" t="n">
        <f>HYPERLINK("https://ppubs.uspto.gov/pubwebapp/external.html?q=20210304408.pn.","USPTO")</f>
        <v>0.0</v>
      </c>
      <c r="J1921" s="2" t="n">
        <f>HYPERLINK("https://image-ppubs.uspto.gov/dirsearch-public/print/downloadPdf/20210304408","USPTO PDF")</f>
        <v>0.0</v>
      </c>
      <c r="K1921" s="2" t="n">
        <f>HYPERLINK("https://sectors.patentforecast.com/pmd/US20210304408","PMD")</f>
        <v>0.0</v>
      </c>
      <c r="L1921" s="2" t="n">
        <f>HYPERLINK("https://globaldossier.uspto.gov/result/application/US/16837979/1","US20210304408")</f>
        <v>0.0</v>
      </c>
      <c r="M1921" t="s">
        <v>13287</v>
      </c>
      <c r="N1921" t="s">
        <v>7526</v>
      </c>
      <c r="O1921" t="s">
        <v>7527</v>
      </c>
      <c r="P1921" t="s">
        <v>13288</v>
      </c>
      <c r="Q1921" s="3" t="n">
        <v>43922.0</v>
      </c>
      <c r="R1921" s="3" t="n">
        <v>44469.0</v>
      </c>
      <c r="S1921" s="3" t="n">
        <v>44470.23335619213</v>
      </c>
      <c r="T1921" s="3" t="n">
        <v>44474.63566383102</v>
      </c>
      <c r="U1921" t="s">
        <v>13289</v>
      </c>
      <c r="V1921" t="s">
        <v>13290</v>
      </c>
    </row>
    <row r="1922">
      <c r="A1922" t="s">
        <v>22</v>
      </c>
      <c r="B1922" t="s">
        <v>13291</v>
      </c>
      <c r="C1922" t="s">
        <v>24</v>
      </c>
      <c r="D1922" t="s">
        <v>25</v>
      </c>
      <c r="E1922" t="s">
        <v>13292</v>
      </c>
      <c r="F1922" s="2" t="n">
        <f>HYPERLINK("https://patents.google.com/patent/US20210304406","Google")</f>
        <v>0.0</v>
      </c>
      <c r="G1922" s="2" t="n">
        <f>HYPERLINK("https://patentcenter.uspto.gov/applications/17209999","Patent Center")</f>
        <v>0.0</v>
      </c>
      <c r="H1922" s="2" t="n">
        <f>HYPERLINK("https://worldwide.espacenet.com/patent/search?q=US20210304406","Espacenet")</f>
        <v>0.0</v>
      </c>
      <c r="I1922" s="2" t="n">
        <f>HYPERLINK("https://ppubs.uspto.gov/pubwebapp/external.html?q=20210304406.pn.","USPTO")</f>
        <v>0.0</v>
      </c>
      <c r="J1922" s="2" t="n">
        <f>HYPERLINK("https://image-ppubs.uspto.gov/dirsearch-public/print/downloadPdf/20210304406","USPTO PDF")</f>
        <v>0.0</v>
      </c>
      <c r="K1922" s="2" t="n">
        <f>HYPERLINK("https://sectors.patentforecast.com/pmd/US20210304406","PMD")</f>
        <v>0.0</v>
      </c>
      <c r="L1922" s="2" t="n">
        <f>HYPERLINK("https://globaldossier.uspto.gov/result/application/US/17209999/1","US20210304406")</f>
        <v>0.0</v>
      </c>
      <c r="M1922" t="s">
        <v>13293</v>
      </c>
      <c r="N1922" t="s">
        <v>13294</v>
      </c>
      <c r="O1922" t="s">
        <v>13295</v>
      </c>
      <c r="P1922" t="s">
        <v>13296</v>
      </c>
      <c r="Q1922" s="3" t="n">
        <v>44278.0</v>
      </c>
      <c r="R1922" s="3" t="n">
        <v>44469.0</v>
      </c>
      <c r="S1922" s="3" t="n">
        <v>44470.23335619213</v>
      </c>
      <c r="T1922" s="3" t="n">
        <v>44474.61860043981</v>
      </c>
      <c r="U1922" t="s">
        <v>13297</v>
      </c>
      <c r="V1922" t="s">
        <v>13298</v>
      </c>
    </row>
    <row r="1923">
      <c r="A1923" t="s">
        <v>22</v>
      </c>
      <c r="B1923" t="s">
        <v>13299</v>
      </c>
      <c r="C1923" t="s">
        <v>24</v>
      </c>
      <c r="D1923" t="s">
        <v>51</v>
      </c>
      <c r="E1923" t="s">
        <v>13300</v>
      </c>
      <c r="F1923" s="2" t="n">
        <f>HYPERLINK("https://patents.google.com/patent/US20210302436","Google")</f>
        <v>0.0</v>
      </c>
      <c r="G1923" s="2" t="n">
        <f>HYPERLINK("https://patentcenter.uspto.gov/applications/17075470","Patent Center")</f>
        <v>0.0</v>
      </c>
      <c r="H1923" s="2" t="n">
        <f>HYPERLINK("https://worldwide.espacenet.com/patent/search?q=US20210302436","Espacenet")</f>
        <v>0.0</v>
      </c>
      <c r="I1923" s="2" t="n">
        <f>HYPERLINK("https://ppubs.uspto.gov/pubwebapp/external.html?q=20210302436.pn.","USPTO")</f>
        <v>0.0</v>
      </c>
      <c r="J1923" s="2" t="n">
        <f>HYPERLINK("https://image-ppubs.uspto.gov/dirsearch-public/print/downloadPdf/20210302436","USPTO PDF")</f>
        <v>0.0</v>
      </c>
      <c r="K1923" s="2" t="n">
        <f>HYPERLINK("https://sectors.patentforecast.com/pmd/US20210302436","PMD")</f>
        <v>0.0</v>
      </c>
      <c r="L1923" s="2" t="n">
        <f>HYPERLINK("https://globaldossier.uspto.gov/result/application/US/17075470/1","US20210302436")</f>
        <v>0.0</v>
      </c>
      <c r="M1923" t="s">
        <v>13301</v>
      </c>
      <c r="N1923" t="s">
        <v>13302</v>
      </c>
      <c r="O1923" t="s">
        <v>13303</v>
      </c>
      <c r="P1923" t="s">
        <v>13304</v>
      </c>
      <c r="Q1923" s="3" t="n">
        <v>44124.0</v>
      </c>
      <c r="R1923" s="3" t="n">
        <v>44469.0</v>
      </c>
      <c r="S1923" s="3" t="n">
        <v>44470.23335619213</v>
      </c>
      <c r="T1923" s="3" t="n">
        <v>44474.60838773148</v>
      </c>
      <c r="U1923" t="s">
        <v>13305</v>
      </c>
      <c r="V1923" t="s">
        <v>13306</v>
      </c>
    </row>
    <row r="1924">
      <c r="A1924" t="s">
        <v>22</v>
      </c>
      <c r="B1924" t="s">
        <v>13307</v>
      </c>
      <c r="C1924" t="s">
        <v>24</v>
      </c>
      <c r="D1924" t="s">
        <v>51</v>
      </c>
      <c r="E1924" t="s">
        <v>13308</v>
      </c>
      <c r="F1924" s="2" t="n">
        <f>HYPERLINK("https://patents.google.com/patent/US20210302434","Google")</f>
        <v>0.0</v>
      </c>
      <c r="G1924" s="2" t="n">
        <f>HYPERLINK("https://patentcenter.uspto.gov/applications/16939405","Patent Center")</f>
        <v>0.0</v>
      </c>
      <c r="H1924" s="2" t="n">
        <f>HYPERLINK("https://worldwide.espacenet.com/patent/search?q=US20210302434","Espacenet")</f>
        <v>0.0</v>
      </c>
      <c r="I1924" s="2" t="n">
        <f>HYPERLINK("https://ppubs.uspto.gov/pubwebapp/external.html?q=20210302434.pn.","USPTO")</f>
        <v>0.0</v>
      </c>
      <c r="J1924" s="2" t="n">
        <f>HYPERLINK("https://image-ppubs.uspto.gov/dirsearch-public/print/downloadPdf/20210302434","USPTO PDF")</f>
        <v>0.0</v>
      </c>
      <c r="K1924" s="2" t="n">
        <f>HYPERLINK("https://sectors.patentforecast.com/pmd/US20210302434","PMD")</f>
        <v>0.0</v>
      </c>
      <c r="L1924" s="2" t="n">
        <f>HYPERLINK("https://globaldossier.uspto.gov/result/application/US/16939405/1","US20210302434")</f>
        <v>0.0</v>
      </c>
      <c r="M1924" t="s">
        <v>13309</v>
      </c>
      <c r="N1924" t="s">
        <v>7403</v>
      </c>
      <c r="O1924" t="s">
        <v>7404</v>
      </c>
      <c r="P1924" t="s">
        <v>7405</v>
      </c>
      <c r="Q1924" s="3" t="n">
        <v>44039.0</v>
      </c>
      <c r="R1924" s="3" t="n">
        <v>44469.0</v>
      </c>
      <c r="S1924" s="3" t="n">
        <v>44470.23335619213</v>
      </c>
      <c r="T1924" s="3" t="n">
        <v>44474.622345868054</v>
      </c>
      <c r="U1924" t="s">
        <v>13310</v>
      </c>
      <c r="V1924" t="s">
        <v>7406</v>
      </c>
    </row>
    <row r="1925">
      <c r="A1925" t="s">
        <v>22</v>
      </c>
      <c r="B1925" t="s">
        <v>13311</v>
      </c>
      <c r="C1925" t="s">
        <v>24</v>
      </c>
      <c r="D1925" t="s">
        <v>204</v>
      </c>
      <c r="E1925" t="s">
        <v>13312</v>
      </c>
      <c r="F1925" s="2" t="n">
        <f>HYPERLINK("https://patents.google.com/patent/US20210302428","Google")</f>
        <v>0.0</v>
      </c>
      <c r="G1925" s="2" t="n">
        <f>HYPERLINK("https://patentcenter.uspto.gov/applications/17239125","Patent Center")</f>
        <v>0.0</v>
      </c>
      <c r="H1925" s="2" t="n">
        <f>HYPERLINK("https://worldwide.espacenet.com/patent/search?q=US20210302428","Espacenet")</f>
        <v>0.0</v>
      </c>
      <c r="I1925" s="2" t="n">
        <f>HYPERLINK("https://ppubs.uspto.gov/pubwebapp/external.html?q=20210302428.pn.","USPTO")</f>
        <v>0.0</v>
      </c>
      <c r="J1925" s="2" t="n">
        <f>HYPERLINK("https://image-ppubs.uspto.gov/dirsearch-public/print/downloadPdf/20210302428","USPTO PDF")</f>
        <v>0.0</v>
      </c>
      <c r="K1925" s="2" t="n">
        <f>HYPERLINK("https://sectors.patentforecast.com/pmd/US20210302428","PMD")</f>
        <v>0.0</v>
      </c>
      <c r="L1925" s="2" t="n">
        <f>HYPERLINK("https://globaldossier.uspto.gov/result/application/US/17239125/1","US20210302428")</f>
        <v>0.0</v>
      </c>
      <c r="M1925" t="s">
        <v>13313</v>
      </c>
      <c r="N1925" t="s">
        <v>13314</v>
      </c>
      <c r="O1925" t="s">
        <v>13315</v>
      </c>
      <c r="P1925" t="s">
        <v>13316</v>
      </c>
      <c r="Q1925" s="3" t="n">
        <v>44309.0</v>
      </c>
      <c r="R1925" s="3" t="n">
        <v>44469.0</v>
      </c>
      <c r="S1925" s="3" t="n">
        <v>44470.23335619213</v>
      </c>
      <c r="T1925" s="3" t="n">
        <v>44474.63576336805</v>
      </c>
      <c r="U1925" t="s">
        <v>13317</v>
      </c>
      <c r="V1925" t="s">
        <v>13318</v>
      </c>
    </row>
    <row r="1926">
      <c r="A1926" t="s">
        <v>22</v>
      </c>
      <c r="B1926" t="s">
        <v>13319</v>
      </c>
      <c r="C1926" t="s">
        <v>24</v>
      </c>
      <c r="D1926" t="s">
        <v>204</v>
      </c>
      <c r="E1926" t="s">
        <v>13312</v>
      </c>
      <c r="F1926" s="2" t="n">
        <f>HYPERLINK("https://patents.google.com/patent/US20210302427","Google")</f>
        <v>0.0</v>
      </c>
      <c r="G1926" s="2" t="n">
        <f>HYPERLINK("https://patentcenter.uspto.gov/applications/17218088","Patent Center")</f>
        <v>0.0</v>
      </c>
      <c r="H1926" s="2" t="n">
        <f>HYPERLINK("https://worldwide.espacenet.com/patent/search?q=US20210302427","Espacenet")</f>
        <v>0.0</v>
      </c>
      <c r="I1926" s="2" t="n">
        <f>HYPERLINK("https://ppubs.uspto.gov/pubwebapp/external.html?q=20210302427.pn.","USPTO")</f>
        <v>0.0</v>
      </c>
      <c r="J1926" s="2" t="n">
        <f>HYPERLINK("https://image-ppubs.uspto.gov/dirsearch-public/print/downloadPdf/20210302427","USPTO PDF")</f>
        <v>0.0</v>
      </c>
      <c r="K1926" s="2" t="n">
        <f>HYPERLINK("https://sectors.patentforecast.com/pmd/US20210302427","PMD")</f>
        <v>0.0</v>
      </c>
      <c r="L1926" s="2" t="n">
        <f>HYPERLINK("https://globaldossier.uspto.gov/result/application/US/17218088/1","US20210302427")</f>
        <v>0.0</v>
      </c>
      <c r="M1926" t="s">
        <v>13320</v>
      </c>
      <c r="N1926" t="s">
        <v>13314</v>
      </c>
      <c r="O1926" t="s">
        <v>13315</v>
      </c>
      <c r="P1926" t="s">
        <v>13316</v>
      </c>
      <c r="Q1926" s="3" t="n">
        <v>44285.0</v>
      </c>
      <c r="R1926" s="3" t="n">
        <v>44469.0</v>
      </c>
      <c r="S1926" s="3" t="n">
        <v>44470.23335619213</v>
      </c>
      <c r="T1926" s="3" t="n">
        <v>44474.63576336805</v>
      </c>
      <c r="U1926" t="s">
        <v>13321</v>
      </c>
      <c r="V1926" t="s">
        <v>13318</v>
      </c>
    </row>
    <row r="1927">
      <c r="A1927" t="s">
        <v>22</v>
      </c>
      <c r="B1927" t="s">
        <v>13322</v>
      </c>
      <c r="C1927" t="s">
        <v>24</v>
      </c>
      <c r="D1927" t="s">
        <v>51</v>
      </c>
      <c r="E1927" t="s">
        <v>13323</v>
      </c>
      <c r="F1927" s="2" t="n">
        <f>HYPERLINK("https://patents.google.com/patent/US20210301354","Google")</f>
        <v>0.0</v>
      </c>
      <c r="G1927" s="2" t="n">
        <f>HYPERLINK("https://patentcenter.uspto.gov/applications/17210737","Patent Center")</f>
        <v>0.0</v>
      </c>
      <c r="H1927" s="2" t="n">
        <f>HYPERLINK("https://worldwide.espacenet.com/patent/search?q=US20210301354","Espacenet")</f>
        <v>0.0</v>
      </c>
      <c r="I1927" s="2" t="n">
        <f>HYPERLINK("https://ppubs.uspto.gov/pubwebapp/external.html?q=20210301354.pn.","USPTO")</f>
        <v>0.0</v>
      </c>
      <c r="J1927" s="2" t="n">
        <f>HYPERLINK("https://image-ppubs.uspto.gov/dirsearch-public/print/downloadPdf/20210301354","USPTO PDF")</f>
        <v>0.0</v>
      </c>
      <c r="K1927" s="2" t="n">
        <f>HYPERLINK("https://sectors.patentforecast.com/pmd/US20210301354","PMD")</f>
        <v>0.0</v>
      </c>
      <c r="L1927" s="2" t="n">
        <f>HYPERLINK("https://globaldossier.uspto.gov/result/application/US/17210737/1","US20210301354")</f>
        <v>0.0</v>
      </c>
      <c r="M1927" t="s">
        <v>13324</v>
      </c>
      <c r="N1927" t="s">
        <v>13325</v>
      </c>
      <c r="O1927" t="s">
        <v>13326</v>
      </c>
      <c r="P1927" t="s">
        <v>13327</v>
      </c>
      <c r="Q1927" s="3" t="n">
        <v>44279.0</v>
      </c>
      <c r="R1927" s="3" t="n">
        <v>44469.0</v>
      </c>
      <c r="S1927" s="3" t="n">
        <v>44470.23335619213</v>
      </c>
      <c r="T1927" s="3" t="n">
        <v>44474.614041064815</v>
      </c>
      <c r="U1927" t="s">
        <v>13328</v>
      </c>
      <c r="V1927" t="s">
        <v>13329</v>
      </c>
    </row>
    <row r="1928">
      <c r="A1928" t="s">
        <v>22</v>
      </c>
      <c r="B1928" t="s">
        <v>13330</v>
      </c>
      <c r="C1928" t="s">
        <v>24</v>
      </c>
      <c r="D1928" t="s">
        <v>51</v>
      </c>
      <c r="E1928" t="s">
        <v>13331</v>
      </c>
      <c r="F1928" s="2" t="n">
        <f>HYPERLINK("https://patents.google.com/patent/US20210301322","Google")</f>
        <v>0.0</v>
      </c>
      <c r="G1928" s="2" t="n">
        <f>HYPERLINK("https://patentcenter.uspto.gov/applications/17217797","Patent Center")</f>
        <v>0.0</v>
      </c>
      <c r="H1928" s="2" t="n">
        <f>HYPERLINK("https://worldwide.espacenet.com/patent/search?q=US20210301322","Espacenet")</f>
        <v>0.0</v>
      </c>
      <c r="I1928" s="2" t="n">
        <f>HYPERLINK("https://ppubs.uspto.gov/pubwebapp/external.html?q=20210301322.pn.","USPTO")</f>
        <v>0.0</v>
      </c>
      <c r="J1928" s="2" t="n">
        <f>HYPERLINK("https://image-ppubs.uspto.gov/dirsearch-public/print/downloadPdf/20210301322","USPTO PDF")</f>
        <v>0.0</v>
      </c>
      <c r="K1928" s="2" t="n">
        <f>HYPERLINK("https://sectors.patentforecast.com/pmd/US20210301322","PMD")</f>
        <v>0.0</v>
      </c>
      <c r="L1928" s="2" t="n">
        <f>HYPERLINK("https://globaldossier.uspto.gov/result/application/US/17217797/1","US20210301322")</f>
        <v>0.0</v>
      </c>
      <c r="M1928" t="s">
        <v>13332</v>
      </c>
      <c r="N1928" t="s">
        <v>11851</v>
      </c>
      <c r="O1928" t="s">
        <v>11852</v>
      </c>
      <c r="P1928" t="s">
        <v>11853</v>
      </c>
      <c r="Q1928" s="3" t="n">
        <v>44285.0</v>
      </c>
      <c r="R1928" s="3" t="n">
        <v>44469.0</v>
      </c>
      <c r="S1928" s="3" t="n">
        <v>44470.23335619213</v>
      </c>
      <c r="T1928" s="3" t="n">
        <v>44474.62189605324</v>
      </c>
      <c r="U1928" t="s">
        <v>13333</v>
      </c>
      <c r="V1928" t="s">
        <v>13334</v>
      </c>
    </row>
    <row r="1929">
      <c r="A1929" t="s">
        <v>22</v>
      </c>
      <c r="B1929" t="s">
        <v>13335</v>
      </c>
      <c r="C1929" t="s">
        <v>24</v>
      </c>
      <c r="D1929" t="s">
        <v>51</v>
      </c>
      <c r="E1929" t="s">
        <v>13336</v>
      </c>
      <c r="F1929" s="2" t="n">
        <f>HYPERLINK("https://patents.google.com/patent/US20210301319","Google")</f>
        <v>0.0</v>
      </c>
      <c r="G1929" s="2" t="n">
        <f>HYPERLINK("https://patentcenter.uspto.gov/applications/17213790","Patent Center")</f>
        <v>0.0</v>
      </c>
      <c r="H1929" s="2" t="n">
        <f>HYPERLINK("https://worldwide.espacenet.com/patent/search?q=US20210301319","Espacenet")</f>
        <v>0.0</v>
      </c>
      <c r="I1929" s="2" t="n">
        <f>HYPERLINK("https://ppubs.uspto.gov/pubwebapp/external.html?q=20210301319.pn.","USPTO")</f>
        <v>0.0</v>
      </c>
      <c r="J1929" s="2" t="n">
        <f>HYPERLINK("https://image-ppubs.uspto.gov/dirsearch-public/print/downloadPdf/20210301319","USPTO PDF")</f>
        <v>0.0</v>
      </c>
      <c r="K1929" s="2" t="n">
        <f>HYPERLINK("https://sectors.patentforecast.com/pmd/US20210301319","PMD")</f>
        <v>0.0</v>
      </c>
      <c r="L1929" s="2" t="n">
        <f>HYPERLINK("https://globaldossier.uspto.gov/result/application/US/17213790/1","US20210301319")</f>
        <v>0.0</v>
      </c>
      <c r="M1929" t="s">
        <v>13337</v>
      </c>
      <c r="N1929" t="s">
        <v>9932</v>
      </c>
      <c r="O1929" t="s">
        <v>9933</v>
      </c>
      <c r="P1929" t="s">
        <v>9934</v>
      </c>
      <c r="Q1929" s="3" t="n">
        <v>44281.0</v>
      </c>
      <c r="R1929" s="3" t="n">
        <v>44469.0</v>
      </c>
      <c r="S1929" s="3" t="n">
        <v>44470.23335619213</v>
      </c>
      <c r="T1929" s="3" t="n">
        <v>44474.610136111114</v>
      </c>
      <c r="U1929" t="s">
        <v>13338</v>
      </c>
      <c r="V1929" t="s">
        <v>13339</v>
      </c>
    </row>
    <row r="1930">
      <c r="A1930" t="s">
        <v>22</v>
      </c>
      <c r="B1930" t="s">
        <v>13340</v>
      </c>
      <c r="C1930" t="s">
        <v>24</v>
      </c>
      <c r="D1930" t="s">
        <v>51</v>
      </c>
      <c r="E1930" t="s">
        <v>13341</v>
      </c>
      <c r="F1930" s="2" t="n">
        <f>HYPERLINK("https://patents.google.com/patent/US20210301295","Google")</f>
        <v>0.0</v>
      </c>
      <c r="G1930" s="2" t="n">
        <f>HYPERLINK("https://patentcenter.uspto.gov/applications/16942666","Patent Center")</f>
        <v>0.0</v>
      </c>
      <c r="H1930" s="2" t="n">
        <f>HYPERLINK("https://worldwide.espacenet.com/patent/search?q=US20210301295","Espacenet")</f>
        <v>0.0</v>
      </c>
      <c r="I1930" s="2" t="n">
        <f>HYPERLINK("https://ppubs.uspto.gov/pubwebapp/external.html?q=20210301295.pn.","USPTO")</f>
        <v>0.0</v>
      </c>
      <c r="J1930" s="2" t="n">
        <f>HYPERLINK("https://image-ppubs.uspto.gov/dirsearch-public/print/downloadPdf/20210301295","USPTO PDF")</f>
        <v>0.0</v>
      </c>
      <c r="K1930" s="2" t="n">
        <f>HYPERLINK("https://sectors.patentforecast.com/pmd/US20210301295","PMD")</f>
        <v>0.0</v>
      </c>
      <c r="L1930" s="2" t="n">
        <f>HYPERLINK("https://globaldossier.uspto.gov/result/application/US/16942666/1","US20210301295")</f>
        <v>0.0</v>
      </c>
      <c r="M1930" t="s">
        <v>13342</v>
      </c>
      <c r="N1930" t="s">
        <v>13343</v>
      </c>
      <c r="O1930" t="s">
        <v>13344</v>
      </c>
      <c r="P1930" t="s">
        <v>13345</v>
      </c>
      <c r="Q1930" s="3" t="n">
        <v>44041.0</v>
      </c>
      <c r="R1930" s="3" t="n">
        <v>44469.0</v>
      </c>
      <c r="S1930" s="3" t="n">
        <v>44470.23335619213</v>
      </c>
      <c r="T1930" s="3" t="n">
        <v>44474.60620974537</v>
      </c>
      <c r="U1930" t="s">
        <v>13346</v>
      </c>
      <c r="V1930" t="s">
        <v>13347</v>
      </c>
    </row>
    <row r="1931">
      <c r="A1931" t="s">
        <v>22</v>
      </c>
      <c r="B1931" t="s">
        <v>13348</v>
      </c>
      <c r="C1931" t="s">
        <v>60</v>
      </c>
      <c r="D1931" t="s">
        <v>61</v>
      </c>
      <c r="E1931" t="s">
        <v>13349</v>
      </c>
      <c r="F1931" s="2" t="n">
        <f>HYPERLINK("https://patents.google.com/patent/US20210301006","Google")</f>
        <v>0.0</v>
      </c>
      <c r="G1931" s="2" t="n">
        <f>HYPERLINK("https://patentcenter.uspto.gov/applications/17217953","Patent Center")</f>
        <v>0.0</v>
      </c>
      <c r="H1931" s="2" t="n">
        <f>HYPERLINK("https://worldwide.espacenet.com/patent/search?q=US20210301006","Espacenet")</f>
        <v>0.0</v>
      </c>
      <c r="I1931" s="2" t="n">
        <f>HYPERLINK("https://ppubs.uspto.gov/pubwebapp/external.html?q=20210301006.pn.","USPTO")</f>
        <v>0.0</v>
      </c>
      <c r="J1931" s="2" t="n">
        <f>HYPERLINK("https://image-ppubs.uspto.gov/dirsearch-public/print/downloadPdf/20210301006","USPTO PDF")</f>
        <v>0.0</v>
      </c>
      <c r="K1931" s="2" t="n">
        <f>HYPERLINK("https://sectors.patentforecast.com/pmd/US20210301006","PMD")</f>
        <v>0.0</v>
      </c>
      <c r="L1931" s="2" t="n">
        <f>HYPERLINK("https://globaldossier.uspto.gov/result/application/US/17217953/1","US20210301006")</f>
        <v>0.0</v>
      </c>
      <c r="M1931" t="s">
        <v>13350</v>
      </c>
      <c r="N1931" t="s">
        <v>13351</v>
      </c>
      <c r="O1931" t="s">
        <v>13352</v>
      </c>
      <c r="P1931" t="s">
        <v>13353</v>
      </c>
      <c r="Q1931" s="3" t="n">
        <v>44285.0</v>
      </c>
      <c r="R1931" s="3" t="n">
        <v>44469.0</v>
      </c>
      <c r="S1931" s="3" t="n">
        <v>44470.23335619213</v>
      </c>
      <c r="T1931" s="3" t="n">
        <v>44474.61193424769</v>
      </c>
      <c r="U1931" t="s">
        <v>13354</v>
      </c>
      <c r="V1931" t="s">
        <v>13355</v>
      </c>
    </row>
    <row r="1932">
      <c r="A1932" t="s">
        <v>22</v>
      </c>
      <c r="B1932" t="s">
        <v>13356</v>
      </c>
      <c r="C1932" t="s">
        <v>60</v>
      </c>
      <c r="D1932" t="s">
        <v>77</v>
      </c>
      <c r="E1932" t="s">
        <v>13357</v>
      </c>
      <c r="F1932" s="2" t="n">
        <f>HYPERLINK("https://patents.google.com/patent/US20210300999","Google")</f>
        <v>0.0</v>
      </c>
      <c r="G1932" s="2" t="n">
        <f>HYPERLINK("https://patentcenter.uspto.gov/applications/17212949","Patent Center")</f>
        <v>0.0</v>
      </c>
      <c r="H1932" s="2" t="n">
        <f>HYPERLINK("https://worldwide.espacenet.com/patent/search?q=US20210300999","Espacenet")</f>
        <v>0.0</v>
      </c>
      <c r="I1932" s="2" t="n">
        <f>HYPERLINK("https://ppubs.uspto.gov/pubwebapp/external.html?q=20210300999.pn.","USPTO")</f>
        <v>0.0</v>
      </c>
      <c r="J1932" s="2" t="n">
        <f>HYPERLINK("https://image-ppubs.uspto.gov/dirsearch-public/print/downloadPdf/20210300999","USPTO PDF")</f>
        <v>0.0</v>
      </c>
      <c r="K1932" s="2" t="n">
        <f>HYPERLINK("https://sectors.patentforecast.com/pmd/US20210300999","PMD")</f>
        <v>0.0</v>
      </c>
      <c r="L1932" s="2" t="n">
        <f>HYPERLINK("https://globaldossier.uspto.gov/result/application/US/17212949/1","US20210300999")</f>
        <v>0.0</v>
      </c>
      <c r="M1932" t="s">
        <v>13358</v>
      </c>
      <c r="N1932" t="s">
        <v>2974</v>
      </c>
      <c r="O1932" t="s">
        <v>2974</v>
      </c>
      <c r="P1932" t="s">
        <v>13359</v>
      </c>
      <c r="Q1932" s="3" t="n">
        <v>44280.0</v>
      </c>
      <c r="R1932" s="3" t="n">
        <v>44469.0</v>
      </c>
      <c r="S1932" s="3" t="n">
        <v>44470.23335619213</v>
      </c>
      <c r="T1932" s="3" t="n">
        <v>44474.624103773145</v>
      </c>
      <c r="U1932" t="s">
        <v>13360</v>
      </c>
      <c r="V1932" t="s">
        <v>13361</v>
      </c>
    </row>
    <row r="1933">
      <c r="A1933" t="s">
        <v>22</v>
      </c>
      <c r="B1933" t="s">
        <v>13362</v>
      </c>
      <c r="C1933" t="s">
        <v>132</v>
      </c>
      <c r="D1933" t="s">
        <v>133</v>
      </c>
      <c r="E1933" t="s">
        <v>13363</v>
      </c>
      <c r="F1933" s="2" t="n">
        <f>HYPERLINK("https://patents.google.com/patent/US20210300970","Google")</f>
        <v>0.0</v>
      </c>
      <c r="G1933" s="2" t="n">
        <f>HYPERLINK("https://patentcenter.uspto.gov/applications/17211379","Patent Center")</f>
        <v>0.0</v>
      </c>
      <c r="H1933" s="2" t="n">
        <f>HYPERLINK("https://worldwide.espacenet.com/patent/search?q=US20210300970","Espacenet")</f>
        <v>0.0</v>
      </c>
      <c r="I1933" s="2" t="n">
        <f>HYPERLINK("https://ppubs.uspto.gov/pubwebapp/external.html?q=20210300970.pn.","USPTO")</f>
        <v>0.0</v>
      </c>
      <c r="J1933" s="2" t="n">
        <f>HYPERLINK("https://image-ppubs.uspto.gov/dirsearch-public/print/downloadPdf/20210300970","USPTO PDF")</f>
        <v>0.0</v>
      </c>
      <c r="K1933" s="2" t="n">
        <f>HYPERLINK("https://sectors.patentforecast.com/pmd/US20210300970","PMD")</f>
        <v>0.0</v>
      </c>
      <c r="L1933" s="2" t="n">
        <f>HYPERLINK("https://globaldossier.uspto.gov/result/application/US/17211379/1","US20210300970")</f>
        <v>0.0</v>
      </c>
      <c r="M1933" t="s">
        <v>13364</v>
      </c>
      <c r="N1933" t="s">
        <v>10530</v>
      </c>
      <c r="O1933" t="s">
        <v>10531</v>
      </c>
      <c r="P1933" t="s">
        <v>13365</v>
      </c>
      <c r="Q1933" s="3" t="n">
        <v>44279.0</v>
      </c>
      <c r="R1933" s="3" t="n">
        <v>44469.0</v>
      </c>
      <c r="S1933" s="3" t="n">
        <v>44470.23335619213</v>
      </c>
      <c r="T1933" s="3" t="n">
        <v>44474.617368900464</v>
      </c>
      <c r="U1933" t="s">
        <v>13366</v>
      </c>
      <c r="V1933" t="s">
        <v>13367</v>
      </c>
    </row>
    <row r="1934">
      <c r="A1934" t="s">
        <v>22</v>
      </c>
      <c r="B1934" t="s">
        <v>13368</v>
      </c>
      <c r="C1934" t="s">
        <v>24</v>
      </c>
      <c r="D1934" t="s">
        <v>69</v>
      </c>
      <c r="E1934" t="s">
        <v>13369</v>
      </c>
      <c r="F1934" s="2" t="n">
        <f>HYPERLINK("https://patents.google.com/patent/US20210299485","Google")</f>
        <v>0.0</v>
      </c>
      <c r="G1934" s="2" t="n">
        <f>HYPERLINK("https://patentcenter.uspto.gov/applications/17215482","Patent Center")</f>
        <v>0.0</v>
      </c>
      <c r="H1934" s="2" t="n">
        <f>HYPERLINK("https://worldwide.espacenet.com/patent/search?q=US20210299485","Espacenet")</f>
        <v>0.0</v>
      </c>
      <c r="I1934" s="2" t="n">
        <f>HYPERLINK("https://ppubs.uspto.gov/pubwebapp/external.html?q=20210299485.pn.","USPTO")</f>
        <v>0.0</v>
      </c>
      <c r="J1934" s="2" t="n">
        <f>HYPERLINK("https://image-ppubs.uspto.gov/dirsearch-public/print/downloadPdf/20210299485","USPTO PDF")</f>
        <v>0.0</v>
      </c>
      <c r="K1934" s="2" t="n">
        <f>HYPERLINK("https://sectors.patentforecast.com/pmd/US20210299485","PMD")</f>
        <v>0.0</v>
      </c>
      <c r="L1934" s="2" t="n">
        <f>HYPERLINK("https://globaldossier.uspto.gov/result/application/US/17215482/1","US20210299485")</f>
        <v>0.0</v>
      </c>
      <c r="M1934" t="s">
        <v>13370</v>
      </c>
      <c r="N1934" t="s">
        <v>13371</v>
      </c>
      <c r="O1934" t="s">
        <v>13372</v>
      </c>
      <c r="P1934" t="s">
        <v>13373</v>
      </c>
      <c r="Q1934" s="3" t="n">
        <v>44284.0</v>
      </c>
      <c r="R1934" s="3" t="n">
        <v>44469.0</v>
      </c>
      <c r="S1934" s="3" t="n">
        <v>44470.23335619213</v>
      </c>
      <c r="T1934" s="3" t="n">
        <v>44474.622756122684</v>
      </c>
      <c r="U1934" t="s">
        <v>13374</v>
      </c>
      <c r="V1934" t="s">
        <v>13375</v>
      </c>
    </row>
    <row r="1935">
      <c r="A1935" t="s">
        <v>22</v>
      </c>
      <c r="B1935" t="s">
        <v>13376</v>
      </c>
      <c r="C1935" t="s">
        <v>60</v>
      </c>
      <c r="D1935" t="s">
        <v>715</v>
      </c>
      <c r="E1935" t="s">
        <v>13377</v>
      </c>
      <c r="F1935" s="2" t="n">
        <f>HYPERLINK("https://patents.google.com/patent/US20210299467","Google")</f>
        <v>0.0</v>
      </c>
      <c r="G1935" s="2" t="n">
        <f>HYPERLINK("https://patentcenter.uspto.gov/applications/17109560","Patent Center")</f>
        <v>0.0</v>
      </c>
      <c r="H1935" s="2" t="n">
        <f>HYPERLINK("https://worldwide.espacenet.com/patent/search?q=US20210299467","Espacenet")</f>
        <v>0.0</v>
      </c>
      <c r="I1935" s="2" t="n">
        <f>HYPERLINK("https://ppubs.uspto.gov/pubwebapp/external.html?q=20210299467.pn.","USPTO")</f>
        <v>0.0</v>
      </c>
      <c r="J1935" s="2" t="n">
        <f>HYPERLINK("https://image-ppubs.uspto.gov/dirsearch-public/print/downloadPdf/20210299467","USPTO PDF")</f>
        <v>0.0</v>
      </c>
      <c r="K1935" s="2" t="n">
        <f>HYPERLINK("https://sectors.patentforecast.com/pmd/US20210299467","PMD")</f>
        <v>0.0</v>
      </c>
      <c r="L1935" s="2" t="n">
        <f>HYPERLINK("https://globaldossier.uspto.gov/result/application/US/17109560/1","US20210299467")</f>
        <v>0.0</v>
      </c>
      <c r="M1935" t="s">
        <v>13378</v>
      </c>
      <c r="N1935" t="s">
        <v>13379</v>
      </c>
      <c r="O1935" t="s">
        <v>13380</v>
      </c>
      <c r="P1935" t="s">
        <v>13381</v>
      </c>
      <c r="Q1935" s="3" t="n">
        <v>44167.0</v>
      </c>
      <c r="R1935" s="3" t="n">
        <v>44469.0</v>
      </c>
      <c r="S1935" s="3" t="n">
        <v>44470.23335619213</v>
      </c>
      <c r="T1935" s="3" t="n">
        <v>44474.6253112037</v>
      </c>
      <c r="U1935" t="s">
        <v>13382</v>
      </c>
      <c r="V1935" t="s">
        <v>13383</v>
      </c>
    </row>
    <row r="1936">
      <c r="A1936" t="s">
        <v>22</v>
      </c>
      <c r="B1936" t="s">
        <v>13384</v>
      </c>
      <c r="C1936" t="s">
        <v>60</v>
      </c>
      <c r="D1936" t="s">
        <v>715</v>
      </c>
      <c r="E1936" t="s">
        <v>13385</v>
      </c>
      <c r="F1936" s="2" t="n">
        <f>HYPERLINK("https://patents.google.com/patent/US20210299396","Google")</f>
        <v>0.0</v>
      </c>
      <c r="G1936" s="2" t="n">
        <f>HYPERLINK("https://patentcenter.uspto.gov/applications/17217241","Patent Center")</f>
        <v>0.0</v>
      </c>
      <c r="H1936" s="2" t="n">
        <f>HYPERLINK("https://worldwide.espacenet.com/patent/search?q=US20210299396","Espacenet")</f>
        <v>0.0</v>
      </c>
      <c r="I1936" s="2" t="n">
        <f>HYPERLINK("https://ppubs.uspto.gov/pubwebapp/external.html?q=20210299396.pn.","USPTO")</f>
        <v>0.0</v>
      </c>
      <c r="J1936" s="2" t="n">
        <f>HYPERLINK("https://image-ppubs.uspto.gov/dirsearch-public/print/downloadPdf/20210299396","USPTO PDF")</f>
        <v>0.0</v>
      </c>
      <c r="K1936" s="2" t="n">
        <f>HYPERLINK("https://sectors.patentforecast.com/pmd/US20210299396","PMD")</f>
        <v>0.0</v>
      </c>
      <c r="L1936" s="2" t="n">
        <f>HYPERLINK("https://globaldossier.uspto.gov/result/application/US/17217241/1","US20210299396")</f>
        <v>0.0</v>
      </c>
      <c r="M1936" t="s">
        <v>13386</v>
      </c>
      <c r="N1936" t="s">
        <v>13387</v>
      </c>
      <c r="O1936" t="s">
        <v>13388</v>
      </c>
      <c r="P1936" t="s">
        <v>13389</v>
      </c>
      <c r="Q1936" s="3" t="n">
        <v>44285.0</v>
      </c>
      <c r="R1936" s="3" t="n">
        <v>44469.0</v>
      </c>
      <c r="S1936" s="3" t="n">
        <v>44470.22942369213</v>
      </c>
      <c r="T1936" s="3" t="n">
        <v>44474.579542708336</v>
      </c>
      <c r="U1936" t="s">
        <v>13390</v>
      </c>
      <c r="V1936" t="s">
        <v>13391</v>
      </c>
    </row>
    <row r="1937">
      <c r="A1937" t="s">
        <v>22</v>
      </c>
      <c r="B1937" t="s">
        <v>13392</v>
      </c>
      <c r="C1937" t="s">
        <v>60</v>
      </c>
      <c r="D1937" t="s">
        <v>715</v>
      </c>
      <c r="E1937" t="s">
        <v>13393</v>
      </c>
      <c r="F1937" s="2" t="n">
        <f>HYPERLINK("https://patents.google.com/patent/US20210299395","Google")</f>
        <v>0.0</v>
      </c>
      <c r="G1937" s="2" t="n">
        <f>HYPERLINK("https://patentcenter.uspto.gov/applications/17215662","Patent Center")</f>
        <v>0.0</v>
      </c>
      <c r="H1937" s="2" t="n">
        <f>HYPERLINK("https://worldwide.espacenet.com/patent/search?q=US20210299395","Espacenet")</f>
        <v>0.0</v>
      </c>
      <c r="I1937" s="2" t="n">
        <f>HYPERLINK("https://ppubs.uspto.gov/pubwebapp/external.html?q=20210299395.pn.","USPTO")</f>
        <v>0.0</v>
      </c>
      <c r="J1937" s="2" t="n">
        <f>HYPERLINK("https://image-ppubs.uspto.gov/dirsearch-public/print/downloadPdf/20210299395","USPTO PDF")</f>
        <v>0.0</v>
      </c>
      <c r="K1937" s="2" t="n">
        <f>HYPERLINK("https://sectors.patentforecast.com/pmd/US20210299395","PMD")</f>
        <v>0.0</v>
      </c>
      <c r="L1937" s="2" t="n">
        <f>HYPERLINK("https://globaldossier.uspto.gov/result/application/US/17215662/1","US20210299395")</f>
        <v>0.0</v>
      </c>
      <c r="M1937" t="s">
        <v>13394</v>
      </c>
      <c r="N1937" t="s">
        <v>13395</v>
      </c>
      <c r="O1937" t="s">
        <v>13396</v>
      </c>
      <c r="P1937" t="s">
        <v>13397</v>
      </c>
      <c r="Q1937" s="3" t="n">
        <v>44284.0</v>
      </c>
      <c r="R1937" s="3" t="n">
        <v>44469.0</v>
      </c>
      <c r="S1937" s="3" t="n">
        <v>44470.23335619213</v>
      </c>
      <c r="T1937" s="3" t="n">
        <v>44474.61846509259</v>
      </c>
      <c r="U1937" t="s">
        <v>13398</v>
      </c>
      <c r="V1937" t="s">
        <v>13399</v>
      </c>
    </row>
    <row r="1938">
      <c r="A1938" t="s">
        <v>22</v>
      </c>
      <c r="B1938" t="s">
        <v>13400</v>
      </c>
      <c r="C1938" t="s">
        <v>60</v>
      </c>
      <c r="D1938" t="s">
        <v>715</v>
      </c>
      <c r="E1938" t="s">
        <v>13401</v>
      </c>
      <c r="F1938" s="2" t="n">
        <f>HYPERLINK("https://patents.google.com/patent/US20210299388","Google")</f>
        <v>0.0</v>
      </c>
      <c r="G1938" s="2" t="n">
        <f>HYPERLINK("https://patentcenter.uspto.gov/applications/17219248","Patent Center")</f>
        <v>0.0</v>
      </c>
      <c r="H1938" s="2" t="n">
        <f>HYPERLINK("https://worldwide.espacenet.com/patent/search?q=US20210299388","Espacenet")</f>
        <v>0.0</v>
      </c>
      <c r="I1938" s="2" t="n">
        <f>HYPERLINK("https://ppubs.uspto.gov/pubwebapp/external.html?q=20210299388.pn.","USPTO")</f>
        <v>0.0</v>
      </c>
      <c r="J1938" s="2" t="n">
        <f>HYPERLINK("https://image-ppubs.uspto.gov/dirsearch-public/print/downloadPdf/20210299388","USPTO PDF")</f>
        <v>0.0</v>
      </c>
      <c r="K1938" s="2" t="n">
        <f>HYPERLINK("https://sectors.patentforecast.com/pmd/US20210299388","PMD")</f>
        <v>0.0</v>
      </c>
      <c r="L1938" s="2" t="n">
        <f>HYPERLINK("https://globaldossier.uspto.gov/result/application/US/17219248/1","US20210299388")</f>
        <v>0.0</v>
      </c>
      <c r="M1938" t="s">
        <v>13402</v>
      </c>
      <c r="N1938" t="s">
        <v>13403</v>
      </c>
      <c r="O1938" t="s">
        <v>13404</v>
      </c>
      <c r="P1938" t="s">
        <v>13405</v>
      </c>
      <c r="Q1938" s="3" t="n">
        <v>44286.0</v>
      </c>
      <c r="R1938" s="3" t="n">
        <v>44469.0</v>
      </c>
      <c r="S1938" s="3" t="n">
        <v>44470.23335619213</v>
      </c>
      <c r="T1938" s="3" t="n">
        <v>44474.629604201386</v>
      </c>
      <c r="U1938" t="s">
        <v>13406</v>
      </c>
      <c r="V1938" t="s">
        <v>13407</v>
      </c>
    </row>
    <row r="1939">
      <c r="A1939" t="s">
        <v>22</v>
      </c>
      <c r="B1939" t="s">
        <v>13408</v>
      </c>
      <c r="C1939" t="s">
        <v>60</v>
      </c>
      <c r="D1939" t="s">
        <v>715</v>
      </c>
      <c r="E1939" t="s">
        <v>13409</v>
      </c>
      <c r="F1939" s="2" t="n">
        <f>HYPERLINK("https://patents.google.com/patent/US20210299385","Google")</f>
        <v>0.0</v>
      </c>
      <c r="G1939" s="2" t="n">
        <f>HYPERLINK("https://patentcenter.uspto.gov/applications/17214848","Patent Center")</f>
        <v>0.0</v>
      </c>
      <c r="H1939" s="2" t="n">
        <f>HYPERLINK("https://worldwide.espacenet.com/patent/search?q=US20210299385","Espacenet")</f>
        <v>0.0</v>
      </c>
      <c r="I1939" s="2" t="n">
        <f>HYPERLINK("https://ppubs.uspto.gov/pubwebapp/external.html?q=20210299385.pn.","USPTO")</f>
        <v>0.0</v>
      </c>
      <c r="J1939" s="2" t="n">
        <f>HYPERLINK("https://image-ppubs.uspto.gov/dirsearch-public/print/downloadPdf/20210299385","USPTO PDF")</f>
        <v>0.0</v>
      </c>
      <c r="K1939" s="2" t="n">
        <f>HYPERLINK("https://sectors.patentforecast.com/pmd/US20210299385","PMD")</f>
        <v>0.0</v>
      </c>
      <c r="L1939" s="2" t="n">
        <f>HYPERLINK("https://globaldossier.uspto.gov/result/application/US/17214848/1","US20210299385")</f>
        <v>0.0</v>
      </c>
      <c r="M1939" t="s">
        <v>13410</v>
      </c>
      <c r="N1939" t="s">
        <v>13411</v>
      </c>
      <c r="O1939" t="s">
        <v>13411</v>
      </c>
      <c r="P1939" t="s">
        <v>13412</v>
      </c>
      <c r="Q1939" s="3" t="n">
        <v>44282.0</v>
      </c>
      <c r="R1939" s="3" t="n">
        <v>44469.0</v>
      </c>
      <c r="S1939" s="3" t="n">
        <v>44470.23335619213</v>
      </c>
      <c r="T1939" s="3" t="n">
        <v>44474.57979178241</v>
      </c>
      <c r="U1939" t="s">
        <v>13413</v>
      </c>
      <c r="V1939" t="s">
        <v>13414</v>
      </c>
    </row>
    <row r="1940">
      <c r="A1940" t="s">
        <v>22</v>
      </c>
      <c r="B1940" t="s">
        <v>13415</v>
      </c>
      <c r="C1940" t="s">
        <v>60</v>
      </c>
      <c r="D1940" t="s">
        <v>715</v>
      </c>
      <c r="E1940" t="s">
        <v>13416</v>
      </c>
      <c r="F1940" s="2" t="n">
        <f>HYPERLINK("https://patents.google.com/patent/US20210299379","Google")</f>
        <v>0.0</v>
      </c>
      <c r="G1940" s="2" t="n">
        <f>HYPERLINK("https://patentcenter.uspto.gov/applications/17222998","Patent Center")</f>
        <v>0.0</v>
      </c>
      <c r="H1940" s="2" t="n">
        <f>HYPERLINK("https://worldwide.espacenet.com/patent/search?q=US20210299379","Espacenet")</f>
        <v>0.0</v>
      </c>
      <c r="I1940" s="2" t="n">
        <f>HYPERLINK("https://ppubs.uspto.gov/pubwebapp/external.html?q=20210299379.pn.","USPTO")</f>
        <v>0.0</v>
      </c>
      <c r="J1940" s="2" t="n">
        <f>HYPERLINK("https://image-ppubs.uspto.gov/dirsearch-public/print/downloadPdf/20210299379","USPTO PDF")</f>
        <v>0.0</v>
      </c>
      <c r="K1940" s="2" t="n">
        <f>HYPERLINK("https://sectors.patentforecast.com/pmd/US20210299379","PMD")</f>
        <v>0.0</v>
      </c>
      <c r="L1940" s="2" t="n">
        <f>HYPERLINK("https://globaldossier.uspto.gov/result/application/US/17222998/1","US20210299379")</f>
        <v>0.0</v>
      </c>
      <c r="M1940" t="s">
        <v>13417</v>
      </c>
      <c r="N1940" t="s">
        <v>13418</v>
      </c>
      <c r="O1940" t="s">
        <v>13418</v>
      </c>
      <c r="P1940" t="s">
        <v>13419</v>
      </c>
      <c r="Q1940" s="3" t="n">
        <v>44291.0</v>
      </c>
      <c r="R1940" s="3" t="n">
        <v>44469.0</v>
      </c>
      <c r="S1940" s="3" t="n">
        <v>44470.23335619213</v>
      </c>
      <c r="T1940" s="3" t="n">
        <v>44474.580088993054</v>
      </c>
      <c r="U1940" t="s">
        <v>13420</v>
      </c>
      <c r="V1940" t="s">
        <v>13421</v>
      </c>
    </row>
    <row r="1941">
      <c r="A1941" t="s">
        <v>22</v>
      </c>
      <c r="B1941" t="s">
        <v>13422</v>
      </c>
      <c r="C1941" t="s">
        <v>60</v>
      </c>
      <c r="D1941" t="s">
        <v>715</v>
      </c>
      <c r="E1941" t="s">
        <v>13423</v>
      </c>
      <c r="F1941" s="2" t="n">
        <f>HYPERLINK("https://patents.google.com/patent/US20210299378","Google")</f>
        <v>0.0</v>
      </c>
      <c r="G1941" s="2" t="n">
        <f>HYPERLINK("https://patentcenter.uspto.gov/applications/17219480","Patent Center")</f>
        <v>0.0</v>
      </c>
      <c r="H1941" s="2" t="n">
        <f>HYPERLINK("https://worldwide.espacenet.com/patent/search?q=US20210299378","Espacenet")</f>
        <v>0.0</v>
      </c>
      <c r="I1941" s="2" t="n">
        <f>HYPERLINK("https://ppubs.uspto.gov/pubwebapp/external.html?q=20210299378.pn.","USPTO")</f>
        <v>0.0</v>
      </c>
      <c r="J1941" s="2" t="n">
        <f>HYPERLINK("https://image-ppubs.uspto.gov/dirsearch-public/print/downloadPdf/20210299378","USPTO PDF")</f>
        <v>0.0</v>
      </c>
      <c r="K1941" s="2" t="n">
        <f>HYPERLINK("https://sectors.patentforecast.com/pmd/US20210299378","PMD")</f>
        <v>0.0</v>
      </c>
      <c r="L1941" s="2" t="n">
        <f>HYPERLINK("https://globaldossier.uspto.gov/result/application/US/17219480/1","US20210299378")</f>
        <v>0.0</v>
      </c>
      <c r="M1941" t="s">
        <v>13424</v>
      </c>
      <c r="N1941" t="s">
        <v>13425</v>
      </c>
      <c r="O1941" t="s">
        <v>13426</v>
      </c>
      <c r="P1941" t="s">
        <v>13427</v>
      </c>
      <c r="Q1941" s="3" t="n">
        <v>44286.0</v>
      </c>
      <c r="R1941" s="3" t="n">
        <v>44469.0</v>
      </c>
      <c r="S1941" s="3" t="n">
        <v>44470.23335619213</v>
      </c>
      <c r="T1941" s="3" t="n">
        <v>44474.60568821759</v>
      </c>
      <c r="U1941" t="s">
        <v>13428</v>
      </c>
      <c r="V1941" t="s">
        <v>13429</v>
      </c>
    </row>
    <row r="1942">
      <c r="A1942" t="s">
        <v>22</v>
      </c>
      <c r="B1942" t="s">
        <v>13430</v>
      </c>
      <c r="C1942" t="s">
        <v>60</v>
      </c>
      <c r="D1942" t="s">
        <v>715</v>
      </c>
      <c r="E1942" t="s">
        <v>13431</v>
      </c>
      <c r="F1942" s="2" t="n">
        <f>HYPERLINK("https://patents.google.com/patent/US20210299377","Google")</f>
        <v>0.0</v>
      </c>
      <c r="G1942" s="2" t="n">
        <f>HYPERLINK("https://patentcenter.uspto.gov/applications/17213254","Patent Center")</f>
        <v>0.0</v>
      </c>
      <c r="H1942" s="2" t="n">
        <f>HYPERLINK("https://worldwide.espacenet.com/patent/search?q=US20210299377","Espacenet")</f>
        <v>0.0</v>
      </c>
      <c r="I1942" s="2" t="n">
        <f>HYPERLINK("https://ppubs.uspto.gov/pubwebapp/external.html?q=20210299377.pn.","USPTO")</f>
        <v>0.0</v>
      </c>
      <c r="J1942" s="2" t="n">
        <f>HYPERLINK("https://image-ppubs.uspto.gov/dirsearch-public/print/downloadPdf/20210299377","USPTO PDF")</f>
        <v>0.0</v>
      </c>
      <c r="K1942" s="2" t="n">
        <f>HYPERLINK("https://sectors.patentforecast.com/pmd/US20210299377","PMD")</f>
        <v>0.0</v>
      </c>
      <c r="L1942" s="2" t="n">
        <f>HYPERLINK("https://globaldossier.uspto.gov/result/application/US/17213254/1","US20210299377")</f>
        <v>0.0</v>
      </c>
      <c r="M1942" t="s">
        <v>13432</v>
      </c>
      <c r="N1942" t="s">
        <v>13433</v>
      </c>
      <c r="O1942" t="s">
        <v>13434</v>
      </c>
      <c r="P1942" t="s">
        <v>13435</v>
      </c>
      <c r="Q1942" s="3" t="n">
        <v>44281.0</v>
      </c>
      <c r="R1942" s="3" t="n">
        <v>44469.0</v>
      </c>
      <c r="S1942" s="3" t="n">
        <v>44470.23335619213</v>
      </c>
      <c r="T1942" s="3" t="n">
        <v>44474.580539270835</v>
      </c>
      <c r="U1942" t="s">
        <v>13436</v>
      </c>
      <c r="V1942" t="s">
        <v>13437</v>
      </c>
    </row>
    <row r="1943">
      <c r="A1943" t="s">
        <v>22</v>
      </c>
      <c r="B1943" t="s">
        <v>13438</v>
      </c>
      <c r="C1943" t="s">
        <v>60</v>
      </c>
      <c r="D1943" t="s">
        <v>715</v>
      </c>
      <c r="E1943" t="s">
        <v>13439</v>
      </c>
      <c r="F1943" s="2" t="n">
        <f>HYPERLINK("https://patents.google.com/patent/US20210299373","Google")</f>
        <v>0.0</v>
      </c>
      <c r="G1943" s="2" t="n">
        <f>HYPERLINK("https://patentcenter.uspto.gov/applications/17216667","Patent Center")</f>
        <v>0.0</v>
      </c>
      <c r="H1943" s="2" t="n">
        <f>HYPERLINK("https://worldwide.espacenet.com/patent/search?q=US20210299373","Espacenet")</f>
        <v>0.0</v>
      </c>
      <c r="I1943" s="2" t="n">
        <f>HYPERLINK("https://ppubs.uspto.gov/pubwebapp/external.html?q=20210299373.pn.","USPTO")</f>
        <v>0.0</v>
      </c>
      <c r="J1943" s="2" t="n">
        <f>HYPERLINK("https://image-ppubs.uspto.gov/dirsearch-public/print/downloadPdf/20210299373","USPTO PDF")</f>
        <v>0.0</v>
      </c>
      <c r="K1943" s="2" t="n">
        <f>HYPERLINK("https://sectors.patentforecast.com/pmd/US20210299373","PMD")</f>
        <v>0.0</v>
      </c>
      <c r="L1943" s="2" t="n">
        <f>HYPERLINK("https://globaldossier.uspto.gov/result/application/US/17216667/1","US20210299373")</f>
        <v>0.0</v>
      </c>
      <c r="M1943" t="s">
        <v>13440</v>
      </c>
      <c r="N1943" t="s">
        <v>13418</v>
      </c>
      <c r="O1943" t="s">
        <v>13418</v>
      </c>
      <c r="P1943" t="s">
        <v>13419</v>
      </c>
      <c r="Q1943" s="3" t="n">
        <v>44284.0</v>
      </c>
      <c r="R1943" s="3" t="n">
        <v>44469.0</v>
      </c>
      <c r="S1943" s="3" t="n">
        <v>44470.23335619213</v>
      </c>
      <c r="T1943" s="3" t="n">
        <v>44474.58062709491</v>
      </c>
      <c r="U1943" t="s">
        <v>13441</v>
      </c>
      <c r="V1943" t="s">
        <v>13442</v>
      </c>
    </row>
    <row r="1944">
      <c r="A1944" t="s">
        <v>22</v>
      </c>
      <c r="B1944" t="s">
        <v>13443</v>
      </c>
      <c r="C1944" t="s">
        <v>60</v>
      </c>
      <c r="D1944" t="s">
        <v>715</v>
      </c>
      <c r="E1944" t="s">
        <v>13416</v>
      </c>
      <c r="F1944" s="2" t="n">
        <f>HYPERLINK("https://patents.google.com/patent/US20210299370","Google")</f>
        <v>0.0</v>
      </c>
      <c r="G1944" s="2" t="n">
        <f>HYPERLINK("https://patentcenter.uspto.gov/applications/17220922","Patent Center")</f>
        <v>0.0</v>
      </c>
      <c r="H1944" s="2" t="n">
        <f>HYPERLINK("https://worldwide.espacenet.com/patent/search?q=US20210299370","Espacenet")</f>
        <v>0.0</v>
      </c>
      <c r="I1944" s="2" t="n">
        <f>HYPERLINK("https://ppubs.uspto.gov/pubwebapp/external.html?q=20210299370.pn.","USPTO")</f>
        <v>0.0</v>
      </c>
      <c r="J1944" s="2" t="n">
        <f>HYPERLINK("https://image-ppubs.uspto.gov/dirsearch-public/print/downloadPdf/20210299370","USPTO PDF")</f>
        <v>0.0</v>
      </c>
      <c r="K1944" s="2" t="n">
        <f>HYPERLINK("https://sectors.patentforecast.com/pmd/US20210299370","PMD")</f>
        <v>0.0</v>
      </c>
      <c r="L1944" s="2" t="n">
        <f>HYPERLINK("https://globaldossier.uspto.gov/result/application/US/17220922/1","US20210299370")</f>
        <v>0.0</v>
      </c>
      <c r="M1944" t="s">
        <v>13444</v>
      </c>
      <c r="N1944" t="s">
        <v>13418</v>
      </c>
      <c r="O1944" t="s">
        <v>13418</v>
      </c>
      <c r="P1944" t="s">
        <v>13419</v>
      </c>
      <c r="Q1944" s="3" t="n">
        <v>44287.0</v>
      </c>
      <c r="R1944" s="3" t="n">
        <v>44469.0</v>
      </c>
      <c r="S1944" s="3" t="n">
        <v>44470.23335619213</v>
      </c>
      <c r="T1944" s="3" t="n">
        <v>44474.58068407408</v>
      </c>
      <c r="U1944" t="s">
        <v>13445</v>
      </c>
      <c r="V1944" t="s">
        <v>13446</v>
      </c>
    </row>
    <row r="1945">
      <c r="A1945" t="s">
        <v>22</v>
      </c>
      <c r="B1945" t="s">
        <v>13447</v>
      </c>
      <c r="C1945" t="s">
        <v>24</v>
      </c>
      <c r="D1945" t="s">
        <v>100</v>
      </c>
      <c r="E1945" t="s">
        <v>13448</v>
      </c>
      <c r="F1945" s="2" t="n">
        <f>HYPERLINK("https://patents.google.com/patent/US20210299289","Google")</f>
        <v>0.0</v>
      </c>
      <c r="G1945" s="2" t="n">
        <f>HYPERLINK("https://patentcenter.uspto.gov/applications/17216648","Patent Center")</f>
        <v>0.0</v>
      </c>
      <c r="H1945" s="2" t="n">
        <f>HYPERLINK("https://worldwide.espacenet.com/patent/search?q=US20210299289","Espacenet")</f>
        <v>0.0</v>
      </c>
      <c r="I1945" s="2" t="n">
        <f>HYPERLINK("https://ppubs.uspto.gov/pubwebapp/external.html?q=20210299289.pn.","USPTO")</f>
        <v>0.0</v>
      </c>
      <c r="J1945" s="2" t="n">
        <f>HYPERLINK("https://image-ppubs.uspto.gov/dirsearch-public/print/downloadPdf/20210299289","USPTO PDF")</f>
        <v>0.0</v>
      </c>
      <c r="K1945" s="2" t="n">
        <f>HYPERLINK("https://sectors.patentforecast.com/pmd/US20210299289","PMD")</f>
        <v>0.0</v>
      </c>
      <c r="L1945" s="2" t="n">
        <f>HYPERLINK("https://globaldossier.uspto.gov/result/application/US/17216648/1","US20210299289")</f>
        <v>0.0</v>
      </c>
      <c r="M1945" t="s">
        <v>13449</v>
      </c>
      <c r="N1945" t="s">
        <v>13450</v>
      </c>
      <c r="O1945" t="s">
        <v>13451</v>
      </c>
      <c r="P1945" t="s">
        <v>13452</v>
      </c>
      <c r="Q1945" s="3" t="n">
        <v>44284.0</v>
      </c>
      <c r="R1945" s="3" t="n">
        <v>44469.0</v>
      </c>
      <c r="S1945" s="3" t="n">
        <v>44470.23035149305</v>
      </c>
      <c r="T1945" s="3" t="n">
        <v>44474.581284618056</v>
      </c>
      <c r="U1945" t="s">
        <v>13453</v>
      </c>
      <c r="V1945" t="s">
        <v>13454</v>
      </c>
    </row>
    <row r="1946">
      <c r="A1946" t="s">
        <v>22</v>
      </c>
      <c r="B1946" t="s">
        <v>13455</v>
      </c>
      <c r="C1946" t="s">
        <v>60</v>
      </c>
      <c r="D1946" t="s">
        <v>61</v>
      </c>
      <c r="E1946" t="s">
        <v>13456</v>
      </c>
      <c r="F1946" s="2" t="n">
        <f>HYPERLINK("https://patents.google.com/patent/US20210299257","Google")</f>
        <v>0.0</v>
      </c>
      <c r="G1946" s="2" t="n">
        <f>HYPERLINK("https://patentcenter.uspto.gov/applications/17207226","Patent Center")</f>
        <v>0.0</v>
      </c>
      <c r="H1946" s="2" t="n">
        <f>HYPERLINK("https://worldwide.espacenet.com/patent/search?q=US20210299257","Espacenet")</f>
        <v>0.0</v>
      </c>
      <c r="I1946" s="2" t="n">
        <f>HYPERLINK("https://ppubs.uspto.gov/pubwebapp/external.html?q=20210299257.pn.","USPTO")</f>
        <v>0.0</v>
      </c>
      <c r="J1946" s="2" t="n">
        <f>HYPERLINK("https://image-ppubs.uspto.gov/dirsearch-public/print/downloadPdf/20210299257","USPTO PDF")</f>
        <v>0.0</v>
      </c>
      <c r="K1946" s="2" t="n">
        <f>HYPERLINK("https://sectors.patentforecast.com/pmd/US20210299257","PMD")</f>
        <v>0.0</v>
      </c>
      <c r="L1946" s="2" t="n">
        <f>HYPERLINK("https://globaldossier.uspto.gov/result/application/US/17207226/1","US20210299257")</f>
        <v>0.0</v>
      </c>
      <c r="M1946" t="s">
        <v>13457</v>
      </c>
      <c r="N1946" t="s">
        <v>7292</v>
      </c>
      <c r="O1946" t="s">
        <v>7293</v>
      </c>
      <c r="P1946" t="s">
        <v>13458</v>
      </c>
      <c r="Q1946" s="3" t="n">
        <v>44274.0</v>
      </c>
      <c r="R1946" s="3" t="n">
        <v>44469.0</v>
      </c>
      <c r="S1946" s="3" t="n">
        <v>44470.23035149305</v>
      </c>
      <c r="T1946" s="3" t="n">
        <v>44474.62266173611</v>
      </c>
      <c r="U1946" t="s">
        <v>13459</v>
      </c>
      <c r="V1946" t="s">
        <v>13460</v>
      </c>
    </row>
    <row r="1947">
      <c r="A1947" t="s">
        <v>22</v>
      </c>
      <c r="B1947" t="s">
        <v>13461</v>
      </c>
      <c r="C1947" t="s">
        <v>60</v>
      </c>
      <c r="D1947" t="s">
        <v>61</v>
      </c>
      <c r="E1947" t="s">
        <v>13462</v>
      </c>
      <c r="F1947" s="2" t="n">
        <f>HYPERLINK("https://patents.google.com/patent/US20210299246","Google")</f>
        <v>0.0</v>
      </c>
      <c r="G1947" s="2" t="n">
        <f>HYPERLINK("https://patentcenter.uspto.gov/applications/17214845","Patent Center")</f>
        <v>0.0</v>
      </c>
      <c r="H1947" s="2" t="n">
        <f>HYPERLINK("https://worldwide.espacenet.com/patent/search?q=US20210299246","Espacenet")</f>
        <v>0.0</v>
      </c>
      <c r="I1947" s="2" t="n">
        <f>HYPERLINK("https://ppubs.uspto.gov/pubwebapp/external.html?q=20210299246.pn.","USPTO")</f>
        <v>0.0</v>
      </c>
      <c r="J1947" s="2" t="n">
        <f>HYPERLINK("https://image-ppubs.uspto.gov/dirsearch-public/print/downloadPdf/20210299246","USPTO PDF")</f>
        <v>0.0</v>
      </c>
      <c r="K1947" s="2" t="n">
        <f>HYPERLINK("https://sectors.patentforecast.com/pmd/US20210299246","PMD")</f>
        <v>0.0</v>
      </c>
      <c r="L1947" s="2" t="n">
        <f>HYPERLINK("https://globaldossier.uspto.gov/result/application/US/17214845/1","US20210299246")</f>
        <v>0.0</v>
      </c>
      <c r="M1947" t="s">
        <v>13463</v>
      </c>
      <c r="N1947" t="s">
        <v>13464</v>
      </c>
      <c r="O1947" t="s">
        <v>13465</v>
      </c>
      <c r="P1947" t="s">
        <v>13466</v>
      </c>
      <c r="Q1947" s="3" t="n">
        <v>44282.0</v>
      </c>
      <c r="R1947" s="3" t="n">
        <v>44469.0</v>
      </c>
      <c r="S1947" s="3" t="n">
        <v>44470.22942369213</v>
      </c>
      <c r="T1947" s="3" t="n">
        <v>44474.58930462963</v>
      </c>
      <c r="U1947" t="s">
        <v>13467</v>
      </c>
      <c r="V1947" t="s">
        <v>13468</v>
      </c>
    </row>
    <row r="1948">
      <c r="A1948" t="s">
        <v>22</v>
      </c>
      <c r="B1948" t="s">
        <v>13469</v>
      </c>
      <c r="C1948" t="s">
        <v>132</v>
      </c>
      <c r="D1948" t="s">
        <v>133</v>
      </c>
      <c r="E1948" t="s">
        <v>13470</v>
      </c>
      <c r="F1948" s="2" t="n">
        <f>HYPERLINK("https://patents.google.com/patent/US20210299245","Google")</f>
        <v>0.0</v>
      </c>
      <c r="G1948" s="2" t="n">
        <f>HYPERLINK("https://patentcenter.uspto.gov/applications/17212327","Patent Center")</f>
        <v>0.0</v>
      </c>
      <c r="H1948" s="2" t="n">
        <f>HYPERLINK("https://worldwide.espacenet.com/patent/search?q=US20210299245","Espacenet")</f>
        <v>0.0</v>
      </c>
      <c r="I1948" s="2" t="n">
        <f>HYPERLINK("https://ppubs.uspto.gov/pubwebapp/external.html?q=20210299245.pn.","USPTO")</f>
        <v>0.0</v>
      </c>
      <c r="J1948" s="2" t="n">
        <f>HYPERLINK("https://image-ppubs.uspto.gov/dirsearch-public/print/downloadPdf/20210299245","USPTO PDF")</f>
        <v>0.0</v>
      </c>
      <c r="K1948" s="2" t="n">
        <f>HYPERLINK("https://sectors.patentforecast.com/pmd/US20210299245","PMD")</f>
        <v>0.0</v>
      </c>
      <c r="L1948" s="2" t="n">
        <f>HYPERLINK("https://globaldossier.uspto.gov/result/application/US/17212327/1","US20210299245")</f>
        <v>0.0</v>
      </c>
      <c r="M1948" t="s">
        <v>13471</v>
      </c>
      <c r="N1948" t="s">
        <v>13472</v>
      </c>
      <c r="O1948" t="s">
        <v>13473</v>
      </c>
      <c r="P1948" t="s">
        <v>13474</v>
      </c>
      <c r="Q1948" s="3" t="n">
        <v>44280.0</v>
      </c>
      <c r="R1948" s="3" t="n">
        <v>44469.0</v>
      </c>
      <c r="S1948" s="3" t="n">
        <v>44470.22942369213</v>
      </c>
      <c r="T1948" s="3" t="n">
        <v>44474.63214538195</v>
      </c>
      <c r="U1948" t="s">
        <v>13475</v>
      </c>
      <c r="V1948" t="s">
        <v>13476</v>
      </c>
    </row>
    <row r="1949">
      <c r="A1949" t="s">
        <v>22</v>
      </c>
      <c r="B1949" t="s">
        <v>13477</v>
      </c>
      <c r="C1949" t="s">
        <v>60</v>
      </c>
      <c r="D1949" t="s">
        <v>61</v>
      </c>
      <c r="E1949" t="s">
        <v>1317</v>
      </c>
      <c r="F1949" s="2" t="n">
        <f>HYPERLINK("https://patents.google.com/patent/US20210299230","Google")</f>
        <v>0.0</v>
      </c>
      <c r="G1949" s="2" t="n">
        <f>HYPERLINK("https://patentcenter.uspto.gov/applications/17208827","Patent Center")</f>
        <v>0.0</v>
      </c>
      <c r="H1949" s="2" t="n">
        <f>HYPERLINK("https://worldwide.espacenet.com/patent/search?q=US20210299230","Espacenet")</f>
        <v>0.0</v>
      </c>
      <c r="I1949" s="2" t="n">
        <f>HYPERLINK("https://ppubs.uspto.gov/pubwebapp/external.html?q=20210299230.pn.","USPTO")</f>
        <v>0.0</v>
      </c>
      <c r="J1949" s="2" t="n">
        <f>HYPERLINK("https://image-ppubs.uspto.gov/dirsearch-public/print/downloadPdf/20210299230","USPTO PDF")</f>
        <v>0.0</v>
      </c>
      <c r="K1949" s="2" t="n">
        <f>HYPERLINK("https://sectors.patentforecast.com/pmd/US20210299230","PMD")</f>
        <v>0.0</v>
      </c>
      <c r="L1949" s="2" t="n">
        <f>HYPERLINK("https://globaldossier.uspto.gov/result/application/US/17208827/1","US20210299230")</f>
        <v>0.0</v>
      </c>
      <c r="M1949" t="s">
        <v>13478</v>
      </c>
      <c r="N1949" t="s">
        <v>1319</v>
      </c>
      <c r="O1949" t="s">
        <v>1320</v>
      </c>
      <c r="P1949" t="s">
        <v>1321</v>
      </c>
      <c r="Q1949" s="3" t="n">
        <v>44277.0</v>
      </c>
      <c r="R1949" s="3" t="n">
        <v>44469.0</v>
      </c>
      <c r="S1949" s="3" t="n">
        <v>44470.23035149305</v>
      </c>
      <c r="T1949" s="3" t="n">
        <v>44474.63522777778</v>
      </c>
      <c r="U1949" t="s">
        <v>13479</v>
      </c>
      <c r="V1949" t="s">
        <v>1322</v>
      </c>
    </row>
    <row r="1950">
      <c r="A1950" t="s">
        <v>22</v>
      </c>
      <c r="B1950" t="s">
        <v>13480</v>
      </c>
      <c r="C1950" t="s">
        <v>60</v>
      </c>
      <c r="D1950" t="s">
        <v>61</v>
      </c>
      <c r="E1950" t="s">
        <v>13481</v>
      </c>
      <c r="F1950" s="2" t="n">
        <f>HYPERLINK("https://patents.google.com/patent/US20210299226","Google")</f>
        <v>0.0</v>
      </c>
      <c r="G1950" s="2" t="n">
        <f>HYPERLINK("https://patentcenter.uspto.gov/applications/16835905","Patent Center")</f>
        <v>0.0</v>
      </c>
      <c r="H1950" s="2" t="n">
        <f>HYPERLINK("https://worldwide.espacenet.com/patent/search?q=US20210299226","Espacenet")</f>
        <v>0.0</v>
      </c>
      <c r="I1950" s="2" t="n">
        <f>HYPERLINK("https://ppubs.uspto.gov/pubwebapp/external.html?q=20210299226.pn.","USPTO")</f>
        <v>0.0</v>
      </c>
      <c r="J1950" s="2" t="n">
        <f>HYPERLINK("https://image-ppubs.uspto.gov/dirsearch-public/print/downloadPdf/20210299226","USPTO PDF")</f>
        <v>0.0</v>
      </c>
      <c r="K1950" s="2" t="n">
        <f>HYPERLINK("https://sectors.patentforecast.com/pmd/US20210299226","PMD")</f>
        <v>0.0</v>
      </c>
      <c r="L1950" s="2" t="n">
        <f>HYPERLINK("https://globaldossier.uspto.gov/result/application/US/16835905/1","US20210299226")</f>
        <v>0.0</v>
      </c>
      <c r="M1950" t="s">
        <v>13482</v>
      </c>
      <c r="N1950" t="s">
        <v>13483</v>
      </c>
      <c r="O1950" t="s">
        <v>13483</v>
      </c>
      <c r="P1950" t="s">
        <v>13484</v>
      </c>
      <c r="Q1950" s="3" t="n">
        <v>43921.0</v>
      </c>
      <c r="R1950" s="3" t="n">
        <v>44469.0</v>
      </c>
      <c r="S1950" s="3" t="n">
        <v>44470.23035149305</v>
      </c>
      <c r="T1950" s="3" t="n">
        <v>44474.58437606481</v>
      </c>
      <c r="U1950" t="s">
        <v>13485</v>
      </c>
      <c r="V1950" t="s">
        <v>13486</v>
      </c>
    </row>
    <row r="1951">
      <c r="A1951" t="s">
        <v>22</v>
      </c>
      <c r="B1951" t="s">
        <v>13487</v>
      </c>
      <c r="C1951" t="s">
        <v>60</v>
      </c>
      <c r="D1951" t="s">
        <v>61</v>
      </c>
      <c r="E1951" t="s">
        <v>13488</v>
      </c>
      <c r="F1951" s="2" t="n">
        <f>HYPERLINK("https://patents.google.com/patent/US20210299217","Google")</f>
        <v>0.0</v>
      </c>
      <c r="G1951" s="2" t="n">
        <f>HYPERLINK("https://patentcenter.uspto.gov/applications/17208228","Patent Center")</f>
        <v>0.0</v>
      </c>
      <c r="H1951" s="2" t="n">
        <f>HYPERLINK("https://worldwide.espacenet.com/patent/search?q=US20210299217","Espacenet")</f>
        <v>0.0</v>
      </c>
      <c r="I1951" s="2" t="n">
        <f>HYPERLINK("https://ppubs.uspto.gov/pubwebapp/external.html?q=20210299217.pn.","USPTO")</f>
        <v>0.0</v>
      </c>
      <c r="J1951" s="2" t="n">
        <f>HYPERLINK("https://image-ppubs.uspto.gov/dirsearch-public/print/downloadPdf/20210299217","USPTO PDF")</f>
        <v>0.0</v>
      </c>
      <c r="K1951" s="2" t="n">
        <f>HYPERLINK("https://sectors.patentforecast.com/pmd/US20210299217","PMD")</f>
        <v>0.0</v>
      </c>
      <c r="L1951" s="2" t="n">
        <f>HYPERLINK("https://globaldossier.uspto.gov/result/application/US/17208228/1","US20210299217")</f>
        <v>0.0</v>
      </c>
      <c r="M1951" t="s">
        <v>13489</v>
      </c>
      <c r="N1951" t="s">
        <v>2354</v>
      </c>
      <c r="O1951" t="s">
        <v>2355</v>
      </c>
      <c r="P1951" t="s">
        <v>13490</v>
      </c>
      <c r="Q1951" s="3" t="n">
        <v>44277.0</v>
      </c>
      <c r="R1951" s="3" t="n">
        <v>44469.0</v>
      </c>
      <c r="S1951" s="3" t="n">
        <v>44470.23035149305</v>
      </c>
      <c r="T1951" s="3" t="n">
        <v>44474.624700231485</v>
      </c>
      <c r="U1951" t="s">
        <v>13491</v>
      </c>
      <c r="V1951" t="s">
        <v>13492</v>
      </c>
    </row>
    <row r="1952">
      <c r="A1952" t="s">
        <v>22</v>
      </c>
      <c r="B1952" t="s">
        <v>13493</v>
      </c>
      <c r="C1952" t="s">
        <v>60</v>
      </c>
      <c r="D1952" t="s">
        <v>61</v>
      </c>
      <c r="E1952" t="s">
        <v>12630</v>
      </c>
      <c r="F1952" s="2" t="n">
        <f>HYPERLINK("https://patents.google.com/patent/US20210299209","Google")</f>
        <v>0.0</v>
      </c>
      <c r="G1952" s="2" t="n">
        <f>HYPERLINK("https://patentcenter.uspto.gov/applications/17301191","Patent Center")</f>
        <v>0.0</v>
      </c>
      <c r="H1952" s="2" t="n">
        <f>HYPERLINK("https://worldwide.espacenet.com/patent/search?q=US20210299209","Espacenet")</f>
        <v>0.0</v>
      </c>
      <c r="I1952" s="2" t="n">
        <f>HYPERLINK("https://ppubs.uspto.gov/pubwebapp/external.html?q=20210299209.pn.","USPTO")</f>
        <v>0.0</v>
      </c>
      <c r="J1952" s="2" t="n">
        <f>HYPERLINK("https://image-ppubs.uspto.gov/dirsearch-public/print/downloadPdf/20210299209","USPTO PDF")</f>
        <v>0.0</v>
      </c>
      <c r="K1952" s="2" t="n">
        <f>HYPERLINK("https://sectors.patentforecast.com/pmd/US20210299209","PMD")</f>
        <v>0.0</v>
      </c>
      <c r="L1952" s="2" t="n">
        <f>HYPERLINK("https://globaldossier.uspto.gov/result/application/US/17301191/1","US20210299209")</f>
        <v>0.0</v>
      </c>
      <c r="M1952" t="s">
        <v>13494</v>
      </c>
      <c r="N1952" t="s">
        <v>12632</v>
      </c>
      <c r="O1952" t="s">
        <v>12633</v>
      </c>
      <c r="P1952" t="s">
        <v>12634</v>
      </c>
      <c r="Q1952" s="3" t="n">
        <v>44284.0</v>
      </c>
      <c r="R1952" s="3" t="n">
        <v>44469.0</v>
      </c>
      <c r="S1952" s="3" t="n">
        <v>44470.23035149305</v>
      </c>
      <c r="T1952" s="3" t="n">
        <v>44474.634353726855</v>
      </c>
      <c r="U1952" t="s">
        <v>13495</v>
      </c>
      <c r="V1952" t="s">
        <v>13496</v>
      </c>
    </row>
    <row r="1953">
      <c r="A1953" t="s">
        <v>22</v>
      </c>
      <c r="B1953" t="s">
        <v>13497</v>
      </c>
      <c r="C1953" t="s">
        <v>60</v>
      </c>
      <c r="D1953" t="s">
        <v>2262</v>
      </c>
      <c r="E1953" t="s">
        <v>12630</v>
      </c>
      <c r="F1953" s="2" t="n">
        <f>HYPERLINK("https://patents.google.com/patent/US20210299208","Google")</f>
        <v>0.0</v>
      </c>
      <c r="G1953" s="2" t="n">
        <f>HYPERLINK("https://patentcenter.uspto.gov/applications/16949891","Patent Center")</f>
        <v>0.0</v>
      </c>
      <c r="H1953" s="2" t="n">
        <f>HYPERLINK("https://worldwide.espacenet.com/patent/search?q=US20210299208","Espacenet")</f>
        <v>0.0</v>
      </c>
      <c r="I1953" s="2" t="n">
        <f>HYPERLINK("https://ppubs.uspto.gov/pubwebapp/external.html?q=20210299208.pn.","USPTO")</f>
        <v>0.0</v>
      </c>
      <c r="J1953" s="2" t="n">
        <f>HYPERLINK("https://image-ppubs.uspto.gov/dirsearch-public/print/downloadPdf/20210299208","USPTO PDF")</f>
        <v>0.0</v>
      </c>
      <c r="K1953" s="2" t="n">
        <f>HYPERLINK("https://sectors.patentforecast.com/pmd/US20210299208","PMD")</f>
        <v>0.0</v>
      </c>
      <c r="L1953" s="2" t="n">
        <f>HYPERLINK("https://globaldossier.uspto.gov/result/application/US/16949891/1","US20210299208")</f>
        <v>0.0</v>
      </c>
      <c r="M1953" t="s">
        <v>13498</v>
      </c>
      <c r="N1953" t="s">
        <v>12632</v>
      </c>
      <c r="O1953" t="s">
        <v>12633</v>
      </c>
      <c r="P1953" t="s">
        <v>12634</v>
      </c>
      <c r="Q1953" s="3" t="n">
        <v>44154.0</v>
      </c>
      <c r="R1953" s="3" t="n">
        <v>44469.0</v>
      </c>
      <c r="S1953" s="3" t="n">
        <v>44470.23035149305</v>
      </c>
      <c r="T1953" s="3" t="n">
        <v>44474.63261476852</v>
      </c>
      <c r="U1953" t="s">
        <v>13499</v>
      </c>
      <c r="V1953" t="s">
        <v>13496</v>
      </c>
    </row>
    <row r="1954">
      <c r="A1954" t="s">
        <v>22</v>
      </c>
      <c r="B1954" t="s">
        <v>13500</v>
      </c>
      <c r="C1954" t="s">
        <v>60</v>
      </c>
      <c r="D1954" t="s">
        <v>61</v>
      </c>
      <c r="E1954" t="s">
        <v>12630</v>
      </c>
      <c r="F1954" s="2" t="n">
        <f>HYPERLINK("https://patents.google.com/patent/US20210299207","Google")</f>
        <v>0.0</v>
      </c>
      <c r="G1954" s="2" t="n">
        <f>HYPERLINK("https://patentcenter.uspto.gov/applications/15929788","Patent Center")</f>
        <v>0.0</v>
      </c>
      <c r="H1954" s="2" t="n">
        <f>HYPERLINK("https://worldwide.espacenet.com/patent/search?q=US20210299207","Espacenet")</f>
        <v>0.0</v>
      </c>
      <c r="I1954" s="2" t="n">
        <f>HYPERLINK("https://ppubs.uspto.gov/pubwebapp/external.html?q=20210299207.pn.","USPTO")</f>
        <v>0.0</v>
      </c>
      <c r="J1954" s="2" t="n">
        <f>HYPERLINK("https://image-ppubs.uspto.gov/dirsearch-public/print/downloadPdf/20210299207","USPTO PDF")</f>
        <v>0.0</v>
      </c>
      <c r="K1954" s="2" t="n">
        <f>HYPERLINK("https://sectors.patentforecast.com/pmd/US20210299207","PMD")</f>
        <v>0.0</v>
      </c>
      <c r="L1954" s="2" t="n">
        <f>HYPERLINK("https://globaldossier.uspto.gov/result/application/US/15929788/1","US20210299207")</f>
        <v>0.0</v>
      </c>
      <c r="M1954" t="s">
        <v>13501</v>
      </c>
      <c r="N1954" t="s">
        <v>12632</v>
      </c>
      <c r="O1954" t="s">
        <v>12633</v>
      </c>
      <c r="P1954" t="s">
        <v>12634</v>
      </c>
      <c r="Q1954" s="3" t="n">
        <v>43972.0</v>
      </c>
      <c r="R1954" s="3" t="n">
        <v>44469.0</v>
      </c>
      <c r="S1954" s="3" t="n">
        <v>44470.23035149305</v>
      </c>
      <c r="T1954" s="3" t="n">
        <v>44474.632839756945</v>
      </c>
      <c r="U1954" t="s">
        <v>13502</v>
      </c>
      <c r="V1954" t="s">
        <v>13496</v>
      </c>
    </row>
    <row r="1955">
      <c r="A1955" t="s">
        <v>22</v>
      </c>
      <c r="B1955" t="s">
        <v>13503</v>
      </c>
      <c r="C1955" t="s">
        <v>60</v>
      </c>
      <c r="D1955" t="s">
        <v>4942</v>
      </c>
      <c r="E1955" t="s">
        <v>13504</v>
      </c>
      <c r="F1955" s="2" t="n">
        <f>HYPERLINK("https://patents.google.com/patent/US20210299201","Google")</f>
        <v>0.0</v>
      </c>
      <c r="G1955" s="2" t="n">
        <f>HYPERLINK("https://patentcenter.uspto.gov/applications/17214339","Patent Center")</f>
        <v>0.0</v>
      </c>
      <c r="H1955" s="2" t="n">
        <f>HYPERLINK("https://worldwide.espacenet.com/patent/search?q=US20210299201","Espacenet")</f>
        <v>0.0</v>
      </c>
      <c r="I1955" s="2" t="n">
        <f>HYPERLINK("https://ppubs.uspto.gov/pubwebapp/external.html?q=20210299201.pn.","USPTO")</f>
        <v>0.0</v>
      </c>
      <c r="J1955" s="2" t="n">
        <f>HYPERLINK("https://image-ppubs.uspto.gov/dirsearch-public/print/downloadPdf/20210299201","USPTO PDF")</f>
        <v>0.0</v>
      </c>
      <c r="K1955" s="2" t="n">
        <f>HYPERLINK("https://sectors.patentforecast.com/pmd/US20210299201","PMD")</f>
        <v>0.0</v>
      </c>
      <c r="L1955" s="2" t="n">
        <f>HYPERLINK("https://globaldossier.uspto.gov/result/application/US/17214339/1","US20210299201")</f>
        <v>0.0</v>
      </c>
      <c r="M1955" t="s">
        <v>13505</v>
      </c>
      <c r="N1955" t="s">
        <v>13506</v>
      </c>
      <c r="O1955" t="s">
        <v>13507</v>
      </c>
      <c r="P1955" t="s">
        <v>13508</v>
      </c>
      <c r="Q1955" s="3" t="n">
        <v>44281.0</v>
      </c>
      <c r="R1955" s="3" t="n">
        <v>44469.0</v>
      </c>
      <c r="S1955" s="3" t="n">
        <v>44470.23035149305</v>
      </c>
      <c r="T1955" s="3" t="n">
        <v>44474.62434219907</v>
      </c>
      <c r="U1955" t="s">
        <v>13509</v>
      </c>
      <c r="V1955" t="s">
        <v>13510</v>
      </c>
    </row>
    <row r="1956">
      <c r="A1956" t="s">
        <v>22</v>
      </c>
      <c r="B1956" t="s">
        <v>13511</v>
      </c>
      <c r="C1956" t="s">
        <v>60</v>
      </c>
      <c r="D1956" t="s">
        <v>61</v>
      </c>
      <c r="E1956" t="s">
        <v>13512</v>
      </c>
      <c r="F1956" s="2" t="n">
        <f>HYPERLINK("https://patents.google.com/patent/US20210299178","Google")</f>
        <v>0.0</v>
      </c>
      <c r="G1956" s="2" t="n">
        <f>HYPERLINK("https://patentcenter.uspto.gov/applications/17344442","Patent Center")</f>
        <v>0.0</v>
      </c>
      <c r="H1956" s="2" t="n">
        <f>HYPERLINK("https://worldwide.espacenet.com/patent/search?q=US20210299178","Espacenet")</f>
        <v>0.0</v>
      </c>
      <c r="I1956" s="2" t="n">
        <f>HYPERLINK("https://ppubs.uspto.gov/pubwebapp/external.html?q=20210299178.pn.","USPTO")</f>
        <v>0.0</v>
      </c>
      <c r="J1956" s="2" t="n">
        <f>HYPERLINK("https://image-ppubs.uspto.gov/dirsearch-public/print/downloadPdf/20210299178","USPTO PDF")</f>
        <v>0.0</v>
      </c>
      <c r="K1956" s="2" t="n">
        <f>HYPERLINK("https://sectors.patentforecast.com/pmd/US20210299178","PMD")</f>
        <v>0.0</v>
      </c>
      <c r="L1956" s="2" t="n">
        <f>HYPERLINK("https://globaldossier.uspto.gov/result/application/US/17344442/1","US20210299178")</f>
        <v>0.0</v>
      </c>
      <c r="M1956" t="s">
        <v>13513</v>
      </c>
      <c r="N1956" t="s">
        <v>13514</v>
      </c>
      <c r="O1956" t="s">
        <v>13515</v>
      </c>
      <c r="P1956" t="s">
        <v>13516</v>
      </c>
      <c r="Q1956" s="3" t="n">
        <v>44357.0</v>
      </c>
      <c r="R1956" s="3" t="n">
        <v>44469.0</v>
      </c>
      <c r="S1956" s="3" t="n">
        <v>44470.23035149305</v>
      </c>
      <c r="T1956" s="3" t="n">
        <v>44474.62517954861</v>
      </c>
      <c r="U1956" t="s">
        <v>13517</v>
      </c>
      <c r="V1956" t="s">
        <v>13518</v>
      </c>
    </row>
    <row r="1957">
      <c r="A1957" t="s">
        <v>22</v>
      </c>
      <c r="B1957" t="s">
        <v>13519</v>
      </c>
      <c r="C1957" t="s">
        <v>60</v>
      </c>
      <c r="D1957" t="s">
        <v>61</v>
      </c>
      <c r="E1957" t="s">
        <v>13520</v>
      </c>
      <c r="F1957" s="2" t="n">
        <f>HYPERLINK("https://patents.google.com/patent/US20210299156","Google")</f>
        <v>0.0</v>
      </c>
      <c r="G1957" s="2" t="n">
        <f>HYPERLINK("https://patentcenter.uspto.gov/applications/17216528","Patent Center")</f>
        <v>0.0</v>
      </c>
      <c r="H1957" s="2" t="n">
        <f>HYPERLINK("https://worldwide.espacenet.com/patent/search?q=US20210299156","Espacenet")</f>
        <v>0.0</v>
      </c>
      <c r="I1957" s="2" t="n">
        <f>HYPERLINK("https://ppubs.uspto.gov/pubwebapp/external.html?q=20210299156.pn.","USPTO")</f>
        <v>0.0</v>
      </c>
      <c r="J1957" s="2" t="n">
        <f>HYPERLINK("https://image-ppubs.uspto.gov/dirsearch-public/print/downloadPdf/20210299156","USPTO PDF")</f>
        <v>0.0</v>
      </c>
      <c r="K1957" s="2" t="n">
        <f>HYPERLINK("https://sectors.patentforecast.com/pmd/US20210299156","PMD")</f>
        <v>0.0</v>
      </c>
      <c r="L1957" s="2" t="n">
        <f>HYPERLINK("https://globaldossier.uspto.gov/result/application/US/17216528/1","US20210299156")</f>
        <v>0.0</v>
      </c>
      <c r="M1957" t="s">
        <v>13521</v>
      </c>
      <c r="N1957" t="s">
        <v>13522</v>
      </c>
      <c r="O1957" t="s">
        <v>13523</v>
      </c>
      <c r="P1957" t="s">
        <v>13524</v>
      </c>
      <c r="Q1957" s="3" t="n">
        <v>44284.0</v>
      </c>
      <c r="R1957" s="3" t="n">
        <v>44469.0</v>
      </c>
      <c r="S1957" s="3" t="n">
        <v>44470.23035149305</v>
      </c>
      <c r="T1957" s="3" t="n">
        <v>44474.62920855324</v>
      </c>
      <c r="U1957" t="s">
        <v>13525</v>
      </c>
      <c r="V1957" t="s">
        <v>13526</v>
      </c>
    </row>
    <row r="1958">
      <c r="A1958" t="s">
        <v>22</v>
      </c>
      <c r="B1958" t="s">
        <v>13527</v>
      </c>
      <c r="C1958" t="s">
        <v>60</v>
      </c>
      <c r="D1958" t="s">
        <v>61</v>
      </c>
      <c r="E1958" t="s">
        <v>13528</v>
      </c>
      <c r="F1958" s="2" t="n">
        <f>HYPERLINK("https://patents.google.com/patent/US20210299143","Google")</f>
        <v>0.0</v>
      </c>
      <c r="G1958" s="2" t="n">
        <f>HYPERLINK("https://patentcenter.uspto.gov/applications/17206719","Patent Center")</f>
        <v>0.0</v>
      </c>
      <c r="H1958" s="2" t="n">
        <f>HYPERLINK("https://worldwide.espacenet.com/patent/search?q=US20210299143","Espacenet")</f>
        <v>0.0</v>
      </c>
      <c r="I1958" s="2" t="n">
        <f>HYPERLINK("https://ppubs.uspto.gov/pubwebapp/external.html?q=20210299143.pn.","USPTO")</f>
        <v>0.0</v>
      </c>
      <c r="J1958" s="2" t="n">
        <f>HYPERLINK("https://image-ppubs.uspto.gov/dirsearch-public/print/downloadPdf/20210299143","USPTO PDF")</f>
        <v>0.0</v>
      </c>
      <c r="K1958" s="2" t="n">
        <f>HYPERLINK("https://sectors.patentforecast.com/pmd/US20210299143","PMD")</f>
        <v>0.0</v>
      </c>
      <c r="L1958" s="2" t="n">
        <f>HYPERLINK("https://globaldossier.uspto.gov/result/application/US/17206719/1","US20210299143")</f>
        <v>0.0</v>
      </c>
      <c r="M1958" t="s">
        <v>13529</v>
      </c>
      <c r="N1958" t="s">
        <v>13530</v>
      </c>
      <c r="O1958" t="s">
        <v>13531</v>
      </c>
      <c r="P1958" t="s">
        <v>13532</v>
      </c>
      <c r="Q1958" s="3" t="n">
        <v>44274.0</v>
      </c>
      <c r="R1958" s="3" t="n">
        <v>44469.0</v>
      </c>
      <c r="S1958" s="3" t="n">
        <v>44470.23035149305</v>
      </c>
      <c r="T1958" s="3" t="n">
        <v>44474.63604496528</v>
      </c>
      <c r="U1958" t="s">
        <v>13533</v>
      </c>
      <c r="V1958" t="s">
        <v>13534</v>
      </c>
    </row>
    <row r="1959">
      <c r="A1959" t="s">
        <v>22</v>
      </c>
      <c r="B1959" t="s">
        <v>13535</v>
      </c>
      <c r="C1959" t="s">
        <v>60</v>
      </c>
      <c r="D1959" t="s">
        <v>61</v>
      </c>
      <c r="E1959" t="s">
        <v>13536</v>
      </c>
      <c r="F1959" s="2" t="n">
        <f>HYPERLINK("https://patents.google.com/patent/US20210299108","Google")</f>
        <v>0.0</v>
      </c>
      <c r="G1959" s="2" t="n">
        <f>HYPERLINK("https://patentcenter.uspto.gov/applications/17344430","Patent Center")</f>
        <v>0.0</v>
      </c>
      <c r="H1959" s="2" t="n">
        <f>HYPERLINK("https://worldwide.espacenet.com/patent/search?q=US20210299108","Espacenet")</f>
        <v>0.0</v>
      </c>
      <c r="I1959" s="2" t="n">
        <f>HYPERLINK("https://ppubs.uspto.gov/pubwebapp/external.html?q=20210299108.pn.","USPTO")</f>
        <v>0.0</v>
      </c>
      <c r="J1959" s="2" t="n">
        <f>HYPERLINK("https://image-ppubs.uspto.gov/dirsearch-public/print/downloadPdf/20210299108","USPTO PDF")</f>
        <v>0.0</v>
      </c>
      <c r="K1959" s="2" t="n">
        <f>HYPERLINK("https://sectors.patentforecast.com/pmd/US20210299108","PMD")</f>
        <v>0.0</v>
      </c>
      <c r="L1959" s="2" t="n">
        <f>HYPERLINK("https://globaldossier.uspto.gov/result/application/US/17344430/1","US20210299108")</f>
        <v>0.0</v>
      </c>
      <c r="M1959" t="s">
        <v>13537</v>
      </c>
      <c r="N1959" t="s">
        <v>160</v>
      </c>
      <c r="O1959" t="s">
        <v>161</v>
      </c>
      <c r="P1959" t="s">
        <v>162</v>
      </c>
      <c r="Q1959" s="3" t="n">
        <v>44357.0</v>
      </c>
      <c r="R1959" s="3" t="n">
        <v>44469.0</v>
      </c>
      <c r="S1959" s="3" t="n">
        <v>44470.22942369213</v>
      </c>
      <c r="T1959" s="3" t="n">
        <v>44474.629497939815</v>
      </c>
      <c r="U1959" t="s">
        <v>13538</v>
      </c>
      <c r="V1959" t="s">
        <v>13539</v>
      </c>
    </row>
    <row r="1960">
      <c r="A1960" t="s">
        <v>22</v>
      </c>
      <c r="B1960" t="s">
        <v>13540</v>
      </c>
      <c r="C1960" t="s">
        <v>60</v>
      </c>
      <c r="D1960" t="s">
        <v>61</v>
      </c>
      <c r="E1960" t="s">
        <v>12630</v>
      </c>
      <c r="F1960" s="2" t="n">
        <f>HYPERLINK("https://patents.google.com/patent/US20210299101","Google")</f>
        <v>0.0</v>
      </c>
      <c r="G1960" s="2" t="n">
        <f>HYPERLINK("https://patentcenter.uspto.gov/applications/17301178","Patent Center")</f>
        <v>0.0</v>
      </c>
      <c r="H1960" s="2" t="n">
        <f>HYPERLINK("https://worldwide.espacenet.com/patent/search?q=US20210299101","Espacenet")</f>
        <v>0.0</v>
      </c>
      <c r="I1960" s="2" t="n">
        <f>HYPERLINK("https://ppubs.uspto.gov/pubwebapp/external.html?q=20210299101.pn.","USPTO")</f>
        <v>0.0</v>
      </c>
      <c r="J1960" s="2" t="n">
        <f>HYPERLINK("https://image-ppubs.uspto.gov/dirsearch-public/print/downloadPdf/20210299101","USPTO PDF")</f>
        <v>0.0</v>
      </c>
      <c r="K1960" s="2" t="n">
        <f>HYPERLINK("https://sectors.patentforecast.com/pmd/US20210299101","PMD")</f>
        <v>0.0</v>
      </c>
      <c r="L1960" s="2" t="n">
        <f>HYPERLINK("https://globaldossier.uspto.gov/result/application/US/17301178/1","US20210299101")</f>
        <v>0.0</v>
      </c>
      <c r="M1960" t="s">
        <v>13541</v>
      </c>
      <c r="N1960" t="s">
        <v>12632</v>
      </c>
      <c r="O1960" t="s">
        <v>12633</v>
      </c>
      <c r="P1960" t="s">
        <v>12634</v>
      </c>
      <c r="Q1960" s="3" t="n">
        <v>44284.0</v>
      </c>
      <c r="R1960" s="3" t="n">
        <v>44469.0</v>
      </c>
      <c r="S1960" s="3" t="n">
        <v>44470.23035149305</v>
      </c>
      <c r="T1960" s="3" t="n">
        <v>44474.634241087966</v>
      </c>
      <c r="U1960" t="s">
        <v>13542</v>
      </c>
      <c r="V1960" t="s">
        <v>12636</v>
      </c>
    </row>
    <row r="1961">
      <c r="A1961" t="s">
        <v>22</v>
      </c>
      <c r="B1961" t="s">
        <v>13543</v>
      </c>
      <c r="C1961" t="s">
        <v>60</v>
      </c>
      <c r="D1961" t="s">
        <v>4942</v>
      </c>
      <c r="E1961" t="s">
        <v>13544</v>
      </c>
      <c r="F1961" s="2" t="n">
        <f>HYPERLINK("https://patents.google.com/patent/US20210299091","Google")</f>
        <v>0.0</v>
      </c>
      <c r="G1961" s="2" t="n">
        <f>HYPERLINK("https://patentcenter.uspto.gov/applications/17114271","Patent Center")</f>
        <v>0.0</v>
      </c>
      <c r="H1961" s="2" t="n">
        <f>HYPERLINK("https://worldwide.espacenet.com/patent/search?q=US20210299091","Espacenet")</f>
        <v>0.0</v>
      </c>
      <c r="I1961" s="2" t="n">
        <f>HYPERLINK("https://ppubs.uspto.gov/pubwebapp/external.html?q=20210299091.pn.","USPTO")</f>
        <v>0.0</v>
      </c>
      <c r="J1961" s="2" t="n">
        <f>HYPERLINK("https://image-ppubs.uspto.gov/dirsearch-public/print/downloadPdf/20210299091","USPTO PDF")</f>
        <v>0.0</v>
      </c>
      <c r="K1961" s="2" t="n">
        <f>HYPERLINK("https://sectors.patentforecast.com/pmd/US20210299091","PMD")</f>
        <v>0.0</v>
      </c>
      <c r="L1961" s="2" t="n">
        <f>HYPERLINK("https://globaldossier.uspto.gov/result/application/US/17114271/1","US20210299091")</f>
        <v>0.0</v>
      </c>
      <c r="M1961" t="s">
        <v>13545</v>
      </c>
      <c r="N1961" t="s">
        <v>13546</v>
      </c>
      <c r="O1961" t="s">
        <v>13547</v>
      </c>
      <c r="P1961" t="s">
        <v>1807</v>
      </c>
      <c r="Q1961" s="3" t="n">
        <v>44172.0</v>
      </c>
      <c r="R1961" s="3" t="n">
        <v>44469.0</v>
      </c>
      <c r="S1961" s="3" t="n">
        <v>44470.23035149305</v>
      </c>
      <c r="T1961" s="3" t="n">
        <v>44474.575762858796</v>
      </c>
      <c r="U1961" t="s">
        <v>13548</v>
      </c>
      <c r="V1961" t="s">
        <v>13549</v>
      </c>
    </row>
    <row r="1962">
      <c r="A1962" t="s">
        <v>22</v>
      </c>
      <c r="B1962" t="s">
        <v>13550</v>
      </c>
      <c r="C1962" t="s">
        <v>60</v>
      </c>
      <c r="D1962" t="s">
        <v>61</v>
      </c>
      <c r="E1962" t="s">
        <v>13551</v>
      </c>
      <c r="F1962" s="2" t="n">
        <f>HYPERLINK("https://patents.google.com/patent/US20210299088","Google")</f>
        <v>0.0</v>
      </c>
      <c r="G1962" s="2" t="n">
        <f>HYPERLINK("https://patentcenter.uspto.gov/applications/17346569","Patent Center")</f>
        <v>0.0</v>
      </c>
      <c r="H1962" s="2" t="n">
        <f>HYPERLINK("https://worldwide.espacenet.com/patent/search?q=US20210299088","Espacenet")</f>
        <v>0.0</v>
      </c>
      <c r="I1962" s="2" t="n">
        <f>HYPERLINK("https://ppubs.uspto.gov/pubwebapp/external.html?q=20210299088.pn.","USPTO")</f>
        <v>0.0</v>
      </c>
      <c r="J1962" s="2" t="n">
        <f>HYPERLINK("https://image-ppubs.uspto.gov/dirsearch-public/print/downloadPdf/20210299088","USPTO PDF")</f>
        <v>0.0</v>
      </c>
      <c r="K1962" s="2" t="n">
        <f>HYPERLINK("https://sectors.patentforecast.com/pmd/US20210299088","PMD")</f>
        <v>0.0</v>
      </c>
      <c r="L1962" s="2" t="n">
        <f>HYPERLINK("https://globaldossier.uspto.gov/result/application/US/17346569/1","US20210299088")</f>
        <v>0.0</v>
      </c>
      <c r="M1962" t="s">
        <v>13552</v>
      </c>
      <c r="N1962" t="s">
        <v>13553</v>
      </c>
      <c r="O1962" t="s">
        <v>13554</v>
      </c>
      <c r="P1962" t="s">
        <v>13555</v>
      </c>
      <c r="Q1962" s="3" t="n">
        <v>44361.0</v>
      </c>
      <c r="R1962" s="3" t="n">
        <v>44469.0</v>
      </c>
      <c r="S1962" s="3" t="n">
        <v>44470.23035149305</v>
      </c>
      <c r="T1962" s="3" t="n">
        <v>44474.61431365741</v>
      </c>
      <c r="U1962" t="s">
        <v>13556</v>
      </c>
      <c r="V1962" t="s">
        <v>13557</v>
      </c>
    </row>
    <row r="1963">
      <c r="A1963" t="s">
        <v>22</v>
      </c>
      <c r="B1963" t="s">
        <v>13558</v>
      </c>
      <c r="C1963" t="s">
        <v>60</v>
      </c>
      <c r="D1963" t="s">
        <v>61</v>
      </c>
      <c r="E1963" t="s">
        <v>13559</v>
      </c>
      <c r="F1963" s="2" t="n">
        <f>HYPERLINK("https://patents.google.com/patent/US20210299085","Google")</f>
        <v>0.0</v>
      </c>
      <c r="G1963" s="2" t="n">
        <f>HYPERLINK("https://patentcenter.uspto.gov/applications/17324546","Patent Center")</f>
        <v>0.0</v>
      </c>
      <c r="H1963" s="2" t="n">
        <f>HYPERLINK("https://worldwide.espacenet.com/patent/search?q=US20210299085","Espacenet")</f>
        <v>0.0</v>
      </c>
      <c r="I1963" s="2" t="n">
        <f>HYPERLINK("https://ppubs.uspto.gov/pubwebapp/external.html?q=20210299085.pn.","USPTO")</f>
        <v>0.0</v>
      </c>
      <c r="J1963" s="2" t="n">
        <f>HYPERLINK("https://image-ppubs.uspto.gov/dirsearch-public/print/downloadPdf/20210299085","USPTO PDF")</f>
        <v>0.0</v>
      </c>
      <c r="K1963" s="2" t="n">
        <f>HYPERLINK("https://sectors.patentforecast.com/pmd/US20210299085","PMD")</f>
        <v>0.0</v>
      </c>
      <c r="L1963" s="2" t="n">
        <f>HYPERLINK("https://globaldossier.uspto.gov/result/application/US/17324546/1","US20210299085")</f>
        <v>0.0</v>
      </c>
      <c r="M1963" t="s">
        <v>13560</v>
      </c>
      <c r="N1963" t="s">
        <v>13561</v>
      </c>
      <c r="O1963" t="s">
        <v>13562</v>
      </c>
      <c r="P1963" t="s">
        <v>13563</v>
      </c>
      <c r="Q1963" s="3" t="n">
        <v>44335.0</v>
      </c>
      <c r="R1963" s="3" t="n">
        <v>44469.0</v>
      </c>
      <c r="S1963" s="3" t="n">
        <v>44470.23035149305</v>
      </c>
      <c r="T1963" s="3" t="n">
        <v>44474.62589012732</v>
      </c>
      <c r="U1963" t="s">
        <v>13564</v>
      </c>
      <c r="V1963" t="s">
        <v>13565</v>
      </c>
    </row>
    <row r="1964">
      <c r="A1964" t="s">
        <v>22</v>
      </c>
      <c r="B1964" t="s">
        <v>13566</v>
      </c>
      <c r="C1964" t="s">
        <v>60</v>
      </c>
      <c r="D1964" t="s">
        <v>61</v>
      </c>
      <c r="E1964" t="s">
        <v>13567</v>
      </c>
      <c r="F1964" s="2" t="n">
        <f>HYPERLINK("https://patents.google.com/patent/US20210299083","Google")</f>
        <v>0.0</v>
      </c>
      <c r="G1964" s="2" t="n">
        <f>HYPERLINK("https://patentcenter.uspto.gov/applications/17212723","Patent Center")</f>
        <v>0.0</v>
      </c>
      <c r="H1964" s="2" t="n">
        <f>HYPERLINK("https://worldwide.espacenet.com/patent/search?q=US20210299083","Espacenet")</f>
        <v>0.0</v>
      </c>
      <c r="I1964" s="2" t="n">
        <f>HYPERLINK("https://ppubs.uspto.gov/pubwebapp/external.html?q=20210299083.pn.","USPTO")</f>
        <v>0.0</v>
      </c>
      <c r="J1964" s="2" t="n">
        <f>HYPERLINK("https://image-ppubs.uspto.gov/dirsearch-public/print/downloadPdf/20210299083","USPTO PDF")</f>
        <v>0.0</v>
      </c>
      <c r="K1964" s="2" t="n">
        <f>HYPERLINK("https://sectors.patentforecast.com/pmd/US20210299083","PMD")</f>
        <v>0.0</v>
      </c>
      <c r="L1964" s="2" t="n">
        <f>HYPERLINK("https://globaldossier.uspto.gov/result/application/US/17212723/1","US20210299083")</f>
        <v>0.0</v>
      </c>
      <c r="M1964" t="s">
        <v>13568</v>
      </c>
      <c r="N1964" t="s">
        <v>13569</v>
      </c>
      <c r="O1964" t="s">
        <v>13570</v>
      </c>
      <c r="P1964" t="s">
        <v>13571</v>
      </c>
      <c r="Q1964" s="3" t="n">
        <v>44280.0</v>
      </c>
      <c r="R1964" s="3" t="n">
        <v>44469.0</v>
      </c>
      <c r="S1964" s="3" t="n">
        <v>44470.23035149305</v>
      </c>
      <c r="T1964" s="3" t="n">
        <v>44474.62871412037</v>
      </c>
      <c r="U1964" t="s">
        <v>13572</v>
      </c>
      <c r="V1964" t="s">
        <v>13573</v>
      </c>
    </row>
    <row r="1965">
      <c r="A1965" t="s">
        <v>22</v>
      </c>
      <c r="B1965" t="s">
        <v>13574</v>
      </c>
      <c r="C1965" t="s">
        <v>60</v>
      </c>
      <c r="D1965" t="s">
        <v>61</v>
      </c>
      <c r="E1965" t="s">
        <v>13575</v>
      </c>
      <c r="F1965" s="2" t="n">
        <f>HYPERLINK("https://patents.google.com/patent/US20210299077","Google")</f>
        <v>0.0</v>
      </c>
      <c r="G1965" s="2" t="n">
        <f>HYPERLINK("https://patentcenter.uspto.gov/applications/17123438","Patent Center")</f>
        <v>0.0</v>
      </c>
      <c r="H1965" s="2" t="n">
        <f>HYPERLINK("https://worldwide.espacenet.com/patent/search?q=US20210299077","Espacenet")</f>
        <v>0.0</v>
      </c>
      <c r="I1965" s="2" t="n">
        <f>HYPERLINK("https://ppubs.uspto.gov/pubwebapp/external.html?q=20210299077.pn.","USPTO")</f>
        <v>0.0</v>
      </c>
      <c r="J1965" s="2" t="n">
        <f>HYPERLINK("https://image-ppubs.uspto.gov/dirsearch-public/print/downloadPdf/20210299077","USPTO PDF")</f>
        <v>0.0</v>
      </c>
      <c r="K1965" s="2" t="n">
        <f>HYPERLINK("https://sectors.patentforecast.com/pmd/US20210299077","PMD")</f>
        <v>0.0</v>
      </c>
      <c r="L1965" s="2" t="n">
        <f>HYPERLINK("https://globaldossier.uspto.gov/result/application/US/17123438/1","US20210299077")</f>
        <v>0.0</v>
      </c>
      <c r="M1965" t="s">
        <v>13576</v>
      </c>
      <c r="N1965" t="s">
        <v>13577</v>
      </c>
      <c r="O1965" t="s">
        <v>13578</v>
      </c>
      <c r="P1965" t="s">
        <v>13579</v>
      </c>
      <c r="Q1965" s="3" t="n">
        <v>44181.0</v>
      </c>
      <c r="R1965" s="3" t="n">
        <v>44469.0</v>
      </c>
      <c r="S1965" s="3" t="n">
        <v>44470.22942369213</v>
      </c>
      <c r="T1965" s="3" t="n">
        <v>44474.623234108796</v>
      </c>
      <c r="U1965" t="s">
        <v>13580</v>
      </c>
      <c r="V1965" t="s">
        <v>13581</v>
      </c>
    </row>
    <row r="1966">
      <c r="A1966" t="s">
        <v>22</v>
      </c>
      <c r="B1966" t="s">
        <v>13582</v>
      </c>
      <c r="C1966" t="s">
        <v>60</v>
      </c>
      <c r="D1966" t="s">
        <v>4942</v>
      </c>
      <c r="E1966" t="s">
        <v>13583</v>
      </c>
      <c r="F1966" s="2" t="n">
        <f>HYPERLINK("https://patents.google.com/patent/US20210299043","Google")</f>
        <v>0.0</v>
      </c>
      <c r="G1966" s="2" t="n">
        <f>HYPERLINK("https://patentcenter.uspto.gov/applications/16938753","Patent Center")</f>
        <v>0.0</v>
      </c>
      <c r="H1966" s="2" t="n">
        <f>HYPERLINK("https://worldwide.espacenet.com/patent/search?q=US20210299043","Espacenet")</f>
        <v>0.0</v>
      </c>
      <c r="I1966" s="2" t="n">
        <f>HYPERLINK("https://ppubs.uspto.gov/pubwebapp/external.html?q=20210299043.pn.","USPTO")</f>
        <v>0.0</v>
      </c>
      <c r="J1966" s="2" t="n">
        <f>HYPERLINK("https://image-ppubs.uspto.gov/dirsearch-public/print/downloadPdf/20210299043","USPTO PDF")</f>
        <v>0.0</v>
      </c>
      <c r="K1966" s="2" t="n">
        <f>HYPERLINK("https://sectors.patentforecast.com/pmd/US20210299043","PMD")</f>
        <v>0.0</v>
      </c>
      <c r="L1966" s="2" t="n">
        <f>HYPERLINK("https://globaldossier.uspto.gov/result/application/US/16938753/1","US20210299043")</f>
        <v>0.0</v>
      </c>
      <c r="M1966" t="s">
        <v>13584</v>
      </c>
      <c r="N1966" t="s">
        <v>4945</v>
      </c>
      <c r="O1966" t="s">
        <v>4946</v>
      </c>
      <c r="P1966" t="s">
        <v>4947</v>
      </c>
      <c r="Q1966" s="3" t="n">
        <v>44036.0</v>
      </c>
      <c r="R1966" s="3" t="n">
        <v>44469.0</v>
      </c>
      <c r="S1966" s="3" t="n">
        <v>44470.23035149305</v>
      </c>
      <c r="T1966" s="3" t="n">
        <v>44474.603418032406</v>
      </c>
      <c r="U1966" t="s">
        <v>13585</v>
      </c>
      <c r="V1966" t="s">
        <v>4948</v>
      </c>
    </row>
    <row r="1967">
      <c r="A1967" t="s">
        <v>22</v>
      </c>
      <c r="B1967" t="s">
        <v>13586</v>
      </c>
      <c r="C1967" t="s">
        <v>24</v>
      </c>
      <c r="D1967" t="s">
        <v>69</v>
      </c>
      <c r="E1967" t="s">
        <v>13587</v>
      </c>
      <c r="F1967" s="2" t="n">
        <f>HYPERLINK("https://patents.google.com/patent/US20210298979","Google")</f>
        <v>0.0</v>
      </c>
      <c r="G1967" s="2" t="n">
        <f>HYPERLINK("https://patentcenter.uspto.gov/applications/17219035","Patent Center")</f>
        <v>0.0</v>
      </c>
      <c r="H1967" s="2" t="n">
        <f>HYPERLINK("https://worldwide.espacenet.com/patent/search?q=US20210298979","Espacenet")</f>
        <v>0.0</v>
      </c>
      <c r="I1967" s="2" t="n">
        <f>HYPERLINK("https://ppubs.uspto.gov/pubwebapp/external.html?q=20210298979.pn.","USPTO")</f>
        <v>0.0</v>
      </c>
      <c r="J1967" s="2" t="n">
        <f>HYPERLINK("https://image-ppubs.uspto.gov/dirsearch-public/print/downloadPdf/20210298979","USPTO PDF")</f>
        <v>0.0</v>
      </c>
      <c r="K1967" s="2" t="n">
        <f>HYPERLINK("https://sectors.patentforecast.com/pmd/US20210298979","PMD")</f>
        <v>0.0</v>
      </c>
      <c r="L1967" s="2" t="n">
        <f>HYPERLINK("https://globaldossier.uspto.gov/result/application/US/17219035/1","US20210298979")</f>
        <v>0.0</v>
      </c>
      <c r="M1967" t="s">
        <v>13588</v>
      </c>
      <c r="N1967" t="s">
        <v>3731</v>
      </c>
      <c r="O1967" t="s">
        <v>3732</v>
      </c>
      <c r="P1967" t="s">
        <v>13589</v>
      </c>
      <c r="Q1967" s="3" t="n">
        <v>44286.0</v>
      </c>
      <c r="R1967" s="3" t="n">
        <v>44469.0</v>
      </c>
      <c r="S1967" s="3" t="n">
        <v>44470.23035149305</v>
      </c>
      <c r="T1967" s="3" t="n">
        <v>44474.61165452546</v>
      </c>
      <c r="U1967" t="s">
        <v>13590</v>
      </c>
      <c r="V1967" t="s">
        <v>13591</v>
      </c>
    </row>
    <row r="1968">
      <c r="A1968" t="s">
        <v>22</v>
      </c>
      <c r="B1968" t="s">
        <v>13592</v>
      </c>
      <c r="C1968" t="s">
        <v>24</v>
      </c>
      <c r="D1968" t="s">
        <v>69</v>
      </c>
      <c r="E1968" t="s">
        <v>13593</v>
      </c>
      <c r="F1968" s="2" t="n">
        <f>HYPERLINK("https://patents.google.com/patent/US20210298977","Google")</f>
        <v>0.0</v>
      </c>
      <c r="G1968" s="2" t="n">
        <f>HYPERLINK("https://patentcenter.uspto.gov/applications/17215525","Patent Center")</f>
        <v>0.0</v>
      </c>
      <c r="H1968" s="2" t="n">
        <f>HYPERLINK("https://worldwide.espacenet.com/patent/search?q=US20210298977","Espacenet")</f>
        <v>0.0</v>
      </c>
      <c r="I1968" s="2" t="n">
        <f>HYPERLINK("https://ppubs.uspto.gov/pubwebapp/external.html?q=20210298977.pn.","USPTO")</f>
        <v>0.0</v>
      </c>
      <c r="J1968" s="2" t="n">
        <f>HYPERLINK("https://image-ppubs.uspto.gov/dirsearch-public/print/downloadPdf/20210298977","USPTO PDF")</f>
        <v>0.0</v>
      </c>
      <c r="K1968" s="2" t="n">
        <f>HYPERLINK("https://sectors.patentforecast.com/pmd/US20210298977","PMD")</f>
        <v>0.0</v>
      </c>
      <c r="L1968" s="2" t="n">
        <f>HYPERLINK("https://globaldossier.uspto.gov/result/application/US/17215525/1","US20210298977")</f>
        <v>0.0</v>
      </c>
      <c r="M1968" t="s">
        <v>13594</v>
      </c>
      <c r="N1968" t="s">
        <v>13595</v>
      </c>
      <c r="O1968" t="s">
        <v>13595</v>
      </c>
      <c r="P1968" t="s">
        <v>13596</v>
      </c>
      <c r="Q1968" s="3" t="n">
        <v>44284.0</v>
      </c>
      <c r="R1968" s="3" t="n">
        <v>44469.0</v>
      </c>
      <c r="S1968" s="3" t="n">
        <v>44470.23035149305</v>
      </c>
      <c r="T1968" s="3" t="n">
        <v>44474.604657199074</v>
      </c>
      <c r="U1968" t="s">
        <v>13121</v>
      </c>
      <c r="V1968" t="s">
        <v>13597</v>
      </c>
    </row>
    <row r="1969">
      <c r="A1969" t="s">
        <v>22</v>
      </c>
      <c r="B1969" t="s">
        <v>13598</v>
      </c>
      <c r="C1969" t="s">
        <v>24</v>
      </c>
      <c r="D1969" t="s">
        <v>34</v>
      </c>
      <c r="E1969" t="s">
        <v>13599</v>
      </c>
      <c r="F1969" s="2" t="n">
        <f>HYPERLINK("https://patents.google.com/patent/US20210298711","Google")</f>
        <v>0.0</v>
      </c>
      <c r="G1969" s="2" t="n">
        <f>HYPERLINK("https://patentcenter.uspto.gov/applications/17212919","Patent Center")</f>
        <v>0.0</v>
      </c>
      <c r="H1969" s="2" t="n">
        <f>HYPERLINK("https://worldwide.espacenet.com/patent/search?q=US20210298711","Espacenet")</f>
        <v>0.0</v>
      </c>
      <c r="I1969" s="2" t="n">
        <f>HYPERLINK("https://ppubs.uspto.gov/pubwebapp/external.html?q=20210298711.pn.","USPTO")</f>
        <v>0.0</v>
      </c>
      <c r="J1969" s="2" t="n">
        <f>HYPERLINK("https://image-ppubs.uspto.gov/dirsearch-public/print/downloadPdf/20210298711","USPTO PDF")</f>
        <v>0.0</v>
      </c>
      <c r="K1969" s="2" t="n">
        <f>HYPERLINK("https://sectors.patentforecast.com/pmd/US20210298711","PMD")</f>
        <v>0.0</v>
      </c>
      <c r="L1969" s="2" t="n">
        <f>HYPERLINK("https://globaldossier.uspto.gov/result/application/US/17212919/1","US20210298711")</f>
        <v>0.0</v>
      </c>
      <c r="M1969" t="s">
        <v>13600</v>
      </c>
      <c r="N1969" t="s">
        <v>13601</v>
      </c>
      <c r="O1969" t="s">
        <v>13602</v>
      </c>
      <c r="P1969" t="s">
        <v>13603</v>
      </c>
      <c r="Q1969" s="3" t="n">
        <v>44280.0</v>
      </c>
      <c r="R1969" s="3" t="n">
        <v>44469.0</v>
      </c>
      <c r="S1969" s="3" t="n">
        <v>44470.22942369213</v>
      </c>
      <c r="T1969" s="3" t="n">
        <v>44474.60645269676</v>
      </c>
      <c r="U1969" t="s">
        <v>13604</v>
      </c>
      <c r="V1969" t="s">
        <v>13605</v>
      </c>
    </row>
    <row r="1970">
      <c r="A1970" t="s">
        <v>22</v>
      </c>
      <c r="B1970" t="s">
        <v>13606</v>
      </c>
      <c r="C1970" t="s">
        <v>24</v>
      </c>
      <c r="D1970" t="s">
        <v>51</v>
      </c>
      <c r="E1970" t="s">
        <v>13607</v>
      </c>
      <c r="F1970" s="2" t="n">
        <f>HYPERLINK("https://patents.google.com/patent/US20210298649","Google")</f>
        <v>0.0</v>
      </c>
      <c r="G1970" s="2" t="n">
        <f>HYPERLINK("https://patentcenter.uspto.gov/applications/16835570","Patent Center")</f>
        <v>0.0</v>
      </c>
      <c r="H1970" s="2" t="n">
        <f>HYPERLINK("https://worldwide.espacenet.com/patent/search?q=US20210298649","Espacenet")</f>
        <v>0.0</v>
      </c>
      <c r="I1970" s="2" t="n">
        <f>HYPERLINK("https://ppubs.uspto.gov/pubwebapp/external.html?q=20210298649.pn.","USPTO")</f>
        <v>0.0</v>
      </c>
      <c r="J1970" s="2" t="n">
        <f>HYPERLINK("https://image-ppubs.uspto.gov/dirsearch-public/print/downloadPdf/20210298649","USPTO PDF")</f>
        <v>0.0</v>
      </c>
      <c r="K1970" s="2" t="n">
        <f>HYPERLINK("https://sectors.patentforecast.com/pmd/US20210298649","PMD")</f>
        <v>0.0</v>
      </c>
      <c r="L1970" s="2" t="n">
        <f>HYPERLINK("https://globaldossier.uspto.gov/result/application/US/16835570/1","US20210298649")</f>
        <v>0.0</v>
      </c>
      <c r="M1970" t="s">
        <v>13608</v>
      </c>
      <c r="N1970" t="s">
        <v>13609</v>
      </c>
      <c r="O1970" t="s">
        <v>13610</v>
      </c>
      <c r="P1970" t="s">
        <v>13611</v>
      </c>
      <c r="Q1970" s="3" t="n">
        <v>43921.0</v>
      </c>
      <c r="R1970" s="3" t="n">
        <v>44469.0</v>
      </c>
      <c r="S1970" s="3" t="n">
        <v>44470.23035149305</v>
      </c>
      <c r="T1970" s="3" t="n">
        <v>44474.6189650463</v>
      </c>
      <c r="U1970" t="s">
        <v>13612</v>
      </c>
      <c r="V1970" t="s">
        <v>13613</v>
      </c>
    </row>
    <row r="1971">
      <c r="A1971" t="s">
        <v>22</v>
      </c>
      <c r="B1971" t="s">
        <v>13614</v>
      </c>
      <c r="C1971" t="s">
        <v>24</v>
      </c>
      <c r="D1971" t="s">
        <v>25</v>
      </c>
      <c r="E1971" t="s">
        <v>13615</v>
      </c>
      <c r="F1971" s="2" t="n">
        <f>HYPERLINK("https://patents.google.com/patent/US20210298639","Google")</f>
        <v>0.0</v>
      </c>
      <c r="G1971" s="2" t="n">
        <f>HYPERLINK("https://patentcenter.uspto.gov/applications/17214907","Patent Center")</f>
        <v>0.0</v>
      </c>
      <c r="H1971" s="2" t="n">
        <f>HYPERLINK("https://worldwide.espacenet.com/patent/search?q=US20210298639","Espacenet")</f>
        <v>0.0</v>
      </c>
      <c r="I1971" s="2" t="n">
        <f>HYPERLINK("https://ppubs.uspto.gov/pubwebapp/external.html?q=20210298639.pn.","USPTO")</f>
        <v>0.0</v>
      </c>
      <c r="J1971" s="2" t="n">
        <f>HYPERLINK("https://image-ppubs.uspto.gov/dirsearch-public/print/downloadPdf/20210298639","USPTO PDF")</f>
        <v>0.0</v>
      </c>
      <c r="K1971" s="2" t="n">
        <f>HYPERLINK("https://sectors.patentforecast.com/pmd/US20210298639","PMD")</f>
        <v>0.0</v>
      </c>
      <c r="L1971" s="2" t="n">
        <f>HYPERLINK("https://globaldossier.uspto.gov/result/application/US/17214907/1","US20210298639")</f>
        <v>0.0</v>
      </c>
      <c r="M1971" t="s">
        <v>13616</v>
      </c>
      <c r="N1971" t="s">
        <v>13617</v>
      </c>
      <c r="O1971" t="s">
        <v>13618</v>
      </c>
      <c r="P1971" t="s">
        <v>13619</v>
      </c>
      <c r="Q1971" s="3" t="n">
        <v>44283.0</v>
      </c>
      <c r="R1971" s="3" t="n">
        <v>44469.0</v>
      </c>
      <c r="S1971" s="3" t="n">
        <v>44470.23035149305</v>
      </c>
      <c r="T1971" s="3" t="n">
        <v>44474.605170891205</v>
      </c>
      <c r="U1971" t="s">
        <v>13620</v>
      </c>
      <c r="V1971" t="s">
        <v>13621</v>
      </c>
    </row>
    <row r="1972">
      <c r="A1972" t="s">
        <v>22</v>
      </c>
      <c r="B1972" t="s">
        <v>13622</v>
      </c>
      <c r="C1972" t="s">
        <v>24</v>
      </c>
      <c r="D1972" t="s">
        <v>69</v>
      </c>
      <c r="E1972" t="s">
        <v>13623</v>
      </c>
      <c r="F1972" s="2" t="n">
        <f>HYPERLINK("https://patents.google.com/patent/US20210298398","Google")</f>
        <v>0.0</v>
      </c>
      <c r="G1972" s="2" t="n">
        <f>HYPERLINK("https://patentcenter.uspto.gov/applications/17184007","Patent Center")</f>
        <v>0.0</v>
      </c>
      <c r="H1972" s="2" t="n">
        <f>HYPERLINK("https://worldwide.espacenet.com/patent/search?q=US20210298398","Espacenet")</f>
        <v>0.0</v>
      </c>
      <c r="I1972" s="2" t="n">
        <f>HYPERLINK("https://ppubs.uspto.gov/pubwebapp/external.html?q=20210298398.pn.","USPTO")</f>
        <v>0.0</v>
      </c>
      <c r="J1972" s="2" t="n">
        <f>HYPERLINK("https://image-ppubs.uspto.gov/dirsearch-public/print/downloadPdf/20210298398","USPTO PDF")</f>
        <v>0.0</v>
      </c>
      <c r="K1972" s="2" t="n">
        <f>HYPERLINK("https://sectors.patentforecast.com/pmd/US20210298398","PMD")</f>
        <v>0.0</v>
      </c>
      <c r="L1972" s="2" t="n">
        <f>HYPERLINK("https://globaldossier.uspto.gov/result/application/US/17184007/1","US20210298398")</f>
        <v>0.0</v>
      </c>
      <c r="M1972" t="s">
        <v>13624</v>
      </c>
      <c r="N1972" t="s">
        <v>13625</v>
      </c>
      <c r="O1972" t="s">
        <v>13626</v>
      </c>
      <c r="P1972" t="s">
        <v>13627</v>
      </c>
      <c r="Q1972" s="3" t="n">
        <v>44251.0</v>
      </c>
      <c r="R1972" s="3" t="n">
        <v>44469.0</v>
      </c>
      <c r="S1972" s="3" t="n">
        <v>44470.23035149305</v>
      </c>
      <c r="T1972" s="3" t="n">
        <v>44474.610343900466</v>
      </c>
      <c r="U1972" t="s">
        <v>13628</v>
      </c>
      <c r="V1972" t="s">
        <v>13629</v>
      </c>
    </row>
    <row r="1973">
      <c r="A1973" t="s">
        <v>22</v>
      </c>
      <c r="B1973" t="s">
        <v>13630</v>
      </c>
      <c r="C1973" t="s">
        <v>24</v>
      </c>
      <c r="D1973" t="s">
        <v>69</v>
      </c>
      <c r="E1973" t="s">
        <v>7349</v>
      </c>
      <c r="F1973" s="2" t="n">
        <f>HYPERLINK("https://patents.google.com/patent/US20210298391","Google")</f>
        <v>0.0</v>
      </c>
      <c r="G1973" s="2" t="n">
        <f>HYPERLINK("https://patentcenter.uspto.gov/applications/17169253","Patent Center")</f>
        <v>0.0</v>
      </c>
      <c r="H1973" s="2" t="n">
        <f>HYPERLINK("https://worldwide.espacenet.com/patent/search?q=US20210298391","Espacenet")</f>
        <v>0.0</v>
      </c>
      <c r="I1973" s="2" t="n">
        <f>HYPERLINK("https://ppubs.uspto.gov/pubwebapp/external.html?q=20210298391.pn.","USPTO")</f>
        <v>0.0</v>
      </c>
      <c r="J1973" s="2" t="n">
        <f>HYPERLINK("https://image-ppubs.uspto.gov/dirsearch-public/print/downloadPdf/20210298391","USPTO PDF")</f>
        <v>0.0</v>
      </c>
      <c r="K1973" s="2" t="n">
        <f>HYPERLINK("https://sectors.patentforecast.com/pmd/US20210298391","PMD")</f>
        <v>0.0</v>
      </c>
      <c r="L1973" s="2" t="n">
        <f>HYPERLINK("https://globaldossier.uspto.gov/result/application/US/17169253/1","US20210298391")</f>
        <v>0.0</v>
      </c>
      <c r="M1973" t="s">
        <v>13631</v>
      </c>
      <c r="N1973" t="s">
        <v>7351</v>
      </c>
      <c r="O1973" t="s">
        <v>7352</v>
      </c>
      <c r="P1973" t="s">
        <v>7353</v>
      </c>
      <c r="Q1973" s="3" t="n">
        <v>44232.0</v>
      </c>
      <c r="R1973" s="3" t="n">
        <v>44469.0</v>
      </c>
      <c r="S1973" s="3" t="n">
        <v>44470.23035149305</v>
      </c>
      <c r="T1973" s="3" t="n">
        <v>44474.60490954861</v>
      </c>
      <c r="U1973" t="s">
        <v>13632</v>
      </c>
      <c r="V1973" t="s">
        <v>7354</v>
      </c>
    </row>
    <row r="1974">
      <c r="A1974" t="s">
        <v>22</v>
      </c>
      <c r="B1974" t="s">
        <v>13633</v>
      </c>
      <c r="C1974" t="s">
        <v>24</v>
      </c>
      <c r="D1974" t="s">
        <v>69</v>
      </c>
      <c r="E1974" t="s">
        <v>8490</v>
      </c>
      <c r="F1974" s="2" t="n">
        <f>HYPERLINK("https://patents.google.com/patent/US20210298390","Google")</f>
        <v>0.0</v>
      </c>
      <c r="G1974" s="2" t="n">
        <f>HYPERLINK("https://patentcenter.uspto.gov/applications/17301144","Patent Center")</f>
        <v>0.0</v>
      </c>
      <c r="H1974" s="2" t="n">
        <f>HYPERLINK("https://worldwide.espacenet.com/patent/search?q=US20210298390","Espacenet")</f>
        <v>0.0</v>
      </c>
      <c r="I1974" s="2" t="n">
        <f>HYPERLINK("https://ppubs.uspto.gov/pubwebapp/external.html?q=20210298390.pn.","USPTO")</f>
        <v>0.0</v>
      </c>
      <c r="J1974" s="2" t="n">
        <f>HYPERLINK("https://image-ppubs.uspto.gov/dirsearch-public/print/downloadPdf/20210298390","USPTO PDF")</f>
        <v>0.0</v>
      </c>
      <c r="K1974" s="2" t="n">
        <f>HYPERLINK("https://sectors.patentforecast.com/pmd/US20210298390","PMD")</f>
        <v>0.0</v>
      </c>
      <c r="L1974" s="2" t="n">
        <f>HYPERLINK("https://globaldossier.uspto.gov/result/application/US/17301144/1","US20210298390")</f>
        <v>0.0</v>
      </c>
      <c r="M1974" t="s">
        <v>13634</v>
      </c>
      <c r="N1974" t="s">
        <v>13635</v>
      </c>
      <c r="O1974" t="s">
        <v>13636</v>
      </c>
      <c r="P1974" t="s">
        <v>13637</v>
      </c>
      <c r="Q1974" s="3" t="n">
        <v>44281.0</v>
      </c>
      <c r="R1974" s="3" t="n">
        <v>44469.0</v>
      </c>
      <c r="S1974" s="3" t="n">
        <v>44470.23035149305</v>
      </c>
      <c r="T1974" s="3" t="n">
        <v>44474.622756122684</v>
      </c>
      <c r="U1974" t="s">
        <v>13638</v>
      </c>
      <c r="V1974" t="s">
        <v>13639</v>
      </c>
    </row>
    <row r="1975">
      <c r="A1975" t="s">
        <v>22</v>
      </c>
      <c r="B1975" t="s">
        <v>13640</v>
      </c>
      <c r="C1975" t="s">
        <v>24</v>
      </c>
      <c r="D1975" t="s">
        <v>69</v>
      </c>
      <c r="E1975" t="s">
        <v>13641</v>
      </c>
      <c r="F1975" s="2" t="n">
        <f>HYPERLINK("https://patents.google.com/patent/US20210298380","Google")</f>
        <v>0.0</v>
      </c>
      <c r="G1975" s="2" t="n">
        <f>HYPERLINK("https://patentcenter.uspto.gov/applications/16935160","Patent Center")</f>
        <v>0.0</v>
      </c>
      <c r="H1975" s="2" t="n">
        <f>HYPERLINK("https://worldwide.espacenet.com/patent/search?q=US20210298380","Espacenet")</f>
        <v>0.0</v>
      </c>
      <c r="I1975" s="2" t="n">
        <f>HYPERLINK("https://ppubs.uspto.gov/pubwebapp/external.html?q=20210298380.pn.","USPTO")</f>
        <v>0.0</v>
      </c>
      <c r="J1975" s="2" t="n">
        <f>HYPERLINK("https://image-ppubs.uspto.gov/dirsearch-public/print/downloadPdf/20210298380","USPTO PDF")</f>
        <v>0.0</v>
      </c>
      <c r="K1975" s="2" t="n">
        <f>HYPERLINK("https://sectors.patentforecast.com/pmd/US20210298380","PMD")</f>
        <v>0.0</v>
      </c>
      <c r="L1975" s="2" t="n">
        <f>HYPERLINK("https://globaldossier.uspto.gov/result/application/US/16935160/1","US20210298380")</f>
        <v>0.0</v>
      </c>
      <c r="M1975" t="s">
        <v>13642</v>
      </c>
      <c r="N1975" t="s">
        <v>13643</v>
      </c>
      <c r="O1975" t="s">
        <v>13644</v>
      </c>
      <c r="P1975" t="s">
        <v>13645</v>
      </c>
      <c r="Q1975" s="3" t="n">
        <v>44033.0</v>
      </c>
      <c r="R1975" s="3" t="n">
        <v>44469.0</v>
      </c>
      <c r="S1975" s="3" t="n">
        <v>44470.23035149305</v>
      </c>
      <c r="T1975" s="3" t="n">
        <v>44474.57609894676</v>
      </c>
      <c r="U1975" t="s">
        <v>4145</v>
      </c>
      <c r="V1975" t="s">
        <v>13646</v>
      </c>
    </row>
    <row r="1976">
      <c r="A1976" t="s">
        <v>22</v>
      </c>
      <c r="B1976" t="s">
        <v>13647</v>
      </c>
      <c r="C1976" t="s">
        <v>24</v>
      </c>
      <c r="D1976" t="s">
        <v>100</v>
      </c>
      <c r="E1976" t="s">
        <v>13648</v>
      </c>
      <c r="F1976" s="2" t="n">
        <f>HYPERLINK("https://patents.google.com/patent/US20210298373","Google")</f>
        <v>0.0</v>
      </c>
      <c r="G1976" s="2" t="n">
        <f>HYPERLINK("https://patentcenter.uspto.gov/applications/16890640","Patent Center")</f>
        <v>0.0</v>
      </c>
      <c r="H1976" s="2" t="n">
        <f>HYPERLINK("https://worldwide.espacenet.com/patent/search?q=US20210298373","Espacenet")</f>
        <v>0.0</v>
      </c>
      <c r="I1976" s="2" t="n">
        <f>HYPERLINK("https://ppubs.uspto.gov/pubwebapp/external.html?q=20210298373.pn.","USPTO")</f>
        <v>0.0</v>
      </c>
      <c r="J1976" s="2" t="n">
        <f>HYPERLINK("https://image-ppubs.uspto.gov/dirsearch-public/print/downloadPdf/20210298373","USPTO PDF")</f>
        <v>0.0</v>
      </c>
      <c r="K1976" s="2" t="n">
        <f>HYPERLINK("https://sectors.patentforecast.com/pmd/US20210298373","PMD")</f>
        <v>0.0</v>
      </c>
      <c r="L1976" s="2" t="n">
        <f>HYPERLINK("https://globaldossier.uspto.gov/result/application/US/16890640/1","US20210298373")</f>
        <v>0.0</v>
      </c>
      <c r="M1976" t="s">
        <v>13649</v>
      </c>
      <c r="N1976" t="s">
        <v>13650</v>
      </c>
      <c r="O1976" t="s">
        <v>13650</v>
      </c>
      <c r="P1976" t="s">
        <v>13651</v>
      </c>
      <c r="Q1976" s="3" t="n">
        <v>43984.0</v>
      </c>
      <c r="R1976" s="3" t="n">
        <v>44469.0</v>
      </c>
      <c r="S1976" s="3" t="n">
        <v>44470.23035149305</v>
      </c>
      <c r="T1976" s="3" t="n">
        <v>44474.57637371528</v>
      </c>
      <c r="U1976" t="s">
        <v>13652</v>
      </c>
      <c r="V1976" t="s">
        <v>13653</v>
      </c>
    </row>
    <row r="1977">
      <c r="A1977" t="s">
        <v>22</v>
      </c>
      <c r="B1977" t="s">
        <v>13654</v>
      </c>
      <c r="C1977" t="s">
        <v>24</v>
      </c>
      <c r="D1977" t="s">
        <v>25</v>
      </c>
      <c r="E1977" t="s">
        <v>13655</v>
      </c>
      <c r="F1977" s="2" t="n">
        <f>HYPERLINK("https://patents.google.com/patent/US20210296008","Google")</f>
        <v>0.0</v>
      </c>
      <c r="G1977" s="2" t="n">
        <f>HYPERLINK("https://patentcenter.uspto.gov/applications/17206794","Patent Center")</f>
        <v>0.0</v>
      </c>
      <c r="H1977" s="2" t="n">
        <f>HYPERLINK("https://worldwide.espacenet.com/patent/search?q=US20210296008","Espacenet")</f>
        <v>0.0</v>
      </c>
      <c r="I1977" s="2" t="n">
        <f>HYPERLINK("https://ppubs.uspto.gov/pubwebapp/external.html?q=20210296008.pn.","USPTO")</f>
        <v>0.0</v>
      </c>
      <c r="J1977" s="2" t="n">
        <f>HYPERLINK("https://image-ppubs.uspto.gov/dirsearch-public/print/downloadPdf/20210296008","USPTO PDF")</f>
        <v>0.0</v>
      </c>
      <c r="K1977" s="2" t="n">
        <f>HYPERLINK("https://sectors.patentforecast.com/pmd/US20210296008","PMD")</f>
        <v>0.0</v>
      </c>
      <c r="L1977" s="2" t="n">
        <f>HYPERLINK("https://globaldossier.uspto.gov/result/application/US/17206794/1","US20210296008")</f>
        <v>0.0</v>
      </c>
      <c r="M1977" t="s">
        <v>13656</v>
      </c>
      <c r="N1977" t="s">
        <v>13657</v>
      </c>
      <c r="O1977" t="s">
        <v>13658</v>
      </c>
      <c r="P1977" t="s">
        <v>13659</v>
      </c>
      <c r="Q1977" s="3" t="n">
        <v>44274.0</v>
      </c>
      <c r="R1977" s="3" t="n">
        <v>44462.0</v>
      </c>
      <c r="S1977" s="3" t="n">
        <v>44463.230578449075</v>
      </c>
      <c r="T1977" s="3" t="n">
        <v>44466.36558391204</v>
      </c>
      <c r="U1977" t="s">
        <v>13660</v>
      </c>
      <c r="V1977" t="s">
        <v>13661</v>
      </c>
    </row>
    <row r="1978">
      <c r="A1978" t="s">
        <v>22</v>
      </c>
      <c r="B1978" t="s">
        <v>13662</v>
      </c>
      <c r="C1978" t="s">
        <v>312</v>
      </c>
      <c r="D1978" t="s">
        <v>976</v>
      </c>
      <c r="E1978" t="s">
        <v>26</v>
      </c>
      <c r="F1978" s="2" t="n">
        <f>HYPERLINK("https://patents.google.com/patent/US20210296007","Google")</f>
        <v>0.0</v>
      </c>
      <c r="G1978" s="2" t="n">
        <f>HYPERLINK("https://patentcenter.uspto.gov/applications/17156810","Patent Center")</f>
        <v>0.0</v>
      </c>
      <c r="H1978" s="2" t="n">
        <f>HYPERLINK("https://worldwide.espacenet.com/patent/search?q=US20210296007","Espacenet")</f>
        <v>0.0</v>
      </c>
      <c r="I1978" s="2" t="n">
        <f>HYPERLINK("https://ppubs.uspto.gov/pubwebapp/external.html?q=20210296007.pn.","USPTO")</f>
        <v>0.0</v>
      </c>
      <c r="J1978" s="2" t="n">
        <f>HYPERLINK("https://image-ppubs.uspto.gov/dirsearch-public/print/downloadPdf/20210296007","USPTO PDF")</f>
        <v>0.0</v>
      </c>
      <c r="K1978" s="2" t="n">
        <f>HYPERLINK("https://sectors.patentforecast.com/pmd/US20210296007","PMD")</f>
        <v>0.0</v>
      </c>
      <c r="L1978" s="2" t="n">
        <f>HYPERLINK("https://globaldossier.uspto.gov/result/application/US/17156810/1","US20210296007")</f>
        <v>0.0</v>
      </c>
      <c r="M1978" t="s">
        <v>13663</v>
      </c>
      <c r="N1978" t="s">
        <v>28</v>
      </c>
      <c r="O1978" t="s">
        <v>29</v>
      </c>
      <c r="P1978" t="s">
        <v>30</v>
      </c>
      <c r="Q1978" s="3" t="n">
        <v>44221.0</v>
      </c>
      <c r="R1978" s="3" t="n">
        <v>44462.0</v>
      </c>
      <c r="S1978" s="3" t="n">
        <v>44463.230578449075</v>
      </c>
      <c r="T1978" s="3" t="n">
        <v>44466.36048809028</v>
      </c>
      <c r="U1978" t="s">
        <v>13664</v>
      </c>
      <c r="V1978" t="s">
        <v>32</v>
      </c>
    </row>
    <row r="1979">
      <c r="A1979" t="s">
        <v>22</v>
      </c>
      <c r="B1979" t="s">
        <v>13665</v>
      </c>
      <c r="C1979" t="s">
        <v>24</v>
      </c>
      <c r="D1979" t="s">
        <v>8459</v>
      </c>
      <c r="E1979" t="s">
        <v>13666</v>
      </c>
      <c r="F1979" s="2" t="n">
        <f>HYPERLINK("https://patents.google.com/patent/US20210295995","Google")</f>
        <v>0.0</v>
      </c>
      <c r="G1979" s="2" t="n">
        <f>HYPERLINK("https://patentcenter.uspto.gov/applications/16825314","Patent Center")</f>
        <v>0.0</v>
      </c>
      <c r="H1979" s="2" t="n">
        <f>HYPERLINK("https://worldwide.espacenet.com/patent/search?q=US20210295995","Espacenet")</f>
        <v>0.0</v>
      </c>
      <c r="I1979" s="2" t="n">
        <f>HYPERLINK("https://ppubs.uspto.gov/pubwebapp/external.html?q=20210295995.pn.","USPTO")</f>
        <v>0.0</v>
      </c>
      <c r="J1979" s="2" t="n">
        <f>HYPERLINK("https://image-ppubs.uspto.gov/dirsearch-public/print/downloadPdf/20210295995","USPTO PDF")</f>
        <v>0.0</v>
      </c>
      <c r="K1979" s="2" t="n">
        <f>HYPERLINK("https://sectors.patentforecast.com/pmd/US20210295995","PMD")</f>
        <v>0.0</v>
      </c>
      <c r="L1979" s="2" t="n">
        <f>HYPERLINK("https://globaldossier.uspto.gov/result/application/US/16825314/1","US20210295995")</f>
        <v>0.0</v>
      </c>
      <c r="M1979" t="s">
        <v>13667</v>
      </c>
      <c r="N1979" t="s">
        <v>13668</v>
      </c>
      <c r="O1979" t="s">
        <v>13669</v>
      </c>
      <c r="P1979" t="s">
        <v>13670</v>
      </c>
      <c r="Q1979" s="3" t="n">
        <v>43910.0</v>
      </c>
      <c r="R1979" s="3" t="n">
        <v>44462.0</v>
      </c>
      <c r="S1979" s="3" t="n">
        <v>44463.23161511574</v>
      </c>
      <c r="T1979" s="3" t="n">
        <v>44466.36868761574</v>
      </c>
      <c r="U1979" t="s">
        <v>13671</v>
      </c>
      <c r="V1979" t="s">
        <v>13672</v>
      </c>
    </row>
    <row r="1980">
      <c r="A1980" t="s">
        <v>22</v>
      </c>
      <c r="B1980" t="s">
        <v>13673</v>
      </c>
      <c r="C1980" t="s">
        <v>24</v>
      </c>
      <c r="D1980" t="s">
        <v>51</v>
      </c>
      <c r="E1980" t="s">
        <v>13674</v>
      </c>
      <c r="F1980" s="2" t="n">
        <f>HYPERLINK("https://patents.google.com/patent/US20210295954","Google")</f>
        <v>0.0</v>
      </c>
      <c r="G1980" s="2" t="n">
        <f>HYPERLINK("https://patentcenter.uspto.gov/applications/17203446","Patent Center")</f>
        <v>0.0</v>
      </c>
      <c r="H1980" s="2" t="n">
        <f>HYPERLINK("https://worldwide.espacenet.com/patent/search?q=US20210295954","Espacenet")</f>
        <v>0.0</v>
      </c>
      <c r="I1980" s="2" t="n">
        <f>HYPERLINK("https://ppubs.uspto.gov/pubwebapp/external.html?q=20210295954.pn.","USPTO")</f>
        <v>0.0</v>
      </c>
      <c r="J1980" s="2" t="n">
        <f>HYPERLINK("https://image-ppubs.uspto.gov/dirsearch-public/print/downloadPdf/20210295954","USPTO PDF")</f>
        <v>0.0</v>
      </c>
      <c r="K1980" s="2" t="n">
        <f>HYPERLINK("https://sectors.patentforecast.com/pmd/US20210295954","PMD")</f>
        <v>0.0</v>
      </c>
      <c r="L1980" s="2" t="n">
        <f>HYPERLINK("https://globaldossier.uspto.gov/result/application/US/17203446/1","US20210295954")</f>
        <v>0.0</v>
      </c>
      <c r="M1980" t="s">
        <v>13675</v>
      </c>
      <c r="N1980" t="s">
        <v>330</v>
      </c>
      <c r="O1980" t="s">
        <v>331</v>
      </c>
      <c r="P1980" t="s">
        <v>13676</v>
      </c>
      <c r="Q1980" s="3" t="n">
        <v>44271.0</v>
      </c>
      <c r="R1980" s="3" t="n">
        <v>44462.0</v>
      </c>
      <c r="S1980" s="3" t="n">
        <v>44463.22953195602</v>
      </c>
      <c r="T1980" s="3" t="n">
        <v>44463.730939953704</v>
      </c>
      <c r="U1980" t="s">
        <v>13677</v>
      </c>
      <c r="V1980" t="s">
        <v>13678</v>
      </c>
    </row>
    <row r="1981">
      <c r="A1981" t="s">
        <v>22</v>
      </c>
      <c r="B1981" t="s">
        <v>13679</v>
      </c>
      <c r="C1981" t="s">
        <v>24</v>
      </c>
      <c r="D1981" t="s">
        <v>69</v>
      </c>
      <c r="E1981" t="s">
        <v>13680</v>
      </c>
      <c r="F1981" s="2" t="n">
        <f>HYPERLINK("https://patents.google.com/patent/US20210295737","Google")</f>
        <v>0.0</v>
      </c>
      <c r="G1981" s="2" t="n">
        <f>HYPERLINK("https://patentcenter.uspto.gov/applications/16834698","Patent Center")</f>
        <v>0.0</v>
      </c>
      <c r="H1981" s="2" t="n">
        <f>HYPERLINK("https://worldwide.espacenet.com/patent/search?q=US20210295737","Espacenet")</f>
        <v>0.0</v>
      </c>
      <c r="I1981" s="2" t="n">
        <f>HYPERLINK("https://ppubs.uspto.gov/pubwebapp/external.html?q=20210295737.pn.","USPTO")</f>
        <v>0.0</v>
      </c>
      <c r="J1981" s="2" t="n">
        <f>HYPERLINK("https://image-ppubs.uspto.gov/dirsearch-public/print/downloadPdf/20210295737","USPTO PDF")</f>
        <v>0.0</v>
      </c>
      <c r="K1981" s="2" t="n">
        <f>HYPERLINK("https://sectors.patentforecast.com/pmd/US20210295737","PMD")</f>
        <v>0.0</v>
      </c>
      <c r="L1981" s="2" t="n">
        <f>HYPERLINK("https://globaldossier.uspto.gov/result/application/US/16834698/1","US20210295737")</f>
        <v>0.0</v>
      </c>
      <c r="M1981" t="s">
        <v>13681</v>
      </c>
      <c r="N1981" t="s">
        <v>13682</v>
      </c>
      <c r="O1981" t="s">
        <v>13682</v>
      </c>
      <c r="P1981" t="s">
        <v>13683</v>
      </c>
      <c r="Q1981" s="3" t="n">
        <v>43920.0</v>
      </c>
      <c r="R1981" s="3" t="n">
        <v>44462.0</v>
      </c>
      <c r="S1981" s="3" t="n">
        <v>44463.230578449075</v>
      </c>
      <c r="T1981" s="3" t="n">
        <v>44463.71490615741</v>
      </c>
      <c r="U1981" t="s">
        <v>13684</v>
      </c>
      <c r="V1981" t="s">
        <v>13685</v>
      </c>
    </row>
    <row r="1982">
      <c r="A1982" t="s">
        <v>22</v>
      </c>
      <c r="B1982" t="s">
        <v>13686</v>
      </c>
      <c r="C1982" t="s">
        <v>24</v>
      </c>
      <c r="D1982" t="s">
        <v>1450</v>
      </c>
      <c r="E1982" t="s">
        <v>13687</v>
      </c>
      <c r="F1982" s="2" t="n">
        <f>HYPERLINK("https://patents.google.com/patent/US20210295662","Google")</f>
        <v>0.0</v>
      </c>
      <c r="G1982" s="2" t="n">
        <f>HYPERLINK("https://patentcenter.uspto.gov/applications/17208200","Patent Center")</f>
        <v>0.0</v>
      </c>
      <c r="H1982" s="2" t="n">
        <f>HYPERLINK("https://worldwide.espacenet.com/patent/search?q=US20210295662","Espacenet")</f>
        <v>0.0</v>
      </c>
      <c r="I1982" s="2" t="n">
        <f>HYPERLINK("https://ppubs.uspto.gov/pubwebapp/external.html?q=20210295662.pn.","USPTO")</f>
        <v>0.0</v>
      </c>
      <c r="J1982" s="2" t="n">
        <f>HYPERLINK("https://image-ppubs.uspto.gov/dirsearch-public/print/downloadPdf/20210295662","USPTO PDF")</f>
        <v>0.0</v>
      </c>
      <c r="K1982" s="2" t="n">
        <f>HYPERLINK("https://sectors.patentforecast.com/pmd/US20210295662","PMD")</f>
        <v>0.0</v>
      </c>
      <c r="L1982" s="2" t="n">
        <f>HYPERLINK("https://globaldossier.uspto.gov/result/application/US/17208200/1","US20210295662")</f>
        <v>0.0</v>
      </c>
      <c r="M1982" t="s">
        <v>13688</v>
      </c>
      <c r="N1982" t="s">
        <v>13689</v>
      </c>
      <c r="O1982" t="s">
        <v>13690</v>
      </c>
      <c r="P1982" t="s">
        <v>13691</v>
      </c>
      <c r="Q1982" s="3" t="n">
        <v>44277.0</v>
      </c>
      <c r="R1982" s="3" t="n">
        <v>44462.0</v>
      </c>
      <c r="S1982" s="3" t="n">
        <v>44463.230578449075</v>
      </c>
      <c r="T1982" s="3" t="n">
        <v>44463.71503947917</v>
      </c>
      <c r="U1982" t="s">
        <v>13692</v>
      </c>
      <c r="V1982" t="s">
        <v>13693</v>
      </c>
    </row>
    <row r="1983">
      <c r="A1983" t="s">
        <v>22</v>
      </c>
      <c r="B1983" t="s">
        <v>13694</v>
      </c>
      <c r="C1983" t="s">
        <v>24</v>
      </c>
      <c r="D1983" t="s">
        <v>34</v>
      </c>
      <c r="E1983" t="s">
        <v>13695</v>
      </c>
      <c r="F1983" s="2" t="n">
        <f>HYPERLINK("https://patents.google.com/patent/US20210295506","Google")</f>
        <v>0.0</v>
      </c>
      <c r="G1983" s="2" t="n">
        <f>HYPERLINK("https://patentcenter.uspto.gov/applications/17207065","Patent Center")</f>
        <v>0.0</v>
      </c>
      <c r="H1983" s="2" t="n">
        <f>HYPERLINK("https://worldwide.espacenet.com/patent/search?q=US20210295506","Espacenet")</f>
        <v>0.0</v>
      </c>
      <c r="I1983" s="2" t="n">
        <f>HYPERLINK("https://ppubs.uspto.gov/pubwebapp/external.html?q=20210295506.pn.","USPTO")</f>
        <v>0.0</v>
      </c>
      <c r="J1983" s="2" t="n">
        <f>HYPERLINK("https://image-ppubs.uspto.gov/dirsearch-public/print/downloadPdf/20210295506","USPTO PDF")</f>
        <v>0.0</v>
      </c>
      <c r="K1983" s="2" t="n">
        <f>HYPERLINK("https://sectors.patentforecast.com/pmd/US20210295506","PMD")</f>
        <v>0.0</v>
      </c>
      <c r="L1983" s="2" t="n">
        <f>HYPERLINK("https://globaldossier.uspto.gov/result/application/US/17207065/1","US20210295506")</f>
        <v>0.0</v>
      </c>
      <c r="M1983" t="s">
        <v>13696</v>
      </c>
      <c r="N1983" t="s">
        <v>13697</v>
      </c>
      <c r="O1983" t="s">
        <v>13698</v>
      </c>
      <c r="P1983" t="s">
        <v>13699</v>
      </c>
      <c r="Q1983" s="3" t="n">
        <v>44274.0</v>
      </c>
      <c r="R1983" s="3" t="n">
        <v>44462.0</v>
      </c>
      <c r="S1983" s="3" t="n">
        <v>44463.230578449075</v>
      </c>
      <c r="T1983" s="3" t="n">
        <v>44466.364630752316</v>
      </c>
      <c r="U1983" t="s">
        <v>13700</v>
      </c>
      <c r="V1983" t="s">
        <v>13701</v>
      </c>
    </row>
    <row r="1984">
      <c r="A1984" t="s">
        <v>22</v>
      </c>
      <c r="B1984" t="s">
        <v>13702</v>
      </c>
      <c r="C1984" t="s">
        <v>312</v>
      </c>
      <c r="D1984" t="s">
        <v>3202</v>
      </c>
      <c r="E1984" t="s">
        <v>13703</v>
      </c>
      <c r="F1984" s="2" t="n">
        <f>HYPERLINK("https://patents.google.com/patent/US20210294796","Google")</f>
        <v>0.0</v>
      </c>
      <c r="G1984" s="2" t="n">
        <f>HYPERLINK("https://patentcenter.uspto.gov/applications/17335752","Patent Center")</f>
        <v>0.0</v>
      </c>
      <c r="H1984" s="2" t="n">
        <f>HYPERLINK("https://worldwide.espacenet.com/patent/search?q=US20210294796","Espacenet")</f>
        <v>0.0</v>
      </c>
      <c r="I1984" s="2" t="n">
        <f>HYPERLINK("https://ppubs.uspto.gov/pubwebapp/external.html?q=20210294796.pn.","USPTO")</f>
        <v>0.0</v>
      </c>
      <c r="J1984" s="2" t="n">
        <f>HYPERLINK("https://image-ppubs.uspto.gov/dirsearch-public/print/downloadPdf/20210294796","USPTO PDF")</f>
        <v>0.0</v>
      </c>
      <c r="K1984" s="2" t="n">
        <f>HYPERLINK("https://sectors.patentforecast.com/pmd/US20210294796","PMD")</f>
        <v>0.0</v>
      </c>
      <c r="L1984" s="2" t="n">
        <f>HYPERLINK("https://globaldossier.uspto.gov/result/application/US/17335752/1","US20210294796")</f>
        <v>0.0</v>
      </c>
      <c r="M1984" t="s">
        <v>13704</v>
      </c>
      <c r="N1984" t="s">
        <v>13705</v>
      </c>
      <c r="O1984" t="s">
        <v>13706</v>
      </c>
      <c r="P1984" t="s">
        <v>13707</v>
      </c>
      <c r="Q1984" s="3" t="n">
        <v>44348.0</v>
      </c>
      <c r="R1984" s="3" t="n">
        <v>44462.0</v>
      </c>
      <c r="S1984" s="3" t="n">
        <v>44463.23161511574</v>
      </c>
      <c r="T1984" s="3" t="n">
        <v>44463.72835302084</v>
      </c>
      <c r="U1984" t="s">
        <v>13708</v>
      </c>
      <c r="V1984" t="s">
        <v>13709</v>
      </c>
    </row>
    <row r="1985">
      <c r="A1985" t="s">
        <v>22</v>
      </c>
      <c r="B1985" t="s">
        <v>13710</v>
      </c>
      <c r="C1985" t="s">
        <v>24</v>
      </c>
      <c r="D1985" t="s">
        <v>3193</v>
      </c>
      <c r="E1985" t="s">
        <v>13711</v>
      </c>
      <c r="F1985" s="2" t="n">
        <f>HYPERLINK("https://patents.google.com/patent/US20210293827","Google")</f>
        <v>0.0</v>
      </c>
      <c r="G1985" s="2" t="n">
        <f>HYPERLINK("https://patentcenter.uspto.gov/applications/16913840","Patent Center")</f>
        <v>0.0</v>
      </c>
      <c r="H1985" s="2" t="n">
        <f>HYPERLINK("https://worldwide.espacenet.com/patent/search?q=US20210293827","Espacenet")</f>
        <v>0.0</v>
      </c>
      <c r="I1985" s="2" t="n">
        <f>HYPERLINK("https://ppubs.uspto.gov/pubwebapp/external.html?q=20210293827.pn.","USPTO")</f>
        <v>0.0</v>
      </c>
      <c r="J1985" s="2" t="n">
        <f>HYPERLINK("https://image-ppubs.uspto.gov/dirsearch-public/print/downloadPdf/20210293827","USPTO PDF")</f>
        <v>0.0</v>
      </c>
      <c r="K1985" s="2" t="n">
        <f>HYPERLINK("https://sectors.patentforecast.com/pmd/US20210293827","PMD")</f>
        <v>0.0</v>
      </c>
      <c r="L1985" s="2" t="n">
        <f>HYPERLINK("https://globaldossier.uspto.gov/result/application/US/16913840/1","US20210293827")</f>
        <v>0.0</v>
      </c>
      <c r="M1985" t="s">
        <v>13712</v>
      </c>
      <c r="N1985" t="s">
        <v>13713</v>
      </c>
      <c r="O1985" t="s">
        <v>13713</v>
      </c>
      <c r="P1985" t="s">
        <v>13714</v>
      </c>
      <c r="Q1985" s="3" t="n">
        <v>44008.0</v>
      </c>
      <c r="R1985" s="3" t="n">
        <v>44462.0</v>
      </c>
      <c r="S1985" s="3" t="n">
        <v>44463.22953195602</v>
      </c>
      <c r="T1985" s="3" t="n">
        <v>44463.71605439815</v>
      </c>
      <c r="U1985" t="s">
        <v>13715</v>
      </c>
      <c r="V1985" t="s">
        <v>13716</v>
      </c>
    </row>
    <row r="1986">
      <c r="A1986" t="s">
        <v>22</v>
      </c>
      <c r="B1986" t="s">
        <v>13717</v>
      </c>
      <c r="C1986" t="s">
        <v>312</v>
      </c>
      <c r="D1986" t="s">
        <v>3202</v>
      </c>
      <c r="E1986" t="s">
        <v>13718</v>
      </c>
      <c r="F1986" s="2" t="n">
        <f>HYPERLINK("https://patents.google.com/patent/US20210293817","Google")</f>
        <v>0.0</v>
      </c>
      <c r="G1986" s="2" t="n">
        <f>HYPERLINK("https://patentcenter.uspto.gov/applications/17247892","Patent Center")</f>
        <v>0.0</v>
      </c>
      <c r="H1986" s="2" t="n">
        <f>HYPERLINK("https://worldwide.espacenet.com/patent/search?q=US20210293817","Espacenet")</f>
        <v>0.0</v>
      </c>
      <c r="I1986" s="2" t="n">
        <f>HYPERLINK("https://ppubs.uspto.gov/pubwebapp/external.html?q=20210293817.pn.","USPTO")</f>
        <v>0.0</v>
      </c>
      <c r="J1986" s="2" t="n">
        <f>HYPERLINK("https://image-ppubs.uspto.gov/dirsearch-public/print/downloadPdf/20210293817","USPTO PDF")</f>
        <v>0.0</v>
      </c>
      <c r="K1986" s="2" t="n">
        <f>HYPERLINK("https://sectors.patentforecast.com/pmd/US20210293817","PMD")</f>
        <v>0.0</v>
      </c>
      <c r="L1986" s="2" t="n">
        <f>HYPERLINK("https://globaldossier.uspto.gov/result/application/US/17247892/1","US20210293817")</f>
        <v>0.0</v>
      </c>
      <c r="M1986" t="s">
        <v>13719</v>
      </c>
      <c r="N1986" t="s">
        <v>13720</v>
      </c>
      <c r="O1986" t="s">
        <v>13720</v>
      </c>
      <c r="P1986" t="s">
        <v>13721</v>
      </c>
      <c r="Q1986" s="3" t="n">
        <v>44194.0</v>
      </c>
      <c r="R1986" s="3" t="n">
        <v>44462.0</v>
      </c>
      <c r="S1986" s="3" t="n">
        <v>44463.230578449075</v>
      </c>
      <c r="T1986" s="3" t="n">
        <v>44463.729443819444</v>
      </c>
      <c r="U1986" t="s">
        <v>13722</v>
      </c>
      <c r="V1986" t="s">
        <v>13723</v>
      </c>
    </row>
    <row r="1987">
      <c r="A1987" t="s">
        <v>22</v>
      </c>
      <c r="B1987" t="s">
        <v>13724</v>
      </c>
      <c r="C1987" t="s">
        <v>24</v>
      </c>
      <c r="D1987" t="s">
        <v>51</v>
      </c>
      <c r="E1987" t="s">
        <v>13725</v>
      </c>
      <c r="F1987" s="2" t="n">
        <f>HYPERLINK("https://patents.google.com/patent/US20210293816","Google")</f>
        <v>0.0</v>
      </c>
      <c r="G1987" s="2" t="n">
        <f>HYPERLINK("https://patentcenter.uspto.gov/applications/17208692","Patent Center")</f>
        <v>0.0</v>
      </c>
      <c r="H1987" s="2" t="n">
        <f>HYPERLINK("https://worldwide.espacenet.com/patent/search?q=US20210293816","Espacenet")</f>
        <v>0.0</v>
      </c>
      <c r="I1987" s="2" t="n">
        <f>HYPERLINK("https://ppubs.uspto.gov/pubwebapp/external.html?q=20210293816.pn.","USPTO")</f>
        <v>0.0</v>
      </c>
      <c r="J1987" s="2" t="n">
        <f>HYPERLINK("https://image-ppubs.uspto.gov/dirsearch-public/print/downloadPdf/20210293816","USPTO PDF")</f>
        <v>0.0</v>
      </c>
      <c r="K1987" s="2" t="n">
        <f>HYPERLINK("https://sectors.patentforecast.com/pmd/US20210293816","PMD")</f>
        <v>0.0</v>
      </c>
      <c r="L1987" s="2" t="n">
        <f>HYPERLINK("https://globaldossier.uspto.gov/result/application/US/17208692/1","US20210293816")</f>
        <v>0.0</v>
      </c>
      <c r="M1987" t="s">
        <v>13726</v>
      </c>
      <c r="N1987" t="s">
        <v>1014</v>
      </c>
      <c r="O1987" t="s">
        <v>1015</v>
      </c>
      <c r="P1987" t="s">
        <v>13727</v>
      </c>
      <c r="Q1987" s="3" t="n">
        <v>44277.0</v>
      </c>
      <c r="R1987" s="3" t="n">
        <v>44462.0</v>
      </c>
      <c r="S1987" s="3" t="n">
        <v>44463.230578449075</v>
      </c>
      <c r="T1987" s="3" t="n">
        <v>44466.35946960648</v>
      </c>
      <c r="U1987" t="s">
        <v>13728</v>
      </c>
      <c r="V1987" t="s">
        <v>13729</v>
      </c>
    </row>
    <row r="1988">
      <c r="A1988" t="s">
        <v>22</v>
      </c>
      <c r="B1988" t="s">
        <v>13730</v>
      </c>
      <c r="C1988" t="s">
        <v>24</v>
      </c>
      <c r="D1988" t="s">
        <v>51</v>
      </c>
      <c r="E1988" t="s">
        <v>13731</v>
      </c>
      <c r="F1988" s="2" t="n">
        <f>HYPERLINK("https://patents.google.com/patent/US20210293815","Google")</f>
        <v>0.0</v>
      </c>
      <c r="G1988" s="2" t="n">
        <f>HYPERLINK("https://patentcenter.uspto.gov/applications/17067594","Patent Center")</f>
        <v>0.0</v>
      </c>
      <c r="H1988" s="2" t="n">
        <f>HYPERLINK("https://worldwide.espacenet.com/patent/search?q=US20210293815","Espacenet")</f>
        <v>0.0</v>
      </c>
      <c r="I1988" s="2" t="n">
        <f>HYPERLINK("https://ppubs.uspto.gov/pubwebapp/external.html?q=20210293815.pn.","USPTO")</f>
        <v>0.0</v>
      </c>
      <c r="J1988" s="2" t="n">
        <f>HYPERLINK("https://image-ppubs.uspto.gov/dirsearch-public/print/downloadPdf/20210293815","USPTO PDF")</f>
        <v>0.0</v>
      </c>
      <c r="K1988" s="2" t="n">
        <f>HYPERLINK("https://sectors.patentforecast.com/pmd/US20210293815","PMD")</f>
        <v>0.0</v>
      </c>
      <c r="L1988" s="2" t="n">
        <f>HYPERLINK("https://globaldossier.uspto.gov/result/application/US/17067594/1","US20210293815")</f>
        <v>0.0</v>
      </c>
      <c r="M1988" t="s">
        <v>13732</v>
      </c>
      <c r="N1988" t="s">
        <v>13733</v>
      </c>
      <c r="O1988" t="s">
        <v>13734</v>
      </c>
      <c r="P1988" t="s">
        <v>13735</v>
      </c>
      <c r="Q1988" s="3" t="n">
        <v>44113.0</v>
      </c>
      <c r="R1988" s="3" t="n">
        <v>44462.0</v>
      </c>
      <c r="S1988" s="3" t="n">
        <v>44463.230578449075</v>
      </c>
      <c r="T1988" s="3" t="n">
        <v>44463.730939953704</v>
      </c>
      <c r="U1988" t="s">
        <v>13736</v>
      </c>
      <c r="V1988" t="s">
        <v>13737</v>
      </c>
    </row>
    <row r="1989">
      <c r="A1989" t="s">
        <v>22</v>
      </c>
      <c r="B1989" t="s">
        <v>13738</v>
      </c>
      <c r="C1989" t="s">
        <v>24</v>
      </c>
      <c r="D1989" t="s">
        <v>51</v>
      </c>
      <c r="E1989" t="s">
        <v>13739</v>
      </c>
      <c r="F1989" s="2" t="n">
        <f>HYPERLINK("https://patents.google.com/patent/US20210293805","Google")</f>
        <v>0.0</v>
      </c>
      <c r="G1989" s="2" t="n">
        <f>HYPERLINK("https://patentcenter.uspto.gov/applications/17203498","Patent Center")</f>
        <v>0.0</v>
      </c>
      <c r="H1989" s="2" t="n">
        <f>HYPERLINK("https://worldwide.espacenet.com/patent/search?q=US20210293805","Espacenet")</f>
        <v>0.0</v>
      </c>
      <c r="I1989" s="2" t="n">
        <f>HYPERLINK("https://ppubs.uspto.gov/pubwebapp/external.html?q=20210293805.pn.","USPTO")</f>
        <v>0.0</v>
      </c>
      <c r="J1989" s="2" t="n">
        <f>HYPERLINK("https://image-ppubs.uspto.gov/dirsearch-public/print/downloadPdf/20210293805","USPTO PDF")</f>
        <v>0.0</v>
      </c>
      <c r="K1989" s="2" t="n">
        <f>HYPERLINK("https://sectors.patentforecast.com/pmd/US20210293805","PMD")</f>
        <v>0.0</v>
      </c>
      <c r="L1989" s="2" t="n">
        <f>HYPERLINK("https://globaldossier.uspto.gov/result/application/US/17203498/1","US20210293805")</f>
        <v>0.0</v>
      </c>
      <c r="M1989" t="s">
        <v>13740</v>
      </c>
      <c r="N1989" t="s">
        <v>330</v>
      </c>
      <c r="O1989" t="s">
        <v>331</v>
      </c>
      <c r="P1989" t="s">
        <v>13676</v>
      </c>
      <c r="Q1989" s="3" t="n">
        <v>44271.0</v>
      </c>
      <c r="R1989" s="3" t="n">
        <v>44462.0</v>
      </c>
      <c r="S1989" s="3" t="n">
        <v>44463.22953195602</v>
      </c>
      <c r="T1989" s="3" t="n">
        <v>44463.730939953704</v>
      </c>
      <c r="U1989" t="s">
        <v>13741</v>
      </c>
      <c r="V1989" t="s">
        <v>13742</v>
      </c>
    </row>
    <row r="1990">
      <c r="A1990" t="s">
        <v>22</v>
      </c>
      <c r="B1990" t="s">
        <v>13743</v>
      </c>
      <c r="C1990" t="s">
        <v>24</v>
      </c>
      <c r="D1990" t="s">
        <v>51</v>
      </c>
      <c r="E1990" t="s">
        <v>13744</v>
      </c>
      <c r="F1990" s="2" t="n">
        <f>HYPERLINK("https://patents.google.com/patent/US20210292857","Google")</f>
        <v>0.0</v>
      </c>
      <c r="G1990" s="2" t="n">
        <f>HYPERLINK("https://patentcenter.uspto.gov/applications/17320659","Patent Center")</f>
        <v>0.0</v>
      </c>
      <c r="H1990" s="2" t="n">
        <f>HYPERLINK("https://worldwide.espacenet.com/patent/search?q=US20210292857","Espacenet")</f>
        <v>0.0</v>
      </c>
      <c r="I1990" s="2" t="n">
        <f>HYPERLINK("https://ppubs.uspto.gov/pubwebapp/external.html?q=20210292857.pn.","USPTO")</f>
        <v>0.0</v>
      </c>
      <c r="J1990" s="2" t="n">
        <f>HYPERLINK("https://image-ppubs.uspto.gov/dirsearch-public/print/downloadPdf/20210292857","USPTO PDF")</f>
        <v>0.0</v>
      </c>
      <c r="K1990" s="2" t="n">
        <f>HYPERLINK("https://sectors.patentforecast.com/pmd/US20210292857","PMD")</f>
        <v>0.0</v>
      </c>
      <c r="L1990" s="2" t="n">
        <f>HYPERLINK("https://globaldossier.uspto.gov/result/application/US/17320659/1","US20210292857")</f>
        <v>0.0</v>
      </c>
      <c r="M1990" t="s">
        <v>13745</v>
      </c>
      <c r="N1990" t="s">
        <v>13746</v>
      </c>
      <c r="O1990" t="s">
        <v>13747</v>
      </c>
      <c r="P1990" t="s">
        <v>13748</v>
      </c>
      <c r="Q1990" s="3" t="n">
        <v>44330.0</v>
      </c>
      <c r="R1990" s="3" t="n">
        <v>44462.0</v>
      </c>
      <c r="S1990" s="3" t="n">
        <v>44463.230578449075</v>
      </c>
      <c r="T1990" s="3" t="n">
        <v>44466.36241193287</v>
      </c>
      <c r="U1990" t="s">
        <v>5807</v>
      </c>
      <c r="V1990" t="s">
        <v>13749</v>
      </c>
    </row>
    <row r="1991">
      <c r="A1991" t="s">
        <v>22</v>
      </c>
      <c r="B1991" t="s">
        <v>13750</v>
      </c>
      <c r="C1991" t="s">
        <v>24</v>
      </c>
      <c r="D1991" t="s">
        <v>51</v>
      </c>
      <c r="E1991" t="s">
        <v>13744</v>
      </c>
      <c r="F1991" s="2" t="n">
        <f>HYPERLINK("https://patents.google.com/patent/US20210292856","Google")</f>
        <v>0.0</v>
      </c>
      <c r="G1991" s="2" t="n">
        <f>HYPERLINK("https://patentcenter.uspto.gov/applications/17249071","Patent Center")</f>
        <v>0.0</v>
      </c>
      <c r="H1991" s="2" t="n">
        <f>HYPERLINK("https://worldwide.espacenet.com/patent/search?q=US20210292856","Espacenet")</f>
        <v>0.0</v>
      </c>
      <c r="I1991" s="2" t="n">
        <f>HYPERLINK("https://ppubs.uspto.gov/pubwebapp/external.html?q=20210292856.pn.","USPTO")</f>
        <v>0.0</v>
      </c>
      <c r="J1991" s="2" t="n">
        <f>HYPERLINK("https://image-ppubs.uspto.gov/dirsearch-public/print/downloadPdf/20210292856","USPTO PDF")</f>
        <v>0.0</v>
      </c>
      <c r="K1991" s="2" t="n">
        <f>HYPERLINK("https://sectors.patentforecast.com/pmd/US20210292856","PMD")</f>
        <v>0.0</v>
      </c>
      <c r="L1991" s="2" t="n">
        <f>HYPERLINK("https://globaldossier.uspto.gov/result/application/US/17249071/1","US20210292856")</f>
        <v>0.0</v>
      </c>
      <c r="M1991" t="s">
        <v>13751</v>
      </c>
      <c r="N1991" t="s">
        <v>13746</v>
      </c>
      <c r="O1991" t="s">
        <v>13747</v>
      </c>
      <c r="P1991" t="s">
        <v>13748</v>
      </c>
      <c r="Q1991" s="3" t="n">
        <v>44245.0</v>
      </c>
      <c r="R1991" s="3" t="n">
        <v>44462.0</v>
      </c>
      <c r="S1991" s="3" t="n">
        <v>44463.230578449075</v>
      </c>
      <c r="T1991" s="3" t="n">
        <v>44466.36241193287</v>
      </c>
      <c r="U1991" t="s">
        <v>5807</v>
      </c>
      <c r="V1991" t="s">
        <v>13749</v>
      </c>
    </row>
    <row r="1992">
      <c r="A1992" t="s">
        <v>22</v>
      </c>
      <c r="B1992" t="s">
        <v>13752</v>
      </c>
      <c r="C1992" t="s">
        <v>24</v>
      </c>
      <c r="D1992" t="s">
        <v>51</v>
      </c>
      <c r="E1992" t="s">
        <v>13753</v>
      </c>
      <c r="F1992" s="2" t="n">
        <f>HYPERLINK("https://patents.google.com/patent/US20210292855","Google")</f>
        <v>0.0</v>
      </c>
      <c r="G1992" s="2" t="n">
        <f>HYPERLINK("https://patentcenter.uspto.gov/applications/17203399","Patent Center")</f>
        <v>0.0</v>
      </c>
      <c r="H1992" s="2" t="n">
        <f>HYPERLINK("https://worldwide.espacenet.com/patent/search?q=US20210292855","Espacenet")</f>
        <v>0.0</v>
      </c>
      <c r="I1992" s="2" t="n">
        <f>HYPERLINK("https://ppubs.uspto.gov/pubwebapp/external.html?q=20210292855.pn.","USPTO")</f>
        <v>0.0</v>
      </c>
      <c r="J1992" s="2" t="n">
        <f>HYPERLINK("https://image-ppubs.uspto.gov/dirsearch-public/print/downloadPdf/20210292855","USPTO PDF")</f>
        <v>0.0</v>
      </c>
      <c r="K1992" s="2" t="n">
        <f>HYPERLINK("https://sectors.patentforecast.com/pmd/US20210292855","PMD")</f>
        <v>0.0</v>
      </c>
      <c r="L1992" s="2" t="n">
        <f>HYPERLINK("https://globaldossier.uspto.gov/result/application/US/17203399/1","US20210292855")</f>
        <v>0.0</v>
      </c>
      <c r="M1992" t="s">
        <v>13754</v>
      </c>
      <c r="N1992" t="s">
        <v>330</v>
      </c>
      <c r="O1992" t="s">
        <v>331</v>
      </c>
      <c r="P1992" t="s">
        <v>13755</v>
      </c>
      <c r="Q1992" s="3" t="n">
        <v>44271.0</v>
      </c>
      <c r="R1992" s="3" t="n">
        <v>44462.0</v>
      </c>
      <c r="S1992" s="3" t="n">
        <v>44463.22953195602</v>
      </c>
      <c r="T1992" s="3" t="n">
        <v>44463.730939953704</v>
      </c>
      <c r="U1992" t="s">
        <v>13756</v>
      </c>
      <c r="V1992" t="s">
        <v>13678</v>
      </c>
    </row>
    <row r="1993">
      <c r="A1993" t="s">
        <v>22</v>
      </c>
      <c r="B1993" t="s">
        <v>13757</v>
      </c>
      <c r="C1993" t="s">
        <v>24</v>
      </c>
      <c r="D1993" t="s">
        <v>51</v>
      </c>
      <c r="E1993" t="s">
        <v>10945</v>
      </c>
      <c r="F1993" s="2" t="n">
        <f>HYPERLINK("https://patents.google.com/patent/US20210292854","Google")</f>
        <v>0.0</v>
      </c>
      <c r="G1993" s="2" t="n">
        <f>HYPERLINK("https://patentcenter.uspto.gov/applications/16912462","Patent Center")</f>
        <v>0.0</v>
      </c>
      <c r="H1993" s="2" t="n">
        <f>HYPERLINK("https://worldwide.espacenet.com/patent/search?q=US20210292854","Espacenet")</f>
        <v>0.0</v>
      </c>
      <c r="I1993" s="2" t="n">
        <f>HYPERLINK("https://ppubs.uspto.gov/pubwebapp/external.html?q=20210292854.pn.","USPTO")</f>
        <v>0.0</v>
      </c>
      <c r="J1993" s="2" t="n">
        <f>HYPERLINK("https://image-ppubs.uspto.gov/dirsearch-public/print/downloadPdf/20210292854","USPTO PDF")</f>
        <v>0.0</v>
      </c>
      <c r="K1993" s="2" t="n">
        <f>HYPERLINK("https://sectors.patentforecast.com/pmd/US20210292854","PMD")</f>
        <v>0.0</v>
      </c>
      <c r="L1993" s="2" t="n">
        <f>HYPERLINK("https://globaldossier.uspto.gov/result/application/US/16912462/1","US20210292854")</f>
        <v>0.0</v>
      </c>
      <c r="M1993" t="s">
        <v>13758</v>
      </c>
      <c r="N1993" t="s">
        <v>10947</v>
      </c>
      <c r="O1993" t="s">
        <v>10948</v>
      </c>
      <c r="P1993" t="s">
        <v>10949</v>
      </c>
      <c r="Q1993" s="3" t="n">
        <v>44007.0</v>
      </c>
      <c r="R1993" s="3" t="n">
        <v>44462.0</v>
      </c>
      <c r="S1993" s="3" t="n">
        <v>44463.230578449075</v>
      </c>
      <c r="T1993" s="3" t="n">
        <v>44466.36989486111</v>
      </c>
      <c r="U1993" t="s">
        <v>13759</v>
      </c>
      <c r="V1993" t="s">
        <v>10951</v>
      </c>
    </row>
    <row r="1994">
      <c r="A1994" t="s">
        <v>22</v>
      </c>
      <c r="B1994" t="s">
        <v>13760</v>
      </c>
      <c r="C1994" t="s">
        <v>24</v>
      </c>
      <c r="D1994" t="s">
        <v>51</v>
      </c>
      <c r="E1994" t="s">
        <v>13761</v>
      </c>
      <c r="F1994" s="2" t="n">
        <f>HYPERLINK("https://patents.google.com/patent/US20210292829","Google")</f>
        <v>0.0</v>
      </c>
      <c r="G1994" s="2" t="n">
        <f>HYPERLINK("https://patentcenter.uspto.gov/applications/17210488","Patent Center")</f>
        <v>0.0</v>
      </c>
      <c r="H1994" s="2" t="n">
        <f>HYPERLINK("https://worldwide.espacenet.com/patent/search?q=US20210292829","Espacenet")</f>
        <v>0.0</v>
      </c>
      <c r="I1994" s="2" t="n">
        <f>HYPERLINK("https://ppubs.uspto.gov/pubwebapp/external.html?q=20210292829.pn.","USPTO")</f>
        <v>0.0</v>
      </c>
      <c r="J1994" s="2" t="n">
        <f>HYPERLINK("https://image-ppubs.uspto.gov/dirsearch-public/print/downloadPdf/20210292829","USPTO PDF")</f>
        <v>0.0</v>
      </c>
      <c r="K1994" s="2" t="n">
        <f>HYPERLINK("https://sectors.patentforecast.com/pmd/US20210292829","PMD")</f>
        <v>0.0</v>
      </c>
      <c r="L1994" s="2" t="n">
        <f>HYPERLINK("https://globaldossier.uspto.gov/result/application/US/17210488/1","US20210292829")</f>
        <v>0.0</v>
      </c>
      <c r="M1994" t="s">
        <v>13762</v>
      </c>
      <c r="N1994" t="s">
        <v>13763</v>
      </c>
      <c r="O1994" t="s">
        <v>13764</v>
      </c>
      <c r="P1994" t="s">
        <v>13765</v>
      </c>
      <c r="Q1994" s="3" t="n">
        <v>44278.0</v>
      </c>
      <c r="R1994" s="3" t="n">
        <v>44462.0</v>
      </c>
      <c r="S1994" s="3" t="n">
        <v>44463.22953195602</v>
      </c>
      <c r="T1994" s="3" t="n">
        <v>44463.72877518518</v>
      </c>
      <c r="U1994" t="s">
        <v>13766</v>
      </c>
      <c r="V1994" t="s">
        <v>13767</v>
      </c>
    </row>
    <row r="1995">
      <c r="A1995" t="s">
        <v>22</v>
      </c>
      <c r="B1995" t="s">
        <v>13768</v>
      </c>
      <c r="C1995" t="s">
        <v>24</v>
      </c>
      <c r="D1995" t="s">
        <v>51</v>
      </c>
      <c r="E1995" t="s">
        <v>328</v>
      </c>
      <c r="F1995" s="2" t="n">
        <f>HYPERLINK("https://patents.google.com/patent/US20210292825","Google")</f>
        <v>0.0</v>
      </c>
      <c r="G1995" s="2" t="n">
        <f>HYPERLINK("https://patentcenter.uspto.gov/applications/17203724","Patent Center")</f>
        <v>0.0</v>
      </c>
      <c r="H1995" s="2" t="n">
        <f>HYPERLINK("https://worldwide.espacenet.com/patent/search?q=US20210292825","Espacenet")</f>
        <v>0.0</v>
      </c>
      <c r="I1995" s="2" t="n">
        <f>HYPERLINK("https://ppubs.uspto.gov/pubwebapp/external.html?q=20210292825.pn.","USPTO")</f>
        <v>0.0</v>
      </c>
      <c r="J1995" s="2" t="n">
        <f>HYPERLINK("https://image-ppubs.uspto.gov/dirsearch-public/print/downloadPdf/20210292825","USPTO PDF")</f>
        <v>0.0</v>
      </c>
      <c r="K1995" s="2" t="n">
        <f>HYPERLINK("https://sectors.patentforecast.com/pmd/US20210292825","PMD")</f>
        <v>0.0</v>
      </c>
      <c r="L1995" s="2" t="n">
        <f>HYPERLINK("https://globaldossier.uspto.gov/result/application/US/17203724/1","US20210292825")</f>
        <v>0.0</v>
      </c>
      <c r="M1995" t="s">
        <v>13769</v>
      </c>
      <c r="N1995" t="s">
        <v>330</v>
      </c>
      <c r="O1995" t="s">
        <v>331</v>
      </c>
      <c r="P1995" t="s">
        <v>13770</v>
      </c>
      <c r="Q1995" s="3" t="n">
        <v>44271.0</v>
      </c>
      <c r="R1995" s="3" t="n">
        <v>44462.0</v>
      </c>
      <c r="S1995" s="3" t="n">
        <v>44463.230578449075</v>
      </c>
      <c r="T1995" s="3" t="n">
        <v>44463.730939953704</v>
      </c>
      <c r="U1995" t="s">
        <v>13771</v>
      </c>
      <c r="V1995" t="s">
        <v>13772</v>
      </c>
    </row>
    <row r="1996">
      <c r="A1996" t="s">
        <v>22</v>
      </c>
      <c r="B1996" t="s">
        <v>13773</v>
      </c>
      <c r="C1996" t="s">
        <v>24</v>
      </c>
      <c r="D1996" t="s">
        <v>51</v>
      </c>
      <c r="E1996" t="s">
        <v>13774</v>
      </c>
      <c r="F1996" s="2" t="n">
        <f>HYPERLINK("https://patents.google.com/patent/US20210292824","Google")</f>
        <v>0.0</v>
      </c>
      <c r="G1996" s="2" t="n">
        <f>HYPERLINK("https://patentcenter.uspto.gov/applications/16894670","Patent Center")</f>
        <v>0.0</v>
      </c>
      <c r="H1996" s="2" t="n">
        <f>HYPERLINK("https://worldwide.espacenet.com/patent/search?q=US20210292824","Espacenet")</f>
        <v>0.0</v>
      </c>
      <c r="I1996" s="2" t="n">
        <f>HYPERLINK("https://ppubs.uspto.gov/pubwebapp/external.html?q=20210292824.pn.","USPTO")</f>
        <v>0.0</v>
      </c>
      <c r="J1996" s="2" t="n">
        <f>HYPERLINK("https://image-ppubs.uspto.gov/dirsearch-public/print/downloadPdf/20210292824","USPTO PDF")</f>
        <v>0.0</v>
      </c>
      <c r="K1996" s="2" t="n">
        <f>HYPERLINK("https://sectors.patentforecast.com/pmd/US20210292824","PMD")</f>
        <v>0.0</v>
      </c>
      <c r="L1996" s="2" t="n">
        <f>HYPERLINK("https://globaldossier.uspto.gov/result/application/US/16894670/1","US20210292824")</f>
        <v>0.0</v>
      </c>
      <c r="M1996" t="s">
        <v>13775</v>
      </c>
      <c r="N1996" t="s">
        <v>13776</v>
      </c>
      <c r="O1996" t="s">
        <v>13776</v>
      </c>
      <c r="P1996" t="s">
        <v>13777</v>
      </c>
      <c r="Q1996" s="3" t="n">
        <v>43987.0</v>
      </c>
      <c r="R1996" s="3" t="n">
        <v>44462.0</v>
      </c>
      <c r="S1996" s="3" t="n">
        <v>44463.230578449075</v>
      </c>
      <c r="T1996" s="3" t="n">
        <v>44463.71580320602</v>
      </c>
      <c r="U1996" t="s">
        <v>13778</v>
      </c>
      <c r="V1996" t="s">
        <v>13779</v>
      </c>
    </row>
    <row r="1997">
      <c r="A1997" t="s">
        <v>22</v>
      </c>
      <c r="B1997" t="s">
        <v>13780</v>
      </c>
      <c r="C1997" t="s">
        <v>24</v>
      </c>
      <c r="D1997" t="s">
        <v>51</v>
      </c>
      <c r="E1997" t="s">
        <v>13781</v>
      </c>
      <c r="F1997" s="2" t="n">
        <f>HYPERLINK("https://patents.google.com/patent/US20210292823","Google")</f>
        <v>0.0</v>
      </c>
      <c r="G1997" s="2" t="n">
        <f>HYPERLINK("https://patentcenter.uspto.gov/applications/16894664","Patent Center")</f>
        <v>0.0</v>
      </c>
      <c r="H1997" s="2" t="n">
        <f>HYPERLINK("https://worldwide.espacenet.com/patent/search?q=US20210292823","Espacenet")</f>
        <v>0.0</v>
      </c>
      <c r="I1997" s="2" t="n">
        <f>HYPERLINK("https://ppubs.uspto.gov/pubwebapp/external.html?q=20210292823.pn.","USPTO")</f>
        <v>0.0</v>
      </c>
      <c r="J1997" s="2" t="n">
        <f>HYPERLINK("https://image-ppubs.uspto.gov/dirsearch-public/print/downloadPdf/20210292823","USPTO PDF")</f>
        <v>0.0</v>
      </c>
      <c r="K1997" s="2" t="n">
        <f>HYPERLINK("https://sectors.patentforecast.com/pmd/US20210292823","PMD")</f>
        <v>0.0</v>
      </c>
      <c r="L1997" s="2" t="n">
        <f>HYPERLINK("https://globaldossier.uspto.gov/result/application/US/16894664/1","US20210292823")</f>
        <v>0.0</v>
      </c>
      <c r="M1997" t="s">
        <v>13782</v>
      </c>
      <c r="N1997" t="s">
        <v>13783</v>
      </c>
      <c r="O1997" t="s">
        <v>13784</v>
      </c>
      <c r="P1997" t="s">
        <v>13777</v>
      </c>
      <c r="Q1997" s="3" t="n">
        <v>43987.0</v>
      </c>
      <c r="R1997" s="3" t="n">
        <v>44462.0</v>
      </c>
      <c r="S1997" s="3" t="n">
        <v>44463.230578449075</v>
      </c>
      <c r="T1997" s="3" t="n">
        <v>44463.715202534724</v>
      </c>
      <c r="U1997" t="s">
        <v>13785</v>
      </c>
      <c r="V1997" t="s">
        <v>13786</v>
      </c>
    </row>
    <row r="1998">
      <c r="A1998" t="s">
        <v>22</v>
      </c>
      <c r="B1998" t="s">
        <v>13787</v>
      </c>
      <c r="C1998" t="s">
        <v>24</v>
      </c>
      <c r="D1998" t="s">
        <v>51</v>
      </c>
      <c r="E1998" t="s">
        <v>13788</v>
      </c>
      <c r="F1998" s="2" t="n">
        <f>HYPERLINK("https://patents.google.com/patent/US20210292820","Google")</f>
        <v>0.0</v>
      </c>
      <c r="G1998" s="2" t="n">
        <f>HYPERLINK("https://patentcenter.uspto.gov/applications/17206681","Patent Center")</f>
        <v>0.0</v>
      </c>
      <c r="H1998" s="2" t="n">
        <f>HYPERLINK("https://worldwide.espacenet.com/patent/search?q=US20210292820","Espacenet")</f>
        <v>0.0</v>
      </c>
      <c r="I1998" s="2" t="n">
        <f>HYPERLINK("https://ppubs.uspto.gov/pubwebapp/external.html?q=20210292820.pn.","USPTO")</f>
        <v>0.0</v>
      </c>
      <c r="J1998" s="2" t="n">
        <f>HYPERLINK("https://image-ppubs.uspto.gov/dirsearch-public/print/downloadPdf/20210292820","USPTO PDF")</f>
        <v>0.0</v>
      </c>
      <c r="K1998" s="2" t="n">
        <f>HYPERLINK("https://sectors.patentforecast.com/pmd/US20210292820","PMD")</f>
        <v>0.0</v>
      </c>
      <c r="L1998" s="2" t="n">
        <f>HYPERLINK("https://globaldossier.uspto.gov/result/application/US/17206681/1","US20210292820")</f>
        <v>0.0</v>
      </c>
      <c r="M1998" t="s">
        <v>13789</v>
      </c>
      <c r="N1998" t="s">
        <v>13790</v>
      </c>
      <c r="O1998" t="s">
        <v>13791</v>
      </c>
      <c r="P1998" t="s">
        <v>13792</v>
      </c>
      <c r="Q1998" s="3" t="n">
        <v>44274.0</v>
      </c>
      <c r="R1998" s="3" t="n">
        <v>44462.0</v>
      </c>
      <c r="S1998" s="3" t="n">
        <v>44463.230578449075</v>
      </c>
      <c r="T1998" s="3" t="n">
        <v>44463.725596006945</v>
      </c>
      <c r="U1998" t="s">
        <v>13793</v>
      </c>
      <c r="V1998" t="s">
        <v>13794</v>
      </c>
    </row>
    <row r="1999">
      <c r="A1999" t="s">
        <v>22</v>
      </c>
      <c r="B1999" t="s">
        <v>13795</v>
      </c>
      <c r="C1999" t="s">
        <v>24</v>
      </c>
      <c r="D1999" t="s">
        <v>51</v>
      </c>
      <c r="E1999" t="s">
        <v>13796</v>
      </c>
      <c r="F1999" s="2" t="n">
        <f>HYPERLINK("https://patents.google.com/patent/US20210292743","Google")</f>
        <v>0.0</v>
      </c>
      <c r="G1999" s="2" t="n">
        <f>HYPERLINK("https://patentcenter.uspto.gov/applications/17249936","Patent Center")</f>
        <v>0.0</v>
      </c>
      <c r="H1999" s="2" t="n">
        <f>HYPERLINK("https://worldwide.espacenet.com/patent/search?q=US20210292743","Espacenet")</f>
        <v>0.0</v>
      </c>
      <c r="I1999" s="2" t="n">
        <f>HYPERLINK("https://ppubs.uspto.gov/pubwebapp/external.html?q=20210292743.pn.","USPTO")</f>
        <v>0.0</v>
      </c>
      <c r="J1999" s="2" t="n">
        <f>HYPERLINK("https://image-ppubs.uspto.gov/dirsearch-public/print/downloadPdf/20210292743","USPTO PDF")</f>
        <v>0.0</v>
      </c>
      <c r="K1999" s="2" t="n">
        <f>HYPERLINK("https://sectors.patentforecast.com/pmd/US20210292743","PMD")</f>
        <v>0.0</v>
      </c>
      <c r="L1999" s="2" t="n">
        <f>HYPERLINK("https://globaldossier.uspto.gov/result/application/US/17249936/1","US20210292743")</f>
        <v>0.0</v>
      </c>
      <c r="M1999" t="s">
        <v>13797</v>
      </c>
      <c r="N1999" t="s">
        <v>13798</v>
      </c>
      <c r="O1999" t="s">
        <v>13799</v>
      </c>
      <c r="P1999" t="s">
        <v>13800</v>
      </c>
      <c r="Q1999" s="3" t="n">
        <v>44274.0</v>
      </c>
      <c r="R1999" s="3" t="n">
        <v>44462.0</v>
      </c>
      <c r="S1999" s="3" t="n">
        <v>44463.230578449075</v>
      </c>
      <c r="T1999" s="3" t="n">
        <v>44466.36810054398</v>
      </c>
      <c r="U1999" t="s">
        <v>13801</v>
      </c>
      <c r="V1999" t="s">
        <v>13802</v>
      </c>
    </row>
    <row r="2000">
      <c r="A2000" t="s">
        <v>22</v>
      </c>
      <c r="B2000" t="s">
        <v>13803</v>
      </c>
      <c r="C2000" t="s">
        <v>24</v>
      </c>
      <c r="D2000" t="s">
        <v>51</v>
      </c>
      <c r="E2000" t="s">
        <v>13804</v>
      </c>
      <c r="F2000" s="2" t="n">
        <f>HYPERLINK("https://patents.google.com/patent/US20210292721","Google")</f>
        <v>0.0</v>
      </c>
      <c r="G2000" s="2" t="n">
        <f>HYPERLINK("https://patentcenter.uspto.gov/applications/16894678","Patent Center")</f>
        <v>0.0</v>
      </c>
      <c r="H2000" s="2" t="n">
        <f>HYPERLINK("https://worldwide.espacenet.com/patent/search?q=US20210292721","Espacenet")</f>
        <v>0.0</v>
      </c>
      <c r="I2000" s="2" t="n">
        <f>HYPERLINK("https://ppubs.uspto.gov/pubwebapp/external.html?q=20210292721.pn.","USPTO")</f>
        <v>0.0</v>
      </c>
      <c r="J2000" s="2" t="n">
        <f>HYPERLINK("https://image-ppubs.uspto.gov/dirsearch-public/print/downloadPdf/20210292721","USPTO PDF")</f>
        <v>0.0</v>
      </c>
      <c r="K2000" s="2" t="n">
        <f>HYPERLINK("https://sectors.patentforecast.com/pmd/US20210292721","PMD")</f>
        <v>0.0</v>
      </c>
      <c r="L2000" s="2" t="n">
        <f>HYPERLINK("https://globaldossier.uspto.gov/result/application/US/16894678/1","US20210292721")</f>
        <v>0.0</v>
      </c>
      <c r="M2000" t="s">
        <v>13805</v>
      </c>
      <c r="N2000" t="s">
        <v>13783</v>
      </c>
      <c r="O2000" t="s">
        <v>13784</v>
      </c>
      <c r="P2000" t="s">
        <v>13777</v>
      </c>
      <c r="Q2000" s="3" t="n">
        <v>43987.0</v>
      </c>
      <c r="R2000" s="3" t="n">
        <v>44462.0</v>
      </c>
      <c r="S2000" s="3" t="n">
        <v>44463.230578449075</v>
      </c>
      <c r="T2000" s="3" t="n">
        <v>44463.718212210646</v>
      </c>
      <c r="U2000" t="s">
        <v>13806</v>
      </c>
      <c r="V2000" t="s">
        <v>13807</v>
      </c>
    </row>
    <row r="2001">
      <c r="A2001" t="s">
        <v>22</v>
      </c>
      <c r="B2001" t="s">
        <v>13808</v>
      </c>
      <c r="C2001" t="s">
        <v>60</v>
      </c>
      <c r="D2001" t="s">
        <v>77</v>
      </c>
      <c r="E2001" t="s">
        <v>13809</v>
      </c>
      <c r="F2001" s="2" t="n">
        <f>HYPERLINK("https://patents.google.com/patent/US20210292436","Google")</f>
        <v>0.0</v>
      </c>
      <c r="G2001" s="2" t="n">
        <f>HYPERLINK("https://patentcenter.uspto.gov/applications/17194054","Patent Center")</f>
        <v>0.0</v>
      </c>
      <c r="H2001" s="2" t="n">
        <f>HYPERLINK("https://worldwide.espacenet.com/patent/search?q=US20210292436","Espacenet")</f>
        <v>0.0</v>
      </c>
      <c r="I2001" s="2" t="n">
        <f>HYPERLINK("https://ppubs.uspto.gov/pubwebapp/external.html?q=20210292436.pn.","USPTO")</f>
        <v>0.0</v>
      </c>
      <c r="J2001" s="2" t="n">
        <f>HYPERLINK("https://image-ppubs.uspto.gov/dirsearch-public/print/downloadPdf/20210292436","USPTO PDF")</f>
        <v>0.0</v>
      </c>
      <c r="K2001" s="2" t="n">
        <f>HYPERLINK("https://sectors.patentforecast.com/pmd/US20210292436","PMD")</f>
        <v>0.0</v>
      </c>
      <c r="L2001" s="2" t="n">
        <f>HYPERLINK("https://globaldossier.uspto.gov/result/application/US/17194054/1","US20210292436")</f>
        <v>0.0</v>
      </c>
      <c r="M2001" t="s">
        <v>13810</v>
      </c>
      <c r="N2001" t="s">
        <v>13811</v>
      </c>
      <c r="O2001" t="s">
        <v>13812</v>
      </c>
      <c r="P2001" t="s">
        <v>13813</v>
      </c>
      <c r="Q2001" s="3" t="n">
        <v>44260.0</v>
      </c>
      <c r="R2001" s="3" t="n">
        <v>44462.0</v>
      </c>
      <c r="S2001" s="3" t="n">
        <v>44463.230578449075</v>
      </c>
      <c r="T2001" s="3" t="n">
        <v>44466.36780493055</v>
      </c>
      <c r="U2001" t="s">
        <v>13814</v>
      </c>
      <c r="V2001" t="s">
        <v>13815</v>
      </c>
    </row>
    <row r="2002">
      <c r="A2002" t="s">
        <v>22</v>
      </c>
      <c r="B2002" t="s">
        <v>13816</v>
      </c>
      <c r="C2002" t="s">
        <v>60</v>
      </c>
      <c r="D2002" t="s">
        <v>77</v>
      </c>
      <c r="E2002" t="s">
        <v>13817</v>
      </c>
      <c r="F2002" s="2" t="n">
        <f>HYPERLINK("https://patents.google.com/patent/US20210292406","Google")</f>
        <v>0.0</v>
      </c>
      <c r="G2002" s="2" t="n">
        <f>HYPERLINK("https://patentcenter.uspto.gov/applications/17202770","Patent Center")</f>
        <v>0.0</v>
      </c>
      <c r="H2002" s="2" t="n">
        <f>HYPERLINK("https://worldwide.espacenet.com/patent/search?q=US20210292406","Espacenet")</f>
        <v>0.0</v>
      </c>
      <c r="I2002" s="2" t="n">
        <f>HYPERLINK("https://ppubs.uspto.gov/pubwebapp/external.html?q=20210292406.pn.","USPTO")</f>
        <v>0.0</v>
      </c>
      <c r="J2002" s="2" t="n">
        <f>HYPERLINK("https://image-ppubs.uspto.gov/dirsearch-public/print/downloadPdf/20210292406","USPTO PDF")</f>
        <v>0.0</v>
      </c>
      <c r="K2002" s="2" t="n">
        <f>HYPERLINK("https://sectors.patentforecast.com/pmd/US20210292406","PMD")</f>
        <v>0.0</v>
      </c>
      <c r="L2002" s="2" t="n">
        <f>HYPERLINK("https://globaldossier.uspto.gov/result/application/US/17202770/1","US20210292406")</f>
        <v>0.0</v>
      </c>
      <c r="M2002" t="s">
        <v>13818</v>
      </c>
      <c r="N2002" t="s">
        <v>13819</v>
      </c>
      <c r="O2002" t="s">
        <v>13820</v>
      </c>
      <c r="P2002" t="s">
        <v>13821</v>
      </c>
      <c r="Q2002" s="3" t="n">
        <v>44271.0</v>
      </c>
      <c r="R2002" s="3" t="n">
        <v>44462.0</v>
      </c>
      <c r="S2002" s="3" t="n">
        <v>44463.230578449075</v>
      </c>
      <c r="T2002" s="3" t="n">
        <v>44466.35859224537</v>
      </c>
      <c r="U2002" t="s">
        <v>13822</v>
      </c>
      <c r="V2002" t="s">
        <v>13823</v>
      </c>
    </row>
    <row r="2003">
      <c r="A2003" t="s">
        <v>22</v>
      </c>
      <c r="B2003" t="s">
        <v>13824</v>
      </c>
      <c r="C2003" t="s">
        <v>60</v>
      </c>
      <c r="D2003" t="s">
        <v>77</v>
      </c>
      <c r="E2003" t="s">
        <v>8734</v>
      </c>
      <c r="F2003" s="2" t="n">
        <f>HYPERLINK("https://patents.google.com/patent/US20210292393","Google")</f>
        <v>0.0</v>
      </c>
      <c r="G2003" s="2" t="n">
        <f>HYPERLINK("https://patentcenter.uspto.gov/applications/17116588","Patent Center")</f>
        <v>0.0</v>
      </c>
      <c r="H2003" s="2" t="n">
        <f>HYPERLINK("https://worldwide.espacenet.com/patent/search?q=US20210292393","Espacenet")</f>
        <v>0.0</v>
      </c>
      <c r="I2003" s="2" t="n">
        <f>HYPERLINK("https://ppubs.uspto.gov/pubwebapp/external.html?q=20210292393.pn.","USPTO")</f>
        <v>0.0</v>
      </c>
      <c r="J2003" s="2" t="n">
        <f>HYPERLINK("https://image-ppubs.uspto.gov/dirsearch-public/print/downloadPdf/20210292393","USPTO PDF")</f>
        <v>0.0</v>
      </c>
      <c r="K2003" s="2" t="n">
        <f>HYPERLINK("https://sectors.patentforecast.com/pmd/US20210292393","PMD")</f>
        <v>0.0</v>
      </c>
      <c r="L2003" s="2" t="n">
        <f>HYPERLINK("https://globaldossier.uspto.gov/result/application/US/17116588/1","US20210292393")</f>
        <v>0.0</v>
      </c>
      <c r="M2003" t="s">
        <v>13825</v>
      </c>
      <c r="N2003" t="s">
        <v>1792</v>
      </c>
      <c r="O2003" t="s">
        <v>1793</v>
      </c>
      <c r="P2003" t="s">
        <v>8736</v>
      </c>
      <c r="Q2003" s="3" t="n">
        <v>44174.0</v>
      </c>
      <c r="R2003" s="3" t="n">
        <v>44462.0</v>
      </c>
      <c r="S2003" s="3" t="n">
        <v>44463.230578449075</v>
      </c>
      <c r="T2003" s="3" t="n">
        <v>44463.724350648146</v>
      </c>
      <c r="U2003" t="s">
        <v>13826</v>
      </c>
      <c r="V2003" t="s">
        <v>8738</v>
      </c>
    </row>
    <row r="2004">
      <c r="A2004" t="s">
        <v>22</v>
      </c>
      <c r="B2004" t="s">
        <v>13827</v>
      </c>
      <c r="C2004" t="s">
        <v>60</v>
      </c>
      <c r="D2004" t="s">
        <v>77</v>
      </c>
      <c r="E2004" t="s">
        <v>78</v>
      </c>
      <c r="F2004" s="2" t="n">
        <f>HYPERLINK("https://patents.google.com/patent/US20210292392","Google")</f>
        <v>0.0</v>
      </c>
      <c r="G2004" s="2" t="n">
        <f>HYPERLINK("https://patentcenter.uspto.gov/applications/16953304","Patent Center")</f>
        <v>0.0</v>
      </c>
      <c r="H2004" s="2" t="n">
        <f>HYPERLINK("https://worldwide.espacenet.com/patent/search?q=US20210292392","Espacenet")</f>
        <v>0.0</v>
      </c>
      <c r="I2004" s="2" t="n">
        <f>HYPERLINK("https://ppubs.uspto.gov/pubwebapp/external.html?q=20210292392.pn.","USPTO")</f>
        <v>0.0</v>
      </c>
      <c r="J2004" s="2" t="n">
        <f>HYPERLINK("https://image-ppubs.uspto.gov/dirsearch-public/print/downloadPdf/20210292392","USPTO PDF")</f>
        <v>0.0</v>
      </c>
      <c r="K2004" s="2" t="n">
        <f>HYPERLINK("https://sectors.patentforecast.com/pmd/US20210292392","PMD")</f>
        <v>0.0</v>
      </c>
      <c r="L2004" s="2" t="n">
        <f>HYPERLINK("https://globaldossier.uspto.gov/result/application/US/16953304/1","US20210292392")</f>
        <v>0.0</v>
      </c>
      <c r="M2004" t="s">
        <v>13828</v>
      </c>
      <c r="N2004" t="s">
        <v>80</v>
      </c>
      <c r="O2004" t="s">
        <v>81</v>
      </c>
      <c r="P2004" t="s">
        <v>82</v>
      </c>
      <c r="Q2004" s="3" t="n">
        <v>44154.0</v>
      </c>
      <c r="R2004" s="3" t="n">
        <v>44462.0</v>
      </c>
      <c r="S2004" s="3" t="n">
        <v>44463.230578449075</v>
      </c>
      <c r="T2004" s="3" t="n">
        <v>44466.37027133102</v>
      </c>
      <c r="U2004" t="s">
        <v>13829</v>
      </c>
      <c r="V2004" t="s">
        <v>84</v>
      </c>
    </row>
    <row r="2005">
      <c r="A2005" t="s">
        <v>22</v>
      </c>
      <c r="B2005" t="s">
        <v>13830</v>
      </c>
      <c r="C2005" t="s">
        <v>60</v>
      </c>
      <c r="D2005" t="s">
        <v>61</v>
      </c>
      <c r="E2005" t="s">
        <v>13831</v>
      </c>
      <c r="F2005" s="2" t="n">
        <f>HYPERLINK("https://patents.google.com/patent/US20210292384","Google")</f>
        <v>0.0</v>
      </c>
      <c r="G2005" s="2" t="n">
        <f>HYPERLINK("https://patentcenter.uspto.gov/applications/17207567","Patent Center")</f>
        <v>0.0</v>
      </c>
      <c r="H2005" s="2" t="n">
        <f>HYPERLINK("https://worldwide.espacenet.com/patent/search?q=US20210292384","Espacenet")</f>
        <v>0.0</v>
      </c>
      <c r="I2005" s="2" t="n">
        <f>HYPERLINK("https://ppubs.uspto.gov/pubwebapp/external.html?q=20210292384.pn.","USPTO")</f>
        <v>0.0</v>
      </c>
      <c r="J2005" s="2" t="n">
        <f>HYPERLINK("https://image-ppubs.uspto.gov/dirsearch-public/print/downloadPdf/20210292384","USPTO PDF")</f>
        <v>0.0</v>
      </c>
      <c r="K2005" s="2" t="n">
        <f>HYPERLINK("https://sectors.patentforecast.com/pmd/US20210292384","PMD")</f>
        <v>0.0</v>
      </c>
      <c r="L2005" s="2" t="n">
        <f>HYPERLINK("https://globaldossier.uspto.gov/result/application/US/17207567/1","US20210292384")</f>
        <v>0.0</v>
      </c>
      <c r="M2005" t="s">
        <v>13832</v>
      </c>
      <c r="N2005" t="s">
        <v>13833</v>
      </c>
      <c r="O2005" t="s">
        <v>13834</v>
      </c>
      <c r="P2005" t="s">
        <v>13835</v>
      </c>
      <c r="Q2005" s="3" t="n">
        <v>44274.0</v>
      </c>
      <c r="R2005" s="3" t="n">
        <v>44462.0</v>
      </c>
      <c r="S2005" s="3" t="n">
        <v>44463.230578449075</v>
      </c>
      <c r="T2005" s="3" t="n">
        <v>44466.361672465275</v>
      </c>
      <c r="U2005" t="s">
        <v>13836</v>
      </c>
      <c r="V2005" t="s">
        <v>13837</v>
      </c>
    </row>
    <row r="2006">
      <c r="A2006" t="s">
        <v>22</v>
      </c>
      <c r="B2006" t="s">
        <v>13838</v>
      </c>
      <c r="C2006" t="s">
        <v>60</v>
      </c>
      <c r="D2006" t="s">
        <v>61</v>
      </c>
      <c r="E2006" t="s">
        <v>13839</v>
      </c>
      <c r="F2006" s="2" t="n">
        <f>HYPERLINK("https://patents.google.com/patent/US20210292296","Google")</f>
        <v>0.0</v>
      </c>
      <c r="G2006" s="2" t="n">
        <f>HYPERLINK("https://patentcenter.uspto.gov/applications/16907963","Patent Center")</f>
        <v>0.0</v>
      </c>
      <c r="H2006" s="2" t="n">
        <f>HYPERLINK("https://worldwide.espacenet.com/patent/search?q=US20210292296","Espacenet")</f>
        <v>0.0</v>
      </c>
      <c r="I2006" s="2" t="n">
        <f>HYPERLINK("https://ppubs.uspto.gov/pubwebapp/external.html?q=20210292296.pn.","USPTO")</f>
        <v>0.0</v>
      </c>
      <c r="J2006" s="2" t="n">
        <f>HYPERLINK("https://image-ppubs.uspto.gov/dirsearch-public/print/downloadPdf/20210292296","USPTO PDF")</f>
        <v>0.0</v>
      </c>
      <c r="K2006" s="2" t="n">
        <f>HYPERLINK("https://sectors.patentforecast.com/pmd/US20210292296","PMD")</f>
        <v>0.0</v>
      </c>
      <c r="L2006" s="2" t="n">
        <f>HYPERLINK("https://globaldossier.uspto.gov/result/application/US/16907963/1","US20210292296")</f>
        <v>0.0</v>
      </c>
      <c r="M2006" t="s">
        <v>13840</v>
      </c>
      <c r="N2006" t="s">
        <v>13841</v>
      </c>
      <c r="O2006" t="s">
        <v>13842</v>
      </c>
      <c r="P2006" t="s">
        <v>13843</v>
      </c>
      <c r="Q2006" s="3" t="n">
        <v>44004.0</v>
      </c>
      <c r="R2006" s="3" t="n">
        <v>44462.0</v>
      </c>
      <c r="S2006" s="3" t="n">
        <v>44463.22953195602</v>
      </c>
      <c r="T2006" s="3" t="n">
        <v>44463.726044525465</v>
      </c>
      <c r="U2006" t="s">
        <v>13844</v>
      </c>
      <c r="V2006" t="s">
        <v>13845</v>
      </c>
    </row>
    <row r="2007">
      <c r="A2007" t="s">
        <v>22</v>
      </c>
      <c r="B2007" t="s">
        <v>13846</v>
      </c>
      <c r="C2007" t="s">
        <v>60</v>
      </c>
      <c r="D2007" t="s">
        <v>61</v>
      </c>
      <c r="E2007" t="s">
        <v>13847</v>
      </c>
      <c r="F2007" s="2" t="n">
        <f>HYPERLINK("https://patents.google.com/patent/US20210292277","Google")</f>
        <v>0.0</v>
      </c>
      <c r="G2007" s="2" t="n">
        <f>HYPERLINK("https://patentcenter.uspto.gov/applications/17204774","Patent Center")</f>
        <v>0.0</v>
      </c>
      <c r="H2007" s="2" t="n">
        <f>HYPERLINK("https://worldwide.espacenet.com/patent/search?q=US20210292277","Espacenet")</f>
        <v>0.0</v>
      </c>
      <c r="I2007" s="2" t="n">
        <f>HYPERLINK("https://ppubs.uspto.gov/pubwebapp/external.html?q=20210292277.pn.","USPTO")</f>
        <v>0.0</v>
      </c>
      <c r="J2007" s="2" t="n">
        <f>HYPERLINK("https://image-ppubs.uspto.gov/dirsearch-public/print/downloadPdf/20210292277","USPTO PDF")</f>
        <v>0.0</v>
      </c>
      <c r="K2007" s="2" t="n">
        <f>HYPERLINK("https://sectors.patentforecast.com/pmd/US20210292277","PMD")</f>
        <v>0.0</v>
      </c>
      <c r="L2007" s="2" t="n">
        <f>HYPERLINK("https://globaldossier.uspto.gov/result/application/US/17204774/1","US20210292277")</f>
        <v>0.0</v>
      </c>
      <c r="M2007" t="s">
        <v>13848</v>
      </c>
      <c r="N2007" t="s">
        <v>13849</v>
      </c>
      <c r="O2007" t="s">
        <v>13850</v>
      </c>
      <c r="P2007" t="s">
        <v>13851</v>
      </c>
      <c r="Q2007" s="3" t="n">
        <v>44272.0</v>
      </c>
      <c r="R2007" s="3" t="n">
        <v>44462.0</v>
      </c>
      <c r="S2007" s="3" t="n">
        <v>44463.230578449075</v>
      </c>
      <c r="T2007" s="3" t="n">
        <v>44463.72491261574</v>
      </c>
      <c r="U2007" t="s">
        <v>13852</v>
      </c>
      <c r="V2007" t="s">
        <v>13853</v>
      </c>
    </row>
    <row r="2008">
      <c r="A2008" t="s">
        <v>22</v>
      </c>
      <c r="B2008" t="s">
        <v>13854</v>
      </c>
      <c r="C2008" t="s">
        <v>24</v>
      </c>
      <c r="D2008" t="s">
        <v>51</v>
      </c>
      <c r="E2008" t="s">
        <v>13855</v>
      </c>
      <c r="F2008" s="2" t="n">
        <f>HYPERLINK("https://patents.google.com/patent/US20210291181","Google")</f>
        <v>0.0</v>
      </c>
      <c r="G2008" s="2" t="n">
        <f>HYPERLINK("https://patentcenter.uspto.gov/applications/17203562","Patent Center")</f>
        <v>0.0</v>
      </c>
      <c r="H2008" s="2" t="n">
        <f>HYPERLINK("https://worldwide.espacenet.com/patent/search?q=US20210291181","Espacenet")</f>
        <v>0.0</v>
      </c>
      <c r="I2008" s="2" t="n">
        <f>HYPERLINK("https://ppubs.uspto.gov/pubwebapp/external.html?q=20210291181.pn.","USPTO")</f>
        <v>0.0</v>
      </c>
      <c r="J2008" s="2" t="n">
        <f>HYPERLINK("https://image-ppubs.uspto.gov/dirsearch-public/print/downloadPdf/20210291181","USPTO PDF")</f>
        <v>0.0</v>
      </c>
      <c r="K2008" s="2" t="n">
        <f>HYPERLINK("https://sectors.patentforecast.com/pmd/US20210291181","PMD")</f>
        <v>0.0</v>
      </c>
      <c r="L2008" s="2" t="n">
        <f>HYPERLINK("https://globaldossier.uspto.gov/result/application/US/17203562/1","US20210291181")</f>
        <v>0.0</v>
      </c>
      <c r="M2008" t="s">
        <v>13856</v>
      </c>
      <c r="N2008" t="s">
        <v>330</v>
      </c>
      <c r="O2008" t="s">
        <v>331</v>
      </c>
      <c r="P2008" t="s">
        <v>13755</v>
      </c>
      <c r="Q2008" s="3" t="n">
        <v>44271.0</v>
      </c>
      <c r="R2008" s="3" t="n">
        <v>44462.0</v>
      </c>
      <c r="S2008" s="3" t="n">
        <v>44463.230578449075</v>
      </c>
      <c r="T2008" s="3" t="n">
        <v>44463.730939953704</v>
      </c>
      <c r="U2008" t="s">
        <v>13857</v>
      </c>
      <c r="V2008" t="s">
        <v>13858</v>
      </c>
    </row>
    <row r="2009">
      <c r="A2009" t="s">
        <v>22</v>
      </c>
      <c r="B2009" t="s">
        <v>13859</v>
      </c>
      <c r="C2009" t="s">
        <v>24</v>
      </c>
      <c r="D2009" t="s">
        <v>51</v>
      </c>
      <c r="E2009" t="s">
        <v>13860</v>
      </c>
      <c r="F2009" s="2" t="n">
        <f>HYPERLINK("https://patents.google.com/patent/US20210291177","Google")</f>
        <v>0.0</v>
      </c>
      <c r="G2009" s="2" t="n">
        <f>HYPERLINK("https://patentcenter.uspto.gov/applications/17203668","Patent Center")</f>
        <v>0.0</v>
      </c>
      <c r="H2009" s="2" t="n">
        <f>HYPERLINK("https://worldwide.espacenet.com/patent/search?q=US20210291177","Espacenet")</f>
        <v>0.0</v>
      </c>
      <c r="I2009" s="2" t="n">
        <f>HYPERLINK("https://ppubs.uspto.gov/pubwebapp/external.html?q=20210291177.pn.","USPTO")</f>
        <v>0.0</v>
      </c>
      <c r="J2009" s="2" t="n">
        <f>HYPERLINK("https://image-ppubs.uspto.gov/dirsearch-public/print/downloadPdf/20210291177","USPTO PDF")</f>
        <v>0.0</v>
      </c>
      <c r="K2009" s="2" t="n">
        <f>HYPERLINK("https://sectors.patentforecast.com/pmd/US20210291177","PMD")</f>
        <v>0.0</v>
      </c>
      <c r="L2009" s="2" t="n">
        <f>HYPERLINK("https://globaldossier.uspto.gov/result/application/US/17203668/1","US20210291177")</f>
        <v>0.0</v>
      </c>
      <c r="M2009" t="s">
        <v>13861</v>
      </c>
      <c r="N2009" t="s">
        <v>330</v>
      </c>
      <c r="O2009" t="s">
        <v>331</v>
      </c>
      <c r="P2009" t="s">
        <v>13862</v>
      </c>
      <c r="Q2009" s="3" t="n">
        <v>44271.0</v>
      </c>
      <c r="R2009" s="3" t="n">
        <v>44462.0</v>
      </c>
      <c r="S2009" s="3" t="n">
        <v>44463.230578449075</v>
      </c>
      <c r="T2009" s="3" t="n">
        <v>44463.730939953704</v>
      </c>
      <c r="U2009" t="s">
        <v>13863</v>
      </c>
      <c r="V2009" t="s">
        <v>13864</v>
      </c>
    </row>
    <row r="2010">
      <c r="A2010" t="s">
        <v>22</v>
      </c>
      <c r="B2010" t="s">
        <v>13865</v>
      </c>
      <c r="C2010" t="s">
        <v>24</v>
      </c>
      <c r="D2010" t="s">
        <v>51</v>
      </c>
      <c r="E2010" t="s">
        <v>13866</v>
      </c>
      <c r="F2010" s="2" t="n">
        <f>HYPERLINK("https://patents.google.com/patent/US20210291176","Google")</f>
        <v>0.0</v>
      </c>
      <c r="G2010" s="2" t="n">
        <f>HYPERLINK("https://patentcenter.uspto.gov/applications/17203504","Patent Center")</f>
        <v>0.0</v>
      </c>
      <c r="H2010" s="2" t="n">
        <f>HYPERLINK("https://worldwide.espacenet.com/patent/search?q=US20210291176","Espacenet")</f>
        <v>0.0</v>
      </c>
      <c r="I2010" s="2" t="n">
        <f>HYPERLINK("https://ppubs.uspto.gov/pubwebapp/external.html?q=20210291176.pn.","USPTO")</f>
        <v>0.0</v>
      </c>
      <c r="J2010" s="2" t="n">
        <f>HYPERLINK("https://image-ppubs.uspto.gov/dirsearch-public/print/downloadPdf/20210291176","USPTO PDF")</f>
        <v>0.0</v>
      </c>
      <c r="K2010" s="2" t="n">
        <f>HYPERLINK("https://sectors.patentforecast.com/pmd/US20210291176","PMD")</f>
        <v>0.0</v>
      </c>
      <c r="L2010" s="2" t="n">
        <f>HYPERLINK("https://globaldossier.uspto.gov/result/application/US/17203504/1","US20210291176")</f>
        <v>0.0</v>
      </c>
      <c r="M2010" t="s">
        <v>13867</v>
      </c>
      <c r="N2010" t="s">
        <v>330</v>
      </c>
      <c r="O2010" t="s">
        <v>331</v>
      </c>
      <c r="P2010" t="s">
        <v>13868</v>
      </c>
      <c r="Q2010" s="3" t="n">
        <v>44271.0</v>
      </c>
      <c r="R2010" s="3" t="n">
        <v>44462.0</v>
      </c>
      <c r="S2010" s="3" t="n">
        <v>44463.230578449075</v>
      </c>
      <c r="T2010" s="3" t="n">
        <v>44463.730939953704</v>
      </c>
      <c r="U2010" t="s">
        <v>13869</v>
      </c>
      <c r="V2010" t="s">
        <v>13870</v>
      </c>
    </row>
    <row r="2011">
      <c r="A2011" t="s">
        <v>22</v>
      </c>
      <c r="B2011" t="s">
        <v>13871</v>
      </c>
      <c r="C2011" t="s">
        <v>24</v>
      </c>
      <c r="D2011" t="s">
        <v>51</v>
      </c>
      <c r="E2011" t="s">
        <v>328</v>
      </c>
      <c r="F2011" s="2" t="n">
        <f>HYPERLINK("https://patents.google.com/patent/US20210291165","Google")</f>
        <v>0.0</v>
      </c>
      <c r="G2011" s="2" t="n">
        <f>HYPERLINK("https://patentcenter.uspto.gov/applications/17203552","Patent Center")</f>
        <v>0.0</v>
      </c>
      <c r="H2011" s="2" t="n">
        <f>HYPERLINK("https://worldwide.espacenet.com/patent/search?q=US20210291165","Espacenet")</f>
        <v>0.0</v>
      </c>
      <c r="I2011" s="2" t="n">
        <f>HYPERLINK("https://ppubs.uspto.gov/pubwebapp/external.html?q=20210291165.pn.","USPTO")</f>
        <v>0.0</v>
      </c>
      <c r="J2011" s="2" t="n">
        <f>HYPERLINK("https://image-ppubs.uspto.gov/dirsearch-public/print/downloadPdf/20210291165","USPTO PDF")</f>
        <v>0.0</v>
      </c>
      <c r="K2011" s="2" t="n">
        <f>HYPERLINK("https://sectors.patentforecast.com/pmd/US20210291165","PMD")</f>
        <v>0.0</v>
      </c>
      <c r="L2011" s="2" t="n">
        <f>HYPERLINK("https://globaldossier.uspto.gov/result/application/US/17203552/1","US20210291165")</f>
        <v>0.0</v>
      </c>
      <c r="M2011" t="s">
        <v>13872</v>
      </c>
      <c r="N2011" t="s">
        <v>330</v>
      </c>
      <c r="O2011" t="s">
        <v>331</v>
      </c>
      <c r="P2011" t="s">
        <v>13873</v>
      </c>
      <c r="Q2011" s="3" t="n">
        <v>44271.0</v>
      </c>
      <c r="R2011" s="3" t="n">
        <v>44462.0</v>
      </c>
      <c r="S2011" s="3" t="n">
        <v>44463.230578449075</v>
      </c>
      <c r="T2011" s="3" t="n">
        <v>44463.730939953704</v>
      </c>
      <c r="U2011" t="s">
        <v>13874</v>
      </c>
      <c r="V2011" t="s">
        <v>334</v>
      </c>
    </row>
    <row r="2012">
      <c r="A2012" t="s">
        <v>22</v>
      </c>
      <c r="B2012" t="s">
        <v>13875</v>
      </c>
      <c r="C2012" t="s">
        <v>24</v>
      </c>
      <c r="D2012" t="s">
        <v>100</v>
      </c>
      <c r="E2012" t="s">
        <v>13876</v>
      </c>
      <c r="F2012" s="2" t="n">
        <f>HYPERLINK("https://patents.google.com/patent/US20210290871","Google")</f>
        <v>0.0</v>
      </c>
      <c r="G2012" s="2" t="n">
        <f>HYPERLINK("https://patentcenter.uspto.gov/applications/17169822","Patent Center")</f>
        <v>0.0</v>
      </c>
      <c r="H2012" s="2" t="n">
        <f>HYPERLINK("https://worldwide.espacenet.com/patent/search?q=US20210290871","Espacenet")</f>
        <v>0.0</v>
      </c>
      <c r="I2012" s="2" t="n">
        <f>HYPERLINK("https://ppubs.uspto.gov/pubwebapp/external.html?q=20210290871.pn.","USPTO")</f>
        <v>0.0</v>
      </c>
      <c r="J2012" s="2" t="n">
        <f>HYPERLINK("https://image-ppubs.uspto.gov/dirsearch-public/print/downloadPdf/20210290871","USPTO PDF")</f>
        <v>0.0</v>
      </c>
      <c r="K2012" s="2" t="n">
        <f>HYPERLINK("https://sectors.patentforecast.com/pmd/US20210290871","PMD")</f>
        <v>0.0</v>
      </c>
      <c r="L2012" s="2" t="n">
        <f>HYPERLINK("https://globaldossier.uspto.gov/result/application/US/17169822/1","US20210290871")</f>
        <v>0.0</v>
      </c>
      <c r="M2012" t="s">
        <v>13877</v>
      </c>
      <c r="N2012" t="s">
        <v>13878</v>
      </c>
      <c r="O2012" t="s">
        <v>13879</v>
      </c>
      <c r="P2012" t="s">
        <v>13880</v>
      </c>
      <c r="Q2012" s="3" t="n">
        <v>44235.0</v>
      </c>
      <c r="R2012" s="3" t="n">
        <v>44462.0</v>
      </c>
      <c r="S2012" s="3" t="n">
        <v>44463.230578449075</v>
      </c>
      <c r="T2012" s="3" t="n">
        <v>44463.73013456019</v>
      </c>
      <c r="U2012" t="s">
        <v>13881</v>
      </c>
      <c r="V2012" t="s">
        <v>13882</v>
      </c>
    </row>
    <row r="2013">
      <c r="A2013" t="s">
        <v>22</v>
      </c>
      <c r="B2013" t="s">
        <v>13883</v>
      </c>
      <c r="C2013" t="s">
        <v>24</v>
      </c>
      <c r="D2013" t="s">
        <v>100</v>
      </c>
      <c r="E2013" t="s">
        <v>13884</v>
      </c>
      <c r="F2013" s="2" t="n">
        <f>HYPERLINK("https://patents.google.com/patent/US20210290804","Google")</f>
        <v>0.0</v>
      </c>
      <c r="G2013" s="2" t="n">
        <f>HYPERLINK("https://patentcenter.uspto.gov/applications/17206311","Patent Center")</f>
        <v>0.0</v>
      </c>
      <c r="H2013" s="2" t="n">
        <f>HYPERLINK("https://worldwide.espacenet.com/patent/search?q=US20210290804","Espacenet")</f>
        <v>0.0</v>
      </c>
      <c r="I2013" s="2" t="n">
        <f>HYPERLINK("https://ppubs.uspto.gov/pubwebapp/external.html?q=20210290804.pn.","USPTO")</f>
        <v>0.0</v>
      </c>
      <c r="J2013" s="2" t="n">
        <f>HYPERLINK("https://image-ppubs.uspto.gov/dirsearch-public/print/downloadPdf/20210290804","USPTO PDF")</f>
        <v>0.0</v>
      </c>
      <c r="K2013" s="2" t="n">
        <f>HYPERLINK("https://sectors.patentforecast.com/pmd/US20210290804","PMD")</f>
        <v>0.0</v>
      </c>
      <c r="L2013" s="2" t="n">
        <f>HYPERLINK("https://globaldossier.uspto.gov/result/application/US/17206311/1","US20210290804")</f>
        <v>0.0</v>
      </c>
      <c r="M2013" t="s">
        <v>13885</v>
      </c>
      <c r="N2013" t="s">
        <v>13886</v>
      </c>
      <c r="O2013" t="s">
        <v>13887</v>
      </c>
      <c r="P2013" t="s">
        <v>13888</v>
      </c>
      <c r="Q2013" s="3" t="n">
        <v>44274.0</v>
      </c>
      <c r="R2013" s="3" t="n">
        <v>44462.0</v>
      </c>
      <c r="S2013" s="3" t="n">
        <v>44463.23092288194</v>
      </c>
      <c r="T2013" s="3" t="n">
        <v>44466.37290342592</v>
      </c>
      <c r="U2013" t="s">
        <v>13889</v>
      </c>
      <c r="V2013" t="s">
        <v>13890</v>
      </c>
    </row>
    <row r="2014">
      <c r="A2014" t="s">
        <v>22</v>
      </c>
      <c r="B2014" t="s">
        <v>13891</v>
      </c>
      <c r="C2014" t="s">
        <v>24</v>
      </c>
      <c r="D2014" t="s">
        <v>69</v>
      </c>
      <c r="E2014" t="s">
        <v>13892</v>
      </c>
      <c r="F2014" s="2" t="n">
        <f>HYPERLINK("https://patents.google.com/patent/US20210290801","Google")</f>
        <v>0.0</v>
      </c>
      <c r="G2014" s="2" t="n">
        <f>HYPERLINK("https://patentcenter.uspto.gov/applications/17208915","Patent Center")</f>
        <v>0.0</v>
      </c>
      <c r="H2014" s="2" t="n">
        <f>HYPERLINK("https://worldwide.espacenet.com/patent/search?q=US20210290801","Espacenet")</f>
        <v>0.0</v>
      </c>
      <c r="I2014" s="2" t="n">
        <f>HYPERLINK("https://ppubs.uspto.gov/pubwebapp/external.html?q=20210290801.pn.","USPTO")</f>
        <v>0.0</v>
      </c>
      <c r="J2014" s="2" t="n">
        <f>HYPERLINK("https://image-ppubs.uspto.gov/dirsearch-public/print/downloadPdf/20210290801","USPTO PDF")</f>
        <v>0.0</v>
      </c>
      <c r="K2014" s="2" t="n">
        <f>HYPERLINK("https://sectors.patentforecast.com/pmd/US20210290801","PMD")</f>
        <v>0.0</v>
      </c>
      <c r="L2014" s="2" t="n">
        <f>HYPERLINK("https://globaldossier.uspto.gov/result/application/US/17208915/1","US20210290801")</f>
        <v>0.0</v>
      </c>
      <c r="M2014" t="s">
        <v>13893</v>
      </c>
      <c r="N2014" t="s">
        <v>13894</v>
      </c>
      <c r="O2014" t="s">
        <v>13894</v>
      </c>
      <c r="P2014" t="s">
        <v>13895</v>
      </c>
      <c r="Q2014" s="3" t="n">
        <v>44277.0</v>
      </c>
      <c r="R2014" s="3" t="n">
        <v>44462.0</v>
      </c>
      <c r="S2014" s="3" t="n">
        <v>44463.23092288194</v>
      </c>
      <c r="T2014" s="3" t="n">
        <v>44463.71764861111</v>
      </c>
      <c r="U2014" t="s">
        <v>13896</v>
      </c>
      <c r="V2014" t="s">
        <v>13897</v>
      </c>
    </row>
    <row r="2015">
      <c r="A2015" t="s">
        <v>22</v>
      </c>
      <c r="B2015" t="s">
        <v>13898</v>
      </c>
      <c r="C2015" t="s">
        <v>24</v>
      </c>
      <c r="D2015" t="s">
        <v>69</v>
      </c>
      <c r="E2015" t="s">
        <v>13899</v>
      </c>
      <c r="F2015" s="2" t="n">
        <f>HYPERLINK("https://patents.google.com/patent/US20210290793","Google")</f>
        <v>0.0</v>
      </c>
      <c r="G2015" s="2" t="n">
        <f>HYPERLINK("https://patentcenter.uspto.gov/applications/16826274","Patent Center")</f>
        <v>0.0</v>
      </c>
      <c r="H2015" s="2" t="n">
        <f>HYPERLINK("https://worldwide.espacenet.com/patent/search?q=US20210290793","Espacenet")</f>
        <v>0.0</v>
      </c>
      <c r="I2015" s="2" t="n">
        <f>HYPERLINK("https://ppubs.uspto.gov/pubwebapp/external.html?q=20210290793.pn.","USPTO")</f>
        <v>0.0</v>
      </c>
      <c r="J2015" s="2" t="n">
        <f>HYPERLINK("https://image-ppubs.uspto.gov/dirsearch-public/print/downloadPdf/20210290793","USPTO PDF")</f>
        <v>0.0</v>
      </c>
      <c r="K2015" s="2" t="n">
        <f>HYPERLINK("https://sectors.patentforecast.com/pmd/US20210290793","PMD")</f>
        <v>0.0</v>
      </c>
      <c r="L2015" s="2" t="n">
        <f>HYPERLINK("https://globaldossier.uspto.gov/result/application/US/16826274/1","US20210290793")</f>
        <v>0.0</v>
      </c>
      <c r="M2015" t="s">
        <v>13900</v>
      </c>
      <c r="N2015" t="s">
        <v>13901</v>
      </c>
      <c r="O2015" t="s">
        <v>13901</v>
      </c>
      <c r="P2015" t="s">
        <v>13902</v>
      </c>
      <c r="Q2015" s="3" t="n">
        <v>43912.0</v>
      </c>
      <c r="R2015" s="3" t="n">
        <v>44462.0</v>
      </c>
      <c r="S2015" s="3" t="n">
        <v>44463.23092288194</v>
      </c>
      <c r="T2015" s="3" t="n">
        <v>44463.71744596065</v>
      </c>
      <c r="U2015" t="s">
        <v>13903</v>
      </c>
      <c r="V2015" t="s">
        <v>13904</v>
      </c>
    </row>
    <row r="2016">
      <c r="A2016" t="s">
        <v>22</v>
      </c>
      <c r="B2016" t="s">
        <v>13905</v>
      </c>
      <c r="C2016" t="s">
        <v>132</v>
      </c>
      <c r="D2016" t="s">
        <v>133</v>
      </c>
      <c r="E2016" t="s">
        <v>13906</v>
      </c>
      <c r="F2016" s="2" t="n">
        <f>HYPERLINK("https://patents.google.com/patent/US20210290757","Google")</f>
        <v>0.0</v>
      </c>
      <c r="G2016" s="2" t="n">
        <f>HYPERLINK("https://patentcenter.uspto.gov/applications/17210409","Patent Center")</f>
        <v>0.0</v>
      </c>
      <c r="H2016" s="2" t="n">
        <f>HYPERLINK("https://worldwide.espacenet.com/patent/search?q=US20210290757","Espacenet")</f>
        <v>0.0</v>
      </c>
      <c r="I2016" s="2" t="n">
        <f>HYPERLINK("https://ppubs.uspto.gov/pubwebapp/external.html?q=20210290757.pn.","USPTO")</f>
        <v>0.0</v>
      </c>
      <c r="J2016" s="2" t="n">
        <f>HYPERLINK("https://image-ppubs.uspto.gov/dirsearch-public/print/downloadPdf/20210290757","USPTO PDF")</f>
        <v>0.0</v>
      </c>
      <c r="K2016" s="2" t="n">
        <f>HYPERLINK("https://sectors.patentforecast.com/pmd/US20210290757","PMD")</f>
        <v>0.0</v>
      </c>
      <c r="L2016" s="2" t="n">
        <f>HYPERLINK("https://globaldossier.uspto.gov/result/application/US/17210409/1","US20210290757")</f>
        <v>0.0</v>
      </c>
      <c r="M2016" t="s">
        <v>13907</v>
      </c>
      <c r="N2016" t="s">
        <v>13908</v>
      </c>
      <c r="O2016" t="s">
        <v>13909</v>
      </c>
      <c r="P2016" t="s">
        <v>13910</v>
      </c>
      <c r="Q2016" s="3" t="n">
        <v>44278.0</v>
      </c>
      <c r="R2016" s="3" t="n">
        <v>44462.0</v>
      </c>
      <c r="S2016" s="3" t="n">
        <v>44463.23092288194</v>
      </c>
      <c r="T2016" s="3" t="n">
        <v>44463.72817005787</v>
      </c>
      <c r="U2016" t="s">
        <v>13911</v>
      </c>
      <c r="V2016" t="s">
        <v>13912</v>
      </c>
    </row>
    <row r="2017">
      <c r="A2017" t="s">
        <v>22</v>
      </c>
      <c r="B2017" t="s">
        <v>13913</v>
      </c>
      <c r="C2017" t="s">
        <v>132</v>
      </c>
      <c r="D2017" t="s">
        <v>133</v>
      </c>
      <c r="E2017" t="s">
        <v>13914</v>
      </c>
      <c r="F2017" s="2" t="n">
        <f>HYPERLINK("https://patents.google.com/patent/US20210290756","Google")</f>
        <v>0.0</v>
      </c>
      <c r="G2017" s="2" t="n">
        <f>HYPERLINK("https://patentcenter.uspto.gov/applications/17196889","Patent Center")</f>
        <v>0.0</v>
      </c>
      <c r="H2017" s="2" t="n">
        <f>HYPERLINK("https://worldwide.espacenet.com/patent/search?q=US20210290756","Espacenet")</f>
        <v>0.0</v>
      </c>
      <c r="I2017" s="2" t="n">
        <f>HYPERLINK("https://ppubs.uspto.gov/pubwebapp/external.html?q=20210290756.pn.","USPTO")</f>
        <v>0.0</v>
      </c>
      <c r="J2017" s="2" t="n">
        <f>HYPERLINK("https://image-ppubs.uspto.gov/dirsearch-public/print/downloadPdf/20210290756","USPTO PDF")</f>
        <v>0.0</v>
      </c>
      <c r="K2017" s="2" t="n">
        <f>HYPERLINK("https://sectors.patentforecast.com/pmd/US20210290756","PMD")</f>
        <v>0.0</v>
      </c>
      <c r="L2017" s="2" t="n">
        <f>HYPERLINK("https://globaldossier.uspto.gov/result/application/US/17196889/1","US20210290756")</f>
        <v>0.0</v>
      </c>
      <c r="M2017" t="s">
        <v>13915</v>
      </c>
      <c r="N2017" t="s">
        <v>13916</v>
      </c>
      <c r="O2017" t="s">
        <v>13917</v>
      </c>
      <c r="P2017" t="s">
        <v>13918</v>
      </c>
      <c r="Q2017" s="3" t="n">
        <v>44264.0</v>
      </c>
      <c r="R2017" s="3" t="n">
        <v>44462.0</v>
      </c>
      <c r="S2017" s="3" t="n">
        <v>44463.23092288194</v>
      </c>
      <c r="T2017" s="3" t="n">
        <v>44463.72566996528</v>
      </c>
      <c r="U2017" t="s">
        <v>13919</v>
      </c>
      <c r="V2017" t="s">
        <v>13920</v>
      </c>
    </row>
    <row r="2018">
      <c r="A2018" t="s">
        <v>22</v>
      </c>
      <c r="B2018" t="s">
        <v>13921</v>
      </c>
      <c r="C2018" t="s">
        <v>24</v>
      </c>
      <c r="D2018" t="s">
        <v>13922</v>
      </c>
      <c r="E2018" t="s">
        <v>13923</v>
      </c>
      <c r="F2018" s="2" t="n">
        <f>HYPERLINK("https://patents.google.com/patent/US20210290751","Google")</f>
        <v>0.0</v>
      </c>
      <c r="G2018" s="2" t="n">
        <f>HYPERLINK("https://patentcenter.uspto.gov/applications/17108004","Patent Center")</f>
        <v>0.0</v>
      </c>
      <c r="H2018" s="2" t="n">
        <f>HYPERLINK("https://worldwide.espacenet.com/patent/search?q=US20210290751","Espacenet")</f>
        <v>0.0</v>
      </c>
      <c r="I2018" s="2" t="n">
        <f>HYPERLINK("https://ppubs.uspto.gov/pubwebapp/external.html?q=20210290751.pn.","USPTO")</f>
        <v>0.0</v>
      </c>
      <c r="J2018" s="2" t="n">
        <f>HYPERLINK("https://image-ppubs.uspto.gov/dirsearch-public/print/downloadPdf/20210290751","USPTO PDF")</f>
        <v>0.0</v>
      </c>
      <c r="K2018" s="2" t="n">
        <f>HYPERLINK("https://sectors.patentforecast.com/pmd/US20210290751","PMD")</f>
        <v>0.0</v>
      </c>
      <c r="L2018" s="2" t="n">
        <f>HYPERLINK("https://globaldossier.uspto.gov/result/application/US/17108004/1","US20210290751")</f>
        <v>0.0</v>
      </c>
      <c r="M2018" t="s">
        <v>13924</v>
      </c>
      <c r="N2018" t="s">
        <v>13925</v>
      </c>
      <c r="O2018" t="s">
        <v>13925</v>
      </c>
      <c r="P2018" t="s">
        <v>13926</v>
      </c>
      <c r="Q2018" s="3" t="n">
        <v>44166.0</v>
      </c>
      <c r="R2018" s="3" t="n">
        <v>44462.0</v>
      </c>
      <c r="S2018" s="3" t="n">
        <v>44463.23092288194</v>
      </c>
      <c r="T2018" s="3" t="n">
        <v>44463.71856931713</v>
      </c>
      <c r="U2018" t="s">
        <v>13927</v>
      </c>
      <c r="V2018" t="s">
        <v>13928</v>
      </c>
    </row>
    <row r="2019">
      <c r="A2019" t="s">
        <v>22</v>
      </c>
      <c r="B2019" t="s">
        <v>13929</v>
      </c>
      <c r="C2019" t="s">
        <v>60</v>
      </c>
      <c r="D2019" t="s">
        <v>61</v>
      </c>
      <c r="E2019" t="s">
        <v>13930</v>
      </c>
      <c r="F2019" s="2" t="n">
        <f>HYPERLINK("https://patents.google.com/patent/US20210290728","Google")</f>
        <v>0.0</v>
      </c>
      <c r="G2019" s="2" t="n">
        <f>HYPERLINK("https://patentcenter.uspto.gov/applications/17197580","Patent Center")</f>
        <v>0.0</v>
      </c>
      <c r="H2019" s="2" t="n">
        <f>HYPERLINK("https://worldwide.espacenet.com/patent/search?q=US20210290728","Espacenet")</f>
        <v>0.0</v>
      </c>
      <c r="I2019" s="2" t="n">
        <f>HYPERLINK("https://ppubs.uspto.gov/pubwebapp/external.html?q=20210290728.pn.","USPTO")</f>
        <v>0.0</v>
      </c>
      <c r="J2019" s="2" t="n">
        <f>HYPERLINK("https://image-ppubs.uspto.gov/dirsearch-public/print/downloadPdf/20210290728","USPTO PDF")</f>
        <v>0.0</v>
      </c>
      <c r="K2019" s="2" t="n">
        <f>HYPERLINK("https://sectors.patentforecast.com/pmd/US20210290728","PMD")</f>
        <v>0.0</v>
      </c>
      <c r="L2019" s="2" t="n">
        <f>HYPERLINK("https://globaldossier.uspto.gov/result/application/US/17197580/1","US20210290728")</f>
        <v>0.0</v>
      </c>
      <c r="M2019" t="s">
        <v>13931</v>
      </c>
      <c r="N2019" t="s">
        <v>13932</v>
      </c>
      <c r="O2019" t="s">
        <v>13933</v>
      </c>
      <c r="P2019" t="s">
        <v>13934</v>
      </c>
      <c r="Q2019" s="3" t="n">
        <v>44265.0</v>
      </c>
      <c r="R2019" s="3" t="n">
        <v>44462.0</v>
      </c>
      <c r="S2019" s="3" t="n">
        <v>44463.23092288194</v>
      </c>
      <c r="T2019" s="3" t="n">
        <v>44466.36676011574</v>
      </c>
      <c r="U2019" t="s">
        <v>13935</v>
      </c>
      <c r="V2019" t="s">
        <v>13936</v>
      </c>
    </row>
    <row r="2020">
      <c r="A2020" t="s">
        <v>22</v>
      </c>
      <c r="B2020" t="s">
        <v>13937</v>
      </c>
      <c r="C2020" t="s">
        <v>60</v>
      </c>
      <c r="D2020" t="s">
        <v>4942</v>
      </c>
      <c r="E2020" t="s">
        <v>1804</v>
      </c>
      <c r="F2020" s="2" t="n">
        <f>HYPERLINK("https://patents.google.com/patent/US20210290718","Google")</f>
        <v>0.0</v>
      </c>
      <c r="G2020" s="2" t="n">
        <f>HYPERLINK("https://patentcenter.uspto.gov/applications/16953674","Patent Center")</f>
        <v>0.0</v>
      </c>
      <c r="H2020" s="2" t="n">
        <f>HYPERLINK("https://worldwide.espacenet.com/patent/search?q=US20210290718","Espacenet")</f>
        <v>0.0</v>
      </c>
      <c r="I2020" s="2" t="n">
        <f>HYPERLINK("https://ppubs.uspto.gov/pubwebapp/external.html?q=20210290718.pn.","USPTO")</f>
        <v>0.0</v>
      </c>
      <c r="J2020" s="2" t="n">
        <f>HYPERLINK("https://image-ppubs.uspto.gov/dirsearch-public/print/downloadPdf/20210290718","USPTO PDF")</f>
        <v>0.0</v>
      </c>
      <c r="K2020" s="2" t="n">
        <f>HYPERLINK("https://sectors.patentforecast.com/pmd/US20210290718","PMD")</f>
        <v>0.0</v>
      </c>
      <c r="L2020" s="2" t="n">
        <f>HYPERLINK("https://globaldossier.uspto.gov/result/application/US/16953674/1","US20210290718")</f>
        <v>0.0</v>
      </c>
      <c r="M2020" t="s">
        <v>13938</v>
      </c>
      <c r="N2020" t="s">
        <v>1806</v>
      </c>
      <c r="O2020" t="s">
        <v>1806</v>
      </c>
      <c r="P2020" t="s">
        <v>1807</v>
      </c>
      <c r="Q2020" s="3" t="n">
        <v>44155.0</v>
      </c>
      <c r="R2020" s="3" t="n">
        <v>44462.0</v>
      </c>
      <c r="S2020" s="3" t="n">
        <v>44463.23092288194</v>
      </c>
      <c r="T2020" s="3" t="n">
        <v>44463.7173708912</v>
      </c>
      <c r="U2020" t="s">
        <v>13939</v>
      </c>
      <c r="V2020" t="s">
        <v>13940</v>
      </c>
    </row>
    <row r="2021">
      <c r="A2021" t="s">
        <v>22</v>
      </c>
      <c r="B2021" t="s">
        <v>13941</v>
      </c>
      <c r="C2021" t="s">
        <v>60</v>
      </c>
      <c r="D2021" t="s">
        <v>4942</v>
      </c>
      <c r="E2021" t="s">
        <v>13942</v>
      </c>
      <c r="F2021" s="2" t="n">
        <f>HYPERLINK("https://patents.google.com/patent/US20210290697","Google")</f>
        <v>0.0</v>
      </c>
      <c r="G2021" s="2" t="n">
        <f>HYPERLINK("https://patentcenter.uspto.gov/applications/17200585","Patent Center")</f>
        <v>0.0</v>
      </c>
      <c r="H2021" s="2" t="n">
        <f>HYPERLINK("https://worldwide.espacenet.com/patent/search?q=US20210290697","Espacenet")</f>
        <v>0.0</v>
      </c>
      <c r="I2021" s="2" t="n">
        <f>HYPERLINK("https://ppubs.uspto.gov/pubwebapp/external.html?q=20210290697.pn.","USPTO")</f>
        <v>0.0</v>
      </c>
      <c r="J2021" s="2" t="n">
        <f>HYPERLINK("https://image-ppubs.uspto.gov/dirsearch-public/print/downloadPdf/20210290697","USPTO PDF")</f>
        <v>0.0</v>
      </c>
      <c r="K2021" s="2" t="n">
        <f>HYPERLINK("https://sectors.patentforecast.com/pmd/US20210290697","PMD")</f>
        <v>0.0</v>
      </c>
      <c r="L2021" s="2" t="n">
        <f>HYPERLINK("https://globaldossier.uspto.gov/result/application/US/17200585/1","US20210290697")</f>
        <v>0.0</v>
      </c>
      <c r="M2021" t="s">
        <v>13943</v>
      </c>
      <c r="N2021" t="s">
        <v>1806</v>
      </c>
      <c r="O2021" t="s">
        <v>1806</v>
      </c>
      <c r="P2021" t="s">
        <v>1807</v>
      </c>
      <c r="Q2021" s="3" t="n">
        <v>44267.0</v>
      </c>
      <c r="R2021" s="3" t="n">
        <v>44462.0</v>
      </c>
      <c r="S2021" s="3" t="n">
        <v>44463.23092288194</v>
      </c>
      <c r="T2021" s="3" t="n">
        <v>44463.72121570602</v>
      </c>
      <c r="U2021" t="s">
        <v>13944</v>
      </c>
      <c r="V2021" t="s">
        <v>13945</v>
      </c>
    </row>
    <row r="2022">
      <c r="A2022" t="s">
        <v>22</v>
      </c>
      <c r="B2022" t="s">
        <v>13946</v>
      </c>
      <c r="C2022" t="s">
        <v>60</v>
      </c>
      <c r="D2022" t="s">
        <v>61</v>
      </c>
      <c r="E2022" t="s">
        <v>13947</v>
      </c>
      <c r="F2022" s="2" t="n">
        <f>HYPERLINK("https://patents.google.com/patent/US20210290692","Google")</f>
        <v>0.0</v>
      </c>
      <c r="G2022" s="2" t="n">
        <f>HYPERLINK("https://patentcenter.uspto.gov/applications/17206041","Patent Center")</f>
        <v>0.0</v>
      </c>
      <c r="H2022" s="2" t="n">
        <f>HYPERLINK("https://worldwide.espacenet.com/patent/search?q=US20210290692","Espacenet")</f>
        <v>0.0</v>
      </c>
      <c r="I2022" s="2" t="n">
        <f>HYPERLINK("https://ppubs.uspto.gov/pubwebapp/external.html?q=20210290692.pn.","USPTO")</f>
        <v>0.0</v>
      </c>
      <c r="J2022" s="2" t="n">
        <f>HYPERLINK("https://image-ppubs.uspto.gov/dirsearch-public/print/downloadPdf/20210290692","USPTO PDF")</f>
        <v>0.0</v>
      </c>
      <c r="K2022" s="2" t="n">
        <f>HYPERLINK("https://sectors.patentforecast.com/pmd/US20210290692","PMD")</f>
        <v>0.0</v>
      </c>
      <c r="L2022" s="2" t="n">
        <f>HYPERLINK("https://globaldossier.uspto.gov/result/application/US/17206041/1","US20210290692")</f>
        <v>0.0</v>
      </c>
      <c r="M2022" t="s">
        <v>13948</v>
      </c>
      <c r="N2022" t="s">
        <v>13949</v>
      </c>
      <c r="O2022" t="s">
        <v>13949</v>
      </c>
      <c r="P2022" t="s">
        <v>13950</v>
      </c>
      <c r="Q2022" s="3" t="n">
        <v>44273.0</v>
      </c>
      <c r="R2022" s="3" t="n">
        <v>44462.0</v>
      </c>
      <c r="S2022" s="3" t="n">
        <v>44463.23092288194</v>
      </c>
      <c r="T2022" s="3" t="n">
        <v>44466.36501262731</v>
      </c>
      <c r="U2022" t="s">
        <v>13951</v>
      </c>
      <c r="V2022" t="s">
        <v>13952</v>
      </c>
    </row>
    <row r="2023">
      <c r="A2023" t="s">
        <v>22</v>
      </c>
      <c r="B2023" t="s">
        <v>13953</v>
      </c>
      <c r="C2023" t="s">
        <v>60</v>
      </c>
      <c r="D2023" t="s">
        <v>61</v>
      </c>
      <c r="E2023" t="s">
        <v>12610</v>
      </c>
      <c r="F2023" s="2" t="n">
        <f>HYPERLINK("https://patents.google.com/patent/US20210290651","Google")</f>
        <v>0.0</v>
      </c>
      <c r="G2023" s="2" t="n">
        <f>HYPERLINK("https://patentcenter.uspto.gov/applications/17207500","Patent Center")</f>
        <v>0.0</v>
      </c>
      <c r="H2023" s="2" t="n">
        <f>HYPERLINK("https://worldwide.espacenet.com/patent/search?q=US20210290651","Espacenet")</f>
        <v>0.0</v>
      </c>
      <c r="I2023" s="2" t="n">
        <f>HYPERLINK("https://ppubs.uspto.gov/pubwebapp/external.html?q=20210290651.pn.","USPTO")</f>
        <v>0.0</v>
      </c>
      <c r="J2023" s="2" t="n">
        <f>HYPERLINK("https://image-ppubs.uspto.gov/dirsearch-public/print/downloadPdf/20210290651","USPTO PDF")</f>
        <v>0.0</v>
      </c>
      <c r="K2023" s="2" t="n">
        <f>HYPERLINK("https://sectors.patentforecast.com/pmd/US20210290651","PMD")</f>
        <v>0.0</v>
      </c>
      <c r="L2023" s="2" t="n">
        <f>HYPERLINK("https://globaldossier.uspto.gov/result/application/US/17207500/1","US20210290651")</f>
        <v>0.0</v>
      </c>
      <c r="M2023" t="s">
        <v>13954</v>
      </c>
      <c r="N2023" t="s">
        <v>12612</v>
      </c>
      <c r="O2023" t="s">
        <v>12613</v>
      </c>
      <c r="P2023" t="s">
        <v>12614</v>
      </c>
      <c r="Q2023" s="3" t="n">
        <v>44274.0</v>
      </c>
      <c r="R2023" s="3" t="n">
        <v>44462.0</v>
      </c>
      <c r="S2023" s="3" t="n">
        <v>44463.22953195602</v>
      </c>
      <c r="T2023" s="3" t="n">
        <v>44463.7304199537</v>
      </c>
      <c r="U2023" t="s">
        <v>13955</v>
      </c>
      <c r="V2023" t="s">
        <v>12616</v>
      </c>
    </row>
    <row r="2024">
      <c r="A2024" t="s">
        <v>22</v>
      </c>
      <c r="B2024" t="s">
        <v>13956</v>
      </c>
      <c r="C2024" t="s">
        <v>60</v>
      </c>
      <c r="D2024" t="s">
        <v>61</v>
      </c>
      <c r="E2024" t="s">
        <v>13957</v>
      </c>
      <c r="F2024" s="2" t="n">
        <f>HYPERLINK("https://patents.google.com/patent/US20210290650","Google")</f>
        <v>0.0</v>
      </c>
      <c r="G2024" s="2" t="n">
        <f>HYPERLINK("https://patentcenter.uspto.gov/applications/17126715","Patent Center")</f>
        <v>0.0</v>
      </c>
      <c r="H2024" s="2" t="n">
        <f>HYPERLINK("https://worldwide.espacenet.com/patent/search?q=US20210290650","Espacenet")</f>
        <v>0.0</v>
      </c>
      <c r="I2024" s="2" t="n">
        <f>HYPERLINK("https://ppubs.uspto.gov/pubwebapp/external.html?q=20210290650.pn.","USPTO")</f>
        <v>0.0</v>
      </c>
      <c r="J2024" s="2" t="n">
        <f>HYPERLINK("https://image-ppubs.uspto.gov/dirsearch-public/print/downloadPdf/20210290650","USPTO PDF")</f>
        <v>0.0</v>
      </c>
      <c r="K2024" s="2" t="n">
        <f>HYPERLINK("https://sectors.patentforecast.com/pmd/US20210290650","PMD")</f>
        <v>0.0</v>
      </c>
      <c r="L2024" s="2" t="n">
        <f>HYPERLINK("https://globaldossier.uspto.gov/result/application/US/17126715/1","US20210290650")</f>
        <v>0.0</v>
      </c>
      <c r="M2024" t="s">
        <v>13958</v>
      </c>
      <c r="N2024" t="s">
        <v>1806</v>
      </c>
      <c r="O2024" t="s">
        <v>1806</v>
      </c>
      <c r="P2024" t="s">
        <v>1807</v>
      </c>
      <c r="Q2024" s="3" t="n">
        <v>44183.0</v>
      </c>
      <c r="R2024" s="3" t="n">
        <v>44462.0</v>
      </c>
      <c r="S2024" s="3" t="n">
        <v>44463.23092288194</v>
      </c>
      <c r="T2024" s="3" t="n">
        <v>44463.721448275464</v>
      </c>
      <c r="U2024" t="s">
        <v>13959</v>
      </c>
      <c r="V2024" t="s">
        <v>13960</v>
      </c>
    </row>
    <row r="2025">
      <c r="A2025" t="s">
        <v>22</v>
      </c>
      <c r="B2025" t="s">
        <v>13961</v>
      </c>
      <c r="C2025" t="s">
        <v>24</v>
      </c>
      <c r="D2025" t="s">
        <v>69</v>
      </c>
      <c r="E2025" t="s">
        <v>13962</v>
      </c>
      <c r="F2025" s="2" t="n">
        <f>HYPERLINK("https://patents.google.com/patent/US20210290649","Google")</f>
        <v>0.0</v>
      </c>
      <c r="G2025" s="2" t="n">
        <f>HYPERLINK("https://patentcenter.uspto.gov/applications/17026051","Patent Center")</f>
        <v>0.0</v>
      </c>
      <c r="H2025" s="2" t="n">
        <f>HYPERLINK("https://worldwide.espacenet.com/patent/search?q=US20210290649","Espacenet")</f>
        <v>0.0</v>
      </c>
      <c r="I2025" s="2" t="n">
        <f>HYPERLINK("https://ppubs.uspto.gov/pubwebapp/external.html?q=20210290649.pn.","USPTO")</f>
        <v>0.0</v>
      </c>
      <c r="J2025" s="2" t="n">
        <f>HYPERLINK("https://image-ppubs.uspto.gov/dirsearch-public/print/downloadPdf/20210290649","USPTO PDF")</f>
        <v>0.0</v>
      </c>
      <c r="K2025" s="2" t="n">
        <f>HYPERLINK("https://sectors.patentforecast.com/pmd/US20210290649","PMD")</f>
        <v>0.0</v>
      </c>
      <c r="L2025" s="2" t="n">
        <f>HYPERLINK("https://globaldossier.uspto.gov/result/application/US/17026051/1","US20210290649")</f>
        <v>0.0</v>
      </c>
      <c r="M2025" t="s">
        <v>13963</v>
      </c>
      <c r="N2025" t="s">
        <v>1806</v>
      </c>
      <c r="O2025" t="s">
        <v>1806</v>
      </c>
      <c r="P2025" t="s">
        <v>1807</v>
      </c>
      <c r="Q2025" s="3" t="n">
        <v>44092.0</v>
      </c>
      <c r="R2025" s="3" t="n">
        <v>44462.0</v>
      </c>
      <c r="S2025" s="3" t="n">
        <v>44463.23092288194</v>
      </c>
      <c r="T2025" s="3" t="n">
        <v>44463.72182172454</v>
      </c>
      <c r="U2025" t="s">
        <v>13959</v>
      </c>
      <c r="V2025" t="s">
        <v>13964</v>
      </c>
    </row>
    <row r="2026">
      <c r="A2026" t="s">
        <v>22</v>
      </c>
      <c r="B2026" t="s">
        <v>13965</v>
      </c>
      <c r="C2026" t="s">
        <v>60</v>
      </c>
      <c r="D2026" t="s">
        <v>61</v>
      </c>
      <c r="E2026" t="s">
        <v>13966</v>
      </c>
      <c r="F2026" s="2" t="n">
        <f>HYPERLINK("https://patents.google.com/patent/US20210290600","Google")</f>
        <v>0.0</v>
      </c>
      <c r="G2026" s="2" t="n">
        <f>HYPERLINK("https://patentcenter.uspto.gov/applications/17197105","Patent Center")</f>
        <v>0.0</v>
      </c>
      <c r="H2026" s="2" t="n">
        <f>HYPERLINK("https://worldwide.espacenet.com/patent/search?q=US20210290600","Espacenet")</f>
        <v>0.0</v>
      </c>
      <c r="I2026" s="2" t="n">
        <f>HYPERLINK("https://ppubs.uspto.gov/pubwebapp/external.html?q=20210290600.pn.","USPTO")</f>
        <v>0.0</v>
      </c>
      <c r="J2026" s="2" t="n">
        <f>HYPERLINK("https://image-ppubs.uspto.gov/dirsearch-public/print/downloadPdf/20210290600","USPTO PDF")</f>
        <v>0.0</v>
      </c>
      <c r="K2026" s="2" t="n">
        <f>HYPERLINK("https://sectors.patentforecast.com/pmd/US20210290600","PMD")</f>
        <v>0.0</v>
      </c>
      <c r="L2026" s="2" t="n">
        <f>HYPERLINK("https://globaldossier.uspto.gov/result/application/US/17197105/1","US20210290600")</f>
        <v>0.0</v>
      </c>
      <c r="M2026" t="s">
        <v>13967</v>
      </c>
      <c r="N2026" t="s">
        <v>13968</v>
      </c>
      <c r="O2026" t="s">
        <v>13969</v>
      </c>
      <c r="P2026" t="s">
        <v>13970</v>
      </c>
      <c r="Q2026" s="3" t="n">
        <v>44265.0</v>
      </c>
      <c r="R2026" s="3" t="n">
        <v>44462.0</v>
      </c>
      <c r="S2026" s="3" t="n">
        <v>44463.23092288194</v>
      </c>
      <c r="T2026" s="3" t="n">
        <v>44466.35695395833</v>
      </c>
      <c r="U2026" t="s">
        <v>13971</v>
      </c>
      <c r="V2026" t="s">
        <v>13972</v>
      </c>
    </row>
    <row r="2027">
      <c r="A2027" t="s">
        <v>22</v>
      </c>
      <c r="B2027" t="s">
        <v>13973</v>
      </c>
      <c r="C2027" t="s">
        <v>60</v>
      </c>
      <c r="D2027" t="s">
        <v>61</v>
      </c>
      <c r="E2027" t="s">
        <v>8856</v>
      </c>
      <c r="F2027" s="2" t="n">
        <f>HYPERLINK("https://patents.google.com/patent/US20210290596","Google")</f>
        <v>0.0</v>
      </c>
      <c r="G2027" s="2" t="n">
        <f>HYPERLINK("https://patentcenter.uspto.gov/applications/17113416","Patent Center")</f>
        <v>0.0</v>
      </c>
      <c r="H2027" s="2" t="n">
        <f>HYPERLINK("https://worldwide.espacenet.com/patent/search?q=US20210290596","Espacenet")</f>
        <v>0.0</v>
      </c>
      <c r="I2027" s="2" t="n">
        <f>HYPERLINK("https://ppubs.uspto.gov/pubwebapp/external.html?q=20210290596.pn.","USPTO")</f>
        <v>0.0</v>
      </c>
      <c r="J2027" s="2" t="n">
        <f>HYPERLINK("https://image-ppubs.uspto.gov/dirsearch-public/print/downloadPdf/20210290596","USPTO PDF")</f>
        <v>0.0</v>
      </c>
      <c r="K2027" s="2" t="n">
        <f>HYPERLINK("https://sectors.patentforecast.com/pmd/US20210290596","PMD")</f>
        <v>0.0</v>
      </c>
      <c r="L2027" s="2" t="n">
        <f>HYPERLINK("https://globaldossier.uspto.gov/result/application/US/17113416/1","US20210290596")</f>
        <v>0.0</v>
      </c>
      <c r="M2027" t="s">
        <v>13974</v>
      </c>
      <c r="N2027" t="s">
        <v>8858</v>
      </c>
      <c r="O2027" t="s">
        <v>8859</v>
      </c>
      <c r="P2027" t="s">
        <v>8860</v>
      </c>
      <c r="Q2027" s="3" t="n">
        <v>44172.0</v>
      </c>
      <c r="R2027" s="3" t="n">
        <v>44462.0</v>
      </c>
      <c r="S2027" s="3" t="n">
        <v>44463.23092288194</v>
      </c>
      <c r="T2027" s="3" t="n">
        <v>44466.371906851855</v>
      </c>
      <c r="U2027" t="s">
        <v>13975</v>
      </c>
      <c r="V2027" t="s">
        <v>13976</v>
      </c>
    </row>
    <row r="2028">
      <c r="A2028" t="s">
        <v>22</v>
      </c>
      <c r="B2028" t="s">
        <v>13977</v>
      </c>
      <c r="C2028" t="s">
        <v>60</v>
      </c>
      <c r="D2028" t="s">
        <v>61</v>
      </c>
      <c r="E2028" t="s">
        <v>13978</v>
      </c>
      <c r="F2028" s="2" t="n">
        <f>HYPERLINK("https://patents.google.com/patent/US20210290567","Google")</f>
        <v>0.0</v>
      </c>
      <c r="G2028" s="2" t="n">
        <f>HYPERLINK("https://patentcenter.uspto.gov/applications/17197100","Patent Center")</f>
        <v>0.0</v>
      </c>
      <c r="H2028" s="2" t="n">
        <f>HYPERLINK("https://worldwide.espacenet.com/patent/search?q=US20210290567","Espacenet")</f>
        <v>0.0</v>
      </c>
      <c r="I2028" s="2" t="n">
        <f>HYPERLINK("https://ppubs.uspto.gov/pubwebapp/external.html?q=20210290567.pn.","USPTO")</f>
        <v>0.0</v>
      </c>
      <c r="J2028" s="2" t="n">
        <f>HYPERLINK("https://image-ppubs.uspto.gov/dirsearch-public/print/downloadPdf/20210290567","USPTO PDF")</f>
        <v>0.0</v>
      </c>
      <c r="K2028" s="2" t="n">
        <f>HYPERLINK("https://sectors.patentforecast.com/pmd/US20210290567","PMD")</f>
        <v>0.0</v>
      </c>
      <c r="L2028" s="2" t="n">
        <f>HYPERLINK("https://globaldossier.uspto.gov/result/application/US/17197100/1","US20210290567")</f>
        <v>0.0</v>
      </c>
      <c r="M2028" t="s">
        <v>13979</v>
      </c>
      <c r="N2028" t="s">
        <v>13968</v>
      </c>
      <c r="O2028" t="s">
        <v>13969</v>
      </c>
      <c r="P2028" t="s">
        <v>13970</v>
      </c>
      <c r="Q2028" s="3" t="n">
        <v>44265.0</v>
      </c>
      <c r="R2028" s="3" t="n">
        <v>44462.0</v>
      </c>
      <c r="S2028" s="3" t="n">
        <v>44463.23092288194</v>
      </c>
      <c r="T2028" s="3" t="n">
        <v>44466.35695395833</v>
      </c>
      <c r="U2028" t="s">
        <v>13980</v>
      </c>
      <c r="V2028" t="s">
        <v>13972</v>
      </c>
    </row>
    <row r="2029">
      <c r="A2029" t="s">
        <v>22</v>
      </c>
      <c r="B2029" t="s">
        <v>13981</v>
      </c>
      <c r="C2029" t="s">
        <v>60</v>
      </c>
      <c r="D2029" t="s">
        <v>61</v>
      </c>
      <c r="E2029" t="s">
        <v>13982</v>
      </c>
      <c r="F2029" s="2" t="n">
        <f>HYPERLINK("https://patents.google.com/patent/US20210290531","Google")</f>
        <v>0.0</v>
      </c>
      <c r="G2029" s="2" t="n">
        <f>HYPERLINK("https://patentcenter.uspto.gov/applications/17220479","Patent Center")</f>
        <v>0.0</v>
      </c>
      <c r="H2029" s="2" t="n">
        <f>HYPERLINK("https://worldwide.espacenet.com/patent/search?q=US20210290531","Espacenet")</f>
        <v>0.0</v>
      </c>
      <c r="I2029" s="2" t="n">
        <f>HYPERLINK("https://ppubs.uspto.gov/pubwebapp/external.html?q=20210290531.pn.","USPTO")</f>
        <v>0.0</v>
      </c>
      <c r="J2029" s="2" t="n">
        <f>HYPERLINK("https://image-ppubs.uspto.gov/dirsearch-public/print/downloadPdf/20210290531","USPTO PDF")</f>
        <v>0.0</v>
      </c>
      <c r="K2029" s="2" t="n">
        <f>HYPERLINK("https://sectors.patentforecast.com/pmd/US20210290531","PMD")</f>
        <v>0.0</v>
      </c>
      <c r="L2029" s="2" t="n">
        <f>HYPERLINK("https://globaldossier.uspto.gov/result/application/US/17220479/1","US20210290531")</f>
        <v>0.0</v>
      </c>
      <c r="M2029" t="s">
        <v>13983</v>
      </c>
      <c r="N2029" t="s">
        <v>10814</v>
      </c>
      <c r="O2029" t="s">
        <v>10815</v>
      </c>
      <c r="P2029" t="s">
        <v>13984</v>
      </c>
      <c r="Q2029" s="3" t="n">
        <v>44287.0</v>
      </c>
      <c r="R2029" s="3" t="n">
        <v>44462.0</v>
      </c>
      <c r="S2029" s="3" t="n">
        <v>44463.23092288194</v>
      </c>
      <c r="T2029" s="3" t="n">
        <v>44466.3723372338</v>
      </c>
      <c r="U2029" t="s">
        <v>13985</v>
      </c>
      <c r="V2029" t="s">
        <v>13986</v>
      </c>
    </row>
    <row r="2030">
      <c r="A2030" t="s">
        <v>22</v>
      </c>
      <c r="B2030" t="s">
        <v>13987</v>
      </c>
      <c r="C2030" t="s">
        <v>24</v>
      </c>
      <c r="D2030" t="s">
        <v>25</v>
      </c>
      <c r="E2030" t="s">
        <v>13988</v>
      </c>
      <c r="F2030" s="2" t="n">
        <f>HYPERLINK("https://patents.google.com/patent/US20210290205","Google")</f>
        <v>0.0</v>
      </c>
      <c r="G2030" s="2" t="n">
        <f>HYPERLINK("https://patentcenter.uspto.gov/applications/17210474","Patent Center")</f>
        <v>0.0</v>
      </c>
      <c r="H2030" s="2" t="n">
        <f>HYPERLINK("https://worldwide.espacenet.com/patent/search?q=US20210290205","Espacenet")</f>
        <v>0.0</v>
      </c>
      <c r="I2030" s="2" t="n">
        <f>HYPERLINK("https://ppubs.uspto.gov/pubwebapp/external.html?q=20210290205.pn.","USPTO")</f>
        <v>0.0</v>
      </c>
      <c r="J2030" s="2" t="n">
        <f>HYPERLINK("https://image-ppubs.uspto.gov/dirsearch-public/print/downloadPdf/20210290205","USPTO PDF")</f>
        <v>0.0</v>
      </c>
      <c r="K2030" s="2" t="n">
        <f>HYPERLINK("https://sectors.patentforecast.com/pmd/US20210290205","PMD")</f>
        <v>0.0</v>
      </c>
      <c r="L2030" s="2" t="n">
        <f>HYPERLINK("https://globaldossier.uspto.gov/result/application/US/17210474/1","US20210290205")</f>
        <v>0.0</v>
      </c>
      <c r="M2030" t="s">
        <v>13989</v>
      </c>
      <c r="N2030" t="s">
        <v>11851</v>
      </c>
      <c r="O2030" t="s">
        <v>11852</v>
      </c>
      <c r="P2030" t="s">
        <v>11853</v>
      </c>
      <c r="Q2030" s="3" t="n">
        <v>44278.0</v>
      </c>
      <c r="R2030" s="3" t="n">
        <v>44462.0</v>
      </c>
      <c r="S2030" s="3" t="n">
        <v>44463.23092288194</v>
      </c>
      <c r="T2030" s="3" t="n">
        <v>44466.36638260417</v>
      </c>
      <c r="U2030" t="s">
        <v>13990</v>
      </c>
      <c r="V2030" t="s">
        <v>13991</v>
      </c>
    </row>
    <row r="2031">
      <c r="A2031" t="s">
        <v>22</v>
      </c>
      <c r="B2031" t="s">
        <v>13992</v>
      </c>
      <c r="C2031" t="s">
        <v>24</v>
      </c>
      <c r="D2031" t="s">
        <v>25</v>
      </c>
      <c r="E2031" t="s">
        <v>13993</v>
      </c>
      <c r="F2031" s="2" t="n">
        <f>HYPERLINK("https://patents.google.com/patent/US20210290184","Google")</f>
        <v>0.0</v>
      </c>
      <c r="G2031" s="2" t="n">
        <f>HYPERLINK("https://patentcenter.uspto.gov/applications/17207469","Patent Center")</f>
        <v>0.0</v>
      </c>
      <c r="H2031" s="2" t="n">
        <f>HYPERLINK("https://worldwide.espacenet.com/patent/search?q=US20210290184","Espacenet")</f>
        <v>0.0</v>
      </c>
      <c r="I2031" s="2" t="n">
        <f>HYPERLINK("https://ppubs.uspto.gov/pubwebapp/external.html?q=20210290184.pn.","USPTO")</f>
        <v>0.0</v>
      </c>
      <c r="J2031" s="2" t="n">
        <f>HYPERLINK("https://image-ppubs.uspto.gov/dirsearch-public/print/downloadPdf/20210290184","USPTO PDF")</f>
        <v>0.0</v>
      </c>
      <c r="K2031" s="2" t="n">
        <f>HYPERLINK("https://sectors.patentforecast.com/pmd/US20210290184","PMD")</f>
        <v>0.0</v>
      </c>
      <c r="L2031" s="2" t="n">
        <f>HYPERLINK("https://globaldossier.uspto.gov/result/application/US/17207469/1","US20210290184")</f>
        <v>0.0</v>
      </c>
      <c r="M2031" t="s">
        <v>13994</v>
      </c>
      <c r="N2031" t="s">
        <v>13657</v>
      </c>
      <c r="O2031" t="s">
        <v>13658</v>
      </c>
      <c r="P2031" t="s">
        <v>13995</v>
      </c>
      <c r="Q2031" s="3" t="n">
        <v>44274.0</v>
      </c>
      <c r="R2031" s="3" t="n">
        <v>44462.0</v>
      </c>
      <c r="S2031" s="3" t="n">
        <v>44463.23092288194</v>
      </c>
      <c r="T2031" s="3" t="n">
        <v>44466.36587782407</v>
      </c>
      <c r="U2031" t="s">
        <v>13996</v>
      </c>
      <c r="V2031" t="s">
        <v>13997</v>
      </c>
    </row>
    <row r="2032">
      <c r="A2032" t="s">
        <v>22</v>
      </c>
      <c r="B2032" t="s">
        <v>13998</v>
      </c>
      <c r="C2032" t="s">
        <v>24</v>
      </c>
      <c r="D2032" t="s">
        <v>25</v>
      </c>
      <c r="E2032" t="s">
        <v>13999</v>
      </c>
      <c r="F2032" s="2" t="n">
        <f>HYPERLINK("https://patents.google.com/patent/US20210290177","Google")</f>
        <v>0.0</v>
      </c>
      <c r="G2032" s="2" t="n">
        <f>HYPERLINK("https://patentcenter.uspto.gov/applications/17207055","Patent Center")</f>
        <v>0.0</v>
      </c>
      <c r="H2032" s="2" t="n">
        <f>HYPERLINK("https://worldwide.espacenet.com/patent/search?q=US20210290177","Espacenet")</f>
        <v>0.0</v>
      </c>
      <c r="I2032" s="2" t="n">
        <f>HYPERLINK("https://ppubs.uspto.gov/pubwebapp/external.html?q=20210290177.pn.","USPTO")</f>
        <v>0.0</v>
      </c>
      <c r="J2032" s="2" t="n">
        <f>HYPERLINK("https://image-ppubs.uspto.gov/dirsearch-public/print/downloadPdf/20210290177","USPTO PDF")</f>
        <v>0.0</v>
      </c>
      <c r="K2032" s="2" t="n">
        <f>HYPERLINK("https://sectors.patentforecast.com/pmd/US20210290177","PMD")</f>
        <v>0.0</v>
      </c>
      <c r="L2032" s="2" t="n">
        <f>HYPERLINK("https://globaldossier.uspto.gov/result/application/US/17207055/1","US20210290177")</f>
        <v>0.0</v>
      </c>
      <c r="M2032" t="s">
        <v>14000</v>
      </c>
      <c r="N2032" t="s">
        <v>13657</v>
      </c>
      <c r="O2032" t="s">
        <v>13658</v>
      </c>
      <c r="P2032" t="s">
        <v>13659</v>
      </c>
      <c r="Q2032" s="3" t="n">
        <v>44274.0</v>
      </c>
      <c r="R2032" s="3" t="n">
        <v>44462.0</v>
      </c>
      <c r="S2032" s="3" t="n">
        <v>44463.23092288194</v>
      </c>
      <c r="T2032" s="3" t="n">
        <v>44466.3660462037</v>
      </c>
      <c r="U2032" t="s">
        <v>14001</v>
      </c>
      <c r="V2032" t="s">
        <v>13661</v>
      </c>
    </row>
    <row r="2033">
      <c r="A2033" t="s">
        <v>22</v>
      </c>
      <c r="B2033" t="s">
        <v>14002</v>
      </c>
      <c r="C2033" t="s">
        <v>24</v>
      </c>
      <c r="D2033" t="s">
        <v>25</v>
      </c>
      <c r="E2033" t="s">
        <v>13993</v>
      </c>
      <c r="F2033" s="2" t="n">
        <f>HYPERLINK("https://patents.google.com/patent/US20210290080","Google")</f>
        <v>0.0</v>
      </c>
      <c r="G2033" s="2" t="n">
        <f>HYPERLINK("https://patentcenter.uspto.gov/applications/17207447","Patent Center")</f>
        <v>0.0</v>
      </c>
      <c r="H2033" s="2" t="n">
        <f>HYPERLINK("https://worldwide.espacenet.com/patent/search?q=US20210290080","Espacenet")</f>
        <v>0.0</v>
      </c>
      <c r="I2033" s="2" t="n">
        <f>HYPERLINK("https://ppubs.uspto.gov/pubwebapp/external.html?q=20210290080.pn.","USPTO")</f>
        <v>0.0</v>
      </c>
      <c r="J2033" s="2" t="n">
        <f>HYPERLINK("https://image-ppubs.uspto.gov/dirsearch-public/print/downloadPdf/20210290080","USPTO PDF")</f>
        <v>0.0</v>
      </c>
      <c r="K2033" s="2" t="n">
        <f>HYPERLINK("https://sectors.patentforecast.com/pmd/US20210290080","PMD")</f>
        <v>0.0</v>
      </c>
      <c r="L2033" s="2" t="n">
        <f>HYPERLINK("https://globaldossier.uspto.gov/result/application/US/17207447/1","US20210290080")</f>
        <v>0.0</v>
      </c>
      <c r="M2033" t="s">
        <v>14003</v>
      </c>
      <c r="N2033" t="s">
        <v>13657</v>
      </c>
      <c r="O2033" t="s">
        <v>13658</v>
      </c>
      <c r="P2033" t="s">
        <v>13995</v>
      </c>
      <c r="Q2033" s="3" t="n">
        <v>44274.0</v>
      </c>
      <c r="R2033" s="3" t="n">
        <v>44462.0</v>
      </c>
      <c r="S2033" s="3" t="n">
        <v>44463.23092288194</v>
      </c>
      <c r="T2033" s="3" t="n">
        <v>44466.36566113426</v>
      </c>
      <c r="U2033" t="s">
        <v>14004</v>
      </c>
      <c r="V2033" t="s">
        <v>13997</v>
      </c>
    </row>
    <row r="2034">
      <c r="A2034" t="s">
        <v>22</v>
      </c>
      <c r="B2034" t="s">
        <v>14005</v>
      </c>
      <c r="C2034" t="s">
        <v>24</v>
      </c>
      <c r="D2034" t="s">
        <v>25</v>
      </c>
      <c r="E2034" t="s">
        <v>13993</v>
      </c>
      <c r="F2034" s="2" t="n">
        <f>HYPERLINK("https://patents.google.com/patent/US20210290060","Google")</f>
        <v>0.0</v>
      </c>
      <c r="G2034" s="2" t="n">
        <f>HYPERLINK("https://patentcenter.uspto.gov/applications/17207441","Patent Center")</f>
        <v>0.0</v>
      </c>
      <c r="H2034" s="2" t="n">
        <f>HYPERLINK("https://worldwide.espacenet.com/patent/search?q=US20210290060","Espacenet")</f>
        <v>0.0</v>
      </c>
      <c r="I2034" s="2" t="n">
        <f>HYPERLINK("https://ppubs.uspto.gov/pubwebapp/external.html?q=20210290060.pn.","USPTO")</f>
        <v>0.0</v>
      </c>
      <c r="J2034" s="2" t="n">
        <f>HYPERLINK("https://image-ppubs.uspto.gov/dirsearch-public/print/downloadPdf/20210290060","USPTO PDF")</f>
        <v>0.0</v>
      </c>
      <c r="K2034" s="2" t="n">
        <f>HYPERLINK("https://sectors.patentforecast.com/pmd/US20210290060","PMD")</f>
        <v>0.0</v>
      </c>
      <c r="L2034" s="2" t="n">
        <f>HYPERLINK("https://globaldossier.uspto.gov/result/application/US/17207441/1","US20210290060")</f>
        <v>0.0</v>
      </c>
      <c r="M2034" t="s">
        <v>14006</v>
      </c>
      <c r="N2034" t="s">
        <v>13657</v>
      </c>
      <c r="O2034" t="s">
        <v>13658</v>
      </c>
      <c r="P2034" t="s">
        <v>13995</v>
      </c>
      <c r="Q2034" s="3" t="n">
        <v>44274.0</v>
      </c>
      <c r="R2034" s="3" t="n">
        <v>44462.0</v>
      </c>
      <c r="S2034" s="3" t="n">
        <v>44463.23092288194</v>
      </c>
      <c r="T2034" s="3" t="n">
        <v>44466.36587782407</v>
      </c>
      <c r="U2034" t="s">
        <v>14007</v>
      </c>
      <c r="V2034" t="s">
        <v>13997</v>
      </c>
    </row>
    <row r="2035">
      <c r="A2035" t="s">
        <v>22</v>
      </c>
      <c r="B2035" t="s">
        <v>14008</v>
      </c>
      <c r="C2035" t="s">
        <v>24</v>
      </c>
      <c r="D2035" t="s">
        <v>25</v>
      </c>
      <c r="E2035" t="s">
        <v>14009</v>
      </c>
      <c r="F2035" s="2" t="n">
        <f>HYPERLINK("https://patents.google.com/patent/US20210287806","Google")</f>
        <v>0.0</v>
      </c>
      <c r="G2035" s="2" t="n">
        <f>HYPERLINK("https://patentcenter.uspto.gov/applications/17003809","Patent Center")</f>
        <v>0.0</v>
      </c>
      <c r="H2035" s="2" t="n">
        <f>HYPERLINK("https://worldwide.espacenet.com/patent/search?q=US20210287806","Espacenet")</f>
        <v>0.0</v>
      </c>
      <c r="I2035" s="2" t="n">
        <f>HYPERLINK("https://ppubs.uspto.gov/pubwebapp/external.html?q=20210287806.pn.","USPTO")</f>
        <v>0.0</v>
      </c>
      <c r="J2035" s="2" t="n">
        <f>HYPERLINK("https://image-ppubs.uspto.gov/dirsearch-public/print/downloadPdf/20210287806","USPTO PDF")</f>
        <v>0.0</v>
      </c>
      <c r="K2035" s="2" t="n">
        <f>HYPERLINK("https://sectors.patentforecast.com/pmd/US20210287806","PMD")</f>
        <v>0.0</v>
      </c>
      <c r="L2035" s="2" t="n">
        <f>HYPERLINK("https://globaldossier.uspto.gov/result/application/US/17003809/1","US20210287806")</f>
        <v>0.0</v>
      </c>
      <c r="M2035" t="s">
        <v>14010</v>
      </c>
      <c r="N2035" t="s">
        <v>14011</v>
      </c>
      <c r="O2035" t="s">
        <v>14012</v>
      </c>
      <c r="P2035" t="s">
        <v>14013</v>
      </c>
      <c r="Q2035" s="3" t="n">
        <v>44069.0</v>
      </c>
      <c r="R2035" s="3" t="n">
        <v>44455.0</v>
      </c>
      <c r="S2035" s="3" t="n">
        <v>44456.23034671296</v>
      </c>
      <c r="T2035" s="3" t="n">
        <v>44459.41464663194</v>
      </c>
      <c r="U2035" t="s">
        <v>14014</v>
      </c>
      <c r="V2035" t="s">
        <v>14015</v>
      </c>
    </row>
    <row r="2036">
      <c r="A2036" t="s">
        <v>22</v>
      </c>
      <c r="B2036" t="s">
        <v>14016</v>
      </c>
      <c r="C2036" t="s">
        <v>24</v>
      </c>
      <c r="D2036" t="s">
        <v>34</v>
      </c>
      <c r="E2036" t="s">
        <v>14017</v>
      </c>
      <c r="F2036" s="2" t="n">
        <f>HYPERLINK("https://patents.google.com/patent/US20210287798","Google")</f>
        <v>0.0</v>
      </c>
      <c r="G2036" s="2" t="n">
        <f>HYPERLINK("https://patentcenter.uspto.gov/applications/17141448","Patent Center")</f>
        <v>0.0</v>
      </c>
      <c r="H2036" s="2" t="n">
        <f>HYPERLINK("https://worldwide.espacenet.com/patent/search?q=US20210287798","Espacenet")</f>
        <v>0.0</v>
      </c>
      <c r="I2036" s="2" t="n">
        <f>HYPERLINK("https://ppubs.uspto.gov/pubwebapp/external.html?q=20210287798.pn.","USPTO")</f>
        <v>0.0</v>
      </c>
      <c r="J2036" s="2" t="n">
        <f>HYPERLINK("https://image-ppubs.uspto.gov/dirsearch-public/print/downloadPdf/20210287798","USPTO PDF")</f>
        <v>0.0</v>
      </c>
      <c r="K2036" s="2" t="n">
        <f>HYPERLINK("https://sectors.patentforecast.com/pmd/US20210287798","PMD")</f>
        <v>0.0</v>
      </c>
      <c r="L2036" s="2" t="n">
        <f>HYPERLINK("https://globaldossier.uspto.gov/result/application/US/17141448/1","US20210287798")</f>
        <v>0.0</v>
      </c>
      <c r="M2036" t="s">
        <v>14018</v>
      </c>
      <c r="N2036" t="s">
        <v>14019</v>
      </c>
      <c r="O2036" t="s">
        <v>14020</v>
      </c>
      <c r="P2036" t="s">
        <v>14021</v>
      </c>
      <c r="Q2036" s="3" t="n">
        <v>44201.0</v>
      </c>
      <c r="R2036" s="3" t="n">
        <v>44455.0</v>
      </c>
      <c r="S2036" s="3" t="n">
        <v>44456.23034671296</v>
      </c>
      <c r="T2036" s="3" t="n">
        <v>44459.45738681713</v>
      </c>
      <c r="U2036" t="s">
        <v>14022</v>
      </c>
      <c r="V2036" t="s">
        <v>14023</v>
      </c>
    </row>
    <row r="2037">
      <c r="A2037" t="s">
        <v>22</v>
      </c>
      <c r="B2037" t="s">
        <v>14024</v>
      </c>
      <c r="C2037" t="s">
        <v>24</v>
      </c>
      <c r="D2037" t="s">
        <v>1356</v>
      </c>
      <c r="E2037" t="s">
        <v>14025</v>
      </c>
      <c r="F2037" s="2" t="n">
        <f>HYPERLINK("https://patents.google.com/patent/US20210287768","Google")</f>
        <v>0.0</v>
      </c>
      <c r="G2037" s="2" t="n">
        <f>HYPERLINK("https://patentcenter.uspto.gov/applications/17221827","Patent Center")</f>
        <v>0.0</v>
      </c>
      <c r="H2037" s="2" t="n">
        <f>HYPERLINK("https://worldwide.espacenet.com/patent/search?q=US20210287768","Espacenet")</f>
        <v>0.0</v>
      </c>
      <c r="I2037" s="2" t="n">
        <f>HYPERLINK("https://ppubs.uspto.gov/pubwebapp/external.html?q=20210287768.pn.","USPTO")</f>
        <v>0.0</v>
      </c>
      <c r="J2037" s="2" t="n">
        <f>HYPERLINK("https://image-ppubs.uspto.gov/dirsearch-public/print/downloadPdf/20210287768","USPTO PDF")</f>
        <v>0.0</v>
      </c>
      <c r="K2037" s="2" t="n">
        <f>HYPERLINK("https://sectors.patentforecast.com/pmd/US20210287768","PMD")</f>
        <v>0.0</v>
      </c>
      <c r="L2037" s="2" t="n">
        <f>HYPERLINK("https://globaldossier.uspto.gov/result/application/US/17221827/1","US20210287768")</f>
        <v>0.0</v>
      </c>
      <c r="M2037" t="s">
        <v>14026</v>
      </c>
      <c r="N2037" t="s">
        <v>14027</v>
      </c>
      <c r="O2037" t="s">
        <v>14027</v>
      </c>
      <c r="P2037" t="s">
        <v>14028</v>
      </c>
      <c r="Q2037" s="3" t="n">
        <v>44290.0</v>
      </c>
      <c r="R2037" s="3" t="n">
        <v>44455.0</v>
      </c>
      <c r="S2037" s="3" t="n">
        <v>44456.23034671296</v>
      </c>
      <c r="T2037" s="3" t="n">
        <v>44459.44920002315</v>
      </c>
      <c r="U2037" t="s">
        <v>14029</v>
      </c>
      <c r="V2037" t="s">
        <v>14030</v>
      </c>
    </row>
    <row r="2038">
      <c r="A2038" t="s">
        <v>22</v>
      </c>
      <c r="B2038" t="s">
        <v>14031</v>
      </c>
      <c r="C2038" t="s">
        <v>24</v>
      </c>
      <c r="D2038" t="s">
        <v>1356</v>
      </c>
      <c r="E2038" t="s">
        <v>14032</v>
      </c>
      <c r="F2038" s="2" t="n">
        <f>HYPERLINK("https://patents.google.com/patent/US20210286864","Google")</f>
        <v>0.0</v>
      </c>
      <c r="G2038" s="2" t="n">
        <f>HYPERLINK("https://patentcenter.uspto.gov/applications/16817844","Patent Center")</f>
        <v>0.0</v>
      </c>
      <c r="H2038" s="2" t="n">
        <f>HYPERLINK("https://worldwide.espacenet.com/patent/search?q=US20210286864","Espacenet")</f>
        <v>0.0</v>
      </c>
      <c r="I2038" s="2" t="n">
        <f>HYPERLINK("https://ppubs.uspto.gov/pubwebapp/external.html?q=20210286864.pn.","USPTO")</f>
        <v>0.0</v>
      </c>
      <c r="J2038" s="2" t="n">
        <f>HYPERLINK("https://image-ppubs.uspto.gov/dirsearch-public/print/downloadPdf/20210286864","USPTO PDF")</f>
        <v>0.0</v>
      </c>
      <c r="K2038" s="2" t="n">
        <f>HYPERLINK("https://sectors.patentforecast.com/pmd/US20210286864","PMD")</f>
        <v>0.0</v>
      </c>
      <c r="L2038" s="2" t="n">
        <f>HYPERLINK("https://globaldossier.uspto.gov/result/application/US/16817844/1","US20210286864")</f>
        <v>0.0</v>
      </c>
      <c r="M2038" t="s">
        <v>14033</v>
      </c>
      <c r="N2038" t="s">
        <v>14034</v>
      </c>
      <c r="O2038" t="s">
        <v>14035</v>
      </c>
      <c r="P2038" t="s">
        <v>14036</v>
      </c>
      <c r="Q2038" s="3" t="n">
        <v>43903.0</v>
      </c>
      <c r="R2038" s="3" t="n">
        <v>44455.0</v>
      </c>
      <c r="S2038" s="3" t="n">
        <v>44456.23034671296</v>
      </c>
      <c r="T2038" s="3" t="n">
        <v>44459.44920002315</v>
      </c>
      <c r="U2038" t="s">
        <v>14037</v>
      </c>
      <c r="V2038" t="s">
        <v>14038</v>
      </c>
    </row>
    <row r="2039">
      <c r="A2039" t="s">
        <v>22</v>
      </c>
      <c r="B2039" t="s">
        <v>14039</v>
      </c>
      <c r="C2039" t="s">
        <v>312</v>
      </c>
      <c r="D2039" t="s">
        <v>976</v>
      </c>
      <c r="E2039" t="s">
        <v>14040</v>
      </c>
      <c r="F2039" s="2" t="n">
        <f>HYPERLINK("https://patents.google.com/patent/US20210286843","Google")</f>
        <v>0.0</v>
      </c>
      <c r="G2039" s="2" t="n">
        <f>HYPERLINK("https://patentcenter.uspto.gov/applications/17333167","Patent Center")</f>
        <v>0.0</v>
      </c>
      <c r="H2039" s="2" t="n">
        <f>HYPERLINK("https://worldwide.espacenet.com/patent/search?q=US20210286843","Espacenet")</f>
        <v>0.0</v>
      </c>
      <c r="I2039" s="2" t="n">
        <f>HYPERLINK("https://ppubs.uspto.gov/pubwebapp/external.html?q=20210286843.pn.","USPTO")</f>
        <v>0.0</v>
      </c>
      <c r="J2039" s="2" t="n">
        <f>HYPERLINK("https://image-ppubs.uspto.gov/dirsearch-public/print/downloadPdf/20210286843","USPTO PDF")</f>
        <v>0.0</v>
      </c>
      <c r="K2039" s="2" t="n">
        <f>HYPERLINK("https://sectors.patentforecast.com/pmd/US20210286843","PMD")</f>
        <v>0.0</v>
      </c>
      <c r="L2039" s="2" t="n">
        <f>HYPERLINK("https://globaldossier.uspto.gov/result/application/US/17333167/1","US20210286843")</f>
        <v>0.0</v>
      </c>
      <c r="M2039" t="s">
        <v>14041</v>
      </c>
      <c r="N2039" t="s">
        <v>14042</v>
      </c>
      <c r="O2039" t="s">
        <v>14043</v>
      </c>
      <c r="P2039" t="s">
        <v>14044</v>
      </c>
      <c r="Q2039" s="3" t="n">
        <v>44344.0</v>
      </c>
      <c r="R2039" s="3" t="n">
        <v>44455.0</v>
      </c>
      <c r="S2039" s="3" t="n">
        <v>44456.23103167824</v>
      </c>
      <c r="T2039" s="3" t="n">
        <v>44459.41578333333</v>
      </c>
      <c r="U2039" t="s">
        <v>14045</v>
      </c>
      <c r="V2039" t="s">
        <v>14046</v>
      </c>
    </row>
    <row r="2040">
      <c r="A2040" t="s">
        <v>22</v>
      </c>
      <c r="B2040" t="s">
        <v>14047</v>
      </c>
      <c r="C2040" t="s">
        <v>24</v>
      </c>
      <c r="D2040" t="s">
        <v>51</v>
      </c>
      <c r="E2040" t="s">
        <v>14048</v>
      </c>
      <c r="F2040" s="2" t="n">
        <f>HYPERLINK("https://patents.google.com/patent/US20210285949","Google")</f>
        <v>0.0</v>
      </c>
      <c r="G2040" s="2" t="n">
        <f>HYPERLINK("https://patentcenter.uspto.gov/applications/17201518","Patent Center")</f>
        <v>0.0</v>
      </c>
      <c r="H2040" s="2" t="n">
        <f>HYPERLINK("https://worldwide.espacenet.com/patent/search?q=US20210285949","Espacenet")</f>
        <v>0.0</v>
      </c>
      <c r="I2040" s="2" t="n">
        <f>HYPERLINK("https://ppubs.uspto.gov/pubwebapp/external.html?q=20210285949.pn.","USPTO")</f>
        <v>0.0</v>
      </c>
      <c r="J2040" s="2" t="n">
        <f>HYPERLINK("https://image-ppubs.uspto.gov/dirsearch-public/print/downloadPdf/20210285949","USPTO PDF")</f>
        <v>0.0</v>
      </c>
      <c r="K2040" s="2" t="n">
        <f>HYPERLINK("https://sectors.patentforecast.com/pmd/US20210285949","PMD")</f>
        <v>0.0</v>
      </c>
      <c r="L2040" s="2" t="n">
        <f>HYPERLINK("https://globaldossier.uspto.gov/result/application/US/17201518/1","US20210285949")</f>
        <v>0.0</v>
      </c>
      <c r="M2040" t="s">
        <v>14049</v>
      </c>
      <c r="N2040" t="s">
        <v>14050</v>
      </c>
      <c r="O2040" t="s">
        <v>14051</v>
      </c>
      <c r="P2040" t="s">
        <v>14052</v>
      </c>
      <c r="Q2040" s="3" t="n">
        <v>44270.0</v>
      </c>
      <c r="R2040" s="3" t="n">
        <v>44455.0</v>
      </c>
      <c r="S2040" s="3" t="n">
        <v>44456.23034671296</v>
      </c>
      <c r="T2040" s="3" t="n">
        <v>44459.45692146991</v>
      </c>
      <c r="U2040" t="s">
        <v>14053</v>
      </c>
      <c r="V2040" t="s">
        <v>14054</v>
      </c>
    </row>
    <row r="2041">
      <c r="A2041" t="s">
        <v>22</v>
      </c>
      <c r="B2041" t="s">
        <v>14055</v>
      </c>
      <c r="C2041" t="s">
        <v>24</v>
      </c>
      <c r="D2041" t="s">
        <v>51</v>
      </c>
      <c r="E2041" t="s">
        <v>14056</v>
      </c>
      <c r="F2041" s="2" t="n">
        <f>HYPERLINK("https://patents.google.com/patent/US20210285943","Google")</f>
        <v>0.0</v>
      </c>
      <c r="G2041" s="2" t="n">
        <f>HYPERLINK("https://patentcenter.uspto.gov/applications/16855709","Patent Center")</f>
        <v>0.0</v>
      </c>
      <c r="H2041" s="2" t="n">
        <f>HYPERLINK("https://worldwide.espacenet.com/patent/search?q=US20210285943","Espacenet")</f>
        <v>0.0</v>
      </c>
      <c r="I2041" s="2" t="n">
        <f>HYPERLINK("https://ppubs.uspto.gov/pubwebapp/external.html?q=20210285943.pn.","USPTO")</f>
        <v>0.0</v>
      </c>
      <c r="J2041" s="2" t="n">
        <f>HYPERLINK("https://image-ppubs.uspto.gov/dirsearch-public/print/downloadPdf/20210285943","USPTO PDF")</f>
        <v>0.0</v>
      </c>
      <c r="K2041" s="2" t="n">
        <f>HYPERLINK("https://sectors.patentforecast.com/pmd/US20210285943","PMD")</f>
        <v>0.0</v>
      </c>
      <c r="L2041" s="2" t="n">
        <f>HYPERLINK("https://globaldossier.uspto.gov/result/application/US/16855709/1","US20210285943")</f>
        <v>0.0</v>
      </c>
      <c r="M2041" t="s">
        <v>14057</v>
      </c>
      <c r="N2041" t="s">
        <v>14058</v>
      </c>
      <c r="O2041" t="s">
        <v>14058</v>
      </c>
      <c r="P2041" t="s">
        <v>14059</v>
      </c>
      <c r="Q2041" s="3" t="n">
        <v>43943.0</v>
      </c>
      <c r="R2041" s="3" t="n">
        <v>44455.0</v>
      </c>
      <c r="S2041" s="3" t="n">
        <v>44456.229416689814</v>
      </c>
      <c r="T2041" s="3" t="n">
        <v>44459.410832291665</v>
      </c>
      <c r="U2041" t="s">
        <v>14060</v>
      </c>
      <c r="V2041" t="s">
        <v>14061</v>
      </c>
    </row>
    <row r="2042">
      <c r="A2042" t="s">
        <v>22</v>
      </c>
      <c r="B2042" t="s">
        <v>14062</v>
      </c>
      <c r="C2042" t="s">
        <v>24</v>
      </c>
      <c r="D2042" t="s">
        <v>51</v>
      </c>
      <c r="E2042" t="s">
        <v>14063</v>
      </c>
      <c r="F2042" s="2" t="n">
        <f>HYPERLINK("https://patents.google.com/patent/US20210285065","Google")</f>
        <v>0.0</v>
      </c>
      <c r="G2042" s="2" t="n">
        <f>HYPERLINK("https://patentcenter.uspto.gov/applications/17221451","Patent Center")</f>
        <v>0.0</v>
      </c>
      <c r="H2042" s="2" t="n">
        <f>HYPERLINK("https://worldwide.espacenet.com/patent/search?q=US20210285065","Espacenet")</f>
        <v>0.0</v>
      </c>
      <c r="I2042" s="2" t="n">
        <f>HYPERLINK("https://ppubs.uspto.gov/pubwebapp/external.html?q=20210285065.pn.","USPTO")</f>
        <v>0.0</v>
      </c>
      <c r="J2042" s="2" t="n">
        <f>HYPERLINK("https://image-ppubs.uspto.gov/dirsearch-public/print/downloadPdf/20210285065","USPTO PDF")</f>
        <v>0.0</v>
      </c>
      <c r="K2042" s="2" t="n">
        <f>HYPERLINK("https://sectors.patentforecast.com/pmd/US20210285065","PMD")</f>
        <v>0.0</v>
      </c>
      <c r="L2042" s="2" t="n">
        <f>HYPERLINK("https://globaldossier.uspto.gov/result/application/US/17221451/1","US20210285065")</f>
        <v>0.0</v>
      </c>
      <c r="M2042" t="s">
        <v>14064</v>
      </c>
      <c r="N2042" t="s">
        <v>14065</v>
      </c>
      <c r="O2042" t="s">
        <v>14066</v>
      </c>
      <c r="P2042" t="s">
        <v>14067</v>
      </c>
      <c r="Q2042" s="3" t="n">
        <v>44288.0</v>
      </c>
      <c r="R2042" s="3" t="n">
        <v>44455.0</v>
      </c>
      <c r="S2042" s="3" t="n">
        <v>44456.23034671296</v>
      </c>
      <c r="T2042" s="3" t="n">
        <v>44459.44820199074</v>
      </c>
      <c r="U2042" t="s">
        <v>14068</v>
      </c>
      <c r="V2042" t="s">
        <v>14069</v>
      </c>
    </row>
    <row r="2043">
      <c r="A2043" t="s">
        <v>22</v>
      </c>
      <c r="B2043" t="s">
        <v>14070</v>
      </c>
      <c r="C2043" t="s">
        <v>24</v>
      </c>
      <c r="D2043" t="s">
        <v>51</v>
      </c>
      <c r="E2043" t="s">
        <v>14063</v>
      </c>
      <c r="F2043" s="2" t="n">
        <f>HYPERLINK("https://patents.google.com/patent/US20210285064","Google")</f>
        <v>0.0</v>
      </c>
      <c r="G2043" s="2" t="n">
        <f>HYPERLINK("https://patentcenter.uspto.gov/applications/17178395","Patent Center")</f>
        <v>0.0</v>
      </c>
      <c r="H2043" s="2" t="n">
        <f>HYPERLINK("https://worldwide.espacenet.com/patent/search?q=US20210285064","Espacenet")</f>
        <v>0.0</v>
      </c>
      <c r="I2043" s="2" t="n">
        <f>HYPERLINK("https://ppubs.uspto.gov/pubwebapp/external.html?q=20210285064.pn.","USPTO")</f>
        <v>0.0</v>
      </c>
      <c r="J2043" s="2" t="n">
        <f>HYPERLINK("https://image-ppubs.uspto.gov/dirsearch-public/print/downloadPdf/20210285064","USPTO PDF")</f>
        <v>0.0</v>
      </c>
      <c r="K2043" s="2" t="n">
        <f>HYPERLINK("https://sectors.patentforecast.com/pmd/US20210285064","PMD")</f>
        <v>0.0</v>
      </c>
      <c r="L2043" s="2" t="n">
        <f>HYPERLINK("https://globaldossier.uspto.gov/result/application/US/17178395/1","US20210285064")</f>
        <v>0.0</v>
      </c>
      <c r="M2043" t="s">
        <v>14071</v>
      </c>
      <c r="N2043" t="s">
        <v>14065</v>
      </c>
      <c r="O2043" t="s">
        <v>14066</v>
      </c>
      <c r="P2043" t="s">
        <v>14067</v>
      </c>
      <c r="Q2043" s="3" t="n">
        <v>44245.0</v>
      </c>
      <c r="R2043" s="3" t="n">
        <v>44455.0</v>
      </c>
      <c r="S2043" s="3" t="n">
        <v>44456.23034671296</v>
      </c>
      <c r="T2043" s="3" t="n">
        <v>44459.44820199074</v>
      </c>
      <c r="U2043" t="s">
        <v>14068</v>
      </c>
      <c r="V2043" t="s">
        <v>14072</v>
      </c>
    </row>
    <row r="2044">
      <c r="A2044" t="s">
        <v>22</v>
      </c>
      <c r="B2044" t="s">
        <v>14073</v>
      </c>
      <c r="C2044" t="s">
        <v>60</v>
      </c>
      <c r="D2044" t="s">
        <v>77</v>
      </c>
      <c r="E2044" t="s">
        <v>14074</v>
      </c>
      <c r="F2044" s="2" t="n">
        <f>HYPERLINK("https://patents.google.com/patent/US20210284745","Google")</f>
        <v>0.0</v>
      </c>
      <c r="G2044" s="2" t="n">
        <f>HYPERLINK("https://patentcenter.uspto.gov/applications/17324931","Patent Center")</f>
        <v>0.0</v>
      </c>
      <c r="H2044" s="2" t="n">
        <f>HYPERLINK("https://worldwide.espacenet.com/patent/search?q=US20210284745","Espacenet")</f>
        <v>0.0</v>
      </c>
      <c r="I2044" s="2" t="n">
        <f>HYPERLINK("https://ppubs.uspto.gov/pubwebapp/external.html?q=20210284745.pn.","USPTO")</f>
        <v>0.0</v>
      </c>
      <c r="J2044" s="2" t="n">
        <f>HYPERLINK("https://image-ppubs.uspto.gov/dirsearch-public/print/downloadPdf/20210284745","USPTO PDF")</f>
        <v>0.0</v>
      </c>
      <c r="K2044" s="2" t="n">
        <f>HYPERLINK("https://sectors.patentforecast.com/pmd/US20210284745","PMD")</f>
        <v>0.0</v>
      </c>
      <c r="L2044" s="2" t="n">
        <f>HYPERLINK("https://globaldossier.uspto.gov/result/application/US/17324931/1","US20210284745")</f>
        <v>0.0</v>
      </c>
      <c r="M2044" t="s">
        <v>14075</v>
      </c>
      <c r="N2044" t="s">
        <v>14076</v>
      </c>
      <c r="O2044" t="s">
        <v>14077</v>
      </c>
      <c r="P2044" t="s">
        <v>14078</v>
      </c>
      <c r="Q2044" s="3" t="n">
        <v>44335.0</v>
      </c>
      <c r="R2044" s="3" t="n">
        <v>44455.0</v>
      </c>
      <c r="S2044" s="3" t="n">
        <v>44456.229416689814</v>
      </c>
      <c r="T2044" s="3" t="n">
        <v>44459.44626519676</v>
      </c>
      <c r="U2044" t="s">
        <v>14079</v>
      </c>
      <c r="V2044" t="s">
        <v>14080</v>
      </c>
    </row>
    <row r="2045">
      <c r="A2045" t="s">
        <v>22</v>
      </c>
      <c r="B2045" t="s">
        <v>14081</v>
      </c>
      <c r="C2045" t="s">
        <v>60</v>
      </c>
      <c r="D2045" t="s">
        <v>77</v>
      </c>
      <c r="E2045" t="s">
        <v>14074</v>
      </c>
      <c r="F2045" s="2" t="n">
        <f>HYPERLINK("https://patents.google.com/patent/US20210284744","Google")</f>
        <v>0.0</v>
      </c>
      <c r="G2045" s="2" t="n">
        <f>HYPERLINK("https://patentcenter.uspto.gov/applications/17201698","Patent Center")</f>
        <v>0.0</v>
      </c>
      <c r="H2045" s="2" t="n">
        <f>HYPERLINK("https://worldwide.espacenet.com/patent/search?q=US20210284744","Espacenet")</f>
        <v>0.0</v>
      </c>
      <c r="I2045" s="2" t="n">
        <f>HYPERLINK("https://ppubs.uspto.gov/pubwebapp/external.html?q=20210284744.pn.","USPTO")</f>
        <v>0.0</v>
      </c>
      <c r="J2045" s="2" t="n">
        <f>HYPERLINK("https://image-ppubs.uspto.gov/dirsearch-public/print/downloadPdf/20210284744","USPTO PDF")</f>
        <v>0.0</v>
      </c>
      <c r="K2045" s="2" t="n">
        <f>HYPERLINK("https://sectors.patentforecast.com/pmd/US20210284744","PMD")</f>
        <v>0.0</v>
      </c>
      <c r="L2045" s="2" t="n">
        <f>HYPERLINK("https://globaldossier.uspto.gov/result/application/US/17201698/1","US20210284744")</f>
        <v>0.0</v>
      </c>
      <c r="M2045" t="s">
        <v>14082</v>
      </c>
      <c r="N2045" t="s">
        <v>14076</v>
      </c>
      <c r="O2045" t="s">
        <v>14077</v>
      </c>
      <c r="P2045" t="s">
        <v>14078</v>
      </c>
      <c r="Q2045" s="3" t="n">
        <v>44270.0</v>
      </c>
      <c r="R2045" s="3" t="n">
        <v>44455.0</v>
      </c>
      <c r="S2045" s="3" t="n">
        <v>44456.229416689814</v>
      </c>
      <c r="T2045" s="3" t="n">
        <v>44459.44626519676</v>
      </c>
      <c r="U2045" t="s">
        <v>14083</v>
      </c>
      <c r="V2045" t="s">
        <v>14080</v>
      </c>
    </row>
    <row r="2046">
      <c r="A2046" t="s">
        <v>22</v>
      </c>
      <c r="B2046" t="s">
        <v>14084</v>
      </c>
      <c r="C2046" t="s">
        <v>60</v>
      </c>
      <c r="D2046" t="s">
        <v>77</v>
      </c>
      <c r="E2046" t="s">
        <v>14085</v>
      </c>
      <c r="F2046" s="2" t="n">
        <f>HYPERLINK("https://patents.google.com/patent/US20210284743","Google")</f>
        <v>0.0</v>
      </c>
      <c r="G2046" s="2" t="n">
        <f>HYPERLINK("https://patentcenter.uspto.gov/applications/17197603","Patent Center")</f>
        <v>0.0</v>
      </c>
      <c r="H2046" s="2" t="n">
        <f>HYPERLINK("https://worldwide.espacenet.com/patent/search?q=US20210284743","Espacenet")</f>
        <v>0.0</v>
      </c>
      <c r="I2046" s="2" t="n">
        <f>HYPERLINK("https://ppubs.uspto.gov/pubwebapp/external.html?q=20210284743.pn.","USPTO")</f>
        <v>0.0</v>
      </c>
      <c r="J2046" s="2" t="n">
        <f>HYPERLINK("https://image-ppubs.uspto.gov/dirsearch-public/print/downloadPdf/20210284743","USPTO PDF")</f>
        <v>0.0</v>
      </c>
      <c r="K2046" s="2" t="n">
        <f>HYPERLINK("https://sectors.patentforecast.com/pmd/US20210284743","PMD")</f>
        <v>0.0</v>
      </c>
      <c r="L2046" s="2" t="n">
        <f>HYPERLINK("https://globaldossier.uspto.gov/result/application/US/17197603/1","US20210284743")</f>
        <v>0.0</v>
      </c>
      <c r="M2046" t="s">
        <v>14086</v>
      </c>
      <c r="N2046" t="s">
        <v>14087</v>
      </c>
      <c r="O2046" t="s">
        <v>14087</v>
      </c>
      <c r="P2046" t="s">
        <v>14088</v>
      </c>
      <c r="Q2046" s="3" t="n">
        <v>44265.0</v>
      </c>
      <c r="R2046" s="3" t="n">
        <v>44455.0</v>
      </c>
      <c r="S2046" s="3" t="n">
        <v>44456.23034671296</v>
      </c>
      <c r="T2046" s="3" t="n">
        <v>44459.4575793287</v>
      </c>
      <c r="U2046" t="s">
        <v>14089</v>
      </c>
      <c r="V2046" t="s">
        <v>14090</v>
      </c>
    </row>
    <row r="2047">
      <c r="A2047" t="s">
        <v>22</v>
      </c>
      <c r="B2047" t="s">
        <v>14091</v>
      </c>
      <c r="C2047" t="s">
        <v>60</v>
      </c>
      <c r="D2047" t="s">
        <v>77</v>
      </c>
      <c r="E2047" t="s">
        <v>14092</v>
      </c>
      <c r="F2047" s="2" t="n">
        <f>HYPERLINK("https://patents.google.com/patent/US20210284716","Google")</f>
        <v>0.0</v>
      </c>
      <c r="G2047" s="2" t="n">
        <f>HYPERLINK("https://patentcenter.uspto.gov/applications/16880804","Patent Center")</f>
        <v>0.0</v>
      </c>
      <c r="H2047" s="2" t="n">
        <f>HYPERLINK("https://worldwide.espacenet.com/patent/search?q=US20210284716","Espacenet")</f>
        <v>0.0</v>
      </c>
      <c r="I2047" s="2" t="n">
        <f>HYPERLINK("https://ppubs.uspto.gov/pubwebapp/external.html?q=20210284716.pn.","USPTO")</f>
        <v>0.0</v>
      </c>
      <c r="J2047" s="2" t="n">
        <f>HYPERLINK("https://image-ppubs.uspto.gov/dirsearch-public/print/downloadPdf/20210284716","USPTO PDF")</f>
        <v>0.0</v>
      </c>
      <c r="K2047" s="2" t="n">
        <f>HYPERLINK("https://sectors.patentforecast.com/pmd/US20210284716","PMD")</f>
        <v>0.0</v>
      </c>
      <c r="L2047" s="2" t="n">
        <f>HYPERLINK("https://globaldossier.uspto.gov/result/application/US/16880804/1","US20210284716")</f>
        <v>0.0</v>
      </c>
      <c r="M2047" t="s">
        <v>14093</v>
      </c>
      <c r="N2047" t="s">
        <v>5804</v>
      </c>
      <c r="O2047" t="s">
        <v>5805</v>
      </c>
      <c r="P2047" t="s">
        <v>14094</v>
      </c>
      <c r="Q2047" s="3" t="n">
        <v>43972.0</v>
      </c>
      <c r="R2047" s="3" t="n">
        <v>44455.0</v>
      </c>
      <c r="S2047" s="3" t="n">
        <v>44456.23034671296</v>
      </c>
      <c r="T2047" s="3" t="n">
        <v>44459.44346577546</v>
      </c>
      <c r="U2047" t="s">
        <v>14095</v>
      </c>
      <c r="V2047" t="s">
        <v>14096</v>
      </c>
    </row>
    <row r="2048">
      <c r="A2048" t="s">
        <v>22</v>
      </c>
      <c r="B2048" t="s">
        <v>14097</v>
      </c>
      <c r="C2048" t="s">
        <v>60</v>
      </c>
      <c r="D2048" t="s">
        <v>77</v>
      </c>
      <c r="E2048" t="s">
        <v>14098</v>
      </c>
      <c r="F2048" s="2" t="n">
        <f>HYPERLINK("https://patents.google.com/patent/US20210284713","Google")</f>
        <v>0.0</v>
      </c>
      <c r="G2048" s="2" t="n">
        <f>HYPERLINK("https://patentcenter.uspto.gov/applications/17082994","Patent Center")</f>
        <v>0.0</v>
      </c>
      <c r="H2048" s="2" t="n">
        <f>HYPERLINK("https://worldwide.espacenet.com/patent/search?q=US20210284713","Espacenet")</f>
        <v>0.0</v>
      </c>
      <c r="I2048" s="2" t="n">
        <f>HYPERLINK("https://ppubs.uspto.gov/pubwebapp/external.html?q=20210284713.pn.","USPTO")</f>
        <v>0.0</v>
      </c>
      <c r="J2048" s="2" t="n">
        <f>HYPERLINK("https://image-ppubs.uspto.gov/dirsearch-public/print/downloadPdf/20210284713","USPTO PDF")</f>
        <v>0.0</v>
      </c>
      <c r="K2048" s="2" t="n">
        <f>HYPERLINK("https://sectors.patentforecast.com/pmd/US20210284713","PMD")</f>
        <v>0.0</v>
      </c>
      <c r="L2048" s="2" t="n">
        <f>HYPERLINK("https://globaldossier.uspto.gov/result/application/US/17082994/1","US20210284713")</f>
        <v>0.0</v>
      </c>
      <c r="M2048" t="s">
        <v>14099</v>
      </c>
      <c r="N2048" t="s">
        <v>5804</v>
      </c>
      <c r="O2048" t="s">
        <v>5805</v>
      </c>
      <c r="P2048" t="s">
        <v>14100</v>
      </c>
      <c r="Q2048" s="3" t="n">
        <v>44132.0</v>
      </c>
      <c r="R2048" s="3" t="n">
        <v>44455.0</v>
      </c>
      <c r="S2048" s="3" t="n">
        <v>44456.23034671296</v>
      </c>
      <c r="T2048" s="3" t="n">
        <v>44459.44450288195</v>
      </c>
      <c r="U2048" t="s">
        <v>14101</v>
      </c>
      <c r="V2048" t="s">
        <v>14102</v>
      </c>
    </row>
    <row r="2049">
      <c r="A2049" t="s">
        <v>22</v>
      </c>
      <c r="B2049" t="s">
        <v>14103</v>
      </c>
      <c r="C2049" t="s">
        <v>24</v>
      </c>
      <c r="D2049" t="s">
        <v>69</v>
      </c>
      <c r="E2049" t="s">
        <v>14104</v>
      </c>
      <c r="F2049" s="2" t="n">
        <f>HYPERLINK("https://patents.google.com/patent/US20210283433","Google")</f>
        <v>0.0</v>
      </c>
      <c r="G2049" s="2" t="n">
        <f>HYPERLINK("https://patentcenter.uspto.gov/applications/17120273","Patent Center")</f>
        <v>0.0</v>
      </c>
      <c r="H2049" s="2" t="n">
        <f>HYPERLINK("https://worldwide.espacenet.com/patent/search?q=US20210283433","Espacenet")</f>
        <v>0.0</v>
      </c>
      <c r="I2049" s="2" t="n">
        <f>HYPERLINK("https://ppubs.uspto.gov/pubwebapp/external.html?q=20210283433.pn.","USPTO")</f>
        <v>0.0</v>
      </c>
      <c r="J2049" s="2" t="n">
        <f>HYPERLINK("https://image-ppubs.uspto.gov/dirsearch-public/print/downloadPdf/20210283433","USPTO PDF")</f>
        <v>0.0</v>
      </c>
      <c r="K2049" s="2" t="n">
        <f>HYPERLINK("https://sectors.patentforecast.com/pmd/US20210283433","PMD")</f>
        <v>0.0</v>
      </c>
      <c r="L2049" s="2" t="n">
        <f>HYPERLINK("https://globaldossier.uspto.gov/result/application/US/17120273/1","US20210283433")</f>
        <v>0.0</v>
      </c>
      <c r="M2049" t="s">
        <v>14105</v>
      </c>
      <c r="N2049" t="s">
        <v>14106</v>
      </c>
      <c r="O2049" t="s">
        <v>14106</v>
      </c>
      <c r="P2049" t="s">
        <v>14107</v>
      </c>
      <c r="Q2049" s="3" t="n">
        <v>44179.0</v>
      </c>
      <c r="R2049" s="3" t="n">
        <v>44455.0</v>
      </c>
      <c r="S2049" s="3" t="n">
        <v>44456.235313784724</v>
      </c>
      <c r="T2049" s="3" t="n">
        <v>44459.410922233794</v>
      </c>
      <c r="U2049" t="s">
        <v>14108</v>
      </c>
      <c r="V2049" t="s">
        <v>14109</v>
      </c>
    </row>
    <row r="2050">
      <c r="A2050" t="s">
        <v>22</v>
      </c>
      <c r="B2050" t="s">
        <v>14110</v>
      </c>
      <c r="C2050" t="s">
        <v>60</v>
      </c>
      <c r="D2050" t="s">
        <v>715</v>
      </c>
      <c r="E2050" t="s">
        <v>14111</v>
      </c>
      <c r="F2050" s="2" t="n">
        <f>HYPERLINK("https://patents.google.com/patent/US20210283415","Google")</f>
        <v>0.0</v>
      </c>
      <c r="G2050" s="2" t="n">
        <f>HYPERLINK("https://patentcenter.uspto.gov/applications/17202449","Patent Center")</f>
        <v>0.0</v>
      </c>
      <c r="H2050" s="2" t="n">
        <f>HYPERLINK("https://worldwide.espacenet.com/patent/search?q=US20210283415","Espacenet")</f>
        <v>0.0</v>
      </c>
      <c r="I2050" s="2" t="n">
        <f>HYPERLINK("https://ppubs.uspto.gov/pubwebapp/external.html?q=20210283415.pn.","USPTO")</f>
        <v>0.0</v>
      </c>
      <c r="J2050" s="2" t="n">
        <f>HYPERLINK("https://image-ppubs.uspto.gov/dirsearch-public/print/downloadPdf/20210283415","USPTO PDF")</f>
        <v>0.0</v>
      </c>
      <c r="K2050" s="2" t="n">
        <f>HYPERLINK("https://sectors.patentforecast.com/pmd/US20210283415","PMD")</f>
        <v>0.0</v>
      </c>
      <c r="L2050" s="2" t="n">
        <f>HYPERLINK("https://globaldossier.uspto.gov/result/application/US/17202449/1","US20210283415")</f>
        <v>0.0</v>
      </c>
      <c r="M2050" t="s">
        <v>14112</v>
      </c>
      <c r="N2050" t="s">
        <v>14113</v>
      </c>
      <c r="O2050" t="s">
        <v>14114</v>
      </c>
      <c r="P2050" t="s">
        <v>14115</v>
      </c>
      <c r="Q2050" s="3" t="n">
        <v>44271.0</v>
      </c>
      <c r="R2050" s="3" t="n">
        <v>44455.0</v>
      </c>
      <c r="S2050" s="3" t="n">
        <v>44456.23034671296</v>
      </c>
      <c r="T2050" s="3" t="n">
        <v>44459.41114228009</v>
      </c>
      <c r="U2050" t="s">
        <v>14116</v>
      </c>
      <c r="V2050" t="s">
        <v>14117</v>
      </c>
    </row>
    <row r="2051">
      <c r="A2051" t="s">
        <v>22</v>
      </c>
      <c r="B2051" t="s">
        <v>14118</v>
      </c>
      <c r="C2051" t="s">
        <v>60</v>
      </c>
      <c r="D2051" t="s">
        <v>715</v>
      </c>
      <c r="E2051" t="s">
        <v>14119</v>
      </c>
      <c r="F2051" s="2" t="n">
        <f>HYPERLINK("https://patents.google.com/patent/US20210283356","Google")</f>
        <v>0.0</v>
      </c>
      <c r="G2051" s="2" t="n">
        <f>HYPERLINK("https://patentcenter.uspto.gov/applications/17202433","Patent Center")</f>
        <v>0.0</v>
      </c>
      <c r="H2051" s="2" t="n">
        <f>HYPERLINK("https://worldwide.espacenet.com/patent/search?q=US20210283356","Espacenet")</f>
        <v>0.0</v>
      </c>
      <c r="I2051" s="2" t="n">
        <f>HYPERLINK("https://ppubs.uspto.gov/pubwebapp/external.html?q=20210283356.pn.","USPTO")</f>
        <v>0.0</v>
      </c>
      <c r="J2051" s="2" t="n">
        <f>HYPERLINK("https://image-ppubs.uspto.gov/dirsearch-public/print/downloadPdf/20210283356","USPTO PDF")</f>
        <v>0.0</v>
      </c>
      <c r="K2051" s="2" t="n">
        <f>HYPERLINK("https://sectors.patentforecast.com/pmd/US20210283356","PMD")</f>
        <v>0.0</v>
      </c>
      <c r="L2051" s="2" t="n">
        <f>HYPERLINK("https://globaldossier.uspto.gov/result/application/US/17202433/1","US20210283356")</f>
        <v>0.0</v>
      </c>
      <c r="M2051" t="s">
        <v>14120</v>
      </c>
      <c r="N2051" t="s">
        <v>14113</v>
      </c>
      <c r="O2051" t="s">
        <v>14114</v>
      </c>
      <c r="P2051" t="s">
        <v>14115</v>
      </c>
      <c r="Q2051" s="3" t="n">
        <v>44271.0</v>
      </c>
      <c r="R2051" s="3" t="n">
        <v>44455.0</v>
      </c>
      <c r="S2051" s="3" t="n">
        <v>44456.23034671296</v>
      </c>
      <c r="T2051" s="3" t="n">
        <v>44459.4112459838</v>
      </c>
      <c r="U2051" t="s">
        <v>14121</v>
      </c>
      <c r="V2051" t="s">
        <v>14122</v>
      </c>
    </row>
    <row r="2052">
      <c r="A2052" t="s">
        <v>22</v>
      </c>
      <c r="B2052" t="s">
        <v>14123</v>
      </c>
      <c r="C2052" t="s">
        <v>132</v>
      </c>
      <c r="D2052" t="s">
        <v>133</v>
      </c>
      <c r="E2052" t="s">
        <v>14124</v>
      </c>
      <c r="F2052" s="2" t="n">
        <f>HYPERLINK("https://patents.google.com/patent/US20210283245","Google")</f>
        <v>0.0</v>
      </c>
      <c r="G2052" s="2" t="n">
        <f>HYPERLINK("https://patentcenter.uspto.gov/applications/16883263","Patent Center")</f>
        <v>0.0</v>
      </c>
      <c r="H2052" s="2" t="n">
        <f>HYPERLINK("https://worldwide.espacenet.com/patent/search?q=US20210283245","Espacenet")</f>
        <v>0.0</v>
      </c>
      <c r="I2052" s="2" t="n">
        <f>HYPERLINK("https://ppubs.uspto.gov/pubwebapp/external.html?q=20210283245.pn.","USPTO")</f>
        <v>0.0</v>
      </c>
      <c r="J2052" s="2" t="n">
        <f>HYPERLINK("https://image-ppubs.uspto.gov/dirsearch-public/print/downloadPdf/20210283245","USPTO PDF")</f>
        <v>0.0</v>
      </c>
      <c r="K2052" s="2" t="n">
        <f>HYPERLINK("https://sectors.patentforecast.com/pmd/US20210283245","PMD")</f>
        <v>0.0</v>
      </c>
      <c r="L2052" s="2" t="n">
        <f>HYPERLINK("https://globaldossier.uspto.gov/result/application/US/16883263/1","US20210283245")</f>
        <v>0.0</v>
      </c>
      <c r="M2052" t="s">
        <v>14125</v>
      </c>
      <c r="N2052" t="s">
        <v>5804</v>
      </c>
      <c r="O2052" t="s">
        <v>5805</v>
      </c>
      <c r="P2052" t="s">
        <v>14126</v>
      </c>
      <c r="Q2052" s="3" t="n">
        <v>43977.0</v>
      </c>
      <c r="R2052" s="3" t="n">
        <v>44455.0</v>
      </c>
      <c r="S2052" s="3" t="n">
        <v>44456.23034671296</v>
      </c>
      <c r="T2052" s="3" t="n">
        <v>44459.44474172454</v>
      </c>
      <c r="U2052" t="s">
        <v>14127</v>
      </c>
      <c r="V2052" t="s">
        <v>7491</v>
      </c>
    </row>
    <row r="2053">
      <c r="A2053" t="s">
        <v>22</v>
      </c>
      <c r="B2053" t="s">
        <v>14128</v>
      </c>
      <c r="C2053" t="s">
        <v>132</v>
      </c>
      <c r="D2053" t="s">
        <v>133</v>
      </c>
      <c r="E2053" t="s">
        <v>14129</v>
      </c>
      <c r="F2053" s="2" t="n">
        <f>HYPERLINK("https://patents.google.com/patent/US20210283244","Google")</f>
        <v>0.0</v>
      </c>
      <c r="G2053" s="2" t="n">
        <f>HYPERLINK("https://patentcenter.uspto.gov/applications/17260820","Patent Center")</f>
        <v>0.0</v>
      </c>
      <c r="H2053" s="2" t="n">
        <f>HYPERLINK("https://worldwide.espacenet.com/patent/search?q=US20210283244","Espacenet")</f>
        <v>0.0</v>
      </c>
      <c r="I2053" s="2" t="n">
        <f>HYPERLINK("https://ppubs.uspto.gov/pubwebapp/external.html?q=20210283244.pn.","USPTO")</f>
        <v>0.0</v>
      </c>
      <c r="J2053" s="2" t="n">
        <f>HYPERLINK("https://image-ppubs.uspto.gov/dirsearch-public/print/downloadPdf/20210283244","USPTO PDF")</f>
        <v>0.0</v>
      </c>
      <c r="K2053" s="2" t="n">
        <f>HYPERLINK("https://sectors.patentforecast.com/pmd/US20210283244","PMD")</f>
        <v>0.0</v>
      </c>
      <c r="L2053" s="2" t="n">
        <f>HYPERLINK("https://globaldossier.uspto.gov/result/application/US/17260820/1","US20210283244")</f>
        <v>0.0</v>
      </c>
      <c r="M2053" t="s">
        <v>14130</v>
      </c>
      <c r="N2053" t="s">
        <v>14131</v>
      </c>
      <c r="O2053" t="s">
        <v>14132</v>
      </c>
      <c r="P2053" t="s">
        <v>14133</v>
      </c>
      <c r="Q2053" s="3" t="n">
        <v>44062.0</v>
      </c>
      <c r="R2053" s="3" t="n">
        <v>44455.0</v>
      </c>
      <c r="S2053" s="3" t="n">
        <v>44456.23034671296</v>
      </c>
      <c r="T2053" s="3" t="n">
        <v>44459.414754502315</v>
      </c>
      <c r="U2053" t="s">
        <v>14134</v>
      </c>
      <c r="V2053" t="s">
        <v>14135</v>
      </c>
    </row>
    <row r="2054">
      <c r="A2054" t="s">
        <v>22</v>
      </c>
      <c r="B2054" t="s">
        <v>14136</v>
      </c>
      <c r="C2054" t="s">
        <v>132</v>
      </c>
      <c r="D2054" t="s">
        <v>133</v>
      </c>
      <c r="E2054" t="s">
        <v>14137</v>
      </c>
      <c r="F2054" s="2" t="n">
        <f>HYPERLINK("https://patents.google.com/patent/US20210283243","Google")</f>
        <v>0.0</v>
      </c>
      <c r="G2054" s="2" t="n">
        <f>HYPERLINK("https://patentcenter.uspto.gov/applications/17198900","Patent Center")</f>
        <v>0.0</v>
      </c>
      <c r="H2054" s="2" t="n">
        <f>HYPERLINK("https://worldwide.espacenet.com/patent/search?q=US20210283243","Espacenet")</f>
        <v>0.0</v>
      </c>
      <c r="I2054" s="2" t="n">
        <f>HYPERLINK("https://ppubs.uspto.gov/pubwebapp/external.html?q=20210283243.pn.","USPTO")</f>
        <v>0.0</v>
      </c>
      <c r="J2054" s="2" t="n">
        <f>HYPERLINK("https://image-ppubs.uspto.gov/dirsearch-public/print/downloadPdf/20210283243","USPTO PDF")</f>
        <v>0.0</v>
      </c>
      <c r="K2054" s="2" t="n">
        <f>HYPERLINK("https://sectors.patentforecast.com/pmd/US20210283243","PMD")</f>
        <v>0.0</v>
      </c>
      <c r="L2054" s="2" t="n">
        <f>HYPERLINK("https://globaldossier.uspto.gov/result/application/US/17198900/1","US20210283243")</f>
        <v>0.0</v>
      </c>
      <c r="M2054" t="s">
        <v>14138</v>
      </c>
      <c r="N2054" t="s">
        <v>14139</v>
      </c>
      <c r="O2054" t="s">
        <v>14140</v>
      </c>
      <c r="P2054" t="s">
        <v>14141</v>
      </c>
      <c r="Q2054" s="3" t="n">
        <v>44266.0</v>
      </c>
      <c r="R2054" s="3" t="n">
        <v>44455.0</v>
      </c>
      <c r="S2054" s="3" t="n">
        <v>44456.23034671296</v>
      </c>
      <c r="T2054" s="3" t="n">
        <v>44459.44049232639</v>
      </c>
      <c r="U2054" t="s">
        <v>14142</v>
      </c>
      <c r="V2054" t="s">
        <v>14143</v>
      </c>
    </row>
    <row r="2055">
      <c r="A2055" t="s">
        <v>22</v>
      </c>
      <c r="B2055" t="s">
        <v>14144</v>
      </c>
      <c r="C2055" t="s">
        <v>60</v>
      </c>
      <c r="D2055" t="s">
        <v>696</v>
      </c>
      <c r="E2055" t="s">
        <v>14145</v>
      </c>
      <c r="F2055" s="2" t="n">
        <f>HYPERLINK("https://patents.google.com/patent/US20210283242","Google")</f>
        <v>0.0</v>
      </c>
      <c r="G2055" s="2" t="n">
        <f>HYPERLINK("https://patentcenter.uspto.gov/applications/17190098","Patent Center")</f>
        <v>0.0</v>
      </c>
      <c r="H2055" s="2" t="n">
        <f>HYPERLINK("https://worldwide.espacenet.com/patent/search?q=US20210283242","Espacenet")</f>
        <v>0.0</v>
      </c>
      <c r="I2055" s="2" t="n">
        <f>HYPERLINK("https://ppubs.uspto.gov/pubwebapp/external.html?q=20210283242.pn.","USPTO")</f>
        <v>0.0</v>
      </c>
      <c r="J2055" s="2" t="n">
        <f>HYPERLINK("https://image-ppubs.uspto.gov/dirsearch-public/print/downloadPdf/20210283242","USPTO PDF")</f>
        <v>0.0</v>
      </c>
      <c r="K2055" s="2" t="n">
        <f>HYPERLINK("https://sectors.patentforecast.com/pmd/US20210283242","PMD")</f>
        <v>0.0</v>
      </c>
      <c r="L2055" s="2" t="n">
        <f>HYPERLINK("https://globaldossier.uspto.gov/result/application/US/17190098/1","US20210283242")</f>
        <v>0.0</v>
      </c>
      <c r="M2055" t="s">
        <v>14146</v>
      </c>
      <c r="N2055" t="s">
        <v>14147</v>
      </c>
      <c r="O2055" t="s">
        <v>14148</v>
      </c>
      <c r="P2055" t="s">
        <v>14149</v>
      </c>
      <c r="Q2055" s="3" t="n">
        <v>44257.0</v>
      </c>
      <c r="R2055" s="3" t="n">
        <v>44455.0</v>
      </c>
      <c r="S2055" s="3" t="n">
        <v>44456.23034671296</v>
      </c>
      <c r="T2055" s="3" t="n">
        <v>44459.4428740625</v>
      </c>
      <c r="U2055" t="s">
        <v>14150</v>
      </c>
      <c r="V2055" t="s">
        <v>14151</v>
      </c>
    </row>
    <row r="2056">
      <c r="A2056" t="s">
        <v>22</v>
      </c>
      <c r="B2056" t="s">
        <v>14152</v>
      </c>
      <c r="C2056" t="s">
        <v>60</v>
      </c>
      <c r="D2056" t="s">
        <v>61</v>
      </c>
      <c r="E2056" t="s">
        <v>14153</v>
      </c>
      <c r="F2056" s="2" t="n">
        <f>HYPERLINK("https://patents.google.com/patent/US20210283216","Google")</f>
        <v>0.0</v>
      </c>
      <c r="G2056" s="2" t="n">
        <f>HYPERLINK("https://patentcenter.uspto.gov/applications/17198015","Patent Center")</f>
        <v>0.0</v>
      </c>
      <c r="H2056" s="2" t="n">
        <f>HYPERLINK("https://worldwide.espacenet.com/patent/search?q=US20210283216","Espacenet")</f>
        <v>0.0</v>
      </c>
      <c r="I2056" s="2" t="n">
        <f>HYPERLINK("https://ppubs.uspto.gov/pubwebapp/external.html?q=20210283216.pn.","USPTO")</f>
        <v>0.0</v>
      </c>
      <c r="J2056" s="2" t="n">
        <f>HYPERLINK("https://image-ppubs.uspto.gov/dirsearch-public/print/downloadPdf/20210283216","USPTO PDF")</f>
        <v>0.0</v>
      </c>
      <c r="K2056" s="2" t="n">
        <f>HYPERLINK("https://sectors.patentforecast.com/pmd/US20210283216","PMD")</f>
        <v>0.0</v>
      </c>
      <c r="L2056" s="2" t="n">
        <f>HYPERLINK("https://globaldossier.uspto.gov/result/application/US/17198015/1","US20210283216")</f>
        <v>0.0</v>
      </c>
      <c r="M2056" t="s">
        <v>14154</v>
      </c>
      <c r="N2056" t="s">
        <v>14155</v>
      </c>
      <c r="O2056" t="s">
        <v>14156</v>
      </c>
      <c r="P2056" t="s">
        <v>14157</v>
      </c>
      <c r="Q2056" s="3" t="n">
        <v>44265.0</v>
      </c>
      <c r="R2056" s="3" t="n">
        <v>44455.0</v>
      </c>
      <c r="S2056" s="3" t="n">
        <v>44456.23034671296</v>
      </c>
      <c r="T2056" s="3" t="n">
        <v>44459.415146747684</v>
      </c>
      <c r="U2056" t="s">
        <v>14158</v>
      </c>
      <c r="V2056" t="s">
        <v>14159</v>
      </c>
    </row>
    <row r="2057">
      <c r="A2057" t="s">
        <v>22</v>
      </c>
      <c r="B2057" t="s">
        <v>14160</v>
      </c>
      <c r="C2057" t="s">
        <v>60</v>
      </c>
      <c r="D2057" t="s">
        <v>61</v>
      </c>
      <c r="E2057" t="s">
        <v>14161</v>
      </c>
      <c r="F2057" s="2" t="n">
        <f>HYPERLINK("https://patents.google.com/patent/US20210283201","Google")</f>
        <v>0.0</v>
      </c>
      <c r="G2057" s="2" t="n">
        <f>HYPERLINK("https://patentcenter.uspto.gov/applications/17191569","Patent Center")</f>
        <v>0.0</v>
      </c>
      <c r="H2057" s="2" t="n">
        <f>HYPERLINK("https://worldwide.espacenet.com/patent/search?q=US20210283201","Espacenet")</f>
        <v>0.0</v>
      </c>
      <c r="I2057" s="2" t="n">
        <f>HYPERLINK("https://ppubs.uspto.gov/pubwebapp/external.html?q=20210283201.pn.","USPTO")</f>
        <v>0.0</v>
      </c>
      <c r="J2057" s="2" t="n">
        <f>HYPERLINK("https://image-ppubs.uspto.gov/dirsearch-public/print/downloadPdf/20210283201","USPTO PDF")</f>
        <v>0.0</v>
      </c>
      <c r="K2057" s="2" t="n">
        <f>HYPERLINK("https://sectors.patentforecast.com/pmd/US20210283201","PMD")</f>
        <v>0.0</v>
      </c>
      <c r="L2057" s="2" t="n">
        <f>HYPERLINK("https://globaldossier.uspto.gov/result/application/US/17191569/1","US20210283201")</f>
        <v>0.0</v>
      </c>
      <c r="M2057" t="s">
        <v>14162</v>
      </c>
      <c r="N2057" t="s">
        <v>14163</v>
      </c>
      <c r="O2057" t="s">
        <v>14164</v>
      </c>
      <c r="P2057" t="s">
        <v>14165</v>
      </c>
      <c r="Q2057" s="3" t="n">
        <v>44258.0</v>
      </c>
      <c r="R2057" s="3" t="n">
        <v>44455.0</v>
      </c>
      <c r="S2057" s="3" t="n">
        <v>44456.23034671296</v>
      </c>
      <c r="T2057" s="3" t="n">
        <v>44459.44142402778</v>
      </c>
      <c r="U2057" t="s">
        <v>14166</v>
      </c>
      <c r="V2057" t="s">
        <v>14167</v>
      </c>
    </row>
    <row r="2058">
      <c r="A2058" t="s">
        <v>22</v>
      </c>
      <c r="B2058" t="s">
        <v>14168</v>
      </c>
      <c r="C2058" t="s">
        <v>60</v>
      </c>
      <c r="D2058" t="s">
        <v>61</v>
      </c>
      <c r="E2058" t="s">
        <v>14169</v>
      </c>
      <c r="F2058" s="2" t="n">
        <f>HYPERLINK("https://patents.google.com/patent/US20210283162","Google")</f>
        <v>0.0</v>
      </c>
      <c r="G2058" s="2" t="n">
        <f>HYPERLINK("https://patentcenter.uspto.gov/applications/17306389","Patent Center")</f>
        <v>0.0</v>
      </c>
      <c r="H2058" s="2" t="n">
        <f>HYPERLINK("https://worldwide.espacenet.com/patent/search?q=US20210283162","Espacenet")</f>
        <v>0.0</v>
      </c>
      <c r="I2058" s="2" t="n">
        <f>HYPERLINK("https://ppubs.uspto.gov/pubwebapp/external.html?q=20210283162.pn.","USPTO")</f>
        <v>0.0</v>
      </c>
      <c r="J2058" s="2" t="n">
        <f>HYPERLINK("https://image-ppubs.uspto.gov/dirsearch-public/print/downloadPdf/20210283162","USPTO PDF")</f>
        <v>0.0</v>
      </c>
      <c r="K2058" s="2" t="n">
        <f>HYPERLINK("https://sectors.patentforecast.com/pmd/US20210283162","PMD")</f>
        <v>0.0</v>
      </c>
      <c r="L2058" s="2" t="n">
        <f>HYPERLINK("https://globaldossier.uspto.gov/result/application/US/17306389/1","US20210283162")</f>
        <v>0.0</v>
      </c>
      <c r="M2058" t="s">
        <v>14170</v>
      </c>
      <c r="N2058" t="s">
        <v>14171</v>
      </c>
      <c r="O2058" t="s">
        <v>14172</v>
      </c>
      <c r="P2058" t="s">
        <v>14173</v>
      </c>
      <c r="Q2058" s="3" t="n">
        <v>44319.0</v>
      </c>
      <c r="R2058" s="3" t="n">
        <v>44455.0</v>
      </c>
      <c r="S2058" s="3" t="n">
        <v>44456.23034671296</v>
      </c>
      <c r="T2058" s="3" t="n">
        <v>44459.41144480324</v>
      </c>
      <c r="U2058" t="s">
        <v>14174</v>
      </c>
      <c r="V2058" t="s">
        <v>14175</v>
      </c>
    </row>
    <row r="2059">
      <c r="A2059" t="s">
        <v>22</v>
      </c>
      <c r="B2059" t="s">
        <v>14176</v>
      </c>
      <c r="C2059" t="s">
        <v>60</v>
      </c>
      <c r="D2059" t="s">
        <v>61</v>
      </c>
      <c r="E2059" t="s">
        <v>14177</v>
      </c>
      <c r="F2059" s="2" t="n">
        <f>HYPERLINK("https://patents.google.com/patent/US20210283160","Google")</f>
        <v>0.0</v>
      </c>
      <c r="G2059" s="2" t="n">
        <f>HYPERLINK("https://patentcenter.uspto.gov/applications/17201621","Patent Center")</f>
        <v>0.0</v>
      </c>
      <c r="H2059" s="2" t="n">
        <f>HYPERLINK("https://worldwide.espacenet.com/patent/search?q=US20210283160","Espacenet")</f>
        <v>0.0</v>
      </c>
      <c r="I2059" s="2" t="n">
        <f>HYPERLINK("https://ppubs.uspto.gov/pubwebapp/external.html?q=20210283160.pn.","USPTO")</f>
        <v>0.0</v>
      </c>
      <c r="J2059" s="2" t="n">
        <f>HYPERLINK("https://image-ppubs.uspto.gov/dirsearch-public/print/downloadPdf/20210283160","USPTO PDF")</f>
        <v>0.0</v>
      </c>
      <c r="K2059" s="2" t="n">
        <f>HYPERLINK("https://sectors.patentforecast.com/pmd/US20210283160","PMD")</f>
        <v>0.0</v>
      </c>
      <c r="L2059" s="2" t="n">
        <f>HYPERLINK("https://globaldossier.uspto.gov/result/application/US/17201621/1","US20210283160")</f>
        <v>0.0</v>
      </c>
      <c r="M2059" t="s">
        <v>14178</v>
      </c>
      <c r="N2059" t="s">
        <v>14179</v>
      </c>
      <c r="O2059" t="s">
        <v>14180</v>
      </c>
      <c r="P2059" t="s">
        <v>14181</v>
      </c>
      <c r="Q2059" s="3" t="n">
        <v>44270.0</v>
      </c>
      <c r="R2059" s="3" t="n">
        <v>44455.0</v>
      </c>
      <c r="S2059" s="3" t="n">
        <v>44456.23034671296</v>
      </c>
      <c r="T2059" s="3" t="n">
        <v>44459.44651396991</v>
      </c>
      <c r="U2059" t="s">
        <v>14182</v>
      </c>
      <c r="V2059" t="s">
        <v>14183</v>
      </c>
    </row>
    <row r="2060">
      <c r="A2060" t="s">
        <v>22</v>
      </c>
      <c r="B2060" t="s">
        <v>14184</v>
      </c>
      <c r="C2060" t="s">
        <v>60</v>
      </c>
      <c r="D2060" t="s">
        <v>61</v>
      </c>
      <c r="E2060" t="s">
        <v>14185</v>
      </c>
      <c r="F2060" s="2" t="n">
        <f>HYPERLINK("https://patents.google.com/patent/US20210283152","Google")</f>
        <v>0.0</v>
      </c>
      <c r="G2060" s="2" t="n">
        <f>HYPERLINK("https://patentcenter.uspto.gov/applications/17323901","Patent Center")</f>
        <v>0.0</v>
      </c>
      <c r="H2060" s="2" t="n">
        <f>HYPERLINK("https://worldwide.espacenet.com/patent/search?q=US20210283152","Espacenet")</f>
        <v>0.0</v>
      </c>
      <c r="I2060" s="2" t="n">
        <f>HYPERLINK("https://ppubs.uspto.gov/pubwebapp/external.html?q=20210283152.pn.","USPTO")</f>
        <v>0.0</v>
      </c>
      <c r="J2060" s="2" t="n">
        <f>HYPERLINK("https://image-ppubs.uspto.gov/dirsearch-public/print/downloadPdf/20210283152","USPTO PDF")</f>
        <v>0.0</v>
      </c>
      <c r="K2060" s="2" t="n">
        <f>HYPERLINK("https://sectors.patentforecast.com/pmd/US20210283152","PMD")</f>
        <v>0.0</v>
      </c>
      <c r="L2060" s="2" t="n">
        <f>HYPERLINK("https://globaldossier.uspto.gov/result/application/US/17323901/1","US20210283152")</f>
        <v>0.0</v>
      </c>
      <c r="M2060" t="s">
        <v>14186</v>
      </c>
      <c r="N2060" t="s">
        <v>14187</v>
      </c>
      <c r="O2060" t="s">
        <v>14188</v>
      </c>
      <c r="P2060" t="s">
        <v>14189</v>
      </c>
      <c r="Q2060" s="3" t="n">
        <v>44334.0</v>
      </c>
      <c r="R2060" s="3" t="n">
        <v>44455.0</v>
      </c>
      <c r="S2060" s="3" t="n">
        <v>44456.229416689814</v>
      </c>
      <c r="T2060" s="3" t="n">
        <v>44459.45289342593</v>
      </c>
      <c r="U2060" t="s">
        <v>14190</v>
      </c>
      <c r="V2060" t="s">
        <v>14191</v>
      </c>
    </row>
    <row r="2061">
      <c r="A2061" t="s">
        <v>22</v>
      </c>
      <c r="B2061" t="s">
        <v>14192</v>
      </c>
      <c r="C2061" t="s">
        <v>60</v>
      </c>
      <c r="D2061" t="s">
        <v>61</v>
      </c>
      <c r="E2061" t="s">
        <v>14193</v>
      </c>
      <c r="F2061" s="2" t="n">
        <f>HYPERLINK("https://patents.google.com/patent/US20210283150","Google")</f>
        <v>0.0</v>
      </c>
      <c r="G2061" s="2" t="n">
        <f>HYPERLINK("https://patentcenter.uspto.gov/applications/17158391","Patent Center")</f>
        <v>0.0</v>
      </c>
      <c r="H2061" s="2" t="n">
        <f>HYPERLINK("https://worldwide.espacenet.com/patent/search?q=US20210283150","Espacenet")</f>
        <v>0.0</v>
      </c>
      <c r="I2061" s="2" t="n">
        <f>HYPERLINK("https://ppubs.uspto.gov/pubwebapp/external.html?q=20210283150.pn.","USPTO")</f>
        <v>0.0</v>
      </c>
      <c r="J2061" s="2" t="n">
        <f>HYPERLINK("https://image-ppubs.uspto.gov/dirsearch-public/print/downloadPdf/20210283150","USPTO PDF")</f>
        <v>0.0</v>
      </c>
      <c r="K2061" s="2" t="n">
        <f>HYPERLINK("https://sectors.patentforecast.com/pmd/US20210283150","PMD")</f>
        <v>0.0</v>
      </c>
      <c r="L2061" s="2" t="n">
        <f>HYPERLINK("https://globaldossier.uspto.gov/result/application/US/17158391/1","US20210283150")</f>
        <v>0.0</v>
      </c>
      <c r="M2061" t="s">
        <v>14194</v>
      </c>
      <c r="N2061" t="s">
        <v>664</v>
      </c>
      <c r="O2061" t="s">
        <v>665</v>
      </c>
      <c r="P2061" t="s">
        <v>14195</v>
      </c>
      <c r="Q2061" s="3" t="n">
        <v>44222.0</v>
      </c>
      <c r="R2061" s="3" t="n">
        <v>44455.0</v>
      </c>
      <c r="S2061" s="3" t="n">
        <v>44456.23034671296</v>
      </c>
      <c r="T2061" s="3" t="n">
        <v>44459.44041502315</v>
      </c>
      <c r="U2061" t="s">
        <v>14196</v>
      </c>
      <c r="V2061" t="s">
        <v>14197</v>
      </c>
    </row>
    <row r="2062">
      <c r="A2062" t="s">
        <v>22</v>
      </c>
      <c r="B2062" t="s">
        <v>14198</v>
      </c>
      <c r="C2062" t="s">
        <v>60</v>
      </c>
      <c r="D2062" t="s">
        <v>61</v>
      </c>
      <c r="E2062" t="s">
        <v>14199</v>
      </c>
      <c r="F2062" s="2" t="n">
        <f>HYPERLINK("https://patents.google.com/patent/US20210283145","Google")</f>
        <v>0.0</v>
      </c>
      <c r="G2062" s="2" t="n">
        <f>HYPERLINK("https://patentcenter.uspto.gov/applications/16907336","Patent Center")</f>
        <v>0.0</v>
      </c>
      <c r="H2062" s="2" t="n">
        <f>HYPERLINK("https://worldwide.espacenet.com/patent/search?q=US20210283145","Espacenet")</f>
        <v>0.0</v>
      </c>
      <c r="I2062" s="2" t="n">
        <f>HYPERLINK("https://ppubs.uspto.gov/pubwebapp/external.html?q=20210283145.pn.","USPTO")</f>
        <v>0.0</v>
      </c>
      <c r="J2062" s="2" t="n">
        <f>HYPERLINK("https://image-ppubs.uspto.gov/dirsearch-public/print/downloadPdf/20210283145","USPTO PDF")</f>
        <v>0.0</v>
      </c>
      <c r="K2062" s="2" t="n">
        <f>HYPERLINK("https://sectors.patentforecast.com/pmd/US20210283145","PMD")</f>
        <v>0.0</v>
      </c>
      <c r="L2062" s="2" t="n">
        <f>HYPERLINK("https://globaldossier.uspto.gov/result/application/US/16907336/1","US20210283145")</f>
        <v>0.0</v>
      </c>
      <c r="M2062" t="s">
        <v>14200</v>
      </c>
      <c r="N2062" t="s">
        <v>13087</v>
      </c>
      <c r="O2062" t="s">
        <v>13088</v>
      </c>
      <c r="P2062" t="s">
        <v>14201</v>
      </c>
      <c r="Q2062" s="3" t="n">
        <v>44004.0</v>
      </c>
      <c r="R2062" s="3" t="n">
        <v>44455.0</v>
      </c>
      <c r="S2062" s="3" t="n">
        <v>44456.23034671296</v>
      </c>
      <c r="T2062" s="3" t="n">
        <v>44459.455255925925</v>
      </c>
      <c r="U2062" t="s">
        <v>14202</v>
      </c>
      <c r="V2062" t="s">
        <v>14203</v>
      </c>
    </row>
    <row r="2063">
      <c r="A2063" t="s">
        <v>22</v>
      </c>
      <c r="B2063" t="s">
        <v>14204</v>
      </c>
      <c r="C2063" t="s">
        <v>60</v>
      </c>
      <c r="D2063" t="s">
        <v>61</v>
      </c>
      <c r="E2063" t="s">
        <v>14205</v>
      </c>
      <c r="F2063" s="2" t="n">
        <f>HYPERLINK("https://patents.google.com/patent/US20210283074","Google")</f>
        <v>0.0</v>
      </c>
      <c r="G2063" s="2" t="n">
        <f>HYPERLINK("https://patentcenter.uspto.gov/applications/17121874","Patent Center")</f>
        <v>0.0</v>
      </c>
      <c r="H2063" s="2" t="n">
        <f>HYPERLINK("https://worldwide.espacenet.com/patent/search?q=US20210283074","Espacenet")</f>
        <v>0.0</v>
      </c>
      <c r="I2063" s="2" t="n">
        <f>HYPERLINK("https://ppubs.uspto.gov/pubwebapp/external.html?q=20210283074.pn.","USPTO")</f>
        <v>0.0</v>
      </c>
      <c r="J2063" s="2" t="n">
        <f>HYPERLINK("https://image-ppubs.uspto.gov/dirsearch-public/print/downloadPdf/20210283074","USPTO PDF")</f>
        <v>0.0</v>
      </c>
      <c r="K2063" s="2" t="n">
        <f>HYPERLINK("https://sectors.patentforecast.com/pmd/US20210283074","PMD")</f>
        <v>0.0</v>
      </c>
      <c r="L2063" s="2" t="n">
        <f>HYPERLINK("https://globaldossier.uspto.gov/result/application/US/17121874/1","US20210283074")</f>
        <v>0.0</v>
      </c>
      <c r="M2063" t="s">
        <v>14206</v>
      </c>
      <c r="N2063" t="s">
        <v>14207</v>
      </c>
      <c r="O2063" t="s">
        <v>14208</v>
      </c>
      <c r="P2063" t="s">
        <v>14209</v>
      </c>
      <c r="Q2063" s="3" t="n">
        <v>44180.0</v>
      </c>
      <c r="R2063" s="3" t="n">
        <v>44455.0</v>
      </c>
      <c r="S2063" s="3" t="n">
        <v>44456.23034671296</v>
      </c>
      <c r="T2063" s="3" t="n">
        <v>44459.44792037037</v>
      </c>
      <c r="U2063" t="s">
        <v>14210</v>
      </c>
      <c r="V2063" t="s">
        <v>14211</v>
      </c>
    </row>
    <row r="2064">
      <c r="A2064" t="s">
        <v>22</v>
      </c>
      <c r="B2064" t="s">
        <v>14212</v>
      </c>
      <c r="C2064" t="s">
        <v>24</v>
      </c>
      <c r="D2064" t="s">
        <v>69</v>
      </c>
      <c r="E2064" t="s">
        <v>14213</v>
      </c>
      <c r="F2064" s="2" t="n">
        <f>HYPERLINK("https://patents.google.com/patent/US20210282964","Google")</f>
        <v>0.0</v>
      </c>
      <c r="G2064" s="2" t="n">
        <f>HYPERLINK("https://patentcenter.uspto.gov/applications/17337352","Patent Center")</f>
        <v>0.0</v>
      </c>
      <c r="H2064" s="2" t="n">
        <f>HYPERLINK("https://worldwide.espacenet.com/patent/search?q=US20210282964","Espacenet")</f>
        <v>0.0</v>
      </c>
      <c r="I2064" s="2" t="n">
        <f>HYPERLINK("https://ppubs.uspto.gov/pubwebapp/external.html?q=20210282964.pn.","USPTO")</f>
        <v>0.0</v>
      </c>
      <c r="J2064" s="2" t="n">
        <f>HYPERLINK("https://image-ppubs.uspto.gov/dirsearch-public/print/downloadPdf/20210282964","USPTO PDF")</f>
        <v>0.0</v>
      </c>
      <c r="K2064" s="2" t="n">
        <f>HYPERLINK("https://sectors.patentforecast.com/pmd/US20210282964","PMD")</f>
        <v>0.0</v>
      </c>
      <c r="L2064" s="2" t="n">
        <f>HYPERLINK("https://globaldossier.uspto.gov/result/application/US/17337352/1","US20210282964")</f>
        <v>0.0</v>
      </c>
      <c r="M2064" t="s">
        <v>14214</v>
      </c>
      <c r="N2064" t="s">
        <v>14215</v>
      </c>
      <c r="O2064" t="s">
        <v>14215</v>
      </c>
      <c r="P2064" t="s">
        <v>14216</v>
      </c>
      <c r="Q2064" s="3" t="n">
        <v>44349.0</v>
      </c>
      <c r="R2064" s="3" t="n">
        <v>44455.0</v>
      </c>
      <c r="S2064" s="3" t="n">
        <v>44456.23034671296</v>
      </c>
      <c r="T2064" s="3" t="n">
        <v>44459.411842395835</v>
      </c>
      <c r="U2064" t="s">
        <v>14217</v>
      </c>
      <c r="V2064" t="s">
        <v>14218</v>
      </c>
    </row>
    <row r="2065">
      <c r="A2065" t="s">
        <v>22</v>
      </c>
      <c r="B2065" t="s">
        <v>14219</v>
      </c>
      <c r="C2065" t="s">
        <v>60</v>
      </c>
      <c r="D2065" t="s">
        <v>715</v>
      </c>
      <c r="E2065" t="s">
        <v>14220</v>
      </c>
      <c r="F2065" s="2" t="n">
        <f>HYPERLINK("https://patents.google.com/patent/US20210282517","Google")</f>
        <v>0.0</v>
      </c>
      <c r="G2065" s="2" t="n">
        <f>HYPERLINK("https://patentcenter.uspto.gov/applications/17199743","Patent Center")</f>
        <v>0.0</v>
      </c>
      <c r="H2065" s="2" t="n">
        <f>HYPERLINK("https://worldwide.espacenet.com/patent/search?q=US20210282517","Espacenet")</f>
        <v>0.0</v>
      </c>
      <c r="I2065" s="2" t="n">
        <f>HYPERLINK("https://ppubs.uspto.gov/pubwebapp/external.html?q=20210282517.pn.","USPTO")</f>
        <v>0.0</v>
      </c>
      <c r="J2065" s="2" t="n">
        <f>HYPERLINK("https://image-ppubs.uspto.gov/dirsearch-public/print/downloadPdf/20210282517","USPTO PDF")</f>
        <v>0.0</v>
      </c>
      <c r="K2065" s="2" t="n">
        <f>HYPERLINK("https://sectors.patentforecast.com/pmd/US20210282517","PMD")</f>
        <v>0.0</v>
      </c>
      <c r="L2065" s="2" t="n">
        <f>HYPERLINK("https://globaldossier.uspto.gov/result/application/US/17199743/1","US20210282517")</f>
        <v>0.0</v>
      </c>
      <c r="M2065" t="s">
        <v>14221</v>
      </c>
      <c r="N2065" t="s">
        <v>14222</v>
      </c>
      <c r="O2065" t="s">
        <v>14222</v>
      </c>
      <c r="P2065" t="s">
        <v>14223</v>
      </c>
      <c r="Q2065" s="3" t="n">
        <v>44267.0</v>
      </c>
      <c r="R2065" s="3" t="n">
        <v>44455.0</v>
      </c>
      <c r="S2065" s="3" t="n">
        <v>44456.22987481482</v>
      </c>
      <c r="T2065" s="3" t="n">
        <v>44459.41255302083</v>
      </c>
      <c r="U2065" t="s">
        <v>14224</v>
      </c>
      <c r="V2065" t="s">
        <v>14225</v>
      </c>
    </row>
    <row r="2066">
      <c r="A2066" t="s">
        <v>22</v>
      </c>
      <c r="B2066" t="s">
        <v>14226</v>
      </c>
      <c r="C2066" t="s">
        <v>24</v>
      </c>
      <c r="D2066" t="s">
        <v>69</v>
      </c>
      <c r="E2066" t="s">
        <v>14227</v>
      </c>
      <c r="F2066" s="2" t="n">
        <f>HYPERLINK("https://patents.google.com/patent/US20210282482","Google")</f>
        <v>0.0</v>
      </c>
      <c r="G2066" s="2" t="n">
        <f>HYPERLINK("https://patentcenter.uspto.gov/applications/17202826","Patent Center")</f>
        <v>0.0</v>
      </c>
      <c r="H2066" s="2" t="n">
        <f>HYPERLINK("https://worldwide.espacenet.com/patent/search?q=US20210282482","Espacenet")</f>
        <v>0.0</v>
      </c>
      <c r="I2066" s="2" t="n">
        <f>HYPERLINK("https://ppubs.uspto.gov/pubwebapp/external.html?q=20210282482.pn.","USPTO")</f>
        <v>0.0</v>
      </c>
      <c r="J2066" s="2" t="n">
        <f>HYPERLINK("https://image-ppubs.uspto.gov/dirsearch-public/print/downloadPdf/20210282482","USPTO PDF")</f>
        <v>0.0</v>
      </c>
      <c r="K2066" s="2" t="n">
        <f>HYPERLINK("https://sectors.patentforecast.com/pmd/US20210282482","PMD")</f>
        <v>0.0</v>
      </c>
      <c r="L2066" s="2" t="n">
        <f>HYPERLINK("https://globaldossier.uspto.gov/result/application/US/17202826/1","US20210282482")</f>
        <v>0.0</v>
      </c>
      <c r="M2066" t="s">
        <v>14228</v>
      </c>
      <c r="N2066" t="s">
        <v>14229</v>
      </c>
      <c r="O2066" t="s">
        <v>14230</v>
      </c>
      <c r="P2066" t="s">
        <v>14231</v>
      </c>
      <c r="Q2066" s="3" t="n">
        <v>44271.0</v>
      </c>
      <c r="R2066" s="3" t="n">
        <v>44455.0</v>
      </c>
      <c r="S2066" s="3" t="n">
        <v>44456.22987481482</v>
      </c>
      <c r="T2066" s="3" t="n">
        <v>44459.45204192129</v>
      </c>
      <c r="U2066" t="s">
        <v>14232</v>
      </c>
      <c r="V2066" t="s">
        <v>14233</v>
      </c>
    </row>
    <row r="2067">
      <c r="A2067" t="s">
        <v>22</v>
      </c>
      <c r="B2067" t="s">
        <v>14234</v>
      </c>
      <c r="C2067" t="s">
        <v>24</v>
      </c>
      <c r="D2067" t="s">
        <v>8459</v>
      </c>
      <c r="E2067" t="s">
        <v>14235</v>
      </c>
      <c r="F2067" s="2" t="n">
        <f>HYPERLINK("https://patents.google.com/patent/US20210282479","Google")</f>
        <v>0.0</v>
      </c>
      <c r="G2067" s="2" t="n">
        <f>HYPERLINK("https://patentcenter.uspto.gov/applications/17146325","Patent Center")</f>
        <v>0.0</v>
      </c>
      <c r="H2067" s="2" t="n">
        <f>HYPERLINK("https://worldwide.espacenet.com/patent/search?q=US20210282479","Espacenet")</f>
        <v>0.0</v>
      </c>
      <c r="I2067" s="2" t="n">
        <f>HYPERLINK("https://ppubs.uspto.gov/pubwebapp/external.html?q=20210282479.pn.","USPTO")</f>
        <v>0.0</v>
      </c>
      <c r="J2067" s="2" t="n">
        <f>HYPERLINK("https://image-ppubs.uspto.gov/dirsearch-public/print/downloadPdf/20210282479","USPTO PDF")</f>
        <v>0.0</v>
      </c>
      <c r="K2067" s="2" t="n">
        <f>HYPERLINK("https://sectors.patentforecast.com/pmd/US20210282479","PMD")</f>
        <v>0.0</v>
      </c>
      <c r="L2067" s="2" t="n">
        <f>HYPERLINK("https://globaldossier.uspto.gov/result/application/US/17146325/1","US20210282479")</f>
        <v>0.0</v>
      </c>
      <c r="M2067" t="s">
        <v>14236</v>
      </c>
      <c r="N2067" t="s">
        <v>14237</v>
      </c>
      <c r="O2067" t="s">
        <v>14238</v>
      </c>
      <c r="P2067" t="s">
        <v>14239</v>
      </c>
      <c r="Q2067" s="3" t="n">
        <v>44207.0</v>
      </c>
      <c r="R2067" s="3" t="n">
        <v>44455.0</v>
      </c>
      <c r="S2067" s="3" t="n">
        <v>44456.22987481482</v>
      </c>
      <c r="T2067" s="3" t="n">
        <v>44459.46138275463</v>
      </c>
      <c r="U2067" t="s">
        <v>14240</v>
      </c>
      <c r="V2067" t="s">
        <v>14241</v>
      </c>
    </row>
    <row r="2068">
      <c r="A2068" t="s">
        <v>22</v>
      </c>
      <c r="B2068" t="s">
        <v>14242</v>
      </c>
      <c r="C2068" t="s">
        <v>24</v>
      </c>
      <c r="D2068" t="s">
        <v>8459</v>
      </c>
      <c r="E2068" t="s">
        <v>14235</v>
      </c>
      <c r="F2068" s="2" t="n">
        <f>HYPERLINK("https://patents.google.com/patent/US20210282478","Google")</f>
        <v>0.0</v>
      </c>
      <c r="G2068" s="2" t="n">
        <f>HYPERLINK("https://patentcenter.uspto.gov/applications/16921619","Patent Center")</f>
        <v>0.0</v>
      </c>
      <c r="H2068" s="2" t="n">
        <f>HYPERLINK("https://worldwide.espacenet.com/patent/search?q=US20210282478","Espacenet")</f>
        <v>0.0</v>
      </c>
      <c r="I2068" s="2" t="n">
        <f>HYPERLINK("https://ppubs.uspto.gov/pubwebapp/external.html?q=20210282478.pn.","USPTO")</f>
        <v>0.0</v>
      </c>
      <c r="J2068" s="2" t="n">
        <f>HYPERLINK("https://image-ppubs.uspto.gov/dirsearch-public/print/downloadPdf/20210282478","USPTO PDF")</f>
        <v>0.0</v>
      </c>
      <c r="K2068" s="2" t="n">
        <f>HYPERLINK("https://sectors.patentforecast.com/pmd/US20210282478","PMD")</f>
        <v>0.0</v>
      </c>
      <c r="L2068" s="2" t="n">
        <f>HYPERLINK("https://globaldossier.uspto.gov/result/application/US/16921619/1","US20210282478")</f>
        <v>0.0</v>
      </c>
      <c r="M2068" t="s">
        <v>14243</v>
      </c>
      <c r="N2068" t="s">
        <v>14237</v>
      </c>
      <c r="O2068" t="s">
        <v>14238</v>
      </c>
      <c r="P2068" t="s">
        <v>14239</v>
      </c>
      <c r="Q2068" s="3" t="n">
        <v>44018.0</v>
      </c>
      <c r="R2068" s="3" t="n">
        <v>44455.0</v>
      </c>
      <c r="S2068" s="3" t="n">
        <v>44456.22987481482</v>
      </c>
      <c r="T2068" s="3" t="n">
        <v>44459.46138275463</v>
      </c>
      <c r="U2068" t="s">
        <v>14244</v>
      </c>
      <c r="V2068" t="s">
        <v>14241</v>
      </c>
    </row>
    <row r="2069">
      <c r="A2069" t="s">
        <v>22</v>
      </c>
      <c r="B2069" t="s">
        <v>14245</v>
      </c>
      <c r="C2069" t="s">
        <v>24</v>
      </c>
      <c r="D2069" t="s">
        <v>8459</v>
      </c>
      <c r="E2069" t="s">
        <v>14235</v>
      </c>
      <c r="F2069" s="2" t="n">
        <f>HYPERLINK("https://patents.google.com/patent/US20210282475","Google")</f>
        <v>0.0</v>
      </c>
      <c r="G2069" s="2" t="n">
        <f>HYPERLINK("https://patentcenter.uspto.gov/applications/16877056","Patent Center")</f>
        <v>0.0</v>
      </c>
      <c r="H2069" s="2" t="n">
        <f>HYPERLINK("https://worldwide.espacenet.com/patent/search?q=US20210282475","Espacenet")</f>
        <v>0.0</v>
      </c>
      <c r="I2069" s="2" t="n">
        <f>HYPERLINK("https://ppubs.uspto.gov/pubwebapp/external.html?q=20210282475.pn.","USPTO")</f>
        <v>0.0</v>
      </c>
      <c r="J2069" s="2" t="n">
        <f>HYPERLINK("https://image-ppubs.uspto.gov/dirsearch-public/print/downloadPdf/20210282475","USPTO PDF")</f>
        <v>0.0</v>
      </c>
      <c r="K2069" s="2" t="n">
        <f>HYPERLINK("https://sectors.patentforecast.com/pmd/US20210282475","PMD")</f>
        <v>0.0</v>
      </c>
      <c r="L2069" s="2" t="n">
        <f>HYPERLINK("https://globaldossier.uspto.gov/result/application/US/16877056/1","US20210282475")</f>
        <v>0.0</v>
      </c>
      <c r="M2069" t="s">
        <v>14246</v>
      </c>
      <c r="N2069" t="s">
        <v>14237</v>
      </c>
      <c r="O2069" t="s">
        <v>14238</v>
      </c>
      <c r="P2069" t="s">
        <v>14239</v>
      </c>
      <c r="Q2069" s="3" t="n">
        <v>43969.0</v>
      </c>
      <c r="R2069" s="3" t="n">
        <v>44455.0</v>
      </c>
      <c r="S2069" s="3" t="n">
        <v>44456.22987481482</v>
      </c>
      <c r="T2069" s="3" t="n">
        <v>44459.46138275463</v>
      </c>
      <c r="U2069" t="s">
        <v>14247</v>
      </c>
      <c r="V2069" t="s">
        <v>14241</v>
      </c>
    </row>
    <row r="2070">
      <c r="A2070" t="s">
        <v>22</v>
      </c>
      <c r="B2070" t="s">
        <v>14248</v>
      </c>
      <c r="C2070" t="s">
        <v>24</v>
      </c>
      <c r="D2070" t="s">
        <v>69</v>
      </c>
      <c r="E2070" t="s">
        <v>14249</v>
      </c>
      <c r="F2070" s="2" t="n">
        <f>HYPERLINK("https://patents.google.com/patent/US20210280322","Google")</f>
        <v>0.0</v>
      </c>
      <c r="G2070" s="2" t="n">
        <f>HYPERLINK("https://patentcenter.uspto.gov/applications/17319817","Patent Center")</f>
        <v>0.0</v>
      </c>
      <c r="H2070" s="2" t="n">
        <f>HYPERLINK("https://worldwide.espacenet.com/patent/search?q=US20210280322","Espacenet")</f>
        <v>0.0</v>
      </c>
      <c r="I2070" s="2" t="n">
        <f>HYPERLINK("https://ppubs.uspto.gov/pubwebapp/external.html?q=20210280322.pn.","USPTO")</f>
        <v>0.0</v>
      </c>
      <c r="J2070" s="2" t="n">
        <f>HYPERLINK("https://image-ppubs.uspto.gov/dirsearch-public/print/downloadPdf/20210280322","USPTO PDF")</f>
        <v>0.0</v>
      </c>
      <c r="K2070" s="2" t="n">
        <f>HYPERLINK("https://sectors.patentforecast.com/pmd/US20210280322","PMD")</f>
        <v>0.0</v>
      </c>
      <c r="L2070" s="2" t="n">
        <f>HYPERLINK("https://globaldossier.uspto.gov/result/application/US/17319817/1","US20210280322")</f>
        <v>0.0</v>
      </c>
      <c r="M2070" t="s">
        <v>14250</v>
      </c>
      <c r="N2070" t="s">
        <v>14251</v>
      </c>
      <c r="O2070" t="s">
        <v>14252</v>
      </c>
      <c r="P2070" t="s">
        <v>14253</v>
      </c>
      <c r="Q2070" s="3" t="n">
        <v>44329.0</v>
      </c>
      <c r="R2070" s="3" t="n">
        <v>44448.0</v>
      </c>
      <c r="S2070" s="3" t="n">
        <v>44448.229858287035</v>
      </c>
      <c r="T2070" s="3" t="n">
        <v>44448.69474267361</v>
      </c>
      <c r="U2070" t="s">
        <v>14254</v>
      </c>
      <c r="V2070" t="s">
        <v>14255</v>
      </c>
    </row>
    <row r="2071">
      <c r="A2071" t="s">
        <v>22</v>
      </c>
      <c r="B2071" t="s">
        <v>14256</v>
      </c>
      <c r="C2071" t="s">
        <v>24</v>
      </c>
      <c r="D2071" t="s">
        <v>43</v>
      </c>
      <c r="E2071" t="s">
        <v>44</v>
      </c>
      <c r="F2071" s="2" t="n">
        <f>HYPERLINK("https://patents.google.com/patent/US20210280321","Google")</f>
        <v>0.0</v>
      </c>
      <c r="G2071" s="2" t="n">
        <f>HYPERLINK("https://patentcenter.uspto.gov/applications/17195489","Patent Center")</f>
        <v>0.0</v>
      </c>
      <c r="H2071" s="2" t="n">
        <f>HYPERLINK("https://worldwide.espacenet.com/patent/search?q=US20210280321","Espacenet")</f>
        <v>0.0</v>
      </c>
      <c r="I2071" s="2" t="n">
        <f>HYPERLINK("https://ppubs.uspto.gov/pubwebapp/external.html?q=20210280321.pn.","USPTO")</f>
        <v>0.0</v>
      </c>
      <c r="J2071" s="2" t="n">
        <f>HYPERLINK("https://image-ppubs.uspto.gov/dirsearch-public/print/downloadPdf/20210280321","USPTO PDF")</f>
        <v>0.0</v>
      </c>
      <c r="K2071" s="2" t="n">
        <f>HYPERLINK("https://sectors.patentforecast.com/pmd/US20210280321","PMD")</f>
        <v>0.0</v>
      </c>
      <c r="L2071" s="2" t="n">
        <f>HYPERLINK("https://globaldossier.uspto.gov/result/application/US/17195489/1","US20210280321")</f>
        <v>0.0</v>
      </c>
      <c r="M2071" t="s">
        <v>14257</v>
      </c>
      <c r="N2071" t="s">
        <v>46</v>
      </c>
      <c r="O2071" t="s">
        <v>47</v>
      </c>
      <c r="P2071" t="s">
        <v>48</v>
      </c>
      <c r="Q2071" s="3" t="n">
        <v>44263.0</v>
      </c>
      <c r="R2071" s="3" t="n">
        <v>44448.0</v>
      </c>
      <c r="S2071" s="3" t="n">
        <v>44448.229858287035</v>
      </c>
      <c r="T2071" s="3" t="n">
        <v>44448.681167905095</v>
      </c>
      <c r="U2071" t="s">
        <v>14258</v>
      </c>
      <c r="V2071" t="s">
        <v>49</v>
      </c>
    </row>
    <row r="2072">
      <c r="A2072" t="s">
        <v>22</v>
      </c>
      <c r="B2072" t="s">
        <v>14259</v>
      </c>
      <c r="C2072" t="s">
        <v>24</v>
      </c>
      <c r="D2072" t="s">
        <v>51</v>
      </c>
      <c r="E2072" t="s">
        <v>14260</v>
      </c>
      <c r="F2072" s="2" t="n">
        <f>HYPERLINK("https://patents.google.com/patent/US20210277489","Google")</f>
        <v>0.0</v>
      </c>
      <c r="G2072" s="2" t="n">
        <f>HYPERLINK("https://patentcenter.uspto.gov/applications/17210637","Patent Center")</f>
        <v>0.0</v>
      </c>
      <c r="H2072" s="2" t="n">
        <f>HYPERLINK("https://worldwide.espacenet.com/patent/search?q=US20210277489","Espacenet")</f>
        <v>0.0</v>
      </c>
      <c r="I2072" s="2" t="n">
        <f>HYPERLINK("https://ppubs.uspto.gov/pubwebapp/external.html?q=20210277489.pn.","USPTO")</f>
        <v>0.0</v>
      </c>
      <c r="J2072" s="2" t="n">
        <f>HYPERLINK("https://image-ppubs.uspto.gov/dirsearch-public/print/downloadPdf/20210277489","USPTO PDF")</f>
        <v>0.0</v>
      </c>
      <c r="K2072" s="2" t="n">
        <f>HYPERLINK("https://sectors.patentforecast.com/pmd/US20210277489","PMD")</f>
        <v>0.0</v>
      </c>
      <c r="L2072" s="2" t="n">
        <f>HYPERLINK("https://globaldossier.uspto.gov/result/application/US/17210637/1","US20210277489")</f>
        <v>0.0</v>
      </c>
      <c r="M2072" t="s">
        <v>14261</v>
      </c>
      <c r="N2072" t="s">
        <v>6864</v>
      </c>
      <c r="O2072" t="s">
        <v>6864</v>
      </c>
      <c r="P2072" t="s">
        <v>14262</v>
      </c>
      <c r="Q2072" s="3" t="n">
        <v>44279.0</v>
      </c>
      <c r="R2072" s="3" t="n">
        <v>44448.0</v>
      </c>
      <c r="S2072" s="3" t="n">
        <v>44448.229858287035</v>
      </c>
      <c r="T2072" s="3" t="n">
        <v>44448.68998440972</v>
      </c>
      <c r="U2072" t="s">
        <v>14263</v>
      </c>
      <c r="V2072" t="s">
        <v>14264</v>
      </c>
    </row>
    <row r="2073">
      <c r="A2073" t="s">
        <v>22</v>
      </c>
      <c r="B2073" t="s">
        <v>14265</v>
      </c>
      <c r="C2073" t="s">
        <v>24</v>
      </c>
      <c r="D2073" t="s">
        <v>51</v>
      </c>
      <c r="E2073" t="s">
        <v>14266</v>
      </c>
      <c r="F2073" s="2" t="n">
        <f>HYPERLINK("https://patents.google.com/patent/US20210277488","Google")</f>
        <v>0.0</v>
      </c>
      <c r="G2073" s="2" t="n">
        <f>HYPERLINK("https://patentcenter.uspto.gov/applications/17100289","Patent Center")</f>
        <v>0.0</v>
      </c>
      <c r="H2073" s="2" t="n">
        <f>HYPERLINK("https://worldwide.espacenet.com/patent/search?q=US20210277488","Espacenet")</f>
        <v>0.0</v>
      </c>
      <c r="I2073" s="2" t="n">
        <f>HYPERLINK("https://ppubs.uspto.gov/pubwebapp/external.html?q=20210277488.pn.","USPTO")</f>
        <v>0.0</v>
      </c>
      <c r="J2073" s="2" t="n">
        <f>HYPERLINK("https://image-ppubs.uspto.gov/dirsearch-public/print/downloadPdf/20210277488","USPTO PDF")</f>
        <v>0.0</v>
      </c>
      <c r="K2073" s="2" t="n">
        <f>HYPERLINK("https://sectors.patentforecast.com/pmd/US20210277488","PMD")</f>
        <v>0.0</v>
      </c>
      <c r="L2073" s="2" t="n">
        <f>HYPERLINK("https://globaldossier.uspto.gov/result/application/US/17100289/1","US20210277488")</f>
        <v>0.0</v>
      </c>
      <c r="M2073" t="s">
        <v>14267</v>
      </c>
      <c r="N2073" t="s">
        <v>14268</v>
      </c>
      <c r="O2073" t="s">
        <v>14269</v>
      </c>
      <c r="P2073" t="s">
        <v>14270</v>
      </c>
      <c r="Q2073" s="3" t="n">
        <v>44155.0</v>
      </c>
      <c r="R2073" s="3" t="n">
        <v>44448.0</v>
      </c>
      <c r="S2073" s="3" t="n">
        <v>44448.2295078125</v>
      </c>
      <c r="T2073" s="3" t="n">
        <v>44448.68034600694</v>
      </c>
      <c r="U2073" t="s">
        <v>11394</v>
      </c>
      <c r="V2073" t="s">
        <v>14271</v>
      </c>
    </row>
    <row r="2074">
      <c r="A2074" t="s">
        <v>22</v>
      </c>
      <c r="B2074" t="s">
        <v>14272</v>
      </c>
      <c r="C2074" t="s">
        <v>60</v>
      </c>
      <c r="D2074" t="s">
        <v>77</v>
      </c>
      <c r="E2074" t="s">
        <v>14273</v>
      </c>
      <c r="F2074" s="2" t="n">
        <f>HYPERLINK("https://patents.google.com/patent/US20210277093","Google")</f>
        <v>0.0</v>
      </c>
      <c r="G2074" s="2" t="n">
        <f>HYPERLINK("https://patentcenter.uspto.gov/applications/17196846","Patent Center")</f>
        <v>0.0</v>
      </c>
      <c r="H2074" s="2" t="n">
        <f>HYPERLINK("https://worldwide.espacenet.com/patent/search?q=US20210277093","Espacenet")</f>
        <v>0.0</v>
      </c>
      <c r="I2074" s="2" t="n">
        <f>HYPERLINK("https://ppubs.uspto.gov/pubwebapp/external.html?q=20210277093.pn.","USPTO")</f>
        <v>0.0</v>
      </c>
      <c r="J2074" s="2" t="n">
        <f>HYPERLINK("https://image-ppubs.uspto.gov/dirsearch-public/print/downloadPdf/20210277093","USPTO PDF")</f>
        <v>0.0</v>
      </c>
      <c r="K2074" s="2" t="n">
        <f>HYPERLINK("https://sectors.patentforecast.com/pmd/US20210277093","PMD")</f>
        <v>0.0</v>
      </c>
      <c r="L2074" s="2" t="n">
        <f>HYPERLINK("https://globaldossier.uspto.gov/result/application/US/17196846/1","US20210277093")</f>
        <v>0.0</v>
      </c>
      <c r="M2074" t="s">
        <v>14274</v>
      </c>
      <c r="N2074" t="s">
        <v>7190</v>
      </c>
      <c r="O2074" t="s">
        <v>7191</v>
      </c>
      <c r="P2074" t="s">
        <v>14275</v>
      </c>
      <c r="Q2074" s="3" t="n">
        <v>44264.0</v>
      </c>
      <c r="R2074" s="3" t="n">
        <v>44448.0</v>
      </c>
      <c r="S2074" s="3" t="n">
        <v>44448.229858287035</v>
      </c>
      <c r="T2074" s="3" t="n">
        <v>44448.688566400466</v>
      </c>
      <c r="U2074" t="s">
        <v>14276</v>
      </c>
      <c r="V2074" t="s">
        <v>14277</v>
      </c>
    </row>
    <row r="2075">
      <c r="A2075" t="s">
        <v>22</v>
      </c>
      <c r="B2075" t="s">
        <v>14278</v>
      </c>
      <c r="C2075" t="s">
        <v>60</v>
      </c>
      <c r="D2075" t="s">
        <v>77</v>
      </c>
      <c r="E2075" t="s">
        <v>13357</v>
      </c>
      <c r="F2075" s="2" t="n">
        <f>HYPERLINK("https://patents.google.com/patent/US20210277092","Google")</f>
        <v>0.0</v>
      </c>
      <c r="G2075" s="2" t="n">
        <f>HYPERLINK("https://patentcenter.uspto.gov/applications/17173417","Patent Center")</f>
        <v>0.0</v>
      </c>
      <c r="H2075" s="2" t="n">
        <f>HYPERLINK("https://worldwide.espacenet.com/patent/search?q=US20210277092","Espacenet")</f>
        <v>0.0</v>
      </c>
      <c r="I2075" s="2" t="n">
        <f>HYPERLINK("https://ppubs.uspto.gov/pubwebapp/external.html?q=20210277092.pn.","USPTO")</f>
        <v>0.0</v>
      </c>
      <c r="J2075" s="2" t="n">
        <f>HYPERLINK("https://image-ppubs.uspto.gov/dirsearch-public/print/downloadPdf/20210277092","USPTO PDF")</f>
        <v>0.0</v>
      </c>
      <c r="K2075" s="2" t="n">
        <f>HYPERLINK("https://sectors.patentforecast.com/pmd/US20210277092","PMD")</f>
        <v>0.0</v>
      </c>
      <c r="L2075" s="2" t="n">
        <f>HYPERLINK("https://globaldossier.uspto.gov/result/application/US/17173417/1","US20210277092")</f>
        <v>0.0</v>
      </c>
      <c r="M2075" t="s">
        <v>14279</v>
      </c>
      <c r="N2075" t="s">
        <v>2974</v>
      </c>
      <c r="O2075" t="s">
        <v>2974</v>
      </c>
      <c r="P2075" t="s">
        <v>14280</v>
      </c>
      <c r="Q2075" s="3" t="n">
        <v>44238.0</v>
      </c>
      <c r="R2075" s="3" t="n">
        <v>44448.0</v>
      </c>
      <c r="S2075" s="3" t="n">
        <v>44448.229858287035</v>
      </c>
      <c r="T2075" s="3" t="n">
        <v>44448.68463224537</v>
      </c>
      <c r="U2075" t="s">
        <v>14281</v>
      </c>
      <c r="V2075" t="s">
        <v>13361</v>
      </c>
    </row>
    <row r="2076">
      <c r="A2076" t="s">
        <v>22</v>
      </c>
      <c r="B2076" t="s">
        <v>14282</v>
      </c>
      <c r="C2076" t="s">
        <v>24</v>
      </c>
      <c r="D2076" t="s">
        <v>69</v>
      </c>
      <c r="E2076" t="s">
        <v>14283</v>
      </c>
      <c r="F2076" s="2" t="n">
        <f>HYPERLINK("https://patents.google.com/patent/US20210275838","Google")</f>
        <v>0.0</v>
      </c>
      <c r="G2076" s="2" t="n">
        <f>HYPERLINK("https://patentcenter.uspto.gov/applications/17249503","Patent Center")</f>
        <v>0.0</v>
      </c>
      <c r="H2076" s="2" t="n">
        <f>HYPERLINK("https://worldwide.espacenet.com/patent/search?q=US20210275838","Espacenet")</f>
        <v>0.0</v>
      </c>
      <c r="I2076" s="2" t="n">
        <f>HYPERLINK("https://ppubs.uspto.gov/pubwebapp/external.html?q=20210275838.pn.","USPTO")</f>
        <v>0.0</v>
      </c>
      <c r="J2076" s="2" t="n">
        <f>HYPERLINK("https://image-ppubs.uspto.gov/dirsearch-public/print/downloadPdf/20210275838","USPTO PDF")</f>
        <v>0.0</v>
      </c>
      <c r="K2076" s="2" t="n">
        <f>HYPERLINK("https://sectors.patentforecast.com/pmd/US20210275838","PMD")</f>
        <v>0.0</v>
      </c>
      <c r="L2076" s="2" t="n">
        <f>HYPERLINK("https://globaldossier.uspto.gov/result/application/US/17249503/1","US20210275838")</f>
        <v>0.0</v>
      </c>
      <c r="M2076" t="s">
        <v>14284</v>
      </c>
      <c r="N2076" t="s">
        <v>14285</v>
      </c>
      <c r="O2076" t="s">
        <v>14286</v>
      </c>
      <c r="P2076" t="s">
        <v>14287</v>
      </c>
      <c r="Q2076" s="3" t="n">
        <v>44258.0</v>
      </c>
      <c r="R2076" s="3" t="n">
        <v>44448.0</v>
      </c>
      <c r="S2076" s="3" t="n">
        <v>44448.229858287035</v>
      </c>
      <c r="T2076" s="3" t="n">
        <v>44448.692110729164</v>
      </c>
      <c r="U2076" t="s">
        <v>14288</v>
      </c>
      <c r="V2076" t="s">
        <v>14289</v>
      </c>
    </row>
    <row r="2077">
      <c r="A2077" t="s">
        <v>22</v>
      </c>
      <c r="B2077" t="s">
        <v>14290</v>
      </c>
      <c r="C2077" t="s">
        <v>24</v>
      </c>
      <c r="D2077" t="s">
        <v>69</v>
      </c>
      <c r="E2077" t="s">
        <v>14291</v>
      </c>
      <c r="F2077" s="2" t="n">
        <f>HYPERLINK("https://patents.google.com/patent/US20210275714","Google")</f>
        <v>0.0</v>
      </c>
      <c r="G2077" s="2" t="n">
        <f>HYPERLINK("https://patentcenter.uspto.gov/applications/16898679","Patent Center")</f>
        <v>0.0</v>
      </c>
      <c r="H2077" s="2" t="n">
        <f>HYPERLINK("https://worldwide.espacenet.com/patent/search?q=US20210275714","Espacenet")</f>
        <v>0.0</v>
      </c>
      <c r="I2077" s="2" t="n">
        <f>HYPERLINK("https://ppubs.uspto.gov/pubwebapp/external.html?q=20210275714.pn.","USPTO")</f>
        <v>0.0</v>
      </c>
      <c r="J2077" s="2" t="n">
        <f>HYPERLINK("https://image-ppubs.uspto.gov/dirsearch-public/print/downloadPdf/20210275714","USPTO PDF")</f>
        <v>0.0</v>
      </c>
      <c r="K2077" s="2" t="n">
        <f>HYPERLINK("https://sectors.patentforecast.com/pmd/US20210275714","PMD")</f>
        <v>0.0</v>
      </c>
      <c r="L2077" s="2" t="n">
        <f>HYPERLINK("https://globaldossier.uspto.gov/result/application/US/16898679/1","US20210275714")</f>
        <v>0.0</v>
      </c>
      <c r="M2077" t="s">
        <v>14292</v>
      </c>
      <c r="N2077" t="s">
        <v>14293</v>
      </c>
      <c r="O2077" t="s">
        <v>14294</v>
      </c>
      <c r="P2077" t="s">
        <v>14295</v>
      </c>
      <c r="Q2077" s="3" t="n">
        <v>43993.0</v>
      </c>
      <c r="R2077" s="3" t="n">
        <v>44448.0</v>
      </c>
      <c r="S2077" s="3" t="n">
        <v>44448.229858287035</v>
      </c>
      <c r="T2077" s="3" t="n">
        <v>44448.694431550924</v>
      </c>
      <c r="U2077" t="s">
        <v>14296</v>
      </c>
      <c r="V2077" t="s">
        <v>14297</v>
      </c>
    </row>
    <row r="2078">
      <c r="A2078" t="s">
        <v>22</v>
      </c>
      <c r="B2078" t="s">
        <v>14298</v>
      </c>
      <c r="C2078" t="s">
        <v>132</v>
      </c>
      <c r="D2078" t="s">
        <v>133</v>
      </c>
      <c r="E2078" t="s">
        <v>14299</v>
      </c>
      <c r="F2078" s="2" t="n">
        <f>HYPERLINK("https://patents.google.com/patent/US20210275665","Google")</f>
        <v>0.0</v>
      </c>
      <c r="G2078" s="2" t="n">
        <f>HYPERLINK("https://patentcenter.uspto.gov/applications/17249546","Patent Center")</f>
        <v>0.0</v>
      </c>
      <c r="H2078" s="2" t="n">
        <f>HYPERLINK("https://worldwide.espacenet.com/patent/search?q=US20210275665","Espacenet")</f>
        <v>0.0</v>
      </c>
      <c r="I2078" s="2" t="n">
        <f>HYPERLINK("https://ppubs.uspto.gov/pubwebapp/external.html?q=20210275665.pn.","USPTO")</f>
        <v>0.0</v>
      </c>
      <c r="J2078" s="2" t="n">
        <f>HYPERLINK("https://image-ppubs.uspto.gov/dirsearch-public/print/downloadPdf/20210275665","USPTO PDF")</f>
        <v>0.0</v>
      </c>
      <c r="K2078" s="2" t="n">
        <f>HYPERLINK("https://sectors.patentforecast.com/pmd/US20210275665","PMD")</f>
        <v>0.0</v>
      </c>
      <c r="L2078" s="2" t="n">
        <f>HYPERLINK("https://globaldossier.uspto.gov/result/application/US/17249546/1","US20210275665")</f>
        <v>0.0</v>
      </c>
      <c r="M2078" t="s">
        <v>14300</v>
      </c>
      <c r="N2078" t="s">
        <v>3998</v>
      </c>
      <c r="O2078" t="s">
        <v>3999</v>
      </c>
      <c r="P2078" t="s">
        <v>14301</v>
      </c>
      <c r="Q2078" s="3" t="n">
        <v>44259.0</v>
      </c>
      <c r="R2078" s="3" t="n">
        <v>44448.0</v>
      </c>
      <c r="S2078" s="3" t="n">
        <v>44448.229858287035</v>
      </c>
      <c r="T2078" s="3" t="n">
        <v>44448.68451710648</v>
      </c>
      <c r="U2078" t="s">
        <v>14302</v>
      </c>
      <c r="V2078" t="s">
        <v>14303</v>
      </c>
    </row>
    <row r="2079">
      <c r="A2079" t="s">
        <v>22</v>
      </c>
      <c r="B2079" t="s">
        <v>14304</v>
      </c>
      <c r="C2079" t="s">
        <v>132</v>
      </c>
      <c r="D2079" t="s">
        <v>133</v>
      </c>
      <c r="E2079" t="s">
        <v>14305</v>
      </c>
      <c r="F2079" s="2" t="n">
        <f>HYPERLINK("https://patents.google.com/patent/US20210275664","Google")</f>
        <v>0.0</v>
      </c>
      <c r="G2079" s="2" t="n">
        <f>HYPERLINK("https://patentcenter.uspto.gov/applications/17194834","Patent Center")</f>
        <v>0.0</v>
      </c>
      <c r="H2079" s="2" t="n">
        <f>HYPERLINK("https://worldwide.espacenet.com/patent/search?q=US20210275664","Espacenet")</f>
        <v>0.0</v>
      </c>
      <c r="I2079" s="2" t="n">
        <f>HYPERLINK("https://ppubs.uspto.gov/pubwebapp/external.html?q=20210275664.pn.","USPTO")</f>
        <v>0.0</v>
      </c>
      <c r="J2079" s="2" t="n">
        <f>HYPERLINK("https://image-ppubs.uspto.gov/dirsearch-public/print/downloadPdf/20210275664","USPTO PDF")</f>
        <v>0.0</v>
      </c>
      <c r="K2079" s="2" t="n">
        <f>HYPERLINK("https://sectors.patentforecast.com/pmd/US20210275664","PMD")</f>
        <v>0.0</v>
      </c>
      <c r="L2079" s="2" t="n">
        <f>HYPERLINK("https://globaldossier.uspto.gov/result/application/US/17194834/1","US20210275664")</f>
        <v>0.0</v>
      </c>
      <c r="M2079" t="s">
        <v>14306</v>
      </c>
      <c r="N2079" t="s">
        <v>7310</v>
      </c>
      <c r="O2079" t="s">
        <v>7311</v>
      </c>
      <c r="P2079" t="s">
        <v>14307</v>
      </c>
      <c r="Q2079" s="3" t="n">
        <v>44263.0</v>
      </c>
      <c r="R2079" s="3" t="n">
        <v>44448.0</v>
      </c>
      <c r="S2079" s="3" t="n">
        <v>44448.231590902775</v>
      </c>
      <c r="T2079" s="3" t="n">
        <v>44448.692566377315</v>
      </c>
      <c r="U2079" t="s">
        <v>14308</v>
      </c>
      <c r="V2079" t="s">
        <v>14309</v>
      </c>
    </row>
    <row r="2080">
      <c r="A2080" t="s">
        <v>22</v>
      </c>
      <c r="B2080" t="s">
        <v>14310</v>
      </c>
      <c r="C2080" t="s">
        <v>60</v>
      </c>
      <c r="D2080" t="s">
        <v>61</v>
      </c>
      <c r="E2080" t="s">
        <v>14311</v>
      </c>
      <c r="F2080" s="2" t="n">
        <f>HYPERLINK("https://patents.google.com/patent/US20210275563","Google")</f>
        <v>0.0</v>
      </c>
      <c r="G2080" s="2" t="n">
        <f>HYPERLINK("https://patentcenter.uspto.gov/applications/17094541","Patent Center")</f>
        <v>0.0</v>
      </c>
      <c r="H2080" s="2" t="n">
        <f>HYPERLINK("https://worldwide.espacenet.com/patent/search?q=US20210275563","Espacenet")</f>
        <v>0.0</v>
      </c>
      <c r="I2080" s="2" t="n">
        <f>HYPERLINK("https://ppubs.uspto.gov/pubwebapp/external.html?q=20210275563.pn.","USPTO")</f>
        <v>0.0</v>
      </c>
      <c r="J2080" s="2" t="n">
        <f>HYPERLINK("https://image-ppubs.uspto.gov/dirsearch-public/print/downloadPdf/20210275563","USPTO PDF")</f>
        <v>0.0</v>
      </c>
      <c r="K2080" s="2" t="n">
        <f>HYPERLINK("https://sectors.patentforecast.com/pmd/US20210275563","PMD")</f>
        <v>0.0</v>
      </c>
      <c r="L2080" s="2" t="n">
        <f>HYPERLINK("https://globaldossier.uspto.gov/result/application/US/17094541/1","US20210275563")</f>
        <v>0.0</v>
      </c>
      <c r="M2080" t="s">
        <v>14312</v>
      </c>
      <c r="N2080" t="s">
        <v>14313</v>
      </c>
      <c r="O2080" t="s">
        <v>14314</v>
      </c>
      <c r="P2080" t="s">
        <v>14315</v>
      </c>
      <c r="Q2080" s="3" t="n">
        <v>44145.0</v>
      </c>
      <c r="R2080" s="3" t="n">
        <v>44448.0</v>
      </c>
      <c r="S2080" s="3" t="n">
        <v>44448.2295078125</v>
      </c>
      <c r="T2080" s="3" t="n">
        <v>44448.68784046296</v>
      </c>
      <c r="U2080" t="s">
        <v>14316</v>
      </c>
      <c r="V2080" t="s">
        <v>14317</v>
      </c>
    </row>
    <row r="2081">
      <c r="A2081" t="s">
        <v>22</v>
      </c>
      <c r="B2081" t="s">
        <v>14318</v>
      </c>
      <c r="C2081" t="s">
        <v>60</v>
      </c>
      <c r="D2081" t="s">
        <v>61</v>
      </c>
      <c r="E2081" t="s">
        <v>14319</v>
      </c>
      <c r="F2081" s="2" t="n">
        <f>HYPERLINK("https://patents.google.com/patent/US20210275544","Google")</f>
        <v>0.0</v>
      </c>
      <c r="G2081" s="2" t="n">
        <f>HYPERLINK("https://patentcenter.uspto.gov/applications/16906542","Patent Center")</f>
        <v>0.0</v>
      </c>
      <c r="H2081" s="2" t="n">
        <f>HYPERLINK("https://worldwide.espacenet.com/patent/search?q=US20210275544","Espacenet")</f>
        <v>0.0</v>
      </c>
      <c r="I2081" s="2" t="n">
        <f>HYPERLINK("https://ppubs.uspto.gov/pubwebapp/external.html?q=20210275544.pn.","USPTO")</f>
        <v>0.0</v>
      </c>
      <c r="J2081" s="2" t="n">
        <f>HYPERLINK("https://image-ppubs.uspto.gov/dirsearch-public/print/downloadPdf/20210275544","USPTO PDF")</f>
        <v>0.0</v>
      </c>
      <c r="K2081" s="2" t="n">
        <f>HYPERLINK("https://sectors.patentforecast.com/pmd/US20210275544","PMD")</f>
        <v>0.0</v>
      </c>
      <c r="L2081" s="2" t="n">
        <f>HYPERLINK("https://globaldossier.uspto.gov/result/application/US/16906542/1","US20210275544")</f>
        <v>0.0</v>
      </c>
      <c r="M2081" t="s">
        <v>14320</v>
      </c>
      <c r="N2081" t="s">
        <v>14321</v>
      </c>
      <c r="O2081" t="s">
        <v>14322</v>
      </c>
      <c r="P2081" t="s">
        <v>14323</v>
      </c>
      <c r="Q2081" s="3" t="n">
        <v>44001.0</v>
      </c>
      <c r="R2081" s="3" t="n">
        <v>44448.0</v>
      </c>
      <c r="S2081" s="3" t="n">
        <v>44448.229858287035</v>
      </c>
      <c r="T2081" s="3" t="n">
        <v>44448.683915601854</v>
      </c>
      <c r="U2081" t="s">
        <v>14324</v>
      </c>
      <c r="V2081" t="s">
        <v>14325</v>
      </c>
    </row>
    <row r="2082">
      <c r="A2082" t="s">
        <v>22</v>
      </c>
      <c r="B2082" t="s">
        <v>14326</v>
      </c>
      <c r="C2082" t="s">
        <v>60</v>
      </c>
      <c r="D2082" t="s">
        <v>4942</v>
      </c>
      <c r="E2082" t="s">
        <v>14327</v>
      </c>
      <c r="F2082" s="2" t="n">
        <f>HYPERLINK("https://patents.google.com/patent/US20210275446","Google")</f>
        <v>0.0</v>
      </c>
      <c r="G2082" s="2" t="n">
        <f>HYPERLINK("https://patentcenter.uspto.gov/applications/17248501","Patent Center")</f>
        <v>0.0</v>
      </c>
      <c r="H2082" s="2" t="n">
        <f>HYPERLINK("https://worldwide.espacenet.com/patent/search?q=US20210275446","Espacenet")</f>
        <v>0.0</v>
      </c>
      <c r="I2082" s="2" t="n">
        <f>HYPERLINK("https://ppubs.uspto.gov/pubwebapp/external.html?q=20210275446.pn.","USPTO")</f>
        <v>0.0</v>
      </c>
      <c r="J2082" s="2" t="n">
        <f>HYPERLINK("https://image-ppubs.uspto.gov/dirsearch-public/print/downloadPdf/20210275446","USPTO PDF")</f>
        <v>0.0</v>
      </c>
      <c r="K2082" s="2" t="n">
        <f>HYPERLINK("https://sectors.patentforecast.com/pmd/US20210275446","PMD")</f>
        <v>0.0</v>
      </c>
      <c r="L2082" s="2" t="n">
        <f>HYPERLINK("https://globaldossier.uspto.gov/result/application/US/17248501/1","US20210275446")</f>
        <v>0.0</v>
      </c>
      <c r="M2082" t="s">
        <v>14328</v>
      </c>
      <c r="N2082" t="s">
        <v>14329</v>
      </c>
      <c r="O2082" t="s">
        <v>14330</v>
      </c>
      <c r="P2082" t="s">
        <v>13721</v>
      </c>
      <c r="Q2082" s="3" t="n">
        <v>44223.0</v>
      </c>
      <c r="R2082" s="3" t="n">
        <v>44448.0</v>
      </c>
      <c r="S2082" s="3" t="n">
        <v>44448.229858287035</v>
      </c>
      <c r="T2082" s="3" t="n">
        <v>44448.68972795139</v>
      </c>
      <c r="U2082" t="s">
        <v>14331</v>
      </c>
      <c r="V2082" t="s">
        <v>14332</v>
      </c>
    </row>
    <row r="2083">
      <c r="A2083" t="s">
        <v>22</v>
      </c>
      <c r="B2083" t="s">
        <v>14333</v>
      </c>
      <c r="C2083" t="s">
        <v>24</v>
      </c>
      <c r="D2083" t="s">
        <v>51</v>
      </c>
      <c r="E2083" t="s">
        <v>14334</v>
      </c>
      <c r="F2083" s="2" t="n">
        <f>HYPERLINK("https://patents.google.com/patent/US20210275055","Google")</f>
        <v>0.0</v>
      </c>
      <c r="G2083" s="2" t="n">
        <f>HYPERLINK("https://patentcenter.uspto.gov/applications/17206870","Patent Center")</f>
        <v>0.0</v>
      </c>
      <c r="H2083" s="2" t="n">
        <f>HYPERLINK("https://worldwide.espacenet.com/patent/search?q=US20210275055","Espacenet")</f>
        <v>0.0</v>
      </c>
      <c r="I2083" s="2" t="n">
        <f>HYPERLINK("https://ppubs.uspto.gov/pubwebapp/external.html?q=20210275055.pn.","USPTO")</f>
        <v>0.0</v>
      </c>
      <c r="J2083" s="2" t="n">
        <f>HYPERLINK("https://image-ppubs.uspto.gov/dirsearch-public/print/downloadPdf/20210275055","USPTO PDF")</f>
        <v>0.0</v>
      </c>
      <c r="K2083" s="2" t="n">
        <f>HYPERLINK("https://sectors.patentforecast.com/pmd/US20210275055","PMD")</f>
        <v>0.0</v>
      </c>
      <c r="L2083" s="2" t="n">
        <f>HYPERLINK("https://globaldossier.uspto.gov/result/application/US/17206870/1","US20210275055")</f>
        <v>0.0</v>
      </c>
      <c r="M2083" t="s">
        <v>14335</v>
      </c>
      <c r="N2083" t="s">
        <v>14336</v>
      </c>
      <c r="O2083" t="s">
        <v>14337</v>
      </c>
      <c r="P2083" t="s">
        <v>14338</v>
      </c>
      <c r="Q2083" s="3" t="n">
        <v>44274.0</v>
      </c>
      <c r="R2083" s="3" t="n">
        <v>44448.0</v>
      </c>
      <c r="S2083" s="3" t="n">
        <v>44448.2295078125</v>
      </c>
      <c r="T2083" s="3" t="n">
        <v>44448.693521203706</v>
      </c>
      <c r="U2083" t="s">
        <v>14339</v>
      </c>
      <c r="V2083" t="s">
        <v>14340</v>
      </c>
    </row>
    <row r="2084">
      <c r="A2084" t="s">
        <v>22</v>
      </c>
      <c r="B2084" t="s">
        <v>14341</v>
      </c>
      <c r="C2084" t="s">
        <v>24</v>
      </c>
      <c r="D2084" t="s">
        <v>69</v>
      </c>
      <c r="E2084" t="s">
        <v>14342</v>
      </c>
      <c r="F2084" s="2" t="n">
        <f>HYPERLINK("https://patents.google.com/patent/US20210275034","Google")</f>
        <v>0.0</v>
      </c>
      <c r="G2084" s="2" t="n">
        <f>HYPERLINK("https://patentcenter.uspto.gov/applications/17319634","Patent Center")</f>
        <v>0.0</v>
      </c>
      <c r="H2084" s="2" t="n">
        <f>HYPERLINK("https://worldwide.espacenet.com/patent/search?q=US20210275034","Espacenet")</f>
        <v>0.0</v>
      </c>
      <c r="I2084" s="2" t="n">
        <f>HYPERLINK("https://ppubs.uspto.gov/pubwebapp/external.html?q=20210275034.pn.","USPTO")</f>
        <v>0.0</v>
      </c>
      <c r="J2084" s="2" t="n">
        <f>HYPERLINK("https://image-ppubs.uspto.gov/dirsearch-public/print/downloadPdf/20210275034","USPTO PDF")</f>
        <v>0.0</v>
      </c>
      <c r="K2084" s="2" t="n">
        <f>HYPERLINK("https://sectors.patentforecast.com/pmd/US20210275034","PMD")</f>
        <v>0.0</v>
      </c>
      <c r="L2084" s="2" t="n">
        <f>HYPERLINK("https://globaldossier.uspto.gov/result/application/US/17319634/1","US20210275034")</f>
        <v>0.0</v>
      </c>
      <c r="M2084" t="s">
        <v>14343</v>
      </c>
      <c r="N2084" t="s">
        <v>14251</v>
      </c>
      <c r="O2084" t="s">
        <v>14252</v>
      </c>
      <c r="P2084" t="s">
        <v>14344</v>
      </c>
      <c r="Q2084" s="3" t="n">
        <v>44329.0</v>
      </c>
      <c r="R2084" s="3" t="n">
        <v>44448.0</v>
      </c>
      <c r="S2084" s="3" t="n">
        <v>44448.229858287035</v>
      </c>
      <c r="T2084" s="3" t="n">
        <v>44448.694671666664</v>
      </c>
      <c r="U2084" t="s">
        <v>14345</v>
      </c>
      <c r="V2084" t="s">
        <v>14346</v>
      </c>
    </row>
    <row r="2085">
      <c r="A2085" t="s">
        <v>22</v>
      </c>
      <c r="B2085" t="s">
        <v>14347</v>
      </c>
      <c r="C2085" t="s">
        <v>24</v>
      </c>
      <c r="D2085" t="s">
        <v>100</v>
      </c>
      <c r="E2085" t="s">
        <v>14348</v>
      </c>
      <c r="F2085" s="2" t="n">
        <f>HYPERLINK("https://patents.google.com/patent/US20210274780","Google")</f>
        <v>0.0</v>
      </c>
      <c r="G2085" s="2" t="n">
        <f>HYPERLINK("https://patentcenter.uspto.gov/applications/16811971","Patent Center")</f>
        <v>0.0</v>
      </c>
      <c r="H2085" s="2" t="n">
        <f>HYPERLINK("https://worldwide.espacenet.com/patent/search?q=US20210274780","Espacenet")</f>
        <v>0.0</v>
      </c>
      <c r="I2085" s="2" t="n">
        <f>HYPERLINK("https://ppubs.uspto.gov/pubwebapp/external.html?q=20210274780.pn.","USPTO")</f>
        <v>0.0</v>
      </c>
      <c r="J2085" s="2" t="n">
        <f>HYPERLINK("https://image-ppubs.uspto.gov/dirsearch-public/print/downloadPdf/20210274780","USPTO PDF")</f>
        <v>0.0</v>
      </c>
      <c r="K2085" s="2" t="n">
        <f>HYPERLINK("https://sectors.patentforecast.com/pmd/US20210274780","PMD")</f>
        <v>0.0</v>
      </c>
      <c r="L2085" s="2" t="n">
        <f>HYPERLINK("https://globaldossier.uspto.gov/result/application/US/16811971/1","US20210274780")</f>
        <v>0.0</v>
      </c>
      <c r="M2085" t="s">
        <v>14349</v>
      </c>
      <c r="N2085" t="s">
        <v>13058</v>
      </c>
      <c r="O2085" t="s">
        <v>13059</v>
      </c>
      <c r="P2085" t="s">
        <v>14350</v>
      </c>
      <c r="Q2085" s="3" t="n">
        <v>43896.0</v>
      </c>
      <c r="R2085" s="3" t="n">
        <v>44448.0</v>
      </c>
      <c r="S2085" s="3" t="n">
        <v>44448.229858287035</v>
      </c>
      <c r="T2085" s="3" t="n">
        <v>44448.683191805554</v>
      </c>
      <c r="U2085" t="s">
        <v>14351</v>
      </c>
      <c r="V2085" t="s">
        <v>14352</v>
      </c>
    </row>
    <row r="2086">
      <c r="A2086" t="s">
        <v>22</v>
      </c>
      <c r="B2086" t="s">
        <v>14353</v>
      </c>
      <c r="C2086" t="s">
        <v>24</v>
      </c>
      <c r="D2086" t="s">
        <v>3193</v>
      </c>
      <c r="E2086" t="s">
        <v>14354</v>
      </c>
      <c r="F2086" s="2" t="n">
        <f>HYPERLINK("https://patents.google.com/patent/US20210272702","Google")</f>
        <v>0.0</v>
      </c>
      <c r="G2086" s="2" t="n">
        <f>HYPERLINK("https://patentcenter.uspto.gov/applications/16867751","Patent Center")</f>
        <v>0.0</v>
      </c>
      <c r="H2086" s="2" t="n">
        <f>HYPERLINK("https://worldwide.espacenet.com/patent/search?q=US20210272702","Espacenet")</f>
        <v>0.0</v>
      </c>
      <c r="I2086" s="2" t="n">
        <f>HYPERLINK("https://ppubs.uspto.gov/pubwebapp/external.html?q=20210272702.pn.","USPTO")</f>
        <v>0.0</v>
      </c>
      <c r="J2086" s="2" t="n">
        <f>HYPERLINK("https://image-ppubs.uspto.gov/dirsearch-public/print/downloadPdf/20210272702","USPTO PDF")</f>
        <v>0.0</v>
      </c>
      <c r="K2086" s="2" t="n">
        <f>HYPERLINK("https://sectors.patentforecast.com/pmd/US20210272702","PMD")</f>
        <v>0.0</v>
      </c>
      <c r="L2086" s="2" t="n">
        <f>HYPERLINK("https://globaldossier.uspto.gov/result/application/US/16867751/1","US20210272702")</f>
        <v>0.0</v>
      </c>
      <c r="M2086" t="s">
        <v>14355</v>
      </c>
      <c r="N2086" t="s">
        <v>14356</v>
      </c>
      <c r="O2086" t="s">
        <v>14356</v>
      </c>
      <c r="P2086" t="s">
        <v>14357</v>
      </c>
      <c r="Q2086" s="3" t="n">
        <v>43957.0</v>
      </c>
      <c r="R2086" s="3" t="n">
        <v>44441.0</v>
      </c>
      <c r="S2086" s="3" t="n">
        <v>44441.22985423611</v>
      </c>
      <c r="T2086" s="3" t="n">
        <v>44448.66008900463</v>
      </c>
      <c r="U2086" t="s">
        <v>14358</v>
      </c>
      <c r="V2086" t="s">
        <v>14359</v>
      </c>
    </row>
    <row r="2087">
      <c r="A2087" t="s">
        <v>22</v>
      </c>
      <c r="B2087" t="s">
        <v>14360</v>
      </c>
      <c r="C2087" t="s">
        <v>312</v>
      </c>
      <c r="D2087" t="s">
        <v>715</v>
      </c>
      <c r="E2087" t="s">
        <v>14361</v>
      </c>
      <c r="F2087" s="2" t="n">
        <f>HYPERLINK("https://patents.google.com/patent/US20210272244","Google")</f>
        <v>0.0</v>
      </c>
      <c r="G2087" s="2" t="n">
        <f>HYPERLINK("https://patentcenter.uspto.gov/applications/17245533","Patent Center")</f>
        <v>0.0</v>
      </c>
      <c r="H2087" s="2" t="n">
        <f>HYPERLINK("https://worldwide.espacenet.com/patent/search?q=US20210272244","Espacenet")</f>
        <v>0.0</v>
      </c>
      <c r="I2087" s="2" t="n">
        <f>HYPERLINK("https://ppubs.uspto.gov/pubwebapp/external.html?q=20210272244.pn.","USPTO")</f>
        <v>0.0</v>
      </c>
      <c r="J2087" s="2" t="n">
        <f>HYPERLINK("https://image-ppubs.uspto.gov/dirsearch-public/print/downloadPdf/20210272244","USPTO PDF")</f>
        <v>0.0</v>
      </c>
      <c r="K2087" s="2" t="n">
        <f>HYPERLINK("https://sectors.patentforecast.com/pmd/US20210272244","PMD")</f>
        <v>0.0</v>
      </c>
      <c r="L2087" s="2" t="n">
        <f>HYPERLINK("https://globaldossier.uspto.gov/result/application/US/17245533/1","US20210272244")</f>
        <v>0.0</v>
      </c>
      <c r="M2087" t="s">
        <v>14362</v>
      </c>
      <c r="N2087" t="s">
        <v>14363</v>
      </c>
      <c r="O2087" t="s">
        <v>14364</v>
      </c>
      <c r="P2087" t="s">
        <v>14365</v>
      </c>
      <c r="Q2087" s="3" t="n">
        <v>44316.0</v>
      </c>
      <c r="R2087" s="3" t="n">
        <v>44441.0</v>
      </c>
      <c r="S2087" s="3" t="n">
        <v>44441.22985423611</v>
      </c>
      <c r="T2087" s="3" t="n">
        <v>44448.66156046296</v>
      </c>
      <c r="U2087" t="s">
        <v>14366</v>
      </c>
      <c r="V2087" t="s">
        <v>14367</v>
      </c>
    </row>
    <row r="2088">
      <c r="A2088" t="s">
        <v>22</v>
      </c>
      <c r="B2088" t="s">
        <v>14368</v>
      </c>
      <c r="C2088" t="s">
        <v>24</v>
      </c>
      <c r="D2088" t="s">
        <v>43</v>
      </c>
      <c r="E2088" t="s">
        <v>14369</v>
      </c>
      <c r="F2088" s="2" t="n">
        <f>HYPERLINK("https://patents.google.com/patent/US20210271289","Google")</f>
        <v>0.0</v>
      </c>
      <c r="G2088" s="2" t="n">
        <f>HYPERLINK("https://patentcenter.uspto.gov/applications/17323932","Patent Center")</f>
        <v>0.0</v>
      </c>
      <c r="H2088" s="2" t="n">
        <f>HYPERLINK("https://worldwide.espacenet.com/patent/search?q=US20210271289","Espacenet")</f>
        <v>0.0</v>
      </c>
      <c r="I2088" s="2" t="n">
        <f>HYPERLINK("https://ppubs.uspto.gov/pubwebapp/external.html?q=20210271289.pn.","USPTO")</f>
        <v>0.0</v>
      </c>
      <c r="J2088" s="2" t="n">
        <f>HYPERLINK("https://image-ppubs.uspto.gov/dirsearch-public/print/downloadPdf/20210271289","USPTO PDF")</f>
        <v>0.0</v>
      </c>
      <c r="K2088" s="2" t="n">
        <f>HYPERLINK("https://sectors.patentforecast.com/pmd/US20210271289","PMD")</f>
        <v>0.0</v>
      </c>
      <c r="L2088" s="2" t="n">
        <f>HYPERLINK("https://globaldossier.uspto.gov/result/application/US/17323932/1","US20210271289")</f>
        <v>0.0</v>
      </c>
      <c r="M2088" t="s">
        <v>14370</v>
      </c>
      <c r="N2088" t="s">
        <v>14371</v>
      </c>
      <c r="O2088" t="s">
        <v>14372</v>
      </c>
      <c r="P2088" t="s">
        <v>14373</v>
      </c>
      <c r="Q2088" s="3" t="n">
        <v>44334.0</v>
      </c>
      <c r="R2088" s="3" t="n">
        <v>44441.0</v>
      </c>
      <c r="S2088" s="3" t="n">
        <v>44441.22985423611</v>
      </c>
      <c r="T2088" s="3" t="n">
        <v>44448.43422087963</v>
      </c>
      <c r="U2088" t="s">
        <v>14374</v>
      </c>
      <c r="V2088" t="s">
        <v>14375</v>
      </c>
    </row>
    <row r="2089">
      <c r="A2089" t="s">
        <v>22</v>
      </c>
      <c r="B2089" t="s">
        <v>14376</v>
      </c>
      <c r="C2089" t="s">
        <v>24</v>
      </c>
      <c r="D2089" t="s">
        <v>34</v>
      </c>
      <c r="E2089" t="s">
        <v>14377</v>
      </c>
      <c r="F2089" s="2" t="n">
        <f>HYPERLINK("https://patents.google.com/patent/US20210270771","Google")</f>
        <v>0.0</v>
      </c>
      <c r="G2089" s="2" t="n">
        <f>HYPERLINK("https://patentcenter.uspto.gov/applications/17320014","Patent Center")</f>
        <v>0.0</v>
      </c>
      <c r="H2089" s="2" t="n">
        <f>HYPERLINK("https://worldwide.espacenet.com/patent/search?q=US20210270771","Espacenet")</f>
        <v>0.0</v>
      </c>
      <c r="I2089" s="2" t="n">
        <f>HYPERLINK("https://ppubs.uspto.gov/pubwebapp/external.html?q=20210270771.pn.","USPTO")</f>
        <v>0.0</v>
      </c>
      <c r="J2089" s="2" t="n">
        <f>HYPERLINK("https://image-ppubs.uspto.gov/dirsearch-public/print/downloadPdf/20210270771","USPTO PDF")</f>
        <v>0.0</v>
      </c>
      <c r="K2089" s="2" t="n">
        <f>HYPERLINK("https://sectors.patentforecast.com/pmd/US20210270771","PMD")</f>
        <v>0.0</v>
      </c>
      <c r="L2089" s="2" t="n">
        <f>HYPERLINK("https://globaldossier.uspto.gov/result/application/US/17320014/1","US20210270771")</f>
        <v>0.0</v>
      </c>
      <c r="M2089" t="s">
        <v>14378</v>
      </c>
      <c r="N2089" t="s">
        <v>54</v>
      </c>
      <c r="O2089" t="s">
        <v>55</v>
      </c>
      <c r="P2089" t="s">
        <v>14379</v>
      </c>
      <c r="Q2089" s="3" t="n">
        <v>44329.0</v>
      </c>
      <c r="R2089" s="3" t="n">
        <v>44441.0</v>
      </c>
      <c r="S2089" s="3" t="n">
        <v>44441.22985423611</v>
      </c>
      <c r="T2089" s="3" t="n">
        <v>44448.67330982639</v>
      </c>
      <c r="U2089" t="s">
        <v>14380</v>
      </c>
      <c r="V2089" t="s">
        <v>14381</v>
      </c>
    </row>
    <row r="2090">
      <c r="A2090" t="s">
        <v>22</v>
      </c>
      <c r="B2090" t="s">
        <v>14382</v>
      </c>
      <c r="C2090" t="s">
        <v>24</v>
      </c>
      <c r="D2090" t="s">
        <v>69</v>
      </c>
      <c r="E2090" t="s">
        <v>10568</v>
      </c>
      <c r="F2090" s="2" t="n">
        <f>HYPERLINK("https://patents.google.com/patent/US20210269949","Google")</f>
        <v>0.0</v>
      </c>
      <c r="G2090" s="2" t="n">
        <f>HYPERLINK("https://patentcenter.uspto.gov/applications/17110093","Patent Center")</f>
        <v>0.0</v>
      </c>
      <c r="H2090" s="2" t="n">
        <f>HYPERLINK("https://worldwide.espacenet.com/patent/search?q=US20210269949","Espacenet")</f>
        <v>0.0</v>
      </c>
      <c r="I2090" s="2" t="n">
        <f>HYPERLINK("https://ppubs.uspto.gov/pubwebapp/external.html?q=20210269949.pn.","USPTO")</f>
        <v>0.0</v>
      </c>
      <c r="J2090" s="2" t="n">
        <f>HYPERLINK("https://image-ppubs.uspto.gov/dirsearch-public/print/downloadPdf/20210269949","USPTO PDF")</f>
        <v>0.0</v>
      </c>
      <c r="K2090" s="2" t="n">
        <f>HYPERLINK("https://sectors.patentforecast.com/pmd/US20210269949","PMD")</f>
        <v>0.0</v>
      </c>
      <c r="L2090" s="2" t="n">
        <f>HYPERLINK("https://globaldossier.uspto.gov/result/application/US/17110093/1","US20210269949")</f>
        <v>0.0</v>
      </c>
      <c r="M2090" t="s">
        <v>14383</v>
      </c>
      <c r="N2090" t="s">
        <v>12279</v>
      </c>
      <c r="O2090" t="s">
        <v>12280</v>
      </c>
      <c r="P2090" t="s">
        <v>14384</v>
      </c>
      <c r="Q2090" s="3" t="n">
        <v>44167.0</v>
      </c>
      <c r="R2090" s="3" t="n">
        <v>44441.0</v>
      </c>
      <c r="S2090" s="3" t="n">
        <v>44441.22985423611</v>
      </c>
      <c r="T2090" s="3" t="n">
        <v>44448.66041967593</v>
      </c>
      <c r="U2090" t="s">
        <v>14385</v>
      </c>
      <c r="V2090" t="s">
        <v>14386</v>
      </c>
    </row>
    <row r="2091">
      <c r="A2091" t="s">
        <v>22</v>
      </c>
      <c r="B2091" t="s">
        <v>14387</v>
      </c>
      <c r="C2091" t="s">
        <v>60</v>
      </c>
      <c r="D2091" t="s">
        <v>61</v>
      </c>
      <c r="E2091" t="s">
        <v>14388</v>
      </c>
      <c r="F2091" s="2" t="n">
        <f>HYPERLINK("https://patents.google.com/patent/US20210269437","Google")</f>
        <v>0.0</v>
      </c>
      <c r="G2091" s="2" t="n">
        <f>HYPERLINK("https://patentcenter.uspto.gov/applications/17249375","Patent Center")</f>
        <v>0.0</v>
      </c>
      <c r="H2091" s="2" t="n">
        <f>HYPERLINK("https://worldwide.espacenet.com/patent/search?q=US20210269437","Espacenet")</f>
        <v>0.0</v>
      </c>
      <c r="I2091" s="2" t="n">
        <f>HYPERLINK("https://ppubs.uspto.gov/pubwebapp/external.html?q=20210269437.pn.","USPTO")</f>
        <v>0.0</v>
      </c>
      <c r="J2091" s="2" t="n">
        <f>HYPERLINK("https://image-ppubs.uspto.gov/dirsearch-public/print/downloadPdf/20210269437","USPTO PDF")</f>
        <v>0.0</v>
      </c>
      <c r="K2091" s="2" t="n">
        <f>HYPERLINK("https://sectors.patentforecast.com/pmd/US20210269437","PMD")</f>
        <v>0.0</v>
      </c>
      <c r="L2091" s="2" t="n">
        <f>HYPERLINK("https://globaldossier.uspto.gov/result/application/US/17249375/1","US20210269437")</f>
        <v>0.0</v>
      </c>
      <c r="M2091" t="s">
        <v>14389</v>
      </c>
      <c r="N2091" t="s">
        <v>10715</v>
      </c>
      <c r="O2091" t="s">
        <v>10716</v>
      </c>
      <c r="P2091" t="s">
        <v>14390</v>
      </c>
      <c r="Q2091" s="3" t="n">
        <v>44256.0</v>
      </c>
      <c r="R2091" s="3" t="n">
        <v>44441.0</v>
      </c>
      <c r="S2091" s="3" t="n">
        <v>44441.22985423611</v>
      </c>
      <c r="T2091" s="3" t="n">
        <v>44448.43330762732</v>
      </c>
      <c r="U2091" t="s">
        <v>14391</v>
      </c>
      <c r="V2091" t="s">
        <v>14392</v>
      </c>
    </row>
    <row r="2092">
      <c r="A2092" t="s">
        <v>22</v>
      </c>
      <c r="B2092" t="s">
        <v>14393</v>
      </c>
      <c r="C2092" t="s">
        <v>24</v>
      </c>
      <c r="D2092" t="s">
        <v>100</v>
      </c>
      <c r="E2092" t="s">
        <v>14394</v>
      </c>
      <c r="F2092" s="2" t="n">
        <f>HYPERLINK("https://patents.google.com/patent/US20210268136","Google")</f>
        <v>0.0</v>
      </c>
      <c r="G2092" s="2" t="n">
        <f>HYPERLINK("https://patentcenter.uspto.gov/applications/17320691","Patent Center")</f>
        <v>0.0</v>
      </c>
      <c r="H2092" s="2" t="n">
        <f>HYPERLINK("https://worldwide.espacenet.com/patent/search?q=US20210268136","Espacenet")</f>
        <v>0.0</v>
      </c>
      <c r="I2092" s="2" t="n">
        <f>HYPERLINK("https://ppubs.uspto.gov/pubwebapp/external.html?q=20210268136.pn.","USPTO")</f>
        <v>0.0</v>
      </c>
      <c r="J2092" s="2" t="n">
        <f>HYPERLINK("https://image-ppubs.uspto.gov/dirsearch-public/print/downloadPdf/20210268136","USPTO PDF")</f>
        <v>0.0</v>
      </c>
      <c r="K2092" s="2" t="n">
        <f>HYPERLINK("https://sectors.patentforecast.com/pmd/US20210268136","PMD")</f>
        <v>0.0</v>
      </c>
      <c r="L2092" s="2" t="n">
        <f>HYPERLINK("https://globaldossier.uspto.gov/result/application/US/17320691/1","US20210268136")</f>
        <v>0.0</v>
      </c>
      <c r="M2092" t="s">
        <v>14395</v>
      </c>
      <c r="N2092" t="s">
        <v>14396</v>
      </c>
      <c r="O2092" t="s">
        <v>14396</v>
      </c>
      <c r="P2092" t="s">
        <v>14397</v>
      </c>
      <c r="Q2092" s="3" t="n">
        <v>44330.0</v>
      </c>
      <c r="R2092" s="3" t="n">
        <v>44441.0</v>
      </c>
      <c r="S2092" s="3" t="n">
        <v>44441.22985423611</v>
      </c>
      <c r="T2092" s="3" t="n">
        <v>44448.66671738426</v>
      </c>
      <c r="U2092" t="s">
        <v>14398</v>
      </c>
      <c r="V2092" t="s">
        <v>14399</v>
      </c>
    </row>
    <row r="2093">
      <c r="A2093" t="s">
        <v>22</v>
      </c>
      <c r="B2093" t="s">
        <v>14400</v>
      </c>
      <c r="C2093" t="s">
        <v>132</v>
      </c>
      <c r="D2093" t="s">
        <v>133</v>
      </c>
      <c r="E2093" t="s">
        <v>14401</v>
      </c>
      <c r="F2093" s="2" t="n">
        <f>HYPERLINK("https://patents.google.com/patent/US20210268102","Google")</f>
        <v>0.0</v>
      </c>
      <c r="G2093" s="2" t="n">
        <f>HYPERLINK("https://patentcenter.uspto.gov/applications/17185458","Patent Center")</f>
        <v>0.0</v>
      </c>
      <c r="H2093" s="2" t="n">
        <f>HYPERLINK("https://worldwide.espacenet.com/patent/search?q=US20210268102","Espacenet")</f>
        <v>0.0</v>
      </c>
      <c r="I2093" s="2" t="n">
        <f>HYPERLINK("https://ppubs.uspto.gov/pubwebapp/external.html?q=20210268102.pn.","USPTO")</f>
        <v>0.0</v>
      </c>
      <c r="J2093" s="2" t="n">
        <f>HYPERLINK("https://image-ppubs.uspto.gov/dirsearch-public/print/downloadPdf/20210268102","USPTO PDF")</f>
        <v>0.0</v>
      </c>
      <c r="K2093" s="2" t="n">
        <f>HYPERLINK("https://sectors.patentforecast.com/pmd/US20210268102","PMD")</f>
        <v>0.0</v>
      </c>
      <c r="L2093" s="2" t="n">
        <f>HYPERLINK("https://globaldossier.uspto.gov/result/application/US/17185458/1","US20210268102")</f>
        <v>0.0</v>
      </c>
      <c r="M2093" t="s">
        <v>14402</v>
      </c>
      <c r="N2093" t="s">
        <v>14403</v>
      </c>
      <c r="O2093" t="s">
        <v>14403</v>
      </c>
      <c r="P2093" t="s">
        <v>14404</v>
      </c>
      <c r="Q2093" s="3" t="n">
        <v>44252.0</v>
      </c>
      <c r="R2093" s="3" t="n">
        <v>44441.0</v>
      </c>
      <c r="S2093" s="3" t="n">
        <v>44441.22985423611</v>
      </c>
      <c r="T2093" s="3" t="n">
        <v>44448.43121336806</v>
      </c>
      <c r="U2093" t="s">
        <v>14405</v>
      </c>
      <c r="V2093" t="s">
        <v>14406</v>
      </c>
    </row>
    <row r="2094">
      <c r="A2094" t="s">
        <v>22</v>
      </c>
      <c r="B2094" t="s">
        <v>14407</v>
      </c>
      <c r="C2094" t="s">
        <v>132</v>
      </c>
      <c r="D2094" t="s">
        <v>133</v>
      </c>
      <c r="E2094" t="s">
        <v>14408</v>
      </c>
      <c r="F2094" s="2" t="n">
        <f>HYPERLINK("https://patents.google.com/patent/US20210268101","Google")</f>
        <v>0.0</v>
      </c>
      <c r="G2094" s="2" t="n">
        <f>HYPERLINK("https://patentcenter.uspto.gov/applications/17148266","Patent Center")</f>
        <v>0.0</v>
      </c>
      <c r="H2094" s="2" t="n">
        <f>HYPERLINK("https://worldwide.espacenet.com/patent/search?q=US20210268101","Espacenet")</f>
        <v>0.0</v>
      </c>
      <c r="I2094" s="2" t="n">
        <f>HYPERLINK("https://ppubs.uspto.gov/pubwebapp/external.html?q=20210268101.pn.","USPTO")</f>
        <v>0.0</v>
      </c>
      <c r="J2094" s="2" t="n">
        <f>HYPERLINK("https://image-ppubs.uspto.gov/dirsearch-public/print/downloadPdf/20210268101","USPTO PDF")</f>
        <v>0.0</v>
      </c>
      <c r="K2094" s="2" t="n">
        <f>HYPERLINK("https://sectors.patentforecast.com/pmd/US20210268101","PMD")</f>
        <v>0.0</v>
      </c>
      <c r="L2094" s="2" t="n">
        <f>HYPERLINK("https://globaldossier.uspto.gov/result/application/US/17148266/1","US20210268101")</f>
        <v>0.0</v>
      </c>
      <c r="M2094" t="s">
        <v>14409</v>
      </c>
      <c r="N2094" t="s">
        <v>14410</v>
      </c>
      <c r="O2094" t="s">
        <v>14411</v>
      </c>
      <c r="P2094" t="s">
        <v>14412</v>
      </c>
      <c r="Q2094" s="3" t="n">
        <v>44209.0</v>
      </c>
      <c r="R2094" s="3" t="n">
        <v>44441.0</v>
      </c>
      <c r="S2094" s="3" t="n">
        <v>44441.22985423611</v>
      </c>
      <c r="T2094" s="3" t="n">
        <v>44448.662577511575</v>
      </c>
      <c r="U2094" t="s">
        <v>14413</v>
      </c>
      <c r="V2094" t="s">
        <v>14414</v>
      </c>
    </row>
    <row r="2095">
      <c r="A2095" t="s">
        <v>22</v>
      </c>
      <c r="B2095" t="s">
        <v>14415</v>
      </c>
      <c r="C2095" t="s">
        <v>60</v>
      </c>
      <c r="D2095" t="s">
        <v>61</v>
      </c>
      <c r="E2095" t="s">
        <v>14416</v>
      </c>
      <c r="F2095" s="2" t="n">
        <f>HYPERLINK("https://patents.google.com/patent/US20210267963","Google")</f>
        <v>0.0</v>
      </c>
      <c r="G2095" s="2" t="n">
        <f>HYPERLINK("https://patentcenter.uspto.gov/applications/17189544","Patent Center")</f>
        <v>0.0</v>
      </c>
      <c r="H2095" s="2" t="n">
        <f>HYPERLINK("https://worldwide.espacenet.com/patent/search?q=US20210267963","Espacenet")</f>
        <v>0.0</v>
      </c>
      <c r="I2095" s="2" t="n">
        <f>HYPERLINK("https://ppubs.uspto.gov/pubwebapp/external.html?q=20210267963.pn.","USPTO")</f>
        <v>0.0</v>
      </c>
      <c r="J2095" s="2" t="n">
        <f>HYPERLINK("https://image-ppubs.uspto.gov/dirsearch-public/print/downloadPdf/20210267963","USPTO PDF")</f>
        <v>0.0</v>
      </c>
      <c r="K2095" s="2" t="n">
        <f>HYPERLINK("https://sectors.patentforecast.com/pmd/US20210267963","PMD")</f>
        <v>0.0</v>
      </c>
      <c r="L2095" s="2" t="n">
        <f>HYPERLINK("https://globaldossier.uspto.gov/result/application/US/17189544/1","US20210267963")</f>
        <v>0.0</v>
      </c>
      <c r="M2095" t="s">
        <v>14417</v>
      </c>
      <c r="N2095" t="s">
        <v>14418</v>
      </c>
      <c r="O2095" t="s">
        <v>14419</v>
      </c>
      <c r="P2095" t="s">
        <v>14420</v>
      </c>
      <c r="Q2095" s="3" t="n">
        <v>44257.0</v>
      </c>
      <c r="R2095" s="3" t="n">
        <v>44441.0</v>
      </c>
      <c r="S2095" s="3" t="n">
        <v>44441.22985423611</v>
      </c>
      <c r="T2095" s="3" t="n">
        <v>44448.66247347222</v>
      </c>
      <c r="U2095" t="s">
        <v>14421</v>
      </c>
      <c r="V2095" t="s">
        <v>14422</v>
      </c>
    </row>
    <row r="2096">
      <c r="A2096" t="s">
        <v>22</v>
      </c>
      <c r="B2096" t="s">
        <v>14423</v>
      </c>
      <c r="C2096" t="s">
        <v>60</v>
      </c>
      <c r="D2096" t="s">
        <v>61</v>
      </c>
      <c r="E2096" t="s">
        <v>14424</v>
      </c>
      <c r="F2096" s="2" t="n">
        <f>HYPERLINK("https://patents.google.com/patent/US20210267952","Google")</f>
        <v>0.0</v>
      </c>
      <c r="G2096" s="2" t="n">
        <f>HYPERLINK("https://patentcenter.uspto.gov/applications/17180140","Patent Center")</f>
        <v>0.0</v>
      </c>
      <c r="H2096" s="2" t="n">
        <f>HYPERLINK("https://worldwide.espacenet.com/patent/search?q=US20210267952","Espacenet")</f>
        <v>0.0</v>
      </c>
      <c r="I2096" s="2" t="n">
        <f>HYPERLINK("https://ppubs.uspto.gov/pubwebapp/external.html?q=20210267952.pn.","USPTO")</f>
        <v>0.0</v>
      </c>
      <c r="J2096" s="2" t="n">
        <f>HYPERLINK("https://image-ppubs.uspto.gov/dirsearch-public/print/downloadPdf/20210267952","USPTO PDF")</f>
        <v>0.0</v>
      </c>
      <c r="K2096" s="2" t="n">
        <f>HYPERLINK("https://sectors.patentforecast.com/pmd/US20210267952","PMD")</f>
        <v>0.0</v>
      </c>
      <c r="L2096" s="2" t="n">
        <f>HYPERLINK("https://globaldossier.uspto.gov/result/application/US/17180140/1","US20210267952")</f>
        <v>0.0</v>
      </c>
      <c r="M2096" t="s">
        <v>14425</v>
      </c>
      <c r="N2096" t="s">
        <v>13066</v>
      </c>
      <c r="O2096" t="s">
        <v>13066</v>
      </c>
      <c r="P2096" t="s">
        <v>14426</v>
      </c>
      <c r="Q2096" s="3" t="n">
        <v>44246.0</v>
      </c>
      <c r="R2096" s="3" t="n">
        <v>44441.0</v>
      </c>
      <c r="S2096" s="3" t="n">
        <v>44441.22950553241</v>
      </c>
      <c r="T2096" s="3" t="n">
        <v>44448.67039784722</v>
      </c>
      <c r="U2096" t="s">
        <v>14427</v>
      </c>
      <c r="V2096" t="s">
        <v>14428</v>
      </c>
    </row>
    <row r="2097">
      <c r="A2097" t="s">
        <v>22</v>
      </c>
      <c r="B2097" t="s">
        <v>14429</v>
      </c>
      <c r="C2097" t="s">
        <v>24</v>
      </c>
      <c r="D2097" t="s">
        <v>51</v>
      </c>
      <c r="E2097" t="s">
        <v>14430</v>
      </c>
      <c r="F2097" s="2" t="n">
        <f>HYPERLINK("https://patents.google.com/patent/US20210263023","Google")</f>
        <v>0.0</v>
      </c>
      <c r="G2097" s="2" t="n">
        <f>HYPERLINK("https://patentcenter.uspto.gov/applications/17199926","Patent Center")</f>
        <v>0.0</v>
      </c>
      <c r="H2097" s="2" t="n">
        <f>HYPERLINK("https://worldwide.espacenet.com/patent/search?q=US20210263023","Espacenet")</f>
        <v>0.0</v>
      </c>
      <c r="I2097" s="2" t="n">
        <f>HYPERLINK("https://ppubs.uspto.gov/pubwebapp/external.html?q=20210263023.pn.","USPTO")</f>
        <v>0.0</v>
      </c>
      <c r="J2097" s="2" t="n">
        <f>HYPERLINK("https://image-ppubs.uspto.gov/dirsearch-public/print/downloadPdf/20210263023","USPTO PDF")</f>
        <v>0.0</v>
      </c>
      <c r="K2097" s="2" t="n">
        <f>HYPERLINK("https://sectors.patentforecast.com/pmd/US20210263023","PMD")</f>
        <v>0.0</v>
      </c>
      <c r="L2097" s="2" t="n">
        <f>HYPERLINK("https://globaldossier.uspto.gov/result/application/US/17199926/1","US20210263023")</f>
        <v>0.0</v>
      </c>
      <c r="M2097" t="s">
        <v>14431</v>
      </c>
      <c r="N2097" t="s">
        <v>14432</v>
      </c>
      <c r="O2097" t="s">
        <v>14432</v>
      </c>
      <c r="P2097" t="s">
        <v>14433</v>
      </c>
      <c r="Q2097" s="3" t="n">
        <v>44267.0</v>
      </c>
      <c r="R2097" s="3" t="n">
        <v>44434.0</v>
      </c>
      <c r="S2097" s="3" t="n">
        <v>44434.229775416665</v>
      </c>
      <c r="T2097" s="3" t="n">
        <v>44435.37354997685</v>
      </c>
      <c r="U2097" t="s">
        <v>14434</v>
      </c>
      <c r="V2097" t="s">
        <v>14435</v>
      </c>
    </row>
    <row r="2098">
      <c r="A2098" t="s">
        <v>22</v>
      </c>
      <c r="B2098" t="s">
        <v>14436</v>
      </c>
      <c r="C2098" t="s">
        <v>60</v>
      </c>
      <c r="D2098" t="s">
        <v>77</v>
      </c>
      <c r="E2098" t="s">
        <v>9347</v>
      </c>
      <c r="F2098" s="2" t="n">
        <f>HYPERLINK("https://patents.google.com/patent/US20210261650","Google")</f>
        <v>0.0</v>
      </c>
      <c r="G2098" s="2" t="n">
        <f>HYPERLINK("https://patentcenter.uspto.gov/applications/17185340","Patent Center")</f>
        <v>0.0</v>
      </c>
      <c r="H2098" s="2" t="n">
        <f>HYPERLINK("https://worldwide.espacenet.com/patent/search?q=US20210261650","Espacenet")</f>
        <v>0.0</v>
      </c>
      <c r="I2098" s="2" t="n">
        <f>HYPERLINK("https://ppubs.uspto.gov/pubwebapp/external.html?q=20210261650.pn.","USPTO")</f>
        <v>0.0</v>
      </c>
      <c r="J2098" s="2" t="n">
        <f>HYPERLINK("https://image-ppubs.uspto.gov/dirsearch-public/print/downloadPdf/20210261650","USPTO PDF")</f>
        <v>0.0</v>
      </c>
      <c r="K2098" s="2" t="n">
        <f>HYPERLINK("https://sectors.patentforecast.com/pmd/US20210261650","PMD")</f>
        <v>0.0</v>
      </c>
      <c r="L2098" s="2" t="n">
        <f>HYPERLINK("https://globaldossier.uspto.gov/result/application/US/17185340/1","US20210261650")</f>
        <v>0.0</v>
      </c>
      <c r="M2098" t="s">
        <v>14437</v>
      </c>
      <c r="N2098" t="s">
        <v>1633</v>
      </c>
      <c r="O2098" t="s">
        <v>1634</v>
      </c>
      <c r="P2098" t="s">
        <v>9349</v>
      </c>
      <c r="Q2098" s="3" t="n">
        <v>44252.0</v>
      </c>
      <c r="R2098" s="3" t="n">
        <v>44434.0</v>
      </c>
      <c r="S2098" s="3" t="n">
        <v>44434.229775416665</v>
      </c>
      <c r="T2098" s="3" t="n">
        <v>44435.361002881946</v>
      </c>
      <c r="U2098" t="s">
        <v>14438</v>
      </c>
      <c r="V2098" t="s">
        <v>9351</v>
      </c>
    </row>
    <row r="2099">
      <c r="A2099" t="s">
        <v>22</v>
      </c>
      <c r="B2099" t="s">
        <v>14439</v>
      </c>
      <c r="C2099" t="s">
        <v>132</v>
      </c>
      <c r="D2099" t="s">
        <v>133</v>
      </c>
      <c r="E2099" t="s">
        <v>14440</v>
      </c>
      <c r="F2099" s="2" t="n">
        <f>HYPERLINK("https://patents.google.com/patent/US20210261644","Google")</f>
        <v>0.0</v>
      </c>
      <c r="G2099" s="2" t="n">
        <f>HYPERLINK("https://patentcenter.uspto.gov/applications/17186822","Patent Center")</f>
        <v>0.0</v>
      </c>
      <c r="H2099" s="2" t="n">
        <f>HYPERLINK("https://worldwide.espacenet.com/patent/search?q=US20210261644","Espacenet")</f>
        <v>0.0</v>
      </c>
      <c r="I2099" s="2" t="n">
        <f>HYPERLINK("https://ppubs.uspto.gov/pubwebapp/external.html?q=20210261644.pn.","USPTO")</f>
        <v>0.0</v>
      </c>
      <c r="J2099" s="2" t="n">
        <f>HYPERLINK("https://image-ppubs.uspto.gov/dirsearch-public/print/downloadPdf/20210261644","USPTO PDF")</f>
        <v>0.0</v>
      </c>
      <c r="K2099" s="2" t="n">
        <f>HYPERLINK("https://sectors.patentforecast.com/pmd/US20210261644","PMD")</f>
        <v>0.0</v>
      </c>
      <c r="L2099" s="2" t="n">
        <f>HYPERLINK("https://globaldossier.uspto.gov/result/application/US/17186822/1","US20210261644")</f>
        <v>0.0</v>
      </c>
      <c r="M2099" t="s">
        <v>14441</v>
      </c>
      <c r="N2099" t="s">
        <v>14442</v>
      </c>
      <c r="O2099" t="s">
        <v>14443</v>
      </c>
      <c r="P2099" t="s">
        <v>14444</v>
      </c>
      <c r="Q2099" s="3" t="n">
        <v>44253.0</v>
      </c>
      <c r="R2099" s="3" t="n">
        <v>44434.0</v>
      </c>
      <c r="S2099" s="3" t="n">
        <v>44434.229775416665</v>
      </c>
      <c r="T2099" s="3" t="n">
        <v>44435.371617847224</v>
      </c>
      <c r="U2099" t="s">
        <v>14445</v>
      </c>
      <c r="V2099" t="s">
        <v>14446</v>
      </c>
    </row>
    <row r="2100">
      <c r="A2100" t="s">
        <v>22</v>
      </c>
      <c r="B2100" t="s">
        <v>14447</v>
      </c>
      <c r="C2100" t="s">
        <v>24</v>
      </c>
      <c r="D2100" t="s">
        <v>51</v>
      </c>
      <c r="E2100" t="s">
        <v>14448</v>
      </c>
      <c r="F2100" s="2" t="n">
        <f>HYPERLINK("https://patents.google.com/patent/US20210260580","Google")</f>
        <v>0.0</v>
      </c>
      <c r="G2100" s="2" t="n">
        <f>HYPERLINK("https://patentcenter.uspto.gov/applications/17240082","Patent Center")</f>
        <v>0.0</v>
      </c>
      <c r="H2100" s="2" t="n">
        <f>HYPERLINK("https://worldwide.espacenet.com/patent/search?q=US20210260580","Espacenet")</f>
        <v>0.0</v>
      </c>
      <c r="I2100" s="2" t="n">
        <f>HYPERLINK("https://ppubs.uspto.gov/pubwebapp/external.html?q=20210260580.pn.","USPTO")</f>
        <v>0.0</v>
      </c>
      <c r="J2100" s="2" t="n">
        <f>HYPERLINK("https://image-ppubs.uspto.gov/dirsearch-public/print/downloadPdf/20210260580","USPTO PDF")</f>
        <v>0.0</v>
      </c>
      <c r="K2100" s="2" t="n">
        <f>HYPERLINK("https://sectors.patentforecast.com/pmd/US20210260580","PMD")</f>
        <v>0.0</v>
      </c>
      <c r="L2100" s="2" t="n">
        <f>HYPERLINK("https://globaldossier.uspto.gov/result/application/US/17240082/1","US20210260580")</f>
        <v>0.0</v>
      </c>
      <c r="M2100" t="s">
        <v>14449</v>
      </c>
      <c r="N2100" t="s">
        <v>14450</v>
      </c>
      <c r="O2100" t="s">
        <v>14450</v>
      </c>
      <c r="P2100" t="s">
        <v>14451</v>
      </c>
      <c r="Q2100" s="3" t="n">
        <v>44312.0</v>
      </c>
      <c r="R2100" s="3" t="n">
        <v>44434.0</v>
      </c>
      <c r="S2100" s="3" t="n">
        <v>44434.229775416665</v>
      </c>
      <c r="T2100" s="3" t="n">
        <v>44435.3689228125</v>
      </c>
      <c r="U2100" t="s">
        <v>14452</v>
      </c>
      <c r="V2100" t="s">
        <v>14453</v>
      </c>
    </row>
    <row r="2101">
      <c r="A2101" t="s">
        <v>22</v>
      </c>
      <c r="B2101" t="s">
        <v>14454</v>
      </c>
      <c r="C2101" t="s">
        <v>60</v>
      </c>
      <c r="D2101" t="s">
        <v>61</v>
      </c>
      <c r="E2101" t="s">
        <v>14455</v>
      </c>
      <c r="F2101" s="2" t="n">
        <f>HYPERLINK("https://patents.google.com/patent/US20210260201","Google")</f>
        <v>0.0</v>
      </c>
      <c r="G2101" s="2" t="n">
        <f>HYPERLINK("https://patentcenter.uspto.gov/applications/17172293","Patent Center")</f>
        <v>0.0</v>
      </c>
      <c r="H2101" s="2" t="n">
        <f>HYPERLINK("https://worldwide.espacenet.com/patent/search?q=US20210260201","Espacenet")</f>
        <v>0.0</v>
      </c>
      <c r="I2101" s="2" t="n">
        <f>HYPERLINK("https://ppubs.uspto.gov/pubwebapp/external.html?q=20210260201.pn.","USPTO")</f>
        <v>0.0</v>
      </c>
      <c r="J2101" s="2" t="n">
        <f>HYPERLINK("https://image-ppubs.uspto.gov/dirsearch-public/print/downloadPdf/20210260201","USPTO PDF")</f>
        <v>0.0</v>
      </c>
      <c r="K2101" s="2" t="n">
        <f>HYPERLINK("https://sectors.patentforecast.com/pmd/US20210260201","PMD")</f>
        <v>0.0</v>
      </c>
      <c r="L2101" s="2" t="n">
        <f>HYPERLINK("https://globaldossier.uspto.gov/result/application/US/17172293/1","US20210260201")</f>
        <v>0.0</v>
      </c>
      <c r="M2101" t="s">
        <v>14456</v>
      </c>
      <c r="N2101" t="s">
        <v>14457</v>
      </c>
      <c r="O2101" t="s">
        <v>14458</v>
      </c>
      <c r="P2101" t="s">
        <v>14459</v>
      </c>
      <c r="Q2101" s="3" t="n">
        <v>44237.0</v>
      </c>
      <c r="R2101" s="3" t="n">
        <v>44434.0</v>
      </c>
      <c r="S2101" s="3" t="n">
        <v>44434.229775416665</v>
      </c>
      <c r="T2101" s="3" t="n">
        <v>44435.36865697917</v>
      </c>
      <c r="U2101" t="s">
        <v>14460</v>
      </c>
      <c r="V2101" t="s">
        <v>14461</v>
      </c>
    </row>
    <row r="2102">
      <c r="A2102" t="s">
        <v>22</v>
      </c>
      <c r="B2102" t="s">
        <v>14462</v>
      </c>
      <c r="C2102" t="s">
        <v>132</v>
      </c>
      <c r="D2102" t="s">
        <v>133</v>
      </c>
      <c r="E2102" t="s">
        <v>14463</v>
      </c>
      <c r="F2102" s="2" t="n">
        <f>HYPERLINK("https://patents.google.com/patent/US20210260182","Google")</f>
        <v>0.0</v>
      </c>
      <c r="G2102" s="2" t="n">
        <f>HYPERLINK("https://patentcenter.uspto.gov/applications/17187678","Patent Center")</f>
        <v>0.0</v>
      </c>
      <c r="H2102" s="2" t="n">
        <f>HYPERLINK("https://worldwide.espacenet.com/patent/search?q=US20210260182","Espacenet")</f>
        <v>0.0</v>
      </c>
      <c r="I2102" s="2" t="n">
        <f>HYPERLINK("https://ppubs.uspto.gov/pubwebapp/external.html?q=20210260182.pn.","USPTO")</f>
        <v>0.0</v>
      </c>
      <c r="J2102" s="2" t="n">
        <f>HYPERLINK("https://image-ppubs.uspto.gov/dirsearch-public/print/downloadPdf/20210260182","USPTO PDF")</f>
        <v>0.0</v>
      </c>
      <c r="K2102" s="2" t="n">
        <f>HYPERLINK("https://sectors.patentforecast.com/pmd/US20210260182","PMD")</f>
        <v>0.0</v>
      </c>
      <c r="L2102" s="2" t="n">
        <f>HYPERLINK("https://globaldossier.uspto.gov/result/application/US/17187678/1","US20210260182")</f>
        <v>0.0</v>
      </c>
      <c r="M2102" t="s">
        <v>14464</v>
      </c>
      <c r="N2102" t="s">
        <v>14465</v>
      </c>
      <c r="O2102" t="s">
        <v>14466</v>
      </c>
      <c r="P2102" t="s">
        <v>14467</v>
      </c>
      <c r="Q2102" s="3" t="n">
        <v>44253.0</v>
      </c>
      <c r="R2102" s="3" t="n">
        <v>44434.0</v>
      </c>
      <c r="S2102" s="3" t="n">
        <v>44434.229775416665</v>
      </c>
      <c r="T2102" s="3" t="n">
        <v>44435.372397604166</v>
      </c>
      <c r="U2102" t="s">
        <v>14468</v>
      </c>
      <c r="V2102" t="s">
        <v>14469</v>
      </c>
    </row>
    <row r="2103">
      <c r="A2103" t="s">
        <v>22</v>
      </c>
      <c r="B2103" t="s">
        <v>14470</v>
      </c>
      <c r="C2103" t="s">
        <v>60</v>
      </c>
      <c r="D2103" t="s">
        <v>696</v>
      </c>
      <c r="E2103" t="s">
        <v>4884</v>
      </c>
      <c r="F2103" s="2" t="n">
        <f>HYPERLINK("https://patents.google.com/patent/US20210260181","Google")</f>
        <v>0.0</v>
      </c>
      <c r="G2103" s="2" t="n">
        <f>HYPERLINK("https://patentcenter.uspto.gov/applications/17175144","Patent Center")</f>
        <v>0.0</v>
      </c>
      <c r="H2103" s="2" t="n">
        <f>HYPERLINK("https://worldwide.espacenet.com/patent/search?q=US20210260181","Espacenet")</f>
        <v>0.0</v>
      </c>
      <c r="I2103" s="2" t="n">
        <f>HYPERLINK("https://ppubs.uspto.gov/pubwebapp/external.html?q=20210260181.pn.","USPTO")</f>
        <v>0.0</v>
      </c>
      <c r="J2103" s="2" t="n">
        <f>HYPERLINK("https://image-ppubs.uspto.gov/dirsearch-public/print/downloadPdf/20210260181","USPTO PDF")</f>
        <v>0.0</v>
      </c>
      <c r="K2103" s="2" t="n">
        <f>HYPERLINK("https://sectors.patentforecast.com/pmd/US20210260181","PMD")</f>
        <v>0.0</v>
      </c>
      <c r="L2103" s="2" t="n">
        <f>HYPERLINK("https://globaldossier.uspto.gov/result/application/US/17175144/1","US20210260181")</f>
        <v>0.0</v>
      </c>
      <c r="M2103" t="s">
        <v>14471</v>
      </c>
      <c r="N2103" t="s">
        <v>4886</v>
      </c>
      <c r="O2103" t="s">
        <v>4887</v>
      </c>
      <c r="P2103" t="s">
        <v>4888</v>
      </c>
      <c r="Q2103" s="3" t="n">
        <v>44239.0</v>
      </c>
      <c r="R2103" s="3" t="n">
        <v>44434.0</v>
      </c>
      <c r="S2103" s="3" t="n">
        <v>44434.229775416665</v>
      </c>
      <c r="T2103" s="3" t="n">
        <v>44435.36700479167</v>
      </c>
      <c r="U2103" t="s">
        <v>14472</v>
      </c>
      <c r="V2103" t="s">
        <v>14473</v>
      </c>
    </row>
    <row r="2104">
      <c r="A2104" t="s">
        <v>22</v>
      </c>
      <c r="B2104" t="s">
        <v>14474</v>
      </c>
      <c r="C2104" t="s">
        <v>60</v>
      </c>
      <c r="D2104" t="s">
        <v>696</v>
      </c>
      <c r="E2104" t="s">
        <v>4884</v>
      </c>
      <c r="F2104" s="2" t="n">
        <f>HYPERLINK("https://patents.google.com/patent/US20210260180","Google")</f>
        <v>0.0</v>
      </c>
      <c r="G2104" s="2" t="n">
        <f>HYPERLINK("https://patentcenter.uspto.gov/applications/17175131","Patent Center")</f>
        <v>0.0</v>
      </c>
      <c r="H2104" s="2" t="n">
        <f>HYPERLINK("https://worldwide.espacenet.com/patent/search?q=US20210260180","Espacenet")</f>
        <v>0.0</v>
      </c>
      <c r="I2104" s="2" t="n">
        <f>HYPERLINK("https://ppubs.uspto.gov/pubwebapp/external.html?q=20210260180.pn.","USPTO")</f>
        <v>0.0</v>
      </c>
      <c r="J2104" s="2" t="n">
        <f>HYPERLINK("https://image-ppubs.uspto.gov/dirsearch-public/print/downloadPdf/20210260180","USPTO PDF")</f>
        <v>0.0</v>
      </c>
      <c r="K2104" s="2" t="n">
        <f>HYPERLINK("https://sectors.patentforecast.com/pmd/US20210260180","PMD")</f>
        <v>0.0</v>
      </c>
      <c r="L2104" s="2" t="n">
        <f>HYPERLINK("https://globaldossier.uspto.gov/result/application/US/17175131/1","US20210260180")</f>
        <v>0.0</v>
      </c>
      <c r="M2104" t="s">
        <v>14475</v>
      </c>
      <c r="N2104" t="s">
        <v>4886</v>
      </c>
      <c r="O2104" t="s">
        <v>4887</v>
      </c>
      <c r="P2104" t="s">
        <v>4888</v>
      </c>
      <c r="Q2104" s="3" t="n">
        <v>44239.0</v>
      </c>
      <c r="R2104" s="3" t="n">
        <v>44434.0</v>
      </c>
      <c r="S2104" s="3" t="n">
        <v>44434.229775416665</v>
      </c>
      <c r="T2104" s="3" t="n">
        <v>44435.36700479167</v>
      </c>
      <c r="U2104" t="s">
        <v>14476</v>
      </c>
      <c r="V2104" t="s">
        <v>14473</v>
      </c>
    </row>
    <row r="2105">
      <c r="A2105" t="s">
        <v>22</v>
      </c>
      <c r="B2105" t="s">
        <v>14477</v>
      </c>
      <c r="C2105" t="s">
        <v>60</v>
      </c>
      <c r="D2105" t="s">
        <v>61</v>
      </c>
      <c r="E2105" t="s">
        <v>14478</v>
      </c>
      <c r="F2105" s="2" t="n">
        <f>HYPERLINK("https://patents.google.com/patent/US20210260144","Google")</f>
        <v>0.0</v>
      </c>
      <c r="G2105" s="2" t="n">
        <f>HYPERLINK("https://patentcenter.uspto.gov/applications/17236918","Patent Center")</f>
        <v>0.0</v>
      </c>
      <c r="H2105" s="2" t="n">
        <f>HYPERLINK("https://worldwide.espacenet.com/patent/search?q=US20210260144","Espacenet")</f>
        <v>0.0</v>
      </c>
      <c r="I2105" s="2" t="n">
        <f>HYPERLINK("https://ppubs.uspto.gov/pubwebapp/external.html?q=20210260144.pn.","USPTO")</f>
        <v>0.0</v>
      </c>
      <c r="J2105" s="2" t="n">
        <f>HYPERLINK("https://image-ppubs.uspto.gov/dirsearch-public/print/downloadPdf/20210260144","USPTO PDF")</f>
        <v>0.0</v>
      </c>
      <c r="K2105" s="2" t="n">
        <f>HYPERLINK("https://sectors.patentforecast.com/pmd/US20210260144","PMD")</f>
        <v>0.0</v>
      </c>
      <c r="L2105" s="2" t="n">
        <f>HYPERLINK("https://globaldossier.uspto.gov/result/application/US/17236918/1","US20210260144")</f>
        <v>0.0</v>
      </c>
      <c r="M2105" t="s">
        <v>14479</v>
      </c>
      <c r="N2105" t="s">
        <v>14480</v>
      </c>
      <c r="O2105" t="s">
        <v>14481</v>
      </c>
      <c r="P2105" t="s">
        <v>14482</v>
      </c>
      <c r="Q2105" s="3" t="n">
        <v>44307.0</v>
      </c>
      <c r="R2105" s="3" t="n">
        <v>44434.0</v>
      </c>
      <c r="S2105" s="3" t="n">
        <v>44434.229775416665</v>
      </c>
      <c r="T2105" s="3" t="n">
        <v>44435.37231888889</v>
      </c>
      <c r="U2105" t="s">
        <v>14483</v>
      </c>
      <c r="V2105" t="s">
        <v>14484</v>
      </c>
    </row>
    <row r="2106">
      <c r="A2106" t="s">
        <v>22</v>
      </c>
      <c r="B2106" t="s">
        <v>14485</v>
      </c>
      <c r="C2106" t="s">
        <v>60</v>
      </c>
      <c r="D2106" t="s">
        <v>61</v>
      </c>
      <c r="E2106" t="s">
        <v>14486</v>
      </c>
      <c r="F2106" s="2" t="n">
        <f>HYPERLINK("https://patents.google.com/patent/US20210260043","Google")</f>
        <v>0.0</v>
      </c>
      <c r="G2106" s="2" t="n">
        <f>HYPERLINK("https://patentcenter.uspto.gov/applications/17314560","Patent Center")</f>
        <v>0.0</v>
      </c>
      <c r="H2106" s="2" t="n">
        <f>HYPERLINK("https://worldwide.espacenet.com/patent/search?q=US20210260043","Espacenet")</f>
        <v>0.0</v>
      </c>
      <c r="I2106" s="2" t="n">
        <f>HYPERLINK("https://ppubs.uspto.gov/pubwebapp/external.html?q=20210260043.pn.","USPTO")</f>
        <v>0.0</v>
      </c>
      <c r="J2106" s="2" t="n">
        <f>HYPERLINK("https://image-ppubs.uspto.gov/dirsearch-public/print/downloadPdf/20210260043","USPTO PDF")</f>
        <v>0.0</v>
      </c>
      <c r="K2106" s="2" t="n">
        <f>HYPERLINK("https://sectors.patentforecast.com/pmd/US20210260043","PMD")</f>
        <v>0.0</v>
      </c>
      <c r="L2106" s="2" t="n">
        <f>HYPERLINK("https://globaldossier.uspto.gov/result/application/US/17314560/1","US20210260043")</f>
        <v>0.0</v>
      </c>
      <c r="M2106" t="s">
        <v>14487</v>
      </c>
      <c r="N2106" t="s">
        <v>14488</v>
      </c>
      <c r="O2106" t="s">
        <v>14488</v>
      </c>
      <c r="P2106" t="s">
        <v>14489</v>
      </c>
      <c r="Q2106" s="3" t="n">
        <v>44323.0</v>
      </c>
      <c r="R2106" s="3" t="n">
        <v>44434.0</v>
      </c>
      <c r="S2106" s="3" t="n">
        <v>44434.229775416665</v>
      </c>
      <c r="T2106" s="3" t="n">
        <v>44435.362670092596</v>
      </c>
      <c r="U2106" t="s">
        <v>14490</v>
      </c>
      <c r="V2106" t="s">
        <v>14491</v>
      </c>
    </row>
    <row r="2107">
      <c r="A2107" t="s">
        <v>22</v>
      </c>
      <c r="B2107" t="s">
        <v>14492</v>
      </c>
      <c r="C2107" t="s">
        <v>60</v>
      </c>
      <c r="D2107" t="s">
        <v>715</v>
      </c>
      <c r="E2107" t="s">
        <v>14493</v>
      </c>
      <c r="F2107" s="2" t="n">
        <f>HYPERLINK("https://patents.google.com/patent/US20210259918","Google")</f>
        <v>0.0</v>
      </c>
      <c r="G2107" s="2" t="n">
        <f>HYPERLINK("https://patentcenter.uspto.gov/applications/17179559","Patent Center")</f>
        <v>0.0</v>
      </c>
      <c r="H2107" s="2" t="n">
        <f>HYPERLINK("https://worldwide.espacenet.com/patent/search?q=US20210259918","Espacenet")</f>
        <v>0.0</v>
      </c>
      <c r="I2107" s="2" t="n">
        <f>HYPERLINK("https://ppubs.uspto.gov/pubwebapp/external.html?q=20210259918.pn.","USPTO")</f>
        <v>0.0</v>
      </c>
      <c r="J2107" s="2" t="n">
        <f>HYPERLINK("https://image-ppubs.uspto.gov/dirsearch-public/print/downloadPdf/20210259918","USPTO PDF")</f>
        <v>0.0</v>
      </c>
      <c r="K2107" s="2" t="n">
        <f>HYPERLINK("https://sectors.patentforecast.com/pmd/US20210259918","PMD")</f>
        <v>0.0</v>
      </c>
      <c r="L2107" s="2" t="n">
        <f>HYPERLINK("https://globaldossier.uspto.gov/result/application/US/17179559/1","US20210259918")</f>
        <v>0.0</v>
      </c>
      <c r="M2107" t="s">
        <v>14494</v>
      </c>
      <c r="N2107" t="s">
        <v>14495</v>
      </c>
      <c r="O2107" t="s">
        <v>14495</v>
      </c>
      <c r="P2107" t="s">
        <v>14496</v>
      </c>
      <c r="Q2107" s="3" t="n">
        <v>44246.0</v>
      </c>
      <c r="R2107" s="3" t="n">
        <v>44434.0</v>
      </c>
      <c r="S2107" s="3" t="n">
        <v>44434.229775416665</v>
      </c>
      <c r="T2107" s="3" t="n">
        <v>44435.367449791665</v>
      </c>
      <c r="U2107" t="s">
        <v>14497</v>
      </c>
      <c r="V2107" t="s">
        <v>14498</v>
      </c>
    </row>
    <row r="2108">
      <c r="A2108" t="s">
        <v>22</v>
      </c>
      <c r="B2108" t="s">
        <v>14499</v>
      </c>
      <c r="C2108" t="s">
        <v>24</v>
      </c>
      <c r="D2108" t="s">
        <v>69</v>
      </c>
      <c r="E2108" t="s">
        <v>14213</v>
      </c>
      <c r="F2108" s="2" t="n">
        <f>HYPERLINK("https://patents.google.com/patent/US20210259878","Google")</f>
        <v>0.0</v>
      </c>
      <c r="G2108" s="2" t="n">
        <f>HYPERLINK("https://patentcenter.uspto.gov/applications/17134462","Patent Center")</f>
        <v>0.0</v>
      </c>
      <c r="H2108" s="2" t="n">
        <f>HYPERLINK("https://worldwide.espacenet.com/patent/search?q=US20210259878","Espacenet")</f>
        <v>0.0</v>
      </c>
      <c r="I2108" s="2" t="n">
        <f>HYPERLINK("https://ppubs.uspto.gov/pubwebapp/external.html?q=20210259878.pn.","USPTO")</f>
        <v>0.0</v>
      </c>
      <c r="J2108" s="2" t="n">
        <f>HYPERLINK("https://image-ppubs.uspto.gov/dirsearch-public/print/downloadPdf/20210259878","USPTO PDF")</f>
        <v>0.0</v>
      </c>
      <c r="K2108" s="2" t="n">
        <f>HYPERLINK("https://sectors.patentforecast.com/pmd/US20210259878","PMD")</f>
        <v>0.0</v>
      </c>
      <c r="L2108" s="2" t="n">
        <f>HYPERLINK("https://globaldossier.uspto.gov/result/application/US/17134462/1","US20210259878")</f>
        <v>0.0</v>
      </c>
      <c r="M2108" t="s">
        <v>14500</v>
      </c>
      <c r="N2108" t="s">
        <v>14215</v>
      </c>
      <c r="O2108" t="s">
        <v>14215</v>
      </c>
      <c r="P2108" t="s">
        <v>14216</v>
      </c>
      <c r="Q2108" s="3" t="n">
        <v>44192.0</v>
      </c>
      <c r="R2108" s="3" t="n">
        <v>44434.0</v>
      </c>
      <c r="S2108" s="3" t="n">
        <v>44434.229775416665</v>
      </c>
      <c r="T2108" s="3" t="n">
        <v>44435.373925196756</v>
      </c>
      <c r="U2108" t="s">
        <v>14217</v>
      </c>
      <c r="V2108" t="s">
        <v>14501</v>
      </c>
    </row>
    <row r="2109">
      <c r="A2109" t="s">
        <v>22</v>
      </c>
      <c r="B2109" t="s">
        <v>14502</v>
      </c>
      <c r="C2109" t="s">
        <v>312</v>
      </c>
      <c r="D2109" t="s">
        <v>976</v>
      </c>
      <c r="E2109" t="s">
        <v>14503</v>
      </c>
      <c r="F2109" s="2" t="n">
        <f>HYPERLINK("https://patents.google.com/patent/US20210259643","Google")</f>
        <v>0.0</v>
      </c>
      <c r="G2109" s="2" t="n">
        <f>HYPERLINK("https://patentcenter.uspto.gov/applications/17317177","Patent Center")</f>
        <v>0.0</v>
      </c>
      <c r="H2109" s="2" t="n">
        <f>HYPERLINK("https://worldwide.espacenet.com/patent/search?q=US20210259643","Espacenet")</f>
        <v>0.0</v>
      </c>
      <c r="I2109" s="2" t="n">
        <f>HYPERLINK("https://ppubs.uspto.gov/pubwebapp/external.html?q=20210259643.pn.","USPTO")</f>
        <v>0.0</v>
      </c>
      <c r="J2109" s="2" t="n">
        <f>HYPERLINK("https://image-ppubs.uspto.gov/dirsearch-public/print/downloadPdf/20210259643","USPTO PDF")</f>
        <v>0.0</v>
      </c>
      <c r="K2109" s="2" t="n">
        <f>HYPERLINK("https://sectors.patentforecast.com/pmd/US20210259643","PMD")</f>
        <v>0.0</v>
      </c>
      <c r="L2109" s="2" t="n">
        <f>HYPERLINK("https://globaldossier.uspto.gov/result/application/US/17317177/1","US20210259643")</f>
        <v>0.0</v>
      </c>
      <c r="M2109" t="s">
        <v>14504</v>
      </c>
      <c r="N2109" t="s">
        <v>14505</v>
      </c>
      <c r="O2109" t="s">
        <v>14506</v>
      </c>
      <c r="P2109" t="s">
        <v>14507</v>
      </c>
      <c r="Q2109" s="3" t="n">
        <v>44327.0</v>
      </c>
      <c r="R2109" s="3" t="n">
        <v>44434.0</v>
      </c>
      <c r="S2109" s="3" t="n">
        <v>44434.229775416665</v>
      </c>
      <c r="T2109" s="3" t="n">
        <v>44435.370056203705</v>
      </c>
      <c r="U2109" t="s">
        <v>14508</v>
      </c>
      <c r="V2109" t="s">
        <v>14509</v>
      </c>
    </row>
    <row r="2110">
      <c r="A2110" t="s">
        <v>22</v>
      </c>
      <c r="B2110" t="s">
        <v>14510</v>
      </c>
      <c r="C2110" t="s">
        <v>24</v>
      </c>
      <c r="D2110" t="s">
        <v>8459</v>
      </c>
      <c r="E2110" t="s">
        <v>14511</v>
      </c>
      <c r="F2110" s="2" t="n">
        <f>HYPERLINK("https://patents.google.com/patent/US20210259642","Google")</f>
        <v>0.0</v>
      </c>
      <c r="G2110" s="2" t="n">
        <f>HYPERLINK("https://patentcenter.uspto.gov/applications/17255893","Patent Center")</f>
        <v>0.0</v>
      </c>
      <c r="H2110" s="2" t="n">
        <f>HYPERLINK("https://worldwide.espacenet.com/patent/search?q=US20210259642","Espacenet")</f>
        <v>0.0</v>
      </c>
      <c r="I2110" s="2" t="n">
        <f>HYPERLINK("https://ppubs.uspto.gov/pubwebapp/external.html?q=20210259642.pn.","USPTO")</f>
        <v>0.0</v>
      </c>
      <c r="J2110" s="2" t="n">
        <f>HYPERLINK("https://image-ppubs.uspto.gov/dirsearch-public/print/downloadPdf/20210259642","USPTO PDF")</f>
        <v>0.0</v>
      </c>
      <c r="K2110" s="2" t="n">
        <f>HYPERLINK("https://sectors.patentforecast.com/pmd/US20210259642","PMD")</f>
        <v>0.0</v>
      </c>
      <c r="L2110" s="2" t="n">
        <f>HYPERLINK("https://globaldossier.uspto.gov/result/application/US/17255893/1","US20210259642")</f>
        <v>0.0</v>
      </c>
      <c r="M2110" t="s">
        <v>14512</v>
      </c>
      <c r="N2110" t="s">
        <v>14513</v>
      </c>
      <c r="O2110" t="s">
        <v>14514</v>
      </c>
      <c r="P2110" t="s">
        <v>14515</v>
      </c>
      <c r="Q2110" s="3" t="n">
        <v>43641.0</v>
      </c>
      <c r="R2110" s="3" t="n">
        <v>44434.0</v>
      </c>
      <c r="S2110" s="3" t="n">
        <v>44456.23103167824</v>
      </c>
      <c r="T2110" s="3" t="n">
        <v>44459.45042476852</v>
      </c>
      <c r="U2110" t="s">
        <v>14516</v>
      </c>
      <c r="V2110" t="s">
        <v>14517</v>
      </c>
    </row>
    <row r="2111">
      <c r="A2111" t="s">
        <v>22</v>
      </c>
      <c r="B2111" t="s">
        <v>14518</v>
      </c>
      <c r="C2111" t="s">
        <v>24</v>
      </c>
      <c r="D2111" t="s">
        <v>69</v>
      </c>
      <c r="E2111" t="s">
        <v>14519</v>
      </c>
      <c r="F2111" s="2" t="n">
        <f>HYPERLINK("https://patents.google.com/patent/US20210259343","Google")</f>
        <v>0.0</v>
      </c>
      <c r="G2111" s="2" t="n">
        <f>HYPERLINK("https://patentcenter.uspto.gov/applications/16840887","Patent Center")</f>
        <v>0.0</v>
      </c>
      <c r="H2111" s="2" t="n">
        <f>HYPERLINK("https://worldwide.espacenet.com/patent/search?q=US20210259343","Espacenet")</f>
        <v>0.0</v>
      </c>
      <c r="I2111" s="2" t="n">
        <f>HYPERLINK("https://ppubs.uspto.gov/pubwebapp/external.html?q=20210259343.pn.","USPTO")</f>
        <v>0.0</v>
      </c>
      <c r="J2111" s="2" t="n">
        <f>HYPERLINK("https://image-ppubs.uspto.gov/dirsearch-public/print/downloadPdf/20210259343","USPTO PDF")</f>
        <v>0.0</v>
      </c>
      <c r="K2111" s="2" t="n">
        <f>HYPERLINK("https://sectors.patentforecast.com/pmd/US20210259343","PMD")</f>
        <v>0.0</v>
      </c>
      <c r="L2111" s="2" t="n">
        <f>HYPERLINK("https://globaldossier.uspto.gov/result/application/US/16840887/1","US20210259343")</f>
        <v>0.0</v>
      </c>
      <c r="M2111" t="s">
        <v>14520</v>
      </c>
      <c r="N2111" t="s">
        <v>14521</v>
      </c>
      <c r="O2111" t="s">
        <v>14521</v>
      </c>
      <c r="P2111" t="s">
        <v>14522</v>
      </c>
      <c r="Q2111" s="3" t="n">
        <v>43927.0</v>
      </c>
      <c r="R2111" s="3" t="n">
        <v>44434.0</v>
      </c>
      <c r="S2111" s="3" t="n">
        <v>44434.229775416665</v>
      </c>
      <c r="T2111" s="3" t="n">
        <v>44435.36905940972</v>
      </c>
      <c r="U2111" t="s">
        <v>14523</v>
      </c>
      <c r="V2111" t="s">
        <v>14524</v>
      </c>
    </row>
    <row r="2112">
      <c r="A2112" t="s">
        <v>22</v>
      </c>
      <c r="B2112" t="s">
        <v>14525</v>
      </c>
      <c r="C2112" t="s">
        <v>24</v>
      </c>
      <c r="D2112" t="s">
        <v>69</v>
      </c>
      <c r="E2112" t="s">
        <v>14526</v>
      </c>
      <c r="F2112" s="2" t="n">
        <f>HYPERLINK("https://patents.google.com/patent/US20210259335","Google")</f>
        <v>0.0</v>
      </c>
      <c r="G2112" s="2" t="n">
        <f>HYPERLINK("https://patentcenter.uspto.gov/applications/16840889","Patent Center")</f>
        <v>0.0</v>
      </c>
      <c r="H2112" s="2" t="n">
        <f>HYPERLINK("https://worldwide.espacenet.com/patent/search?q=US20210259335","Espacenet")</f>
        <v>0.0</v>
      </c>
      <c r="I2112" s="2" t="n">
        <f>HYPERLINK("https://ppubs.uspto.gov/pubwebapp/external.html?q=20210259335.pn.","USPTO")</f>
        <v>0.0</v>
      </c>
      <c r="J2112" s="2" t="n">
        <f>HYPERLINK("https://image-ppubs.uspto.gov/dirsearch-public/print/downloadPdf/20210259335","USPTO PDF")</f>
        <v>0.0</v>
      </c>
      <c r="K2112" s="2" t="n">
        <f>HYPERLINK("https://sectors.patentforecast.com/pmd/US20210259335","PMD")</f>
        <v>0.0</v>
      </c>
      <c r="L2112" s="2" t="n">
        <f>HYPERLINK("https://globaldossier.uspto.gov/result/application/US/16840889/1","US20210259335")</f>
        <v>0.0</v>
      </c>
      <c r="M2112" t="s">
        <v>14527</v>
      </c>
      <c r="N2112" t="s">
        <v>14521</v>
      </c>
      <c r="O2112" t="s">
        <v>14521</v>
      </c>
      <c r="P2112" t="s">
        <v>14528</v>
      </c>
      <c r="Q2112" s="3" t="n">
        <v>43927.0</v>
      </c>
      <c r="R2112" s="3" t="n">
        <v>44434.0</v>
      </c>
      <c r="S2112" s="3" t="n">
        <v>44434.229775416665</v>
      </c>
      <c r="T2112" s="3" t="n">
        <v>44435.363462581015</v>
      </c>
      <c r="U2112" t="s">
        <v>14529</v>
      </c>
      <c r="V2112" t="s">
        <v>14530</v>
      </c>
    </row>
    <row r="2113">
      <c r="A2113" t="s">
        <v>22</v>
      </c>
      <c r="B2113" t="s">
        <v>14531</v>
      </c>
      <c r="C2113" t="s">
        <v>24</v>
      </c>
      <c r="D2113" t="s">
        <v>3193</v>
      </c>
      <c r="E2113" t="s">
        <v>14532</v>
      </c>
      <c r="F2113" s="2" t="n">
        <f>HYPERLINK("https://patents.google.com/patent/US20210257107","Google")</f>
        <v>0.0</v>
      </c>
      <c r="G2113" s="2" t="n">
        <f>HYPERLINK("https://patentcenter.uspto.gov/applications/17230999","Patent Center")</f>
        <v>0.0</v>
      </c>
      <c r="H2113" s="2" t="n">
        <f>HYPERLINK("https://worldwide.espacenet.com/patent/search?q=US20210257107","Espacenet")</f>
        <v>0.0</v>
      </c>
      <c r="I2113" s="2" t="n">
        <f>HYPERLINK("https://ppubs.uspto.gov/pubwebapp/external.html?q=20210257107.pn.","USPTO")</f>
        <v>0.0</v>
      </c>
      <c r="J2113" s="2" t="n">
        <f>HYPERLINK("https://image-ppubs.uspto.gov/dirsearch-public/print/downloadPdf/20210257107","USPTO PDF")</f>
        <v>0.0</v>
      </c>
      <c r="K2113" s="2" t="n">
        <f>HYPERLINK("https://sectors.patentforecast.com/pmd/US20210257107","PMD")</f>
        <v>0.0</v>
      </c>
      <c r="L2113" s="2" t="n">
        <f>HYPERLINK("https://globaldossier.uspto.gov/result/application/US/17230999/1","US20210257107")</f>
        <v>0.0</v>
      </c>
      <c r="M2113" t="s">
        <v>14533</v>
      </c>
      <c r="N2113" t="s">
        <v>14534</v>
      </c>
      <c r="O2113" t="s">
        <v>14534</v>
      </c>
      <c r="P2113" t="s">
        <v>14535</v>
      </c>
      <c r="Q2113" s="3" t="n">
        <v>44301.0</v>
      </c>
      <c r="R2113" s="3" t="n">
        <v>44427.0</v>
      </c>
      <c r="S2113" s="3" t="n">
        <v>44427.22985704861</v>
      </c>
      <c r="T2113" s="3" t="n">
        <v>44431.67727795139</v>
      </c>
      <c r="U2113" t="s">
        <v>14536</v>
      </c>
      <c r="V2113" t="s">
        <v>14537</v>
      </c>
    </row>
    <row r="2114">
      <c r="A2114" t="s">
        <v>22</v>
      </c>
      <c r="B2114" t="s">
        <v>14538</v>
      </c>
      <c r="C2114" t="s">
        <v>132</v>
      </c>
      <c r="D2114" t="s">
        <v>142</v>
      </c>
      <c r="E2114" t="s">
        <v>14539</v>
      </c>
      <c r="F2114" s="2" t="n">
        <f>HYPERLINK("https://patents.google.com/patent/US20210257074","Google")</f>
        <v>0.0</v>
      </c>
      <c r="G2114" s="2" t="n">
        <f>HYPERLINK("https://patentcenter.uspto.gov/applications/17171774","Patent Center")</f>
        <v>0.0</v>
      </c>
      <c r="H2114" s="2" t="n">
        <f>HYPERLINK("https://worldwide.espacenet.com/patent/search?q=US20210257074","Espacenet")</f>
        <v>0.0</v>
      </c>
      <c r="I2114" s="2" t="n">
        <f>HYPERLINK("https://ppubs.uspto.gov/pubwebapp/external.html?q=20210257074.pn.","USPTO")</f>
        <v>0.0</v>
      </c>
      <c r="J2114" s="2" t="n">
        <f>HYPERLINK("https://image-ppubs.uspto.gov/dirsearch-public/print/downloadPdf/20210257074","USPTO PDF")</f>
        <v>0.0</v>
      </c>
      <c r="K2114" s="2" t="n">
        <f>HYPERLINK("https://sectors.patentforecast.com/pmd/US20210257074","PMD")</f>
        <v>0.0</v>
      </c>
      <c r="L2114" s="2" t="n">
        <f>HYPERLINK("https://globaldossier.uspto.gov/result/application/US/17171774/1","US20210257074")</f>
        <v>0.0</v>
      </c>
      <c r="M2114" t="s">
        <v>14540</v>
      </c>
      <c r="N2114" t="s">
        <v>14541</v>
      </c>
      <c r="O2114" t="s">
        <v>14542</v>
      </c>
      <c r="P2114" t="s">
        <v>14543</v>
      </c>
      <c r="Q2114" s="3" t="n">
        <v>44236.0</v>
      </c>
      <c r="R2114" s="3" t="n">
        <v>44427.0</v>
      </c>
      <c r="S2114" s="3" t="n">
        <v>44427.22985704861</v>
      </c>
      <c r="T2114" s="3" t="n">
        <v>44431.69467783565</v>
      </c>
      <c r="U2114" t="s">
        <v>14544</v>
      </c>
      <c r="V2114" t="s">
        <v>14545</v>
      </c>
    </row>
    <row r="2115">
      <c r="A2115" t="s">
        <v>22</v>
      </c>
      <c r="B2115" t="s">
        <v>14546</v>
      </c>
      <c r="C2115" t="s">
        <v>132</v>
      </c>
      <c r="D2115" t="s">
        <v>133</v>
      </c>
      <c r="E2115" t="s">
        <v>14547</v>
      </c>
      <c r="F2115" s="2" t="n">
        <f>HYPERLINK("https://patents.google.com/patent/US20210253645","Google")</f>
        <v>0.0</v>
      </c>
      <c r="G2115" s="2" t="n">
        <f>HYPERLINK("https://patentcenter.uspto.gov/applications/17229100","Patent Center")</f>
        <v>0.0</v>
      </c>
      <c r="H2115" s="2" t="n">
        <f>HYPERLINK("https://worldwide.espacenet.com/patent/search?q=US20210253645","Espacenet")</f>
        <v>0.0</v>
      </c>
      <c r="I2115" s="2" t="n">
        <f>HYPERLINK("https://ppubs.uspto.gov/pubwebapp/external.html?q=20210253645.pn.","USPTO")</f>
        <v>0.0</v>
      </c>
      <c r="J2115" s="2" t="n">
        <f>HYPERLINK("https://image-ppubs.uspto.gov/dirsearch-public/print/downloadPdf/20210253645","USPTO PDF")</f>
        <v>0.0</v>
      </c>
      <c r="K2115" s="2" t="n">
        <f>HYPERLINK("https://sectors.patentforecast.com/pmd/US20210253645","PMD")</f>
        <v>0.0</v>
      </c>
      <c r="L2115" s="2" t="n">
        <f>HYPERLINK("https://globaldossier.uspto.gov/result/application/US/17229100/1","US20210253645")</f>
        <v>0.0</v>
      </c>
      <c r="M2115" t="s">
        <v>14548</v>
      </c>
      <c r="N2115" t="s">
        <v>2038</v>
      </c>
      <c r="O2115" t="s">
        <v>2039</v>
      </c>
      <c r="P2115" t="s">
        <v>14549</v>
      </c>
      <c r="Q2115" s="3" t="n">
        <v>44299.0</v>
      </c>
      <c r="R2115" s="3" t="n">
        <v>44427.0</v>
      </c>
      <c r="S2115" s="3" t="n">
        <v>44427.2312424537</v>
      </c>
      <c r="T2115" s="3" t="n">
        <v>44431.677398472224</v>
      </c>
      <c r="U2115" t="s">
        <v>14550</v>
      </c>
      <c r="V2115" t="s">
        <v>14551</v>
      </c>
    </row>
    <row r="2116">
      <c r="A2116" t="s">
        <v>22</v>
      </c>
      <c r="B2116" t="s">
        <v>14552</v>
      </c>
      <c r="C2116" t="s">
        <v>60</v>
      </c>
      <c r="D2116" t="s">
        <v>61</v>
      </c>
      <c r="E2116" t="s">
        <v>14553</v>
      </c>
      <c r="F2116" s="2" t="n">
        <f>HYPERLINK("https://patents.google.com/patent/US20210253553","Google")</f>
        <v>0.0</v>
      </c>
      <c r="G2116" s="2" t="n">
        <f>HYPERLINK("https://patentcenter.uspto.gov/applications/17240792","Patent Center")</f>
        <v>0.0</v>
      </c>
      <c r="H2116" s="2" t="n">
        <f>HYPERLINK("https://worldwide.espacenet.com/patent/search?q=US20210253553","Espacenet")</f>
        <v>0.0</v>
      </c>
      <c r="I2116" s="2" t="n">
        <f>HYPERLINK("https://ppubs.uspto.gov/pubwebapp/external.html?q=20210253553.pn.","USPTO")</f>
        <v>0.0</v>
      </c>
      <c r="J2116" s="2" t="n">
        <f>HYPERLINK("https://image-ppubs.uspto.gov/dirsearch-public/print/downloadPdf/20210253553","USPTO PDF")</f>
        <v>0.0</v>
      </c>
      <c r="K2116" s="2" t="n">
        <f>HYPERLINK("https://sectors.patentforecast.com/pmd/US20210253553","PMD")</f>
        <v>0.0</v>
      </c>
      <c r="L2116" s="2" t="n">
        <f>HYPERLINK("https://globaldossier.uspto.gov/result/application/US/17240792/1","US20210253553")</f>
        <v>0.0</v>
      </c>
      <c r="M2116" t="s">
        <v>14554</v>
      </c>
      <c r="N2116" t="s">
        <v>14555</v>
      </c>
      <c r="O2116" t="s">
        <v>14556</v>
      </c>
      <c r="P2116" t="s">
        <v>14557</v>
      </c>
      <c r="Q2116" s="3" t="n">
        <v>44312.0</v>
      </c>
      <c r="R2116" s="3" t="n">
        <v>44427.0</v>
      </c>
      <c r="S2116" s="3" t="n">
        <v>44427.22985704861</v>
      </c>
      <c r="T2116" s="3" t="n">
        <v>44431.694008391205</v>
      </c>
      <c r="U2116" t="s">
        <v>14558</v>
      </c>
      <c r="V2116" t="s">
        <v>14559</v>
      </c>
    </row>
    <row r="2117">
      <c r="A2117" t="s">
        <v>22</v>
      </c>
      <c r="B2117" t="s">
        <v>14560</v>
      </c>
      <c r="C2117" t="s">
        <v>60</v>
      </c>
      <c r="D2117" t="s">
        <v>61</v>
      </c>
      <c r="E2117" t="s">
        <v>4033</v>
      </c>
      <c r="F2117" s="2" t="n">
        <f>HYPERLINK("https://patents.google.com/patent/US20210252142","Google")</f>
        <v>0.0</v>
      </c>
      <c r="G2117" s="2" t="n">
        <f>HYPERLINK("https://patentcenter.uspto.gov/applications/17168554","Patent Center")</f>
        <v>0.0</v>
      </c>
      <c r="H2117" s="2" t="n">
        <f>HYPERLINK("https://worldwide.espacenet.com/patent/search?q=US20210252142","Espacenet")</f>
        <v>0.0</v>
      </c>
      <c r="I2117" s="2" t="n">
        <f>HYPERLINK("https://ppubs.uspto.gov/pubwebapp/external.html?q=20210252142.pn.","USPTO")</f>
        <v>0.0</v>
      </c>
      <c r="J2117" s="2" t="n">
        <f>HYPERLINK("https://image-ppubs.uspto.gov/dirsearch-public/print/downloadPdf/20210252142","USPTO PDF")</f>
        <v>0.0</v>
      </c>
      <c r="K2117" s="2" t="n">
        <f>HYPERLINK("https://sectors.patentforecast.com/pmd/US20210252142","PMD")</f>
        <v>0.0</v>
      </c>
      <c r="L2117" s="2" t="n">
        <f>HYPERLINK("https://globaldossier.uspto.gov/result/application/US/17168554/1","US20210252142")</f>
        <v>0.0</v>
      </c>
      <c r="M2117" t="s">
        <v>14561</v>
      </c>
      <c r="N2117" t="s">
        <v>14562</v>
      </c>
      <c r="O2117" t="s">
        <v>14563</v>
      </c>
      <c r="P2117" t="s">
        <v>14564</v>
      </c>
      <c r="Q2117" s="3" t="n">
        <v>44232.0</v>
      </c>
      <c r="R2117" s="3" t="n">
        <v>44427.0</v>
      </c>
      <c r="S2117" s="3" t="n">
        <v>44427.22985704861</v>
      </c>
      <c r="T2117" s="3" t="n">
        <v>44431.6759368287</v>
      </c>
      <c r="U2117" t="s">
        <v>14565</v>
      </c>
      <c r="V2117" t="s">
        <v>14566</v>
      </c>
    </row>
    <row r="2118">
      <c r="A2118" t="s">
        <v>22</v>
      </c>
      <c r="B2118" t="s">
        <v>14567</v>
      </c>
      <c r="C2118" t="s">
        <v>132</v>
      </c>
      <c r="D2118" t="s">
        <v>14568</v>
      </c>
      <c r="E2118" t="s">
        <v>2257</v>
      </c>
      <c r="F2118" s="2" t="n">
        <f>HYPERLINK("https://patents.google.com/patent/US20210252129","Google")</f>
        <v>0.0</v>
      </c>
      <c r="G2118" s="2" t="n">
        <f>HYPERLINK("https://patentcenter.uspto.gov/applications/17155592","Patent Center")</f>
        <v>0.0</v>
      </c>
      <c r="H2118" s="2" t="n">
        <f>HYPERLINK("https://worldwide.espacenet.com/patent/search?q=US20210252129","Espacenet")</f>
        <v>0.0</v>
      </c>
      <c r="I2118" s="2" t="n">
        <f>HYPERLINK("https://ppubs.uspto.gov/pubwebapp/external.html?q=20210252129.pn.","USPTO")</f>
        <v>0.0</v>
      </c>
      <c r="J2118" s="2" t="n">
        <f>HYPERLINK("https://image-ppubs.uspto.gov/dirsearch-public/print/downloadPdf/20210252129","USPTO PDF")</f>
        <v>0.0</v>
      </c>
      <c r="K2118" s="2" t="n">
        <f>HYPERLINK("https://sectors.patentforecast.com/pmd/US20210252129","PMD")</f>
        <v>0.0</v>
      </c>
      <c r="L2118" s="2" t="n">
        <f>HYPERLINK("https://globaldossier.uspto.gov/result/application/US/17155592/1","US20210252129")</f>
        <v>0.0</v>
      </c>
      <c r="M2118" t="s">
        <v>2258</v>
      </c>
      <c r="N2118" t="s">
        <v>145</v>
      </c>
      <c r="O2118" t="s">
        <v>146</v>
      </c>
      <c r="P2118" t="s">
        <v>2259</v>
      </c>
      <c r="Q2118" s="3" t="n">
        <v>44218.0</v>
      </c>
      <c r="R2118" s="3" t="n">
        <v>44427.0</v>
      </c>
      <c r="S2118" s="3" t="n">
        <v>44427.2312424537</v>
      </c>
      <c r="T2118" s="3" t="n">
        <v>44638.68962553241</v>
      </c>
      <c r="U2118" t="s">
        <v>14569</v>
      </c>
      <c r="V2118" t="s">
        <v>2260</v>
      </c>
    </row>
    <row r="2119">
      <c r="A2119" t="s">
        <v>22</v>
      </c>
      <c r="B2119" t="s">
        <v>14570</v>
      </c>
      <c r="C2119" t="s">
        <v>60</v>
      </c>
      <c r="D2119" t="s">
        <v>61</v>
      </c>
      <c r="E2119" t="s">
        <v>14571</v>
      </c>
      <c r="F2119" s="2" t="n">
        <f>HYPERLINK("https://patents.google.com/patent/US20210252048","Google")</f>
        <v>0.0</v>
      </c>
      <c r="G2119" s="2" t="n">
        <f>HYPERLINK("https://patentcenter.uspto.gov/applications/17307232","Patent Center")</f>
        <v>0.0</v>
      </c>
      <c r="H2119" s="2" t="n">
        <f>HYPERLINK("https://worldwide.espacenet.com/patent/search?q=US20210252048","Espacenet")</f>
        <v>0.0</v>
      </c>
      <c r="I2119" s="2" t="n">
        <f>HYPERLINK("https://ppubs.uspto.gov/pubwebapp/external.html?q=20210252048.pn.","USPTO")</f>
        <v>0.0</v>
      </c>
      <c r="J2119" s="2" t="n">
        <f>HYPERLINK("https://image-ppubs.uspto.gov/dirsearch-public/print/downloadPdf/20210252048","USPTO PDF")</f>
        <v>0.0</v>
      </c>
      <c r="K2119" s="2" t="n">
        <f>HYPERLINK("https://sectors.patentforecast.com/pmd/US20210252048","PMD")</f>
        <v>0.0</v>
      </c>
      <c r="L2119" s="2" t="n">
        <f>HYPERLINK("https://globaldossier.uspto.gov/result/application/US/17307232/1","US20210252048")</f>
        <v>0.0</v>
      </c>
      <c r="M2119" t="s">
        <v>14572</v>
      </c>
      <c r="N2119" t="s">
        <v>1137</v>
      </c>
      <c r="O2119" t="s">
        <v>1138</v>
      </c>
      <c r="P2119" t="s">
        <v>14573</v>
      </c>
      <c r="Q2119" s="3" t="n">
        <v>44320.0</v>
      </c>
      <c r="R2119" s="3" t="n">
        <v>44427.0</v>
      </c>
      <c r="S2119" s="3" t="n">
        <v>44427.22985704861</v>
      </c>
      <c r="T2119" s="3" t="n">
        <v>44431.70300836806</v>
      </c>
      <c r="U2119" t="s">
        <v>14574</v>
      </c>
      <c r="V2119" t="s">
        <v>14575</v>
      </c>
    </row>
    <row r="2120">
      <c r="A2120" t="s">
        <v>22</v>
      </c>
      <c r="B2120" t="s">
        <v>14576</v>
      </c>
      <c r="C2120" t="s">
        <v>60</v>
      </c>
      <c r="D2120" t="s">
        <v>61</v>
      </c>
      <c r="E2120" t="s">
        <v>14577</v>
      </c>
      <c r="F2120" s="2" t="n">
        <f>HYPERLINK("https://patents.google.com/patent/US20210252045","Google")</f>
        <v>0.0</v>
      </c>
      <c r="G2120" s="2" t="n">
        <f>HYPERLINK("https://patentcenter.uspto.gov/applications/17118841","Patent Center")</f>
        <v>0.0</v>
      </c>
      <c r="H2120" s="2" t="n">
        <f>HYPERLINK("https://worldwide.espacenet.com/patent/search?q=US20210252045","Espacenet")</f>
        <v>0.0</v>
      </c>
      <c r="I2120" s="2" t="n">
        <f>HYPERLINK("https://ppubs.uspto.gov/pubwebapp/external.html?q=20210252045.pn.","USPTO")</f>
        <v>0.0</v>
      </c>
      <c r="J2120" s="2" t="n">
        <f>HYPERLINK("https://image-ppubs.uspto.gov/dirsearch-public/print/downloadPdf/20210252045","USPTO PDF")</f>
        <v>0.0</v>
      </c>
      <c r="K2120" s="2" t="n">
        <f>HYPERLINK("https://sectors.patentforecast.com/pmd/US20210252045","PMD")</f>
        <v>0.0</v>
      </c>
      <c r="L2120" s="2" t="n">
        <f>HYPERLINK("https://globaldossier.uspto.gov/result/application/US/17118841/1","US20210252045")</f>
        <v>0.0</v>
      </c>
      <c r="M2120" t="s">
        <v>14578</v>
      </c>
      <c r="N2120" t="s">
        <v>14579</v>
      </c>
      <c r="O2120" t="s">
        <v>14580</v>
      </c>
      <c r="P2120" t="s">
        <v>14581</v>
      </c>
      <c r="Q2120" s="3" t="n">
        <v>44176.0</v>
      </c>
      <c r="R2120" s="3" t="n">
        <v>44427.0</v>
      </c>
      <c r="S2120" s="3" t="n">
        <v>44427.22985704861</v>
      </c>
      <c r="T2120" s="3" t="n">
        <v>44431.67967197917</v>
      </c>
      <c r="U2120" t="s">
        <v>14582</v>
      </c>
      <c r="V2120" t="s">
        <v>14583</v>
      </c>
    </row>
    <row r="2121">
      <c r="A2121" t="s">
        <v>22</v>
      </c>
      <c r="B2121" t="s">
        <v>14584</v>
      </c>
      <c r="C2121" t="s">
        <v>60</v>
      </c>
      <c r="D2121" t="s">
        <v>61</v>
      </c>
      <c r="E2121" t="s">
        <v>14585</v>
      </c>
      <c r="F2121" s="2" t="n">
        <f>HYPERLINK("https://patents.google.com/patent/US20210252033","Google")</f>
        <v>0.0</v>
      </c>
      <c r="G2121" s="2" t="n">
        <f>HYPERLINK("https://patentcenter.uspto.gov/applications/17170172","Patent Center")</f>
        <v>0.0</v>
      </c>
      <c r="H2121" s="2" t="n">
        <f>HYPERLINK("https://worldwide.espacenet.com/patent/search?q=US20210252033","Espacenet")</f>
        <v>0.0</v>
      </c>
      <c r="I2121" s="2" t="n">
        <f>HYPERLINK("https://ppubs.uspto.gov/pubwebapp/external.html?q=20210252033.pn.","USPTO")</f>
        <v>0.0</v>
      </c>
      <c r="J2121" s="2" t="n">
        <f>HYPERLINK("https://image-ppubs.uspto.gov/dirsearch-public/print/downloadPdf/20210252033","USPTO PDF")</f>
        <v>0.0</v>
      </c>
      <c r="K2121" s="2" t="n">
        <f>HYPERLINK("https://sectors.patentforecast.com/pmd/US20210252033","PMD")</f>
        <v>0.0</v>
      </c>
      <c r="L2121" s="2" t="n">
        <f>HYPERLINK("https://globaldossier.uspto.gov/result/application/US/17170172/1","US20210252033")</f>
        <v>0.0</v>
      </c>
      <c r="M2121" t="s">
        <v>14586</v>
      </c>
      <c r="N2121" t="s">
        <v>14587</v>
      </c>
      <c r="O2121" t="s">
        <v>14587</v>
      </c>
      <c r="P2121" t="s">
        <v>14588</v>
      </c>
      <c r="Q2121" s="3" t="n">
        <v>44235.0</v>
      </c>
      <c r="R2121" s="3" t="n">
        <v>44427.0</v>
      </c>
      <c r="S2121" s="3" t="n">
        <v>44427.22985704861</v>
      </c>
      <c r="T2121" s="3" t="n">
        <v>44431.68204364584</v>
      </c>
      <c r="U2121" t="s">
        <v>14589</v>
      </c>
      <c r="V2121" t="s">
        <v>14590</v>
      </c>
    </row>
    <row r="2122">
      <c r="A2122" t="s">
        <v>22</v>
      </c>
      <c r="B2122" t="s">
        <v>14591</v>
      </c>
      <c r="C2122" t="s">
        <v>60</v>
      </c>
      <c r="D2122" t="s">
        <v>61</v>
      </c>
      <c r="E2122" t="s">
        <v>14592</v>
      </c>
      <c r="F2122" s="2" t="n">
        <f>HYPERLINK("https://patents.google.com/patent/US20210252027","Google")</f>
        <v>0.0</v>
      </c>
      <c r="G2122" s="2" t="n">
        <f>HYPERLINK("https://patentcenter.uspto.gov/applications/17168262","Patent Center")</f>
        <v>0.0</v>
      </c>
      <c r="H2122" s="2" t="n">
        <f>HYPERLINK("https://worldwide.espacenet.com/patent/search?q=US20210252027","Espacenet")</f>
        <v>0.0</v>
      </c>
      <c r="I2122" s="2" t="n">
        <f>HYPERLINK("https://ppubs.uspto.gov/pubwebapp/external.html?q=20210252027.pn.","USPTO")</f>
        <v>0.0</v>
      </c>
      <c r="J2122" s="2" t="n">
        <f>HYPERLINK("https://image-ppubs.uspto.gov/dirsearch-public/print/downloadPdf/20210252027","USPTO PDF")</f>
        <v>0.0</v>
      </c>
      <c r="K2122" s="2" t="n">
        <f>HYPERLINK("https://sectors.patentforecast.com/pmd/US20210252027","PMD")</f>
        <v>0.0</v>
      </c>
      <c r="L2122" s="2" t="n">
        <f>HYPERLINK("https://globaldossier.uspto.gov/result/application/US/17168262/1","US20210252027")</f>
        <v>0.0</v>
      </c>
      <c r="M2122" t="s">
        <v>14593</v>
      </c>
      <c r="N2122" t="s">
        <v>8630</v>
      </c>
      <c r="O2122" t="s">
        <v>8631</v>
      </c>
      <c r="P2122" t="s">
        <v>8632</v>
      </c>
      <c r="Q2122" s="3" t="n">
        <v>44232.0</v>
      </c>
      <c r="R2122" s="3" t="n">
        <v>44427.0</v>
      </c>
      <c r="S2122" s="3" t="n">
        <v>44427.22985704861</v>
      </c>
      <c r="T2122" s="3" t="n">
        <v>44431.68331166667</v>
      </c>
      <c r="U2122" t="s">
        <v>14594</v>
      </c>
      <c r="V2122" t="s">
        <v>14595</v>
      </c>
    </row>
    <row r="2123">
      <c r="A2123" t="s">
        <v>22</v>
      </c>
      <c r="B2123" t="s">
        <v>14596</v>
      </c>
      <c r="C2123" t="s">
        <v>60</v>
      </c>
      <c r="D2123" t="s">
        <v>61</v>
      </c>
      <c r="E2123" t="s">
        <v>6020</v>
      </c>
      <c r="F2123" s="2" t="n">
        <f>HYPERLINK("https://patents.google.com/patent/US20210251945","Google")</f>
        <v>0.0</v>
      </c>
      <c r="G2123" s="2" t="n">
        <f>HYPERLINK("https://patentcenter.uspto.gov/applications/17014774","Patent Center")</f>
        <v>0.0</v>
      </c>
      <c r="H2123" s="2" t="n">
        <f>HYPERLINK("https://worldwide.espacenet.com/patent/search?q=US20210251945","Espacenet")</f>
        <v>0.0</v>
      </c>
      <c r="I2123" s="2" t="n">
        <f>HYPERLINK("https://ppubs.uspto.gov/pubwebapp/external.html?q=20210251945.pn.","USPTO")</f>
        <v>0.0</v>
      </c>
      <c r="J2123" s="2" t="n">
        <f>HYPERLINK("https://image-ppubs.uspto.gov/dirsearch-public/print/downloadPdf/20210251945","USPTO PDF")</f>
        <v>0.0</v>
      </c>
      <c r="K2123" s="2" t="n">
        <f>HYPERLINK("https://sectors.patentforecast.com/pmd/US20210251945","PMD")</f>
        <v>0.0</v>
      </c>
      <c r="L2123" s="2" t="n">
        <f>HYPERLINK("https://globaldossier.uspto.gov/result/application/US/17014774/1","US20210251945")</f>
        <v>0.0</v>
      </c>
      <c r="M2123" t="s">
        <v>14597</v>
      </c>
      <c r="N2123" t="s">
        <v>6022</v>
      </c>
      <c r="O2123" t="s">
        <v>6023</v>
      </c>
      <c r="P2123" t="s">
        <v>6024</v>
      </c>
      <c r="Q2123" s="3" t="n">
        <v>44082.0</v>
      </c>
      <c r="R2123" s="3" t="n">
        <v>44427.0</v>
      </c>
      <c r="S2123" s="3" t="n">
        <v>44427.22985704861</v>
      </c>
      <c r="T2123" s="3" t="n">
        <v>44431.67646162037</v>
      </c>
      <c r="U2123" t="s">
        <v>14598</v>
      </c>
      <c r="V2123" t="s">
        <v>6026</v>
      </c>
    </row>
    <row r="2124">
      <c r="A2124" t="s">
        <v>22</v>
      </c>
      <c r="B2124" t="s">
        <v>14599</v>
      </c>
      <c r="C2124" t="s">
        <v>24</v>
      </c>
      <c r="D2124" t="s">
        <v>25</v>
      </c>
      <c r="E2124" t="s">
        <v>14600</v>
      </c>
      <c r="F2124" s="2" t="n">
        <f>HYPERLINK("https://patents.google.com/patent/US20210251188","Google")</f>
        <v>0.0</v>
      </c>
      <c r="G2124" s="2" t="n">
        <f>HYPERLINK("https://patentcenter.uspto.gov/applications/17081441","Patent Center")</f>
        <v>0.0</v>
      </c>
      <c r="H2124" s="2" t="n">
        <f>HYPERLINK("https://worldwide.espacenet.com/patent/search?q=US20210251188","Espacenet")</f>
        <v>0.0</v>
      </c>
      <c r="I2124" s="2" t="n">
        <f>HYPERLINK("https://ppubs.uspto.gov/pubwebapp/external.html?q=20210251188.pn.","USPTO")</f>
        <v>0.0</v>
      </c>
      <c r="J2124" s="2" t="n">
        <f>HYPERLINK("https://image-ppubs.uspto.gov/dirsearch-public/print/downloadPdf/20210251188","USPTO PDF")</f>
        <v>0.0</v>
      </c>
      <c r="K2124" s="2" t="n">
        <f>HYPERLINK("https://sectors.patentforecast.com/pmd/US20210251188","PMD")</f>
        <v>0.0</v>
      </c>
      <c r="L2124" s="2" t="n">
        <f>HYPERLINK("https://globaldossier.uspto.gov/result/application/US/17081441/1","US20210251188")</f>
        <v>0.0</v>
      </c>
      <c r="M2124" t="s">
        <v>14601</v>
      </c>
      <c r="N2124" t="s">
        <v>346</v>
      </c>
      <c r="O2124" t="s">
        <v>346</v>
      </c>
      <c r="P2124" t="s">
        <v>14602</v>
      </c>
      <c r="Q2124" s="3" t="n">
        <v>44131.0</v>
      </c>
      <c r="R2124" s="3" t="n">
        <v>44427.0</v>
      </c>
      <c r="S2124" s="3" t="n">
        <v>44427.22985704861</v>
      </c>
      <c r="T2124" s="3" t="n">
        <v>44431.70230372685</v>
      </c>
      <c r="U2124" t="s">
        <v>14603</v>
      </c>
      <c r="V2124" t="s">
        <v>14604</v>
      </c>
    </row>
    <row r="2125">
      <c r="A2125" t="s">
        <v>22</v>
      </c>
      <c r="B2125" t="s">
        <v>14605</v>
      </c>
      <c r="C2125" t="s">
        <v>24</v>
      </c>
      <c r="D2125" t="s">
        <v>1450</v>
      </c>
      <c r="E2125" t="s">
        <v>14606</v>
      </c>
      <c r="F2125" s="2" t="n">
        <f>HYPERLINK("https://patents.google.com/patent/US20210248890","Google")</f>
        <v>0.0</v>
      </c>
      <c r="G2125" s="2" t="n">
        <f>HYPERLINK("https://patentcenter.uspto.gov/applications/17174806","Patent Center")</f>
        <v>0.0</v>
      </c>
      <c r="H2125" s="2" t="n">
        <f>HYPERLINK("https://worldwide.espacenet.com/patent/search?q=US20210248890","Espacenet")</f>
        <v>0.0</v>
      </c>
      <c r="I2125" s="2" t="n">
        <f>HYPERLINK("https://ppubs.uspto.gov/pubwebapp/external.html?q=20210248890.pn.","USPTO")</f>
        <v>0.0</v>
      </c>
      <c r="J2125" s="2" t="n">
        <f>HYPERLINK("https://image-ppubs.uspto.gov/dirsearch-public/print/downloadPdf/20210248890","USPTO PDF")</f>
        <v>0.0</v>
      </c>
      <c r="K2125" s="2" t="n">
        <f>HYPERLINK("https://sectors.patentforecast.com/pmd/US20210248890","PMD")</f>
        <v>0.0</v>
      </c>
      <c r="L2125" s="2" t="n">
        <f>HYPERLINK("https://globaldossier.uspto.gov/result/application/US/17174806/1","US20210248890")</f>
        <v>0.0</v>
      </c>
      <c r="M2125" t="s">
        <v>14607</v>
      </c>
      <c r="N2125" t="s">
        <v>14608</v>
      </c>
      <c r="O2125" t="s">
        <v>14609</v>
      </c>
      <c r="P2125" t="s">
        <v>14610</v>
      </c>
      <c r="Q2125" s="3" t="n">
        <v>44239.0</v>
      </c>
      <c r="R2125" s="3" t="n">
        <v>44420.0</v>
      </c>
      <c r="S2125" s="3" t="n">
        <v>44420.2297965625</v>
      </c>
      <c r="T2125" s="3" t="n">
        <v>44425.451660405095</v>
      </c>
      <c r="U2125" t="s">
        <v>14611</v>
      </c>
      <c r="V2125" t="s">
        <v>14612</v>
      </c>
    </row>
    <row r="2126">
      <c r="A2126" t="s">
        <v>22</v>
      </c>
      <c r="B2126" t="s">
        <v>14613</v>
      </c>
      <c r="C2126" t="s">
        <v>60</v>
      </c>
      <c r="D2126" t="s">
        <v>61</v>
      </c>
      <c r="E2126" t="s">
        <v>14614</v>
      </c>
      <c r="F2126" s="2" t="n">
        <f>HYPERLINK("https://patents.google.com/patent/US20210246448","Google")</f>
        <v>0.0</v>
      </c>
      <c r="G2126" s="2" t="n">
        <f>HYPERLINK("https://patentcenter.uspto.gov/applications/17157920","Patent Center")</f>
        <v>0.0</v>
      </c>
      <c r="H2126" s="2" t="n">
        <f>HYPERLINK("https://worldwide.espacenet.com/patent/search?q=US20210246448","Espacenet")</f>
        <v>0.0</v>
      </c>
      <c r="I2126" s="2" t="n">
        <f>HYPERLINK("https://ppubs.uspto.gov/pubwebapp/external.html?q=20210246448.pn.","USPTO")</f>
        <v>0.0</v>
      </c>
      <c r="J2126" s="2" t="n">
        <f>HYPERLINK("https://image-ppubs.uspto.gov/dirsearch-public/print/downloadPdf/20210246448","USPTO PDF")</f>
        <v>0.0</v>
      </c>
      <c r="K2126" s="2" t="n">
        <f>HYPERLINK("https://sectors.patentforecast.com/pmd/US20210246448","PMD")</f>
        <v>0.0</v>
      </c>
      <c r="L2126" s="2" t="n">
        <f>HYPERLINK("https://globaldossier.uspto.gov/result/application/US/17157920/1","US20210246448")</f>
        <v>0.0</v>
      </c>
      <c r="M2126" t="s">
        <v>14615</v>
      </c>
      <c r="N2126" t="s">
        <v>403</v>
      </c>
      <c r="O2126" t="s">
        <v>404</v>
      </c>
      <c r="P2126" t="s">
        <v>14616</v>
      </c>
      <c r="Q2126" s="3" t="n">
        <v>44221.0</v>
      </c>
      <c r="R2126" s="3" t="n">
        <v>44420.0</v>
      </c>
      <c r="S2126" s="3" t="n">
        <v>44420.22945259259</v>
      </c>
      <c r="T2126" s="3" t="n">
        <v>44425.43949275463</v>
      </c>
      <c r="U2126" t="s">
        <v>14617</v>
      </c>
      <c r="V2126" t="s">
        <v>14618</v>
      </c>
    </row>
    <row r="2127">
      <c r="A2127" t="s">
        <v>22</v>
      </c>
      <c r="B2127" t="s">
        <v>14619</v>
      </c>
      <c r="C2127" t="s">
        <v>132</v>
      </c>
      <c r="D2127" t="s">
        <v>133</v>
      </c>
      <c r="E2127" t="s">
        <v>14620</v>
      </c>
      <c r="F2127" s="2" t="n">
        <f>HYPERLINK("https://patents.google.com/patent/US20210246431","Google")</f>
        <v>0.0</v>
      </c>
      <c r="G2127" s="2" t="n">
        <f>HYPERLINK("https://patentcenter.uspto.gov/applications/17027295","Patent Center")</f>
        <v>0.0</v>
      </c>
      <c r="H2127" s="2" t="n">
        <f>HYPERLINK("https://worldwide.espacenet.com/patent/search?q=US20210246431","Espacenet")</f>
        <v>0.0</v>
      </c>
      <c r="I2127" s="2" t="n">
        <f>HYPERLINK("https://ppubs.uspto.gov/pubwebapp/external.html?q=20210246431.pn.","USPTO")</f>
        <v>0.0</v>
      </c>
      <c r="J2127" s="2" t="n">
        <f>HYPERLINK("https://image-ppubs.uspto.gov/dirsearch-public/print/downloadPdf/20210246431","USPTO PDF")</f>
        <v>0.0</v>
      </c>
      <c r="K2127" s="2" t="n">
        <f>HYPERLINK("https://sectors.patentforecast.com/pmd/US20210246431","PMD")</f>
        <v>0.0</v>
      </c>
      <c r="L2127" s="2" t="n">
        <f>HYPERLINK("https://globaldossier.uspto.gov/result/application/US/17027295/1","US20210246431")</f>
        <v>0.0</v>
      </c>
      <c r="M2127" t="s">
        <v>14621</v>
      </c>
      <c r="N2127" t="s">
        <v>14622</v>
      </c>
      <c r="O2127" t="s">
        <v>14622</v>
      </c>
      <c r="P2127" t="s">
        <v>14623</v>
      </c>
      <c r="Q2127" s="3" t="n">
        <v>44095.0</v>
      </c>
      <c r="R2127" s="3" t="n">
        <v>44420.0</v>
      </c>
      <c r="S2127" s="3" t="n">
        <v>44420.230956493055</v>
      </c>
      <c r="T2127" s="3" t="n">
        <v>44425.444236261574</v>
      </c>
      <c r="U2127" t="s">
        <v>14624</v>
      </c>
      <c r="V2127" t="s">
        <v>14625</v>
      </c>
    </row>
    <row r="2128">
      <c r="A2128" t="s">
        <v>22</v>
      </c>
      <c r="B2128" t="s">
        <v>14626</v>
      </c>
      <c r="C2128" t="s">
        <v>60</v>
      </c>
      <c r="D2128" t="s">
        <v>77</v>
      </c>
      <c r="E2128" t="s">
        <v>4319</v>
      </c>
      <c r="F2128" s="2" t="n">
        <f>HYPERLINK("https://patents.google.com/patent/US20210246226","Google")</f>
        <v>0.0</v>
      </c>
      <c r="G2128" s="2" t="n">
        <f>HYPERLINK("https://patentcenter.uspto.gov/applications/17171941","Patent Center")</f>
        <v>0.0</v>
      </c>
      <c r="H2128" s="2" t="n">
        <f>HYPERLINK("https://worldwide.espacenet.com/patent/search?q=US20210246226","Espacenet")</f>
        <v>0.0</v>
      </c>
      <c r="I2128" s="2" t="n">
        <f>HYPERLINK("https://ppubs.uspto.gov/pubwebapp/external.html?q=20210246226.pn.","USPTO")</f>
        <v>0.0</v>
      </c>
      <c r="J2128" s="2" t="n">
        <f>HYPERLINK("https://image-ppubs.uspto.gov/dirsearch-public/print/downloadPdf/20210246226","USPTO PDF")</f>
        <v>0.0</v>
      </c>
      <c r="K2128" s="2" t="n">
        <f>HYPERLINK("https://sectors.patentforecast.com/pmd/US20210246226","PMD")</f>
        <v>0.0</v>
      </c>
      <c r="L2128" s="2" t="n">
        <f>HYPERLINK("https://globaldossier.uspto.gov/result/application/US/17171941/1","US20210246226")</f>
        <v>0.0</v>
      </c>
      <c r="M2128" t="s">
        <v>14627</v>
      </c>
      <c r="N2128" t="s">
        <v>4321</v>
      </c>
      <c r="O2128" t="s">
        <v>4322</v>
      </c>
      <c r="P2128" t="s">
        <v>14628</v>
      </c>
      <c r="Q2128" s="3" t="n">
        <v>44236.0</v>
      </c>
      <c r="R2128" s="3" t="n">
        <v>44420.0</v>
      </c>
      <c r="S2128" s="3" t="n">
        <v>44420.2297965625</v>
      </c>
      <c r="T2128" s="3" t="n">
        <v>44425.43816994213</v>
      </c>
      <c r="U2128" t="s">
        <v>14629</v>
      </c>
      <c r="V2128" t="s">
        <v>14630</v>
      </c>
    </row>
    <row r="2129">
      <c r="A2129" t="s">
        <v>22</v>
      </c>
      <c r="B2129" t="s">
        <v>14631</v>
      </c>
      <c r="C2129" t="s">
        <v>132</v>
      </c>
      <c r="D2129" t="s">
        <v>133</v>
      </c>
      <c r="E2129" t="s">
        <v>14632</v>
      </c>
      <c r="F2129" s="2" t="n">
        <f>HYPERLINK("https://patents.google.com/patent/US20210246170","Google")</f>
        <v>0.0</v>
      </c>
      <c r="G2129" s="2" t="n">
        <f>HYPERLINK("https://patentcenter.uspto.gov/applications/17163357","Patent Center")</f>
        <v>0.0</v>
      </c>
      <c r="H2129" s="2" t="n">
        <f>HYPERLINK("https://worldwide.espacenet.com/patent/search?q=US20210246170","Espacenet")</f>
        <v>0.0</v>
      </c>
      <c r="I2129" s="2" t="n">
        <f>HYPERLINK("https://ppubs.uspto.gov/pubwebapp/external.html?q=20210246170.pn.","USPTO")</f>
        <v>0.0</v>
      </c>
      <c r="J2129" s="2" t="n">
        <f>HYPERLINK("https://image-ppubs.uspto.gov/dirsearch-public/print/downloadPdf/20210246170","USPTO PDF")</f>
        <v>0.0</v>
      </c>
      <c r="K2129" s="2" t="n">
        <f>HYPERLINK("https://sectors.patentforecast.com/pmd/US20210246170","PMD")</f>
        <v>0.0</v>
      </c>
      <c r="L2129" s="2" t="n">
        <f>HYPERLINK("https://globaldossier.uspto.gov/result/application/US/17163357/1","US20210246170")</f>
        <v>0.0</v>
      </c>
      <c r="M2129" t="s">
        <v>14633</v>
      </c>
      <c r="N2129" t="s">
        <v>6947</v>
      </c>
      <c r="O2129" t="s">
        <v>6948</v>
      </c>
      <c r="P2129" t="s">
        <v>14634</v>
      </c>
      <c r="Q2129" s="3" t="n">
        <v>44226.0</v>
      </c>
      <c r="R2129" s="3" t="n">
        <v>44420.0</v>
      </c>
      <c r="S2129" s="3" t="n">
        <v>44420.22945259259</v>
      </c>
      <c r="T2129" s="3" t="n">
        <v>44425.44091481481</v>
      </c>
      <c r="U2129" t="s">
        <v>14635</v>
      </c>
      <c r="V2129" t="s">
        <v>8760</v>
      </c>
    </row>
    <row r="2130">
      <c r="A2130" t="s">
        <v>22</v>
      </c>
      <c r="B2130" t="s">
        <v>14636</v>
      </c>
      <c r="C2130" t="s">
        <v>132</v>
      </c>
      <c r="D2130" t="s">
        <v>133</v>
      </c>
      <c r="E2130" t="s">
        <v>14637</v>
      </c>
      <c r="F2130" s="2" t="n">
        <f>HYPERLINK("https://patents.google.com/patent/US20210244811","Google")</f>
        <v>0.0</v>
      </c>
      <c r="G2130" s="2" t="n">
        <f>HYPERLINK("https://patentcenter.uspto.gov/applications/17172300","Patent Center")</f>
        <v>0.0</v>
      </c>
      <c r="H2130" s="2" t="n">
        <f>HYPERLINK("https://worldwide.espacenet.com/patent/search?q=US20210244811","Espacenet")</f>
        <v>0.0</v>
      </c>
      <c r="I2130" s="2" t="n">
        <f>HYPERLINK("https://ppubs.uspto.gov/pubwebapp/external.html?q=20210244811.pn.","USPTO")</f>
        <v>0.0</v>
      </c>
      <c r="J2130" s="2" t="n">
        <f>HYPERLINK("https://image-ppubs.uspto.gov/dirsearch-public/print/downloadPdf/20210244811","USPTO PDF")</f>
        <v>0.0</v>
      </c>
      <c r="K2130" s="2" t="n">
        <f>HYPERLINK("https://sectors.patentforecast.com/pmd/US20210244811","PMD")</f>
        <v>0.0</v>
      </c>
      <c r="L2130" s="2" t="n">
        <f>HYPERLINK("https://globaldossier.uspto.gov/result/application/US/17172300/1","US20210244811")</f>
        <v>0.0</v>
      </c>
      <c r="M2130" t="s">
        <v>14638</v>
      </c>
      <c r="N2130" t="s">
        <v>14442</v>
      </c>
      <c r="O2130" t="s">
        <v>14443</v>
      </c>
      <c r="P2130" t="s">
        <v>14639</v>
      </c>
      <c r="Q2130" s="3" t="n">
        <v>44237.0</v>
      </c>
      <c r="R2130" s="3" t="n">
        <v>44420.0</v>
      </c>
      <c r="S2130" s="3" t="n">
        <v>44420.2297965625</v>
      </c>
      <c r="T2130" s="3" t="n">
        <v>44425.44291104167</v>
      </c>
      <c r="U2130" t="s">
        <v>14640</v>
      </c>
      <c r="V2130" t="s">
        <v>14641</v>
      </c>
    </row>
    <row r="2131">
      <c r="A2131" t="s">
        <v>22</v>
      </c>
      <c r="B2131" t="s">
        <v>14642</v>
      </c>
      <c r="C2131" t="s">
        <v>60</v>
      </c>
      <c r="D2131" t="s">
        <v>61</v>
      </c>
      <c r="E2131" t="s">
        <v>14643</v>
      </c>
      <c r="F2131" s="2" t="n">
        <f>HYPERLINK("https://patents.google.com/patent/US20210244746","Google")</f>
        <v>0.0</v>
      </c>
      <c r="G2131" s="2" t="n">
        <f>HYPERLINK("https://patentcenter.uspto.gov/applications/17174423","Patent Center")</f>
        <v>0.0</v>
      </c>
      <c r="H2131" s="2" t="n">
        <f>HYPERLINK("https://worldwide.espacenet.com/patent/search?q=US20210244746","Espacenet")</f>
        <v>0.0</v>
      </c>
      <c r="I2131" s="2" t="n">
        <f>HYPERLINK("https://ppubs.uspto.gov/pubwebapp/external.html?q=20210244746.pn.","USPTO")</f>
        <v>0.0</v>
      </c>
      <c r="J2131" s="2" t="n">
        <f>HYPERLINK("https://image-ppubs.uspto.gov/dirsearch-public/print/downloadPdf/20210244746","USPTO PDF")</f>
        <v>0.0</v>
      </c>
      <c r="K2131" s="2" t="n">
        <f>HYPERLINK("https://sectors.patentforecast.com/pmd/US20210244746","PMD")</f>
        <v>0.0</v>
      </c>
      <c r="L2131" s="2" t="n">
        <f>HYPERLINK("https://globaldossier.uspto.gov/result/application/US/17174423/1","US20210244746")</f>
        <v>0.0</v>
      </c>
      <c r="M2131" t="s">
        <v>14644</v>
      </c>
      <c r="N2131" t="s">
        <v>14645</v>
      </c>
      <c r="O2131" t="s">
        <v>14646</v>
      </c>
      <c r="P2131" t="s">
        <v>14647</v>
      </c>
      <c r="Q2131" s="3" t="n">
        <v>44239.0</v>
      </c>
      <c r="R2131" s="3" t="n">
        <v>44420.0</v>
      </c>
      <c r="S2131" s="3" t="n">
        <v>44420.22945259259</v>
      </c>
      <c r="T2131" s="3" t="n">
        <v>44425.44245971065</v>
      </c>
      <c r="U2131" t="s">
        <v>14648</v>
      </c>
      <c r="V2131" t="s">
        <v>14649</v>
      </c>
    </row>
    <row r="2132">
      <c r="A2132" t="s">
        <v>22</v>
      </c>
      <c r="B2132" t="s">
        <v>14650</v>
      </c>
      <c r="C2132" t="s">
        <v>60</v>
      </c>
      <c r="D2132" t="s">
        <v>696</v>
      </c>
      <c r="E2132" t="s">
        <v>14651</v>
      </c>
      <c r="F2132" s="2" t="n">
        <f>HYPERLINK("https://patents.google.com/patent/US20210244743","Google")</f>
        <v>0.0</v>
      </c>
      <c r="G2132" s="2" t="n">
        <f>HYPERLINK("https://patentcenter.uspto.gov/applications/17248696","Patent Center")</f>
        <v>0.0</v>
      </c>
      <c r="H2132" s="2" t="n">
        <f>HYPERLINK("https://worldwide.espacenet.com/patent/search?q=US20210244743","Espacenet")</f>
        <v>0.0</v>
      </c>
      <c r="I2132" s="2" t="n">
        <f>HYPERLINK("https://ppubs.uspto.gov/pubwebapp/external.html?q=20210244743.pn.","USPTO")</f>
        <v>0.0</v>
      </c>
      <c r="J2132" s="2" t="n">
        <f>HYPERLINK("https://image-ppubs.uspto.gov/dirsearch-public/print/downloadPdf/20210244743","USPTO PDF")</f>
        <v>0.0</v>
      </c>
      <c r="K2132" s="2" t="n">
        <f>HYPERLINK("https://sectors.patentforecast.com/pmd/US20210244743","PMD")</f>
        <v>0.0</v>
      </c>
      <c r="L2132" s="2" t="n">
        <f>HYPERLINK("https://globaldossier.uspto.gov/result/application/US/17248696/1","US20210244743")</f>
        <v>0.0</v>
      </c>
      <c r="M2132" t="s">
        <v>14652</v>
      </c>
      <c r="N2132" t="s">
        <v>14653</v>
      </c>
      <c r="O2132" t="s">
        <v>14654</v>
      </c>
      <c r="P2132" t="s">
        <v>14655</v>
      </c>
      <c r="Q2132" s="3" t="n">
        <v>44230.0</v>
      </c>
      <c r="R2132" s="3" t="n">
        <v>44420.0</v>
      </c>
      <c r="S2132" s="3" t="n">
        <v>44420.2297965625</v>
      </c>
      <c r="T2132" s="3" t="n">
        <v>44425.438527673614</v>
      </c>
      <c r="U2132" t="s">
        <v>14656</v>
      </c>
      <c r="V2132" t="s">
        <v>14657</v>
      </c>
    </row>
    <row r="2133">
      <c r="A2133" t="s">
        <v>22</v>
      </c>
      <c r="B2133" t="s">
        <v>14658</v>
      </c>
      <c r="C2133" t="s">
        <v>60</v>
      </c>
      <c r="D2133" t="s">
        <v>61</v>
      </c>
      <c r="E2133" t="s">
        <v>14659</v>
      </c>
      <c r="F2133" s="2" t="n">
        <f>HYPERLINK("https://patents.google.com/patent/US20210244726","Google")</f>
        <v>0.0</v>
      </c>
      <c r="G2133" s="2" t="n">
        <f>HYPERLINK("https://patentcenter.uspto.gov/applications/16828891","Patent Center")</f>
        <v>0.0</v>
      </c>
      <c r="H2133" s="2" t="n">
        <f>HYPERLINK("https://worldwide.espacenet.com/patent/search?q=US20210244726","Espacenet")</f>
        <v>0.0</v>
      </c>
      <c r="I2133" s="2" t="n">
        <f>HYPERLINK("https://ppubs.uspto.gov/pubwebapp/external.html?q=20210244726.pn.","USPTO")</f>
        <v>0.0</v>
      </c>
      <c r="J2133" s="2" t="n">
        <f>HYPERLINK("https://image-ppubs.uspto.gov/dirsearch-public/print/downloadPdf/20210244726","USPTO PDF")</f>
        <v>0.0</v>
      </c>
      <c r="K2133" s="2" t="n">
        <f>HYPERLINK("https://sectors.patentforecast.com/pmd/US20210244726","PMD")</f>
        <v>0.0</v>
      </c>
      <c r="L2133" s="2" t="n">
        <f>HYPERLINK("https://globaldossier.uspto.gov/result/application/US/16828891/1","US20210244726")</f>
        <v>0.0</v>
      </c>
      <c r="M2133" t="s">
        <v>14660</v>
      </c>
      <c r="N2133" t="s">
        <v>11369</v>
      </c>
      <c r="O2133" t="s">
        <v>11369</v>
      </c>
      <c r="P2133" t="s">
        <v>11370</v>
      </c>
      <c r="Q2133" s="3" t="n">
        <v>43914.0</v>
      </c>
      <c r="R2133" s="3" t="n">
        <v>44420.0</v>
      </c>
      <c r="S2133" s="3" t="n">
        <v>44420.2297965625</v>
      </c>
      <c r="T2133" s="3" t="n">
        <v>44425.453300104164</v>
      </c>
      <c r="U2133" t="s">
        <v>14661</v>
      </c>
      <c r="V2133" t="s">
        <v>11633</v>
      </c>
    </row>
    <row r="2134">
      <c r="A2134" t="s">
        <v>22</v>
      </c>
      <c r="B2134" t="s">
        <v>14662</v>
      </c>
      <c r="C2134" t="s">
        <v>60</v>
      </c>
      <c r="D2134" t="s">
        <v>61</v>
      </c>
      <c r="E2134" t="s">
        <v>11642</v>
      </c>
      <c r="F2134" s="2" t="n">
        <f>HYPERLINK("https://patents.google.com/patent/US20210244705","Google")</f>
        <v>0.0</v>
      </c>
      <c r="G2134" s="2" t="n">
        <f>HYPERLINK("https://patentcenter.uspto.gov/applications/17116942","Patent Center")</f>
        <v>0.0</v>
      </c>
      <c r="H2134" s="2" t="n">
        <f>HYPERLINK("https://worldwide.espacenet.com/patent/search?q=US20210244705","Espacenet")</f>
        <v>0.0</v>
      </c>
      <c r="I2134" s="2" t="n">
        <f>HYPERLINK("https://ppubs.uspto.gov/pubwebapp/external.html?q=20210244705.pn.","USPTO")</f>
        <v>0.0</v>
      </c>
      <c r="J2134" s="2" t="n">
        <f>HYPERLINK("https://image-ppubs.uspto.gov/dirsearch-public/print/downloadPdf/20210244705","USPTO PDF")</f>
        <v>0.0</v>
      </c>
      <c r="K2134" s="2" t="n">
        <f>HYPERLINK("https://sectors.patentforecast.com/pmd/US20210244705","PMD")</f>
        <v>0.0</v>
      </c>
      <c r="L2134" s="2" t="n">
        <f>HYPERLINK("https://globaldossier.uspto.gov/result/application/US/17116942/1","US20210244705")</f>
        <v>0.0</v>
      </c>
      <c r="M2134" t="s">
        <v>14663</v>
      </c>
      <c r="N2134" t="s">
        <v>11369</v>
      </c>
      <c r="O2134" t="s">
        <v>11369</v>
      </c>
      <c r="P2134" t="s">
        <v>11370</v>
      </c>
      <c r="Q2134" s="3" t="n">
        <v>44174.0</v>
      </c>
      <c r="R2134" s="3" t="n">
        <v>44420.0</v>
      </c>
      <c r="S2134" s="3" t="n">
        <v>44420.2297965625</v>
      </c>
      <c r="T2134" s="3" t="n">
        <v>44425.45335873843</v>
      </c>
      <c r="U2134" t="s">
        <v>14664</v>
      </c>
      <c r="V2134" t="s">
        <v>11645</v>
      </c>
    </row>
    <row r="2135">
      <c r="A2135" t="s">
        <v>22</v>
      </c>
      <c r="B2135" t="s">
        <v>14665</v>
      </c>
      <c r="C2135" t="s">
        <v>24</v>
      </c>
      <c r="D2135" t="s">
        <v>69</v>
      </c>
      <c r="E2135" t="s">
        <v>14666</v>
      </c>
      <c r="F2135" s="2" t="n">
        <f>HYPERLINK("https://patents.google.com/patent/US20210244594","Google")</f>
        <v>0.0</v>
      </c>
      <c r="G2135" s="2" t="n">
        <f>HYPERLINK("https://patentcenter.uspto.gov/applications/17236015","Patent Center")</f>
        <v>0.0</v>
      </c>
      <c r="H2135" s="2" t="n">
        <f>HYPERLINK("https://worldwide.espacenet.com/patent/search?q=US20210244594","Espacenet")</f>
        <v>0.0</v>
      </c>
      <c r="I2135" s="2" t="n">
        <f>HYPERLINK("https://ppubs.uspto.gov/pubwebapp/external.html?q=20210244594.pn.","USPTO")</f>
        <v>0.0</v>
      </c>
      <c r="J2135" s="2" t="n">
        <f>HYPERLINK("https://image-ppubs.uspto.gov/dirsearch-public/print/downloadPdf/20210244594","USPTO PDF")</f>
        <v>0.0</v>
      </c>
      <c r="K2135" s="2" t="n">
        <f>HYPERLINK("https://sectors.patentforecast.com/pmd/US20210244594","PMD")</f>
        <v>0.0</v>
      </c>
      <c r="L2135" s="2" t="n">
        <f>HYPERLINK("https://globaldossier.uspto.gov/result/application/US/17236015/1","US20210244594")</f>
        <v>0.0</v>
      </c>
      <c r="M2135" t="s">
        <v>14667</v>
      </c>
      <c r="N2135" t="s">
        <v>14668</v>
      </c>
      <c r="O2135" t="s">
        <v>14669</v>
      </c>
      <c r="P2135" t="s">
        <v>14670</v>
      </c>
      <c r="Q2135" s="3" t="n">
        <v>44307.0</v>
      </c>
      <c r="R2135" s="3" t="n">
        <v>44420.0</v>
      </c>
      <c r="S2135" s="3" t="n">
        <v>44420.2297965625</v>
      </c>
      <c r="T2135" s="3" t="n">
        <v>44425.44925207176</v>
      </c>
      <c r="U2135" t="s">
        <v>14671</v>
      </c>
      <c r="V2135" t="s">
        <v>14672</v>
      </c>
    </row>
    <row r="2136">
      <c r="A2136" t="s">
        <v>22</v>
      </c>
      <c r="B2136" t="s">
        <v>14673</v>
      </c>
      <c r="C2136" t="s">
        <v>312</v>
      </c>
      <c r="D2136" t="s">
        <v>715</v>
      </c>
      <c r="E2136" t="s">
        <v>14674</v>
      </c>
      <c r="F2136" s="2" t="n">
        <f>HYPERLINK("https://patents.google.com/patent/US20210244365","Google")</f>
        <v>0.0</v>
      </c>
      <c r="G2136" s="2" t="n">
        <f>HYPERLINK("https://patentcenter.uspto.gov/applications/17231991","Patent Center")</f>
        <v>0.0</v>
      </c>
      <c r="H2136" s="2" t="n">
        <f>HYPERLINK("https://worldwide.espacenet.com/patent/search?q=US20210244365","Espacenet")</f>
        <v>0.0</v>
      </c>
      <c r="I2136" s="2" t="n">
        <f>HYPERLINK("https://ppubs.uspto.gov/pubwebapp/external.html?q=20210244365.pn.","USPTO")</f>
        <v>0.0</v>
      </c>
      <c r="J2136" s="2" t="n">
        <f>HYPERLINK("https://image-ppubs.uspto.gov/dirsearch-public/print/downloadPdf/20210244365","USPTO PDF")</f>
        <v>0.0</v>
      </c>
      <c r="K2136" s="2" t="n">
        <f>HYPERLINK("https://sectors.patentforecast.com/pmd/US20210244365","PMD")</f>
        <v>0.0</v>
      </c>
      <c r="L2136" s="2" t="n">
        <f>HYPERLINK("https://globaldossier.uspto.gov/result/application/US/17231991/1","US20210244365")</f>
        <v>0.0</v>
      </c>
      <c r="M2136" t="s">
        <v>14675</v>
      </c>
      <c r="N2136" t="s">
        <v>14676</v>
      </c>
      <c r="O2136" t="s">
        <v>14677</v>
      </c>
      <c r="P2136" t="s">
        <v>14678</v>
      </c>
      <c r="Q2136" s="3" t="n">
        <v>44301.0</v>
      </c>
      <c r="R2136" s="3" t="n">
        <v>44420.0</v>
      </c>
      <c r="S2136" s="3" t="n">
        <v>44420.2297965625</v>
      </c>
      <c r="T2136" s="3" t="n">
        <v>44425.44812741898</v>
      </c>
      <c r="U2136" t="s">
        <v>14679</v>
      </c>
      <c r="V2136" t="s">
        <v>14680</v>
      </c>
    </row>
    <row r="2137">
      <c r="A2137" t="s">
        <v>22</v>
      </c>
      <c r="B2137" t="s">
        <v>14681</v>
      </c>
      <c r="C2137" t="s">
        <v>24</v>
      </c>
      <c r="D2137" t="s">
        <v>100</v>
      </c>
      <c r="E2137" t="s">
        <v>14682</v>
      </c>
      <c r="F2137" s="2" t="n">
        <f>HYPERLINK("https://patents.google.com/patent/US20210244029","Google")</f>
        <v>0.0</v>
      </c>
      <c r="G2137" s="2" t="n">
        <f>HYPERLINK("https://patentcenter.uspto.gov/applications/17143148","Patent Center")</f>
        <v>0.0</v>
      </c>
      <c r="H2137" s="2" t="n">
        <f>HYPERLINK("https://worldwide.espacenet.com/patent/search?q=US20210244029","Espacenet")</f>
        <v>0.0</v>
      </c>
      <c r="I2137" s="2" t="n">
        <f>HYPERLINK("https://ppubs.uspto.gov/pubwebapp/external.html?q=20210244029.pn.","USPTO")</f>
        <v>0.0</v>
      </c>
      <c r="J2137" s="2" t="n">
        <f>HYPERLINK("https://image-ppubs.uspto.gov/dirsearch-public/print/downloadPdf/20210244029","USPTO PDF")</f>
        <v>0.0</v>
      </c>
      <c r="K2137" s="2" t="n">
        <f>HYPERLINK("https://sectors.patentforecast.com/pmd/US20210244029","PMD")</f>
        <v>0.0</v>
      </c>
      <c r="L2137" s="2" t="n">
        <f>HYPERLINK("https://globaldossier.uspto.gov/result/application/US/17143148/1","US20210244029")</f>
        <v>0.0</v>
      </c>
      <c r="M2137" t="s">
        <v>14683</v>
      </c>
      <c r="N2137" t="s">
        <v>14684</v>
      </c>
      <c r="O2137" t="s">
        <v>14685</v>
      </c>
      <c r="P2137" t="s">
        <v>14686</v>
      </c>
      <c r="Q2137" s="3" t="n">
        <v>44202.0</v>
      </c>
      <c r="R2137" s="3" t="n">
        <v>44420.0</v>
      </c>
      <c r="S2137" s="3" t="n">
        <v>44420.2297965625</v>
      </c>
      <c r="T2137" s="3" t="n">
        <v>44425.43896138889</v>
      </c>
      <c r="U2137" t="s">
        <v>14687</v>
      </c>
      <c r="V2137" t="s">
        <v>14688</v>
      </c>
    </row>
    <row r="2138">
      <c r="A2138" t="s">
        <v>22</v>
      </c>
      <c r="B2138" t="s">
        <v>14689</v>
      </c>
      <c r="C2138" t="s">
        <v>24</v>
      </c>
      <c r="D2138" t="s">
        <v>1356</v>
      </c>
      <c r="E2138" t="s">
        <v>14690</v>
      </c>
      <c r="F2138" s="2" t="n">
        <f>HYPERLINK("https://patents.google.com/patent/US20210241919","Google")</f>
        <v>0.0</v>
      </c>
      <c r="G2138" s="2" t="n">
        <f>HYPERLINK("https://patentcenter.uspto.gov/applications/17240061","Patent Center")</f>
        <v>0.0</v>
      </c>
      <c r="H2138" s="2" t="n">
        <f>HYPERLINK("https://worldwide.espacenet.com/patent/search?q=US20210241919","Espacenet")</f>
        <v>0.0</v>
      </c>
      <c r="I2138" s="2" t="n">
        <f>HYPERLINK("https://ppubs.uspto.gov/pubwebapp/external.html?q=20210241919.pn.","USPTO")</f>
        <v>0.0</v>
      </c>
      <c r="J2138" s="2" t="n">
        <f>HYPERLINK("https://image-ppubs.uspto.gov/dirsearch-public/print/downloadPdf/20210241919","USPTO PDF")</f>
        <v>0.0</v>
      </c>
      <c r="K2138" s="2" t="n">
        <f>HYPERLINK("https://sectors.patentforecast.com/pmd/US20210241919","PMD")</f>
        <v>0.0</v>
      </c>
      <c r="L2138" s="2" t="n">
        <f>HYPERLINK("https://globaldossier.uspto.gov/result/application/US/17240061/1","US20210241919")</f>
        <v>0.0</v>
      </c>
      <c r="M2138" t="s">
        <v>14691</v>
      </c>
      <c r="N2138" t="s">
        <v>14692</v>
      </c>
      <c r="O2138" t="s">
        <v>14693</v>
      </c>
      <c r="P2138" t="s">
        <v>14694</v>
      </c>
      <c r="Q2138" s="3" t="n">
        <v>44312.0</v>
      </c>
      <c r="R2138" s="3" t="n">
        <v>44413.0</v>
      </c>
      <c r="S2138" s="3" t="n">
        <v>44413.22977672454</v>
      </c>
      <c r="T2138" s="3" t="n">
        <v>44419.38704178241</v>
      </c>
      <c r="U2138" t="s">
        <v>14695</v>
      </c>
      <c r="V2138" t="s">
        <v>14696</v>
      </c>
    </row>
    <row r="2139">
      <c r="A2139" t="s">
        <v>22</v>
      </c>
      <c r="B2139" t="s">
        <v>14697</v>
      </c>
      <c r="C2139" t="s">
        <v>24</v>
      </c>
      <c r="D2139" t="s">
        <v>100</v>
      </c>
      <c r="E2139" t="s">
        <v>14698</v>
      </c>
      <c r="F2139" s="2" t="n">
        <f>HYPERLINK("https://patents.google.com/patent/US20210241603","Google")</f>
        <v>0.0</v>
      </c>
      <c r="G2139" s="2" t="n">
        <f>HYPERLINK("https://patentcenter.uspto.gov/applications/17236202","Patent Center")</f>
        <v>0.0</v>
      </c>
      <c r="H2139" s="2" t="n">
        <f>HYPERLINK("https://worldwide.espacenet.com/patent/search?q=US20210241603","Espacenet")</f>
        <v>0.0</v>
      </c>
      <c r="I2139" s="2" t="n">
        <f>HYPERLINK("https://ppubs.uspto.gov/pubwebapp/external.html?q=20210241603.pn.","USPTO")</f>
        <v>0.0</v>
      </c>
      <c r="J2139" s="2" t="n">
        <f>HYPERLINK("https://image-ppubs.uspto.gov/dirsearch-public/print/downloadPdf/20210241603","USPTO PDF")</f>
        <v>0.0</v>
      </c>
      <c r="K2139" s="2" t="n">
        <f>HYPERLINK("https://sectors.patentforecast.com/pmd/US20210241603","PMD")</f>
        <v>0.0</v>
      </c>
      <c r="L2139" s="2" t="n">
        <f>HYPERLINK("https://globaldossier.uspto.gov/result/application/US/17236202/1","US20210241603")</f>
        <v>0.0</v>
      </c>
      <c r="M2139" t="s">
        <v>14699</v>
      </c>
      <c r="N2139" t="s">
        <v>14700</v>
      </c>
      <c r="O2139" t="s">
        <v>14701</v>
      </c>
      <c r="P2139" t="s">
        <v>14702</v>
      </c>
      <c r="Q2139" s="3" t="n">
        <v>44307.0</v>
      </c>
      <c r="R2139" s="3" t="n">
        <v>44413.0</v>
      </c>
      <c r="S2139" s="3" t="n">
        <v>44413.22977672454</v>
      </c>
      <c r="T2139" s="3" t="n">
        <v>44419.378010092594</v>
      </c>
      <c r="U2139" t="s">
        <v>14703</v>
      </c>
      <c r="V2139" t="s">
        <v>14704</v>
      </c>
    </row>
    <row r="2140">
      <c r="A2140" t="s">
        <v>22</v>
      </c>
      <c r="B2140" t="s">
        <v>14705</v>
      </c>
      <c r="C2140" t="s">
        <v>60</v>
      </c>
      <c r="D2140" t="s">
        <v>61</v>
      </c>
      <c r="E2140" t="s">
        <v>4033</v>
      </c>
      <c r="F2140" s="2" t="n">
        <f>HYPERLINK("https://patents.google.com/patent/US20210238232","Google")</f>
        <v>0.0</v>
      </c>
      <c r="G2140" s="2" t="n">
        <f>HYPERLINK("https://patentcenter.uspto.gov/applications/17005733","Patent Center")</f>
        <v>0.0</v>
      </c>
      <c r="H2140" s="2" t="n">
        <f>HYPERLINK("https://worldwide.espacenet.com/patent/search?q=US20210238232","Espacenet")</f>
        <v>0.0</v>
      </c>
      <c r="I2140" s="2" t="n">
        <f>HYPERLINK("https://ppubs.uspto.gov/pubwebapp/external.html?q=20210238232.pn.","USPTO")</f>
        <v>0.0</v>
      </c>
      <c r="J2140" s="2" t="n">
        <f>HYPERLINK("https://image-ppubs.uspto.gov/dirsearch-public/print/downloadPdf/20210238232","USPTO PDF")</f>
        <v>0.0</v>
      </c>
      <c r="K2140" s="2" t="n">
        <f>HYPERLINK("https://sectors.patentforecast.com/pmd/US20210238232","PMD")</f>
        <v>0.0</v>
      </c>
      <c r="L2140" s="2" t="n">
        <f>HYPERLINK("https://globaldossier.uspto.gov/result/application/US/17005733/1","US20210238232")</f>
        <v>0.0</v>
      </c>
      <c r="M2140" t="s">
        <v>14706</v>
      </c>
      <c r="N2140" t="s">
        <v>14707</v>
      </c>
      <c r="O2140" t="s">
        <v>14708</v>
      </c>
      <c r="P2140" t="s">
        <v>14709</v>
      </c>
      <c r="Q2140" s="3" t="n">
        <v>44071.0</v>
      </c>
      <c r="R2140" s="3" t="n">
        <v>44413.0</v>
      </c>
      <c r="S2140" s="3" t="n">
        <v>44413.22977672454</v>
      </c>
      <c r="T2140" s="3" t="n">
        <v>44419.35335293981</v>
      </c>
      <c r="U2140" t="s">
        <v>14710</v>
      </c>
      <c r="V2140" t="s">
        <v>14711</v>
      </c>
    </row>
    <row r="2141">
      <c r="A2141" t="s">
        <v>22</v>
      </c>
      <c r="B2141" t="s">
        <v>14712</v>
      </c>
      <c r="C2141" t="s">
        <v>60</v>
      </c>
      <c r="D2141" t="s">
        <v>715</v>
      </c>
      <c r="E2141" t="s">
        <v>14713</v>
      </c>
      <c r="F2141" s="2" t="n">
        <f>HYPERLINK("https://patents.google.com/patent/US20210236815","Google")</f>
        <v>0.0</v>
      </c>
      <c r="G2141" s="2" t="n">
        <f>HYPERLINK("https://patentcenter.uspto.gov/applications/17212833","Patent Center")</f>
        <v>0.0</v>
      </c>
      <c r="H2141" s="2" t="n">
        <f>HYPERLINK("https://worldwide.espacenet.com/patent/search?q=US20210236815","Espacenet")</f>
        <v>0.0</v>
      </c>
      <c r="I2141" s="2" t="n">
        <f>HYPERLINK("https://ppubs.uspto.gov/pubwebapp/external.html?q=20210236815.pn.","USPTO")</f>
        <v>0.0</v>
      </c>
      <c r="J2141" s="2" t="n">
        <f>HYPERLINK("https://image-ppubs.uspto.gov/dirsearch-public/print/downloadPdf/20210236815","USPTO PDF")</f>
        <v>0.0</v>
      </c>
      <c r="K2141" s="2" t="n">
        <f>HYPERLINK("https://sectors.patentforecast.com/pmd/US20210236815","PMD")</f>
        <v>0.0</v>
      </c>
      <c r="L2141" s="2" t="n">
        <f>HYPERLINK("https://globaldossier.uspto.gov/result/application/US/17212833/1","US20210236815")</f>
        <v>0.0</v>
      </c>
      <c r="M2141" t="s">
        <v>14714</v>
      </c>
      <c r="N2141" t="s">
        <v>14715</v>
      </c>
      <c r="O2141" t="s">
        <v>14716</v>
      </c>
      <c r="P2141" t="s">
        <v>14717</v>
      </c>
      <c r="Q2141" s="3" t="n">
        <v>44280.0</v>
      </c>
      <c r="R2141" s="3" t="n">
        <v>44413.0</v>
      </c>
      <c r="S2141" s="3" t="n">
        <v>44413.22977672454</v>
      </c>
      <c r="T2141" s="3" t="n">
        <v>44419.37819178241</v>
      </c>
      <c r="U2141" t="s">
        <v>14718</v>
      </c>
      <c r="V2141" t="s">
        <v>14719</v>
      </c>
    </row>
    <row r="2142">
      <c r="A2142" t="s">
        <v>22</v>
      </c>
      <c r="B2142" t="s">
        <v>14720</v>
      </c>
      <c r="C2142" t="s">
        <v>60</v>
      </c>
      <c r="D2142" t="s">
        <v>61</v>
      </c>
      <c r="E2142" t="s">
        <v>14721</v>
      </c>
      <c r="F2142" s="2" t="n">
        <f>HYPERLINK("https://patents.google.com/patent/US20210236762","Google")</f>
        <v>0.0</v>
      </c>
      <c r="G2142" s="2" t="n">
        <f>HYPERLINK("https://patentcenter.uspto.gov/applications/17215794","Patent Center")</f>
        <v>0.0</v>
      </c>
      <c r="H2142" s="2" t="n">
        <f>HYPERLINK("https://worldwide.espacenet.com/patent/search?q=US20210236762","Espacenet")</f>
        <v>0.0</v>
      </c>
      <c r="I2142" s="2" t="n">
        <f>HYPERLINK("https://ppubs.uspto.gov/pubwebapp/external.html?q=20210236762.pn.","USPTO")</f>
        <v>0.0</v>
      </c>
      <c r="J2142" s="2" t="n">
        <f>HYPERLINK("https://image-ppubs.uspto.gov/dirsearch-public/print/downloadPdf/20210236762","USPTO PDF")</f>
        <v>0.0</v>
      </c>
      <c r="K2142" s="2" t="n">
        <f>HYPERLINK("https://sectors.patentforecast.com/pmd/US20210236762","PMD")</f>
        <v>0.0</v>
      </c>
      <c r="L2142" s="2" t="n">
        <f>HYPERLINK("https://globaldossier.uspto.gov/result/application/US/17215794/1","US20210236762")</f>
        <v>0.0</v>
      </c>
      <c r="M2142" t="s">
        <v>14722</v>
      </c>
      <c r="N2142" t="s">
        <v>14723</v>
      </c>
      <c r="O2142" t="s">
        <v>14724</v>
      </c>
      <c r="P2142" t="s">
        <v>14725</v>
      </c>
      <c r="Q2142" s="3" t="n">
        <v>44284.0</v>
      </c>
      <c r="R2142" s="3" t="n">
        <v>44413.0</v>
      </c>
      <c r="S2142" s="3" t="n">
        <v>44413.229432280095</v>
      </c>
      <c r="T2142" s="3" t="n">
        <v>44419.38633994213</v>
      </c>
      <c r="U2142" t="s">
        <v>14726</v>
      </c>
      <c r="V2142" t="s">
        <v>14727</v>
      </c>
    </row>
    <row r="2143">
      <c r="A2143" t="s">
        <v>22</v>
      </c>
      <c r="B2143" t="s">
        <v>14728</v>
      </c>
      <c r="C2143" t="s">
        <v>132</v>
      </c>
      <c r="D2143" t="s">
        <v>133</v>
      </c>
      <c r="E2143" t="s">
        <v>14729</v>
      </c>
      <c r="F2143" s="2" t="n">
        <f>HYPERLINK("https://patents.google.com/patent/US20210236624","Google")</f>
        <v>0.0</v>
      </c>
      <c r="G2143" s="2" t="n">
        <f>HYPERLINK("https://patentcenter.uspto.gov/applications/17186941","Patent Center")</f>
        <v>0.0</v>
      </c>
      <c r="H2143" s="2" t="n">
        <f>HYPERLINK("https://worldwide.espacenet.com/patent/search?q=US20210236624","Espacenet")</f>
        <v>0.0</v>
      </c>
      <c r="I2143" s="2" t="n">
        <f>HYPERLINK("https://ppubs.uspto.gov/pubwebapp/external.html?q=20210236624.pn.","USPTO")</f>
        <v>0.0</v>
      </c>
      <c r="J2143" s="2" t="n">
        <f>HYPERLINK("https://image-ppubs.uspto.gov/dirsearch-public/print/downloadPdf/20210236624","USPTO PDF")</f>
        <v>0.0</v>
      </c>
      <c r="K2143" s="2" t="n">
        <f>HYPERLINK("https://sectors.patentforecast.com/pmd/US20210236624","PMD")</f>
        <v>0.0</v>
      </c>
      <c r="L2143" s="2" t="n">
        <f>HYPERLINK("https://globaldossier.uspto.gov/result/application/US/17186941/1","US20210236624")</f>
        <v>0.0</v>
      </c>
      <c r="M2143" t="s">
        <v>14730</v>
      </c>
      <c r="N2143" t="s">
        <v>14731</v>
      </c>
      <c r="O2143" t="s">
        <v>14732</v>
      </c>
      <c r="P2143" t="s">
        <v>14733</v>
      </c>
      <c r="Q2143" s="3" t="n">
        <v>44253.0</v>
      </c>
      <c r="R2143" s="3" t="n">
        <v>44413.0</v>
      </c>
      <c r="S2143" s="3" t="n">
        <v>44413.22977672454</v>
      </c>
      <c r="T2143" s="3" t="n">
        <v>44419.38516482639</v>
      </c>
      <c r="U2143" t="s">
        <v>14734</v>
      </c>
      <c r="V2143" t="s">
        <v>14735</v>
      </c>
    </row>
    <row r="2144">
      <c r="A2144" t="s">
        <v>22</v>
      </c>
      <c r="B2144" t="s">
        <v>14736</v>
      </c>
      <c r="C2144" t="s">
        <v>60</v>
      </c>
      <c r="D2144" t="s">
        <v>2262</v>
      </c>
      <c r="E2144" t="s">
        <v>14737</v>
      </c>
      <c r="F2144" s="2" t="n">
        <f>HYPERLINK("https://patents.google.com/patent/US20210236580","Google")</f>
        <v>0.0</v>
      </c>
      <c r="G2144" s="2" t="n">
        <f>HYPERLINK("https://patentcenter.uspto.gov/applications/17035405","Patent Center")</f>
        <v>0.0</v>
      </c>
      <c r="H2144" s="2" t="n">
        <f>HYPERLINK("https://worldwide.espacenet.com/patent/search?q=US20210236580","Espacenet")</f>
        <v>0.0</v>
      </c>
      <c r="I2144" s="2" t="n">
        <f>HYPERLINK("https://ppubs.uspto.gov/pubwebapp/external.html?q=20210236580.pn.","USPTO")</f>
        <v>0.0</v>
      </c>
      <c r="J2144" s="2" t="n">
        <f>HYPERLINK("https://image-ppubs.uspto.gov/dirsearch-public/print/downloadPdf/20210236580","USPTO PDF")</f>
        <v>0.0</v>
      </c>
      <c r="K2144" s="2" t="n">
        <f>HYPERLINK("https://sectors.patentforecast.com/pmd/US20210236580","PMD")</f>
        <v>0.0</v>
      </c>
      <c r="L2144" s="2" t="n">
        <f>HYPERLINK("https://globaldossier.uspto.gov/result/application/US/17035405/1","US20210236580")</f>
        <v>0.0</v>
      </c>
      <c r="M2144" t="s">
        <v>14738</v>
      </c>
      <c r="N2144" t="s">
        <v>14739</v>
      </c>
      <c r="O2144" t="s">
        <v>14740</v>
      </c>
      <c r="P2144" t="s">
        <v>14741</v>
      </c>
      <c r="Q2144" s="3" t="n">
        <v>44102.0</v>
      </c>
      <c r="R2144" s="3" t="n">
        <v>44413.0</v>
      </c>
      <c r="S2144" s="3" t="n">
        <v>44413.22977672454</v>
      </c>
      <c r="T2144" s="3" t="n">
        <v>44419.379533761574</v>
      </c>
      <c r="U2144" t="s">
        <v>14742</v>
      </c>
      <c r="V2144" t="s">
        <v>14743</v>
      </c>
    </row>
    <row r="2145">
      <c r="A2145" t="s">
        <v>22</v>
      </c>
      <c r="B2145" t="s">
        <v>14744</v>
      </c>
      <c r="C2145" t="s">
        <v>60</v>
      </c>
      <c r="D2145" t="s">
        <v>2262</v>
      </c>
      <c r="E2145" t="s">
        <v>14745</v>
      </c>
      <c r="F2145" s="2" t="n">
        <f>HYPERLINK("https://patents.google.com/patent/US20210236529","Google")</f>
        <v>0.0</v>
      </c>
      <c r="G2145" s="2" t="n">
        <f>HYPERLINK("https://patentcenter.uspto.gov/applications/17224856","Patent Center")</f>
        <v>0.0</v>
      </c>
      <c r="H2145" s="2" t="n">
        <f>HYPERLINK("https://worldwide.espacenet.com/patent/search?q=US20210236529","Espacenet")</f>
        <v>0.0</v>
      </c>
      <c r="I2145" s="2" t="n">
        <f>HYPERLINK("https://ppubs.uspto.gov/pubwebapp/external.html?q=20210236529.pn.","USPTO")</f>
        <v>0.0</v>
      </c>
      <c r="J2145" s="2" t="n">
        <f>HYPERLINK("https://image-ppubs.uspto.gov/dirsearch-public/print/downloadPdf/20210236529","USPTO PDF")</f>
        <v>0.0</v>
      </c>
      <c r="K2145" s="2" t="n">
        <f>HYPERLINK("https://sectors.patentforecast.com/pmd/US20210236529","PMD")</f>
        <v>0.0</v>
      </c>
      <c r="L2145" s="2" t="n">
        <f>HYPERLINK("https://globaldossier.uspto.gov/result/application/US/17224856/1","US20210236529")</f>
        <v>0.0</v>
      </c>
      <c r="M2145" t="s">
        <v>14746</v>
      </c>
      <c r="N2145" t="s">
        <v>14739</v>
      </c>
      <c r="O2145" t="s">
        <v>14740</v>
      </c>
      <c r="P2145" t="s">
        <v>14747</v>
      </c>
      <c r="Q2145" s="3" t="n">
        <v>44293.0</v>
      </c>
      <c r="R2145" s="3" t="n">
        <v>44413.0</v>
      </c>
      <c r="S2145" s="3" t="n">
        <v>44413.22977672454</v>
      </c>
      <c r="T2145" s="3" t="n">
        <v>44419.3798443287</v>
      </c>
      <c r="U2145" t="s">
        <v>14748</v>
      </c>
      <c r="V2145" t="s">
        <v>14749</v>
      </c>
    </row>
    <row r="2146">
      <c r="A2146" t="s">
        <v>22</v>
      </c>
      <c r="B2146" t="s">
        <v>14750</v>
      </c>
      <c r="C2146" t="s">
        <v>60</v>
      </c>
      <c r="D2146" t="s">
        <v>61</v>
      </c>
      <c r="E2146" t="s">
        <v>14751</v>
      </c>
      <c r="F2146" s="2" t="n">
        <f>HYPERLINK("https://patents.google.com/patent/US20210236497","Google")</f>
        <v>0.0</v>
      </c>
      <c r="G2146" s="2" t="n">
        <f>HYPERLINK("https://patentcenter.uspto.gov/applications/16851047","Patent Center")</f>
        <v>0.0</v>
      </c>
      <c r="H2146" s="2" t="n">
        <f>HYPERLINK("https://worldwide.espacenet.com/patent/search?q=US20210236497","Espacenet")</f>
        <v>0.0</v>
      </c>
      <c r="I2146" s="2" t="n">
        <f>HYPERLINK("https://ppubs.uspto.gov/pubwebapp/external.html?q=20210236497.pn.","USPTO")</f>
        <v>0.0</v>
      </c>
      <c r="J2146" s="2" t="n">
        <f>HYPERLINK("https://image-ppubs.uspto.gov/dirsearch-public/print/downloadPdf/20210236497","USPTO PDF")</f>
        <v>0.0</v>
      </c>
      <c r="K2146" s="2" t="n">
        <f>HYPERLINK("https://sectors.patentforecast.com/pmd/US20210236497","PMD")</f>
        <v>0.0</v>
      </c>
      <c r="L2146" s="2" t="n">
        <f>HYPERLINK("https://globaldossier.uspto.gov/result/application/US/16851047/1","US20210236497")</f>
        <v>0.0</v>
      </c>
      <c r="M2146" t="s">
        <v>14752</v>
      </c>
      <c r="N2146" t="s">
        <v>14753</v>
      </c>
      <c r="O2146" t="s">
        <v>14754</v>
      </c>
      <c r="P2146" t="s">
        <v>14755</v>
      </c>
      <c r="Q2146" s="3" t="n">
        <v>43937.0</v>
      </c>
      <c r="R2146" s="3" t="n">
        <v>44413.0</v>
      </c>
      <c r="S2146" s="3" t="n">
        <v>44413.22977672454</v>
      </c>
      <c r="T2146" s="3" t="n">
        <v>44419.37844247685</v>
      </c>
      <c r="U2146" t="s">
        <v>14756</v>
      </c>
      <c r="V2146" t="s">
        <v>14757</v>
      </c>
    </row>
    <row r="2147">
      <c r="A2147" t="s">
        <v>22</v>
      </c>
      <c r="B2147" t="s">
        <v>14758</v>
      </c>
      <c r="C2147" t="s">
        <v>24</v>
      </c>
      <c r="D2147" t="s">
        <v>69</v>
      </c>
      <c r="E2147" t="s">
        <v>14759</v>
      </c>
      <c r="F2147" s="2" t="n">
        <f>HYPERLINK("https://patents.google.com/patent/US20210235789","Google")</f>
        <v>0.0</v>
      </c>
      <c r="G2147" s="2" t="n">
        <f>HYPERLINK("https://patentcenter.uspto.gov/applications/17237053","Patent Center")</f>
        <v>0.0</v>
      </c>
      <c r="H2147" s="2" t="n">
        <f>HYPERLINK("https://worldwide.espacenet.com/patent/search?q=US20210235789","Espacenet")</f>
        <v>0.0</v>
      </c>
      <c r="I2147" s="2" t="n">
        <f>HYPERLINK("https://ppubs.uspto.gov/pubwebapp/external.html?q=20210235789.pn.","USPTO")</f>
        <v>0.0</v>
      </c>
      <c r="J2147" s="2" t="n">
        <f>HYPERLINK("https://image-ppubs.uspto.gov/dirsearch-public/print/downloadPdf/20210235789","USPTO PDF")</f>
        <v>0.0</v>
      </c>
      <c r="K2147" s="2" t="n">
        <f>HYPERLINK("https://sectors.patentforecast.com/pmd/US20210235789","PMD")</f>
        <v>0.0</v>
      </c>
      <c r="L2147" s="2" t="n">
        <f>HYPERLINK("https://globaldossier.uspto.gov/result/application/US/17237053/1","US20210235789")</f>
        <v>0.0</v>
      </c>
      <c r="M2147" t="s">
        <v>14760</v>
      </c>
      <c r="N2147" t="s">
        <v>10498</v>
      </c>
      <c r="O2147" t="s">
        <v>10499</v>
      </c>
      <c r="P2147" t="s">
        <v>14761</v>
      </c>
      <c r="Q2147" s="3" t="n">
        <v>44308.0</v>
      </c>
      <c r="R2147" s="3" t="n">
        <v>44413.0</v>
      </c>
      <c r="S2147" s="3" t="n">
        <v>44413.22977672454</v>
      </c>
      <c r="T2147" s="3" t="n">
        <v>44419.3766328125</v>
      </c>
      <c r="U2147" t="s">
        <v>5009</v>
      </c>
      <c r="V2147" t="s">
        <v>14762</v>
      </c>
    </row>
    <row r="2148">
      <c r="A2148" t="s">
        <v>22</v>
      </c>
      <c r="B2148" t="s">
        <v>14763</v>
      </c>
      <c r="C2148" t="s">
        <v>312</v>
      </c>
      <c r="D2148" t="s">
        <v>715</v>
      </c>
      <c r="E2148" t="s">
        <v>14764</v>
      </c>
      <c r="F2148" s="2" t="n">
        <f>HYPERLINK("https://patents.google.com/patent/US20210233631","Google")</f>
        <v>0.0</v>
      </c>
      <c r="G2148" s="2" t="n">
        <f>HYPERLINK("https://patentcenter.uspto.gov/applications/17211099","Patent Center")</f>
        <v>0.0</v>
      </c>
      <c r="H2148" s="2" t="n">
        <f>HYPERLINK("https://worldwide.espacenet.com/patent/search?q=US20210233631","Espacenet")</f>
        <v>0.0</v>
      </c>
      <c r="I2148" s="2" t="n">
        <f>HYPERLINK("https://ppubs.uspto.gov/pubwebapp/external.html?q=20210233631.pn.","USPTO")</f>
        <v>0.0</v>
      </c>
      <c r="J2148" s="2" t="n">
        <f>HYPERLINK("https://image-ppubs.uspto.gov/dirsearch-public/print/downloadPdf/20210233631","USPTO PDF")</f>
        <v>0.0</v>
      </c>
      <c r="K2148" s="2" t="n">
        <f>HYPERLINK("https://sectors.patentforecast.com/pmd/US20210233631","PMD")</f>
        <v>0.0</v>
      </c>
      <c r="L2148" s="2" t="n">
        <f>HYPERLINK("https://globaldossier.uspto.gov/result/application/US/17211099/1","US20210233631")</f>
        <v>0.0</v>
      </c>
      <c r="M2148" t="s">
        <v>14765</v>
      </c>
      <c r="N2148" t="s">
        <v>12669</v>
      </c>
      <c r="O2148" t="s">
        <v>12670</v>
      </c>
      <c r="P2148" t="s">
        <v>14766</v>
      </c>
      <c r="Q2148" s="3" t="n">
        <v>44279.0</v>
      </c>
      <c r="R2148" s="3" t="n">
        <v>44406.0</v>
      </c>
      <c r="S2148" s="3" t="n">
        <v>44406.22998137731</v>
      </c>
      <c r="T2148" s="3" t="n">
        <v>44412.42136003472</v>
      </c>
      <c r="U2148" t="s">
        <v>14767</v>
      </c>
      <c r="V2148" t="s">
        <v>14768</v>
      </c>
    </row>
    <row r="2149">
      <c r="A2149" t="s">
        <v>22</v>
      </c>
      <c r="B2149" t="s">
        <v>14769</v>
      </c>
      <c r="C2149" t="s">
        <v>24</v>
      </c>
      <c r="D2149" t="s">
        <v>3193</v>
      </c>
      <c r="E2149" t="s">
        <v>14770</v>
      </c>
      <c r="F2149" s="2" t="n">
        <f>HYPERLINK("https://patents.google.com/patent/US20210233606","Google")</f>
        <v>0.0</v>
      </c>
      <c r="G2149" s="2" t="n">
        <f>HYPERLINK("https://patentcenter.uspto.gov/applications/17252698","Patent Center")</f>
        <v>0.0</v>
      </c>
      <c r="H2149" s="2" t="n">
        <f>HYPERLINK("https://worldwide.espacenet.com/patent/search?q=US20210233606","Espacenet")</f>
        <v>0.0</v>
      </c>
      <c r="I2149" s="2" t="n">
        <f>HYPERLINK("https://ppubs.uspto.gov/pubwebapp/external.html?q=20210233606.pn.","USPTO")</f>
        <v>0.0</v>
      </c>
      <c r="J2149" s="2" t="n">
        <f>HYPERLINK("https://image-ppubs.uspto.gov/dirsearch-public/print/downloadPdf/20210233606","USPTO PDF")</f>
        <v>0.0</v>
      </c>
      <c r="K2149" s="2" t="n">
        <f>HYPERLINK("https://sectors.patentforecast.com/pmd/US20210233606","PMD")</f>
        <v>0.0</v>
      </c>
      <c r="L2149" s="2" t="n">
        <f>HYPERLINK("https://globaldossier.uspto.gov/result/application/US/17252698/1","US20210233606")</f>
        <v>0.0</v>
      </c>
      <c r="M2149" t="s">
        <v>14771</v>
      </c>
      <c r="N2149" t="s">
        <v>14772</v>
      </c>
      <c r="O2149" t="s">
        <v>14773</v>
      </c>
      <c r="P2149" t="s">
        <v>14774</v>
      </c>
      <c r="Q2149" s="3" t="n">
        <v>43634.0</v>
      </c>
      <c r="R2149" s="3" t="n">
        <v>44406.0</v>
      </c>
      <c r="S2149" s="3" t="n">
        <v>44406.230662511574</v>
      </c>
      <c r="T2149" s="3" t="n">
        <v>44412.42493342593</v>
      </c>
      <c r="U2149" t="s">
        <v>14775</v>
      </c>
      <c r="V2149" t="s">
        <v>14776</v>
      </c>
    </row>
    <row r="2150">
      <c r="A2150" t="s">
        <v>22</v>
      </c>
      <c r="B2150" t="s">
        <v>14777</v>
      </c>
      <c r="C2150" t="s">
        <v>24</v>
      </c>
      <c r="D2150" t="s">
        <v>51</v>
      </c>
      <c r="E2150" t="s">
        <v>14778</v>
      </c>
      <c r="F2150" s="2" t="n">
        <f>HYPERLINK("https://patents.google.com/patent/US20210231638","Google")</f>
        <v>0.0</v>
      </c>
      <c r="G2150" s="2" t="n">
        <f>HYPERLINK("https://patentcenter.uspto.gov/applications/17207653","Patent Center")</f>
        <v>0.0</v>
      </c>
      <c r="H2150" s="2" t="n">
        <f>HYPERLINK("https://worldwide.espacenet.com/patent/search?q=US20210231638","Espacenet")</f>
        <v>0.0</v>
      </c>
      <c r="I2150" s="2" t="n">
        <f>HYPERLINK("https://ppubs.uspto.gov/pubwebapp/external.html?q=20210231638.pn.","USPTO")</f>
        <v>0.0</v>
      </c>
      <c r="J2150" s="2" t="n">
        <f>HYPERLINK("https://image-ppubs.uspto.gov/dirsearch-public/print/downloadPdf/20210231638","USPTO PDF")</f>
        <v>0.0</v>
      </c>
      <c r="K2150" s="2" t="n">
        <f>HYPERLINK("https://sectors.patentforecast.com/pmd/US20210231638","PMD")</f>
        <v>0.0</v>
      </c>
      <c r="L2150" s="2" t="n">
        <f>HYPERLINK("https://globaldossier.uspto.gov/result/application/US/17207653/1","US20210231638")</f>
        <v>0.0</v>
      </c>
      <c r="M2150" t="s">
        <v>14779</v>
      </c>
      <c r="N2150" t="s">
        <v>14780</v>
      </c>
      <c r="O2150" t="s">
        <v>14780</v>
      </c>
      <c r="P2150" t="s">
        <v>14781</v>
      </c>
      <c r="Q2150" s="3" t="n">
        <v>44275.0</v>
      </c>
      <c r="R2150" s="3" t="n">
        <v>44406.0</v>
      </c>
      <c r="S2150" s="3" t="n">
        <v>44406.22998137731</v>
      </c>
      <c r="T2150" s="3" t="n">
        <v>44412.42152587963</v>
      </c>
      <c r="U2150" t="s">
        <v>14782</v>
      </c>
      <c r="V2150" t="s">
        <v>14783</v>
      </c>
    </row>
    <row r="2151">
      <c r="A2151" t="s">
        <v>22</v>
      </c>
      <c r="B2151" t="s">
        <v>14784</v>
      </c>
      <c r="C2151" t="s">
        <v>24</v>
      </c>
      <c r="D2151" t="s">
        <v>51</v>
      </c>
      <c r="E2151" t="s">
        <v>14785</v>
      </c>
      <c r="F2151" s="2" t="n">
        <f>HYPERLINK("https://patents.google.com/patent/US20210231566","Google")</f>
        <v>0.0</v>
      </c>
      <c r="G2151" s="2" t="n">
        <f>HYPERLINK("https://patentcenter.uspto.gov/applications/17155150","Patent Center")</f>
        <v>0.0</v>
      </c>
      <c r="H2151" s="2" t="n">
        <f>HYPERLINK("https://worldwide.espacenet.com/patent/search?q=US20210231566","Espacenet")</f>
        <v>0.0</v>
      </c>
      <c r="I2151" s="2" t="n">
        <f>HYPERLINK("https://ppubs.uspto.gov/pubwebapp/external.html?q=20210231566.pn.","USPTO")</f>
        <v>0.0</v>
      </c>
      <c r="J2151" s="2" t="n">
        <f>HYPERLINK("https://image-ppubs.uspto.gov/dirsearch-public/print/downloadPdf/20210231566","USPTO PDF")</f>
        <v>0.0</v>
      </c>
      <c r="K2151" s="2" t="n">
        <f>HYPERLINK("https://sectors.patentforecast.com/pmd/US20210231566","PMD")</f>
        <v>0.0</v>
      </c>
      <c r="L2151" s="2" t="n">
        <f>HYPERLINK("https://globaldossier.uspto.gov/result/application/US/17155150/1","US20210231566")</f>
        <v>0.0</v>
      </c>
      <c r="M2151" t="s">
        <v>14786</v>
      </c>
      <c r="N2151" t="s">
        <v>2052</v>
      </c>
      <c r="O2151" t="s">
        <v>2053</v>
      </c>
      <c r="P2151" t="s">
        <v>14787</v>
      </c>
      <c r="Q2151" s="3" t="n">
        <v>44218.0</v>
      </c>
      <c r="R2151" s="3" t="n">
        <v>44406.0</v>
      </c>
      <c r="S2151" s="3" t="n">
        <v>44406.22998137731</v>
      </c>
      <c r="T2151" s="3" t="n">
        <v>44412.42226962963</v>
      </c>
      <c r="U2151" t="s">
        <v>14788</v>
      </c>
      <c r="V2151" t="s">
        <v>14789</v>
      </c>
    </row>
    <row r="2152">
      <c r="A2152" t="s">
        <v>22</v>
      </c>
      <c r="B2152" t="s">
        <v>14790</v>
      </c>
      <c r="C2152" t="s">
        <v>60</v>
      </c>
      <c r="D2152" t="s">
        <v>61</v>
      </c>
      <c r="E2152" t="s">
        <v>14791</v>
      </c>
      <c r="F2152" s="2" t="n">
        <f>HYPERLINK("https://patents.google.com/patent/US20210230591","Google")</f>
        <v>0.0</v>
      </c>
      <c r="G2152" s="2" t="n">
        <f>HYPERLINK("https://patentcenter.uspto.gov/applications/17091293","Patent Center")</f>
        <v>0.0</v>
      </c>
      <c r="H2152" s="2" t="n">
        <f>HYPERLINK("https://worldwide.espacenet.com/patent/search?q=US20210230591","Espacenet")</f>
        <v>0.0</v>
      </c>
      <c r="I2152" s="2" t="n">
        <f>HYPERLINK("https://ppubs.uspto.gov/pubwebapp/external.html?q=20210230591.pn.","USPTO")</f>
        <v>0.0</v>
      </c>
      <c r="J2152" s="2" t="n">
        <f>HYPERLINK("https://image-ppubs.uspto.gov/dirsearch-public/print/downloadPdf/20210230591","USPTO PDF")</f>
        <v>0.0</v>
      </c>
      <c r="K2152" s="2" t="n">
        <f>HYPERLINK("https://sectors.patentforecast.com/pmd/US20210230591","PMD")</f>
        <v>0.0</v>
      </c>
      <c r="L2152" s="2" t="n">
        <f>HYPERLINK("https://globaldossier.uspto.gov/result/application/US/17091293/1","US20210230591")</f>
        <v>0.0</v>
      </c>
      <c r="M2152" t="s">
        <v>14792</v>
      </c>
      <c r="N2152" t="s">
        <v>12461</v>
      </c>
      <c r="O2152" t="s">
        <v>12462</v>
      </c>
      <c r="P2152" t="s">
        <v>14793</v>
      </c>
      <c r="Q2152" s="3" t="n">
        <v>44141.0</v>
      </c>
      <c r="R2152" s="3" t="n">
        <v>44406.0</v>
      </c>
      <c r="S2152" s="3" t="n">
        <v>44406.22998137731</v>
      </c>
      <c r="T2152" s="3" t="n">
        <v>44412.42748637732</v>
      </c>
      <c r="U2152" t="s">
        <v>14794</v>
      </c>
      <c r="V2152" t="s">
        <v>14795</v>
      </c>
    </row>
    <row r="2153">
      <c r="A2153" t="s">
        <v>22</v>
      </c>
      <c r="B2153" t="s">
        <v>14796</v>
      </c>
      <c r="C2153" t="s">
        <v>24</v>
      </c>
      <c r="D2153" t="s">
        <v>25</v>
      </c>
      <c r="E2153" t="s">
        <v>14797</v>
      </c>
      <c r="F2153" s="2" t="n">
        <f>HYPERLINK("https://patents.google.com/patent/US20210230533","Google")</f>
        <v>0.0</v>
      </c>
      <c r="G2153" s="2" t="n">
        <f>HYPERLINK("https://patentcenter.uspto.gov/applications/17140696","Patent Center")</f>
        <v>0.0</v>
      </c>
      <c r="H2153" s="2" t="n">
        <f>HYPERLINK("https://worldwide.espacenet.com/patent/search?q=US20210230533","Espacenet")</f>
        <v>0.0</v>
      </c>
      <c r="I2153" s="2" t="n">
        <f>HYPERLINK("https://ppubs.uspto.gov/pubwebapp/external.html?q=20210230533.pn.","USPTO")</f>
        <v>0.0</v>
      </c>
      <c r="J2153" s="2" t="n">
        <f>HYPERLINK("https://image-ppubs.uspto.gov/dirsearch-public/print/downloadPdf/20210230533","USPTO PDF")</f>
        <v>0.0</v>
      </c>
      <c r="K2153" s="2" t="n">
        <f>HYPERLINK("https://sectors.patentforecast.com/pmd/US20210230533","PMD")</f>
        <v>0.0</v>
      </c>
      <c r="L2153" s="2" t="n">
        <f>HYPERLINK("https://globaldossier.uspto.gov/result/application/US/17140696/1","US20210230533")</f>
        <v>0.0</v>
      </c>
      <c r="M2153" t="s">
        <v>14798</v>
      </c>
      <c r="N2153" t="s">
        <v>1656</v>
      </c>
      <c r="O2153" t="s">
        <v>1657</v>
      </c>
      <c r="P2153" t="s">
        <v>14799</v>
      </c>
      <c r="Q2153" s="3" t="n">
        <v>44200.0</v>
      </c>
      <c r="R2153" s="3" t="n">
        <v>44406.0</v>
      </c>
      <c r="S2153" s="3" t="n">
        <v>44406.22998137731</v>
      </c>
      <c r="T2153" s="3" t="n">
        <v>44412.42018115741</v>
      </c>
      <c r="U2153" t="s">
        <v>14800</v>
      </c>
      <c r="V2153" t="s">
        <v>14801</v>
      </c>
    </row>
    <row r="2154">
      <c r="A2154" t="s">
        <v>22</v>
      </c>
      <c r="B2154" t="s">
        <v>14802</v>
      </c>
      <c r="C2154" t="s">
        <v>60</v>
      </c>
      <c r="D2154" t="s">
        <v>77</v>
      </c>
      <c r="E2154" t="s">
        <v>4319</v>
      </c>
      <c r="F2154" s="2" t="n">
        <f>HYPERLINK("https://patents.google.com/patent/US20210230303","Google")</f>
        <v>0.0</v>
      </c>
      <c r="G2154" s="2" t="n">
        <f>HYPERLINK("https://patentcenter.uspto.gov/applications/17153684","Patent Center")</f>
        <v>0.0</v>
      </c>
      <c r="H2154" s="2" t="n">
        <f>HYPERLINK("https://worldwide.espacenet.com/patent/search?q=US20210230303","Espacenet")</f>
        <v>0.0</v>
      </c>
      <c r="I2154" s="2" t="n">
        <f>HYPERLINK("https://ppubs.uspto.gov/pubwebapp/external.html?q=20210230303.pn.","USPTO")</f>
        <v>0.0</v>
      </c>
      <c r="J2154" s="2" t="n">
        <f>HYPERLINK("https://image-ppubs.uspto.gov/dirsearch-public/print/downloadPdf/20210230303","USPTO PDF")</f>
        <v>0.0</v>
      </c>
      <c r="K2154" s="2" t="n">
        <f>HYPERLINK("https://sectors.patentforecast.com/pmd/US20210230303","PMD")</f>
        <v>0.0</v>
      </c>
      <c r="L2154" s="2" t="n">
        <f>HYPERLINK("https://globaldossier.uspto.gov/result/application/US/17153684/1","US20210230303")</f>
        <v>0.0</v>
      </c>
      <c r="M2154" t="s">
        <v>4320</v>
      </c>
      <c r="N2154" t="s">
        <v>5856</v>
      </c>
      <c r="O2154" t="s">
        <v>5856</v>
      </c>
      <c r="P2154" t="s">
        <v>4323</v>
      </c>
      <c r="Q2154" s="3" t="n">
        <v>44216.0</v>
      </c>
      <c r="R2154" s="3" t="n">
        <v>44406.0</v>
      </c>
      <c r="S2154" s="3" t="n">
        <v>44406.231361875</v>
      </c>
      <c r="T2154" s="3" t="n">
        <v>44643.402354398146</v>
      </c>
      <c r="U2154" t="s">
        <v>14803</v>
      </c>
      <c r="V2154" t="s">
        <v>4325</v>
      </c>
    </row>
    <row r="2155">
      <c r="A2155" t="s">
        <v>22</v>
      </c>
      <c r="B2155" t="s">
        <v>14804</v>
      </c>
      <c r="C2155" t="s">
        <v>60</v>
      </c>
      <c r="D2155" t="s">
        <v>715</v>
      </c>
      <c r="E2155" t="s">
        <v>14805</v>
      </c>
      <c r="F2155" s="2" t="n">
        <f>HYPERLINK("https://patents.google.com/patent/US20210228895","Google")</f>
        <v>0.0</v>
      </c>
      <c r="G2155" s="2" t="n">
        <f>HYPERLINK("https://patentcenter.uspto.gov/applications/17158755","Patent Center")</f>
        <v>0.0</v>
      </c>
      <c r="H2155" s="2" t="n">
        <f>HYPERLINK("https://worldwide.espacenet.com/patent/search?q=US20210228895","Espacenet")</f>
        <v>0.0</v>
      </c>
      <c r="I2155" s="2" t="n">
        <f>HYPERLINK("https://ppubs.uspto.gov/pubwebapp/external.html?q=20210228895.pn.","USPTO")</f>
        <v>0.0</v>
      </c>
      <c r="J2155" s="2" t="n">
        <f>HYPERLINK("https://image-ppubs.uspto.gov/dirsearch-public/print/downloadPdf/20210228895","USPTO PDF")</f>
        <v>0.0</v>
      </c>
      <c r="K2155" s="2" t="n">
        <f>HYPERLINK("https://sectors.patentforecast.com/pmd/US20210228895","PMD")</f>
        <v>0.0</v>
      </c>
      <c r="L2155" s="2" t="n">
        <f>HYPERLINK("https://globaldossier.uspto.gov/result/application/US/17158755/1","US20210228895")</f>
        <v>0.0</v>
      </c>
      <c r="M2155" t="s">
        <v>14806</v>
      </c>
      <c r="N2155" t="s">
        <v>14807</v>
      </c>
      <c r="O2155" t="s">
        <v>14808</v>
      </c>
      <c r="P2155" t="s">
        <v>14809</v>
      </c>
      <c r="Q2155" s="3" t="n">
        <v>44222.0</v>
      </c>
      <c r="R2155" s="3" t="n">
        <v>44406.0</v>
      </c>
      <c r="S2155" s="3" t="n">
        <v>44406.22998137731</v>
      </c>
      <c r="T2155" s="3" t="n">
        <v>44412.42620530092</v>
      </c>
      <c r="U2155" t="s">
        <v>14810</v>
      </c>
      <c r="V2155" t="s">
        <v>14811</v>
      </c>
    </row>
    <row r="2156">
      <c r="A2156" t="s">
        <v>22</v>
      </c>
      <c r="B2156" t="s">
        <v>14812</v>
      </c>
      <c r="C2156" t="s">
        <v>132</v>
      </c>
      <c r="D2156" t="s">
        <v>133</v>
      </c>
      <c r="E2156" t="s">
        <v>14813</v>
      </c>
      <c r="F2156" s="2" t="n">
        <f>HYPERLINK("https://patents.google.com/patent/US20210228710","Google")</f>
        <v>0.0</v>
      </c>
      <c r="G2156" s="2" t="n">
        <f>HYPERLINK("https://patentcenter.uspto.gov/applications/17230309","Patent Center")</f>
        <v>0.0</v>
      </c>
      <c r="H2156" s="2" t="n">
        <f>HYPERLINK("https://worldwide.espacenet.com/patent/search?q=US20210228710","Espacenet")</f>
        <v>0.0</v>
      </c>
      <c r="I2156" s="2" t="n">
        <f>HYPERLINK("https://ppubs.uspto.gov/pubwebapp/external.html?q=20210228710.pn.","USPTO")</f>
        <v>0.0</v>
      </c>
      <c r="J2156" s="2" t="n">
        <f>HYPERLINK("https://image-ppubs.uspto.gov/dirsearch-public/print/downloadPdf/20210228710","USPTO PDF")</f>
        <v>0.0</v>
      </c>
      <c r="K2156" s="2" t="n">
        <f>HYPERLINK("https://sectors.patentforecast.com/pmd/US20210228710","PMD")</f>
        <v>0.0</v>
      </c>
      <c r="L2156" s="2" t="n">
        <f>HYPERLINK("https://globaldossier.uspto.gov/result/application/US/17230309/1","US20210228710")</f>
        <v>0.0</v>
      </c>
      <c r="M2156" t="s">
        <v>14814</v>
      </c>
      <c r="N2156" t="s">
        <v>5964</v>
      </c>
      <c r="O2156" t="s">
        <v>5964</v>
      </c>
      <c r="P2156" t="s">
        <v>5965</v>
      </c>
      <c r="Q2156" s="3" t="n">
        <v>44300.0</v>
      </c>
      <c r="R2156" s="3" t="n">
        <v>44406.0</v>
      </c>
      <c r="S2156" s="3" t="n">
        <v>44406.231361875</v>
      </c>
      <c r="T2156" s="3" t="n">
        <v>44412.42502253472</v>
      </c>
      <c r="U2156" t="s">
        <v>7957</v>
      </c>
      <c r="V2156" t="s">
        <v>5967</v>
      </c>
    </row>
    <row r="2157">
      <c r="A2157" t="s">
        <v>22</v>
      </c>
      <c r="B2157" t="s">
        <v>14815</v>
      </c>
      <c r="C2157" t="s">
        <v>132</v>
      </c>
      <c r="D2157" t="s">
        <v>133</v>
      </c>
      <c r="E2157" t="s">
        <v>1764</v>
      </c>
      <c r="F2157" s="2" t="n">
        <f>HYPERLINK("https://patents.google.com/patent/US20210228709","Google")</f>
        <v>0.0</v>
      </c>
      <c r="G2157" s="2" t="n">
        <f>HYPERLINK("https://patentcenter.uspto.gov/applications/17205990","Patent Center")</f>
        <v>0.0</v>
      </c>
      <c r="H2157" s="2" t="n">
        <f>HYPERLINK("https://worldwide.espacenet.com/patent/search?q=US20210228709","Espacenet")</f>
        <v>0.0</v>
      </c>
      <c r="I2157" s="2" t="n">
        <f>HYPERLINK("https://ppubs.uspto.gov/pubwebapp/external.html?q=20210228709.pn.","USPTO")</f>
        <v>0.0</v>
      </c>
      <c r="J2157" s="2" t="n">
        <f>HYPERLINK("https://image-ppubs.uspto.gov/dirsearch-public/print/downloadPdf/20210228709","USPTO PDF")</f>
        <v>0.0</v>
      </c>
      <c r="K2157" s="2" t="n">
        <f>HYPERLINK("https://sectors.patentforecast.com/pmd/US20210228709","PMD")</f>
        <v>0.0</v>
      </c>
      <c r="L2157" s="2" t="n">
        <f>HYPERLINK("https://globaldossier.uspto.gov/result/application/US/17205990/1","US20210228709")</f>
        <v>0.0</v>
      </c>
      <c r="M2157" t="s">
        <v>14816</v>
      </c>
      <c r="N2157" t="s">
        <v>1275</v>
      </c>
      <c r="O2157" t="s">
        <v>1275</v>
      </c>
      <c r="P2157" t="s">
        <v>1766</v>
      </c>
      <c r="Q2157" s="3" t="n">
        <v>44273.0</v>
      </c>
      <c r="R2157" s="3" t="n">
        <v>44406.0</v>
      </c>
      <c r="S2157" s="3" t="n">
        <v>44406.22998137731</v>
      </c>
      <c r="T2157" s="3" t="n">
        <v>44412.42034726852</v>
      </c>
      <c r="U2157" t="s">
        <v>1767</v>
      </c>
      <c r="V2157" t="s">
        <v>1768</v>
      </c>
    </row>
    <row r="2158">
      <c r="A2158" t="s">
        <v>22</v>
      </c>
      <c r="B2158" t="s">
        <v>14817</v>
      </c>
      <c r="C2158" t="s">
        <v>132</v>
      </c>
      <c r="D2158" t="s">
        <v>133</v>
      </c>
      <c r="E2158" t="s">
        <v>1764</v>
      </c>
      <c r="F2158" s="2" t="n">
        <f>HYPERLINK("https://patents.google.com/patent/US20210228708","Google")</f>
        <v>0.0</v>
      </c>
      <c r="G2158" s="2" t="n">
        <f>HYPERLINK("https://patentcenter.uspto.gov/applications/17170367","Patent Center")</f>
        <v>0.0</v>
      </c>
      <c r="H2158" s="2" t="n">
        <f>HYPERLINK("https://worldwide.espacenet.com/patent/search?q=US20210228708","Espacenet")</f>
        <v>0.0</v>
      </c>
      <c r="I2158" s="2" t="n">
        <f>HYPERLINK("https://ppubs.uspto.gov/pubwebapp/external.html?q=20210228708.pn.","USPTO")</f>
        <v>0.0</v>
      </c>
      <c r="J2158" s="2" t="n">
        <f>HYPERLINK("https://image-ppubs.uspto.gov/dirsearch-public/print/downloadPdf/20210228708","USPTO PDF")</f>
        <v>0.0</v>
      </c>
      <c r="K2158" s="2" t="n">
        <f>HYPERLINK("https://sectors.patentforecast.com/pmd/US20210228708","PMD")</f>
        <v>0.0</v>
      </c>
      <c r="L2158" s="2" t="n">
        <f>HYPERLINK("https://globaldossier.uspto.gov/result/application/US/17170367/1","US20210228708")</f>
        <v>0.0</v>
      </c>
      <c r="M2158" t="s">
        <v>14818</v>
      </c>
      <c r="N2158" t="s">
        <v>1275</v>
      </c>
      <c r="O2158" t="s">
        <v>1275</v>
      </c>
      <c r="P2158" t="s">
        <v>1766</v>
      </c>
      <c r="Q2158" s="3" t="n">
        <v>44235.0</v>
      </c>
      <c r="R2158" s="3" t="n">
        <v>44406.0</v>
      </c>
      <c r="S2158" s="3" t="n">
        <v>44406.22998137731</v>
      </c>
      <c r="T2158" s="3" t="n">
        <v>44412.42034726852</v>
      </c>
      <c r="U2158" t="s">
        <v>1767</v>
      </c>
      <c r="V2158" t="s">
        <v>1768</v>
      </c>
    </row>
    <row r="2159">
      <c r="A2159" t="s">
        <v>22</v>
      </c>
      <c r="B2159" t="s">
        <v>14819</v>
      </c>
      <c r="C2159" t="s">
        <v>132</v>
      </c>
      <c r="D2159" t="s">
        <v>133</v>
      </c>
      <c r="E2159" t="s">
        <v>14820</v>
      </c>
      <c r="F2159" s="2" t="n">
        <f>HYPERLINK("https://patents.google.com/patent/US20210228707","Google")</f>
        <v>0.0</v>
      </c>
      <c r="G2159" s="2" t="n">
        <f>HYPERLINK("https://patentcenter.uspto.gov/applications/17000215","Patent Center")</f>
        <v>0.0</v>
      </c>
      <c r="H2159" s="2" t="n">
        <f>HYPERLINK("https://worldwide.espacenet.com/patent/search?q=US20210228707","Espacenet")</f>
        <v>0.0</v>
      </c>
      <c r="I2159" s="2" t="n">
        <f>HYPERLINK("https://ppubs.uspto.gov/pubwebapp/external.html?q=20210228707.pn.","USPTO")</f>
        <v>0.0</v>
      </c>
      <c r="J2159" s="2" t="n">
        <f>HYPERLINK("https://image-ppubs.uspto.gov/dirsearch-public/print/downloadPdf/20210228707","USPTO PDF")</f>
        <v>0.0</v>
      </c>
      <c r="K2159" s="2" t="n">
        <f>HYPERLINK("https://sectors.patentforecast.com/pmd/US20210228707","PMD")</f>
        <v>0.0</v>
      </c>
      <c r="L2159" s="2" t="n">
        <f>HYPERLINK("https://globaldossier.uspto.gov/result/application/US/17000215/1","US20210228707")</f>
        <v>0.0</v>
      </c>
      <c r="M2159" t="s">
        <v>14821</v>
      </c>
      <c r="N2159" t="s">
        <v>145</v>
      </c>
      <c r="O2159" t="s">
        <v>146</v>
      </c>
      <c r="P2159" t="s">
        <v>14822</v>
      </c>
      <c r="Q2159" s="3" t="n">
        <v>44064.0</v>
      </c>
      <c r="R2159" s="3" t="n">
        <v>44406.0</v>
      </c>
      <c r="S2159" s="3" t="n">
        <v>44406.22998137731</v>
      </c>
      <c r="T2159" s="3" t="n">
        <v>44412.42034726852</v>
      </c>
      <c r="U2159" t="s">
        <v>14823</v>
      </c>
      <c r="V2159" t="s">
        <v>14824</v>
      </c>
    </row>
    <row r="2160">
      <c r="A2160" t="s">
        <v>22</v>
      </c>
      <c r="B2160" t="s">
        <v>14825</v>
      </c>
      <c r="C2160" t="s">
        <v>24</v>
      </c>
      <c r="D2160" t="s">
        <v>100</v>
      </c>
      <c r="E2160" t="s">
        <v>14826</v>
      </c>
      <c r="F2160" s="2" t="n">
        <f>HYPERLINK("https://patents.google.com/patent/US20210228625","Google")</f>
        <v>0.0</v>
      </c>
      <c r="G2160" s="2" t="n">
        <f>HYPERLINK("https://patentcenter.uspto.gov/applications/17230402","Patent Center")</f>
        <v>0.0</v>
      </c>
      <c r="H2160" s="2" t="n">
        <f>HYPERLINK("https://worldwide.espacenet.com/patent/search?q=US20210228625","Espacenet")</f>
        <v>0.0</v>
      </c>
      <c r="I2160" s="2" t="n">
        <f>HYPERLINK("https://ppubs.uspto.gov/pubwebapp/external.html?q=20210228625.pn.","USPTO")</f>
        <v>0.0</v>
      </c>
      <c r="J2160" s="2" t="n">
        <f>HYPERLINK("https://image-ppubs.uspto.gov/dirsearch-public/print/downloadPdf/20210228625","USPTO PDF")</f>
        <v>0.0</v>
      </c>
      <c r="K2160" s="2" t="n">
        <f>HYPERLINK("https://sectors.patentforecast.com/pmd/US20210228625","PMD")</f>
        <v>0.0</v>
      </c>
      <c r="L2160" s="2" t="n">
        <f>HYPERLINK("https://globaldossier.uspto.gov/result/application/US/17230402/1","US20210228625")</f>
        <v>0.0</v>
      </c>
      <c r="M2160" t="s">
        <v>14827</v>
      </c>
      <c r="N2160" t="s">
        <v>14828</v>
      </c>
      <c r="O2160" t="s">
        <v>14829</v>
      </c>
      <c r="P2160" t="s">
        <v>14830</v>
      </c>
      <c r="Q2160" s="3" t="n">
        <v>44300.0</v>
      </c>
      <c r="R2160" s="3" t="n">
        <v>44406.0</v>
      </c>
      <c r="S2160" s="3" t="n">
        <v>44406.22998137731</v>
      </c>
      <c r="T2160" s="3" t="n">
        <v>44412.41998957176</v>
      </c>
      <c r="U2160" t="s">
        <v>14831</v>
      </c>
      <c r="V2160" t="s">
        <v>14832</v>
      </c>
    </row>
    <row r="2161">
      <c r="A2161" t="s">
        <v>22</v>
      </c>
      <c r="B2161" t="s">
        <v>14833</v>
      </c>
      <c r="C2161" t="s">
        <v>60</v>
      </c>
      <c r="D2161" t="s">
        <v>61</v>
      </c>
      <c r="E2161" t="s">
        <v>14834</v>
      </c>
      <c r="F2161" s="2" t="n">
        <f>HYPERLINK("https://patents.google.com/patent/US20210228619","Google")</f>
        <v>0.0</v>
      </c>
      <c r="G2161" s="2" t="n">
        <f>HYPERLINK("https://patentcenter.uspto.gov/applications/17180784","Patent Center")</f>
        <v>0.0</v>
      </c>
      <c r="H2161" s="2" t="n">
        <f>HYPERLINK("https://worldwide.espacenet.com/patent/search?q=US20210228619","Espacenet")</f>
        <v>0.0</v>
      </c>
      <c r="I2161" s="2" t="n">
        <f>HYPERLINK("https://ppubs.uspto.gov/pubwebapp/external.html?q=20210228619.pn.","USPTO")</f>
        <v>0.0</v>
      </c>
      <c r="J2161" s="2" t="n">
        <f>HYPERLINK("https://image-ppubs.uspto.gov/dirsearch-public/print/downloadPdf/20210228619","USPTO PDF")</f>
        <v>0.0</v>
      </c>
      <c r="K2161" s="2" t="n">
        <f>HYPERLINK("https://sectors.patentforecast.com/pmd/US20210228619","PMD")</f>
        <v>0.0</v>
      </c>
      <c r="L2161" s="2" t="n">
        <f>HYPERLINK("https://globaldossier.uspto.gov/result/application/US/17180784/1","US20210228619")</f>
        <v>0.0</v>
      </c>
      <c r="M2161" t="s">
        <v>14835</v>
      </c>
      <c r="N2161" t="s">
        <v>14836</v>
      </c>
      <c r="O2161" t="s">
        <v>14837</v>
      </c>
      <c r="P2161" t="s">
        <v>14838</v>
      </c>
      <c r="Q2161" s="3" t="n">
        <v>44247.0</v>
      </c>
      <c r="R2161" s="3" t="n">
        <v>44406.0</v>
      </c>
      <c r="S2161" s="3" t="n">
        <v>44406.22998137731</v>
      </c>
      <c r="T2161" s="3" t="n">
        <v>44412.42682537037</v>
      </c>
      <c r="U2161" t="s">
        <v>14839</v>
      </c>
      <c r="V2161" t="s">
        <v>14840</v>
      </c>
    </row>
    <row r="2162">
      <c r="A2162" t="s">
        <v>22</v>
      </c>
      <c r="B2162" t="s">
        <v>14841</v>
      </c>
      <c r="C2162" t="s">
        <v>60</v>
      </c>
      <c r="D2162" t="s">
        <v>61</v>
      </c>
      <c r="E2162" t="s">
        <v>14842</v>
      </c>
      <c r="F2162" s="2" t="n">
        <f>HYPERLINK("https://patents.google.com/patent/US20210228605","Google")</f>
        <v>0.0</v>
      </c>
      <c r="G2162" s="2" t="n">
        <f>HYPERLINK("https://patentcenter.uspto.gov/applications/17184369","Patent Center")</f>
        <v>0.0</v>
      </c>
      <c r="H2162" s="2" t="n">
        <f>HYPERLINK("https://worldwide.espacenet.com/patent/search?q=US20210228605","Espacenet")</f>
        <v>0.0</v>
      </c>
      <c r="I2162" s="2" t="n">
        <f>HYPERLINK("https://ppubs.uspto.gov/pubwebapp/external.html?q=20210228605.pn.","USPTO")</f>
        <v>0.0</v>
      </c>
      <c r="J2162" s="2" t="n">
        <f>HYPERLINK("https://image-ppubs.uspto.gov/dirsearch-public/print/downloadPdf/20210228605","USPTO PDF")</f>
        <v>0.0</v>
      </c>
      <c r="K2162" s="2" t="n">
        <f>HYPERLINK("https://sectors.patentforecast.com/pmd/US20210228605","PMD")</f>
        <v>0.0</v>
      </c>
      <c r="L2162" s="2" t="n">
        <f>HYPERLINK("https://globaldossier.uspto.gov/result/application/US/17184369/1","US20210228605")</f>
        <v>0.0</v>
      </c>
      <c r="M2162" t="s">
        <v>14843</v>
      </c>
      <c r="N2162" t="s">
        <v>14844</v>
      </c>
      <c r="O2162" t="s">
        <v>14845</v>
      </c>
      <c r="P2162" t="s">
        <v>14846</v>
      </c>
      <c r="Q2162" s="3" t="n">
        <v>44251.0</v>
      </c>
      <c r="R2162" s="3" t="n">
        <v>44406.0</v>
      </c>
      <c r="S2162" s="3" t="n">
        <v>44406.22998137731</v>
      </c>
      <c r="T2162" s="3" t="n">
        <v>44412.42427306713</v>
      </c>
      <c r="U2162" t="s">
        <v>14847</v>
      </c>
      <c r="V2162" t="s">
        <v>14848</v>
      </c>
    </row>
    <row r="2163">
      <c r="A2163" t="s">
        <v>22</v>
      </c>
      <c r="B2163" t="s">
        <v>14849</v>
      </c>
      <c r="C2163" t="s">
        <v>60</v>
      </c>
      <c r="D2163" t="s">
        <v>61</v>
      </c>
      <c r="E2163" t="s">
        <v>14850</v>
      </c>
      <c r="F2163" s="2" t="n">
        <f>HYPERLINK("https://patents.google.com/patent/US20210228485","Google")</f>
        <v>0.0</v>
      </c>
      <c r="G2163" s="2" t="n">
        <f>HYPERLINK("https://patentcenter.uspto.gov/applications/17231735","Patent Center")</f>
        <v>0.0</v>
      </c>
      <c r="H2163" s="2" t="n">
        <f>HYPERLINK("https://worldwide.espacenet.com/patent/search?q=US20210228485","Espacenet")</f>
        <v>0.0</v>
      </c>
      <c r="I2163" s="2" t="n">
        <f>HYPERLINK("https://ppubs.uspto.gov/pubwebapp/external.html?q=20210228485.pn.","USPTO")</f>
        <v>0.0</v>
      </c>
      <c r="J2163" s="2" t="n">
        <f>HYPERLINK("https://image-ppubs.uspto.gov/dirsearch-public/print/downloadPdf/20210228485","USPTO PDF")</f>
        <v>0.0</v>
      </c>
      <c r="K2163" s="2" t="n">
        <f>HYPERLINK("https://sectors.patentforecast.com/pmd/US20210228485","PMD")</f>
        <v>0.0</v>
      </c>
      <c r="L2163" s="2" t="n">
        <f>HYPERLINK("https://globaldossier.uspto.gov/result/application/US/17231735/1","US20210228485")</f>
        <v>0.0</v>
      </c>
      <c r="M2163" t="s">
        <v>14851</v>
      </c>
      <c r="N2163" t="s">
        <v>14852</v>
      </c>
      <c r="O2163" t="s">
        <v>14852</v>
      </c>
      <c r="P2163" t="s">
        <v>14853</v>
      </c>
      <c r="Q2163" s="3" t="n">
        <v>44301.0</v>
      </c>
      <c r="R2163" s="3" t="n">
        <v>44406.0</v>
      </c>
      <c r="S2163" s="3" t="n">
        <v>44406.22998137731</v>
      </c>
      <c r="T2163" s="3" t="n">
        <v>44412.420836400466</v>
      </c>
      <c r="U2163" t="s">
        <v>14854</v>
      </c>
      <c r="V2163" t="s">
        <v>14855</v>
      </c>
    </row>
    <row r="2164">
      <c r="A2164" t="s">
        <v>22</v>
      </c>
      <c r="B2164" t="s">
        <v>14856</v>
      </c>
      <c r="C2164" t="s">
        <v>24</v>
      </c>
      <c r="D2164" t="s">
        <v>34</v>
      </c>
      <c r="E2164" t="s">
        <v>14857</v>
      </c>
      <c r="F2164" s="2" t="n">
        <f>HYPERLINK("https://patents.google.com/patent/US20210228083","Google")</f>
        <v>0.0</v>
      </c>
      <c r="G2164" s="2" t="n">
        <f>HYPERLINK("https://patentcenter.uspto.gov/applications/17155141","Patent Center")</f>
        <v>0.0</v>
      </c>
      <c r="H2164" s="2" t="n">
        <f>HYPERLINK("https://worldwide.espacenet.com/patent/search?q=US20210228083","Espacenet")</f>
        <v>0.0</v>
      </c>
      <c r="I2164" s="2" t="n">
        <f>HYPERLINK("https://ppubs.uspto.gov/pubwebapp/external.html?q=20210228083.pn.","USPTO")</f>
        <v>0.0</v>
      </c>
      <c r="J2164" s="2" t="n">
        <f>HYPERLINK("https://image-ppubs.uspto.gov/dirsearch-public/print/downloadPdf/20210228083","USPTO PDF")</f>
        <v>0.0</v>
      </c>
      <c r="K2164" s="2" t="n">
        <f>HYPERLINK("https://sectors.patentforecast.com/pmd/US20210228083","PMD")</f>
        <v>0.0</v>
      </c>
      <c r="L2164" s="2" t="n">
        <f>HYPERLINK("https://globaldossier.uspto.gov/result/application/US/17155141/1","US20210228083")</f>
        <v>0.0</v>
      </c>
      <c r="M2164" t="s">
        <v>14858</v>
      </c>
      <c r="N2164" t="s">
        <v>2052</v>
      </c>
      <c r="O2164" t="s">
        <v>2053</v>
      </c>
      <c r="P2164" t="s">
        <v>14859</v>
      </c>
      <c r="Q2164" s="3" t="n">
        <v>44218.0</v>
      </c>
      <c r="R2164" s="3" t="n">
        <v>44406.0</v>
      </c>
      <c r="S2164" s="3" t="n">
        <v>44406.22998137731</v>
      </c>
      <c r="T2164" s="3" t="n">
        <v>44412.439322962964</v>
      </c>
      <c r="U2164" t="s">
        <v>14860</v>
      </c>
      <c r="V2164" t="s">
        <v>14861</v>
      </c>
    </row>
    <row r="2165">
      <c r="A2165" t="s">
        <v>22</v>
      </c>
      <c r="B2165" t="s">
        <v>14862</v>
      </c>
      <c r="C2165" t="s">
        <v>24</v>
      </c>
      <c r="D2165" t="s">
        <v>100</v>
      </c>
      <c r="E2165" t="s">
        <v>14863</v>
      </c>
      <c r="F2165" s="2" t="n">
        <f>HYPERLINK("https://patents.google.com/patent/US20210227832","Google")</f>
        <v>0.0</v>
      </c>
      <c r="G2165" s="2" t="n">
        <f>HYPERLINK("https://patentcenter.uspto.gov/applications/17230395","Patent Center")</f>
        <v>0.0</v>
      </c>
      <c r="H2165" s="2" t="n">
        <f>HYPERLINK("https://worldwide.espacenet.com/patent/search?q=US20210227832","Espacenet")</f>
        <v>0.0</v>
      </c>
      <c r="I2165" s="2" t="n">
        <f>HYPERLINK("https://ppubs.uspto.gov/pubwebapp/external.html?q=20210227832.pn.","USPTO")</f>
        <v>0.0</v>
      </c>
      <c r="J2165" s="2" t="n">
        <f>HYPERLINK("https://image-ppubs.uspto.gov/dirsearch-public/print/downloadPdf/20210227832","USPTO PDF")</f>
        <v>0.0</v>
      </c>
      <c r="K2165" s="2" t="n">
        <f>HYPERLINK("https://sectors.patentforecast.com/pmd/US20210227832","PMD")</f>
        <v>0.0</v>
      </c>
      <c r="L2165" s="2" t="n">
        <f>HYPERLINK("https://globaldossier.uspto.gov/result/application/US/17230395/1","US20210227832")</f>
        <v>0.0</v>
      </c>
      <c r="M2165" t="s">
        <v>14864</v>
      </c>
      <c r="N2165" t="s">
        <v>14828</v>
      </c>
      <c r="O2165" t="s">
        <v>14829</v>
      </c>
      <c r="P2165" t="s">
        <v>14830</v>
      </c>
      <c r="Q2165" s="3" t="n">
        <v>44300.0</v>
      </c>
      <c r="R2165" s="3" t="n">
        <v>44406.0</v>
      </c>
      <c r="S2165" s="3" t="n">
        <v>44406.22998137731</v>
      </c>
      <c r="T2165" s="3" t="n">
        <v>44412.420580150465</v>
      </c>
      <c r="U2165" t="s">
        <v>14865</v>
      </c>
      <c r="V2165" t="s">
        <v>14866</v>
      </c>
    </row>
    <row r="2166">
      <c r="A2166" t="s">
        <v>22</v>
      </c>
      <c r="B2166" t="s">
        <v>14867</v>
      </c>
      <c r="C2166" t="s">
        <v>24</v>
      </c>
      <c r="D2166" t="s">
        <v>100</v>
      </c>
      <c r="E2166" t="s">
        <v>14868</v>
      </c>
      <c r="F2166" s="2" t="n">
        <f>HYPERLINK("https://patents.google.com/patent/US20210227420","Google")</f>
        <v>0.0</v>
      </c>
      <c r="G2166" s="2" t="n">
        <f>HYPERLINK("https://patentcenter.uspto.gov/applications/17224977","Patent Center")</f>
        <v>0.0</v>
      </c>
      <c r="H2166" s="2" t="n">
        <f>HYPERLINK("https://worldwide.espacenet.com/patent/search?q=US20210227420","Espacenet")</f>
        <v>0.0</v>
      </c>
      <c r="I2166" s="2" t="n">
        <f>HYPERLINK("https://ppubs.uspto.gov/pubwebapp/external.html?q=20210227420.pn.","USPTO")</f>
        <v>0.0</v>
      </c>
      <c r="J2166" s="2" t="n">
        <f>HYPERLINK("https://image-ppubs.uspto.gov/dirsearch-public/print/downloadPdf/20210227420","USPTO PDF")</f>
        <v>0.0</v>
      </c>
      <c r="K2166" s="2" t="n">
        <f>HYPERLINK("https://sectors.patentforecast.com/pmd/US20210227420","PMD")</f>
        <v>0.0</v>
      </c>
      <c r="L2166" s="2" t="n">
        <f>HYPERLINK("https://globaldossier.uspto.gov/result/application/US/17224977/1","US20210227420")</f>
        <v>0.0</v>
      </c>
      <c r="M2166" t="s">
        <v>14869</v>
      </c>
      <c r="N2166" t="s">
        <v>14870</v>
      </c>
      <c r="O2166" t="s">
        <v>14871</v>
      </c>
      <c r="P2166" t="s">
        <v>14872</v>
      </c>
      <c r="Q2166" s="3" t="n">
        <v>44293.0</v>
      </c>
      <c r="R2166" s="3" t="n">
        <v>44399.0</v>
      </c>
      <c r="S2166" s="3" t="n">
        <v>44399.22977023148</v>
      </c>
      <c r="T2166" s="3" t="n">
        <v>44403.41026568287</v>
      </c>
      <c r="U2166" t="s">
        <v>14873</v>
      </c>
      <c r="V2166" t="s">
        <v>14874</v>
      </c>
    </row>
    <row r="2167">
      <c r="A2167" t="s">
        <v>22</v>
      </c>
      <c r="B2167" t="s">
        <v>14875</v>
      </c>
      <c r="C2167" t="s">
        <v>24</v>
      </c>
      <c r="D2167" t="s">
        <v>69</v>
      </c>
      <c r="E2167" t="s">
        <v>14876</v>
      </c>
      <c r="F2167" s="2" t="n">
        <f>HYPERLINK("https://patents.google.com/patent/US20210225354","Google")</f>
        <v>0.0</v>
      </c>
      <c r="G2167" s="2" t="n">
        <f>HYPERLINK("https://patentcenter.uspto.gov/applications/17201952","Patent Center")</f>
        <v>0.0</v>
      </c>
      <c r="H2167" s="2" t="n">
        <f>HYPERLINK("https://worldwide.espacenet.com/patent/search?q=US20210225354","Espacenet")</f>
        <v>0.0</v>
      </c>
      <c r="I2167" s="2" t="n">
        <f>HYPERLINK("https://ppubs.uspto.gov/pubwebapp/external.html?q=20210225354.pn.","USPTO")</f>
        <v>0.0</v>
      </c>
      <c r="J2167" s="2" t="n">
        <f>HYPERLINK("https://image-ppubs.uspto.gov/dirsearch-public/print/downloadPdf/20210225354","USPTO PDF")</f>
        <v>0.0</v>
      </c>
      <c r="K2167" s="2" t="n">
        <f>HYPERLINK("https://sectors.patentforecast.com/pmd/US20210225354","PMD")</f>
        <v>0.0</v>
      </c>
      <c r="L2167" s="2" t="n">
        <f>HYPERLINK("https://globaldossier.uspto.gov/result/application/US/17201952/1","US20210225354")</f>
        <v>0.0</v>
      </c>
      <c r="M2167" t="s">
        <v>14877</v>
      </c>
      <c r="N2167" t="s">
        <v>14878</v>
      </c>
      <c r="O2167" t="s">
        <v>14879</v>
      </c>
      <c r="P2167" t="s">
        <v>14880</v>
      </c>
      <c r="Q2167" s="3" t="n">
        <v>44270.0</v>
      </c>
      <c r="R2167" s="3" t="n">
        <v>44399.0</v>
      </c>
      <c r="S2167" s="3" t="n">
        <v>44399.22977023148</v>
      </c>
      <c r="T2167" s="3" t="n">
        <v>44403.398886863426</v>
      </c>
      <c r="U2167" t="s">
        <v>14881</v>
      </c>
      <c r="V2167" t="s">
        <v>14882</v>
      </c>
    </row>
    <row r="2168">
      <c r="A2168" t="s">
        <v>22</v>
      </c>
      <c r="B2168" t="s">
        <v>14883</v>
      </c>
      <c r="C2168" t="s">
        <v>24</v>
      </c>
      <c r="D2168" t="s">
        <v>25</v>
      </c>
      <c r="E2168" t="s">
        <v>14884</v>
      </c>
      <c r="F2168" s="2" t="n">
        <f>HYPERLINK("https://patents.google.com/patent/US20210224985","Google")</f>
        <v>0.0</v>
      </c>
      <c r="G2168" s="2" t="n">
        <f>HYPERLINK("https://patentcenter.uspto.gov/applications/17220775","Patent Center")</f>
        <v>0.0</v>
      </c>
      <c r="H2168" s="2" t="n">
        <f>HYPERLINK("https://worldwide.espacenet.com/patent/search?q=US20210224985","Espacenet")</f>
        <v>0.0</v>
      </c>
      <c r="I2168" s="2" t="n">
        <f>HYPERLINK("https://ppubs.uspto.gov/pubwebapp/external.html?q=20210224985.pn.","USPTO")</f>
        <v>0.0</v>
      </c>
      <c r="J2168" s="2" t="n">
        <f>HYPERLINK("https://image-ppubs.uspto.gov/dirsearch-public/print/downloadPdf/20210224985","USPTO PDF")</f>
        <v>0.0</v>
      </c>
      <c r="K2168" s="2" t="n">
        <f>HYPERLINK("https://sectors.patentforecast.com/pmd/US20210224985","PMD")</f>
        <v>0.0</v>
      </c>
      <c r="L2168" s="2" t="n">
        <f>HYPERLINK("https://globaldossier.uspto.gov/result/application/US/17220775/1","US20210224985")</f>
        <v>0.0</v>
      </c>
      <c r="M2168" t="s">
        <v>14885</v>
      </c>
      <c r="N2168" t="s">
        <v>14886</v>
      </c>
      <c r="O2168" t="s">
        <v>14887</v>
      </c>
      <c r="P2168" t="s">
        <v>14888</v>
      </c>
      <c r="Q2168" s="3" t="n">
        <v>44287.0</v>
      </c>
      <c r="R2168" s="3" t="n">
        <v>44399.0</v>
      </c>
      <c r="S2168" s="3" t="n">
        <v>44399.22977023148</v>
      </c>
      <c r="T2168" s="3" t="n">
        <v>44403.40774502315</v>
      </c>
      <c r="U2168" t="s">
        <v>14889</v>
      </c>
      <c r="V2168" t="s">
        <v>14890</v>
      </c>
    </row>
    <row r="2169">
      <c r="A2169" t="s">
        <v>22</v>
      </c>
      <c r="B2169" t="s">
        <v>14891</v>
      </c>
      <c r="C2169" t="s">
        <v>312</v>
      </c>
      <c r="D2169" t="s">
        <v>3202</v>
      </c>
      <c r="E2169" t="s">
        <v>14892</v>
      </c>
      <c r="F2169" s="2" t="n">
        <f>HYPERLINK("https://patents.google.com/patent/US20210224325","Google")</f>
        <v>0.0</v>
      </c>
      <c r="G2169" s="2" t="n">
        <f>HYPERLINK("https://patentcenter.uspto.gov/applications/17209208","Patent Center")</f>
        <v>0.0</v>
      </c>
      <c r="H2169" s="2" t="n">
        <f>HYPERLINK("https://worldwide.espacenet.com/patent/search?q=US20210224325","Espacenet")</f>
        <v>0.0</v>
      </c>
      <c r="I2169" s="2" t="n">
        <f>HYPERLINK("https://ppubs.uspto.gov/pubwebapp/external.html?q=20210224325.pn.","USPTO")</f>
        <v>0.0</v>
      </c>
      <c r="J2169" s="2" t="n">
        <f>HYPERLINK("https://image-ppubs.uspto.gov/dirsearch-public/print/downloadPdf/20210224325","USPTO PDF")</f>
        <v>0.0</v>
      </c>
      <c r="K2169" s="2" t="n">
        <f>HYPERLINK("https://sectors.patentforecast.com/pmd/US20210224325","PMD")</f>
        <v>0.0</v>
      </c>
      <c r="L2169" s="2" t="n">
        <f>HYPERLINK("https://globaldossier.uspto.gov/result/application/US/17209208/1","US20210224325")</f>
        <v>0.0</v>
      </c>
      <c r="M2169" t="s">
        <v>14893</v>
      </c>
      <c r="N2169" t="s">
        <v>2803</v>
      </c>
      <c r="O2169" t="s">
        <v>2804</v>
      </c>
      <c r="P2169" t="s">
        <v>14894</v>
      </c>
      <c r="Q2169" s="3" t="n">
        <v>44277.0</v>
      </c>
      <c r="R2169" s="3" t="n">
        <v>44399.0</v>
      </c>
      <c r="S2169" s="3" t="n">
        <v>44406.230662511574</v>
      </c>
      <c r="T2169" s="3" t="n">
        <v>44412.425569467596</v>
      </c>
      <c r="U2169" t="s">
        <v>14895</v>
      </c>
      <c r="V2169" t="s">
        <v>14896</v>
      </c>
    </row>
    <row r="2170">
      <c r="A2170" t="s">
        <v>22</v>
      </c>
      <c r="B2170" t="s">
        <v>14897</v>
      </c>
      <c r="C2170" t="s">
        <v>24</v>
      </c>
      <c r="D2170" t="s">
        <v>51</v>
      </c>
      <c r="E2170" t="s">
        <v>14898</v>
      </c>
      <c r="F2170" s="2" t="n">
        <f>HYPERLINK("https://patents.google.com/patent/US20210223244","Google")</f>
        <v>0.0</v>
      </c>
      <c r="G2170" s="2" t="n">
        <f>HYPERLINK("https://patentcenter.uspto.gov/applications/17207639","Patent Center")</f>
        <v>0.0</v>
      </c>
      <c r="H2170" s="2" t="n">
        <f>HYPERLINK("https://worldwide.espacenet.com/patent/search?q=US20210223244","Espacenet")</f>
        <v>0.0</v>
      </c>
      <c r="I2170" s="2" t="n">
        <f>HYPERLINK("https://ppubs.uspto.gov/pubwebapp/external.html?q=20210223244.pn.","USPTO")</f>
        <v>0.0</v>
      </c>
      <c r="J2170" s="2" t="n">
        <f>HYPERLINK("https://image-ppubs.uspto.gov/dirsearch-public/print/downloadPdf/20210223244","USPTO PDF")</f>
        <v>0.0</v>
      </c>
      <c r="K2170" s="2" t="n">
        <f>HYPERLINK("https://sectors.patentforecast.com/pmd/US20210223244","PMD")</f>
        <v>0.0</v>
      </c>
      <c r="L2170" s="2" t="n">
        <f>HYPERLINK("https://globaldossier.uspto.gov/result/application/US/17207639/1","US20210223244")</f>
        <v>0.0</v>
      </c>
      <c r="M2170" t="s">
        <v>14899</v>
      </c>
      <c r="N2170" t="s">
        <v>14780</v>
      </c>
      <c r="O2170" t="s">
        <v>14780</v>
      </c>
      <c r="P2170" t="s">
        <v>14900</v>
      </c>
      <c r="Q2170" s="3" t="n">
        <v>44275.0</v>
      </c>
      <c r="R2170" s="3" t="n">
        <v>44399.0</v>
      </c>
      <c r="S2170" s="3" t="n">
        <v>44399.22977023148</v>
      </c>
      <c r="T2170" s="3" t="n">
        <v>44403.40851152778</v>
      </c>
      <c r="U2170" t="s">
        <v>14901</v>
      </c>
      <c r="V2170" t="s">
        <v>14902</v>
      </c>
    </row>
    <row r="2171">
      <c r="A2171" t="s">
        <v>22</v>
      </c>
      <c r="B2171" t="s">
        <v>14903</v>
      </c>
      <c r="C2171" t="s">
        <v>24</v>
      </c>
      <c r="D2171" t="s">
        <v>51</v>
      </c>
      <c r="E2171" t="s">
        <v>14898</v>
      </c>
      <c r="F2171" s="2" t="n">
        <f>HYPERLINK("https://patents.google.com/patent/US20210223201","Google")</f>
        <v>0.0</v>
      </c>
      <c r="G2171" s="2" t="n">
        <f>HYPERLINK("https://patentcenter.uspto.gov/applications/17207649","Patent Center")</f>
        <v>0.0</v>
      </c>
      <c r="H2171" s="2" t="n">
        <f>HYPERLINK("https://worldwide.espacenet.com/patent/search?q=US20210223201","Espacenet")</f>
        <v>0.0</v>
      </c>
      <c r="I2171" s="2" t="n">
        <f>HYPERLINK("https://ppubs.uspto.gov/pubwebapp/external.html?q=20210223201.pn.","USPTO")</f>
        <v>0.0</v>
      </c>
      <c r="J2171" s="2" t="n">
        <f>HYPERLINK("https://image-ppubs.uspto.gov/dirsearch-public/print/downloadPdf/20210223201","USPTO PDF")</f>
        <v>0.0</v>
      </c>
      <c r="K2171" s="2" t="n">
        <f>HYPERLINK("https://sectors.patentforecast.com/pmd/US20210223201","PMD")</f>
        <v>0.0</v>
      </c>
      <c r="L2171" s="2" t="n">
        <f>HYPERLINK("https://globaldossier.uspto.gov/result/application/US/17207649/1","US20210223201")</f>
        <v>0.0</v>
      </c>
      <c r="M2171" t="s">
        <v>14904</v>
      </c>
      <c r="N2171" t="s">
        <v>14905</v>
      </c>
      <c r="O2171" t="s">
        <v>14906</v>
      </c>
      <c r="P2171" t="s">
        <v>14907</v>
      </c>
      <c r="Q2171" s="3" t="n">
        <v>44275.0</v>
      </c>
      <c r="R2171" s="3" t="n">
        <v>44399.0</v>
      </c>
      <c r="S2171" s="3" t="n">
        <v>44399.22977023148</v>
      </c>
      <c r="T2171" s="3" t="n">
        <v>44403.408570625</v>
      </c>
      <c r="U2171" t="s">
        <v>14908</v>
      </c>
      <c r="V2171" t="s">
        <v>14909</v>
      </c>
    </row>
    <row r="2172">
      <c r="A2172" t="s">
        <v>22</v>
      </c>
      <c r="B2172" t="s">
        <v>14910</v>
      </c>
      <c r="C2172" t="s">
        <v>24</v>
      </c>
      <c r="D2172" t="s">
        <v>100</v>
      </c>
      <c r="E2172" t="s">
        <v>14911</v>
      </c>
      <c r="F2172" s="2" t="n">
        <f>HYPERLINK("https://patents.google.com/patent/US20210220498","Google")</f>
        <v>0.0</v>
      </c>
      <c r="G2172" s="2" t="n">
        <f>HYPERLINK("https://patentcenter.uspto.gov/applications/17221834","Patent Center")</f>
        <v>0.0</v>
      </c>
      <c r="H2172" s="2" t="n">
        <f>HYPERLINK("https://worldwide.espacenet.com/patent/search?q=US20210220498","Espacenet")</f>
        <v>0.0</v>
      </c>
      <c r="I2172" s="2" t="n">
        <f>HYPERLINK("https://ppubs.uspto.gov/pubwebapp/external.html?q=20210220498.pn.","USPTO")</f>
        <v>0.0</v>
      </c>
      <c r="J2172" s="2" t="n">
        <f>HYPERLINK("https://image-ppubs.uspto.gov/dirsearch-public/print/downloadPdf/20210220498","USPTO PDF")</f>
        <v>0.0</v>
      </c>
      <c r="K2172" s="2" t="n">
        <f>HYPERLINK("https://sectors.patentforecast.com/pmd/US20210220498","PMD")</f>
        <v>0.0</v>
      </c>
      <c r="L2172" s="2" t="n">
        <f>HYPERLINK("https://globaldossier.uspto.gov/result/application/US/17221834/1","US20210220498")</f>
        <v>0.0</v>
      </c>
      <c r="M2172" t="s">
        <v>14912</v>
      </c>
      <c r="N2172" t="s">
        <v>14913</v>
      </c>
      <c r="O2172" t="s">
        <v>14914</v>
      </c>
      <c r="P2172" t="s">
        <v>14915</v>
      </c>
      <c r="Q2172" s="3" t="n">
        <v>44290.0</v>
      </c>
      <c r="R2172" s="3" t="n">
        <v>44399.0</v>
      </c>
      <c r="S2172" s="3" t="n">
        <v>44399.22977023148</v>
      </c>
      <c r="T2172" s="3" t="n">
        <v>44403.40275447917</v>
      </c>
      <c r="U2172" t="s">
        <v>14916</v>
      </c>
      <c r="V2172" t="s">
        <v>14917</v>
      </c>
    </row>
    <row r="2173">
      <c r="A2173" t="s">
        <v>22</v>
      </c>
      <c r="B2173" t="s">
        <v>14918</v>
      </c>
      <c r="C2173" t="s">
        <v>60</v>
      </c>
      <c r="D2173" t="s">
        <v>61</v>
      </c>
      <c r="E2173" t="s">
        <v>14919</v>
      </c>
      <c r="F2173" s="2" t="n">
        <f>HYPERLINK("https://patents.google.com/patent/US20210220397","Google")</f>
        <v>0.0</v>
      </c>
      <c r="G2173" s="2" t="n">
        <f>HYPERLINK("https://patentcenter.uspto.gov/applications/17221183","Patent Center")</f>
        <v>0.0</v>
      </c>
      <c r="H2173" s="2" t="n">
        <f>HYPERLINK("https://worldwide.espacenet.com/patent/search?q=US20210220397","Espacenet")</f>
        <v>0.0</v>
      </c>
      <c r="I2173" s="2" t="n">
        <f>HYPERLINK("https://ppubs.uspto.gov/pubwebapp/external.html?q=20210220397.pn.","USPTO")</f>
        <v>0.0</v>
      </c>
      <c r="J2173" s="2" t="n">
        <f>HYPERLINK("https://image-ppubs.uspto.gov/dirsearch-public/print/downloadPdf/20210220397","USPTO PDF")</f>
        <v>0.0</v>
      </c>
      <c r="K2173" s="2" t="n">
        <f>HYPERLINK("https://sectors.patentforecast.com/pmd/US20210220397","PMD")</f>
        <v>0.0</v>
      </c>
      <c r="L2173" s="2" t="n">
        <f>HYPERLINK("https://globaldossier.uspto.gov/result/application/US/17221183/1","US20210220397")</f>
        <v>0.0</v>
      </c>
      <c r="M2173" t="s">
        <v>14920</v>
      </c>
      <c r="N2173" t="s">
        <v>14921</v>
      </c>
      <c r="O2173" t="s">
        <v>14922</v>
      </c>
      <c r="P2173" t="s">
        <v>14923</v>
      </c>
      <c r="Q2173" s="3" t="n">
        <v>44288.0</v>
      </c>
      <c r="R2173" s="3" t="n">
        <v>44399.0</v>
      </c>
      <c r="S2173" s="3" t="n">
        <v>44399.22977023148</v>
      </c>
      <c r="T2173" s="3" t="n">
        <v>44403.40163814815</v>
      </c>
      <c r="U2173" t="s">
        <v>14924</v>
      </c>
      <c r="V2173" t="s">
        <v>14925</v>
      </c>
    </row>
    <row r="2174">
      <c r="A2174" t="s">
        <v>22</v>
      </c>
      <c r="B2174" t="s">
        <v>14926</v>
      </c>
      <c r="C2174" t="s">
        <v>60</v>
      </c>
      <c r="D2174" t="s">
        <v>61</v>
      </c>
      <c r="E2174" t="s">
        <v>10684</v>
      </c>
      <c r="F2174" s="2" t="n">
        <f>HYPERLINK("https://patents.google.com/patent/US20210220377","Google")</f>
        <v>0.0</v>
      </c>
      <c r="G2174" s="2" t="n">
        <f>HYPERLINK("https://patentcenter.uspto.gov/applications/17070271","Patent Center")</f>
        <v>0.0</v>
      </c>
      <c r="H2174" s="2" t="n">
        <f>HYPERLINK("https://worldwide.espacenet.com/patent/search?q=US20210220377","Espacenet")</f>
        <v>0.0</v>
      </c>
      <c r="I2174" s="2" t="n">
        <f>HYPERLINK("https://ppubs.uspto.gov/pubwebapp/external.html?q=20210220377.pn.","USPTO")</f>
        <v>0.0</v>
      </c>
      <c r="J2174" s="2" t="n">
        <f>HYPERLINK("https://image-ppubs.uspto.gov/dirsearch-public/print/downloadPdf/20210220377","USPTO PDF")</f>
        <v>0.0</v>
      </c>
      <c r="K2174" s="2" t="n">
        <f>HYPERLINK("https://sectors.patentforecast.com/pmd/US20210220377","PMD")</f>
        <v>0.0</v>
      </c>
      <c r="L2174" s="2" t="n">
        <f>HYPERLINK("https://globaldossier.uspto.gov/result/application/US/17070271/1","US20210220377")</f>
        <v>0.0</v>
      </c>
      <c r="M2174" t="s">
        <v>14927</v>
      </c>
      <c r="N2174" t="s">
        <v>153</v>
      </c>
      <c r="O2174" t="s">
        <v>154</v>
      </c>
      <c r="P2174" t="s">
        <v>14928</v>
      </c>
      <c r="Q2174" s="3" t="n">
        <v>44118.0</v>
      </c>
      <c r="R2174" s="3" t="n">
        <v>44399.0</v>
      </c>
      <c r="S2174" s="3" t="n">
        <v>44399.22977023148</v>
      </c>
      <c r="T2174" s="3" t="n">
        <v>44403.40097130787</v>
      </c>
      <c r="U2174" t="s">
        <v>10687</v>
      </c>
      <c r="V2174" t="s">
        <v>10688</v>
      </c>
    </row>
    <row r="2175">
      <c r="A2175" t="s">
        <v>22</v>
      </c>
      <c r="B2175" t="s">
        <v>14929</v>
      </c>
      <c r="C2175" t="s">
        <v>60</v>
      </c>
      <c r="D2175" t="s">
        <v>61</v>
      </c>
      <c r="E2175" t="s">
        <v>10707</v>
      </c>
      <c r="F2175" s="2" t="n">
        <f>HYPERLINK("https://patents.google.com/patent/US20210220353","Google")</f>
        <v>0.0</v>
      </c>
      <c r="G2175" s="2" t="n">
        <f>HYPERLINK("https://patentcenter.uspto.gov/applications/17070620","Patent Center")</f>
        <v>0.0</v>
      </c>
      <c r="H2175" s="2" t="n">
        <f>HYPERLINK("https://worldwide.espacenet.com/patent/search?q=US20210220353","Espacenet")</f>
        <v>0.0</v>
      </c>
      <c r="I2175" s="2" t="n">
        <f>HYPERLINK("https://ppubs.uspto.gov/pubwebapp/external.html?q=20210220353.pn.","USPTO")</f>
        <v>0.0</v>
      </c>
      <c r="J2175" s="2" t="n">
        <f>HYPERLINK("https://image-ppubs.uspto.gov/dirsearch-public/print/downloadPdf/20210220353","USPTO PDF")</f>
        <v>0.0</v>
      </c>
      <c r="K2175" s="2" t="n">
        <f>HYPERLINK("https://sectors.patentforecast.com/pmd/US20210220353","PMD")</f>
        <v>0.0</v>
      </c>
      <c r="L2175" s="2" t="n">
        <f>HYPERLINK("https://globaldossier.uspto.gov/result/application/US/17070620/1","US20210220353")</f>
        <v>0.0</v>
      </c>
      <c r="M2175" t="s">
        <v>14930</v>
      </c>
      <c r="N2175" t="s">
        <v>153</v>
      </c>
      <c r="O2175" t="s">
        <v>154</v>
      </c>
      <c r="P2175" t="s">
        <v>10709</v>
      </c>
      <c r="Q2175" s="3" t="n">
        <v>44118.0</v>
      </c>
      <c r="R2175" s="3" t="n">
        <v>44399.0</v>
      </c>
      <c r="S2175" s="3" t="n">
        <v>44399.22977023148</v>
      </c>
      <c r="T2175" s="3" t="n">
        <v>44403.40097130787</v>
      </c>
      <c r="U2175" t="s">
        <v>10710</v>
      </c>
      <c r="V2175" t="s">
        <v>10711</v>
      </c>
    </row>
    <row r="2176">
      <c r="A2176" t="s">
        <v>22</v>
      </c>
      <c r="B2176" t="s">
        <v>14931</v>
      </c>
      <c r="C2176" t="s">
        <v>60</v>
      </c>
      <c r="D2176" t="s">
        <v>61</v>
      </c>
      <c r="E2176" t="s">
        <v>14850</v>
      </c>
      <c r="F2176" s="2" t="n">
        <f>HYPERLINK("https://patents.google.com/patent/US20210220265","Google")</f>
        <v>0.0</v>
      </c>
      <c r="G2176" s="2" t="n">
        <f>HYPERLINK("https://patentcenter.uspto.gov/applications/17151191","Patent Center")</f>
        <v>0.0</v>
      </c>
      <c r="H2176" s="2" t="n">
        <f>HYPERLINK("https://worldwide.espacenet.com/patent/search?q=US20210220265","Espacenet")</f>
        <v>0.0</v>
      </c>
      <c r="I2176" s="2" t="n">
        <f>HYPERLINK("https://ppubs.uspto.gov/pubwebapp/external.html?q=20210220265.pn.","USPTO")</f>
        <v>0.0</v>
      </c>
      <c r="J2176" s="2" t="n">
        <f>HYPERLINK("https://image-ppubs.uspto.gov/dirsearch-public/print/downloadPdf/20210220265","USPTO PDF")</f>
        <v>0.0</v>
      </c>
      <c r="K2176" s="2" t="n">
        <f>HYPERLINK("https://sectors.patentforecast.com/pmd/US20210220265","PMD")</f>
        <v>0.0</v>
      </c>
      <c r="L2176" s="2" t="n">
        <f>HYPERLINK("https://globaldossier.uspto.gov/result/application/US/17151191/1","US20210220265")</f>
        <v>0.0</v>
      </c>
      <c r="M2176" t="s">
        <v>14932</v>
      </c>
      <c r="N2176" t="s">
        <v>14852</v>
      </c>
      <c r="O2176" t="s">
        <v>14852</v>
      </c>
      <c r="P2176" t="s">
        <v>14853</v>
      </c>
      <c r="Q2176" s="3" t="n">
        <v>44213.0</v>
      </c>
      <c r="R2176" s="3" t="n">
        <v>44399.0</v>
      </c>
      <c r="S2176" s="3" t="n">
        <v>44399.22977023148</v>
      </c>
      <c r="T2176" s="3" t="n">
        <v>44403.4004540625</v>
      </c>
      <c r="U2176" t="s">
        <v>14854</v>
      </c>
      <c r="V2176" t="s">
        <v>14855</v>
      </c>
    </row>
    <row r="2177">
      <c r="A2177" t="s">
        <v>22</v>
      </c>
      <c r="B2177" t="s">
        <v>14933</v>
      </c>
      <c r="C2177" t="s">
        <v>24</v>
      </c>
      <c r="D2177" t="s">
        <v>69</v>
      </c>
      <c r="E2177" t="s">
        <v>14934</v>
      </c>
      <c r="F2177" s="2" t="n">
        <f>HYPERLINK("https://patents.google.com/patent/US20210219636","Google")</f>
        <v>0.0</v>
      </c>
      <c r="G2177" s="2" t="n">
        <f>HYPERLINK("https://patentcenter.uspto.gov/applications/17222738","Patent Center")</f>
        <v>0.0</v>
      </c>
      <c r="H2177" s="2" t="n">
        <f>HYPERLINK("https://worldwide.espacenet.com/patent/search?q=US20210219636","Espacenet")</f>
        <v>0.0</v>
      </c>
      <c r="I2177" s="2" t="n">
        <f>HYPERLINK("https://ppubs.uspto.gov/pubwebapp/external.html?q=20210219636.pn.","USPTO")</f>
        <v>0.0</v>
      </c>
      <c r="J2177" s="2" t="n">
        <f>HYPERLINK("https://image-ppubs.uspto.gov/dirsearch-public/print/downloadPdf/20210219636","USPTO PDF")</f>
        <v>0.0</v>
      </c>
      <c r="K2177" s="2" t="n">
        <f>HYPERLINK("https://sectors.patentforecast.com/pmd/US20210219636","PMD")</f>
        <v>0.0</v>
      </c>
      <c r="L2177" s="2" t="n">
        <f>HYPERLINK("https://globaldossier.uspto.gov/result/application/US/17222738/1","US20210219636")</f>
        <v>0.0</v>
      </c>
      <c r="M2177" t="s">
        <v>14935</v>
      </c>
      <c r="N2177" t="s">
        <v>14936</v>
      </c>
      <c r="O2177" t="s">
        <v>14937</v>
      </c>
      <c r="P2177" t="s">
        <v>14938</v>
      </c>
      <c r="Q2177" s="3" t="n">
        <v>44291.0</v>
      </c>
      <c r="R2177" s="3" t="n">
        <v>44399.0</v>
      </c>
      <c r="S2177" s="3" t="n">
        <v>44399.22977023148</v>
      </c>
      <c r="T2177" s="3" t="n">
        <v>44403.4106675</v>
      </c>
      <c r="U2177" t="s">
        <v>14939</v>
      </c>
      <c r="V2177" t="s">
        <v>14940</v>
      </c>
    </row>
    <row r="2178">
      <c r="A2178" t="s">
        <v>22</v>
      </c>
      <c r="B2178" t="s">
        <v>14941</v>
      </c>
      <c r="C2178" t="s">
        <v>24</v>
      </c>
      <c r="D2178" t="s">
        <v>43</v>
      </c>
      <c r="E2178" t="s">
        <v>14942</v>
      </c>
      <c r="F2178" s="2" t="n">
        <f>HYPERLINK("https://patents.google.com/patent/US20210216677","Google")</f>
        <v>0.0</v>
      </c>
      <c r="G2178" s="2" t="n">
        <f>HYPERLINK("https://patentcenter.uspto.gov/applications/17196146","Patent Center")</f>
        <v>0.0</v>
      </c>
      <c r="H2178" s="2" t="n">
        <f>HYPERLINK("https://worldwide.espacenet.com/patent/search?q=US20210216677","Espacenet")</f>
        <v>0.0</v>
      </c>
      <c r="I2178" s="2" t="n">
        <f>HYPERLINK("https://ppubs.uspto.gov/pubwebapp/external.html?q=20210216677.pn.","USPTO")</f>
        <v>0.0</v>
      </c>
      <c r="J2178" s="2" t="n">
        <f>HYPERLINK("https://image-ppubs.uspto.gov/dirsearch-public/print/downloadPdf/20210216677","USPTO PDF")</f>
        <v>0.0</v>
      </c>
      <c r="K2178" s="2" t="n">
        <f>HYPERLINK("https://sectors.patentforecast.com/pmd/US20210216677","PMD")</f>
        <v>0.0</v>
      </c>
      <c r="L2178" s="2" t="n">
        <f>HYPERLINK("https://globaldossier.uspto.gov/result/application/US/17196146/1","US20210216677")</f>
        <v>0.0</v>
      </c>
      <c r="M2178" t="s">
        <v>14943</v>
      </c>
      <c r="N2178" t="s">
        <v>14944</v>
      </c>
      <c r="O2178" t="s">
        <v>14945</v>
      </c>
      <c r="P2178" t="s">
        <v>14946</v>
      </c>
      <c r="Q2178" s="3" t="n">
        <v>44264.0</v>
      </c>
      <c r="R2178" s="3" t="n">
        <v>44392.0</v>
      </c>
      <c r="S2178" s="3" t="n">
        <v>44397.22966858796</v>
      </c>
      <c r="T2178" s="3" t="n">
        <v>44398.53906425926</v>
      </c>
      <c r="U2178" t="s">
        <v>14947</v>
      </c>
      <c r="V2178" t="s">
        <v>14948</v>
      </c>
    </row>
    <row r="2179">
      <c r="A2179" t="s">
        <v>22</v>
      </c>
      <c r="B2179" t="s">
        <v>14949</v>
      </c>
      <c r="C2179" t="s">
        <v>24</v>
      </c>
      <c r="D2179" t="s">
        <v>34</v>
      </c>
      <c r="E2179" t="s">
        <v>14950</v>
      </c>
      <c r="F2179" s="2" t="n">
        <f>HYPERLINK("https://patents.google.com/patent/US20210215693","Google")</f>
        <v>0.0</v>
      </c>
      <c r="G2179" s="2" t="n">
        <f>HYPERLINK("https://patentcenter.uspto.gov/applications/16890678","Patent Center")</f>
        <v>0.0</v>
      </c>
      <c r="H2179" s="2" t="n">
        <f>HYPERLINK("https://worldwide.espacenet.com/patent/search?q=US20210215693","Espacenet")</f>
        <v>0.0</v>
      </c>
      <c r="I2179" s="2" t="n">
        <f>HYPERLINK("https://ppubs.uspto.gov/pubwebapp/external.html?q=20210215693.pn.","USPTO")</f>
        <v>0.0</v>
      </c>
      <c r="J2179" s="2" t="n">
        <f>HYPERLINK("https://image-ppubs.uspto.gov/dirsearch-public/print/downloadPdf/20210215693","USPTO PDF")</f>
        <v>0.0</v>
      </c>
      <c r="K2179" s="2" t="n">
        <f>HYPERLINK("https://sectors.patentforecast.com/pmd/US20210215693","PMD")</f>
        <v>0.0</v>
      </c>
      <c r="L2179" s="2" t="n">
        <f>HYPERLINK("https://globaldossier.uspto.gov/result/application/US/16890678/1","US20210215693")</f>
        <v>0.0</v>
      </c>
      <c r="M2179" t="s">
        <v>14951</v>
      </c>
      <c r="N2179" t="s">
        <v>14952</v>
      </c>
      <c r="O2179" t="s">
        <v>14952</v>
      </c>
      <c r="P2179" t="s">
        <v>14953</v>
      </c>
      <c r="Q2179" s="3" t="n">
        <v>43984.0</v>
      </c>
      <c r="R2179" s="3" t="n">
        <v>44392.0</v>
      </c>
      <c r="S2179" s="3" t="n">
        <v>44392.26475994213</v>
      </c>
      <c r="T2179" s="3" t="n">
        <v>44398.49070797454</v>
      </c>
      <c r="U2179" t="s">
        <v>14954</v>
      </c>
      <c r="V2179" t="s">
        <v>14955</v>
      </c>
    </row>
    <row r="2180">
      <c r="A2180" t="s">
        <v>22</v>
      </c>
      <c r="B2180" t="s">
        <v>14956</v>
      </c>
      <c r="C2180" t="s">
        <v>24</v>
      </c>
      <c r="D2180" t="s">
        <v>51</v>
      </c>
      <c r="E2180" t="s">
        <v>14957</v>
      </c>
      <c r="F2180" s="2" t="n">
        <f>HYPERLINK("https://patents.google.com/patent/US20210215610","Google")</f>
        <v>0.0</v>
      </c>
      <c r="G2180" s="2" t="n">
        <f>HYPERLINK("https://patentcenter.uspto.gov/applications/17146301","Patent Center")</f>
        <v>0.0</v>
      </c>
      <c r="H2180" s="2" t="n">
        <f>HYPERLINK("https://worldwide.espacenet.com/patent/search?q=US20210215610","Espacenet")</f>
        <v>0.0</v>
      </c>
      <c r="I2180" s="2" t="n">
        <f>HYPERLINK("https://ppubs.uspto.gov/pubwebapp/external.html?q=20210215610.pn.","USPTO")</f>
        <v>0.0</v>
      </c>
      <c r="J2180" s="2" t="n">
        <f>HYPERLINK("https://image-ppubs.uspto.gov/dirsearch-public/print/downloadPdf/20210215610","USPTO PDF")</f>
        <v>0.0</v>
      </c>
      <c r="K2180" s="2" t="n">
        <f>HYPERLINK("https://sectors.patentforecast.com/pmd/US20210215610","PMD")</f>
        <v>0.0</v>
      </c>
      <c r="L2180" s="2" t="n">
        <f>HYPERLINK("https://globaldossier.uspto.gov/result/application/US/17146301/1","US20210215610")</f>
        <v>0.0</v>
      </c>
      <c r="M2180" t="s">
        <v>14958</v>
      </c>
      <c r="N2180" t="s">
        <v>14959</v>
      </c>
      <c r="O2180" t="s">
        <v>14960</v>
      </c>
      <c r="P2180" t="s">
        <v>14961</v>
      </c>
      <c r="Q2180" s="3" t="n">
        <v>44207.0</v>
      </c>
      <c r="R2180" s="3" t="n">
        <v>44392.0</v>
      </c>
      <c r="S2180" s="3" t="n">
        <v>44397.22966858796</v>
      </c>
      <c r="T2180" s="3" t="n">
        <v>44398.53712519676</v>
      </c>
      <c r="U2180" t="s">
        <v>14962</v>
      </c>
      <c r="V2180" t="s">
        <v>14963</v>
      </c>
    </row>
    <row r="2181">
      <c r="A2181" t="s">
        <v>22</v>
      </c>
      <c r="B2181" t="s">
        <v>14964</v>
      </c>
      <c r="C2181" t="s">
        <v>24</v>
      </c>
      <c r="D2181" t="s">
        <v>34</v>
      </c>
      <c r="E2181" t="s">
        <v>14965</v>
      </c>
      <c r="F2181" s="2" t="n">
        <f>HYPERLINK("https://patents.google.com/patent/US20210214809","Google")</f>
        <v>0.0</v>
      </c>
      <c r="G2181" s="2" t="n">
        <f>HYPERLINK("https://patentcenter.uspto.gov/applications/17019205","Patent Center")</f>
        <v>0.0</v>
      </c>
      <c r="H2181" s="2" t="n">
        <f>HYPERLINK("https://worldwide.espacenet.com/patent/search?q=US20210214809","Espacenet")</f>
        <v>0.0</v>
      </c>
      <c r="I2181" s="2" t="n">
        <f>HYPERLINK("https://ppubs.uspto.gov/pubwebapp/external.html?q=20210214809.pn.","USPTO")</f>
        <v>0.0</v>
      </c>
      <c r="J2181" s="2" t="n">
        <f>HYPERLINK("https://image-ppubs.uspto.gov/dirsearch-public/print/downloadPdf/20210214809","USPTO PDF")</f>
        <v>0.0</v>
      </c>
      <c r="K2181" s="2" t="n">
        <f>HYPERLINK("https://sectors.patentforecast.com/pmd/US20210214809","PMD")</f>
        <v>0.0</v>
      </c>
      <c r="L2181" s="2" t="n">
        <f>HYPERLINK("https://globaldossier.uspto.gov/result/application/US/17019205/1","US20210214809")</f>
        <v>0.0</v>
      </c>
      <c r="M2181" t="s">
        <v>14966</v>
      </c>
      <c r="N2181" t="s">
        <v>14967</v>
      </c>
      <c r="O2181" t="s">
        <v>14967</v>
      </c>
      <c r="P2181" t="s">
        <v>14968</v>
      </c>
      <c r="Q2181" s="3" t="n">
        <v>44086.0</v>
      </c>
      <c r="R2181" s="3" t="n">
        <v>44392.0</v>
      </c>
      <c r="S2181" s="3" t="n">
        <v>44392.265222835646</v>
      </c>
      <c r="T2181" s="3" t="n">
        <v>44398.49228578704</v>
      </c>
      <c r="U2181" t="s">
        <v>5807</v>
      </c>
      <c r="V2181" t="s">
        <v>14969</v>
      </c>
    </row>
    <row r="2182">
      <c r="A2182" t="s">
        <v>22</v>
      </c>
      <c r="B2182" t="s">
        <v>14970</v>
      </c>
      <c r="C2182" t="s">
        <v>24</v>
      </c>
      <c r="D2182" t="s">
        <v>100</v>
      </c>
      <c r="E2182" t="s">
        <v>14971</v>
      </c>
      <c r="F2182" s="2" t="n">
        <f>HYPERLINK("https://patents.google.com/patent/US20210213154","Google")</f>
        <v>0.0</v>
      </c>
      <c r="G2182" s="2" t="n">
        <f>HYPERLINK("https://patentcenter.uspto.gov/applications/17214837","Patent Center")</f>
        <v>0.0</v>
      </c>
      <c r="H2182" s="2" t="n">
        <f>HYPERLINK("https://worldwide.espacenet.com/patent/search?q=US20210213154","Espacenet")</f>
        <v>0.0</v>
      </c>
      <c r="I2182" s="2" t="n">
        <f>HYPERLINK("https://ppubs.uspto.gov/pubwebapp/external.html?q=20210213154.pn.","USPTO")</f>
        <v>0.0</v>
      </c>
      <c r="J2182" s="2" t="n">
        <f>HYPERLINK("https://image-ppubs.uspto.gov/dirsearch-public/print/downloadPdf/20210213154","USPTO PDF")</f>
        <v>0.0</v>
      </c>
      <c r="K2182" s="2" t="n">
        <f>HYPERLINK("https://sectors.patentforecast.com/pmd/US20210213154","PMD")</f>
        <v>0.0</v>
      </c>
      <c r="L2182" s="2" t="n">
        <f>HYPERLINK("https://globaldossier.uspto.gov/result/application/US/17214837/1","US20210213154")</f>
        <v>0.0</v>
      </c>
      <c r="M2182" t="s">
        <v>14972</v>
      </c>
      <c r="N2182" t="s">
        <v>14973</v>
      </c>
      <c r="O2182" t="s">
        <v>14973</v>
      </c>
      <c r="P2182" t="s">
        <v>14974</v>
      </c>
      <c r="Q2182" s="3" t="n">
        <v>44282.0</v>
      </c>
      <c r="R2182" s="3" t="n">
        <v>44392.0</v>
      </c>
      <c r="S2182" s="3" t="n">
        <v>44397.22966858796</v>
      </c>
      <c r="T2182" s="3" t="n">
        <v>44398.53937039352</v>
      </c>
      <c r="U2182" t="s">
        <v>14975</v>
      </c>
      <c r="V2182" t="s">
        <v>14976</v>
      </c>
    </row>
    <row r="2183">
      <c r="A2183" t="s">
        <v>22</v>
      </c>
      <c r="B2183" t="s">
        <v>14977</v>
      </c>
      <c r="C2183" t="s">
        <v>132</v>
      </c>
      <c r="D2183" t="s">
        <v>11423</v>
      </c>
      <c r="E2183" t="s">
        <v>14978</v>
      </c>
      <c r="F2183" s="2" t="n">
        <f>HYPERLINK("https://patents.google.com/patent/US20210213129","Google")</f>
        <v>0.0</v>
      </c>
      <c r="G2183" s="2" t="n">
        <f>HYPERLINK("https://patentcenter.uspto.gov/applications/17216819","Patent Center")</f>
        <v>0.0</v>
      </c>
      <c r="H2183" s="2" t="n">
        <f>HYPERLINK("https://worldwide.espacenet.com/patent/search?q=US20210213129","Espacenet")</f>
        <v>0.0</v>
      </c>
      <c r="I2183" s="2" t="n">
        <f>HYPERLINK("https://ppubs.uspto.gov/pubwebapp/external.html?q=20210213129.pn.","USPTO")</f>
        <v>0.0</v>
      </c>
      <c r="J2183" s="2" t="n">
        <f>HYPERLINK("https://image-ppubs.uspto.gov/dirsearch-public/print/downloadPdf/20210213129","USPTO PDF")</f>
        <v>0.0</v>
      </c>
      <c r="K2183" s="2" t="n">
        <f>HYPERLINK("https://sectors.patentforecast.com/pmd/US20210213129","PMD")</f>
        <v>0.0</v>
      </c>
      <c r="L2183" s="2" t="n">
        <f>HYPERLINK("https://globaldossier.uspto.gov/result/application/US/17216819/1","US20210213129")</f>
        <v>0.0</v>
      </c>
      <c r="M2183" t="s">
        <v>14979</v>
      </c>
      <c r="N2183" t="s">
        <v>14980</v>
      </c>
      <c r="O2183" t="s">
        <v>14981</v>
      </c>
      <c r="P2183" t="s">
        <v>14982</v>
      </c>
      <c r="Q2183" s="3" t="n">
        <v>44285.0</v>
      </c>
      <c r="R2183" s="3" t="n">
        <v>44392.0</v>
      </c>
      <c r="S2183" s="3" t="n">
        <v>44392.25862569444</v>
      </c>
      <c r="T2183" s="3" t="n">
        <v>44398.49211612269</v>
      </c>
      <c r="U2183" t="s">
        <v>14983</v>
      </c>
      <c r="V2183" t="s">
        <v>14984</v>
      </c>
    </row>
    <row r="2184">
      <c r="A2184" t="s">
        <v>22</v>
      </c>
      <c r="B2184" t="s">
        <v>14985</v>
      </c>
      <c r="C2184" t="s">
        <v>24</v>
      </c>
      <c r="D2184" t="s">
        <v>51</v>
      </c>
      <c r="E2184" t="s">
        <v>14986</v>
      </c>
      <c r="F2184" s="2" t="n">
        <f>HYPERLINK("https://patents.google.com/patent/US20210208062","Google")</f>
        <v>0.0</v>
      </c>
      <c r="G2184" s="2" t="n">
        <f>HYPERLINK("https://patentcenter.uspto.gov/applications/17190777","Patent Center")</f>
        <v>0.0</v>
      </c>
      <c r="H2184" s="2" t="n">
        <f>HYPERLINK("https://worldwide.espacenet.com/patent/search?q=US20210208062","Espacenet")</f>
        <v>0.0</v>
      </c>
      <c r="I2184" s="2" t="n">
        <f>HYPERLINK("https://ppubs.uspto.gov/pubwebapp/external.html?q=20210208062.pn.","USPTO")</f>
        <v>0.0</v>
      </c>
      <c r="J2184" s="2" t="n">
        <f>HYPERLINK("https://image-ppubs.uspto.gov/dirsearch-public/print/downloadPdf/20210208062","USPTO PDF")</f>
        <v>0.0</v>
      </c>
      <c r="K2184" s="2" t="n">
        <f>HYPERLINK("https://sectors.patentforecast.com/pmd/US20210208062","PMD")</f>
        <v>0.0</v>
      </c>
      <c r="L2184" s="2" t="n">
        <f>HYPERLINK("https://globaldossier.uspto.gov/result/application/US/17190777/1","US20210208062")</f>
        <v>0.0</v>
      </c>
      <c r="M2184" t="s">
        <v>14987</v>
      </c>
      <c r="N2184" t="s">
        <v>14988</v>
      </c>
      <c r="O2184" t="s">
        <v>14989</v>
      </c>
      <c r="P2184" t="s">
        <v>14990</v>
      </c>
      <c r="Q2184" s="3" t="n">
        <v>44258.0</v>
      </c>
      <c r="R2184" s="3" t="n">
        <v>44385.0</v>
      </c>
      <c r="S2184" s="3" t="n">
        <v>44385.229752430554</v>
      </c>
      <c r="T2184" s="3" t="n">
        <v>44385.51655851852</v>
      </c>
      <c r="U2184" t="s">
        <v>14991</v>
      </c>
      <c r="V2184" t="s">
        <v>14992</v>
      </c>
    </row>
    <row r="2185">
      <c r="A2185" t="s">
        <v>22</v>
      </c>
      <c r="B2185" t="s">
        <v>14993</v>
      </c>
      <c r="C2185" t="s">
        <v>132</v>
      </c>
      <c r="D2185" t="s">
        <v>1265</v>
      </c>
      <c r="E2185" t="s">
        <v>14994</v>
      </c>
      <c r="F2185" s="2" t="n">
        <f>HYPERLINK("https://patents.google.com/patent/US20210205438","Google")</f>
        <v>0.0</v>
      </c>
      <c r="G2185" s="2" t="n">
        <f>HYPERLINK("https://patentcenter.uspto.gov/applications/17151840","Patent Center")</f>
        <v>0.0</v>
      </c>
      <c r="H2185" s="2" t="n">
        <f>HYPERLINK("https://worldwide.espacenet.com/patent/search?q=US20210205438","Espacenet")</f>
        <v>0.0</v>
      </c>
      <c r="I2185" s="2" t="n">
        <f>HYPERLINK("https://ppubs.uspto.gov/pubwebapp/external.html?q=20210205438.pn.","USPTO")</f>
        <v>0.0</v>
      </c>
      <c r="J2185" s="2" t="n">
        <f>HYPERLINK("https://image-ppubs.uspto.gov/dirsearch-public/print/downloadPdf/20210205438","USPTO PDF")</f>
        <v>0.0</v>
      </c>
      <c r="K2185" s="2" t="n">
        <f>HYPERLINK("https://sectors.patentforecast.com/pmd/US20210205438","PMD")</f>
        <v>0.0</v>
      </c>
      <c r="L2185" s="2" t="n">
        <f>HYPERLINK("https://globaldossier.uspto.gov/result/application/US/17151840/1","US20210205438")</f>
        <v>0.0</v>
      </c>
      <c r="M2185" t="s">
        <v>14995</v>
      </c>
      <c r="N2185" t="s">
        <v>14996</v>
      </c>
      <c r="O2185" t="s">
        <v>14997</v>
      </c>
      <c r="P2185" t="s">
        <v>14998</v>
      </c>
      <c r="Q2185" s="3" t="n">
        <v>44215.0</v>
      </c>
      <c r="R2185" s="3" t="n">
        <v>44385.0</v>
      </c>
      <c r="S2185" s="3" t="n">
        <v>44385.23287127315</v>
      </c>
      <c r="T2185" s="3" t="n">
        <v>44385.51556105324</v>
      </c>
      <c r="U2185" t="s">
        <v>14999</v>
      </c>
      <c r="V2185" t="s">
        <v>15000</v>
      </c>
    </row>
    <row r="2186">
      <c r="A2186" t="s">
        <v>22</v>
      </c>
      <c r="B2186" t="s">
        <v>15001</v>
      </c>
      <c r="C2186" t="s">
        <v>60</v>
      </c>
      <c r="D2186" t="s">
        <v>715</v>
      </c>
      <c r="E2186" t="s">
        <v>15002</v>
      </c>
      <c r="F2186" s="2" t="n">
        <f>HYPERLINK("https://patents.google.com/patent/US20210205325","Google")</f>
        <v>0.0</v>
      </c>
      <c r="G2186" s="2" t="n">
        <f>HYPERLINK("https://patentcenter.uspto.gov/applications/17210899","Patent Center")</f>
        <v>0.0</v>
      </c>
      <c r="H2186" s="2" t="n">
        <f>HYPERLINK("https://worldwide.espacenet.com/patent/search?q=US20210205325","Espacenet")</f>
        <v>0.0</v>
      </c>
      <c r="I2186" s="2" t="n">
        <f>HYPERLINK("https://ppubs.uspto.gov/pubwebapp/external.html?q=20210205325.pn.","USPTO")</f>
        <v>0.0</v>
      </c>
      <c r="J2186" s="2" t="n">
        <f>HYPERLINK("https://image-ppubs.uspto.gov/dirsearch-public/print/downloadPdf/20210205325","USPTO PDF")</f>
        <v>0.0</v>
      </c>
      <c r="K2186" s="2" t="n">
        <f>HYPERLINK("https://sectors.patentforecast.com/pmd/US20210205325","PMD")</f>
        <v>0.0</v>
      </c>
      <c r="L2186" s="2" t="n">
        <f>HYPERLINK("https://globaldossier.uspto.gov/result/application/US/17210899/1","US20210205325")</f>
        <v>0.0</v>
      </c>
      <c r="M2186" t="s">
        <v>15003</v>
      </c>
      <c r="N2186" t="s">
        <v>15004</v>
      </c>
      <c r="O2186" t="s">
        <v>15005</v>
      </c>
      <c r="P2186" t="s">
        <v>15006</v>
      </c>
      <c r="Q2186" s="3" t="n">
        <v>44279.0</v>
      </c>
      <c r="R2186" s="3" t="n">
        <v>44385.0</v>
      </c>
      <c r="S2186" s="3" t="n">
        <v>44385.229752430554</v>
      </c>
      <c r="T2186" s="3" t="n">
        <v>44385.51539287037</v>
      </c>
      <c r="U2186" t="s">
        <v>15007</v>
      </c>
      <c r="V2186" t="s">
        <v>15008</v>
      </c>
    </row>
    <row r="2187">
      <c r="A2187" t="s">
        <v>22</v>
      </c>
      <c r="B2187" t="s">
        <v>15009</v>
      </c>
      <c r="C2187" t="s">
        <v>312</v>
      </c>
      <c r="D2187" t="s">
        <v>976</v>
      </c>
      <c r="E2187" t="s">
        <v>15010</v>
      </c>
      <c r="F2187" s="2" t="n">
        <f>HYPERLINK("https://patents.google.com/patent/US20210204886","Google")</f>
        <v>0.0</v>
      </c>
      <c r="G2187" s="2" t="n">
        <f>HYPERLINK("https://patentcenter.uspto.gov/applications/17188789","Patent Center")</f>
        <v>0.0</v>
      </c>
      <c r="H2187" s="2" t="n">
        <f>HYPERLINK("https://worldwide.espacenet.com/patent/search?q=US20210204886","Espacenet")</f>
        <v>0.0</v>
      </c>
      <c r="I2187" s="2" t="n">
        <f>HYPERLINK("https://ppubs.uspto.gov/pubwebapp/external.html?q=20210204886.pn.","USPTO")</f>
        <v>0.0</v>
      </c>
      <c r="J2187" s="2" t="n">
        <f>HYPERLINK("https://image-ppubs.uspto.gov/dirsearch-public/print/downloadPdf/20210204886","USPTO PDF")</f>
        <v>0.0</v>
      </c>
      <c r="K2187" s="2" t="n">
        <f>HYPERLINK("https://sectors.patentforecast.com/pmd/US20210204886","PMD")</f>
        <v>0.0</v>
      </c>
      <c r="L2187" s="2" t="n">
        <f>HYPERLINK("https://globaldossier.uspto.gov/result/application/US/17188789/1","US20210204886")</f>
        <v>0.0</v>
      </c>
      <c r="M2187" t="s">
        <v>15011</v>
      </c>
      <c r="N2187" t="s">
        <v>14505</v>
      </c>
      <c r="O2187" t="s">
        <v>14506</v>
      </c>
      <c r="P2187" t="s">
        <v>15012</v>
      </c>
      <c r="Q2187" s="3" t="n">
        <v>44256.0</v>
      </c>
      <c r="R2187" s="3" t="n">
        <v>44385.0</v>
      </c>
      <c r="S2187" s="3" t="n">
        <v>44385.229752430554</v>
      </c>
      <c r="T2187" s="3" t="n">
        <v>44385.512190520836</v>
      </c>
      <c r="U2187" t="s">
        <v>15013</v>
      </c>
      <c r="V2187" t="s">
        <v>15014</v>
      </c>
    </row>
    <row r="2188">
      <c r="A2188" t="s">
        <v>22</v>
      </c>
      <c r="B2188" t="s">
        <v>15015</v>
      </c>
      <c r="C2188" t="s">
        <v>24</v>
      </c>
      <c r="D2188" t="s">
        <v>34</v>
      </c>
      <c r="E2188" t="s">
        <v>15016</v>
      </c>
      <c r="F2188" s="2" t="n">
        <f>HYPERLINK("https://patents.google.com/patent/US20210204872","Google")</f>
        <v>0.0</v>
      </c>
      <c r="G2188" s="2" t="n">
        <f>HYPERLINK("https://patentcenter.uspto.gov/applications/17210889","Patent Center")</f>
        <v>0.0</v>
      </c>
      <c r="H2188" s="2" t="n">
        <f>HYPERLINK("https://worldwide.espacenet.com/patent/search?q=US20210204872","Espacenet")</f>
        <v>0.0</v>
      </c>
      <c r="I2188" s="2" t="n">
        <f>HYPERLINK("https://ppubs.uspto.gov/pubwebapp/external.html?q=20210204872.pn.","USPTO")</f>
        <v>0.0</v>
      </c>
      <c r="J2188" s="2" t="n">
        <f>HYPERLINK("https://image-ppubs.uspto.gov/dirsearch-public/print/downloadPdf/20210204872","USPTO PDF")</f>
        <v>0.0</v>
      </c>
      <c r="K2188" s="2" t="n">
        <f>HYPERLINK("https://sectors.patentforecast.com/pmd/US20210204872","PMD")</f>
        <v>0.0</v>
      </c>
      <c r="L2188" s="2" t="n">
        <f>HYPERLINK("https://globaldossier.uspto.gov/result/application/US/17210889/1","US20210204872")</f>
        <v>0.0</v>
      </c>
      <c r="M2188" t="s">
        <v>15017</v>
      </c>
      <c r="N2188" t="s">
        <v>15004</v>
      </c>
      <c r="O2188" t="s">
        <v>15005</v>
      </c>
      <c r="P2188" t="s">
        <v>15006</v>
      </c>
      <c r="Q2188" s="3" t="n">
        <v>44279.0</v>
      </c>
      <c r="R2188" s="3" t="n">
        <v>44385.0</v>
      </c>
      <c r="S2188" s="3" t="n">
        <v>44385.229752430554</v>
      </c>
      <c r="T2188" s="3" t="n">
        <v>44385.516733020835</v>
      </c>
      <c r="U2188" t="s">
        <v>15018</v>
      </c>
      <c r="V2188" t="s">
        <v>15019</v>
      </c>
    </row>
    <row r="2189">
      <c r="A2189" t="s">
        <v>22</v>
      </c>
      <c r="B2189" t="s">
        <v>15020</v>
      </c>
      <c r="C2189" t="s">
        <v>24</v>
      </c>
      <c r="D2189" t="s">
        <v>69</v>
      </c>
      <c r="E2189" t="s">
        <v>15021</v>
      </c>
      <c r="F2189" s="2" t="n">
        <f>HYPERLINK("https://patents.google.com/patent/US20210196992","Google")</f>
        <v>0.0</v>
      </c>
      <c r="G2189" s="2" t="n">
        <f>HYPERLINK("https://patentcenter.uspto.gov/applications/17092365","Patent Center")</f>
        <v>0.0</v>
      </c>
      <c r="H2189" s="2" t="n">
        <f>HYPERLINK("https://worldwide.espacenet.com/patent/search?q=US20210196992","Espacenet")</f>
        <v>0.0</v>
      </c>
      <c r="I2189" s="2" t="n">
        <f>HYPERLINK("https://ppubs.uspto.gov/pubwebapp/external.html?q=20210196992.pn.","USPTO")</f>
        <v>0.0</v>
      </c>
      <c r="J2189" s="2" t="n">
        <f>HYPERLINK("https://image-ppubs.uspto.gov/dirsearch-public/print/downloadPdf/20210196992","USPTO PDF")</f>
        <v>0.0</v>
      </c>
      <c r="K2189" s="2" t="n">
        <f>HYPERLINK("https://sectors.patentforecast.com/pmd/US20210196992","PMD")</f>
        <v>0.0</v>
      </c>
      <c r="L2189" s="2" t="n">
        <f>HYPERLINK("https://globaldossier.uspto.gov/result/application/US/17092365/1","US20210196992")</f>
        <v>0.0</v>
      </c>
      <c r="M2189" t="s">
        <v>15022</v>
      </c>
      <c r="N2189" t="s">
        <v>15023</v>
      </c>
      <c r="O2189" t="s">
        <v>15024</v>
      </c>
      <c r="P2189" t="s">
        <v>15025</v>
      </c>
      <c r="Q2189" s="3" t="n">
        <v>44144.0</v>
      </c>
      <c r="R2189" s="3" t="n">
        <v>44378.0</v>
      </c>
      <c r="S2189" s="3" t="n">
        <v>44378.22986929398</v>
      </c>
      <c r="T2189" s="3" t="n">
        <v>44385.360929270835</v>
      </c>
      <c r="U2189" t="s">
        <v>15026</v>
      </c>
      <c r="V2189" t="s">
        <v>15027</v>
      </c>
    </row>
    <row r="2190">
      <c r="A2190" t="s">
        <v>22</v>
      </c>
      <c r="B2190" t="s">
        <v>15028</v>
      </c>
      <c r="C2190" t="s">
        <v>132</v>
      </c>
      <c r="D2190" t="s">
        <v>11423</v>
      </c>
      <c r="E2190" t="s">
        <v>15029</v>
      </c>
      <c r="F2190" s="2" t="n">
        <f>HYPERLINK("https://patents.google.com/patent/US20210196818","Google")</f>
        <v>0.0</v>
      </c>
      <c r="G2190" s="2" t="n">
        <f>HYPERLINK("https://patentcenter.uspto.gov/applications/17188648","Patent Center")</f>
        <v>0.0</v>
      </c>
      <c r="H2190" s="2" t="n">
        <f>HYPERLINK("https://worldwide.espacenet.com/patent/search?q=US20210196818","Espacenet")</f>
        <v>0.0</v>
      </c>
      <c r="I2190" s="2" t="n">
        <f>HYPERLINK("https://ppubs.uspto.gov/pubwebapp/external.html?q=20210196818.pn.","USPTO")</f>
        <v>0.0</v>
      </c>
      <c r="J2190" s="2" t="n">
        <f>HYPERLINK("https://image-ppubs.uspto.gov/dirsearch-public/print/downloadPdf/20210196818","USPTO PDF")</f>
        <v>0.0</v>
      </c>
      <c r="K2190" s="2" t="n">
        <f>HYPERLINK("https://sectors.patentforecast.com/pmd/US20210196818","PMD")</f>
        <v>0.0</v>
      </c>
      <c r="L2190" s="2" t="n">
        <f>HYPERLINK("https://globaldossier.uspto.gov/result/application/US/17188648/1","US20210196818")</f>
        <v>0.0</v>
      </c>
      <c r="M2190" t="s">
        <v>15030</v>
      </c>
      <c r="N2190" t="s">
        <v>10151</v>
      </c>
      <c r="O2190" t="s">
        <v>10152</v>
      </c>
      <c r="P2190" t="s">
        <v>15031</v>
      </c>
      <c r="Q2190" s="3" t="n">
        <v>44256.0</v>
      </c>
      <c r="R2190" s="3" t="n">
        <v>44378.0</v>
      </c>
      <c r="S2190" s="3" t="n">
        <v>44378.23171554398</v>
      </c>
      <c r="T2190" s="3" t="n">
        <v>44385.36323446759</v>
      </c>
      <c r="U2190" t="s">
        <v>15032</v>
      </c>
      <c r="V2190" t="s">
        <v>15033</v>
      </c>
    </row>
    <row r="2191">
      <c r="A2191" t="s">
        <v>22</v>
      </c>
      <c r="B2191" t="s">
        <v>15034</v>
      </c>
      <c r="C2191" t="s">
        <v>60</v>
      </c>
      <c r="D2191" t="s">
        <v>61</v>
      </c>
      <c r="E2191" t="s">
        <v>15035</v>
      </c>
      <c r="F2191" s="2" t="n">
        <f>HYPERLINK("https://patents.google.com/patent/US20210196746","Google")</f>
        <v>0.0</v>
      </c>
      <c r="G2191" s="2" t="n">
        <f>HYPERLINK("https://patentcenter.uspto.gov/applications/16911290","Patent Center")</f>
        <v>0.0</v>
      </c>
      <c r="H2191" s="2" t="n">
        <f>HYPERLINK("https://worldwide.espacenet.com/patent/search?q=US20210196746","Espacenet")</f>
        <v>0.0</v>
      </c>
      <c r="I2191" s="2" t="n">
        <f>HYPERLINK("https://ppubs.uspto.gov/pubwebapp/external.html?q=20210196746.pn.","USPTO")</f>
        <v>0.0</v>
      </c>
      <c r="J2191" s="2" t="n">
        <f>HYPERLINK("https://image-ppubs.uspto.gov/dirsearch-public/print/downloadPdf/20210196746","USPTO PDF")</f>
        <v>0.0</v>
      </c>
      <c r="K2191" s="2" t="n">
        <f>HYPERLINK("https://sectors.patentforecast.com/pmd/US20210196746","PMD")</f>
        <v>0.0</v>
      </c>
      <c r="L2191" s="2" t="n">
        <f>HYPERLINK("https://globaldossier.uspto.gov/result/application/US/16911290/1","US20210196746")</f>
        <v>0.0</v>
      </c>
      <c r="M2191" t="s">
        <v>15036</v>
      </c>
      <c r="N2191" t="s">
        <v>2279</v>
      </c>
      <c r="O2191" t="s">
        <v>2279</v>
      </c>
      <c r="P2191" t="s">
        <v>2280</v>
      </c>
      <c r="Q2191" s="3" t="n">
        <v>44006.0</v>
      </c>
      <c r="R2191" s="3" t="n">
        <v>44378.0</v>
      </c>
      <c r="S2191" s="3" t="n">
        <v>44378.22951787037</v>
      </c>
      <c r="T2191" s="3" t="n">
        <v>44385.36253849537</v>
      </c>
      <c r="U2191" t="s">
        <v>15037</v>
      </c>
      <c r="V2191" t="s">
        <v>15038</v>
      </c>
    </row>
    <row r="2192">
      <c r="A2192" t="s">
        <v>22</v>
      </c>
      <c r="B2192" t="s">
        <v>15039</v>
      </c>
      <c r="C2192" t="s">
        <v>60</v>
      </c>
      <c r="D2192" t="s">
        <v>2262</v>
      </c>
      <c r="E2192" t="s">
        <v>15040</v>
      </c>
      <c r="F2192" s="2" t="n">
        <f>HYPERLINK("https://patents.google.com/patent/US20210196673","Google")</f>
        <v>0.0</v>
      </c>
      <c r="G2192" s="2" t="n">
        <f>HYPERLINK("https://patentcenter.uspto.gov/applications/17182425","Patent Center")</f>
        <v>0.0</v>
      </c>
      <c r="H2192" s="2" t="n">
        <f>HYPERLINK("https://worldwide.espacenet.com/patent/search?q=US20210196673","Espacenet")</f>
        <v>0.0</v>
      </c>
      <c r="I2192" s="2" t="n">
        <f>HYPERLINK("https://ppubs.uspto.gov/pubwebapp/external.html?q=20210196673.pn.","USPTO")</f>
        <v>0.0</v>
      </c>
      <c r="J2192" s="2" t="n">
        <f>HYPERLINK("https://image-ppubs.uspto.gov/dirsearch-public/print/downloadPdf/20210196673","USPTO PDF")</f>
        <v>0.0</v>
      </c>
      <c r="K2192" s="2" t="n">
        <f>HYPERLINK("https://sectors.patentforecast.com/pmd/US20210196673","PMD")</f>
        <v>0.0</v>
      </c>
      <c r="L2192" s="2" t="n">
        <f>HYPERLINK("https://globaldossier.uspto.gov/result/application/US/17182425/1","US20210196673")</f>
        <v>0.0</v>
      </c>
      <c r="M2192" t="s">
        <v>15041</v>
      </c>
      <c r="N2192" t="s">
        <v>15042</v>
      </c>
      <c r="O2192" t="s">
        <v>15042</v>
      </c>
      <c r="P2192" t="s">
        <v>15043</v>
      </c>
      <c r="Q2192" s="3" t="n">
        <v>44250.0</v>
      </c>
      <c r="R2192" s="3" t="n">
        <v>44378.0</v>
      </c>
      <c r="S2192" s="3" t="n">
        <v>44378.22951787037</v>
      </c>
      <c r="T2192" s="3" t="n">
        <v>44385.364788217594</v>
      </c>
      <c r="U2192" t="s">
        <v>15044</v>
      </c>
      <c r="V2192" t="s">
        <v>15045</v>
      </c>
    </row>
    <row r="2193">
      <c r="A2193" t="s">
        <v>22</v>
      </c>
      <c r="B2193" t="s">
        <v>15046</v>
      </c>
      <c r="C2193" t="s">
        <v>60</v>
      </c>
      <c r="D2193" t="s">
        <v>61</v>
      </c>
      <c r="E2193" t="s">
        <v>15035</v>
      </c>
      <c r="F2193" s="2" t="n">
        <f>HYPERLINK("https://patents.google.com/patent/US20210196645","Google")</f>
        <v>0.0</v>
      </c>
      <c r="G2193" s="2" t="n">
        <f>HYPERLINK("https://patentcenter.uspto.gov/applications/16911300","Patent Center")</f>
        <v>0.0</v>
      </c>
      <c r="H2193" s="2" t="n">
        <f>HYPERLINK("https://worldwide.espacenet.com/patent/search?q=US20210196645","Espacenet")</f>
        <v>0.0</v>
      </c>
      <c r="I2193" s="2" t="n">
        <f>HYPERLINK("https://ppubs.uspto.gov/pubwebapp/external.html?q=20210196645.pn.","USPTO")</f>
        <v>0.0</v>
      </c>
      <c r="J2193" s="2" t="n">
        <f>HYPERLINK("https://image-ppubs.uspto.gov/dirsearch-public/print/downloadPdf/20210196645","USPTO PDF")</f>
        <v>0.0</v>
      </c>
      <c r="K2193" s="2" t="n">
        <f>HYPERLINK("https://sectors.patentforecast.com/pmd/US20210196645","PMD")</f>
        <v>0.0</v>
      </c>
      <c r="L2193" s="2" t="n">
        <f>HYPERLINK("https://globaldossier.uspto.gov/result/application/US/16911300/1","US20210196645")</f>
        <v>0.0</v>
      </c>
      <c r="M2193" t="s">
        <v>15047</v>
      </c>
      <c r="N2193" t="s">
        <v>2279</v>
      </c>
      <c r="O2193" t="s">
        <v>2279</v>
      </c>
      <c r="P2193" t="s">
        <v>2280</v>
      </c>
      <c r="Q2193" s="3" t="n">
        <v>44006.0</v>
      </c>
      <c r="R2193" s="3" t="n">
        <v>44378.0</v>
      </c>
      <c r="S2193" s="3" t="n">
        <v>44378.22951787037</v>
      </c>
      <c r="T2193" s="3" t="n">
        <v>44385.362780613425</v>
      </c>
      <c r="U2193" t="s">
        <v>15048</v>
      </c>
      <c r="V2193" t="s">
        <v>15038</v>
      </c>
    </row>
    <row r="2194">
      <c r="A2194" t="s">
        <v>22</v>
      </c>
      <c r="B2194" t="s">
        <v>15049</v>
      </c>
      <c r="C2194" t="s">
        <v>24</v>
      </c>
      <c r="D2194" t="s">
        <v>8459</v>
      </c>
      <c r="E2194" t="s">
        <v>15050</v>
      </c>
      <c r="F2194" s="2" t="n">
        <f>HYPERLINK("https://patents.google.com/patent/US20210193330","Google")</f>
        <v>0.0</v>
      </c>
      <c r="G2194" s="2" t="n">
        <f>HYPERLINK("https://patentcenter.uspto.gov/applications/17173124","Patent Center")</f>
        <v>0.0</v>
      </c>
      <c r="H2194" s="2" t="n">
        <f>HYPERLINK("https://worldwide.espacenet.com/patent/search?q=US20210193330","Espacenet")</f>
        <v>0.0</v>
      </c>
      <c r="I2194" s="2" t="n">
        <f>HYPERLINK("https://ppubs.uspto.gov/pubwebapp/external.html?q=20210193330.pn.","USPTO")</f>
        <v>0.0</v>
      </c>
      <c r="J2194" s="2" t="n">
        <f>HYPERLINK("https://image-ppubs.uspto.gov/dirsearch-public/print/downloadPdf/20210193330","USPTO PDF")</f>
        <v>0.0</v>
      </c>
      <c r="K2194" s="2" t="n">
        <f>HYPERLINK("https://sectors.patentforecast.com/pmd/US20210193330","PMD")</f>
        <v>0.0</v>
      </c>
      <c r="L2194" s="2" t="n">
        <f>HYPERLINK("https://globaldossier.uspto.gov/result/application/US/17173124/1","US20210193330")</f>
        <v>0.0</v>
      </c>
      <c r="M2194" t="s">
        <v>15051</v>
      </c>
      <c r="N2194" t="s">
        <v>2803</v>
      </c>
      <c r="O2194" t="s">
        <v>2804</v>
      </c>
      <c r="P2194" t="s">
        <v>15052</v>
      </c>
      <c r="Q2194" s="3" t="n">
        <v>44237.0</v>
      </c>
      <c r="R2194" s="3" t="n">
        <v>44371.0</v>
      </c>
      <c r="S2194" s="3" t="n">
        <v>44371.230431412034</v>
      </c>
      <c r="T2194" s="3" t="n">
        <v>44372.61963342593</v>
      </c>
      <c r="U2194" t="s">
        <v>15053</v>
      </c>
      <c r="V2194" t="s">
        <v>15054</v>
      </c>
    </row>
    <row r="2195">
      <c r="A2195" t="s">
        <v>22</v>
      </c>
      <c r="B2195" t="s">
        <v>15055</v>
      </c>
      <c r="C2195" t="s">
        <v>312</v>
      </c>
      <c r="D2195" t="s">
        <v>976</v>
      </c>
      <c r="E2195" t="s">
        <v>15056</v>
      </c>
      <c r="F2195" s="2" t="n">
        <f>HYPERLINK("https://patents.google.com/patent/US20210193324","Google")</f>
        <v>0.0</v>
      </c>
      <c r="G2195" s="2" t="n">
        <f>HYPERLINK("https://patentcenter.uspto.gov/applications/17120587","Patent Center")</f>
        <v>0.0</v>
      </c>
      <c r="H2195" s="2" t="n">
        <f>HYPERLINK("https://worldwide.espacenet.com/patent/search?q=US20210193324","Espacenet")</f>
        <v>0.0</v>
      </c>
      <c r="I2195" s="2" t="n">
        <f>HYPERLINK("https://ppubs.uspto.gov/pubwebapp/external.html?q=20210193324.pn.","USPTO")</f>
        <v>0.0</v>
      </c>
      <c r="J2195" s="2" t="n">
        <f>HYPERLINK("https://image-ppubs.uspto.gov/dirsearch-public/print/downloadPdf/20210193324","USPTO PDF")</f>
        <v>0.0</v>
      </c>
      <c r="K2195" s="2" t="n">
        <f>HYPERLINK("https://sectors.patentforecast.com/pmd/US20210193324","PMD")</f>
        <v>0.0</v>
      </c>
      <c r="L2195" s="2" t="n">
        <f>HYPERLINK("https://globaldossier.uspto.gov/result/application/US/17120587/1","US20210193324")</f>
        <v>0.0</v>
      </c>
      <c r="M2195" t="s">
        <v>15057</v>
      </c>
      <c r="N2195" t="s">
        <v>9610</v>
      </c>
      <c r="O2195" t="s">
        <v>9611</v>
      </c>
      <c r="P2195" t="s">
        <v>15058</v>
      </c>
      <c r="Q2195" s="3" t="n">
        <v>44179.0</v>
      </c>
      <c r="R2195" s="3" t="n">
        <v>44371.0</v>
      </c>
      <c r="S2195" s="3" t="n">
        <v>44371.23437306713</v>
      </c>
      <c r="T2195" s="3" t="n">
        <v>44372.62330625</v>
      </c>
      <c r="U2195" t="s">
        <v>15059</v>
      </c>
      <c r="V2195" t="s">
        <v>15060</v>
      </c>
    </row>
    <row r="2196">
      <c r="A2196" t="s">
        <v>22</v>
      </c>
      <c r="B2196" t="s">
        <v>15061</v>
      </c>
      <c r="C2196" t="s">
        <v>312</v>
      </c>
      <c r="D2196" t="s">
        <v>976</v>
      </c>
      <c r="E2196" t="s">
        <v>15062</v>
      </c>
      <c r="F2196" s="2" t="n">
        <f>HYPERLINK("https://patents.google.com/patent/US20210193301","Google")</f>
        <v>0.0</v>
      </c>
      <c r="G2196" s="2" t="n">
        <f>HYPERLINK("https://patentcenter.uspto.gov/applications/17119885","Patent Center")</f>
        <v>0.0</v>
      </c>
      <c r="H2196" s="2" t="n">
        <f>HYPERLINK("https://worldwide.espacenet.com/patent/search?q=US20210193301","Espacenet")</f>
        <v>0.0</v>
      </c>
      <c r="I2196" s="2" t="n">
        <f>HYPERLINK("https://ppubs.uspto.gov/pubwebapp/external.html?q=20210193301.pn.","USPTO")</f>
        <v>0.0</v>
      </c>
      <c r="J2196" s="2" t="n">
        <f>HYPERLINK("https://image-ppubs.uspto.gov/dirsearch-public/print/downloadPdf/20210193301","USPTO PDF")</f>
        <v>0.0</v>
      </c>
      <c r="K2196" s="2" t="n">
        <f>HYPERLINK("https://sectors.patentforecast.com/pmd/US20210193301","PMD")</f>
        <v>0.0</v>
      </c>
      <c r="L2196" s="2" t="n">
        <f>HYPERLINK("https://globaldossier.uspto.gov/result/application/US/17119885/1","US20210193301")</f>
        <v>0.0</v>
      </c>
      <c r="M2196" t="s">
        <v>15063</v>
      </c>
      <c r="N2196" t="s">
        <v>15064</v>
      </c>
      <c r="O2196" t="s">
        <v>15065</v>
      </c>
      <c r="P2196" t="s">
        <v>15066</v>
      </c>
      <c r="Q2196" s="3" t="n">
        <v>44176.0</v>
      </c>
      <c r="R2196" s="3" t="n">
        <v>44371.0</v>
      </c>
      <c r="S2196" s="3" t="n">
        <v>44383.23059681713</v>
      </c>
      <c r="T2196" s="3" t="n">
        <v>44385.50913045139</v>
      </c>
      <c r="U2196" t="s">
        <v>15067</v>
      </c>
      <c r="V2196" t="s">
        <v>15068</v>
      </c>
    </row>
    <row r="2197">
      <c r="A2197" t="s">
        <v>22</v>
      </c>
      <c r="B2197" t="s">
        <v>15069</v>
      </c>
      <c r="C2197" t="s">
        <v>312</v>
      </c>
      <c r="D2197" t="s">
        <v>976</v>
      </c>
      <c r="E2197" t="s">
        <v>15062</v>
      </c>
      <c r="F2197" s="2" t="n">
        <f>HYPERLINK("https://patents.google.com/patent/US20210193300","Google")</f>
        <v>0.0</v>
      </c>
      <c r="G2197" s="2" t="n">
        <f>HYPERLINK("https://patentcenter.uspto.gov/applications/17107121","Patent Center")</f>
        <v>0.0</v>
      </c>
      <c r="H2197" s="2" t="n">
        <f>HYPERLINK("https://worldwide.espacenet.com/patent/search?q=US20210193300","Espacenet")</f>
        <v>0.0</v>
      </c>
      <c r="I2197" s="2" t="n">
        <f>HYPERLINK("https://ppubs.uspto.gov/pubwebapp/external.html?q=20210193300.pn.","USPTO")</f>
        <v>0.0</v>
      </c>
      <c r="J2197" s="2" t="n">
        <f>HYPERLINK("https://image-ppubs.uspto.gov/dirsearch-public/print/downloadPdf/20210193300","USPTO PDF")</f>
        <v>0.0</v>
      </c>
      <c r="K2197" s="2" t="n">
        <f>HYPERLINK("https://sectors.patentforecast.com/pmd/US20210193300","PMD")</f>
        <v>0.0</v>
      </c>
      <c r="L2197" s="2" t="n">
        <f>HYPERLINK("https://globaldossier.uspto.gov/result/application/US/17107121/1","US20210193300")</f>
        <v>0.0</v>
      </c>
      <c r="M2197" t="s">
        <v>15070</v>
      </c>
      <c r="N2197" t="s">
        <v>15071</v>
      </c>
      <c r="O2197" t="s">
        <v>15072</v>
      </c>
      <c r="P2197" t="s">
        <v>15066</v>
      </c>
      <c r="Q2197" s="3" t="n">
        <v>44165.0</v>
      </c>
      <c r="R2197" s="3" t="n">
        <v>44371.0</v>
      </c>
      <c r="S2197" s="3" t="n">
        <v>44383.23059681713</v>
      </c>
      <c r="T2197" s="3" t="n">
        <v>44385.50915599537</v>
      </c>
      <c r="U2197" t="s">
        <v>15073</v>
      </c>
      <c r="V2197" t="s">
        <v>15068</v>
      </c>
    </row>
    <row r="2198">
      <c r="A2198" t="s">
        <v>22</v>
      </c>
      <c r="B2198" t="s">
        <v>15074</v>
      </c>
      <c r="C2198" t="s">
        <v>24</v>
      </c>
      <c r="D2198" t="s">
        <v>34</v>
      </c>
      <c r="E2198" t="s">
        <v>15075</v>
      </c>
      <c r="F2198" s="2" t="n">
        <f>HYPERLINK("https://patents.google.com/patent/US20210190797","Google")</f>
        <v>0.0</v>
      </c>
      <c r="G2198" s="2" t="n">
        <f>HYPERLINK("https://patentcenter.uspto.gov/applications/17180616","Patent Center")</f>
        <v>0.0</v>
      </c>
      <c r="H2198" s="2" t="n">
        <f>HYPERLINK("https://worldwide.espacenet.com/patent/search?q=US20210190797","Espacenet")</f>
        <v>0.0</v>
      </c>
      <c r="I2198" s="2" t="n">
        <f>HYPERLINK("https://ppubs.uspto.gov/pubwebapp/external.html?q=20210190797.pn.","USPTO")</f>
        <v>0.0</v>
      </c>
      <c r="J2198" s="2" t="n">
        <f>HYPERLINK("https://image-ppubs.uspto.gov/dirsearch-public/print/downloadPdf/20210190797","USPTO PDF")</f>
        <v>0.0</v>
      </c>
      <c r="K2198" s="2" t="n">
        <f>HYPERLINK("https://sectors.patentforecast.com/pmd/US20210190797","PMD")</f>
        <v>0.0</v>
      </c>
      <c r="L2198" s="2" t="n">
        <f>HYPERLINK("https://globaldossier.uspto.gov/result/application/US/17180616/1","US20210190797")</f>
        <v>0.0</v>
      </c>
      <c r="M2198" t="s">
        <v>15076</v>
      </c>
      <c r="N2198" t="s">
        <v>15077</v>
      </c>
      <c r="O2198" t="s">
        <v>15077</v>
      </c>
      <c r="P2198" t="s">
        <v>15078</v>
      </c>
      <c r="Q2198" s="3" t="n">
        <v>44246.0</v>
      </c>
      <c r="R2198" s="3" t="n">
        <v>44371.0</v>
      </c>
      <c r="S2198" s="3" t="n">
        <v>44371.22974056713</v>
      </c>
      <c r="T2198" s="3" t="n">
        <v>44372.61857880787</v>
      </c>
      <c r="U2198" t="s">
        <v>15079</v>
      </c>
      <c r="V2198" t="s">
        <v>15080</v>
      </c>
    </row>
    <row r="2199">
      <c r="A2199" t="s">
        <v>22</v>
      </c>
      <c r="B2199" t="s">
        <v>15081</v>
      </c>
      <c r="C2199" t="s">
        <v>24</v>
      </c>
      <c r="D2199" t="s">
        <v>100</v>
      </c>
      <c r="E2199" t="s">
        <v>15082</v>
      </c>
      <c r="F2199" s="2" t="n">
        <f>HYPERLINK("https://patents.google.com/patent/US20210190346","Google")</f>
        <v>0.0</v>
      </c>
      <c r="G2199" s="2" t="n">
        <f>HYPERLINK("https://patentcenter.uspto.gov/applications/17025358","Patent Center")</f>
        <v>0.0</v>
      </c>
      <c r="H2199" s="2" t="n">
        <f>HYPERLINK("https://worldwide.espacenet.com/patent/search?q=US20210190346","Espacenet")</f>
        <v>0.0</v>
      </c>
      <c r="I2199" s="2" t="n">
        <f>HYPERLINK("https://ppubs.uspto.gov/pubwebapp/external.html?q=20210190346.pn.","USPTO")</f>
        <v>0.0</v>
      </c>
      <c r="J2199" s="2" t="n">
        <f>HYPERLINK("https://image-ppubs.uspto.gov/dirsearch-public/print/downloadPdf/20210190346","USPTO PDF")</f>
        <v>0.0</v>
      </c>
      <c r="K2199" s="2" t="n">
        <f>HYPERLINK("https://sectors.patentforecast.com/pmd/US20210190346","PMD")</f>
        <v>0.0</v>
      </c>
      <c r="L2199" s="2" t="n">
        <f>HYPERLINK("https://globaldossier.uspto.gov/result/application/US/17025358/1","US20210190346")</f>
        <v>0.0</v>
      </c>
      <c r="M2199" t="s">
        <v>15083</v>
      </c>
      <c r="N2199" t="s">
        <v>15084</v>
      </c>
      <c r="O2199" t="s">
        <v>15085</v>
      </c>
      <c r="P2199" t="s">
        <v>15086</v>
      </c>
      <c r="Q2199" s="3" t="n">
        <v>44092.0</v>
      </c>
      <c r="R2199" s="3" t="n">
        <v>44371.0</v>
      </c>
      <c r="S2199" s="3" t="n">
        <v>44371.22974056713</v>
      </c>
      <c r="T2199" s="3" t="n">
        <v>44372.62353011574</v>
      </c>
      <c r="U2199" t="s">
        <v>15087</v>
      </c>
      <c r="V2199" t="s">
        <v>15088</v>
      </c>
    </row>
    <row r="2200">
      <c r="A2200" t="s">
        <v>22</v>
      </c>
      <c r="B2200" t="s">
        <v>15089</v>
      </c>
      <c r="C2200" t="s">
        <v>24</v>
      </c>
      <c r="D2200" t="s">
        <v>34</v>
      </c>
      <c r="E2200" t="s">
        <v>15090</v>
      </c>
      <c r="F2200" s="2" t="n">
        <f>HYPERLINK("https://patents.google.com/patent/US20210186435","Google")</f>
        <v>0.0</v>
      </c>
      <c r="G2200" s="2" t="n">
        <f>HYPERLINK("https://patentcenter.uspto.gov/applications/17192743","Patent Center")</f>
        <v>0.0</v>
      </c>
      <c r="H2200" s="2" t="n">
        <f>HYPERLINK("https://worldwide.espacenet.com/patent/search?q=US20210186435","Espacenet")</f>
        <v>0.0</v>
      </c>
      <c r="I2200" s="2" t="n">
        <f>HYPERLINK("https://ppubs.uspto.gov/pubwebapp/external.html?q=20210186435.pn.","USPTO")</f>
        <v>0.0</v>
      </c>
      <c r="J2200" s="2" t="n">
        <f>HYPERLINK("https://image-ppubs.uspto.gov/dirsearch-public/print/downloadPdf/20210186435","USPTO PDF")</f>
        <v>0.0</v>
      </c>
      <c r="K2200" s="2" t="n">
        <f>HYPERLINK("https://sectors.patentforecast.com/pmd/US20210186435","PMD")</f>
        <v>0.0</v>
      </c>
      <c r="L2200" s="2" t="n">
        <f>HYPERLINK("https://globaldossier.uspto.gov/result/application/US/17192743/1","US20210186435")</f>
        <v>0.0</v>
      </c>
      <c r="M2200" t="s">
        <v>15091</v>
      </c>
      <c r="N2200" t="s">
        <v>15092</v>
      </c>
      <c r="O2200" t="s">
        <v>15093</v>
      </c>
      <c r="P2200" t="s">
        <v>15094</v>
      </c>
      <c r="Q2200" s="3" t="n">
        <v>44259.0</v>
      </c>
      <c r="R2200" s="3" t="n">
        <v>44371.0</v>
      </c>
      <c r="S2200" s="3" t="n">
        <v>44371.22974056713</v>
      </c>
      <c r="T2200" s="3" t="n">
        <v>44372.62669383102</v>
      </c>
      <c r="U2200" t="s">
        <v>15095</v>
      </c>
      <c r="V2200" t="s">
        <v>15096</v>
      </c>
    </row>
    <row r="2201">
      <c r="A2201" t="s">
        <v>22</v>
      </c>
      <c r="B2201" t="s">
        <v>15097</v>
      </c>
      <c r="C2201" t="s">
        <v>24</v>
      </c>
      <c r="D2201" t="s">
        <v>25</v>
      </c>
      <c r="E2201" t="s">
        <v>15098</v>
      </c>
      <c r="F2201" s="2" t="n">
        <f>HYPERLINK("https://patents.google.com/patent/US20210186344","Google")</f>
        <v>0.0</v>
      </c>
      <c r="G2201" s="2" t="n">
        <f>HYPERLINK("https://patentcenter.uspto.gov/applications/17193333","Patent Center")</f>
        <v>0.0</v>
      </c>
      <c r="H2201" s="2" t="n">
        <f>HYPERLINK("https://worldwide.espacenet.com/patent/search?q=US20210186344","Espacenet")</f>
        <v>0.0</v>
      </c>
      <c r="I2201" s="2" t="n">
        <f>HYPERLINK("https://ppubs.uspto.gov/pubwebapp/external.html?q=20210186344.pn.","USPTO")</f>
        <v>0.0</v>
      </c>
      <c r="J2201" s="2" t="n">
        <f>HYPERLINK("https://image-ppubs.uspto.gov/dirsearch-public/print/downloadPdf/20210186344","USPTO PDF")</f>
        <v>0.0</v>
      </c>
      <c r="K2201" s="2" t="n">
        <f>HYPERLINK("https://sectors.patentforecast.com/pmd/US20210186344","PMD")</f>
        <v>0.0</v>
      </c>
      <c r="L2201" s="2" t="n">
        <f>HYPERLINK("https://globaldossier.uspto.gov/result/application/US/17193333/1","US20210186344")</f>
        <v>0.0</v>
      </c>
      <c r="M2201" t="s">
        <v>15099</v>
      </c>
      <c r="N2201" t="s">
        <v>15100</v>
      </c>
      <c r="O2201" t="s">
        <v>15101</v>
      </c>
      <c r="P2201" t="s">
        <v>15102</v>
      </c>
      <c r="Q2201" s="3" t="n">
        <v>44260.0</v>
      </c>
      <c r="R2201" s="3" t="n">
        <v>44371.0</v>
      </c>
      <c r="S2201" s="3" t="n">
        <v>44371.22974056713</v>
      </c>
      <c r="T2201" s="3" t="n">
        <v>44372.61903258102</v>
      </c>
      <c r="U2201" t="s">
        <v>15103</v>
      </c>
      <c r="V2201" t="s">
        <v>15104</v>
      </c>
    </row>
    <row r="2202">
      <c r="A2202" t="s">
        <v>22</v>
      </c>
      <c r="B2202" t="s">
        <v>15105</v>
      </c>
      <c r="C2202" t="s">
        <v>24</v>
      </c>
      <c r="D2202" t="s">
        <v>3193</v>
      </c>
      <c r="E2202" t="s">
        <v>15106</v>
      </c>
      <c r="F2202" s="2" t="n">
        <f>HYPERLINK("https://patents.google.com/patent/US20210183523","Google")</f>
        <v>0.0</v>
      </c>
      <c r="G2202" s="2" t="n">
        <f>HYPERLINK("https://patentcenter.uspto.gov/applications/17176152","Patent Center")</f>
        <v>0.0</v>
      </c>
      <c r="H2202" s="2" t="n">
        <f>HYPERLINK("https://worldwide.espacenet.com/patent/search?q=US20210183523","Espacenet")</f>
        <v>0.0</v>
      </c>
      <c r="I2202" s="2" t="n">
        <f>HYPERLINK("https://ppubs.uspto.gov/pubwebapp/external.html?q=20210183523.pn.","USPTO")</f>
        <v>0.0</v>
      </c>
      <c r="J2202" s="2" t="n">
        <f>HYPERLINK("https://image-ppubs.uspto.gov/dirsearch-public/print/downloadPdf/20210183523","USPTO PDF")</f>
        <v>0.0</v>
      </c>
      <c r="K2202" s="2" t="n">
        <f>HYPERLINK("https://sectors.patentforecast.com/pmd/US20210183523","PMD")</f>
        <v>0.0</v>
      </c>
      <c r="L2202" s="2" t="n">
        <f>HYPERLINK("https://globaldossier.uspto.gov/result/application/US/17176152/1","US20210183523")</f>
        <v>0.0</v>
      </c>
      <c r="M2202" t="s">
        <v>15107</v>
      </c>
      <c r="N2202" t="s">
        <v>15108</v>
      </c>
      <c r="O2202" t="s">
        <v>15108</v>
      </c>
      <c r="P2202" t="s">
        <v>15109</v>
      </c>
      <c r="Q2202" s="3" t="n">
        <v>44242.0</v>
      </c>
      <c r="R2202" s="3" t="n">
        <v>44364.0</v>
      </c>
      <c r="S2202" s="3" t="n">
        <v>44364.22950825231</v>
      </c>
      <c r="T2202" s="3" t="n">
        <v>44365.73399104166</v>
      </c>
      <c r="U2202" t="s">
        <v>15110</v>
      </c>
      <c r="V2202" t="s">
        <v>15111</v>
      </c>
    </row>
    <row r="2203">
      <c r="A2203" t="s">
        <v>22</v>
      </c>
      <c r="B2203" t="s">
        <v>15112</v>
      </c>
      <c r="C2203" t="s">
        <v>24</v>
      </c>
      <c r="D2203" t="s">
        <v>34</v>
      </c>
      <c r="E2203" t="s">
        <v>15113</v>
      </c>
      <c r="F2203" s="2" t="n">
        <f>HYPERLINK("https://patents.google.com/patent/US20210180110","Google")</f>
        <v>0.0</v>
      </c>
      <c r="G2203" s="2" t="n">
        <f>HYPERLINK("https://patentcenter.uspto.gov/applications/16912568","Patent Center")</f>
        <v>0.0</v>
      </c>
      <c r="H2203" s="2" t="n">
        <f>HYPERLINK("https://worldwide.espacenet.com/patent/search?q=US20210180110","Espacenet")</f>
        <v>0.0</v>
      </c>
      <c r="I2203" s="2" t="n">
        <f>HYPERLINK("https://ppubs.uspto.gov/pubwebapp/external.html?q=20210180110.pn.","USPTO")</f>
        <v>0.0</v>
      </c>
      <c r="J2203" s="2" t="n">
        <f>HYPERLINK("https://image-ppubs.uspto.gov/dirsearch-public/print/downloadPdf/20210180110","USPTO PDF")</f>
        <v>0.0</v>
      </c>
      <c r="K2203" s="2" t="n">
        <f>HYPERLINK("https://sectors.patentforecast.com/pmd/US20210180110","PMD")</f>
        <v>0.0</v>
      </c>
      <c r="L2203" s="2" t="n">
        <f>HYPERLINK("https://globaldossier.uspto.gov/result/application/US/16912568/1","US20210180110")</f>
        <v>0.0</v>
      </c>
      <c r="M2203" t="s">
        <v>15114</v>
      </c>
      <c r="N2203" t="s">
        <v>8314</v>
      </c>
      <c r="O2203" t="s">
        <v>8315</v>
      </c>
      <c r="P2203" t="s">
        <v>15115</v>
      </c>
      <c r="Q2203" s="3" t="n">
        <v>44007.0</v>
      </c>
      <c r="R2203" s="3" t="n">
        <v>44364.0</v>
      </c>
      <c r="S2203" s="3" t="n">
        <v>44364.229857569444</v>
      </c>
      <c r="T2203" s="3" t="n">
        <v>44365.73427965278</v>
      </c>
      <c r="U2203" t="s">
        <v>15116</v>
      </c>
      <c r="V2203" t="s">
        <v>15117</v>
      </c>
    </row>
    <row r="2204">
      <c r="A2204" t="s">
        <v>22</v>
      </c>
      <c r="B2204" t="s">
        <v>15118</v>
      </c>
      <c r="C2204" t="s">
        <v>60</v>
      </c>
      <c r="D2204" t="s">
        <v>61</v>
      </c>
      <c r="E2204" t="s">
        <v>15119</v>
      </c>
      <c r="F2204" s="2" t="n">
        <f>HYPERLINK("https://patents.google.com/patent/US20210171646","Google")</f>
        <v>0.0</v>
      </c>
      <c r="G2204" s="2" t="n">
        <f>HYPERLINK("https://patentcenter.uspto.gov/applications/17176657","Patent Center")</f>
        <v>0.0</v>
      </c>
      <c r="H2204" s="2" t="n">
        <f>HYPERLINK("https://worldwide.espacenet.com/patent/search?q=US20210171646","Espacenet")</f>
        <v>0.0</v>
      </c>
      <c r="I2204" s="2" t="n">
        <f>HYPERLINK("https://ppubs.uspto.gov/pubwebapp/external.html?q=20210171646.pn.","USPTO")</f>
        <v>0.0</v>
      </c>
      <c r="J2204" s="2" t="n">
        <f>HYPERLINK("https://image-ppubs.uspto.gov/dirsearch-public/print/downloadPdf/20210171646","USPTO PDF")</f>
        <v>0.0</v>
      </c>
      <c r="K2204" s="2" t="n">
        <f>HYPERLINK("https://sectors.patentforecast.com/pmd/US20210171646","PMD")</f>
        <v>0.0</v>
      </c>
      <c r="L2204" s="2" t="n">
        <f>HYPERLINK("https://globaldossier.uspto.gov/result/application/US/17176657/1","US20210171646")</f>
        <v>0.0</v>
      </c>
      <c r="M2204" t="s">
        <v>15120</v>
      </c>
      <c r="N2204" t="s">
        <v>9252</v>
      </c>
      <c r="O2204" t="s">
        <v>9253</v>
      </c>
      <c r="P2204" t="s">
        <v>15121</v>
      </c>
      <c r="Q2204" s="3" t="n">
        <v>44243.0</v>
      </c>
      <c r="R2204" s="3" t="n">
        <v>44357.0</v>
      </c>
      <c r="S2204" s="3" t="n">
        <v>44357.229747777776</v>
      </c>
      <c r="T2204" s="3" t="n">
        <v>44361.51451596065</v>
      </c>
      <c r="U2204" t="s">
        <v>15122</v>
      </c>
      <c r="V2204" t="s">
        <v>15123</v>
      </c>
    </row>
    <row r="2205">
      <c r="A2205" t="s">
        <v>22</v>
      </c>
      <c r="B2205" t="s">
        <v>15124</v>
      </c>
      <c r="C2205" t="s">
        <v>132</v>
      </c>
      <c r="D2205" t="s">
        <v>1265</v>
      </c>
      <c r="E2205" t="s">
        <v>15125</v>
      </c>
      <c r="F2205" s="2" t="n">
        <f>HYPERLINK("https://patents.google.com/patent/US20210170021","Google")</f>
        <v>0.0</v>
      </c>
      <c r="G2205" s="2" t="n">
        <f>HYPERLINK("https://patentcenter.uspto.gov/applications/17072136","Patent Center")</f>
        <v>0.0</v>
      </c>
      <c r="H2205" s="2" t="n">
        <f>HYPERLINK("https://worldwide.espacenet.com/patent/search?q=US20210170021","Espacenet")</f>
        <v>0.0</v>
      </c>
      <c r="I2205" s="2" t="n">
        <f>HYPERLINK("https://ppubs.uspto.gov/pubwebapp/external.html?q=20210170021.pn.","USPTO")</f>
        <v>0.0</v>
      </c>
      <c r="J2205" s="2" t="n">
        <f>HYPERLINK("https://image-ppubs.uspto.gov/dirsearch-public/print/downloadPdf/20210170021","USPTO PDF")</f>
        <v>0.0</v>
      </c>
      <c r="K2205" s="2" t="n">
        <f>HYPERLINK("https://sectors.patentforecast.com/pmd/US20210170021","PMD")</f>
        <v>0.0</v>
      </c>
      <c r="L2205" s="2" t="n">
        <f>HYPERLINK("https://globaldossier.uspto.gov/result/application/US/17072136/1","US20210170021")</f>
        <v>0.0</v>
      </c>
      <c r="M2205" t="s">
        <v>15126</v>
      </c>
      <c r="N2205" t="s">
        <v>14996</v>
      </c>
      <c r="O2205" t="s">
        <v>14997</v>
      </c>
      <c r="P2205" t="s">
        <v>15127</v>
      </c>
      <c r="Q2205" s="3" t="n">
        <v>44120.0</v>
      </c>
      <c r="R2205" s="3" t="n">
        <v>44357.0</v>
      </c>
      <c r="S2205" s="3" t="n">
        <v>44357.23253019676</v>
      </c>
      <c r="T2205" s="3" t="n">
        <v>44361.515690011576</v>
      </c>
      <c r="U2205" t="s">
        <v>15128</v>
      </c>
      <c r="V2205" t="s">
        <v>15129</v>
      </c>
    </row>
    <row r="2206">
      <c r="A2206" t="s">
        <v>22</v>
      </c>
      <c r="B2206" t="s">
        <v>15130</v>
      </c>
      <c r="C2206" t="s">
        <v>60</v>
      </c>
      <c r="D2206" t="s">
        <v>61</v>
      </c>
      <c r="E2206" t="s">
        <v>15131</v>
      </c>
      <c r="F2206" s="2" t="n">
        <f>HYPERLINK("https://patents.google.com/patent/US20210169939","Google")</f>
        <v>0.0</v>
      </c>
      <c r="G2206" s="2" t="n">
        <f>HYPERLINK("https://patentcenter.uspto.gov/applications/17109775","Patent Center")</f>
        <v>0.0</v>
      </c>
      <c r="H2206" s="2" t="n">
        <f>HYPERLINK("https://worldwide.espacenet.com/patent/search?q=US20210169939","Espacenet")</f>
        <v>0.0</v>
      </c>
      <c r="I2206" s="2" t="n">
        <f>HYPERLINK("https://ppubs.uspto.gov/pubwebapp/external.html?q=20210169939.pn.","USPTO")</f>
        <v>0.0</v>
      </c>
      <c r="J2206" s="2" t="n">
        <f>HYPERLINK("https://image-ppubs.uspto.gov/dirsearch-public/print/downloadPdf/20210169939","USPTO PDF")</f>
        <v>0.0</v>
      </c>
      <c r="K2206" s="2" t="n">
        <f>HYPERLINK("https://sectors.patentforecast.com/pmd/US20210169939","PMD")</f>
        <v>0.0</v>
      </c>
      <c r="L2206" s="2" t="n">
        <f>HYPERLINK("https://globaldossier.uspto.gov/result/application/US/17109775/1","US20210169939")</f>
        <v>0.0</v>
      </c>
      <c r="M2206" t="s">
        <v>15132</v>
      </c>
      <c r="N2206" t="s">
        <v>15133</v>
      </c>
      <c r="O2206" t="s">
        <v>15134</v>
      </c>
      <c r="P2206" t="s">
        <v>15135</v>
      </c>
      <c r="Q2206" s="3" t="n">
        <v>44167.0</v>
      </c>
      <c r="R2206" s="3" t="n">
        <v>44357.0</v>
      </c>
      <c r="S2206" s="3" t="n">
        <v>44357.229747777776</v>
      </c>
      <c r="T2206" s="3" t="n">
        <v>44361.516557511575</v>
      </c>
      <c r="U2206" t="s">
        <v>15136</v>
      </c>
      <c r="V2206" t="s">
        <v>15137</v>
      </c>
    </row>
    <row r="2207">
      <c r="A2207" t="s">
        <v>22</v>
      </c>
      <c r="B2207" t="s">
        <v>15138</v>
      </c>
      <c r="C2207" t="s">
        <v>312</v>
      </c>
      <c r="D2207" t="s">
        <v>976</v>
      </c>
      <c r="E2207" t="s">
        <v>15139</v>
      </c>
      <c r="F2207" s="2" t="n">
        <f>HYPERLINK("https://patents.google.com/patent/US20210166819","Google")</f>
        <v>0.0</v>
      </c>
      <c r="G2207" s="2" t="n">
        <f>HYPERLINK("https://patentcenter.uspto.gov/applications/17107407","Patent Center")</f>
        <v>0.0</v>
      </c>
      <c r="H2207" s="2" t="n">
        <f>HYPERLINK("https://worldwide.espacenet.com/patent/search?q=US20210166819","Espacenet")</f>
        <v>0.0</v>
      </c>
      <c r="I2207" s="2" t="n">
        <f>HYPERLINK("https://ppubs.uspto.gov/pubwebapp/external.html?q=20210166819.pn.","USPTO")</f>
        <v>0.0</v>
      </c>
      <c r="J2207" s="2" t="n">
        <f>HYPERLINK("https://image-ppubs.uspto.gov/dirsearch-public/print/downloadPdf/20210166819","USPTO PDF")</f>
        <v>0.0</v>
      </c>
      <c r="K2207" s="2" t="n">
        <f>HYPERLINK("https://sectors.patentforecast.com/pmd/US20210166819","PMD")</f>
        <v>0.0</v>
      </c>
      <c r="L2207" s="2" t="n">
        <f>HYPERLINK("https://globaldossier.uspto.gov/result/application/US/17107407/1","US20210166819")</f>
        <v>0.0</v>
      </c>
      <c r="M2207" t="s">
        <v>15140</v>
      </c>
      <c r="N2207" t="s">
        <v>11831</v>
      </c>
      <c r="O2207" t="s">
        <v>11832</v>
      </c>
      <c r="P2207" t="s">
        <v>15141</v>
      </c>
      <c r="Q2207" s="3" t="n">
        <v>44165.0</v>
      </c>
      <c r="R2207" s="3" t="n">
        <v>44350.0</v>
      </c>
      <c r="S2207" s="3" t="n">
        <v>44350.22945935185</v>
      </c>
      <c r="T2207" s="3" t="n">
        <v>44355.49351344907</v>
      </c>
      <c r="U2207" t="s">
        <v>15142</v>
      </c>
      <c r="V2207" t="s">
        <v>15143</v>
      </c>
    </row>
    <row r="2208">
      <c r="A2208" t="s">
        <v>22</v>
      </c>
      <c r="B2208" t="s">
        <v>15144</v>
      </c>
      <c r="C2208" t="s">
        <v>132</v>
      </c>
      <c r="D2208" t="s">
        <v>11423</v>
      </c>
      <c r="E2208" t="s">
        <v>15145</v>
      </c>
      <c r="F2208" s="2" t="n">
        <f>HYPERLINK("https://patents.google.com/patent/US20210162042","Google")</f>
        <v>0.0</v>
      </c>
      <c r="G2208" s="2" t="n">
        <f>HYPERLINK("https://patentcenter.uspto.gov/applications/16616999","Patent Center")</f>
        <v>0.0</v>
      </c>
      <c r="H2208" s="2" t="n">
        <f>HYPERLINK("https://worldwide.espacenet.com/patent/search?q=US20210162042","Espacenet")</f>
        <v>0.0</v>
      </c>
      <c r="I2208" s="2" t="n">
        <f>HYPERLINK("https://ppubs.uspto.gov/pubwebapp/external.html?q=20210162042.pn.","USPTO")</f>
        <v>0.0</v>
      </c>
      <c r="J2208" s="2" t="n">
        <f>HYPERLINK("https://image-ppubs.uspto.gov/dirsearch-public/print/downloadPdf/20210162042","USPTO PDF")</f>
        <v>0.0</v>
      </c>
      <c r="K2208" s="2" t="n">
        <f>HYPERLINK("https://sectors.patentforecast.com/pmd/US20210162042","PMD")</f>
        <v>0.0</v>
      </c>
      <c r="L2208" s="2" t="n">
        <f>HYPERLINK("https://globaldossier.uspto.gov/result/application/US/16616999/1","US20210162042")</f>
        <v>0.0</v>
      </c>
      <c r="M2208" t="s">
        <v>15146</v>
      </c>
      <c r="N2208" t="s">
        <v>15147</v>
      </c>
      <c r="O2208" t="s">
        <v>15148</v>
      </c>
      <c r="P2208" t="s">
        <v>15149</v>
      </c>
      <c r="Q2208" s="3" t="n">
        <v>43182.0</v>
      </c>
      <c r="R2208" s="3" t="n">
        <v>44350.0</v>
      </c>
      <c r="S2208" s="3" t="n">
        <v>44350.23316246528</v>
      </c>
      <c r="T2208" s="3" t="n">
        <v>44355.493245289355</v>
      </c>
      <c r="U2208" t="s">
        <v>15150</v>
      </c>
      <c r="V2208" t="s">
        <v>15151</v>
      </c>
    </row>
    <row r="2209">
      <c r="A2209" t="s">
        <v>22</v>
      </c>
      <c r="B2209" t="s">
        <v>15152</v>
      </c>
      <c r="C2209" t="s">
        <v>60</v>
      </c>
      <c r="D2209" t="s">
        <v>61</v>
      </c>
      <c r="E2209" t="s">
        <v>14842</v>
      </c>
      <c r="F2209" s="2" t="n">
        <f>HYPERLINK("https://patents.google.com/patent/US20210161927","Google")</f>
        <v>0.0</v>
      </c>
      <c r="G2209" s="2" t="n">
        <f>HYPERLINK("https://patentcenter.uspto.gov/applications/17145274","Patent Center")</f>
        <v>0.0</v>
      </c>
      <c r="H2209" s="2" t="n">
        <f>HYPERLINK("https://worldwide.espacenet.com/patent/search?q=US20210161927","Espacenet")</f>
        <v>0.0</v>
      </c>
      <c r="I2209" s="2" t="n">
        <f>HYPERLINK("https://ppubs.uspto.gov/pubwebapp/external.html?q=20210161927.pn.","USPTO")</f>
        <v>0.0</v>
      </c>
      <c r="J2209" s="2" t="n">
        <f>HYPERLINK("https://image-ppubs.uspto.gov/dirsearch-public/print/downloadPdf/20210161927","USPTO PDF")</f>
        <v>0.0</v>
      </c>
      <c r="K2209" s="2" t="n">
        <f>HYPERLINK("https://sectors.patentforecast.com/pmd/US20210161927","PMD")</f>
        <v>0.0</v>
      </c>
      <c r="L2209" s="2" t="n">
        <f>HYPERLINK("https://globaldossier.uspto.gov/result/application/US/17145274/1","US20210161927")</f>
        <v>0.0</v>
      </c>
      <c r="M2209" t="s">
        <v>15153</v>
      </c>
      <c r="N2209" t="s">
        <v>14844</v>
      </c>
      <c r="O2209" t="s">
        <v>14845</v>
      </c>
      <c r="P2209" t="s">
        <v>14846</v>
      </c>
      <c r="Q2209" s="3" t="n">
        <v>44204.0</v>
      </c>
      <c r="R2209" s="3" t="n">
        <v>44350.0</v>
      </c>
      <c r="S2209" s="3" t="n">
        <v>44350.22980622685</v>
      </c>
      <c r="T2209" s="3" t="n">
        <v>44355.49743373843</v>
      </c>
      <c r="U2209" t="s">
        <v>14847</v>
      </c>
      <c r="V2209" t="s">
        <v>15154</v>
      </c>
    </row>
    <row r="2210">
      <c r="A2210" t="s">
        <v>22</v>
      </c>
      <c r="B2210" t="s">
        <v>15155</v>
      </c>
      <c r="C2210" t="s">
        <v>24</v>
      </c>
      <c r="D2210" t="s">
        <v>3193</v>
      </c>
      <c r="E2210" t="s">
        <v>15156</v>
      </c>
      <c r="F2210" s="2" t="n">
        <f>HYPERLINK("https://patents.google.com/patent/US20210158973","Google")</f>
        <v>0.0</v>
      </c>
      <c r="G2210" s="2" t="n">
        <f>HYPERLINK("https://patentcenter.uspto.gov/applications/17168925","Patent Center")</f>
        <v>0.0</v>
      </c>
      <c r="H2210" s="2" t="n">
        <f>HYPERLINK("https://worldwide.espacenet.com/patent/search?q=US20210158973","Espacenet")</f>
        <v>0.0</v>
      </c>
      <c r="I2210" s="2" t="n">
        <f>HYPERLINK("https://ppubs.uspto.gov/pubwebapp/external.html?q=20210158973.pn.","USPTO")</f>
        <v>0.0</v>
      </c>
      <c r="J2210" s="2" t="n">
        <f>HYPERLINK("https://image-ppubs.uspto.gov/dirsearch-public/print/downloadPdf/20210158973","USPTO PDF")</f>
        <v>0.0</v>
      </c>
      <c r="K2210" s="2" t="n">
        <f>HYPERLINK("https://sectors.patentforecast.com/pmd/US20210158973","PMD")</f>
        <v>0.0</v>
      </c>
      <c r="L2210" s="2" t="n">
        <f>HYPERLINK("https://globaldossier.uspto.gov/result/application/US/17168925/1","US20210158973")</f>
        <v>0.0</v>
      </c>
      <c r="M2210" t="s">
        <v>15157</v>
      </c>
      <c r="N2210" t="s">
        <v>15158</v>
      </c>
      <c r="O2210" t="s">
        <v>15159</v>
      </c>
      <c r="P2210" t="s">
        <v>15160</v>
      </c>
      <c r="Q2210" s="3" t="n">
        <v>44232.0</v>
      </c>
      <c r="R2210" s="3" t="n">
        <v>44343.0</v>
      </c>
      <c r="S2210" s="3" t="n">
        <v>44371.230431412034</v>
      </c>
      <c r="T2210" s="3" t="n">
        <v>44372.62443149306</v>
      </c>
      <c r="U2210" t="s">
        <v>15161</v>
      </c>
      <c r="V2210" t="s">
        <v>15162</v>
      </c>
    </row>
    <row r="2211">
      <c r="A2211" t="s">
        <v>22</v>
      </c>
      <c r="B2211" t="s">
        <v>15163</v>
      </c>
      <c r="C2211" t="s">
        <v>24</v>
      </c>
      <c r="D2211" t="s">
        <v>1450</v>
      </c>
      <c r="E2211" t="s">
        <v>15164</v>
      </c>
      <c r="F2211" s="2" t="n">
        <f>HYPERLINK("https://patents.google.com/patent/US20210158966","Google")</f>
        <v>0.0</v>
      </c>
      <c r="G2211" s="2" t="n">
        <f>HYPERLINK("https://patentcenter.uspto.gov/applications/17045484","Patent Center")</f>
        <v>0.0</v>
      </c>
      <c r="H2211" s="2" t="n">
        <f>HYPERLINK("https://worldwide.espacenet.com/patent/search?q=US20210158966","Espacenet")</f>
        <v>0.0</v>
      </c>
      <c r="I2211" s="2" t="n">
        <f>HYPERLINK("https://ppubs.uspto.gov/pubwebapp/external.html?q=20210158966.pn.","USPTO")</f>
        <v>0.0</v>
      </c>
      <c r="J2211" s="2" t="n">
        <f>HYPERLINK("https://image-ppubs.uspto.gov/dirsearch-public/print/downloadPdf/20210158966","USPTO PDF")</f>
        <v>0.0</v>
      </c>
      <c r="K2211" s="2" t="n">
        <f>HYPERLINK("https://sectors.patentforecast.com/pmd/US20210158966","PMD")</f>
        <v>0.0</v>
      </c>
      <c r="L2211" s="2" t="n">
        <f>HYPERLINK("https://globaldossier.uspto.gov/result/application/US/17045484/1","US20210158966")</f>
        <v>0.0</v>
      </c>
      <c r="M2211" t="s">
        <v>15165</v>
      </c>
      <c r="N2211" t="s">
        <v>15166</v>
      </c>
      <c r="O2211" t="s">
        <v>15167</v>
      </c>
      <c r="P2211" t="s">
        <v>15168</v>
      </c>
      <c r="Q2211" s="3" t="n">
        <v>43493.0</v>
      </c>
      <c r="R2211" s="3" t="n">
        <v>44343.0</v>
      </c>
      <c r="S2211" s="3" t="n">
        <v>44343.2303205787</v>
      </c>
      <c r="T2211" s="3" t="n">
        <v>44348.694257337964</v>
      </c>
      <c r="U2211" t="s">
        <v>15169</v>
      </c>
      <c r="V2211" t="s">
        <v>15170</v>
      </c>
    </row>
    <row r="2212">
      <c r="A2212" t="s">
        <v>22</v>
      </c>
      <c r="B2212" t="s">
        <v>15171</v>
      </c>
      <c r="C2212" t="s">
        <v>24</v>
      </c>
      <c r="D2212" t="s">
        <v>69</v>
      </c>
      <c r="E2212" t="s">
        <v>15172</v>
      </c>
      <c r="F2212" s="2" t="n">
        <f>HYPERLINK("https://patents.google.com/patent/US20210154610","Google")</f>
        <v>0.0</v>
      </c>
      <c r="G2212" s="2" t="n">
        <f>HYPERLINK("https://patentcenter.uspto.gov/applications/17165885","Patent Center")</f>
        <v>0.0</v>
      </c>
      <c r="H2212" s="2" t="n">
        <f>HYPERLINK("https://worldwide.espacenet.com/patent/search?q=US20210154610","Espacenet")</f>
        <v>0.0</v>
      </c>
      <c r="I2212" s="2" t="n">
        <f>HYPERLINK("https://ppubs.uspto.gov/pubwebapp/external.html?q=20210154610.pn.","USPTO")</f>
        <v>0.0</v>
      </c>
      <c r="J2212" s="2" t="n">
        <f>HYPERLINK("https://image-ppubs.uspto.gov/dirsearch-public/print/downloadPdf/20210154610","USPTO PDF")</f>
        <v>0.0</v>
      </c>
      <c r="K2212" s="2" t="n">
        <f>HYPERLINK("https://sectors.patentforecast.com/pmd/US20210154610","PMD")</f>
        <v>0.0</v>
      </c>
      <c r="L2212" s="2" t="n">
        <f>HYPERLINK("https://globaldossier.uspto.gov/result/application/US/17165885/1","US20210154610")</f>
        <v>0.0</v>
      </c>
      <c r="M2212" t="s">
        <v>15173</v>
      </c>
      <c r="N2212" t="s">
        <v>15174</v>
      </c>
      <c r="O2212" t="s">
        <v>15175</v>
      </c>
      <c r="P2212" t="s">
        <v>15176</v>
      </c>
      <c r="Q2212" s="3" t="n">
        <v>44229.0</v>
      </c>
      <c r="R2212" s="3" t="n">
        <v>44343.0</v>
      </c>
      <c r="S2212" s="3" t="n">
        <v>44343.229454155095</v>
      </c>
      <c r="T2212" s="3" t="n">
        <v>44348.69219767361</v>
      </c>
      <c r="U2212" t="s">
        <v>15177</v>
      </c>
      <c r="V2212" t="s">
        <v>15178</v>
      </c>
    </row>
    <row r="2213">
      <c r="A2213" t="s">
        <v>22</v>
      </c>
      <c r="B2213" t="s">
        <v>15179</v>
      </c>
      <c r="C2213" t="s">
        <v>60</v>
      </c>
      <c r="D2213" t="s">
        <v>61</v>
      </c>
      <c r="E2213" t="s">
        <v>15180</v>
      </c>
      <c r="F2213" s="2" t="n">
        <f>HYPERLINK("https://patents.google.com/patent/US20210154205","Google")</f>
        <v>0.0</v>
      </c>
      <c r="G2213" s="2" t="n">
        <f>HYPERLINK("https://patentcenter.uspto.gov/applications/17057141","Patent Center")</f>
        <v>0.0</v>
      </c>
      <c r="H2213" s="2" t="n">
        <f>HYPERLINK("https://worldwide.espacenet.com/patent/search?q=US20210154205","Espacenet")</f>
        <v>0.0</v>
      </c>
      <c r="I2213" s="2" t="n">
        <f>HYPERLINK("https://ppubs.uspto.gov/pubwebapp/external.html?q=20210154205.pn.","USPTO")</f>
        <v>0.0</v>
      </c>
      <c r="J2213" s="2" t="n">
        <f>HYPERLINK("https://image-ppubs.uspto.gov/dirsearch-public/print/downloadPdf/20210154205","USPTO PDF")</f>
        <v>0.0</v>
      </c>
      <c r="K2213" s="2" t="n">
        <f>HYPERLINK("https://sectors.patentforecast.com/pmd/US20210154205","PMD")</f>
        <v>0.0</v>
      </c>
      <c r="L2213" s="2" t="n">
        <f>HYPERLINK("https://globaldossier.uspto.gov/result/application/US/17057141/1","US20210154205")</f>
        <v>0.0</v>
      </c>
      <c r="M2213" t="s">
        <v>15181</v>
      </c>
      <c r="N2213" t="s">
        <v>15182</v>
      </c>
      <c r="O2213" t="s">
        <v>15182</v>
      </c>
      <c r="P2213" t="s">
        <v>15183</v>
      </c>
      <c r="Q2213" s="3" t="n">
        <v>43608.0</v>
      </c>
      <c r="R2213" s="3" t="n">
        <v>44343.0</v>
      </c>
      <c r="S2213" s="3" t="n">
        <v>44343.23095803241</v>
      </c>
      <c r="T2213" s="3" t="n">
        <v>44348.694026481484</v>
      </c>
      <c r="U2213" t="s">
        <v>15184</v>
      </c>
      <c r="V2213" t="s">
        <v>15185</v>
      </c>
    </row>
    <row r="2214">
      <c r="A2214" t="s">
        <v>22</v>
      </c>
      <c r="B2214" t="s">
        <v>15186</v>
      </c>
      <c r="C2214" t="s">
        <v>24</v>
      </c>
      <c r="D2214" t="s">
        <v>25</v>
      </c>
      <c r="E2214" t="s">
        <v>15187</v>
      </c>
      <c r="F2214" s="2" t="n">
        <f>HYPERLINK("https://patents.google.com/patent/US20210153773","Google")</f>
        <v>0.0</v>
      </c>
      <c r="G2214" s="2" t="n">
        <f>HYPERLINK("https://patentcenter.uspto.gov/applications/16854641","Patent Center")</f>
        <v>0.0</v>
      </c>
      <c r="H2214" s="2" t="n">
        <f>HYPERLINK("https://worldwide.espacenet.com/patent/search?q=US20210153773","Espacenet")</f>
        <v>0.0</v>
      </c>
      <c r="I2214" s="2" t="n">
        <f>HYPERLINK("https://ppubs.uspto.gov/pubwebapp/external.html?q=20210153773.pn.","USPTO")</f>
        <v>0.0</v>
      </c>
      <c r="J2214" s="2" t="n">
        <f>HYPERLINK("https://image-ppubs.uspto.gov/dirsearch-public/print/downloadPdf/20210153773","USPTO PDF")</f>
        <v>0.0</v>
      </c>
      <c r="K2214" s="2" t="n">
        <f>HYPERLINK("https://sectors.patentforecast.com/pmd/US20210153773","PMD")</f>
        <v>0.0</v>
      </c>
      <c r="L2214" s="2" t="n">
        <f>HYPERLINK("https://globaldossier.uspto.gov/result/application/US/16854641/1","US20210153773")</f>
        <v>0.0</v>
      </c>
      <c r="M2214" t="s">
        <v>15188</v>
      </c>
      <c r="N2214" t="s">
        <v>15189</v>
      </c>
      <c r="O2214" t="s">
        <v>15190</v>
      </c>
      <c r="P2214" t="s">
        <v>15191</v>
      </c>
      <c r="Q2214" s="3" t="n">
        <v>43942.0</v>
      </c>
      <c r="R2214" s="3" t="n">
        <v>44343.0</v>
      </c>
      <c r="S2214" s="3" t="n">
        <v>44343.229803078706</v>
      </c>
      <c r="T2214" s="3" t="n">
        <v>44348.69204555556</v>
      </c>
      <c r="U2214" t="s">
        <v>15192</v>
      </c>
      <c r="V2214" t="s">
        <v>15193</v>
      </c>
    </row>
    <row r="2215">
      <c r="A2215" t="s">
        <v>22</v>
      </c>
      <c r="B2215" t="s">
        <v>15194</v>
      </c>
      <c r="C2215" t="s">
        <v>24</v>
      </c>
      <c r="D2215" t="s">
        <v>34</v>
      </c>
      <c r="E2215" t="s">
        <v>15195</v>
      </c>
      <c r="F2215" s="2" t="n">
        <f>HYPERLINK("https://patents.google.com/patent/US20210153752","Google")</f>
        <v>0.0</v>
      </c>
      <c r="G2215" s="2" t="n">
        <f>HYPERLINK("https://patentcenter.uspto.gov/applications/17102082","Patent Center")</f>
        <v>0.0</v>
      </c>
      <c r="H2215" s="2" t="n">
        <f>HYPERLINK("https://worldwide.espacenet.com/patent/search?q=US20210153752","Espacenet")</f>
        <v>0.0</v>
      </c>
      <c r="I2215" s="2" t="n">
        <f>HYPERLINK("https://ppubs.uspto.gov/pubwebapp/external.html?q=20210153752.pn.","USPTO")</f>
        <v>0.0</v>
      </c>
      <c r="J2215" s="2" t="n">
        <f>HYPERLINK("https://image-ppubs.uspto.gov/dirsearch-public/print/downloadPdf/20210153752","USPTO PDF")</f>
        <v>0.0</v>
      </c>
      <c r="K2215" s="2" t="n">
        <f>HYPERLINK("https://sectors.patentforecast.com/pmd/US20210153752","PMD")</f>
        <v>0.0</v>
      </c>
      <c r="L2215" s="2" t="n">
        <f>HYPERLINK("https://globaldossier.uspto.gov/result/application/US/17102082/1","US20210153752")</f>
        <v>0.0</v>
      </c>
      <c r="M2215" t="s">
        <v>15196</v>
      </c>
      <c r="N2215" t="s">
        <v>15197</v>
      </c>
      <c r="O2215" t="s">
        <v>15198</v>
      </c>
      <c r="P2215" t="s">
        <v>15199</v>
      </c>
      <c r="Q2215" s="3" t="n">
        <v>44158.0</v>
      </c>
      <c r="R2215" s="3" t="n">
        <v>44343.0</v>
      </c>
      <c r="S2215" s="3" t="n">
        <v>44350.23397327546</v>
      </c>
      <c r="T2215" s="3" t="n">
        <v>44355.49721957176</v>
      </c>
      <c r="U2215" t="s">
        <v>15200</v>
      </c>
      <c r="V2215" t="s">
        <v>15201</v>
      </c>
    </row>
    <row r="2216">
      <c r="A2216" t="s">
        <v>22</v>
      </c>
      <c r="B2216" t="s">
        <v>15202</v>
      </c>
      <c r="C2216" t="s">
        <v>24</v>
      </c>
      <c r="D2216" t="s">
        <v>1450</v>
      </c>
      <c r="E2216" t="s">
        <v>15203</v>
      </c>
      <c r="F2216" s="2" t="n">
        <f>HYPERLINK("https://patents.google.com/patent/US20210152910","Google")</f>
        <v>0.0</v>
      </c>
      <c r="G2216" s="2" t="n">
        <f>HYPERLINK("https://patentcenter.uspto.gov/applications/17135551","Patent Center")</f>
        <v>0.0</v>
      </c>
      <c r="H2216" s="2" t="n">
        <f>HYPERLINK("https://worldwide.espacenet.com/patent/search?q=US20210152910","Espacenet")</f>
        <v>0.0</v>
      </c>
      <c r="I2216" s="2" t="n">
        <f>HYPERLINK("https://ppubs.uspto.gov/pubwebapp/external.html?q=20210152910.pn.","USPTO")</f>
        <v>0.0</v>
      </c>
      <c r="J2216" s="2" t="n">
        <f>HYPERLINK("https://image-ppubs.uspto.gov/dirsearch-public/print/downloadPdf/20210152910","USPTO PDF")</f>
        <v>0.0</v>
      </c>
      <c r="K2216" s="2" t="n">
        <f>HYPERLINK("https://sectors.patentforecast.com/pmd/US20210152910","PMD")</f>
        <v>0.0</v>
      </c>
      <c r="L2216" s="2" t="n">
        <f>HYPERLINK("https://globaldossier.uspto.gov/result/application/US/17135551/1","US20210152910")</f>
        <v>0.0</v>
      </c>
      <c r="M2216" t="s">
        <v>15204</v>
      </c>
      <c r="N2216" t="s">
        <v>12669</v>
      </c>
      <c r="O2216" t="s">
        <v>12670</v>
      </c>
      <c r="P2216" t="s">
        <v>15205</v>
      </c>
      <c r="Q2216" s="3" t="n">
        <v>44193.0</v>
      </c>
      <c r="R2216" s="3" t="n">
        <v>44336.0</v>
      </c>
      <c r="S2216" s="3" t="n">
        <v>44336.229641157406</v>
      </c>
      <c r="T2216" s="3" t="n">
        <v>44337.57195344907</v>
      </c>
      <c r="U2216" t="s">
        <v>15206</v>
      </c>
      <c r="V2216" t="s">
        <v>15207</v>
      </c>
    </row>
    <row r="2217">
      <c r="A2217" t="s">
        <v>22</v>
      </c>
      <c r="B2217" t="s">
        <v>15208</v>
      </c>
      <c r="C2217" t="s">
        <v>312</v>
      </c>
      <c r="D2217" t="s">
        <v>3202</v>
      </c>
      <c r="E2217" t="s">
        <v>15209</v>
      </c>
      <c r="F2217" s="2" t="n">
        <f>HYPERLINK("https://patents.google.com/patent/US20210151198","Google")</f>
        <v>0.0</v>
      </c>
      <c r="G2217" s="2" t="n">
        <f>HYPERLINK("https://patentcenter.uspto.gov/applications/17102901","Patent Center")</f>
        <v>0.0</v>
      </c>
      <c r="H2217" s="2" t="n">
        <f>HYPERLINK("https://worldwide.espacenet.com/patent/search?q=US20210151198","Espacenet")</f>
        <v>0.0</v>
      </c>
      <c r="I2217" s="2" t="n">
        <f>HYPERLINK("https://ppubs.uspto.gov/pubwebapp/external.html?q=20210151198.pn.","USPTO")</f>
        <v>0.0</v>
      </c>
      <c r="J2217" s="2" t="n">
        <f>HYPERLINK("https://image-ppubs.uspto.gov/dirsearch-public/print/downloadPdf/20210151198","USPTO PDF")</f>
        <v>0.0</v>
      </c>
      <c r="K2217" s="2" t="n">
        <f>HYPERLINK("https://sectors.patentforecast.com/pmd/US20210151198","PMD")</f>
        <v>0.0</v>
      </c>
      <c r="L2217" s="2" t="n">
        <f>HYPERLINK("https://globaldossier.uspto.gov/result/application/US/17102901/1","US20210151198")</f>
        <v>0.0</v>
      </c>
      <c r="M2217" t="s">
        <v>15210</v>
      </c>
      <c r="N2217" t="s">
        <v>15211</v>
      </c>
      <c r="O2217" t="s">
        <v>15211</v>
      </c>
      <c r="P2217" t="s">
        <v>15212</v>
      </c>
      <c r="Q2217" s="3" t="n">
        <v>44159.0</v>
      </c>
      <c r="R2217" s="3" t="n">
        <v>44336.0</v>
      </c>
      <c r="S2217" s="3" t="n">
        <v>44336.229641157406</v>
      </c>
      <c r="T2217" s="3" t="n">
        <v>44337.56934016204</v>
      </c>
      <c r="U2217" t="s">
        <v>15213</v>
      </c>
      <c r="V2217" t="s">
        <v>15214</v>
      </c>
    </row>
    <row r="2218">
      <c r="A2218" t="s">
        <v>22</v>
      </c>
      <c r="B2218" t="s">
        <v>15215</v>
      </c>
      <c r="C2218" t="s">
        <v>24</v>
      </c>
      <c r="D2218" t="s">
        <v>34</v>
      </c>
      <c r="E2218" t="s">
        <v>15216</v>
      </c>
      <c r="F2218" s="2" t="n">
        <f>HYPERLINK("https://patents.google.com/patent/US20210147929","Google")</f>
        <v>0.0</v>
      </c>
      <c r="G2218" s="2" t="n">
        <f>HYPERLINK("https://patentcenter.uspto.gov/applications/17068546","Patent Center")</f>
        <v>0.0</v>
      </c>
      <c r="H2218" s="2" t="n">
        <f>HYPERLINK("https://worldwide.espacenet.com/patent/search?q=US20210147929","Espacenet")</f>
        <v>0.0</v>
      </c>
      <c r="I2218" s="2" t="n">
        <f>HYPERLINK("https://ppubs.uspto.gov/pubwebapp/external.html?q=20210147929.pn.","USPTO")</f>
        <v>0.0</v>
      </c>
      <c r="J2218" s="2" t="n">
        <f>HYPERLINK("https://image-ppubs.uspto.gov/dirsearch-public/print/downloadPdf/20210147929","USPTO PDF")</f>
        <v>0.0</v>
      </c>
      <c r="K2218" s="2" t="n">
        <f>HYPERLINK("https://sectors.patentforecast.com/pmd/US20210147929","PMD")</f>
        <v>0.0</v>
      </c>
      <c r="L2218" s="2" t="n">
        <f>HYPERLINK("https://globaldossier.uspto.gov/result/application/US/17068546/1","US20210147929")</f>
        <v>0.0</v>
      </c>
      <c r="M2218" t="s">
        <v>15217</v>
      </c>
      <c r="N2218" t="s">
        <v>15218</v>
      </c>
      <c r="O2218" t="s">
        <v>15218</v>
      </c>
      <c r="P2218" t="s">
        <v>15219</v>
      </c>
      <c r="Q2218" s="3" t="n">
        <v>44116.0</v>
      </c>
      <c r="R2218" s="3" t="n">
        <v>44336.0</v>
      </c>
      <c r="S2218" s="3" t="n">
        <v>44336.229641157406</v>
      </c>
      <c r="T2218" s="3" t="n">
        <v>44337.569867743056</v>
      </c>
      <c r="U2218" t="s">
        <v>15220</v>
      </c>
      <c r="V2218" t="s">
        <v>15221</v>
      </c>
    </row>
    <row r="2219">
      <c r="A2219" t="s">
        <v>22</v>
      </c>
      <c r="B2219" t="s">
        <v>15222</v>
      </c>
      <c r="C2219" t="s">
        <v>132</v>
      </c>
      <c r="D2219" t="s">
        <v>1265</v>
      </c>
      <c r="E2219" t="s">
        <v>15223</v>
      </c>
      <c r="F2219" s="2" t="n">
        <f>HYPERLINK("https://patents.google.com/patent/US20210147832","Google")</f>
        <v>0.0</v>
      </c>
      <c r="G2219" s="2" t="n">
        <f>HYPERLINK("https://patentcenter.uspto.gov/applications/17097853","Patent Center")</f>
        <v>0.0</v>
      </c>
      <c r="H2219" s="2" t="n">
        <f>HYPERLINK("https://worldwide.espacenet.com/patent/search?q=US20210147832","Espacenet")</f>
        <v>0.0</v>
      </c>
      <c r="I2219" s="2" t="n">
        <f>HYPERLINK("https://ppubs.uspto.gov/pubwebapp/external.html?q=20210147832.pn.","USPTO")</f>
        <v>0.0</v>
      </c>
      <c r="J2219" s="2" t="n">
        <f>HYPERLINK("https://image-ppubs.uspto.gov/dirsearch-public/print/downloadPdf/20210147832","USPTO PDF")</f>
        <v>0.0</v>
      </c>
      <c r="K2219" s="2" t="n">
        <f>HYPERLINK("https://sectors.patentforecast.com/pmd/US20210147832","PMD")</f>
        <v>0.0</v>
      </c>
      <c r="L2219" s="2" t="n">
        <f>HYPERLINK("https://globaldossier.uspto.gov/result/application/US/17097853/1","US20210147832")</f>
        <v>0.0</v>
      </c>
      <c r="M2219" t="s">
        <v>15224</v>
      </c>
      <c r="N2219" t="s">
        <v>9695</v>
      </c>
      <c r="O2219" t="s">
        <v>9695</v>
      </c>
      <c r="P2219" t="s">
        <v>15225</v>
      </c>
      <c r="Q2219" s="3" t="n">
        <v>44148.0</v>
      </c>
      <c r="R2219" s="3" t="n">
        <v>44336.0</v>
      </c>
      <c r="S2219" s="3" t="n">
        <v>44336.23079565972</v>
      </c>
      <c r="T2219" s="3" t="n">
        <v>44337.569015520836</v>
      </c>
      <c r="U2219" t="s">
        <v>15226</v>
      </c>
      <c r="V2219" t="s">
        <v>15227</v>
      </c>
    </row>
    <row r="2220">
      <c r="A2220" t="s">
        <v>22</v>
      </c>
      <c r="B2220" t="s">
        <v>15228</v>
      </c>
      <c r="C2220" t="s">
        <v>60</v>
      </c>
      <c r="D2220" t="s">
        <v>77</v>
      </c>
      <c r="E2220" t="s">
        <v>15229</v>
      </c>
      <c r="F2220" s="2" t="n">
        <f>HYPERLINK("https://patents.google.com/patent/US20210147513","Google")</f>
        <v>0.0</v>
      </c>
      <c r="G2220" s="2" t="n">
        <f>HYPERLINK("https://patentcenter.uspto.gov/applications/17082865","Patent Center")</f>
        <v>0.0</v>
      </c>
      <c r="H2220" s="2" t="n">
        <f>HYPERLINK("https://worldwide.espacenet.com/patent/search?q=US20210147513","Espacenet")</f>
        <v>0.0</v>
      </c>
      <c r="I2220" s="2" t="n">
        <f>HYPERLINK("https://ppubs.uspto.gov/pubwebapp/external.html?q=20210147513.pn.","USPTO")</f>
        <v>0.0</v>
      </c>
      <c r="J2220" s="2" t="n">
        <f>HYPERLINK("https://image-ppubs.uspto.gov/dirsearch-public/print/downloadPdf/20210147513","USPTO PDF")</f>
        <v>0.0</v>
      </c>
      <c r="K2220" s="2" t="n">
        <f>HYPERLINK("https://sectors.patentforecast.com/pmd/US20210147513","PMD")</f>
        <v>0.0</v>
      </c>
      <c r="L2220" s="2" t="n">
        <f>HYPERLINK("https://globaldossier.uspto.gov/result/application/US/17082865/1","US20210147513")</f>
        <v>0.0</v>
      </c>
      <c r="M2220" t="s">
        <v>15230</v>
      </c>
      <c r="N2220" t="s">
        <v>15231</v>
      </c>
      <c r="O2220" t="s">
        <v>15232</v>
      </c>
      <c r="P2220" t="s">
        <v>15233</v>
      </c>
      <c r="Q2220" s="3" t="n">
        <v>44132.0</v>
      </c>
      <c r="R2220" s="3" t="n">
        <v>44336.0</v>
      </c>
      <c r="S2220" s="3" t="n">
        <v>44336.23079565972</v>
      </c>
      <c r="T2220" s="3" t="n">
        <v>44337.57140700232</v>
      </c>
      <c r="U2220" t="s">
        <v>15234</v>
      </c>
      <c r="V2220" t="s">
        <v>15235</v>
      </c>
    </row>
    <row r="2221">
      <c r="A2221" t="s">
        <v>22</v>
      </c>
      <c r="B2221" t="s">
        <v>15236</v>
      </c>
      <c r="C2221" t="s">
        <v>60</v>
      </c>
      <c r="D2221" t="s">
        <v>61</v>
      </c>
      <c r="E2221" t="s">
        <v>15237</v>
      </c>
      <c r="F2221" s="2" t="n">
        <f>HYPERLINK("https://patents.google.com/patent/US20210145935","Google")</f>
        <v>0.0</v>
      </c>
      <c r="G2221" s="2" t="n">
        <f>HYPERLINK("https://patentcenter.uspto.gov/applications/16684630","Patent Center")</f>
        <v>0.0</v>
      </c>
      <c r="H2221" s="2" t="n">
        <f>HYPERLINK("https://worldwide.espacenet.com/patent/search?q=US20210145935","Espacenet")</f>
        <v>0.0</v>
      </c>
      <c r="I2221" s="2" t="n">
        <f>HYPERLINK("https://ppubs.uspto.gov/pubwebapp/external.html?q=20210145935.pn.","USPTO")</f>
        <v>0.0</v>
      </c>
      <c r="J2221" s="2" t="n">
        <f>HYPERLINK("https://image-ppubs.uspto.gov/dirsearch-public/print/downloadPdf/20210145935","USPTO PDF")</f>
        <v>0.0</v>
      </c>
      <c r="K2221" s="2" t="n">
        <f>HYPERLINK("https://sectors.patentforecast.com/pmd/US20210145935","PMD")</f>
        <v>0.0</v>
      </c>
      <c r="L2221" s="2" t="n">
        <f>HYPERLINK("https://globaldossier.uspto.gov/result/application/US/16684630/1","US20210145935")</f>
        <v>0.0</v>
      </c>
      <c r="M2221" t="s">
        <v>15238</v>
      </c>
      <c r="N2221" t="s">
        <v>15239</v>
      </c>
      <c r="O2221" t="s">
        <v>15240</v>
      </c>
      <c r="P2221" t="s">
        <v>15241</v>
      </c>
      <c r="Q2221" s="3" t="n">
        <v>43784.0</v>
      </c>
      <c r="R2221" s="3" t="n">
        <v>44336.0</v>
      </c>
      <c r="S2221" s="3" t="n">
        <v>44336.23079565972</v>
      </c>
      <c r="T2221" s="3" t="n">
        <v>44337.57451428241</v>
      </c>
      <c r="U2221" t="s">
        <v>15242</v>
      </c>
      <c r="V2221" t="s">
        <v>15243</v>
      </c>
    </row>
    <row r="2222">
      <c r="A2222" t="s">
        <v>22</v>
      </c>
      <c r="B2222" t="s">
        <v>15244</v>
      </c>
      <c r="C2222" t="s">
        <v>24</v>
      </c>
      <c r="D2222" t="s">
        <v>69</v>
      </c>
      <c r="E2222" t="s">
        <v>15245</v>
      </c>
      <c r="F2222" s="2" t="n">
        <f>HYPERLINK("https://patents.google.com/patent/US20210145089","Google")</f>
        <v>0.0</v>
      </c>
      <c r="G2222" s="2" t="n">
        <f>HYPERLINK("https://patentcenter.uspto.gov/applications/17120312","Patent Center")</f>
        <v>0.0</v>
      </c>
      <c r="H2222" s="2" t="n">
        <f>HYPERLINK("https://worldwide.espacenet.com/patent/search?q=US20210145089","Espacenet")</f>
        <v>0.0</v>
      </c>
      <c r="I2222" s="2" t="n">
        <f>HYPERLINK("https://ppubs.uspto.gov/pubwebapp/external.html?q=20210145089.pn.","USPTO")</f>
        <v>0.0</v>
      </c>
      <c r="J2222" s="2" t="n">
        <f>HYPERLINK("https://image-ppubs.uspto.gov/dirsearch-public/print/downloadPdf/20210145089","USPTO PDF")</f>
        <v>0.0</v>
      </c>
      <c r="K2222" s="2" t="n">
        <f>HYPERLINK("https://sectors.patentforecast.com/pmd/US20210145089","PMD")</f>
        <v>0.0</v>
      </c>
      <c r="L2222" s="2" t="n">
        <f>HYPERLINK("https://globaldossier.uspto.gov/result/application/US/17120312/1","US20210145089")</f>
        <v>0.0</v>
      </c>
      <c r="M2222" t="s">
        <v>15246</v>
      </c>
      <c r="N2222" t="s">
        <v>15247</v>
      </c>
      <c r="O2222" t="s">
        <v>15248</v>
      </c>
      <c r="P2222" t="s">
        <v>15249</v>
      </c>
      <c r="Q2222" s="3" t="n">
        <v>44179.0</v>
      </c>
      <c r="R2222" s="3" t="n">
        <v>44336.0</v>
      </c>
      <c r="S2222" s="3" t="n">
        <v>44336.229641157406</v>
      </c>
      <c r="T2222" s="3" t="n">
        <v>44337.56914673611</v>
      </c>
      <c r="U2222" t="s">
        <v>15250</v>
      </c>
      <c r="V2222" t="s">
        <v>15251</v>
      </c>
    </row>
    <row r="2223">
      <c r="A2223" t="s">
        <v>22</v>
      </c>
      <c r="B2223" t="s">
        <v>15252</v>
      </c>
      <c r="C2223" t="s">
        <v>24</v>
      </c>
      <c r="D2223" t="s">
        <v>1450</v>
      </c>
      <c r="E2223" t="s">
        <v>15253</v>
      </c>
      <c r="F2223" s="2" t="n">
        <f>HYPERLINK("https://patents.google.com/patent/US20210142874","Google")</f>
        <v>0.0</v>
      </c>
      <c r="G2223" s="2" t="n">
        <f>HYPERLINK("https://patentcenter.uspto.gov/applications/17154162","Patent Center")</f>
        <v>0.0</v>
      </c>
      <c r="H2223" s="2" t="n">
        <f>HYPERLINK("https://worldwide.espacenet.com/patent/search?q=US20210142874","Espacenet")</f>
        <v>0.0</v>
      </c>
      <c r="I2223" s="2" t="n">
        <f>HYPERLINK("https://ppubs.uspto.gov/pubwebapp/external.html?q=20210142874.pn.","USPTO")</f>
        <v>0.0</v>
      </c>
      <c r="J2223" s="2" t="n">
        <f>HYPERLINK("https://image-ppubs.uspto.gov/dirsearch-public/print/downloadPdf/20210142874","USPTO PDF")</f>
        <v>0.0</v>
      </c>
      <c r="K2223" s="2" t="n">
        <f>HYPERLINK("https://sectors.patentforecast.com/pmd/US20210142874","PMD")</f>
        <v>0.0</v>
      </c>
      <c r="L2223" s="2" t="n">
        <f>HYPERLINK("https://globaldossier.uspto.gov/result/application/US/17154162/1","US20210142874")</f>
        <v>0.0</v>
      </c>
      <c r="M2223" t="s">
        <v>15254</v>
      </c>
      <c r="N2223" t="s">
        <v>12669</v>
      </c>
      <c r="O2223" t="s">
        <v>12670</v>
      </c>
      <c r="P2223" t="s">
        <v>14766</v>
      </c>
      <c r="Q2223" s="3" t="n">
        <v>44217.0</v>
      </c>
      <c r="R2223" s="3" t="n">
        <v>44329.0</v>
      </c>
      <c r="S2223" s="3" t="n">
        <v>44329.22963466435</v>
      </c>
      <c r="T2223" s="3" t="n">
        <v>44334.55313966435</v>
      </c>
      <c r="U2223" t="s">
        <v>15255</v>
      </c>
      <c r="V2223" t="s">
        <v>15256</v>
      </c>
    </row>
    <row r="2224">
      <c r="A2224" t="s">
        <v>22</v>
      </c>
      <c r="B2224" t="s">
        <v>15257</v>
      </c>
      <c r="C2224" t="s">
        <v>60</v>
      </c>
      <c r="D2224" t="s">
        <v>61</v>
      </c>
      <c r="E2224" t="s">
        <v>15258</v>
      </c>
      <c r="F2224" s="2" t="n">
        <f>HYPERLINK("https://patents.google.com/patent/US20210142868","Google")</f>
        <v>0.0</v>
      </c>
      <c r="G2224" s="2" t="n">
        <f>HYPERLINK("https://patentcenter.uspto.gov/applications/17095562","Patent Center")</f>
        <v>0.0</v>
      </c>
      <c r="H2224" s="2" t="n">
        <f>HYPERLINK("https://worldwide.espacenet.com/patent/search?q=US20210142868","Espacenet")</f>
        <v>0.0</v>
      </c>
      <c r="I2224" s="2" t="n">
        <f>HYPERLINK("https://ppubs.uspto.gov/pubwebapp/external.html?q=20210142868.pn.","USPTO")</f>
        <v>0.0</v>
      </c>
      <c r="J2224" s="2" t="n">
        <f>HYPERLINK("https://image-ppubs.uspto.gov/dirsearch-public/print/downloadPdf/20210142868","USPTO PDF")</f>
        <v>0.0</v>
      </c>
      <c r="K2224" s="2" t="n">
        <f>HYPERLINK("https://sectors.patentforecast.com/pmd/US20210142868","PMD")</f>
        <v>0.0</v>
      </c>
      <c r="L2224" s="2" t="n">
        <f>HYPERLINK("https://globaldossier.uspto.gov/result/application/US/17095562/1","US20210142868")</f>
        <v>0.0</v>
      </c>
      <c r="M2224" t="s">
        <v>15259</v>
      </c>
      <c r="N2224" t="s">
        <v>4321</v>
      </c>
      <c r="O2224" t="s">
        <v>4322</v>
      </c>
      <c r="P2224" t="s">
        <v>15260</v>
      </c>
      <c r="Q2224" s="3" t="n">
        <v>44146.0</v>
      </c>
      <c r="R2224" s="3" t="n">
        <v>44329.0</v>
      </c>
      <c r="S2224" s="3" t="n">
        <v>44329.22963466435</v>
      </c>
      <c r="T2224" s="3" t="n">
        <v>44334.55633385417</v>
      </c>
      <c r="U2224" t="s">
        <v>15261</v>
      </c>
      <c r="V2224" t="s">
        <v>15262</v>
      </c>
    </row>
    <row r="2225">
      <c r="A2225" t="s">
        <v>22</v>
      </c>
      <c r="B2225" t="s">
        <v>15263</v>
      </c>
      <c r="C2225" t="s">
        <v>24</v>
      </c>
      <c r="D2225" t="s">
        <v>34</v>
      </c>
      <c r="E2225" t="s">
        <v>15264</v>
      </c>
      <c r="F2225" s="2" t="n">
        <f>HYPERLINK("https://patents.google.com/patent/US20210140977","Google")</f>
        <v>0.0</v>
      </c>
      <c r="G2225" s="2" t="n">
        <f>HYPERLINK("https://patentcenter.uspto.gov/applications/17048062","Patent Center")</f>
        <v>0.0</v>
      </c>
      <c r="H2225" s="2" t="n">
        <f>HYPERLINK("https://worldwide.espacenet.com/patent/search?q=US20210140977","Espacenet")</f>
        <v>0.0</v>
      </c>
      <c r="I2225" s="2" t="n">
        <f>HYPERLINK("https://ppubs.uspto.gov/pubwebapp/external.html?q=20210140977.pn.","USPTO")</f>
        <v>0.0</v>
      </c>
      <c r="J2225" s="2" t="n">
        <f>HYPERLINK("https://image-ppubs.uspto.gov/dirsearch-public/print/downloadPdf/20210140977","USPTO PDF")</f>
        <v>0.0</v>
      </c>
      <c r="K2225" s="2" t="n">
        <f>HYPERLINK("https://sectors.patentforecast.com/pmd/US20210140977","PMD")</f>
        <v>0.0</v>
      </c>
      <c r="L2225" s="2" t="n">
        <f>HYPERLINK("https://globaldossier.uspto.gov/result/application/US/17048062/1","US20210140977")</f>
        <v>0.0</v>
      </c>
      <c r="M2225" t="s">
        <v>15265</v>
      </c>
      <c r="N2225" t="s">
        <v>15266</v>
      </c>
      <c r="O2225" t="s">
        <v>15267</v>
      </c>
      <c r="P2225" t="s">
        <v>15268</v>
      </c>
      <c r="Q2225" s="3" t="n">
        <v>43567.0</v>
      </c>
      <c r="R2225" s="3" t="n">
        <v>44329.0</v>
      </c>
      <c r="S2225" s="3" t="n">
        <v>44329.23379506944</v>
      </c>
      <c r="T2225" s="3" t="n">
        <v>44334.55058599537</v>
      </c>
      <c r="U2225" t="s">
        <v>15269</v>
      </c>
      <c r="V2225" t="s">
        <v>15270</v>
      </c>
    </row>
    <row r="2226">
      <c r="A2226" t="s">
        <v>22</v>
      </c>
      <c r="B2226" t="s">
        <v>15271</v>
      </c>
      <c r="C2226" t="s">
        <v>132</v>
      </c>
      <c r="D2226" t="s">
        <v>133</v>
      </c>
      <c r="E2226" t="s">
        <v>15272</v>
      </c>
      <c r="F2226" s="2" t="n">
        <f>HYPERLINK("https://patents.google.com/patent/US20210139543","Google")</f>
        <v>0.0</v>
      </c>
      <c r="G2226" s="2" t="n">
        <f>HYPERLINK("https://patentcenter.uspto.gov/applications/17087704","Patent Center")</f>
        <v>0.0</v>
      </c>
      <c r="H2226" s="2" t="n">
        <f>HYPERLINK("https://worldwide.espacenet.com/patent/search?q=US20210139543","Espacenet")</f>
        <v>0.0</v>
      </c>
      <c r="I2226" s="2" t="n">
        <f>HYPERLINK("https://ppubs.uspto.gov/pubwebapp/external.html?q=20210139543.pn.","USPTO")</f>
        <v>0.0</v>
      </c>
      <c r="J2226" s="2" t="n">
        <f>HYPERLINK("https://image-ppubs.uspto.gov/dirsearch-public/print/downloadPdf/20210139543","USPTO PDF")</f>
        <v>0.0</v>
      </c>
      <c r="K2226" s="2" t="n">
        <f>HYPERLINK("https://sectors.patentforecast.com/pmd/US20210139543","PMD")</f>
        <v>0.0</v>
      </c>
      <c r="L2226" s="2" t="n">
        <f>HYPERLINK("https://globaldossier.uspto.gov/result/application/US/17087704/1","US20210139543")</f>
        <v>0.0</v>
      </c>
      <c r="M2226" t="s">
        <v>15273</v>
      </c>
      <c r="N2226" t="s">
        <v>7310</v>
      </c>
      <c r="O2226" t="s">
        <v>7311</v>
      </c>
      <c r="P2226" t="s">
        <v>15274</v>
      </c>
      <c r="Q2226" s="3" t="n">
        <v>44138.0</v>
      </c>
      <c r="R2226" s="3" t="n">
        <v>44329.0</v>
      </c>
      <c r="S2226" s="3" t="n">
        <v>44329.22963466435</v>
      </c>
      <c r="T2226" s="3" t="n">
        <v>44334.55026185185</v>
      </c>
      <c r="U2226" t="s">
        <v>15275</v>
      </c>
      <c r="V2226" t="s">
        <v>15276</v>
      </c>
    </row>
    <row r="2227">
      <c r="A2227" t="s">
        <v>22</v>
      </c>
      <c r="B2227" t="s">
        <v>15277</v>
      </c>
      <c r="C2227" t="s">
        <v>24</v>
      </c>
      <c r="D2227" t="s">
        <v>69</v>
      </c>
      <c r="E2227" t="s">
        <v>15278</v>
      </c>
      <c r="F2227" s="2" t="n">
        <f>HYPERLINK("https://patents.google.com/patent/US20210138279","Google")</f>
        <v>0.0</v>
      </c>
      <c r="G2227" s="2" t="n">
        <f>HYPERLINK("https://patentcenter.uspto.gov/applications/17147546","Patent Center")</f>
        <v>0.0</v>
      </c>
      <c r="H2227" s="2" t="n">
        <f>HYPERLINK("https://worldwide.espacenet.com/patent/search?q=US20210138279","Espacenet")</f>
        <v>0.0</v>
      </c>
      <c r="I2227" s="2" t="n">
        <f>HYPERLINK("https://ppubs.uspto.gov/pubwebapp/external.html?q=20210138279.pn.","USPTO")</f>
        <v>0.0</v>
      </c>
      <c r="J2227" s="2" t="n">
        <f>HYPERLINK("https://image-ppubs.uspto.gov/dirsearch-public/print/downloadPdf/20210138279","USPTO PDF")</f>
        <v>0.0</v>
      </c>
      <c r="K2227" s="2" t="n">
        <f>HYPERLINK("https://sectors.patentforecast.com/pmd/US20210138279","PMD")</f>
        <v>0.0</v>
      </c>
      <c r="L2227" s="2" t="n">
        <f>HYPERLINK("https://globaldossier.uspto.gov/result/application/US/17147546/1","US20210138279")</f>
        <v>0.0</v>
      </c>
      <c r="M2227" t="s">
        <v>15279</v>
      </c>
      <c r="N2227" t="s">
        <v>15280</v>
      </c>
      <c r="O2227" t="s">
        <v>15280</v>
      </c>
      <c r="P2227" t="s">
        <v>15281</v>
      </c>
      <c r="Q2227" s="3" t="n">
        <v>44209.0</v>
      </c>
      <c r="R2227" s="3" t="n">
        <v>44329.0</v>
      </c>
      <c r="S2227" s="3" t="n">
        <v>44329.22963466435</v>
      </c>
      <c r="T2227" s="3" t="n">
        <v>44334.55064721065</v>
      </c>
      <c r="U2227" t="s">
        <v>15282</v>
      </c>
      <c r="V2227" t="s">
        <v>15283</v>
      </c>
    </row>
    <row r="2228">
      <c r="A2228" t="s">
        <v>22</v>
      </c>
      <c r="B2228" t="s">
        <v>15284</v>
      </c>
      <c r="C2228" t="s">
        <v>60</v>
      </c>
      <c r="D2228" t="s">
        <v>715</v>
      </c>
      <c r="E2228" t="s">
        <v>15285</v>
      </c>
      <c r="F2228" s="2" t="n">
        <f>HYPERLINK("https://patents.google.com/patent/US20210138259","Google")</f>
        <v>0.0</v>
      </c>
      <c r="G2228" s="2" t="n">
        <f>HYPERLINK("https://patentcenter.uspto.gov/applications/17148090","Patent Center")</f>
        <v>0.0</v>
      </c>
      <c r="H2228" s="2" t="n">
        <f>HYPERLINK("https://worldwide.espacenet.com/patent/search?q=US20210138259","Espacenet")</f>
        <v>0.0</v>
      </c>
      <c r="I2228" s="2" t="n">
        <f>HYPERLINK("https://ppubs.uspto.gov/pubwebapp/external.html?q=20210138259.pn.","USPTO")</f>
        <v>0.0</v>
      </c>
      <c r="J2228" s="2" t="n">
        <f>HYPERLINK("https://image-ppubs.uspto.gov/dirsearch-public/print/downloadPdf/20210138259","USPTO PDF")</f>
        <v>0.0</v>
      </c>
      <c r="K2228" s="2" t="n">
        <f>HYPERLINK("https://sectors.patentforecast.com/pmd/US20210138259","PMD")</f>
        <v>0.0</v>
      </c>
      <c r="L2228" s="2" t="n">
        <f>HYPERLINK("https://globaldossier.uspto.gov/result/application/US/17148090/1","US20210138259")</f>
        <v>0.0</v>
      </c>
      <c r="M2228" t="s">
        <v>15286</v>
      </c>
      <c r="N2228" t="s">
        <v>15287</v>
      </c>
      <c r="O2228" t="s">
        <v>15288</v>
      </c>
      <c r="P2228" t="s">
        <v>15289</v>
      </c>
      <c r="Q2228" s="3" t="n">
        <v>44209.0</v>
      </c>
      <c r="R2228" s="3" t="n">
        <v>44329.0</v>
      </c>
      <c r="S2228" s="3" t="n">
        <v>44329.22963466435</v>
      </c>
      <c r="T2228" s="3" t="n">
        <v>44334.55337335648</v>
      </c>
      <c r="U2228" t="s">
        <v>15290</v>
      </c>
      <c r="V2228" t="s">
        <v>15291</v>
      </c>
    </row>
    <row r="2229">
      <c r="A2229" t="s">
        <v>22</v>
      </c>
      <c r="B2229" t="s">
        <v>15292</v>
      </c>
      <c r="C2229" t="s">
        <v>132</v>
      </c>
      <c r="D2229" t="s">
        <v>2629</v>
      </c>
      <c r="E2229" t="s">
        <v>15293</v>
      </c>
      <c r="F2229" s="2" t="n">
        <f>HYPERLINK("https://patents.google.com/patent/US20210137845","Google")</f>
        <v>0.0</v>
      </c>
      <c r="G2229" s="2" t="n">
        <f>HYPERLINK("https://patentcenter.uspto.gov/applications/16629859","Patent Center")</f>
        <v>0.0</v>
      </c>
      <c r="H2229" s="2" t="n">
        <f>HYPERLINK("https://worldwide.espacenet.com/patent/search?q=US20210137845","Espacenet")</f>
        <v>0.0</v>
      </c>
      <c r="I2229" s="2" t="n">
        <f>HYPERLINK("https://ppubs.uspto.gov/pubwebapp/external.html?q=20210137845.pn.","USPTO")</f>
        <v>0.0</v>
      </c>
      <c r="J2229" s="2" t="n">
        <f>HYPERLINK("https://image-ppubs.uspto.gov/dirsearch-public/print/downloadPdf/20210137845","USPTO PDF")</f>
        <v>0.0</v>
      </c>
      <c r="K2229" s="2" t="n">
        <f>HYPERLINK("https://sectors.patentforecast.com/pmd/US20210137845","PMD")</f>
        <v>0.0</v>
      </c>
      <c r="L2229" s="2" t="n">
        <f>HYPERLINK("https://globaldossier.uspto.gov/result/application/US/16629859/1","US20210137845")</f>
        <v>0.0</v>
      </c>
      <c r="M2229" t="s">
        <v>15294</v>
      </c>
      <c r="N2229" t="s">
        <v>1275</v>
      </c>
      <c r="O2229" t="s">
        <v>1275</v>
      </c>
      <c r="P2229" t="s">
        <v>15295</v>
      </c>
      <c r="Q2229" s="3" t="n">
        <v>43305.0</v>
      </c>
      <c r="R2229" s="3" t="n">
        <v>44329.0</v>
      </c>
      <c r="S2229" s="3" t="n">
        <v>44329.231827233794</v>
      </c>
      <c r="T2229" s="3" t="n">
        <v>44334.5540056713</v>
      </c>
      <c r="U2229" t="s">
        <v>15296</v>
      </c>
      <c r="V2229" t="s">
        <v>15297</v>
      </c>
    </row>
    <row r="2230">
      <c r="A2230" t="s">
        <v>22</v>
      </c>
      <c r="B2230" t="s">
        <v>15298</v>
      </c>
      <c r="C2230" t="s">
        <v>60</v>
      </c>
      <c r="D2230" t="s">
        <v>715</v>
      </c>
      <c r="E2230" t="s">
        <v>15299</v>
      </c>
      <c r="F2230" s="2" t="n">
        <f>HYPERLINK("https://patents.google.com/patent/US20210137543","Google")</f>
        <v>0.0</v>
      </c>
      <c r="G2230" s="2" t="n">
        <f>HYPERLINK("https://patentcenter.uspto.gov/applications/16830924","Patent Center")</f>
        <v>0.0</v>
      </c>
      <c r="H2230" s="2" t="n">
        <f>HYPERLINK("https://worldwide.espacenet.com/patent/search?q=US20210137543","Espacenet")</f>
        <v>0.0</v>
      </c>
      <c r="I2230" s="2" t="n">
        <f>HYPERLINK("https://ppubs.uspto.gov/pubwebapp/external.html?q=20210137543.pn.","USPTO")</f>
        <v>0.0</v>
      </c>
      <c r="J2230" s="2" t="n">
        <f>HYPERLINK("https://image-ppubs.uspto.gov/dirsearch-public/print/downloadPdf/20210137543","USPTO PDF")</f>
        <v>0.0</v>
      </c>
      <c r="K2230" s="2" t="n">
        <f>HYPERLINK("https://sectors.patentforecast.com/pmd/US20210137543","PMD")</f>
        <v>0.0</v>
      </c>
      <c r="L2230" s="2" t="n">
        <f>HYPERLINK("https://globaldossier.uspto.gov/result/application/US/16830924/1","US20210137543")</f>
        <v>0.0</v>
      </c>
      <c r="M2230" t="s">
        <v>15300</v>
      </c>
      <c r="N2230" t="s">
        <v>12102</v>
      </c>
      <c r="O2230" t="s">
        <v>12103</v>
      </c>
      <c r="P2230" t="s">
        <v>15301</v>
      </c>
      <c r="Q2230" s="3" t="n">
        <v>43916.0</v>
      </c>
      <c r="R2230" s="3" t="n">
        <v>44329.0</v>
      </c>
      <c r="S2230" s="3" t="n">
        <v>44329.22963466435</v>
      </c>
      <c r="T2230" s="3" t="n">
        <v>44334.55427368056</v>
      </c>
      <c r="U2230" t="s">
        <v>15302</v>
      </c>
      <c r="V2230" t="s">
        <v>15303</v>
      </c>
    </row>
    <row r="2231">
      <c r="A2231" t="s">
        <v>22</v>
      </c>
      <c r="B2231" t="s">
        <v>15304</v>
      </c>
      <c r="C2231" t="s">
        <v>24</v>
      </c>
      <c r="D2231" t="s">
        <v>34</v>
      </c>
      <c r="E2231" t="s">
        <v>15305</v>
      </c>
      <c r="F2231" s="2" t="n">
        <f>HYPERLINK("https://patents.google.com/patent/US20210130886","Google")</f>
        <v>0.0</v>
      </c>
      <c r="G2231" s="2" t="n">
        <f>HYPERLINK("https://patentcenter.uspto.gov/applications/17137972","Patent Center")</f>
        <v>0.0</v>
      </c>
      <c r="H2231" s="2" t="n">
        <f>HYPERLINK("https://worldwide.espacenet.com/patent/search?q=US20210130886","Espacenet")</f>
        <v>0.0</v>
      </c>
      <c r="I2231" s="2" t="n">
        <f>HYPERLINK("https://ppubs.uspto.gov/pubwebapp/external.html?q=20210130886.pn.","USPTO")</f>
        <v>0.0</v>
      </c>
      <c r="J2231" s="2" t="n">
        <f>HYPERLINK("https://image-ppubs.uspto.gov/dirsearch-public/print/downloadPdf/20210130886","USPTO PDF")</f>
        <v>0.0</v>
      </c>
      <c r="K2231" s="2" t="n">
        <f>HYPERLINK("https://sectors.patentforecast.com/pmd/US20210130886","PMD")</f>
        <v>0.0</v>
      </c>
      <c r="L2231" s="2" t="n">
        <f>HYPERLINK("https://globaldossier.uspto.gov/result/application/US/17137972/1","US20210130886")</f>
        <v>0.0</v>
      </c>
      <c r="M2231" t="s">
        <v>15306</v>
      </c>
      <c r="N2231" t="s">
        <v>15307</v>
      </c>
      <c r="O2231" t="s">
        <v>15308</v>
      </c>
      <c r="P2231" t="s">
        <v>15309</v>
      </c>
      <c r="Q2231" s="3" t="n">
        <v>44195.0</v>
      </c>
      <c r="R2231" s="3" t="n">
        <v>44322.0</v>
      </c>
      <c r="S2231" s="3" t="n">
        <v>44322.22963459491</v>
      </c>
      <c r="T2231" s="3" t="n">
        <v>44322.460782685186</v>
      </c>
      <c r="U2231" t="s">
        <v>15310</v>
      </c>
      <c r="V2231" t="s">
        <v>15311</v>
      </c>
    </row>
    <row r="2232">
      <c r="A2232" t="s">
        <v>22</v>
      </c>
      <c r="B2232" t="s">
        <v>15312</v>
      </c>
      <c r="C2232" t="s">
        <v>24</v>
      </c>
      <c r="D2232" t="s">
        <v>34</v>
      </c>
      <c r="E2232" t="s">
        <v>15313</v>
      </c>
      <c r="F2232" s="2" t="n">
        <f>HYPERLINK("https://patents.google.com/patent/US20210129144","Google")</f>
        <v>0.0</v>
      </c>
      <c r="G2232" s="2" t="n">
        <f>HYPERLINK("https://patentcenter.uspto.gov/applications/17138037","Patent Center")</f>
        <v>0.0</v>
      </c>
      <c r="H2232" s="2" t="n">
        <f>HYPERLINK("https://worldwide.espacenet.com/patent/search?q=US20210129144","Espacenet")</f>
        <v>0.0</v>
      </c>
      <c r="I2232" s="2" t="n">
        <f>HYPERLINK("https://ppubs.uspto.gov/pubwebapp/external.html?q=20210129144.pn.","USPTO")</f>
        <v>0.0</v>
      </c>
      <c r="J2232" s="2" t="n">
        <f>HYPERLINK("https://image-ppubs.uspto.gov/dirsearch-public/print/downloadPdf/20210129144","USPTO PDF")</f>
        <v>0.0</v>
      </c>
      <c r="K2232" s="2" t="n">
        <f>HYPERLINK("https://sectors.patentforecast.com/pmd/US20210129144","PMD")</f>
        <v>0.0</v>
      </c>
      <c r="L2232" s="2" t="n">
        <f>HYPERLINK("https://globaldossier.uspto.gov/result/application/US/17138037/1","US20210129144")</f>
        <v>0.0</v>
      </c>
      <c r="M2232" t="s">
        <v>15314</v>
      </c>
      <c r="N2232" t="s">
        <v>15307</v>
      </c>
      <c r="O2232" t="s">
        <v>15308</v>
      </c>
      <c r="P2232" t="s">
        <v>15309</v>
      </c>
      <c r="Q2232" s="3" t="n">
        <v>44195.0</v>
      </c>
      <c r="R2232" s="3" t="n">
        <v>44322.0</v>
      </c>
      <c r="S2232" s="3" t="n">
        <v>44322.22963459491</v>
      </c>
      <c r="T2232" s="3" t="n">
        <v>44322.46339380787</v>
      </c>
      <c r="U2232" t="s">
        <v>15315</v>
      </c>
      <c r="V2232" t="s">
        <v>15316</v>
      </c>
    </row>
    <row r="2233">
      <c r="A2233" t="s">
        <v>22</v>
      </c>
      <c r="B2233" t="s">
        <v>15317</v>
      </c>
      <c r="C2233" t="s">
        <v>60</v>
      </c>
      <c r="D2233" t="s">
        <v>715</v>
      </c>
      <c r="E2233" t="s">
        <v>15285</v>
      </c>
      <c r="F2233" s="2" t="n">
        <f>HYPERLINK("https://patents.google.com/patent/US20210128938","Google")</f>
        <v>0.0</v>
      </c>
      <c r="G2233" s="2" t="n">
        <f>HYPERLINK("https://patentcenter.uspto.gov/applications/17148133","Patent Center")</f>
        <v>0.0</v>
      </c>
      <c r="H2233" s="2" t="n">
        <f>HYPERLINK("https://worldwide.espacenet.com/patent/search?q=US20210128938","Espacenet")</f>
        <v>0.0</v>
      </c>
      <c r="I2233" s="2" t="n">
        <f>HYPERLINK("https://ppubs.uspto.gov/pubwebapp/external.html?q=20210128938.pn.","USPTO")</f>
        <v>0.0</v>
      </c>
      <c r="J2233" s="2" t="n">
        <f>HYPERLINK("https://image-ppubs.uspto.gov/dirsearch-public/print/downloadPdf/20210128938","USPTO PDF")</f>
        <v>0.0</v>
      </c>
      <c r="K2233" s="2" t="n">
        <f>HYPERLINK("https://sectors.patentforecast.com/pmd/US20210128938","PMD")</f>
        <v>0.0</v>
      </c>
      <c r="L2233" s="2" t="n">
        <f>HYPERLINK("https://globaldossier.uspto.gov/result/application/US/17148133/1","US20210128938")</f>
        <v>0.0</v>
      </c>
      <c r="M2233" t="s">
        <v>15318</v>
      </c>
      <c r="N2233" t="s">
        <v>15287</v>
      </c>
      <c r="O2233" t="s">
        <v>15288</v>
      </c>
      <c r="P2233" t="s">
        <v>15289</v>
      </c>
      <c r="Q2233" s="3" t="n">
        <v>44209.0</v>
      </c>
      <c r="R2233" s="3" t="n">
        <v>44322.0</v>
      </c>
      <c r="S2233" s="3" t="n">
        <v>44322.22963459491</v>
      </c>
      <c r="T2233" s="3" t="n">
        <v>44322.462199594906</v>
      </c>
      <c r="U2233" t="s">
        <v>15319</v>
      </c>
      <c r="V2233" t="s">
        <v>15291</v>
      </c>
    </row>
    <row r="2234">
      <c r="A2234" t="s">
        <v>22</v>
      </c>
      <c r="B2234" t="s">
        <v>15320</v>
      </c>
      <c r="C2234" t="s">
        <v>60</v>
      </c>
      <c r="D2234" t="s">
        <v>715</v>
      </c>
      <c r="E2234" t="s">
        <v>15285</v>
      </c>
      <c r="F2234" s="2" t="n">
        <f>HYPERLINK("https://patents.google.com/patent/US20210128937","Google")</f>
        <v>0.0</v>
      </c>
      <c r="G2234" s="2" t="n">
        <f>HYPERLINK("https://patentcenter.uspto.gov/applications/17148124","Patent Center")</f>
        <v>0.0</v>
      </c>
      <c r="H2234" s="2" t="n">
        <f>HYPERLINK("https://worldwide.espacenet.com/patent/search?q=US20210128937","Espacenet")</f>
        <v>0.0</v>
      </c>
      <c r="I2234" s="2" t="n">
        <f>HYPERLINK("https://ppubs.uspto.gov/pubwebapp/external.html?q=20210128937.pn.","USPTO")</f>
        <v>0.0</v>
      </c>
      <c r="J2234" s="2" t="n">
        <f>HYPERLINK("https://image-ppubs.uspto.gov/dirsearch-public/print/downloadPdf/20210128937","USPTO PDF")</f>
        <v>0.0</v>
      </c>
      <c r="K2234" s="2" t="n">
        <f>HYPERLINK("https://sectors.patentforecast.com/pmd/US20210128937","PMD")</f>
        <v>0.0</v>
      </c>
      <c r="L2234" s="2" t="n">
        <f>HYPERLINK("https://globaldossier.uspto.gov/result/application/US/17148124/1","US20210128937")</f>
        <v>0.0</v>
      </c>
      <c r="M2234" t="s">
        <v>15321</v>
      </c>
      <c r="N2234" t="s">
        <v>15287</v>
      </c>
      <c r="O2234" t="s">
        <v>15288</v>
      </c>
      <c r="P2234" t="s">
        <v>15289</v>
      </c>
      <c r="Q2234" s="3" t="n">
        <v>44209.0</v>
      </c>
      <c r="R2234" s="3" t="n">
        <v>44322.0</v>
      </c>
      <c r="S2234" s="3" t="n">
        <v>44322.22963459491</v>
      </c>
      <c r="T2234" s="3" t="n">
        <v>44322.462199594906</v>
      </c>
      <c r="U2234" t="s">
        <v>15319</v>
      </c>
      <c r="V2234" t="s">
        <v>15291</v>
      </c>
    </row>
    <row r="2235">
      <c r="A2235" t="s">
        <v>22</v>
      </c>
      <c r="B2235" t="s">
        <v>15322</v>
      </c>
      <c r="C2235" t="s">
        <v>60</v>
      </c>
      <c r="D2235" t="s">
        <v>715</v>
      </c>
      <c r="E2235" t="s">
        <v>15285</v>
      </c>
      <c r="F2235" s="2" t="n">
        <f>HYPERLINK("https://patents.google.com/patent/US20210128936","Google")</f>
        <v>0.0</v>
      </c>
      <c r="G2235" s="2" t="n">
        <f>HYPERLINK("https://patentcenter.uspto.gov/applications/17148108","Patent Center")</f>
        <v>0.0</v>
      </c>
      <c r="H2235" s="2" t="n">
        <f>HYPERLINK("https://worldwide.espacenet.com/patent/search?q=US20210128936","Espacenet")</f>
        <v>0.0</v>
      </c>
      <c r="I2235" s="2" t="n">
        <f>HYPERLINK("https://ppubs.uspto.gov/pubwebapp/external.html?q=20210128936.pn.","USPTO")</f>
        <v>0.0</v>
      </c>
      <c r="J2235" s="2" t="n">
        <f>HYPERLINK("https://image-ppubs.uspto.gov/dirsearch-public/print/downloadPdf/20210128936","USPTO PDF")</f>
        <v>0.0</v>
      </c>
      <c r="K2235" s="2" t="n">
        <f>HYPERLINK("https://sectors.patentforecast.com/pmd/US20210128936","PMD")</f>
        <v>0.0</v>
      </c>
      <c r="L2235" s="2" t="n">
        <f>HYPERLINK("https://globaldossier.uspto.gov/result/application/US/17148108/1","US20210128936")</f>
        <v>0.0</v>
      </c>
      <c r="M2235" t="s">
        <v>15323</v>
      </c>
      <c r="N2235" t="s">
        <v>15287</v>
      </c>
      <c r="O2235" t="s">
        <v>15288</v>
      </c>
      <c r="P2235" t="s">
        <v>15289</v>
      </c>
      <c r="Q2235" s="3" t="n">
        <v>44209.0</v>
      </c>
      <c r="R2235" s="3" t="n">
        <v>44322.0</v>
      </c>
      <c r="S2235" s="3" t="n">
        <v>44322.22963459491</v>
      </c>
      <c r="T2235" s="3" t="n">
        <v>44322.462199594906</v>
      </c>
      <c r="U2235" t="s">
        <v>15319</v>
      </c>
      <c r="V2235" t="s">
        <v>15291</v>
      </c>
    </row>
    <row r="2236">
      <c r="A2236" t="s">
        <v>22</v>
      </c>
      <c r="B2236" t="s">
        <v>15324</v>
      </c>
      <c r="C2236" t="s">
        <v>60</v>
      </c>
      <c r="D2236" t="s">
        <v>715</v>
      </c>
      <c r="E2236" t="s">
        <v>15285</v>
      </c>
      <c r="F2236" s="2" t="n">
        <f>HYPERLINK("https://patents.google.com/patent/US20210128935","Google")</f>
        <v>0.0</v>
      </c>
      <c r="G2236" s="2" t="n">
        <f>HYPERLINK("https://patentcenter.uspto.gov/applications/17117858","Patent Center")</f>
        <v>0.0</v>
      </c>
      <c r="H2236" s="2" t="n">
        <f>HYPERLINK("https://worldwide.espacenet.com/patent/search?q=US20210128935","Espacenet")</f>
        <v>0.0</v>
      </c>
      <c r="I2236" s="2" t="n">
        <f>HYPERLINK("https://ppubs.uspto.gov/pubwebapp/external.html?q=20210128935.pn.","USPTO")</f>
        <v>0.0</v>
      </c>
      <c r="J2236" s="2" t="n">
        <f>HYPERLINK("https://image-ppubs.uspto.gov/dirsearch-public/print/downloadPdf/20210128935","USPTO PDF")</f>
        <v>0.0</v>
      </c>
      <c r="K2236" s="2" t="n">
        <f>HYPERLINK("https://sectors.patentforecast.com/pmd/US20210128935","PMD")</f>
        <v>0.0</v>
      </c>
      <c r="L2236" s="2" t="n">
        <f>HYPERLINK("https://globaldossier.uspto.gov/result/application/US/17117858/1","US20210128935")</f>
        <v>0.0</v>
      </c>
      <c r="M2236" t="s">
        <v>15325</v>
      </c>
      <c r="N2236" t="s">
        <v>15287</v>
      </c>
      <c r="O2236" t="s">
        <v>15288</v>
      </c>
      <c r="P2236" t="s">
        <v>15289</v>
      </c>
      <c r="Q2236" s="3" t="n">
        <v>44175.0</v>
      </c>
      <c r="R2236" s="3" t="n">
        <v>44322.0</v>
      </c>
      <c r="S2236" s="3" t="n">
        <v>44322.22963459491</v>
      </c>
      <c r="T2236" s="3" t="n">
        <v>44322.462199594906</v>
      </c>
      <c r="U2236" t="s">
        <v>15326</v>
      </c>
      <c r="V2236" t="s">
        <v>15291</v>
      </c>
    </row>
    <row r="2237">
      <c r="A2237" t="s">
        <v>22</v>
      </c>
      <c r="B2237" t="s">
        <v>15327</v>
      </c>
      <c r="C2237" t="s">
        <v>60</v>
      </c>
      <c r="D2237" t="s">
        <v>715</v>
      </c>
      <c r="E2237" t="s">
        <v>15328</v>
      </c>
      <c r="F2237" s="2" t="n">
        <f>HYPERLINK("https://patents.google.com/patent/US20210128814","Google")</f>
        <v>0.0</v>
      </c>
      <c r="G2237" s="2" t="n">
        <f>HYPERLINK("https://patentcenter.uspto.gov/applications/17139257","Patent Center")</f>
        <v>0.0</v>
      </c>
      <c r="H2237" s="2" t="n">
        <f>HYPERLINK("https://worldwide.espacenet.com/patent/search?q=US20210128814","Espacenet")</f>
        <v>0.0</v>
      </c>
      <c r="I2237" s="2" t="n">
        <f>HYPERLINK("https://ppubs.uspto.gov/pubwebapp/external.html?q=20210128814.pn.","USPTO")</f>
        <v>0.0</v>
      </c>
      <c r="J2237" s="2" t="n">
        <f>HYPERLINK("https://image-ppubs.uspto.gov/dirsearch-public/print/downloadPdf/20210128814","USPTO PDF")</f>
        <v>0.0</v>
      </c>
      <c r="K2237" s="2" t="n">
        <f>HYPERLINK("https://sectors.patentforecast.com/pmd/US20210128814","PMD")</f>
        <v>0.0</v>
      </c>
      <c r="L2237" s="2" t="n">
        <f>HYPERLINK("https://globaldossier.uspto.gov/result/application/US/17139257/1","US20210128814")</f>
        <v>0.0</v>
      </c>
      <c r="M2237" t="s">
        <v>15329</v>
      </c>
      <c r="N2237" t="s">
        <v>8248</v>
      </c>
      <c r="O2237" t="s">
        <v>8249</v>
      </c>
      <c r="P2237" t="s">
        <v>8250</v>
      </c>
      <c r="Q2237" s="3" t="n">
        <v>44196.0</v>
      </c>
      <c r="R2237" s="3" t="n">
        <v>44322.0</v>
      </c>
      <c r="S2237" s="3" t="n">
        <v>44322.229633842595</v>
      </c>
      <c r="T2237" s="3" t="n">
        <v>44322.46702956018</v>
      </c>
      <c r="U2237" t="s">
        <v>15330</v>
      </c>
      <c r="V2237" t="s">
        <v>15331</v>
      </c>
    </row>
    <row r="2238">
      <c r="A2238" t="s">
        <v>22</v>
      </c>
      <c r="B2238" t="s">
        <v>15332</v>
      </c>
      <c r="C2238" t="s">
        <v>312</v>
      </c>
      <c r="D2238" t="s">
        <v>3202</v>
      </c>
      <c r="E2238" t="s">
        <v>15333</v>
      </c>
      <c r="F2238" s="2" t="n">
        <f>HYPERLINK("https://patents.google.com/patent/US20210125732","Google")</f>
        <v>0.0</v>
      </c>
      <c r="G2238" s="2" t="n">
        <f>HYPERLINK("https://patentcenter.uspto.gov/applications/17079337","Patent Center")</f>
        <v>0.0</v>
      </c>
      <c r="H2238" s="2" t="n">
        <f>HYPERLINK("https://worldwide.espacenet.com/patent/search?q=US20210125732","Espacenet")</f>
        <v>0.0</v>
      </c>
      <c r="I2238" s="2" t="n">
        <f>HYPERLINK("https://ppubs.uspto.gov/pubwebapp/external.html?q=20210125732.pn.","USPTO")</f>
        <v>0.0</v>
      </c>
      <c r="J2238" s="2" t="n">
        <f>HYPERLINK("https://image-ppubs.uspto.gov/dirsearch-public/print/downloadPdf/20210125732","USPTO PDF")</f>
        <v>0.0</v>
      </c>
      <c r="K2238" s="2" t="n">
        <f>HYPERLINK("https://sectors.patentforecast.com/pmd/US20210125732","PMD")</f>
        <v>0.0</v>
      </c>
      <c r="L2238" s="2" t="n">
        <f>HYPERLINK("https://globaldossier.uspto.gov/result/application/US/17079337/1","US20210125732")</f>
        <v>0.0</v>
      </c>
      <c r="M2238" t="s">
        <v>15334</v>
      </c>
      <c r="N2238" t="s">
        <v>3598</v>
      </c>
      <c r="O2238" t="s">
        <v>3599</v>
      </c>
      <c r="P2238" t="s">
        <v>15335</v>
      </c>
      <c r="Q2238" s="3" t="n">
        <v>44127.0</v>
      </c>
      <c r="R2238" s="3" t="n">
        <v>44315.0</v>
      </c>
      <c r="S2238" s="3" t="n">
        <v>44315.22954768519</v>
      </c>
      <c r="T2238" s="3" t="n">
        <v>44316.490292476854</v>
      </c>
      <c r="U2238" t="s">
        <v>15336</v>
      </c>
      <c r="V2238" t="s">
        <v>15337</v>
      </c>
    </row>
    <row r="2239">
      <c r="A2239" t="s">
        <v>22</v>
      </c>
      <c r="B2239" t="s">
        <v>15338</v>
      </c>
      <c r="C2239" t="s">
        <v>24</v>
      </c>
      <c r="D2239" t="s">
        <v>34</v>
      </c>
      <c r="E2239" t="s">
        <v>15339</v>
      </c>
      <c r="F2239" s="2" t="n">
        <f>HYPERLINK("https://patents.google.com/patent/US20210123921","Google")</f>
        <v>0.0</v>
      </c>
      <c r="G2239" s="2" t="n">
        <f>HYPERLINK("https://patentcenter.uspto.gov/applications/17073232","Patent Center")</f>
        <v>0.0</v>
      </c>
      <c r="H2239" s="2" t="n">
        <f>HYPERLINK("https://worldwide.espacenet.com/patent/search?q=US20210123921","Espacenet")</f>
        <v>0.0</v>
      </c>
      <c r="I2239" s="2" t="n">
        <f>HYPERLINK("https://ppubs.uspto.gov/pubwebapp/external.html?q=20210123921.pn.","USPTO")</f>
        <v>0.0</v>
      </c>
      <c r="J2239" s="2" t="n">
        <f>HYPERLINK("https://image-ppubs.uspto.gov/dirsearch-public/print/downloadPdf/20210123921","USPTO PDF")</f>
        <v>0.0</v>
      </c>
      <c r="K2239" s="2" t="n">
        <f>HYPERLINK("https://sectors.patentforecast.com/pmd/US20210123921","PMD")</f>
        <v>0.0</v>
      </c>
      <c r="L2239" s="2" t="n">
        <f>HYPERLINK("https://globaldossier.uspto.gov/result/application/US/17073232/1","US20210123921")</f>
        <v>0.0</v>
      </c>
      <c r="M2239" t="s">
        <v>15340</v>
      </c>
      <c r="N2239" t="s">
        <v>15341</v>
      </c>
      <c r="O2239" t="s">
        <v>15342</v>
      </c>
      <c r="P2239" t="s">
        <v>15343</v>
      </c>
      <c r="Q2239" s="3" t="n">
        <v>44120.0</v>
      </c>
      <c r="R2239" s="3" t="n">
        <v>44315.0</v>
      </c>
      <c r="S2239" s="3" t="n">
        <v>44315.22954768519</v>
      </c>
      <c r="T2239" s="3" t="n">
        <v>44316.484594166664</v>
      </c>
      <c r="U2239" t="s">
        <v>15344</v>
      </c>
      <c r="V2239" t="s">
        <v>15345</v>
      </c>
    </row>
    <row r="2240">
      <c r="A2240" t="s">
        <v>22</v>
      </c>
      <c r="B2240" t="s">
        <v>15346</v>
      </c>
      <c r="C2240" t="s">
        <v>24</v>
      </c>
      <c r="D2240" t="s">
        <v>51</v>
      </c>
      <c r="E2240" t="s">
        <v>15347</v>
      </c>
      <c r="F2240" s="2" t="n">
        <f>HYPERLINK("https://patents.google.com/patent/US20210123883","Google")</f>
        <v>0.0</v>
      </c>
      <c r="G2240" s="2" t="n">
        <f>HYPERLINK("https://patentcenter.uspto.gov/applications/17080517","Patent Center")</f>
        <v>0.0</v>
      </c>
      <c r="H2240" s="2" t="n">
        <f>HYPERLINK("https://worldwide.espacenet.com/patent/search?q=US20210123883","Espacenet")</f>
        <v>0.0</v>
      </c>
      <c r="I2240" s="2" t="n">
        <f>HYPERLINK("https://ppubs.uspto.gov/pubwebapp/external.html?q=20210123883.pn.","USPTO")</f>
        <v>0.0</v>
      </c>
      <c r="J2240" s="2" t="n">
        <f>HYPERLINK("https://image-ppubs.uspto.gov/dirsearch-public/print/downloadPdf/20210123883","USPTO PDF")</f>
        <v>0.0</v>
      </c>
      <c r="K2240" s="2" t="n">
        <f>HYPERLINK("https://sectors.patentforecast.com/pmd/US20210123883","PMD")</f>
        <v>0.0</v>
      </c>
      <c r="L2240" s="2" t="n">
        <f>HYPERLINK("https://globaldossier.uspto.gov/result/application/US/17080517/1","US20210123883")</f>
        <v>0.0</v>
      </c>
      <c r="M2240" t="s">
        <v>15348</v>
      </c>
      <c r="N2240" t="s">
        <v>54</v>
      </c>
      <c r="O2240" t="s">
        <v>55</v>
      </c>
      <c r="P2240" t="s">
        <v>14379</v>
      </c>
      <c r="Q2240" s="3" t="n">
        <v>44130.0</v>
      </c>
      <c r="R2240" s="3" t="n">
        <v>44315.0</v>
      </c>
      <c r="S2240" s="3" t="n">
        <v>44315.22954768519</v>
      </c>
      <c r="T2240" s="3" t="n">
        <v>44316.48414609954</v>
      </c>
      <c r="U2240" t="s">
        <v>15349</v>
      </c>
      <c r="V2240" t="s">
        <v>14381</v>
      </c>
    </row>
    <row r="2241">
      <c r="A2241" t="s">
        <v>22</v>
      </c>
      <c r="B2241" t="s">
        <v>15350</v>
      </c>
      <c r="C2241" t="s">
        <v>132</v>
      </c>
      <c r="D2241" t="s">
        <v>2629</v>
      </c>
      <c r="E2241" t="s">
        <v>15351</v>
      </c>
      <c r="F2241" s="2" t="n">
        <f>HYPERLINK("https://patents.google.com/patent/US20210121560","Google")</f>
        <v>0.0</v>
      </c>
      <c r="G2241" s="2" t="n">
        <f>HYPERLINK("https://patentcenter.uspto.gov/applications/17141704","Patent Center")</f>
        <v>0.0</v>
      </c>
      <c r="H2241" s="2" t="n">
        <f>HYPERLINK("https://worldwide.espacenet.com/patent/search?q=US20210121560","Espacenet")</f>
        <v>0.0</v>
      </c>
      <c r="I2241" s="2" t="n">
        <f>HYPERLINK("https://ppubs.uspto.gov/pubwebapp/external.html?q=20210121560.pn.","USPTO")</f>
        <v>0.0</v>
      </c>
      <c r="J2241" s="2" t="n">
        <f>HYPERLINK("https://image-ppubs.uspto.gov/dirsearch-public/print/downloadPdf/20210121560","USPTO PDF")</f>
        <v>0.0</v>
      </c>
      <c r="K2241" s="2" t="n">
        <f>HYPERLINK("https://sectors.patentforecast.com/pmd/US20210121560","PMD")</f>
        <v>0.0</v>
      </c>
      <c r="L2241" s="2" t="n">
        <f>HYPERLINK("https://globaldossier.uspto.gov/result/application/US/17141704/1","US20210121560")</f>
        <v>0.0</v>
      </c>
      <c r="M2241" t="s">
        <v>15352</v>
      </c>
      <c r="N2241" t="s">
        <v>7854</v>
      </c>
      <c r="O2241" t="s">
        <v>7855</v>
      </c>
      <c r="P2241" t="s">
        <v>15353</v>
      </c>
      <c r="Q2241" s="3" t="n">
        <v>44201.0</v>
      </c>
      <c r="R2241" s="3" t="n">
        <v>44315.0</v>
      </c>
      <c r="S2241" s="3" t="n">
        <v>44315.23116564815</v>
      </c>
      <c r="T2241" s="3" t="n">
        <v>44316.484335960646</v>
      </c>
      <c r="U2241" t="s">
        <v>15354</v>
      </c>
      <c r="V2241" t="s">
        <v>15355</v>
      </c>
    </row>
    <row r="2242">
      <c r="A2242" t="s">
        <v>22</v>
      </c>
      <c r="B2242" t="s">
        <v>15356</v>
      </c>
      <c r="C2242" t="s">
        <v>24</v>
      </c>
      <c r="D2242" t="s">
        <v>69</v>
      </c>
      <c r="E2242" t="s">
        <v>15357</v>
      </c>
      <c r="F2242" s="2" t="n">
        <f>HYPERLINK("https://patents.google.com/patent/US20210117649","Google")</f>
        <v>0.0</v>
      </c>
      <c r="G2242" s="2" t="n">
        <f>HYPERLINK("https://patentcenter.uspto.gov/applications/17247847","Patent Center")</f>
        <v>0.0</v>
      </c>
      <c r="H2242" s="2" t="n">
        <f>HYPERLINK("https://worldwide.espacenet.com/patent/search?q=US20210117649","Espacenet")</f>
        <v>0.0</v>
      </c>
      <c r="I2242" s="2" t="n">
        <f>HYPERLINK("https://ppubs.uspto.gov/pubwebapp/external.html?q=20210117649.pn.","USPTO")</f>
        <v>0.0</v>
      </c>
      <c r="J2242" s="2" t="n">
        <f>HYPERLINK("https://image-ppubs.uspto.gov/dirsearch-public/print/downloadPdf/20210117649","USPTO PDF")</f>
        <v>0.0</v>
      </c>
      <c r="K2242" s="2" t="n">
        <f>HYPERLINK("https://sectors.patentforecast.com/pmd/US20210117649","PMD")</f>
        <v>0.0</v>
      </c>
      <c r="L2242" s="2" t="n">
        <f>HYPERLINK("https://globaldossier.uspto.gov/result/application/US/17247847/1","US20210117649")</f>
        <v>0.0</v>
      </c>
      <c r="M2242" t="s">
        <v>15358</v>
      </c>
      <c r="N2242" t="s">
        <v>15359</v>
      </c>
      <c r="O2242" t="s">
        <v>15360</v>
      </c>
      <c r="P2242" t="s">
        <v>15361</v>
      </c>
      <c r="Q2242" s="3" t="n">
        <v>44191.0</v>
      </c>
      <c r="R2242" s="3" t="n">
        <v>44308.0</v>
      </c>
      <c r="S2242" s="3" t="n">
        <v>44308.22963648148</v>
      </c>
      <c r="T2242" s="3" t="n">
        <v>44308.54939755787</v>
      </c>
      <c r="U2242" t="s">
        <v>15362</v>
      </c>
      <c r="V2242" t="s">
        <v>15363</v>
      </c>
    </row>
    <row r="2243">
      <c r="A2243" t="s">
        <v>22</v>
      </c>
      <c r="B2243" t="s">
        <v>15364</v>
      </c>
      <c r="C2243" t="s">
        <v>312</v>
      </c>
      <c r="D2243" t="s">
        <v>3202</v>
      </c>
      <c r="E2243" t="s">
        <v>15365</v>
      </c>
      <c r="F2243" s="2" t="n">
        <f>HYPERLINK("https://patents.google.com/patent/US20210110919","Google")</f>
        <v>0.0</v>
      </c>
      <c r="G2243" s="2" t="n">
        <f>HYPERLINK("https://patentcenter.uspto.gov/applications/17129374","Patent Center")</f>
        <v>0.0</v>
      </c>
      <c r="H2243" s="2" t="n">
        <f>HYPERLINK("https://worldwide.espacenet.com/patent/search?q=US20210110919","Espacenet")</f>
        <v>0.0</v>
      </c>
      <c r="I2243" s="2" t="n">
        <f>HYPERLINK("https://ppubs.uspto.gov/pubwebapp/external.html?q=20210110919.pn.","USPTO")</f>
        <v>0.0</v>
      </c>
      <c r="J2243" s="2" t="n">
        <f>HYPERLINK("https://image-ppubs.uspto.gov/dirsearch-public/print/downloadPdf/20210110919","USPTO PDF")</f>
        <v>0.0</v>
      </c>
      <c r="K2243" s="2" t="n">
        <f>HYPERLINK("https://sectors.patentforecast.com/pmd/US20210110919","PMD")</f>
        <v>0.0</v>
      </c>
      <c r="L2243" s="2" t="n">
        <f>HYPERLINK("https://globaldossier.uspto.gov/result/application/US/17129374/1","US20210110919")</f>
        <v>0.0</v>
      </c>
      <c r="M2243" t="s">
        <v>15366</v>
      </c>
      <c r="N2243" t="s">
        <v>15367</v>
      </c>
      <c r="O2243" t="s">
        <v>15368</v>
      </c>
      <c r="P2243" t="s">
        <v>15369</v>
      </c>
      <c r="Q2243" s="3" t="n">
        <v>44186.0</v>
      </c>
      <c r="R2243" s="3" t="n">
        <v>44301.0</v>
      </c>
      <c r="S2243" s="3" t="n">
        <v>44301.229632905095</v>
      </c>
      <c r="T2243" s="3" t="n">
        <v>44301.46191190972</v>
      </c>
      <c r="U2243" t="s">
        <v>15370</v>
      </c>
      <c r="V2243" t="s">
        <v>15371</v>
      </c>
    </row>
    <row r="2244">
      <c r="A2244" t="s">
        <v>22</v>
      </c>
      <c r="B2244" t="s">
        <v>15372</v>
      </c>
      <c r="C2244" t="s">
        <v>24</v>
      </c>
      <c r="D2244" t="s">
        <v>100</v>
      </c>
      <c r="E2244" t="s">
        <v>14698</v>
      </c>
      <c r="F2244" s="2" t="n">
        <f>HYPERLINK("https://patents.google.com/patent/US20210110700","Google")</f>
        <v>0.0</v>
      </c>
      <c r="G2244" s="2" t="n">
        <f>HYPERLINK("https://patentcenter.uspto.gov/applications/17067172","Patent Center")</f>
        <v>0.0</v>
      </c>
      <c r="H2244" s="2" t="n">
        <f>HYPERLINK("https://worldwide.espacenet.com/patent/search?q=US20210110700","Espacenet")</f>
        <v>0.0</v>
      </c>
      <c r="I2244" s="2" t="n">
        <f>HYPERLINK("https://ppubs.uspto.gov/pubwebapp/external.html?q=20210110700.pn.","USPTO")</f>
        <v>0.0</v>
      </c>
      <c r="J2244" s="2" t="n">
        <f>HYPERLINK("https://image-ppubs.uspto.gov/dirsearch-public/print/downloadPdf/20210110700","USPTO PDF")</f>
        <v>0.0</v>
      </c>
      <c r="K2244" s="2" t="n">
        <f>HYPERLINK("https://sectors.patentforecast.com/pmd/US20210110700","PMD")</f>
        <v>0.0</v>
      </c>
      <c r="L2244" s="2" t="n">
        <f>HYPERLINK("https://globaldossier.uspto.gov/result/application/US/17067172/1","US20210110700")</f>
        <v>0.0</v>
      </c>
      <c r="M2244" t="s">
        <v>15373</v>
      </c>
      <c r="N2244" t="s">
        <v>14700</v>
      </c>
      <c r="O2244" t="s">
        <v>14701</v>
      </c>
      <c r="P2244" t="s">
        <v>14702</v>
      </c>
      <c r="Q2244" s="3" t="n">
        <v>44113.0</v>
      </c>
      <c r="R2244" s="3" t="n">
        <v>44301.0</v>
      </c>
      <c r="S2244" s="3" t="n">
        <v>44301.229632905095</v>
      </c>
      <c r="T2244" s="3" t="n">
        <v>44301.46271328704</v>
      </c>
      <c r="U2244" t="s">
        <v>15374</v>
      </c>
      <c r="V2244" t="s">
        <v>14704</v>
      </c>
    </row>
    <row r="2245">
      <c r="A2245" t="s">
        <v>22</v>
      </c>
      <c r="B2245" t="s">
        <v>15375</v>
      </c>
      <c r="C2245" t="s">
        <v>24</v>
      </c>
      <c r="D2245" t="s">
        <v>34</v>
      </c>
      <c r="E2245" t="s">
        <v>15376</v>
      </c>
      <c r="F2245" s="2" t="n">
        <f>HYPERLINK("https://patents.google.com/patent/US20210108259","Google")</f>
        <v>0.0</v>
      </c>
      <c r="G2245" s="2" t="n">
        <f>HYPERLINK("https://patentcenter.uspto.gov/applications/17065675","Patent Center")</f>
        <v>0.0</v>
      </c>
      <c r="H2245" s="2" t="n">
        <f>HYPERLINK("https://worldwide.espacenet.com/patent/search?q=US20210108259","Espacenet")</f>
        <v>0.0</v>
      </c>
      <c r="I2245" s="2" t="n">
        <f>HYPERLINK("https://ppubs.uspto.gov/pubwebapp/external.html?q=20210108259.pn.","USPTO")</f>
        <v>0.0</v>
      </c>
      <c r="J2245" s="2" t="n">
        <f>HYPERLINK("https://image-ppubs.uspto.gov/dirsearch-public/print/downloadPdf/20210108259","USPTO PDF")</f>
        <v>0.0</v>
      </c>
      <c r="K2245" s="2" t="n">
        <f>HYPERLINK("https://sectors.patentforecast.com/pmd/US20210108259","PMD")</f>
        <v>0.0</v>
      </c>
      <c r="L2245" s="2" t="n">
        <f>HYPERLINK("https://globaldossier.uspto.gov/result/application/US/17065675/1","US20210108259")</f>
        <v>0.0</v>
      </c>
      <c r="M2245" t="s">
        <v>15377</v>
      </c>
      <c r="N2245" t="s">
        <v>15378</v>
      </c>
      <c r="O2245" t="s">
        <v>15379</v>
      </c>
      <c r="P2245" t="s">
        <v>15380</v>
      </c>
      <c r="Q2245" s="3" t="n">
        <v>44112.0</v>
      </c>
      <c r="R2245" s="3" t="n">
        <v>44301.0</v>
      </c>
      <c r="S2245" s="3" t="n">
        <v>44301.229632905095</v>
      </c>
      <c r="T2245" s="3" t="n">
        <v>44301.464215162036</v>
      </c>
      <c r="U2245" t="s">
        <v>15381</v>
      </c>
      <c r="V2245" t="s">
        <v>15382</v>
      </c>
    </row>
    <row r="2246">
      <c r="A2246" t="s">
        <v>22</v>
      </c>
      <c r="B2246" t="s">
        <v>15383</v>
      </c>
      <c r="C2246" t="s">
        <v>60</v>
      </c>
      <c r="D2246" t="s">
        <v>715</v>
      </c>
      <c r="E2246" t="s">
        <v>7027</v>
      </c>
      <c r="F2246" s="2" t="n">
        <f>HYPERLINK("https://patents.google.com/patent/US20210106844","Google")</f>
        <v>0.0</v>
      </c>
      <c r="G2246" s="2" t="n">
        <f>HYPERLINK("https://patentcenter.uspto.gov/applications/16992893","Patent Center")</f>
        <v>0.0</v>
      </c>
      <c r="H2246" s="2" t="n">
        <f>HYPERLINK("https://worldwide.espacenet.com/patent/search?q=US20210106844","Espacenet")</f>
        <v>0.0</v>
      </c>
      <c r="I2246" s="2" t="n">
        <f>HYPERLINK("https://ppubs.uspto.gov/pubwebapp/external.html?q=20210106844.pn.","USPTO")</f>
        <v>0.0</v>
      </c>
      <c r="J2246" s="2" t="n">
        <f>HYPERLINK("https://image-ppubs.uspto.gov/dirsearch-public/print/downloadPdf/20210106844","USPTO PDF")</f>
        <v>0.0</v>
      </c>
      <c r="K2246" s="2" t="n">
        <f>HYPERLINK("https://sectors.patentforecast.com/pmd/US20210106844","PMD")</f>
        <v>0.0</v>
      </c>
      <c r="L2246" s="2" t="n">
        <f>HYPERLINK("https://globaldossier.uspto.gov/result/application/US/16992893/1","US20210106844")</f>
        <v>0.0</v>
      </c>
      <c r="M2246" t="s">
        <v>15384</v>
      </c>
      <c r="N2246" t="s">
        <v>4923</v>
      </c>
      <c r="O2246" t="s">
        <v>4923</v>
      </c>
      <c r="P2246" t="s">
        <v>7029</v>
      </c>
      <c r="Q2246" s="3" t="n">
        <v>44056.0</v>
      </c>
      <c r="R2246" s="3" t="n">
        <v>44301.0</v>
      </c>
      <c r="S2246" s="3" t="n">
        <v>44301.229632905095</v>
      </c>
      <c r="T2246" s="3" t="n">
        <v>44301.46245245371</v>
      </c>
      <c r="U2246" t="s">
        <v>15385</v>
      </c>
      <c r="V2246" t="s">
        <v>7031</v>
      </c>
    </row>
    <row r="2247">
      <c r="A2247" t="s">
        <v>22</v>
      </c>
      <c r="B2247" t="s">
        <v>15386</v>
      </c>
      <c r="C2247" t="s">
        <v>24</v>
      </c>
      <c r="D2247" t="s">
        <v>8459</v>
      </c>
      <c r="E2247" t="s">
        <v>15387</v>
      </c>
      <c r="F2247" s="2" t="n">
        <f>HYPERLINK("https://patents.google.com/patent/US20210105353","Google")</f>
        <v>0.0</v>
      </c>
      <c r="G2247" s="2" t="n">
        <f>HYPERLINK("https://patentcenter.uspto.gov/applications/16951855","Patent Center")</f>
        <v>0.0</v>
      </c>
      <c r="H2247" s="2" t="n">
        <f>HYPERLINK("https://worldwide.espacenet.com/patent/search?q=US20210105353","Espacenet")</f>
        <v>0.0</v>
      </c>
      <c r="I2247" s="2" t="n">
        <f>HYPERLINK("https://ppubs.uspto.gov/pubwebapp/external.html?q=20210105353.pn.","USPTO")</f>
        <v>0.0</v>
      </c>
      <c r="J2247" s="2" t="n">
        <f>HYPERLINK("https://image-ppubs.uspto.gov/dirsearch-public/print/downloadPdf/20210105353","USPTO PDF")</f>
        <v>0.0</v>
      </c>
      <c r="K2247" s="2" t="n">
        <f>HYPERLINK("https://sectors.patentforecast.com/pmd/US20210105353","PMD")</f>
        <v>0.0</v>
      </c>
      <c r="L2247" s="2" t="n">
        <f>HYPERLINK("https://globaldossier.uspto.gov/result/application/US/16951855/1","US20210105353")</f>
        <v>0.0</v>
      </c>
      <c r="M2247" t="s">
        <v>15388</v>
      </c>
      <c r="N2247" t="s">
        <v>12669</v>
      </c>
      <c r="O2247" t="s">
        <v>12670</v>
      </c>
      <c r="P2247" t="s">
        <v>15205</v>
      </c>
      <c r="Q2247" s="3" t="n">
        <v>44153.0</v>
      </c>
      <c r="R2247" s="3" t="n">
        <v>44294.0</v>
      </c>
      <c r="S2247" s="3" t="n">
        <v>44294.22959606481</v>
      </c>
      <c r="T2247" s="3" t="n">
        <v>44294.521340231484</v>
      </c>
      <c r="U2247" t="s">
        <v>15389</v>
      </c>
      <c r="V2247" t="s">
        <v>15390</v>
      </c>
    </row>
    <row r="2248">
      <c r="A2248" t="s">
        <v>22</v>
      </c>
      <c r="B2248" t="s">
        <v>15391</v>
      </c>
      <c r="C2248" t="s">
        <v>24</v>
      </c>
      <c r="D2248" t="s">
        <v>3193</v>
      </c>
      <c r="E2248" t="s">
        <v>15392</v>
      </c>
      <c r="F2248" s="2" t="n">
        <f>HYPERLINK("https://patents.google.com/patent/US20210104334","Google")</f>
        <v>0.0</v>
      </c>
      <c r="G2248" s="2" t="n">
        <f>HYPERLINK("https://patentcenter.uspto.gov/applications/17062254","Patent Center")</f>
        <v>0.0</v>
      </c>
      <c r="H2248" s="2" t="n">
        <f>HYPERLINK("https://worldwide.espacenet.com/patent/search?q=US20210104334","Espacenet")</f>
        <v>0.0</v>
      </c>
      <c r="I2248" s="2" t="n">
        <f>HYPERLINK("https://ppubs.uspto.gov/pubwebapp/external.html?q=20210104334.pn.","USPTO")</f>
        <v>0.0</v>
      </c>
      <c r="J2248" s="2" t="n">
        <f>HYPERLINK("https://image-ppubs.uspto.gov/dirsearch-public/print/downloadPdf/20210104334","USPTO PDF")</f>
        <v>0.0</v>
      </c>
      <c r="K2248" s="2" t="n">
        <f>HYPERLINK("https://sectors.patentforecast.com/pmd/US20210104334","PMD")</f>
        <v>0.0</v>
      </c>
      <c r="L2248" s="2" t="n">
        <f>HYPERLINK("https://globaldossier.uspto.gov/result/application/US/17062254/1","US20210104334")</f>
        <v>0.0</v>
      </c>
      <c r="M2248" t="s">
        <v>15393</v>
      </c>
      <c r="N2248" t="s">
        <v>15394</v>
      </c>
      <c r="O2248" t="s">
        <v>15394</v>
      </c>
      <c r="P2248" t="s">
        <v>15395</v>
      </c>
      <c r="Q2248" s="3" t="n">
        <v>44106.0</v>
      </c>
      <c r="R2248" s="3" t="n">
        <v>44294.0</v>
      </c>
      <c r="S2248" s="3" t="n">
        <v>44294.23017230324</v>
      </c>
      <c r="T2248" s="3" t="n">
        <v>44294.52102824074</v>
      </c>
      <c r="U2248" t="s">
        <v>15396</v>
      </c>
      <c r="V2248" t="s">
        <v>15397</v>
      </c>
    </row>
    <row r="2249">
      <c r="A2249" t="s">
        <v>22</v>
      </c>
      <c r="B2249" t="s">
        <v>15398</v>
      </c>
      <c r="C2249" t="s">
        <v>24</v>
      </c>
      <c r="D2249" t="s">
        <v>51</v>
      </c>
      <c r="E2249" t="s">
        <v>15399</v>
      </c>
      <c r="F2249" s="2" t="n">
        <f>HYPERLINK("https://patents.google.com/patent/US20210102265","Google")</f>
        <v>0.0</v>
      </c>
      <c r="G2249" s="2" t="n">
        <f>HYPERLINK("https://patentcenter.uspto.gov/applications/17104525","Patent Center")</f>
        <v>0.0</v>
      </c>
      <c r="H2249" s="2" t="n">
        <f>HYPERLINK("https://worldwide.espacenet.com/patent/search?q=US20210102265","Espacenet")</f>
        <v>0.0</v>
      </c>
      <c r="I2249" s="2" t="n">
        <f>HYPERLINK("https://ppubs.uspto.gov/pubwebapp/external.html?q=20210102265.pn.","USPTO")</f>
        <v>0.0</v>
      </c>
      <c r="J2249" s="2" t="n">
        <f>HYPERLINK("https://image-ppubs.uspto.gov/dirsearch-public/print/downloadPdf/20210102265","USPTO PDF")</f>
        <v>0.0</v>
      </c>
      <c r="K2249" s="2" t="n">
        <f>HYPERLINK("https://sectors.patentforecast.com/pmd/US20210102265","PMD")</f>
        <v>0.0</v>
      </c>
      <c r="L2249" s="2" t="n">
        <f>HYPERLINK("https://globaldossier.uspto.gov/result/application/US/17104525/1","US20210102265")</f>
        <v>0.0</v>
      </c>
      <c r="M2249" t="s">
        <v>15400</v>
      </c>
      <c r="N2249" t="s">
        <v>15401</v>
      </c>
      <c r="O2249" t="s">
        <v>15401</v>
      </c>
      <c r="P2249" t="s">
        <v>15402</v>
      </c>
      <c r="Q2249" s="3" t="n">
        <v>44160.0</v>
      </c>
      <c r="R2249" s="3" t="n">
        <v>44294.0</v>
      </c>
      <c r="S2249" s="3" t="n">
        <v>44294.23086679398</v>
      </c>
      <c r="T2249" s="3" t="n">
        <v>44294.51874935185</v>
      </c>
      <c r="U2249" t="s">
        <v>15403</v>
      </c>
      <c r="V2249" t="s">
        <v>15404</v>
      </c>
    </row>
    <row r="2250">
      <c r="A2250" t="s">
        <v>22</v>
      </c>
      <c r="B2250" t="s">
        <v>15405</v>
      </c>
      <c r="C2250" t="s">
        <v>132</v>
      </c>
      <c r="D2250" t="s">
        <v>142</v>
      </c>
      <c r="E2250" t="s">
        <v>15406</v>
      </c>
      <c r="F2250" s="2" t="n">
        <f>HYPERLINK("https://patents.google.com/patent/US20210101003","Google")</f>
        <v>0.0</v>
      </c>
      <c r="G2250" s="2" t="n">
        <f>HYPERLINK("https://patentcenter.uspto.gov/applications/17104833","Patent Center")</f>
        <v>0.0</v>
      </c>
      <c r="H2250" s="2" t="n">
        <f>HYPERLINK("https://worldwide.espacenet.com/patent/search?q=US20210101003","Espacenet")</f>
        <v>0.0</v>
      </c>
      <c r="I2250" s="2" t="n">
        <f>HYPERLINK("https://ppubs.uspto.gov/pubwebapp/external.html?q=20210101003.pn.","USPTO")</f>
        <v>0.0</v>
      </c>
      <c r="J2250" s="2" t="n">
        <f>HYPERLINK("https://image-ppubs.uspto.gov/dirsearch-public/print/downloadPdf/20210101003","USPTO PDF")</f>
        <v>0.0</v>
      </c>
      <c r="K2250" s="2" t="n">
        <f>HYPERLINK("https://sectors.patentforecast.com/pmd/US20210101003","PMD")</f>
        <v>0.0</v>
      </c>
      <c r="L2250" s="2" t="n">
        <f>HYPERLINK("https://globaldossier.uspto.gov/result/application/US/17104833/1","US20210101003")</f>
        <v>0.0</v>
      </c>
      <c r="M2250" t="s">
        <v>15407</v>
      </c>
      <c r="N2250" t="s">
        <v>9536</v>
      </c>
      <c r="O2250" t="s">
        <v>9537</v>
      </c>
      <c r="P2250" t="s">
        <v>15408</v>
      </c>
      <c r="Q2250" s="3" t="n">
        <v>44160.0</v>
      </c>
      <c r="R2250" s="3" t="n">
        <v>44294.0</v>
      </c>
      <c r="S2250" s="3" t="n">
        <v>44294.22959606481</v>
      </c>
      <c r="T2250" s="3" t="n">
        <v>44672.332854988425</v>
      </c>
      <c r="U2250" t="s">
        <v>15409</v>
      </c>
      <c r="V2250" t="s">
        <v>15410</v>
      </c>
    </row>
    <row r="2251">
      <c r="A2251" t="s">
        <v>22</v>
      </c>
      <c r="B2251" t="s">
        <v>15411</v>
      </c>
      <c r="C2251" t="s">
        <v>60</v>
      </c>
      <c r="D2251" t="s">
        <v>61</v>
      </c>
      <c r="E2251" t="s">
        <v>15412</v>
      </c>
      <c r="F2251" s="2" t="n">
        <f>HYPERLINK("https://patents.google.com/patent/US20210100878","Google")</f>
        <v>0.0</v>
      </c>
      <c r="G2251" s="2" t="n">
        <f>HYPERLINK("https://patentcenter.uspto.gov/applications/17008202","Patent Center")</f>
        <v>0.0</v>
      </c>
      <c r="H2251" s="2" t="n">
        <f>HYPERLINK("https://worldwide.espacenet.com/patent/search?q=US20210100878","Espacenet")</f>
        <v>0.0</v>
      </c>
      <c r="I2251" s="2" t="n">
        <f>HYPERLINK("https://ppubs.uspto.gov/pubwebapp/external.html?q=20210100878.pn.","USPTO")</f>
        <v>0.0</v>
      </c>
      <c r="J2251" s="2" t="n">
        <f>HYPERLINK("https://image-ppubs.uspto.gov/dirsearch-public/print/downloadPdf/20210100878","USPTO PDF")</f>
        <v>0.0</v>
      </c>
      <c r="K2251" s="2" t="n">
        <f>HYPERLINK("https://sectors.patentforecast.com/pmd/US20210100878","PMD")</f>
        <v>0.0</v>
      </c>
      <c r="L2251" s="2" t="n">
        <f>HYPERLINK("https://globaldossier.uspto.gov/result/application/US/17008202/1","US20210100878")</f>
        <v>0.0</v>
      </c>
      <c r="M2251" t="s">
        <v>15413</v>
      </c>
      <c r="N2251" t="s">
        <v>15414</v>
      </c>
      <c r="O2251" t="s">
        <v>15415</v>
      </c>
      <c r="P2251" t="s">
        <v>15416</v>
      </c>
      <c r="Q2251" s="3" t="n">
        <v>44074.0</v>
      </c>
      <c r="R2251" s="3" t="n">
        <v>44294.0</v>
      </c>
      <c r="S2251" s="3" t="n">
        <v>44294.22959606481</v>
      </c>
      <c r="T2251" s="3" t="n">
        <v>44294.52170459491</v>
      </c>
      <c r="U2251" t="s">
        <v>15417</v>
      </c>
      <c r="V2251" t="s">
        <v>15418</v>
      </c>
    </row>
    <row r="2252">
      <c r="A2252" t="s">
        <v>22</v>
      </c>
      <c r="B2252" t="s">
        <v>15419</v>
      </c>
      <c r="C2252" t="s">
        <v>132</v>
      </c>
      <c r="D2252" t="s">
        <v>1265</v>
      </c>
      <c r="E2252" t="s">
        <v>15420</v>
      </c>
      <c r="F2252" s="2" t="n">
        <f>HYPERLINK("https://patents.google.com/patent/US20210093711","Google")</f>
        <v>0.0</v>
      </c>
      <c r="G2252" s="2" t="n">
        <f>HYPERLINK("https://patentcenter.uspto.gov/applications/16963718","Patent Center")</f>
        <v>0.0</v>
      </c>
      <c r="H2252" s="2" t="n">
        <f>HYPERLINK("https://worldwide.espacenet.com/patent/search?q=US20210093711","Espacenet")</f>
        <v>0.0</v>
      </c>
      <c r="I2252" s="2" t="n">
        <f>HYPERLINK("https://ppubs.uspto.gov/pubwebapp/external.html?q=20210093711.pn.","USPTO")</f>
        <v>0.0</v>
      </c>
      <c r="J2252" s="2" t="n">
        <f>HYPERLINK("https://image-ppubs.uspto.gov/dirsearch-public/print/downloadPdf/20210093711","USPTO PDF")</f>
        <v>0.0</v>
      </c>
      <c r="K2252" s="2" t="n">
        <f>HYPERLINK("https://sectors.patentforecast.com/pmd/US20210093711","PMD")</f>
        <v>0.0</v>
      </c>
      <c r="L2252" s="2" t="n">
        <f>HYPERLINK("https://globaldossier.uspto.gov/result/application/US/16963718/1","US20210093711")</f>
        <v>0.0</v>
      </c>
      <c r="M2252" t="s">
        <v>15421</v>
      </c>
      <c r="N2252" t="s">
        <v>1792</v>
      </c>
      <c r="O2252" t="s">
        <v>1793</v>
      </c>
      <c r="P2252" t="s">
        <v>15422</v>
      </c>
      <c r="Q2252" s="3" t="n">
        <v>43483.0</v>
      </c>
      <c r="R2252" s="3" t="n">
        <v>44287.0</v>
      </c>
      <c r="S2252" s="3" t="n">
        <v>44287.23370060185</v>
      </c>
      <c r="T2252" s="3" t="n">
        <v>44287.55847384259</v>
      </c>
      <c r="U2252" t="s">
        <v>15423</v>
      </c>
      <c r="V2252" t="s">
        <v>15424</v>
      </c>
    </row>
    <row r="2253">
      <c r="A2253" t="s">
        <v>22</v>
      </c>
      <c r="B2253" t="s">
        <v>15425</v>
      </c>
      <c r="C2253" t="s">
        <v>132</v>
      </c>
      <c r="D2253" t="s">
        <v>1265</v>
      </c>
      <c r="E2253" t="s">
        <v>15426</v>
      </c>
      <c r="F2253" s="2" t="n">
        <f>HYPERLINK("https://patents.google.com/patent/US20210093709","Google")</f>
        <v>0.0</v>
      </c>
      <c r="G2253" s="2" t="n">
        <f>HYPERLINK("https://patentcenter.uspto.gov/applications/17031082","Patent Center")</f>
        <v>0.0</v>
      </c>
      <c r="H2253" s="2" t="n">
        <f>HYPERLINK("https://worldwide.espacenet.com/patent/search?q=US20210093709","Espacenet")</f>
        <v>0.0</v>
      </c>
      <c r="I2253" s="2" t="n">
        <f>HYPERLINK("https://ppubs.uspto.gov/pubwebapp/external.html?q=20210093709.pn.","USPTO")</f>
        <v>0.0</v>
      </c>
      <c r="J2253" s="2" t="n">
        <f>HYPERLINK("https://image-ppubs.uspto.gov/dirsearch-public/print/downloadPdf/20210093709","USPTO PDF")</f>
        <v>0.0</v>
      </c>
      <c r="K2253" s="2" t="n">
        <f>HYPERLINK("https://sectors.patentforecast.com/pmd/US20210093709","PMD")</f>
        <v>0.0</v>
      </c>
      <c r="L2253" s="2" t="n">
        <f>HYPERLINK("https://globaldossier.uspto.gov/result/application/US/17031082/1","US20210093709")</f>
        <v>0.0</v>
      </c>
      <c r="M2253" t="s">
        <v>15427</v>
      </c>
      <c r="N2253" t="s">
        <v>2127</v>
      </c>
      <c r="O2253" t="s">
        <v>2127</v>
      </c>
      <c r="P2253" t="s">
        <v>15428</v>
      </c>
      <c r="Q2253" s="3" t="n">
        <v>44098.0</v>
      </c>
      <c r="R2253" s="3" t="n">
        <v>44287.0</v>
      </c>
      <c r="S2253" s="3" t="n">
        <v>44287.22953603009</v>
      </c>
      <c r="T2253" s="3" t="n">
        <v>44287.560095381945</v>
      </c>
      <c r="U2253" t="s">
        <v>15429</v>
      </c>
      <c r="V2253" t="s">
        <v>15430</v>
      </c>
    </row>
    <row r="2254">
      <c r="A2254" t="s">
        <v>22</v>
      </c>
      <c r="B2254" t="s">
        <v>15431</v>
      </c>
      <c r="C2254" t="s">
        <v>24</v>
      </c>
      <c r="D2254" t="s">
        <v>69</v>
      </c>
      <c r="E2254" t="s">
        <v>15432</v>
      </c>
      <c r="F2254" s="2" t="n">
        <f>HYPERLINK("https://patents.google.com/patent/US20210092114","Google")</f>
        <v>0.0</v>
      </c>
      <c r="G2254" s="2" t="n">
        <f>HYPERLINK("https://patentcenter.uspto.gov/applications/16953087","Patent Center")</f>
        <v>0.0</v>
      </c>
      <c r="H2254" s="2" t="n">
        <f>HYPERLINK("https://worldwide.espacenet.com/patent/search?q=US20210092114","Espacenet")</f>
        <v>0.0</v>
      </c>
      <c r="I2254" s="2" t="n">
        <f>HYPERLINK("https://ppubs.uspto.gov/pubwebapp/external.html?q=20210092114.pn.","USPTO")</f>
        <v>0.0</v>
      </c>
      <c r="J2254" s="2" t="n">
        <f>HYPERLINK("https://image-ppubs.uspto.gov/dirsearch-public/print/downloadPdf/20210092114","USPTO PDF")</f>
        <v>0.0</v>
      </c>
      <c r="K2254" s="2" t="n">
        <f>HYPERLINK("https://sectors.patentforecast.com/pmd/US20210092114","PMD")</f>
        <v>0.0</v>
      </c>
      <c r="L2254" s="2" t="n">
        <f>HYPERLINK("https://globaldossier.uspto.gov/result/application/US/16953087/1","US20210092114")</f>
        <v>0.0</v>
      </c>
      <c r="M2254" t="s">
        <v>15433</v>
      </c>
      <c r="N2254" t="s">
        <v>15434</v>
      </c>
      <c r="O2254" t="s">
        <v>15435</v>
      </c>
      <c r="P2254" t="s">
        <v>15436</v>
      </c>
      <c r="Q2254" s="3" t="n">
        <v>44154.0</v>
      </c>
      <c r="R2254" s="3" t="n">
        <v>44280.0</v>
      </c>
      <c r="S2254" s="3" t="n">
        <v>44280.22953895833</v>
      </c>
      <c r="T2254" s="3" t="n">
        <v>44284.66477747685</v>
      </c>
      <c r="U2254" t="s">
        <v>15437</v>
      </c>
      <c r="V2254" t="s">
        <v>15438</v>
      </c>
    </row>
    <row r="2255">
      <c r="A2255" t="s">
        <v>22</v>
      </c>
      <c r="B2255" t="s">
        <v>15439</v>
      </c>
      <c r="C2255" t="s">
        <v>24</v>
      </c>
      <c r="D2255" t="s">
        <v>1356</v>
      </c>
      <c r="E2255" t="s">
        <v>15440</v>
      </c>
      <c r="F2255" s="2" t="n">
        <f>HYPERLINK("https://patents.google.com/patent/US20210090749","Google")</f>
        <v>0.0</v>
      </c>
      <c r="G2255" s="2" t="n">
        <f>HYPERLINK("https://patentcenter.uspto.gov/applications/17016563","Patent Center")</f>
        <v>0.0</v>
      </c>
      <c r="H2255" s="2" t="n">
        <f>HYPERLINK("https://worldwide.espacenet.com/patent/search?q=US20210090749","Espacenet")</f>
        <v>0.0</v>
      </c>
      <c r="I2255" s="2" t="n">
        <f>HYPERLINK("https://ppubs.uspto.gov/pubwebapp/external.html?q=20210090749.pn.","USPTO")</f>
        <v>0.0</v>
      </c>
      <c r="J2255" s="2" t="n">
        <f>HYPERLINK("https://image-ppubs.uspto.gov/dirsearch-public/print/downloadPdf/20210090749","USPTO PDF")</f>
        <v>0.0</v>
      </c>
      <c r="K2255" s="2" t="n">
        <f>HYPERLINK("https://sectors.patentforecast.com/pmd/US20210090749","PMD")</f>
        <v>0.0</v>
      </c>
      <c r="L2255" s="2" t="n">
        <f>HYPERLINK("https://globaldossier.uspto.gov/result/application/US/17016563/1","US20210090749")</f>
        <v>0.0</v>
      </c>
      <c r="M2255" t="s">
        <v>15441</v>
      </c>
      <c r="N2255" t="s">
        <v>7526</v>
      </c>
      <c r="O2255" t="s">
        <v>7527</v>
      </c>
      <c r="P2255" t="s">
        <v>15442</v>
      </c>
      <c r="Q2255" s="3" t="n">
        <v>44084.0</v>
      </c>
      <c r="R2255" s="3" t="n">
        <v>44280.0</v>
      </c>
      <c r="S2255" s="3" t="n">
        <v>44280.23011509259</v>
      </c>
      <c r="T2255" s="3" t="n">
        <v>44284.66540859954</v>
      </c>
      <c r="U2255" t="s">
        <v>15443</v>
      </c>
      <c r="V2255" t="s">
        <v>15444</v>
      </c>
    </row>
    <row r="2256">
      <c r="A2256" t="s">
        <v>22</v>
      </c>
      <c r="B2256" t="s">
        <v>15445</v>
      </c>
      <c r="C2256" t="s">
        <v>24</v>
      </c>
      <c r="D2256" t="s">
        <v>34</v>
      </c>
      <c r="E2256" t="s">
        <v>15446</v>
      </c>
      <c r="F2256" s="2" t="n">
        <f>HYPERLINK("https://patents.google.com/patent/US20210088517","Google")</f>
        <v>0.0</v>
      </c>
      <c r="G2256" s="2" t="n">
        <f>HYPERLINK("https://patentcenter.uspto.gov/applications/17036042","Patent Center")</f>
        <v>0.0</v>
      </c>
      <c r="H2256" s="2" t="n">
        <f>HYPERLINK("https://worldwide.espacenet.com/patent/search?q=US20210088517","Espacenet")</f>
        <v>0.0</v>
      </c>
      <c r="I2256" s="2" t="n">
        <f>HYPERLINK("https://ppubs.uspto.gov/pubwebapp/external.html?q=20210088517.pn.","USPTO")</f>
        <v>0.0</v>
      </c>
      <c r="J2256" s="2" t="n">
        <f>HYPERLINK("https://image-ppubs.uspto.gov/dirsearch-public/print/downloadPdf/20210088517","USPTO PDF")</f>
        <v>0.0</v>
      </c>
      <c r="K2256" s="2" t="n">
        <f>HYPERLINK("https://sectors.patentforecast.com/pmd/US20210088517","PMD")</f>
        <v>0.0</v>
      </c>
      <c r="L2256" s="2" t="n">
        <f>HYPERLINK("https://globaldossier.uspto.gov/result/application/US/17036042/1","US20210088517")</f>
        <v>0.0</v>
      </c>
      <c r="M2256" t="s">
        <v>15447</v>
      </c>
      <c r="N2256" t="s">
        <v>2024</v>
      </c>
      <c r="O2256" t="s">
        <v>2024</v>
      </c>
      <c r="P2256" t="s">
        <v>15448</v>
      </c>
      <c r="Q2256" s="3" t="n">
        <v>44103.0</v>
      </c>
      <c r="R2256" s="3" t="n">
        <v>44280.0</v>
      </c>
      <c r="S2256" s="3" t="n">
        <v>44280.22953895833</v>
      </c>
      <c r="T2256" s="3" t="n">
        <v>44284.66038771991</v>
      </c>
      <c r="U2256" t="s">
        <v>15449</v>
      </c>
      <c r="V2256" t="s">
        <v>15450</v>
      </c>
    </row>
    <row r="2257">
      <c r="A2257" t="s">
        <v>22</v>
      </c>
      <c r="B2257" t="s">
        <v>15451</v>
      </c>
      <c r="C2257" t="s">
        <v>24</v>
      </c>
      <c r="D2257" t="s">
        <v>34</v>
      </c>
      <c r="E2257" t="s">
        <v>14778</v>
      </c>
      <c r="F2257" s="2" t="n">
        <f>HYPERLINK("https://patents.google.com/patent/US20210088469","Google")</f>
        <v>0.0</v>
      </c>
      <c r="G2257" s="2" t="n">
        <f>HYPERLINK("https://patentcenter.uspto.gov/applications/17100903","Patent Center")</f>
        <v>0.0</v>
      </c>
      <c r="H2257" s="2" t="n">
        <f>HYPERLINK("https://worldwide.espacenet.com/patent/search?q=US20210088469","Espacenet")</f>
        <v>0.0</v>
      </c>
      <c r="I2257" s="2" t="n">
        <f>HYPERLINK("https://ppubs.uspto.gov/pubwebapp/external.html?q=20210088469.pn.","USPTO")</f>
        <v>0.0</v>
      </c>
      <c r="J2257" s="2" t="n">
        <f>HYPERLINK("https://image-ppubs.uspto.gov/dirsearch-public/print/downloadPdf/20210088469","USPTO PDF")</f>
        <v>0.0</v>
      </c>
      <c r="K2257" s="2" t="n">
        <f>HYPERLINK("https://sectors.patentforecast.com/pmd/US20210088469","PMD")</f>
        <v>0.0</v>
      </c>
      <c r="L2257" s="2" t="n">
        <f>HYPERLINK("https://globaldossier.uspto.gov/result/application/US/17100903/1","US20210088469")</f>
        <v>0.0</v>
      </c>
      <c r="M2257" t="s">
        <v>15452</v>
      </c>
      <c r="N2257" t="s">
        <v>14780</v>
      </c>
      <c r="O2257" t="s">
        <v>14780</v>
      </c>
      <c r="P2257" t="s">
        <v>15453</v>
      </c>
      <c r="Q2257" s="3" t="n">
        <v>44157.0</v>
      </c>
      <c r="R2257" s="3" t="n">
        <v>44280.0</v>
      </c>
      <c r="S2257" s="3" t="n">
        <v>44280.22953895833</v>
      </c>
      <c r="T2257" s="3" t="n">
        <v>44284.66038771991</v>
      </c>
      <c r="U2257" t="s">
        <v>15454</v>
      </c>
      <c r="V2257" t="s">
        <v>15455</v>
      </c>
    </row>
    <row r="2258">
      <c r="A2258" t="s">
        <v>22</v>
      </c>
      <c r="B2258" t="s">
        <v>15456</v>
      </c>
      <c r="C2258" t="s">
        <v>24</v>
      </c>
      <c r="D2258" t="s">
        <v>69</v>
      </c>
      <c r="E2258" t="s">
        <v>15457</v>
      </c>
      <c r="F2258" s="2" t="n">
        <f>HYPERLINK("https://patents.google.com/patent/US20210086005","Google")</f>
        <v>0.0</v>
      </c>
      <c r="G2258" s="2" t="n">
        <f>HYPERLINK("https://patentcenter.uspto.gov/applications/17112982","Patent Center")</f>
        <v>0.0</v>
      </c>
      <c r="H2258" s="2" t="n">
        <f>HYPERLINK("https://worldwide.espacenet.com/patent/search?q=US20210086005","Espacenet")</f>
        <v>0.0</v>
      </c>
      <c r="I2258" s="2" t="n">
        <f>HYPERLINK("https://ppubs.uspto.gov/pubwebapp/external.html?q=20210086005.pn.","USPTO")</f>
        <v>0.0</v>
      </c>
      <c r="J2258" s="2" t="n">
        <f>HYPERLINK("https://image-ppubs.uspto.gov/dirsearch-public/print/downloadPdf/20210086005","USPTO PDF")</f>
        <v>0.0</v>
      </c>
      <c r="K2258" s="2" t="n">
        <f>HYPERLINK("https://sectors.patentforecast.com/pmd/US20210086005","PMD")</f>
        <v>0.0</v>
      </c>
      <c r="L2258" s="2" t="n">
        <f>HYPERLINK("https://globaldossier.uspto.gov/result/application/US/17112982/1","US20210086005")</f>
        <v>0.0</v>
      </c>
      <c r="M2258" t="s">
        <v>15458</v>
      </c>
      <c r="N2258" t="s">
        <v>15459</v>
      </c>
      <c r="O2258" t="s">
        <v>15460</v>
      </c>
      <c r="P2258" t="s">
        <v>15461</v>
      </c>
      <c r="Q2258" s="3" t="n">
        <v>44170.0</v>
      </c>
      <c r="R2258" s="3" t="n">
        <v>44280.0</v>
      </c>
      <c r="S2258" s="3" t="n">
        <v>44280.22953895833</v>
      </c>
      <c r="T2258" s="3" t="n">
        <v>44284.66171984954</v>
      </c>
      <c r="U2258" t="s">
        <v>15462</v>
      </c>
      <c r="V2258" t="s">
        <v>15463</v>
      </c>
    </row>
    <row r="2259">
      <c r="A2259" t="s">
        <v>22</v>
      </c>
      <c r="B2259" t="s">
        <v>15464</v>
      </c>
      <c r="C2259" t="s">
        <v>24</v>
      </c>
      <c r="D2259" t="s">
        <v>100</v>
      </c>
      <c r="E2259" t="s">
        <v>15465</v>
      </c>
      <c r="F2259" s="2" t="n">
        <f>HYPERLINK("https://patents.google.com/patent/US20210085814","Google")</f>
        <v>0.0</v>
      </c>
      <c r="G2259" s="2" t="n">
        <f>HYPERLINK("https://patentcenter.uspto.gov/applications/17039502","Patent Center")</f>
        <v>0.0</v>
      </c>
      <c r="H2259" s="2" t="n">
        <f>HYPERLINK("https://worldwide.espacenet.com/patent/search?q=US20210085814","Espacenet")</f>
        <v>0.0</v>
      </c>
      <c r="I2259" s="2" t="n">
        <f>HYPERLINK("https://ppubs.uspto.gov/pubwebapp/external.html?q=20210085814.pn.","USPTO")</f>
        <v>0.0</v>
      </c>
      <c r="J2259" s="2" t="n">
        <f>HYPERLINK("https://image-ppubs.uspto.gov/dirsearch-public/print/downloadPdf/20210085814","USPTO PDF")</f>
        <v>0.0</v>
      </c>
      <c r="K2259" s="2" t="n">
        <f>HYPERLINK("https://sectors.patentforecast.com/pmd/US20210085814","PMD")</f>
        <v>0.0</v>
      </c>
      <c r="L2259" s="2" t="n">
        <f>HYPERLINK("https://globaldossier.uspto.gov/result/application/US/17039502/1","US20210085814")</f>
        <v>0.0</v>
      </c>
      <c r="M2259" t="s">
        <v>15466</v>
      </c>
      <c r="N2259" t="s">
        <v>5946</v>
      </c>
      <c r="O2259" t="s">
        <v>5947</v>
      </c>
      <c r="P2259" t="s">
        <v>5948</v>
      </c>
      <c r="Q2259" s="3" t="n">
        <v>44104.0</v>
      </c>
      <c r="R2259" s="3" t="n">
        <v>44280.0</v>
      </c>
      <c r="S2259" s="3" t="n">
        <v>44280.22953895833</v>
      </c>
      <c r="T2259" s="3" t="n">
        <v>44284.66178096065</v>
      </c>
      <c r="U2259" t="s">
        <v>15467</v>
      </c>
      <c r="V2259" t="s">
        <v>15468</v>
      </c>
    </row>
    <row r="2260">
      <c r="A2260" t="s">
        <v>22</v>
      </c>
      <c r="B2260" t="s">
        <v>15469</v>
      </c>
      <c r="C2260" t="s">
        <v>132</v>
      </c>
      <c r="D2260" t="s">
        <v>133</v>
      </c>
      <c r="E2260" t="s">
        <v>15470</v>
      </c>
      <c r="F2260" s="2" t="n">
        <f>HYPERLINK("https://patents.google.com/patent/US20210085781","Google")</f>
        <v>0.0</v>
      </c>
      <c r="G2260" s="2" t="n">
        <f>HYPERLINK("https://patentcenter.uspto.gov/applications/17025978","Patent Center")</f>
        <v>0.0</v>
      </c>
      <c r="H2260" s="2" t="n">
        <f>HYPERLINK("https://worldwide.espacenet.com/patent/search?q=US20210085781","Espacenet")</f>
        <v>0.0</v>
      </c>
      <c r="I2260" s="2" t="n">
        <f>HYPERLINK("https://ppubs.uspto.gov/pubwebapp/external.html?q=20210085781.pn.","USPTO")</f>
        <v>0.0</v>
      </c>
      <c r="J2260" s="2" t="n">
        <f>HYPERLINK("https://image-ppubs.uspto.gov/dirsearch-public/print/downloadPdf/20210085781","USPTO PDF")</f>
        <v>0.0</v>
      </c>
      <c r="K2260" s="2" t="n">
        <f>HYPERLINK("https://sectors.patentforecast.com/pmd/US20210085781","PMD")</f>
        <v>0.0</v>
      </c>
      <c r="L2260" s="2" t="n">
        <f>HYPERLINK("https://globaldossier.uspto.gov/result/application/US/17025978/1","US20210085781")</f>
        <v>0.0</v>
      </c>
      <c r="M2260" t="s">
        <v>15471</v>
      </c>
      <c r="N2260" t="s">
        <v>15472</v>
      </c>
      <c r="O2260" t="s">
        <v>15472</v>
      </c>
      <c r="P2260" t="s">
        <v>15473</v>
      </c>
      <c r="Q2260" s="3" t="n">
        <v>44092.0</v>
      </c>
      <c r="R2260" s="3" t="n">
        <v>44280.0</v>
      </c>
      <c r="S2260" s="3" t="n">
        <v>44280.22953895833</v>
      </c>
      <c r="T2260" s="3" t="n">
        <v>44284.66322449074</v>
      </c>
      <c r="U2260" t="s">
        <v>15474</v>
      </c>
      <c r="V2260" t="s">
        <v>15475</v>
      </c>
    </row>
    <row r="2261">
      <c r="A2261" t="s">
        <v>22</v>
      </c>
      <c r="B2261" t="s">
        <v>15476</v>
      </c>
      <c r="C2261" t="s">
        <v>132</v>
      </c>
      <c r="D2261" t="s">
        <v>2629</v>
      </c>
      <c r="E2261" t="s">
        <v>15477</v>
      </c>
      <c r="F2261" s="2" t="n">
        <f>HYPERLINK("https://patents.google.com/patent/US20210085779","Google")</f>
        <v>0.0</v>
      </c>
      <c r="G2261" s="2" t="n">
        <f>HYPERLINK("https://patentcenter.uspto.gov/applications/17063977","Patent Center")</f>
        <v>0.0</v>
      </c>
      <c r="H2261" s="2" t="n">
        <f>HYPERLINK("https://worldwide.espacenet.com/patent/search?q=US20210085779","Espacenet")</f>
        <v>0.0</v>
      </c>
      <c r="I2261" s="2" t="n">
        <f>HYPERLINK("https://ppubs.uspto.gov/pubwebapp/external.html?q=20210085779.pn.","USPTO")</f>
        <v>0.0</v>
      </c>
      <c r="J2261" s="2" t="n">
        <f>HYPERLINK("https://image-ppubs.uspto.gov/dirsearch-public/print/downloadPdf/20210085779","USPTO PDF")</f>
        <v>0.0</v>
      </c>
      <c r="K2261" s="2" t="n">
        <f>HYPERLINK("https://sectors.patentforecast.com/pmd/US20210085779","PMD")</f>
        <v>0.0</v>
      </c>
      <c r="L2261" s="2" t="n">
        <f>HYPERLINK("https://globaldossier.uspto.gov/result/application/US/17063977/1","US20210085779")</f>
        <v>0.0</v>
      </c>
      <c r="M2261" t="s">
        <v>15478</v>
      </c>
      <c r="N2261" t="s">
        <v>2541</v>
      </c>
      <c r="O2261" t="s">
        <v>2542</v>
      </c>
      <c r="P2261" t="s">
        <v>15479</v>
      </c>
      <c r="Q2261" s="3" t="n">
        <v>44110.0</v>
      </c>
      <c r="R2261" s="3" t="n">
        <v>44280.0</v>
      </c>
      <c r="S2261" s="3" t="n">
        <v>44280.23127236111</v>
      </c>
      <c r="T2261" s="3" t="n">
        <v>44284.663441006946</v>
      </c>
      <c r="U2261" t="s">
        <v>15480</v>
      </c>
      <c r="V2261" t="s">
        <v>15481</v>
      </c>
    </row>
    <row r="2262">
      <c r="A2262" t="s">
        <v>22</v>
      </c>
      <c r="B2262" t="s">
        <v>15482</v>
      </c>
      <c r="C2262" t="s">
        <v>132</v>
      </c>
      <c r="D2262" t="s">
        <v>11423</v>
      </c>
      <c r="E2262" t="s">
        <v>15483</v>
      </c>
      <c r="F2262" s="2" t="n">
        <f>HYPERLINK("https://patents.google.com/patent/US20210085774","Google")</f>
        <v>0.0</v>
      </c>
      <c r="G2262" s="2" t="n">
        <f>HYPERLINK("https://patentcenter.uspto.gov/applications/16954835","Patent Center")</f>
        <v>0.0</v>
      </c>
      <c r="H2262" s="2" t="n">
        <f>HYPERLINK("https://worldwide.espacenet.com/patent/search?q=US20210085774","Espacenet")</f>
        <v>0.0</v>
      </c>
      <c r="I2262" s="2" t="n">
        <f>HYPERLINK("https://ppubs.uspto.gov/pubwebapp/external.html?q=20210085774.pn.","USPTO")</f>
        <v>0.0</v>
      </c>
      <c r="J2262" s="2" t="n">
        <f>HYPERLINK("https://image-ppubs.uspto.gov/dirsearch-public/print/downloadPdf/20210085774","USPTO PDF")</f>
        <v>0.0</v>
      </c>
      <c r="K2262" s="2" t="n">
        <f>HYPERLINK("https://sectors.patentforecast.com/pmd/US20210085774","PMD")</f>
        <v>0.0</v>
      </c>
      <c r="L2262" s="2" t="n">
        <f>HYPERLINK("https://globaldossier.uspto.gov/result/application/US/16954835/1","US20210085774")</f>
        <v>0.0</v>
      </c>
      <c r="M2262" t="s">
        <v>15484</v>
      </c>
      <c r="N2262" t="s">
        <v>15485</v>
      </c>
      <c r="O2262" t="s">
        <v>15486</v>
      </c>
      <c r="P2262" t="s">
        <v>15487</v>
      </c>
      <c r="Q2262" s="3" t="n">
        <v>43224.0</v>
      </c>
      <c r="R2262" s="3" t="n">
        <v>44280.0</v>
      </c>
      <c r="S2262" s="3" t="n">
        <v>44280.23613322917</v>
      </c>
      <c r="T2262" s="3" t="n">
        <v>44284.66642832176</v>
      </c>
      <c r="U2262" t="s">
        <v>15488</v>
      </c>
      <c r="V2262" t="s">
        <v>15489</v>
      </c>
    </row>
    <row r="2263">
      <c r="A2263" t="s">
        <v>22</v>
      </c>
      <c r="B2263" t="s">
        <v>15490</v>
      </c>
      <c r="C2263" t="s">
        <v>132</v>
      </c>
      <c r="D2263" t="s">
        <v>133</v>
      </c>
      <c r="E2263" t="s">
        <v>15470</v>
      </c>
      <c r="F2263" s="2" t="n">
        <f>HYPERLINK("https://patents.google.com/patent/US20210085770","Google")</f>
        <v>0.0</v>
      </c>
      <c r="G2263" s="2" t="n">
        <f>HYPERLINK("https://patentcenter.uspto.gov/applications/17025947","Patent Center")</f>
        <v>0.0</v>
      </c>
      <c r="H2263" s="2" t="n">
        <f>HYPERLINK("https://worldwide.espacenet.com/patent/search?q=US20210085770","Espacenet")</f>
        <v>0.0</v>
      </c>
      <c r="I2263" s="2" t="n">
        <f>HYPERLINK("https://ppubs.uspto.gov/pubwebapp/external.html?q=20210085770.pn.","USPTO")</f>
        <v>0.0</v>
      </c>
      <c r="J2263" s="2" t="n">
        <f>HYPERLINK("https://image-ppubs.uspto.gov/dirsearch-public/print/downloadPdf/20210085770","USPTO PDF")</f>
        <v>0.0</v>
      </c>
      <c r="K2263" s="2" t="n">
        <f>HYPERLINK("https://sectors.patentforecast.com/pmd/US20210085770","PMD")</f>
        <v>0.0</v>
      </c>
      <c r="L2263" s="2" t="n">
        <f>HYPERLINK("https://globaldossier.uspto.gov/result/application/US/17025947/1","US20210085770")</f>
        <v>0.0</v>
      </c>
      <c r="M2263" t="s">
        <v>15491</v>
      </c>
      <c r="N2263" t="s">
        <v>15472</v>
      </c>
      <c r="O2263" t="s">
        <v>15472</v>
      </c>
      <c r="P2263" t="s">
        <v>15473</v>
      </c>
      <c r="Q2263" s="3" t="n">
        <v>44092.0</v>
      </c>
      <c r="R2263" s="3" t="n">
        <v>44280.0</v>
      </c>
      <c r="S2263" s="3" t="n">
        <v>44280.22953895833</v>
      </c>
      <c r="T2263" s="3" t="n">
        <v>44284.66322449074</v>
      </c>
      <c r="U2263" t="s">
        <v>15492</v>
      </c>
      <c r="V2263" t="s">
        <v>15475</v>
      </c>
    </row>
    <row r="2264">
      <c r="A2264" t="s">
        <v>22</v>
      </c>
      <c r="B2264" t="s">
        <v>15493</v>
      </c>
      <c r="C2264" t="s">
        <v>60</v>
      </c>
      <c r="D2264" t="s">
        <v>61</v>
      </c>
      <c r="E2264" t="s">
        <v>15494</v>
      </c>
      <c r="F2264" s="2" t="n">
        <f>HYPERLINK("https://patents.google.com/patent/US20210085619","Google")</f>
        <v>0.0</v>
      </c>
      <c r="G2264" s="2" t="n">
        <f>HYPERLINK("https://patentcenter.uspto.gov/applications/17030286","Patent Center")</f>
        <v>0.0</v>
      </c>
      <c r="H2264" s="2" t="n">
        <f>HYPERLINK("https://worldwide.espacenet.com/patent/search?q=US20210085619","Espacenet")</f>
        <v>0.0</v>
      </c>
      <c r="I2264" s="2" t="n">
        <f>HYPERLINK("https://ppubs.uspto.gov/pubwebapp/external.html?q=20210085619.pn.","USPTO")</f>
        <v>0.0</v>
      </c>
      <c r="J2264" s="2" t="n">
        <f>HYPERLINK("https://image-ppubs.uspto.gov/dirsearch-public/print/downloadPdf/20210085619","USPTO PDF")</f>
        <v>0.0</v>
      </c>
      <c r="K2264" s="2" t="n">
        <f>HYPERLINK("https://sectors.patentforecast.com/pmd/US20210085619","PMD")</f>
        <v>0.0</v>
      </c>
      <c r="L2264" s="2" t="n">
        <f>HYPERLINK("https://globaldossier.uspto.gov/result/application/US/17030286/1","US20210085619")</f>
        <v>0.0</v>
      </c>
      <c r="M2264" t="s">
        <v>15495</v>
      </c>
      <c r="N2264" t="s">
        <v>9325</v>
      </c>
      <c r="O2264" t="s">
        <v>9326</v>
      </c>
      <c r="P2264" t="s">
        <v>15496</v>
      </c>
      <c r="Q2264" s="3" t="n">
        <v>44097.0</v>
      </c>
      <c r="R2264" s="3" t="n">
        <v>44280.0</v>
      </c>
      <c r="S2264" s="3" t="n">
        <v>44280.22953895833</v>
      </c>
      <c r="T2264" s="3" t="n">
        <v>44284.662006053244</v>
      </c>
      <c r="U2264" t="s">
        <v>15497</v>
      </c>
      <c r="V2264" t="s">
        <v>15498</v>
      </c>
    </row>
    <row r="2265">
      <c r="A2265" t="s">
        <v>22</v>
      </c>
      <c r="B2265" t="s">
        <v>15499</v>
      </c>
      <c r="C2265" t="s">
        <v>24</v>
      </c>
      <c r="D2265" t="s">
        <v>3193</v>
      </c>
      <c r="E2265" t="s">
        <v>15500</v>
      </c>
      <c r="F2265" s="2" t="n">
        <f>HYPERLINK("https://patents.google.com/patent/US20210084451","Google")</f>
        <v>0.0</v>
      </c>
      <c r="G2265" s="2" t="n">
        <f>HYPERLINK("https://patentcenter.uspto.gov/applications/17104136","Patent Center")</f>
        <v>0.0</v>
      </c>
      <c r="H2265" s="2" t="n">
        <f>HYPERLINK("https://worldwide.espacenet.com/patent/search?q=US20210084451","Espacenet")</f>
        <v>0.0</v>
      </c>
      <c r="I2265" s="2" t="n">
        <f>HYPERLINK("https://ppubs.uspto.gov/pubwebapp/external.html?q=20210084451.pn.","USPTO")</f>
        <v>0.0</v>
      </c>
      <c r="J2265" s="2" t="n">
        <f>HYPERLINK("https://image-ppubs.uspto.gov/dirsearch-public/print/downloadPdf/20210084451","USPTO PDF")</f>
        <v>0.0</v>
      </c>
      <c r="K2265" s="2" t="n">
        <f>HYPERLINK("https://sectors.patentforecast.com/pmd/US20210084451","PMD")</f>
        <v>0.0</v>
      </c>
      <c r="L2265" s="2" t="n">
        <f>HYPERLINK("https://globaldossier.uspto.gov/result/application/US/17104136/1","US20210084451")</f>
        <v>0.0</v>
      </c>
      <c r="M2265" t="s">
        <v>15501</v>
      </c>
      <c r="N2265" t="s">
        <v>15502</v>
      </c>
      <c r="O2265" t="s">
        <v>15503</v>
      </c>
      <c r="P2265" t="s">
        <v>15504</v>
      </c>
      <c r="Q2265" s="3" t="n">
        <v>44160.0</v>
      </c>
      <c r="R2265" s="3" t="n">
        <v>44273.0</v>
      </c>
      <c r="S2265" s="3" t="n">
        <v>44425.23975685185</v>
      </c>
      <c r="T2265" s="3" t="n">
        <v>44425.45430049769</v>
      </c>
      <c r="U2265" t="s">
        <v>15505</v>
      </c>
      <c r="V2265" t="s">
        <v>15506</v>
      </c>
    </row>
    <row r="2266">
      <c r="A2266" t="s">
        <v>22</v>
      </c>
      <c r="B2266" t="s">
        <v>15507</v>
      </c>
      <c r="C2266" t="s">
        <v>24</v>
      </c>
      <c r="D2266" t="s">
        <v>1356</v>
      </c>
      <c r="E2266" t="s">
        <v>15508</v>
      </c>
      <c r="F2266" s="2" t="n">
        <f>HYPERLINK("https://patents.google.com/patent/US20210082583","Google")</f>
        <v>0.0</v>
      </c>
      <c r="G2266" s="2" t="n">
        <f>HYPERLINK("https://patentcenter.uspto.gov/applications/17106279","Patent Center")</f>
        <v>0.0</v>
      </c>
      <c r="H2266" s="2" t="n">
        <f>HYPERLINK("https://worldwide.espacenet.com/patent/search?q=US20210082583","Espacenet")</f>
        <v>0.0</v>
      </c>
      <c r="I2266" s="2" t="n">
        <f>HYPERLINK("https://ppubs.uspto.gov/pubwebapp/external.html?q=20210082583.pn.","USPTO")</f>
        <v>0.0</v>
      </c>
      <c r="J2266" s="2" t="n">
        <f>HYPERLINK("https://image-ppubs.uspto.gov/dirsearch-public/print/downloadPdf/20210082583","USPTO PDF")</f>
        <v>0.0</v>
      </c>
      <c r="K2266" s="2" t="n">
        <f>HYPERLINK("https://sectors.patentforecast.com/pmd/US20210082583","PMD")</f>
        <v>0.0</v>
      </c>
      <c r="L2266" s="2" t="n">
        <f>HYPERLINK("https://globaldossier.uspto.gov/result/application/US/17106279/1","US20210082583")</f>
        <v>0.0</v>
      </c>
      <c r="M2266" t="s">
        <v>15509</v>
      </c>
      <c r="N2266" t="s">
        <v>15510</v>
      </c>
      <c r="O2266" t="s">
        <v>15511</v>
      </c>
      <c r="P2266" t="s">
        <v>15512</v>
      </c>
      <c r="Q2266" s="3" t="n">
        <v>44165.0</v>
      </c>
      <c r="R2266" s="3" t="n">
        <v>44273.0</v>
      </c>
      <c r="S2266" s="3" t="n">
        <v>44273.229530902776</v>
      </c>
      <c r="T2266" s="3" t="n">
        <v>44274.64825179398</v>
      </c>
      <c r="U2266" t="s">
        <v>15513</v>
      </c>
      <c r="V2266" t="s">
        <v>15514</v>
      </c>
    </row>
    <row r="2267">
      <c r="A2267" t="s">
        <v>22</v>
      </c>
      <c r="B2267" t="s">
        <v>15515</v>
      </c>
      <c r="C2267" t="s">
        <v>24</v>
      </c>
      <c r="D2267" t="s">
        <v>69</v>
      </c>
      <c r="E2267" t="s">
        <v>545</v>
      </c>
      <c r="F2267" s="2" t="n">
        <f>HYPERLINK("https://patents.google.com/patent/US20210077762","Google")</f>
        <v>0.0</v>
      </c>
      <c r="G2267" s="2" t="n">
        <f>HYPERLINK("https://patentcenter.uspto.gov/applications/17027566","Patent Center")</f>
        <v>0.0</v>
      </c>
      <c r="H2267" s="2" t="n">
        <f>HYPERLINK("https://worldwide.espacenet.com/patent/search?q=US20210077762","Espacenet")</f>
        <v>0.0</v>
      </c>
      <c r="I2267" s="2" t="n">
        <f>HYPERLINK("https://ppubs.uspto.gov/pubwebapp/external.html?q=20210077762.pn.","USPTO")</f>
        <v>0.0</v>
      </c>
      <c r="J2267" s="2" t="n">
        <f>HYPERLINK("https://image-ppubs.uspto.gov/dirsearch-public/print/downloadPdf/20210077762","USPTO PDF")</f>
        <v>0.0</v>
      </c>
      <c r="K2267" s="2" t="n">
        <f>HYPERLINK("https://sectors.patentforecast.com/pmd/US20210077762","PMD")</f>
        <v>0.0</v>
      </c>
      <c r="L2267" s="2" t="n">
        <f>HYPERLINK("https://globaldossier.uspto.gov/result/application/US/17027566/1","US20210077762")</f>
        <v>0.0</v>
      </c>
      <c r="M2267" t="s">
        <v>15516</v>
      </c>
      <c r="N2267" t="s">
        <v>547</v>
      </c>
      <c r="O2267" t="s">
        <v>548</v>
      </c>
      <c r="P2267" t="s">
        <v>15517</v>
      </c>
      <c r="Q2267" s="3" t="n">
        <v>44095.0</v>
      </c>
      <c r="R2267" s="3" t="n">
        <v>44273.0</v>
      </c>
      <c r="S2267" s="3" t="n">
        <v>44273.229530902776</v>
      </c>
      <c r="T2267" s="3" t="n">
        <v>44274.6488178588</v>
      </c>
      <c r="U2267" t="s">
        <v>15518</v>
      </c>
      <c r="V2267" t="s">
        <v>550</v>
      </c>
    </row>
    <row r="2268">
      <c r="A2268" t="s">
        <v>22</v>
      </c>
      <c r="B2268" t="s">
        <v>15519</v>
      </c>
      <c r="C2268" t="s">
        <v>132</v>
      </c>
      <c r="D2268" t="s">
        <v>133</v>
      </c>
      <c r="E2268" t="s">
        <v>15520</v>
      </c>
      <c r="F2268" s="2" t="n">
        <f>HYPERLINK("https://patents.google.com/patent/US20210077615","Google")</f>
        <v>0.0</v>
      </c>
      <c r="G2268" s="2" t="n">
        <f>HYPERLINK("https://patentcenter.uspto.gov/applications/17101603","Patent Center")</f>
        <v>0.0</v>
      </c>
      <c r="H2268" s="2" t="n">
        <f>HYPERLINK("https://worldwide.espacenet.com/patent/search?q=US20210077615","Espacenet")</f>
        <v>0.0</v>
      </c>
      <c r="I2268" s="2" t="n">
        <f>HYPERLINK("https://ppubs.uspto.gov/pubwebapp/external.html?q=20210077615.pn.","USPTO")</f>
        <v>0.0</v>
      </c>
      <c r="J2268" s="2" t="n">
        <f>HYPERLINK("https://image-ppubs.uspto.gov/dirsearch-public/print/downloadPdf/20210077615","USPTO PDF")</f>
        <v>0.0</v>
      </c>
      <c r="K2268" s="2" t="n">
        <f>HYPERLINK("https://sectors.patentforecast.com/pmd/US20210077615","PMD")</f>
        <v>0.0</v>
      </c>
      <c r="L2268" s="2" t="n">
        <f>HYPERLINK("https://globaldossier.uspto.gov/result/application/US/17101603/1","US20210077615")</f>
        <v>0.0</v>
      </c>
      <c r="M2268" t="s">
        <v>15521</v>
      </c>
      <c r="N2268" t="s">
        <v>5964</v>
      </c>
      <c r="O2268" t="s">
        <v>5964</v>
      </c>
      <c r="P2268" t="s">
        <v>5965</v>
      </c>
      <c r="Q2268" s="3" t="n">
        <v>44158.0</v>
      </c>
      <c r="R2268" s="3" t="n">
        <v>44273.0</v>
      </c>
      <c r="S2268" s="3" t="n">
        <v>44273.23080252315</v>
      </c>
      <c r="T2268" s="3" t="n">
        <v>44274.64666917824</v>
      </c>
      <c r="U2268" t="s">
        <v>7957</v>
      </c>
      <c r="V2268" t="s">
        <v>5967</v>
      </c>
    </row>
    <row r="2269">
      <c r="A2269" t="s">
        <v>22</v>
      </c>
      <c r="B2269" t="s">
        <v>15522</v>
      </c>
      <c r="C2269" t="s">
        <v>132</v>
      </c>
      <c r="D2269" t="s">
        <v>133</v>
      </c>
      <c r="E2269" t="s">
        <v>15520</v>
      </c>
      <c r="F2269" s="2" t="n">
        <f>HYPERLINK("https://patents.google.com/patent/US20210077614","Google")</f>
        <v>0.0</v>
      </c>
      <c r="G2269" s="2" t="n">
        <f>HYPERLINK("https://patentcenter.uspto.gov/applications/17101572","Patent Center")</f>
        <v>0.0</v>
      </c>
      <c r="H2269" s="2" t="n">
        <f>HYPERLINK("https://worldwide.espacenet.com/patent/search?q=US20210077614","Espacenet")</f>
        <v>0.0</v>
      </c>
      <c r="I2269" s="2" t="n">
        <f>HYPERLINK("https://ppubs.uspto.gov/pubwebapp/external.html?q=20210077614.pn.","USPTO")</f>
        <v>0.0</v>
      </c>
      <c r="J2269" s="2" t="n">
        <f>HYPERLINK("https://image-ppubs.uspto.gov/dirsearch-public/print/downloadPdf/20210077614","USPTO PDF")</f>
        <v>0.0</v>
      </c>
      <c r="K2269" s="2" t="n">
        <f>HYPERLINK("https://sectors.patentforecast.com/pmd/US20210077614","PMD")</f>
        <v>0.0</v>
      </c>
      <c r="L2269" s="2" t="n">
        <f>HYPERLINK("https://globaldossier.uspto.gov/result/application/US/17101572/1","US20210077614")</f>
        <v>0.0</v>
      </c>
      <c r="M2269" t="s">
        <v>15523</v>
      </c>
      <c r="N2269" t="s">
        <v>5964</v>
      </c>
      <c r="O2269" t="s">
        <v>5964</v>
      </c>
      <c r="P2269" t="s">
        <v>5965</v>
      </c>
      <c r="Q2269" s="3" t="n">
        <v>44158.0</v>
      </c>
      <c r="R2269" s="3" t="n">
        <v>44273.0</v>
      </c>
      <c r="S2269" s="3" t="n">
        <v>44273.23080252315</v>
      </c>
      <c r="T2269" s="3" t="n">
        <v>44274.6467122338</v>
      </c>
      <c r="U2269" t="s">
        <v>7957</v>
      </c>
      <c r="V2269" t="s">
        <v>5967</v>
      </c>
    </row>
    <row r="2270">
      <c r="A2270" t="s">
        <v>22</v>
      </c>
      <c r="B2270" t="s">
        <v>15524</v>
      </c>
      <c r="C2270" t="s">
        <v>60</v>
      </c>
      <c r="D2270" t="s">
        <v>715</v>
      </c>
      <c r="E2270" t="s">
        <v>15525</v>
      </c>
      <c r="F2270" s="2" t="n">
        <f>HYPERLINK("https://patents.google.com/patent/US20210077010","Google")</f>
        <v>0.0</v>
      </c>
      <c r="G2270" s="2" t="n">
        <f>HYPERLINK("https://patentcenter.uspto.gov/applications/17109068","Patent Center")</f>
        <v>0.0</v>
      </c>
      <c r="H2270" s="2" t="n">
        <f>HYPERLINK("https://worldwide.espacenet.com/patent/search?q=US20210077010","Espacenet")</f>
        <v>0.0</v>
      </c>
      <c r="I2270" s="2" t="n">
        <f>HYPERLINK("https://ppubs.uspto.gov/pubwebapp/external.html?q=20210077010.pn.","USPTO")</f>
        <v>0.0</v>
      </c>
      <c r="J2270" s="2" t="n">
        <f>HYPERLINK("https://image-ppubs.uspto.gov/dirsearch-public/print/downloadPdf/20210077010","USPTO PDF")</f>
        <v>0.0</v>
      </c>
      <c r="K2270" s="2" t="n">
        <f>HYPERLINK("https://sectors.patentforecast.com/pmd/US20210077010","PMD")</f>
        <v>0.0</v>
      </c>
      <c r="L2270" s="2" t="n">
        <f>HYPERLINK("https://globaldossier.uspto.gov/result/application/US/17109068/1","US20210077010")</f>
        <v>0.0</v>
      </c>
      <c r="M2270" t="s">
        <v>15526</v>
      </c>
      <c r="N2270" t="s">
        <v>15527</v>
      </c>
      <c r="O2270" t="s">
        <v>15528</v>
      </c>
      <c r="P2270" t="s">
        <v>15529</v>
      </c>
      <c r="Q2270" s="3" t="n">
        <v>44166.0</v>
      </c>
      <c r="R2270" s="3" t="n">
        <v>44273.0</v>
      </c>
      <c r="S2270" s="3" t="n">
        <v>44273.229530902776</v>
      </c>
      <c r="T2270" s="3" t="n">
        <v>44274.64952528935</v>
      </c>
      <c r="U2270" t="s">
        <v>15530</v>
      </c>
      <c r="V2270" t="s">
        <v>15531</v>
      </c>
    </row>
    <row r="2271">
      <c r="A2271" t="s">
        <v>22</v>
      </c>
      <c r="B2271" t="s">
        <v>15532</v>
      </c>
      <c r="C2271" t="s">
        <v>24</v>
      </c>
      <c r="D2271" t="s">
        <v>100</v>
      </c>
      <c r="E2271" t="s">
        <v>15533</v>
      </c>
      <c r="F2271" s="2" t="n">
        <f>HYPERLINK("https://patents.google.com/patent/US20210076853","Google")</f>
        <v>0.0</v>
      </c>
      <c r="G2271" s="2" t="n">
        <f>HYPERLINK("https://patentcenter.uspto.gov/applications/16995692","Patent Center")</f>
        <v>0.0</v>
      </c>
      <c r="H2271" s="2" t="n">
        <f>HYPERLINK("https://worldwide.espacenet.com/patent/search?q=US20210076853","Espacenet")</f>
        <v>0.0</v>
      </c>
      <c r="I2271" s="2" t="n">
        <f>HYPERLINK("https://ppubs.uspto.gov/pubwebapp/external.html?q=20210076853.pn.","USPTO")</f>
        <v>0.0</v>
      </c>
      <c r="J2271" s="2" t="n">
        <f>HYPERLINK("https://image-ppubs.uspto.gov/dirsearch-public/print/downloadPdf/20210076853","USPTO PDF")</f>
        <v>0.0</v>
      </c>
      <c r="K2271" s="2" t="n">
        <f>HYPERLINK("https://sectors.patentforecast.com/pmd/US20210076853","PMD")</f>
        <v>0.0</v>
      </c>
      <c r="L2271" s="2" t="n">
        <f>HYPERLINK("https://globaldossier.uspto.gov/result/application/US/16995692/1","US20210076853")</f>
        <v>0.0</v>
      </c>
      <c r="M2271" t="s">
        <v>15534</v>
      </c>
      <c r="N2271" t="s">
        <v>15535</v>
      </c>
      <c r="O2271" t="s">
        <v>15535</v>
      </c>
      <c r="P2271" t="s">
        <v>15536</v>
      </c>
      <c r="Q2271" s="3" t="n">
        <v>44060.0</v>
      </c>
      <c r="R2271" s="3" t="n">
        <v>44273.0</v>
      </c>
      <c r="S2271" s="3" t="n">
        <v>44273.229530902776</v>
      </c>
      <c r="T2271" s="3" t="n">
        <v>44274.64727296296</v>
      </c>
      <c r="U2271" t="s">
        <v>15537</v>
      </c>
      <c r="V2271" t="s">
        <v>15538</v>
      </c>
    </row>
    <row r="2272">
      <c r="A2272" t="s">
        <v>22</v>
      </c>
      <c r="B2272" t="s">
        <v>15539</v>
      </c>
      <c r="C2272" t="s">
        <v>24</v>
      </c>
      <c r="D2272" t="s">
        <v>34</v>
      </c>
      <c r="E2272" t="s">
        <v>15540</v>
      </c>
      <c r="F2272" s="2" t="n">
        <f>HYPERLINK("https://patents.google.com/patent/US20210074395","Google")</f>
        <v>0.0</v>
      </c>
      <c r="G2272" s="2" t="n">
        <f>HYPERLINK("https://patentcenter.uspto.gov/applications/17102328","Patent Center")</f>
        <v>0.0</v>
      </c>
      <c r="H2272" s="2" t="n">
        <f>HYPERLINK("https://worldwide.espacenet.com/patent/search?q=US20210074395","Espacenet")</f>
        <v>0.0</v>
      </c>
      <c r="I2272" s="2" t="n">
        <f>HYPERLINK("https://ppubs.uspto.gov/pubwebapp/external.html?q=20210074395.pn.","USPTO")</f>
        <v>0.0</v>
      </c>
      <c r="J2272" s="2" t="n">
        <f>HYPERLINK("https://image-ppubs.uspto.gov/dirsearch-public/print/downloadPdf/20210074395","USPTO PDF")</f>
        <v>0.0</v>
      </c>
      <c r="K2272" s="2" t="n">
        <f>HYPERLINK("https://sectors.patentforecast.com/pmd/US20210074395","PMD")</f>
        <v>0.0</v>
      </c>
      <c r="L2272" s="2" t="n">
        <f>HYPERLINK("https://globaldossier.uspto.gov/result/application/US/17102328/1","US20210074395")</f>
        <v>0.0</v>
      </c>
      <c r="M2272" t="s">
        <v>15541</v>
      </c>
      <c r="N2272" t="s">
        <v>15542</v>
      </c>
      <c r="O2272" t="s">
        <v>15543</v>
      </c>
      <c r="P2272" t="s">
        <v>15544</v>
      </c>
      <c r="Q2272" s="3" t="n">
        <v>44158.0</v>
      </c>
      <c r="R2272" s="3" t="n">
        <v>44266.0</v>
      </c>
      <c r="S2272" s="3" t="n">
        <v>44266.18797475695</v>
      </c>
      <c r="T2272" s="3" t="n">
        <v>44266.54800150463</v>
      </c>
      <c r="U2272" t="s">
        <v>15545</v>
      </c>
      <c r="V2272" t="s">
        <v>15546</v>
      </c>
    </row>
    <row r="2273">
      <c r="A2273" t="s">
        <v>22</v>
      </c>
      <c r="B2273" t="s">
        <v>15547</v>
      </c>
      <c r="C2273" t="s">
        <v>60</v>
      </c>
      <c r="D2273" t="s">
        <v>77</v>
      </c>
      <c r="E2273" t="s">
        <v>6422</v>
      </c>
      <c r="F2273" s="2" t="n">
        <f>HYPERLINK("https://patents.google.com/patent/US20210070887","Google")</f>
        <v>0.0</v>
      </c>
      <c r="G2273" s="2" t="n">
        <f>HYPERLINK("https://patentcenter.uspto.gov/applications/16951458","Patent Center")</f>
        <v>0.0</v>
      </c>
      <c r="H2273" s="2" t="n">
        <f>HYPERLINK("https://worldwide.espacenet.com/patent/search?q=US20210070887","Espacenet")</f>
        <v>0.0</v>
      </c>
      <c r="I2273" s="2" t="n">
        <f>HYPERLINK("https://ppubs.uspto.gov/pubwebapp/external.html?q=20210070887.pn.","USPTO")</f>
        <v>0.0</v>
      </c>
      <c r="J2273" s="2" t="n">
        <f>HYPERLINK("https://image-ppubs.uspto.gov/dirsearch-public/print/downloadPdf/20210070887","USPTO PDF")</f>
        <v>0.0</v>
      </c>
      <c r="K2273" s="2" t="n">
        <f>HYPERLINK("https://sectors.patentforecast.com/pmd/US20210070887","PMD")</f>
        <v>0.0</v>
      </c>
      <c r="L2273" s="2" t="n">
        <f>HYPERLINK("https://globaldossier.uspto.gov/result/application/US/16951458/1","US20210070887")</f>
        <v>0.0</v>
      </c>
      <c r="M2273" t="s">
        <v>15548</v>
      </c>
      <c r="N2273" t="s">
        <v>664</v>
      </c>
      <c r="O2273" t="s">
        <v>665</v>
      </c>
      <c r="P2273" t="s">
        <v>6424</v>
      </c>
      <c r="Q2273" s="3" t="n">
        <v>44153.0</v>
      </c>
      <c r="R2273" s="3" t="n">
        <v>44266.0</v>
      </c>
      <c r="S2273" s="3" t="n">
        <v>44266.18797475695</v>
      </c>
      <c r="T2273" s="3" t="n">
        <v>44266.54894644676</v>
      </c>
      <c r="U2273" t="s">
        <v>15549</v>
      </c>
      <c r="V2273" t="s">
        <v>6426</v>
      </c>
    </row>
    <row r="2274">
      <c r="A2274" t="s">
        <v>22</v>
      </c>
      <c r="B2274" t="s">
        <v>15550</v>
      </c>
      <c r="C2274" t="s">
        <v>60</v>
      </c>
      <c r="D2274" t="s">
        <v>77</v>
      </c>
      <c r="E2274" t="s">
        <v>15551</v>
      </c>
      <c r="F2274" s="2" t="n">
        <f>HYPERLINK("https://patents.google.com/patent/US20210070883","Google")</f>
        <v>0.0</v>
      </c>
      <c r="G2274" s="2" t="n">
        <f>HYPERLINK("https://patentcenter.uspto.gov/applications/16988383","Patent Center")</f>
        <v>0.0</v>
      </c>
      <c r="H2274" s="2" t="n">
        <f>HYPERLINK("https://worldwide.espacenet.com/patent/search?q=US20210070883","Espacenet")</f>
        <v>0.0</v>
      </c>
      <c r="I2274" s="2" t="n">
        <f>HYPERLINK("https://ppubs.uspto.gov/pubwebapp/external.html?q=20210070883.pn.","USPTO")</f>
        <v>0.0</v>
      </c>
      <c r="J2274" s="2" t="n">
        <f>HYPERLINK("https://image-ppubs.uspto.gov/dirsearch-public/print/downloadPdf/20210070883","USPTO PDF")</f>
        <v>0.0</v>
      </c>
      <c r="K2274" s="2" t="n">
        <f>HYPERLINK("https://sectors.patentforecast.com/pmd/US20210070883","PMD")</f>
        <v>0.0</v>
      </c>
      <c r="L2274" s="2" t="n">
        <f>HYPERLINK("https://globaldossier.uspto.gov/result/application/US/16988383/1","US20210070883")</f>
        <v>0.0</v>
      </c>
      <c r="M2274" t="s">
        <v>15552</v>
      </c>
      <c r="N2274" t="s">
        <v>5849</v>
      </c>
      <c r="O2274" t="s">
        <v>5849</v>
      </c>
      <c r="P2274" t="s">
        <v>5850</v>
      </c>
      <c r="Q2274" s="3" t="n">
        <v>44050.0</v>
      </c>
      <c r="R2274" s="3" t="n">
        <v>44266.0</v>
      </c>
      <c r="S2274" s="3" t="n">
        <v>44266.18797475695</v>
      </c>
      <c r="T2274" s="3" t="n">
        <v>44266.522108564815</v>
      </c>
      <c r="U2274" t="s">
        <v>15553</v>
      </c>
      <c r="V2274" t="s">
        <v>5852</v>
      </c>
    </row>
    <row r="2275">
      <c r="A2275" t="s">
        <v>22</v>
      </c>
      <c r="B2275" t="s">
        <v>15554</v>
      </c>
      <c r="C2275" t="s">
        <v>24</v>
      </c>
      <c r="D2275" t="s">
        <v>100</v>
      </c>
      <c r="E2275" t="s">
        <v>15555</v>
      </c>
      <c r="F2275" s="2" t="n">
        <f>HYPERLINK("https://patents.google.com/patent/US20210069360","Google")</f>
        <v>0.0</v>
      </c>
      <c r="G2275" s="2" t="n">
        <f>HYPERLINK("https://patentcenter.uspto.gov/applications/16951107","Patent Center")</f>
        <v>0.0</v>
      </c>
      <c r="H2275" s="2" t="n">
        <f>HYPERLINK("https://worldwide.espacenet.com/patent/search?q=US20210069360","Espacenet")</f>
        <v>0.0</v>
      </c>
      <c r="I2275" s="2" t="n">
        <f>HYPERLINK("https://ppubs.uspto.gov/pubwebapp/external.html?q=20210069360.pn.","USPTO")</f>
        <v>0.0</v>
      </c>
      <c r="J2275" s="2" t="n">
        <f>HYPERLINK("https://image-ppubs.uspto.gov/dirsearch-public/print/downloadPdf/20210069360","USPTO PDF")</f>
        <v>0.0</v>
      </c>
      <c r="K2275" s="2" t="n">
        <f>HYPERLINK("https://sectors.patentforecast.com/pmd/US20210069360","PMD")</f>
        <v>0.0</v>
      </c>
      <c r="L2275" s="2" t="n">
        <f>HYPERLINK("https://globaldossier.uspto.gov/result/application/US/16951107/1","US20210069360")</f>
        <v>0.0</v>
      </c>
      <c r="M2275" t="s">
        <v>15556</v>
      </c>
      <c r="N2275" t="s">
        <v>15557</v>
      </c>
      <c r="O2275" t="s">
        <v>15558</v>
      </c>
      <c r="P2275" t="s">
        <v>15559</v>
      </c>
      <c r="Q2275" s="3" t="n">
        <v>44153.0</v>
      </c>
      <c r="R2275" s="3" t="n">
        <v>44266.0</v>
      </c>
      <c r="S2275" s="3" t="n">
        <v>44266.18797475695</v>
      </c>
      <c r="T2275" s="3" t="n">
        <v>44266.527876203705</v>
      </c>
      <c r="U2275" t="s">
        <v>15560</v>
      </c>
      <c r="V2275" t="s">
        <v>15561</v>
      </c>
    </row>
    <row r="2276">
      <c r="A2276" t="s">
        <v>22</v>
      </c>
      <c r="B2276" t="s">
        <v>15562</v>
      </c>
      <c r="C2276" t="s">
        <v>60</v>
      </c>
      <c r="D2276" t="s">
        <v>61</v>
      </c>
      <c r="E2276" t="s">
        <v>15563</v>
      </c>
      <c r="F2276" s="2" t="n">
        <f>HYPERLINK("https://patents.google.com/patent/US20210069168","Google")</f>
        <v>0.0</v>
      </c>
      <c r="G2276" s="2" t="n">
        <f>HYPERLINK("https://patentcenter.uspto.gov/applications/17013623","Patent Center")</f>
        <v>0.0</v>
      </c>
      <c r="H2276" s="2" t="n">
        <f>HYPERLINK("https://worldwide.espacenet.com/patent/search?q=US20210069168","Espacenet")</f>
        <v>0.0</v>
      </c>
      <c r="I2276" s="2" t="n">
        <f>HYPERLINK("https://ppubs.uspto.gov/pubwebapp/external.html?q=20210069168.pn.","USPTO")</f>
        <v>0.0</v>
      </c>
      <c r="J2276" s="2" t="n">
        <f>HYPERLINK("https://image-ppubs.uspto.gov/dirsearch-public/print/downloadPdf/20210069168","USPTO PDF")</f>
        <v>0.0</v>
      </c>
      <c r="K2276" s="2" t="n">
        <f>HYPERLINK("https://sectors.patentforecast.com/pmd/US20210069168","PMD")</f>
        <v>0.0</v>
      </c>
      <c r="L2276" s="2" t="n">
        <f>HYPERLINK("https://globaldossier.uspto.gov/result/application/US/17013623/1","US20210069168")</f>
        <v>0.0</v>
      </c>
      <c r="M2276" t="s">
        <v>15564</v>
      </c>
      <c r="N2276" t="s">
        <v>15565</v>
      </c>
      <c r="O2276" t="s">
        <v>15566</v>
      </c>
      <c r="P2276" t="s">
        <v>15567</v>
      </c>
      <c r="Q2276" s="3" t="n">
        <v>44080.0</v>
      </c>
      <c r="R2276" s="3" t="n">
        <v>44266.0</v>
      </c>
      <c r="S2276" s="3" t="n">
        <v>44266.18797475695</v>
      </c>
      <c r="T2276" s="3" t="n">
        <v>44266.55546240741</v>
      </c>
      <c r="U2276" t="s">
        <v>15568</v>
      </c>
      <c r="V2276" t="s">
        <v>15569</v>
      </c>
    </row>
    <row r="2277">
      <c r="A2277" t="s">
        <v>22</v>
      </c>
      <c r="B2277" t="s">
        <v>15570</v>
      </c>
      <c r="C2277" t="s">
        <v>60</v>
      </c>
      <c r="D2277" t="s">
        <v>61</v>
      </c>
      <c r="E2277" t="s">
        <v>15571</v>
      </c>
      <c r="F2277" s="2" t="n">
        <f>HYPERLINK("https://patents.google.com/patent/US20210069098","Google")</f>
        <v>0.0</v>
      </c>
      <c r="G2277" s="2" t="n">
        <f>HYPERLINK("https://patentcenter.uspto.gov/applications/16950185","Patent Center")</f>
        <v>0.0</v>
      </c>
      <c r="H2277" s="2" t="n">
        <f>HYPERLINK("https://worldwide.espacenet.com/patent/search?q=US20210069098","Espacenet")</f>
        <v>0.0</v>
      </c>
      <c r="I2277" s="2" t="n">
        <f>HYPERLINK("https://ppubs.uspto.gov/pubwebapp/external.html?q=20210069098.pn.","USPTO")</f>
        <v>0.0</v>
      </c>
      <c r="J2277" s="2" t="n">
        <f>HYPERLINK("https://image-ppubs.uspto.gov/dirsearch-public/print/downloadPdf/20210069098","USPTO PDF")</f>
        <v>0.0</v>
      </c>
      <c r="K2277" s="2" t="n">
        <f>HYPERLINK("https://sectors.patentforecast.com/pmd/US20210069098","PMD")</f>
        <v>0.0</v>
      </c>
      <c r="L2277" s="2" t="n">
        <f>HYPERLINK("https://globaldossier.uspto.gov/result/application/US/16950185/1","US20210069098")</f>
        <v>0.0</v>
      </c>
      <c r="M2277" t="s">
        <v>15572</v>
      </c>
      <c r="N2277" t="s">
        <v>15573</v>
      </c>
      <c r="O2277" t="s">
        <v>15574</v>
      </c>
      <c r="P2277" t="s">
        <v>15575</v>
      </c>
      <c r="Q2277" s="3" t="n">
        <v>44152.0</v>
      </c>
      <c r="R2277" s="3" t="n">
        <v>44266.0</v>
      </c>
      <c r="S2277" s="3" t="n">
        <v>44266.192363981485</v>
      </c>
      <c r="T2277" s="3" t="n">
        <v>44266.55662747685</v>
      </c>
      <c r="U2277" t="s">
        <v>15576</v>
      </c>
      <c r="V2277" t="s">
        <v>15577</v>
      </c>
    </row>
    <row r="2278">
      <c r="A2278" t="s">
        <v>22</v>
      </c>
      <c r="B2278" t="s">
        <v>15578</v>
      </c>
      <c r="C2278" t="s">
        <v>24</v>
      </c>
      <c r="D2278" t="s">
        <v>43</v>
      </c>
      <c r="E2278" t="s">
        <v>15579</v>
      </c>
      <c r="F2278" s="2" t="n">
        <f>HYPERLINK("https://patents.google.com/patent/US20210065916","Google")</f>
        <v>0.0</v>
      </c>
      <c r="G2278" s="2" t="n">
        <f>HYPERLINK("https://patentcenter.uspto.gov/applications/17096360","Patent Center")</f>
        <v>0.0</v>
      </c>
      <c r="H2278" s="2" t="n">
        <f>HYPERLINK("https://worldwide.espacenet.com/patent/search?q=US20210065916","Espacenet")</f>
        <v>0.0</v>
      </c>
      <c r="I2278" s="2" t="n">
        <f>HYPERLINK("https://ppubs.uspto.gov/pubwebapp/external.html?q=20210065916.pn.","USPTO")</f>
        <v>0.0</v>
      </c>
      <c r="J2278" s="2" t="n">
        <f>HYPERLINK("https://image-ppubs.uspto.gov/dirsearch-public/print/downloadPdf/20210065916","USPTO PDF")</f>
        <v>0.0</v>
      </c>
      <c r="K2278" s="2" t="n">
        <f>HYPERLINK("https://sectors.patentforecast.com/pmd/US20210065916","PMD")</f>
        <v>0.0</v>
      </c>
      <c r="L2278" s="2" t="n">
        <f>HYPERLINK("https://globaldossier.uspto.gov/result/application/US/17096360/1","US20210065916")</f>
        <v>0.0</v>
      </c>
      <c r="M2278" t="s">
        <v>15580</v>
      </c>
      <c r="N2278" t="s">
        <v>9653</v>
      </c>
      <c r="O2278" t="s">
        <v>9654</v>
      </c>
      <c r="P2278" t="s">
        <v>15581</v>
      </c>
      <c r="Q2278" s="3" t="n">
        <v>44147.0</v>
      </c>
      <c r="R2278" s="3" t="n">
        <v>44259.0</v>
      </c>
      <c r="S2278" s="3" t="n">
        <v>44264.188458923614</v>
      </c>
      <c r="T2278" s="3" t="n">
        <v>44265.372923414354</v>
      </c>
      <c r="U2278" t="s">
        <v>15582</v>
      </c>
      <c r="V2278" t="s">
        <v>15583</v>
      </c>
    </row>
    <row r="2279">
      <c r="A2279" t="s">
        <v>22</v>
      </c>
      <c r="B2279" t="s">
        <v>15584</v>
      </c>
      <c r="C2279" t="s">
        <v>24</v>
      </c>
      <c r="D2279" t="s">
        <v>69</v>
      </c>
      <c r="E2279" t="s">
        <v>15585</v>
      </c>
      <c r="F2279" s="2" t="n">
        <f>HYPERLINK("https://patents.google.com/patent/US20210060274","Google")</f>
        <v>0.0</v>
      </c>
      <c r="G2279" s="2" t="n">
        <f>HYPERLINK("https://patentcenter.uspto.gov/applications/17012583","Patent Center")</f>
        <v>0.0</v>
      </c>
      <c r="H2279" s="2" t="n">
        <f>HYPERLINK("https://worldwide.espacenet.com/patent/search?q=US20210060274","Espacenet")</f>
        <v>0.0</v>
      </c>
      <c r="I2279" s="2" t="n">
        <f>HYPERLINK("https://ppubs.uspto.gov/pubwebapp/external.html?q=20210060274.pn.","USPTO")</f>
        <v>0.0</v>
      </c>
      <c r="J2279" s="2" t="n">
        <f>HYPERLINK("https://image-ppubs.uspto.gov/dirsearch-public/print/downloadPdf/20210060274","USPTO PDF")</f>
        <v>0.0</v>
      </c>
      <c r="K2279" s="2" t="n">
        <f>HYPERLINK("https://sectors.patentforecast.com/pmd/US20210060274","PMD")</f>
        <v>0.0</v>
      </c>
      <c r="L2279" s="2" t="n">
        <f>HYPERLINK("https://globaldossier.uspto.gov/result/application/US/17012583/1","US20210060274")</f>
        <v>0.0</v>
      </c>
      <c r="M2279" t="s">
        <v>15586</v>
      </c>
      <c r="N2279" t="s">
        <v>15587</v>
      </c>
      <c r="O2279" t="s">
        <v>15588</v>
      </c>
      <c r="P2279" t="s">
        <v>15589</v>
      </c>
      <c r="Q2279" s="3" t="n">
        <v>44078.0</v>
      </c>
      <c r="R2279" s="3" t="n">
        <v>44259.0</v>
      </c>
      <c r="S2279" s="3" t="n">
        <v>44264.19262</v>
      </c>
      <c r="T2279" s="3" t="n">
        <v>44265.37613010417</v>
      </c>
      <c r="U2279" t="s">
        <v>15590</v>
      </c>
      <c r="V2279" t="s">
        <v>15591</v>
      </c>
    </row>
    <row r="2280">
      <c r="A2280" t="s">
        <v>22</v>
      </c>
      <c r="B2280" t="s">
        <v>15592</v>
      </c>
      <c r="C2280" t="s">
        <v>132</v>
      </c>
      <c r="D2280" t="s">
        <v>2629</v>
      </c>
      <c r="E2280" t="s">
        <v>15593</v>
      </c>
      <c r="F2280" s="2" t="n">
        <f>HYPERLINK("https://patents.google.com/patent/US20210060154","Google")</f>
        <v>0.0</v>
      </c>
      <c r="G2280" s="2" t="n">
        <f>HYPERLINK("https://patentcenter.uspto.gov/applications/17000377","Patent Center")</f>
        <v>0.0</v>
      </c>
      <c r="H2280" s="2" t="n">
        <f>HYPERLINK("https://worldwide.espacenet.com/patent/search?q=US20210060154","Espacenet")</f>
        <v>0.0</v>
      </c>
      <c r="I2280" s="2" t="n">
        <f>HYPERLINK("https://ppubs.uspto.gov/pubwebapp/external.html?q=20210060154.pn.","USPTO")</f>
        <v>0.0</v>
      </c>
      <c r="J2280" s="2" t="n">
        <f>HYPERLINK("https://image-ppubs.uspto.gov/dirsearch-public/print/downloadPdf/20210060154","USPTO PDF")</f>
        <v>0.0</v>
      </c>
      <c r="K2280" s="2" t="n">
        <f>HYPERLINK("https://sectors.patentforecast.com/pmd/US20210060154","PMD")</f>
        <v>0.0</v>
      </c>
      <c r="L2280" s="2" t="n">
        <f>HYPERLINK("https://globaldossier.uspto.gov/result/application/US/17000377/1","US20210060154")</f>
        <v>0.0</v>
      </c>
      <c r="M2280" t="s">
        <v>15594</v>
      </c>
      <c r="N2280" t="s">
        <v>15595</v>
      </c>
      <c r="O2280" t="s">
        <v>15596</v>
      </c>
      <c r="P2280" t="s">
        <v>15597</v>
      </c>
      <c r="Q2280" s="3" t="n">
        <v>44067.0</v>
      </c>
      <c r="R2280" s="3" t="n">
        <v>44259.0</v>
      </c>
      <c r="S2280" s="3" t="n">
        <v>44264.19262</v>
      </c>
      <c r="T2280" s="3" t="n">
        <v>44265.37307497685</v>
      </c>
      <c r="U2280" t="s">
        <v>15598</v>
      </c>
      <c r="V2280" t="s">
        <v>15599</v>
      </c>
    </row>
    <row r="2281">
      <c r="A2281" t="s">
        <v>22</v>
      </c>
      <c r="B2281" t="s">
        <v>15600</v>
      </c>
      <c r="C2281" t="s">
        <v>60</v>
      </c>
      <c r="D2281" t="s">
        <v>61</v>
      </c>
      <c r="E2281" t="s">
        <v>15601</v>
      </c>
      <c r="F2281" s="2" t="n">
        <f>HYPERLINK("https://patents.google.com/patent/US20210060042","Google")</f>
        <v>0.0</v>
      </c>
      <c r="G2281" s="2" t="n">
        <f>HYPERLINK("https://patentcenter.uspto.gov/applications/16947935","Patent Center")</f>
        <v>0.0</v>
      </c>
      <c r="H2281" s="2" t="n">
        <f>HYPERLINK("https://worldwide.espacenet.com/patent/search?q=US20210060042","Espacenet")</f>
        <v>0.0</v>
      </c>
      <c r="I2281" s="2" t="n">
        <f>HYPERLINK("https://ppubs.uspto.gov/pubwebapp/external.html?q=20210060042.pn.","USPTO")</f>
        <v>0.0</v>
      </c>
      <c r="J2281" s="2" t="n">
        <f>HYPERLINK("https://image-ppubs.uspto.gov/dirsearch-public/print/downloadPdf/20210060042","USPTO PDF")</f>
        <v>0.0</v>
      </c>
      <c r="K2281" s="2" t="n">
        <f>HYPERLINK("https://sectors.patentforecast.com/pmd/US20210060042","PMD")</f>
        <v>0.0</v>
      </c>
      <c r="L2281" s="2" t="n">
        <f>HYPERLINK("https://globaldossier.uspto.gov/result/application/US/16947935/1","US20210060042")</f>
        <v>0.0</v>
      </c>
      <c r="M2281" t="s">
        <v>15602</v>
      </c>
      <c r="N2281" t="s">
        <v>15603</v>
      </c>
      <c r="O2281" t="s">
        <v>15603</v>
      </c>
      <c r="P2281" t="s">
        <v>15604</v>
      </c>
      <c r="Q2281" s="3" t="n">
        <v>44068.0</v>
      </c>
      <c r="R2281" s="3" t="n">
        <v>44259.0</v>
      </c>
      <c r="S2281" s="3" t="n">
        <v>44266.18797475695</v>
      </c>
      <c r="T2281" s="3" t="n">
        <v>44266.55637136574</v>
      </c>
      <c r="U2281" t="s">
        <v>15605</v>
      </c>
      <c r="V2281" t="s">
        <v>15606</v>
      </c>
    </row>
    <row r="2282">
      <c r="A2282" t="s">
        <v>22</v>
      </c>
      <c r="B2282" t="s">
        <v>15607</v>
      </c>
      <c r="C2282" t="s">
        <v>24</v>
      </c>
      <c r="D2282" t="s">
        <v>43</v>
      </c>
      <c r="E2282" t="s">
        <v>15608</v>
      </c>
      <c r="F2282" s="2" t="n">
        <f>HYPERLINK("https://patents.google.com/patent/US20210058736","Google")</f>
        <v>0.0</v>
      </c>
      <c r="G2282" s="2" t="n">
        <f>HYPERLINK("https://patentcenter.uspto.gov/applications/16844898","Patent Center")</f>
        <v>0.0</v>
      </c>
      <c r="H2282" s="2" t="n">
        <f>HYPERLINK("https://worldwide.espacenet.com/patent/search?q=US20210058736","Espacenet")</f>
        <v>0.0</v>
      </c>
      <c r="I2282" s="2" t="n">
        <f>HYPERLINK("https://ppubs.uspto.gov/pubwebapp/external.html?q=20210058736.pn.","USPTO")</f>
        <v>0.0</v>
      </c>
      <c r="J2282" s="2" t="n">
        <f>HYPERLINK("https://image-ppubs.uspto.gov/dirsearch-public/print/downloadPdf/20210058736","USPTO PDF")</f>
        <v>0.0</v>
      </c>
      <c r="K2282" s="2" t="n">
        <f>HYPERLINK("https://sectors.patentforecast.com/pmd/US20210058736","PMD")</f>
        <v>0.0</v>
      </c>
      <c r="L2282" s="2" t="n">
        <f>HYPERLINK("https://globaldossier.uspto.gov/result/application/US/16844898/1","US20210058736")</f>
        <v>0.0</v>
      </c>
      <c r="M2282" t="s">
        <v>15609</v>
      </c>
      <c r="N2282" t="s">
        <v>15610</v>
      </c>
      <c r="O2282" t="s">
        <v>15611</v>
      </c>
      <c r="P2282" t="s">
        <v>15612</v>
      </c>
      <c r="Q2282" s="3" t="n">
        <v>43930.0</v>
      </c>
      <c r="R2282" s="3" t="n">
        <v>44252.0</v>
      </c>
      <c r="S2282" s="3" t="n">
        <v>44252.1879583912</v>
      </c>
      <c r="T2282" s="3" t="n">
        <v>44256.4031781713</v>
      </c>
      <c r="U2282" t="s">
        <v>15613</v>
      </c>
      <c r="V2282" t="s">
        <v>15614</v>
      </c>
    </row>
    <row r="2283">
      <c r="A2283" t="s">
        <v>22</v>
      </c>
      <c r="B2283" t="s">
        <v>15615</v>
      </c>
      <c r="C2283" t="s">
        <v>24</v>
      </c>
      <c r="D2283" t="s">
        <v>3193</v>
      </c>
      <c r="E2283" t="s">
        <v>15616</v>
      </c>
      <c r="F2283" s="2" t="n">
        <f>HYPERLINK("https://patents.google.com/patent/US20210057110","Google")</f>
        <v>0.0</v>
      </c>
      <c r="G2283" s="2" t="n">
        <f>HYPERLINK("https://patentcenter.uspto.gov/applications/17052464","Patent Center")</f>
        <v>0.0</v>
      </c>
      <c r="H2283" s="2" t="n">
        <f>HYPERLINK("https://worldwide.espacenet.com/patent/search?q=US20210057110","Espacenet")</f>
        <v>0.0</v>
      </c>
      <c r="I2283" s="2" t="n">
        <f>HYPERLINK("https://ppubs.uspto.gov/pubwebapp/external.html?q=20210057110.pn.","USPTO")</f>
        <v>0.0</v>
      </c>
      <c r="J2283" s="2" t="n">
        <f>HYPERLINK("https://image-ppubs.uspto.gov/dirsearch-public/print/downloadPdf/20210057110","USPTO PDF")</f>
        <v>0.0</v>
      </c>
      <c r="K2283" s="2" t="n">
        <f>HYPERLINK("https://sectors.patentforecast.com/pmd/US20210057110","PMD")</f>
        <v>0.0</v>
      </c>
      <c r="L2283" s="2" t="n">
        <f>HYPERLINK("https://globaldossier.uspto.gov/result/application/US/17052464/1","US20210057110")</f>
        <v>0.0</v>
      </c>
      <c r="M2283" t="s">
        <v>15617</v>
      </c>
      <c r="N2283" t="s">
        <v>15618</v>
      </c>
      <c r="O2283" t="s">
        <v>15618</v>
      </c>
      <c r="P2283" t="s">
        <v>15619</v>
      </c>
      <c r="Q2283" s="3" t="n">
        <v>43587.0</v>
      </c>
      <c r="R2283" s="3" t="n">
        <v>44252.0</v>
      </c>
      <c r="S2283" s="3" t="n">
        <v>44252.18853597222</v>
      </c>
      <c r="T2283" s="3" t="n">
        <v>44256.40200818287</v>
      </c>
      <c r="U2283" t="s">
        <v>15620</v>
      </c>
      <c r="V2283" t="s">
        <v>15621</v>
      </c>
    </row>
    <row r="2284">
      <c r="A2284" t="s">
        <v>22</v>
      </c>
      <c r="B2284" t="s">
        <v>15622</v>
      </c>
      <c r="C2284" t="s">
        <v>24</v>
      </c>
      <c r="D2284" t="s">
        <v>3193</v>
      </c>
      <c r="E2284" t="s">
        <v>15623</v>
      </c>
      <c r="F2284" s="2" t="n">
        <f>HYPERLINK("https://patents.google.com/patent/US20210057109","Google")</f>
        <v>0.0</v>
      </c>
      <c r="G2284" s="2" t="n">
        <f>HYPERLINK("https://patentcenter.uspto.gov/applications/16996792","Patent Center")</f>
        <v>0.0</v>
      </c>
      <c r="H2284" s="2" t="n">
        <f>HYPERLINK("https://worldwide.espacenet.com/patent/search?q=US20210057109","Espacenet")</f>
        <v>0.0</v>
      </c>
      <c r="I2284" s="2" t="n">
        <f>HYPERLINK("https://ppubs.uspto.gov/pubwebapp/external.html?q=20210057109.pn.","USPTO")</f>
        <v>0.0</v>
      </c>
      <c r="J2284" s="2" t="n">
        <f>HYPERLINK("https://image-ppubs.uspto.gov/dirsearch-public/print/downloadPdf/20210057109","USPTO PDF")</f>
        <v>0.0</v>
      </c>
      <c r="K2284" s="2" t="n">
        <f>HYPERLINK("https://sectors.patentforecast.com/pmd/US20210057109","PMD")</f>
        <v>0.0</v>
      </c>
      <c r="L2284" s="2" t="n">
        <f>HYPERLINK("https://globaldossier.uspto.gov/result/application/US/16996792/1","US20210057109")</f>
        <v>0.0</v>
      </c>
      <c r="M2284" t="s">
        <v>15624</v>
      </c>
      <c r="N2284" t="s">
        <v>15625</v>
      </c>
      <c r="O2284" t="s">
        <v>15626</v>
      </c>
      <c r="P2284" t="s">
        <v>15627</v>
      </c>
      <c r="Q2284" s="3" t="n">
        <v>44061.0</v>
      </c>
      <c r="R2284" s="3" t="n">
        <v>44252.0</v>
      </c>
      <c r="S2284" s="3" t="n">
        <v>44252.18795881944</v>
      </c>
      <c r="T2284" s="3" t="n">
        <v>44256.402492106485</v>
      </c>
      <c r="U2284" t="s">
        <v>15628</v>
      </c>
      <c r="V2284" t="s">
        <v>15629</v>
      </c>
    </row>
    <row r="2285">
      <c r="A2285" t="s">
        <v>22</v>
      </c>
      <c r="B2285" t="s">
        <v>15630</v>
      </c>
      <c r="C2285" t="s">
        <v>24</v>
      </c>
      <c r="D2285" t="s">
        <v>25</v>
      </c>
      <c r="E2285" t="s">
        <v>15631</v>
      </c>
      <c r="F2285" s="2" t="n">
        <f>HYPERLINK("https://patents.google.com/patent/US20210053688","Google")</f>
        <v>0.0</v>
      </c>
      <c r="G2285" s="2" t="n">
        <f>HYPERLINK("https://patentcenter.uspto.gov/applications/16892104","Patent Center")</f>
        <v>0.0</v>
      </c>
      <c r="H2285" s="2" t="n">
        <f>HYPERLINK("https://worldwide.espacenet.com/patent/search?q=US20210053688","Espacenet")</f>
        <v>0.0</v>
      </c>
      <c r="I2285" s="2" t="n">
        <f>HYPERLINK("https://ppubs.uspto.gov/pubwebapp/external.html?q=20210053688.pn.","USPTO")</f>
        <v>0.0</v>
      </c>
      <c r="J2285" s="2" t="n">
        <f>HYPERLINK("https://image-ppubs.uspto.gov/dirsearch-public/print/downloadPdf/20210053688","USPTO PDF")</f>
        <v>0.0</v>
      </c>
      <c r="K2285" s="2" t="n">
        <f>HYPERLINK("https://sectors.patentforecast.com/pmd/US20210053688","PMD")</f>
        <v>0.0</v>
      </c>
      <c r="L2285" s="2" t="n">
        <f>HYPERLINK("https://globaldossier.uspto.gov/result/application/US/16892104/1","US20210053688")</f>
        <v>0.0</v>
      </c>
      <c r="M2285" t="s">
        <v>15632</v>
      </c>
      <c r="N2285" t="s">
        <v>15633</v>
      </c>
      <c r="O2285" t="s">
        <v>15634</v>
      </c>
      <c r="P2285" t="s">
        <v>15635</v>
      </c>
      <c r="Q2285" s="3" t="n">
        <v>43985.0</v>
      </c>
      <c r="R2285" s="3" t="n">
        <v>44252.0</v>
      </c>
      <c r="S2285" s="3" t="n">
        <v>44252.19223954861</v>
      </c>
      <c r="T2285" s="3" t="n">
        <v>44256.40345752315</v>
      </c>
      <c r="U2285" t="s">
        <v>15636</v>
      </c>
      <c r="V2285" t="s">
        <v>15637</v>
      </c>
    </row>
    <row r="2286">
      <c r="A2286" t="s">
        <v>22</v>
      </c>
      <c r="B2286" t="s">
        <v>15638</v>
      </c>
      <c r="C2286" t="s">
        <v>24</v>
      </c>
      <c r="D2286" t="s">
        <v>69</v>
      </c>
      <c r="E2286" t="s">
        <v>1172</v>
      </c>
      <c r="F2286" s="2" t="n">
        <f>HYPERLINK("https://patents.google.com/patent/US20210052922","Google")</f>
        <v>0.0</v>
      </c>
      <c r="G2286" s="2" t="n">
        <f>HYPERLINK("https://patentcenter.uspto.gov/applications/17093213","Patent Center")</f>
        <v>0.0</v>
      </c>
      <c r="H2286" s="2" t="n">
        <f>HYPERLINK("https://worldwide.espacenet.com/patent/search?q=US20210052922","Espacenet")</f>
        <v>0.0</v>
      </c>
      <c r="I2286" s="2" t="n">
        <f>HYPERLINK("https://ppubs.uspto.gov/pubwebapp/external.html?q=20210052922.pn.","USPTO")</f>
        <v>0.0</v>
      </c>
      <c r="J2286" s="2" t="n">
        <f>HYPERLINK("https://image-ppubs.uspto.gov/dirsearch-public/print/downloadPdf/20210052922","USPTO PDF")</f>
        <v>0.0</v>
      </c>
      <c r="K2286" s="2" t="n">
        <f>HYPERLINK("https://sectors.patentforecast.com/pmd/US20210052922","PMD")</f>
        <v>0.0</v>
      </c>
      <c r="L2286" s="2" t="n">
        <f>HYPERLINK("https://globaldossier.uspto.gov/result/application/US/17093213/1","US20210052922")</f>
        <v>0.0</v>
      </c>
      <c r="M2286" t="s">
        <v>15639</v>
      </c>
      <c r="N2286" t="s">
        <v>1174</v>
      </c>
      <c r="O2286" t="s">
        <v>1175</v>
      </c>
      <c r="P2286" t="s">
        <v>15640</v>
      </c>
      <c r="Q2286" s="3" t="n">
        <v>44144.0</v>
      </c>
      <c r="R2286" s="3" t="n">
        <v>44252.0</v>
      </c>
      <c r="S2286" s="3" t="n">
        <v>44252.18795881944</v>
      </c>
      <c r="T2286" s="3" t="n">
        <v>44256.40302866898</v>
      </c>
      <c r="U2286" t="s">
        <v>15641</v>
      </c>
      <c r="V2286" t="s">
        <v>13220</v>
      </c>
    </row>
    <row r="2287">
      <c r="A2287" t="s">
        <v>22</v>
      </c>
      <c r="B2287" t="s">
        <v>15642</v>
      </c>
      <c r="C2287" t="s">
        <v>24</v>
      </c>
      <c r="D2287" t="s">
        <v>34</v>
      </c>
      <c r="E2287" t="s">
        <v>15643</v>
      </c>
      <c r="F2287" s="2" t="n">
        <f>HYPERLINK("https://patents.google.com/patent/US20210052803","Google")</f>
        <v>0.0</v>
      </c>
      <c r="G2287" s="2" t="n">
        <f>HYPERLINK("https://patentcenter.uspto.gov/applications/17091214","Patent Center")</f>
        <v>0.0</v>
      </c>
      <c r="H2287" s="2" t="n">
        <f>HYPERLINK("https://worldwide.espacenet.com/patent/search?q=US20210052803","Espacenet")</f>
        <v>0.0</v>
      </c>
      <c r="I2287" s="2" t="n">
        <f>HYPERLINK("https://ppubs.uspto.gov/pubwebapp/external.html?q=20210052803.pn.","USPTO")</f>
        <v>0.0</v>
      </c>
      <c r="J2287" s="2" t="n">
        <f>HYPERLINK("https://image-ppubs.uspto.gov/dirsearch-public/print/downloadPdf/20210052803","USPTO PDF")</f>
        <v>0.0</v>
      </c>
      <c r="K2287" s="2" t="n">
        <f>HYPERLINK("https://sectors.patentforecast.com/pmd/US20210052803","PMD")</f>
        <v>0.0</v>
      </c>
      <c r="L2287" s="2" t="n">
        <f>HYPERLINK("https://globaldossier.uspto.gov/result/application/US/17091214/1","US20210052803")</f>
        <v>0.0</v>
      </c>
      <c r="M2287" t="s">
        <v>15644</v>
      </c>
      <c r="N2287" t="s">
        <v>15645</v>
      </c>
      <c r="O2287" t="s">
        <v>15646</v>
      </c>
      <c r="P2287" t="s">
        <v>15647</v>
      </c>
      <c r="Q2287" s="3" t="n">
        <v>44141.0</v>
      </c>
      <c r="R2287" s="3" t="n">
        <v>44252.0</v>
      </c>
      <c r="S2287" s="3" t="n">
        <v>44252.18795881944</v>
      </c>
      <c r="T2287" s="3" t="n">
        <v>44256.40579928241</v>
      </c>
      <c r="U2287" t="s">
        <v>15648</v>
      </c>
      <c r="V2287" t="s">
        <v>15649</v>
      </c>
    </row>
    <row r="2288">
      <c r="A2288" t="s">
        <v>22</v>
      </c>
      <c r="B2288" t="s">
        <v>15650</v>
      </c>
      <c r="C2288" t="s">
        <v>24</v>
      </c>
      <c r="D2288" t="s">
        <v>34</v>
      </c>
      <c r="E2288" t="s">
        <v>15651</v>
      </c>
      <c r="F2288" s="2" t="n">
        <f>HYPERLINK("https://patents.google.com/patent/US20210052231","Google")</f>
        <v>0.0</v>
      </c>
      <c r="G2288" s="2" t="n">
        <f>HYPERLINK("https://patentcenter.uspto.gov/applications/17081149","Patent Center")</f>
        <v>0.0</v>
      </c>
      <c r="H2288" s="2" t="n">
        <f>HYPERLINK("https://worldwide.espacenet.com/patent/search?q=US20210052231","Espacenet")</f>
        <v>0.0</v>
      </c>
      <c r="I2288" s="2" t="n">
        <f>HYPERLINK("https://ppubs.uspto.gov/pubwebapp/external.html?q=20210052231.pn.","USPTO")</f>
        <v>0.0</v>
      </c>
      <c r="J2288" s="2" t="n">
        <f>HYPERLINK("https://image-ppubs.uspto.gov/dirsearch-public/print/downloadPdf/20210052231","USPTO PDF")</f>
        <v>0.0</v>
      </c>
      <c r="K2288" s="2" t="n">
        <f>HYPERLINK("https://sectors.patentforecast.com/pmd/US20210052231","PMD")</f>
        <v>0.0</v>
      </c>
      <c r="L2288" s="2" t="n">
        <f>HYPERLINK("https://globaldossier.uspto.gov/result/application/US/17081149/1","US20210052231")</f>
        <v>0.0</v>
      </c>
      <c r="M2288" t="s">
        <v>15652</v>
      </c>
      <c r="N2288" t="s">
        <v>15653</v>
      </c>
      <c r="O2288" t="s">
        <v>15654</v>
      </c>
      <c r="P2288" t="s">
        <v>15655</v>
      </c>
      <c r="Q2288" s="3" t="n">
        <v>44131.0</v>
      </c>
      <c r="R2288" s="3" t="n">
        <v>44252.0</v>
      </c>
      <c r="S2288" s="3" t="n">
        <v>44252.18795881944</v>
      </c>
      <c r="T2288" s="3" t="n">
        <v>44256.40235084491</v>
      </c>
      <c r="U2288" t="s">
        <v>15656</v>
      </c>
      <c r="V2288" t="s">
        <v>15657</v>
      </c>
    </row>
    <row r="2289">
      <c r="A2289" t="s">
        <v>22</v>
      </c>
      <c r="B2289" t="s">
        <v>15658</v>
      </c>
      <c r="C2289" t="s">
        <v>60</v>
      </c>
      <c r="D2289" t="s">
        <v>77</v>
      </c>
      <c r="E2289" t="s">
        <v>15659</v>
      </c>
      <c r="F2289" s="2" t="n">
        <f>HYPERLINK("https://patents.google.com/patent/US20210047390","Google")</f>
        <v>0.0</v>
      </c>
      <c r="G2289" s="2" t="n">
        <f>HYPERLINK("https://patentcenter.uspto.gov/applications/16966506","Patent Center")</f>
        <v>0.0</v>
      </c>
      <c r="H2289" s="2" t="n">
        <f>HYPERLINK("https://worldwide.espacenet.com/patent/search?q=US20210047390","Espacenet")</f>
        <v>0.0</v>
      </c>
      <c r="I2289" s="2" t="n">
        <f>HYPERLINK("https://ppubs.uspto.gov/pubwebapp/external.html?q=20210047390.pn.","USPTO")</f>
        <v>0.0</v>
      </c>
      <c r="J2289" s="2" t="n">
        <f>HYPERLINK("https://image-ppubs.uspto.gov/dirsearch-public/print/downloadPdf/20210047390","USPTO PDF")</f>
        <v>0.0</v>
      </c>
      <c r="K2289" s="2" t="n">
        <f>HYPERLINK("https://sectors.patentforecast.com/pmd/US20210047390","PMD")</f>
        <v>0.0</v>
      </c>
      <c r="L2289" s="2" t="n">
        <f>HYPERLINK("https://globaldossier.uspto.gov/result/application/US/16966506/1","US20210047390")</f>
        <v>0.0</v>
      </c>
      <c r="M2289" t="s">
        <v>15660</v>
      </c>
      <c r="N2289" t="s">
        <v>2548</v>
      </c>
      <c r="O2289" t="s">
        <v>2549</v>
      </c>
      <c r="P2289" t="s">
        <v>15661</v>
      </c>
      <c r="Q2289" s="3" t="n">
        <v>43496.0</v>
      </c>
      <c r="R2289" s="3" t="n">
        <v>44245.0</v>
      </c>
      <c r="S2289" s="3" t="n">
        <v>44245.19028454861</v>
      </c>
      <c r="T2289" s="3" t="n">
        <v>44250.59507270833</v>
      </c>
      <c r="U2289" t="s">
        <v>15662</v>
      </c>
      <c r="V2289" t="s">
        <v>15663</v>
      </c>
    </row>
    <row r="2290">
      <c r="A2290" t="s">
        <v>22</v>
      </c>
      <c r="B2290" t="s">
        <v>15664</v>
      </c>
      <c r="C2290" t="s">
        <v>24</v>
      </c>
      <c r="D2290" t="s">
        <v>69</v>
      </c>
      <c r="E2290" t="s">
        <v>15665</v>
      </c>
      <c r="F2290" s="2" t="n">
        <f>HYPERLINK("https://patents.google.com/patent/US20210047078","Google")</f>
        <v>0.0</v>
      </c>
      <c r="G2290" s="2" t="n">
        <f>HYPERLINK("https://patentcenter.uspto.gov/applications/17077599","Patent Center")</f>
        <v>0.0</v>
      </c>
      <c r="H2290" s="2" t="n">
        <f>HYPERLINK("https://worldwide.espacenet.com/patent/search?q=US20210047078","Espacenet")</f>
        <v>0.0</v>
      </c>
      <c r="I2290" s="2" t="n">
        <f>HYPERLINK("https://ppubs.uspto.gov/pubwebapp/external.html?q=20210047078.pn.","USPTO")</f>
        <v>0.0</v>
      </c>
      <c r="J2290" s="2" t="n">
        <f>HYPERLINK("https://image-ppubs.uspto.gov/dirsearch-public/print/downloadPdf/20210047078","USPTO PDF")</f>
        <v>0.0</v>
      </c>
      <c r="K2290" s="2" t="n">
        <f>HYPERLINK("https://sectors.patentforecast.com/pmd/US20210047078","PMD")</f>
        <v>0.0</v>
      </c>
      <c r="L2290" s="2" t="n">
        <f>HYPERLINK("https://globaldossier.uspto.gov/result/application/US/17077599/1","US20210047078")</f>
        <v>0.0</v>
      </c>
      <c r="M2290" t="s">
        <v>15666</v>
      </c>
      <c r="N2290" t="s">
        <v>15667</v>
      </c>
      <c r="O2290" t="s">
        <v>15667</v>
      </c>
      <c r="P2290" t="s">
        <v>15668</v>
      </c>
      <c r="Q2290" s="3" t="n">
        <v>44126.0</v>
      </c>
      <c r="R2290" s="3" t="n">
        <v>44245.0</v>
      </c>
      <c r="S2290" s="3" t="n">
        <v>44245.18797373842</v>
      </c>
      <c r="T2290" s="3" t="n">
        <v>44250.59299630787</v>
      </c>
      <c r="U2290" t="s">
        <v>15669</v>
      </c>
      <c r="V2290" t="s">
        <v>15670</v>
      </c>
    </row>
    <row r="2291">
      <c r="A2291" t="s">
        <v>22</v>
      </c>
      <c r="B2291" t="s">
        <v>15671</v>
      </c>
      <c r="C2291" t="s">
        <v>60</v>
      </c>
      <c r="D2291" t="s">
        <v>696</v>
      </c>
      <c r="E2291" t="s">
        <v>15672</v>
      </c>
      <c r="F2291" s="2" t="n">
        <f>HYPERLINK("https://patents.google.com/patent/US20210046183","Google")</f>
        <v>0.0</v>
      </c>
      <c r="G2291" s="2" t="n">
        <f>HYPERLINK("https://patentcenter.uspto.gov/applications/17064669","Patent Center")</f>
        <v>0.0</v>
      </c>
      <c r="H2291" s="2" t="n">
        <f>HYPERLINK("https://worldwide.espacenet.com/patent/search?q=US20210046183","Espacenet")</f>
        <v>0.0</v>
      </c>
      <c r="I2291" s="2" t="n">
        <f>HYPERLINK("https://ppubs.uspto.gov/pubwebapp/external.html?q=20210046183.pn.","USPTO")</f>
        <v>0.0</v>
      </c>
      <c r="J2291" s="2" t="n">
        <f>HYPERLINK("https://image-ppubs.uspto.gov/dirsearch-public/print/downloadPdf/20210046183","USPTO PDF")</f>
        <v>0.0</v>
      </c>
      <c r="K2291" s="2" t="n">
        <f>HYPERLINK("https://sectors.patentforecast.com/pmd/US20210046183","PMD")</f>
        <v>0.0</v>
      </c>
      <c r="L2291" s="2" t="n">
        <f>HYPERLINK("https://globaldossier.uspto.gov/result/application/US/17064669/1","US20210046183")</f>
        <v>0.0</v>
      </c>
      <c r="M2291" t="s">
        <v>15673</v>
      </c>
      <c r="N2291" t="s">
        <v>15674</v>
      </c>
      <c r="O2291" t="s">
        <v>15675</v>
      </c>
      <c r="P2291" t="s">
        <v>15676</v>
      </c>
      <c r="Q2291" s="3" t="n">
        <v>44111.0</v>
      </c>
      <c r="R2291" s="3" t="n">
        <v>44245.0</v>
      </c>
      <c r="S2291" s="3" t="n">
        <v>44245.18855216435</v>
      </c>
      <c r="T2291" s="3" t="n">
        <v>44250.59476734954</v>
      </c>
      <c r="U2291" t="s">
        <v>15677</v>
      </c>
      <c r="V2291" t="s">
        <v>15678</v>
      </c>
    </row>
    <row r="2292">
      <c r="A2292" t="s">
        <v>22</v>
      </c>
      <c r="B2292" t="s">
        <v>15679</v>
      </c>
      <c r="C2292" t="s">
        <v>24</v>
      </c>
      <c r="D2292" t="s">
        <v>69</v>
      </c>
      <c r="E2292" t="s">
        <v>15680</v>
      </c>
      <c r="F2292" s="2" t="n">
        <f>HYPERLINK("https://patents.google.com/patent/US20210044925","Google")</f>
        <v>0.0</v>
      </c>
      <c r="G2292" s="2" t="n">
        <f>HYPERLINK("https://patentcenter.uspto.gov/applications/17083514","Patent Center")</f>
        <v>0.0</v>
      </c>
      <c r="H2292" s="2" t="n">
        <f>HYPERLINK("https://worldwide.espacenet.com/patent/search?q=US20210044925","Espacenet")</f>
        <v>0.0</v>
      </c>
      <c r="I2292" s="2" t="n">
        <f>HYPERLINK("https://ppubs.uspto.gov/pubwebapp/external.html?q=20210044925.pn.","USPTO")</f>
        <v>0.0</v>
      </c>
      <c r="J2292" s="2" t="n">
        <f>HYPERLINK("https://image-ppubs.uspto.gov/dirsearch-public/print/downloadPdf/20210044925","USPTO PDF")</f>
        <v>0.0</v>
      </c>
      <c r="K2292" s="2" t="n">
        <f>HYPERLINK("https://sectors.patentforecast.com/pmd/US20210044925","PMD")</f>
        <v>0.0</v>
      </c>
      <c r="L2292" s="2" t="n">
        <f>HYPERLINK("https://globaldossier.uspto.gov/result/application/US/17083514/1","US20210044925")</f>
        <v>0.0</v>
      </c>
      <c r="M2292" t="s">
        <v>15681</v>
      </c>
      <c r="N2292" t="s">
        <v>8923</v>
      </c>
      <c r="O2292" t="s">
        <v>8924</v>
      </c>
      <c r="P2292" t="s">
        <v>8925</v>
      </c>
      <c r="Q2292" s="3" t="n">
        <v>44133.0</v>
      </c>
      <c r="R2292" s="3" t="n">
        <v>44238.0</v>
      </c>
      <c r="S2292" s="3" t="n">
        <v>44238.187862060186</v>
      </c>
      <c r="T2292" s="3" t="n">
        <v>44238.52838752315</v>
      </c>
      <c r="U2292" t="s">
        <v>15682</v>
      </c>
      <c r="V2292" t="s">
        <v>15683</v>
      </c>
    </row>
    <row r="2293">
      <c r="A2293" t="s">
        <v>22</v>
      </c>
      <c r="B2293" t="s">
        <v>15684</v>
      </c>
      <c r="C2293" t="s">
        <v>24</v>
      </c>
      <c r="D2293" t="s">
        <v>69</v>
      </c>
      <c r="E2293" t="s">
        <v>15685</v>
      </c>
      <c r="F2293" s="2" t="n">
        <f>HYPERLINK("https://patents.google.com/patent/US20210041724","Google")</f>
        <v>0.0</v>
      </c>
      <c r="G2293" s="2" t="n">
        <f>HYPERLINK("https://patentcenter.uspto.gov/applications/17030410","Patent Center")</f>
        <v>0.0</v>
      </c>
      <c r="H2293" s="2" t="n">
        <f>HYPERLINK("https://worldwide.espacenet.com/patent/search?q=US20210041724","Espacenet")</f>
        <v>0.0</v>
      </c>
      <c r="I2293" s="2" t="n">
        <f>HYPERLINK("https://ppubs.uspto.gov/pubwebapp/external.html?q=20210041724.pn.","USPTO")</f>
        <v>0.0</v>
      </c>
      <c r="J2293" s="2" t="n">
        <f>HYPERLINK("https://image-ppubs.uspto.gov/dirsearch-public/print/downloadPdf/20210041724","USPTO PDF")</f>
        <v>0.0</v>
      </c>
      <c r="K2293" s="2" t="n">
        <f>HYPERLINK("https://sectors.patentforecast.com/pmd/US20210041724","PMD")</f>
        <v>0.0</v>
      </c>
      <c r="L2293" s="2" t="n">
        <f>HYPERLINK("https://globaldossier.uspto.gov/result/application/US/17030410/1","US20210041724")</f>
        <v>0.0</v>
      </c>
      <c r="M2293" t="s">
        <v>15686</v>
      </c>
      <c r="N2293" t="s">
        <v>15687</v>
      </c>
      <c r="O2293" t="s">
        <v>15687</v>
      </c>
      <c r="P2293" t="s">
        <v>15688</v>
      </c>
      <c r="Q2293" s="3" t="n">
        <v>44098.0</v>
      </c>
      <c r="R2293" s="3" t="n">
        <v>44238.0</v>
      </c>
      <c r="S2293" s="3" t="n">
        <v>44238.187862060186</v>
      </c>
      <c r="T2293" s="3" t="n">
        <v>44238.5280059375</v>
      </c>
      <c r="U2293" t="s">
        <v>15689</v>
      </c>
      <c r="V2293" t="s">
        <v>15690</v>
      </c>
    </row>
    <row r="2294">
      <c r="A2294" t="s">
        <v>22</v>
      </c>
      <c r="B2294" t="s">
        <v>15691</v>
      </c>
      <c r="C2294" t="s">
        <v>24</v>
      </c>
      <c r="D2294" t="s">
        <v>34</v>
      </c>
      <c r="E2294" t="s">
        <v>15692</v>
      </c>
      <c r="F2294" s="2" t="n">
        <f>HYPERLINK("https://patents.google.com/patent/US20210038111","Google")</f>
        <v>0.0</v>
      </c>
      <c r="G2294" s="2" t="n">
        <f>HYPERLINK("https://patentcenter.uspto.gov/applications/17075725","Patent Center")</f>
        <v>0.0</v>
      </c>
      <c r="H2294" s="2" t="n">
        <f>HYPERLINK("https://worldwide.espacenet.com/patent/search?q=US20210038111","Espacenet")</f>
        <v>0.0</v>
      </c>
      <c r="I2294" s="2" t="n">
        <f>HYPERLINK("https://ppubs.uspto.gov/pubwebapp/external.html?q=20210038111.pn.","USPTO")</f>
        <v>0.0</v>
      </c>
      <c r="J2294" s="2" t="n">
        <f>HYPERLINK("https://image-ppubs.uspto.gov/dirsearch-public/print/downloadPdf/20210038111","USPTO PDF")</f>
        <v>0.0</v>
      </c>
      <c r="K2294" s="2" t="n">
        <f>HYPERLINK("https://sectors.patentforecast.com/pmd/US20210038111","PMD")</f>
        <v>0.0</v>
      </c>
      <c r="L2294" s="2" t="n">
        <f>HYPERLINK("https://globaldossier.uspto.gov/result/application/US/17075725/1","US20210038111")</f>
        <v>0.0</v>
      </c>
      <c r="M2294" t="s">
        <v>15693</v>
      </c>
      <c r="N2294" t="s">
        <v>15687</v>
      </c>
      <c r="O2294" t="s">
        <v>15687</v>
      </c>
      <c r="P2294" t="s">
        <v>15688</v>
      </c>
      <c r="Q2294" s="3" t="n">
        <v>44125.0</v>
      </c>
      <c r="R2294" s="3" t="n">
        <v>44238.0</v>
      </c>
      <c r="S2294" s="3" t="n">
        <v>44238.187862060186</v>
      </c>
      <c r="T2294" s="3" t="n">
        <v>44238.53131907407</v>
      </c>
      <c r="U2294" t="s">
        <v>15694</v>
      </c>
      <c r="V2294" t="s">
        <v>15695</v>
      </c>
    </row>
    <row r="2295">
      <c r="A2295" t="s">
        <v>22</v>
      </c>
      <c r="B2295" t="s">
        <v>15696</v>
      </c>
      <c r="C2295" t="s">
        <v>24</v>
      </c>
      <c r="D2295" t="s">
        <v>34</v>
      </c>
      <c r="E2295" t="s">
        <v>15697</v>
      </c>
      <c r="F2295" s="2" t="n">
        <f>HYPERLINK("https://patents.google.com/patent/US20210036678","Google")</f>
        <v>0.0</v>
      </c>
      <c r="G2295" s="2" t="n">
        <f>HYPERLINK("https://patentcenter.uspto.gov/applications/16940172","Patent Center")</f>
        <v>0.0</v>
      </c>
      <c r="H2295" s="2" t="n">
        <f>HYPERLINK("https://worldwide.espacenet.com/patent/search?q=US20210036678","Espacenet")</f>
        <v>0.0</v>
      </c>
      <c r="I2295" s="2" t="n">
        <f>HYPERLINK("https://ppubs.uspto.gov/pubwebapp/external.html?q=20210036678.pn.","USPTO")</f>
        <v>0.0</v>
      </c>
      <c r="J2295" s="2" t="n">
        <f>HYPERLINK("https://image-ppubs.uspto.gov/dirsearch-public/print/downloadPdf/20210036678","USPTO PDF")</f>
        <v>0.0</v>
      </c>
      <c r="K2295" s="2" t="n">
        <f>HYPERLINK("https://sectors.patentforecast.com/pmd/US20210036678","PMD")</f>
        <v>0.0</v>
      </c>
      <c r="L2295" s="2" t="n">
        <f>HYPERLINK("https://globaldossier.uspto.gov/result/application/US/16940172/1","US20210036678")</f>
        <v>0.0</v>
      </c>
      <c r="M2295" t="s">
        <v>15698</v>
      </c>
      <c r="N2295" t="s">
        <v>15699</v>
      </c>
      <c r="O2295" t="s">
        <v>15700</v>
      </c>
      <c r="P2295" t="s">
        <v>15701</v>
      </c>
      <c r="Q2295" s="3" t="n">
        <v>44039.0</v>
      </c>
      <c r="R2295" s="3" t="n">
        <v>44231.0</v>
      </c>
      <c r="S2295" s="3" t="n">
        <v>44231.187864513886</v>
      </c>
      <c r="T2295" s="3" t="n">
        <v>44237.59740666667</v>
      </c>
      <c r="U2295" t="s">
        <v>15702</v>
      </c>
      <c r="V2295" t="s">
        <v>15703</v>
      </c>
    </row>
    <row r="2296">
      <c r="A2296" t="s">
        <v>22</v>
      </c>
      <c r="B2296" t="s">
        <v>15704</v>
      </c>
      <c r="C2296" t="s">
        <v>24</v>
      </c>
      <c r="D2296" t="s">
        <v>100</v>
      </c>
      <c r="E2296" t="s">
        <v>15705</v>
      </c>
      <c r="F2296" s="2" t="n">
        <f>HYPERLINK("https://patents.google.com/patent/US20210032576","Google")</f>
        <v>0.0</v>
      </c>
      <c r="G2296" s="2" t="n">
        <f>HYPERLINK("https://patentcenter.uspto.gov/applications/17065981","Patent Center")</f>
        <v>0.0</v>
      </c>
      <c r="H2296" s="2" t="n">
        <f>HYPERLINK("https://worldwide.espacenet.com/patent/search?q=US20210032576","Espacenet")</f>
        <v>0.0</v>
      </c>
      <c r="I2296" s="2" t="n">
        <f>HYPERLINK("https://ppubs.uspto.gov/pubwebapp/external.html?q=20210032576.pn.","USPTO")</f>
        <v>0.0</v>
      </c>
      <c r="J2296" s="2" t="n">
        <f>HYPERLINK("https://image-ppubs.uspto.gov/dirsearch-public/print/downloadPdf/20210032576","USPTO PDF")</f>
        <v>0.0</v>
      </c>
      <c r="K2296" s="2" t="n">
        <f>HYPERLINK("https://sectors.patentforecast.com/pmd/US20210032576","PMD")</f>
        <v>0.0</v>
      </c>
      <c r="L2296" s="2" t="n">
        <f>HYPERLINK("https://globaldossier.uspto.gov/result/application/US/17065981/1","US20210032576")</f>
        <v>0.0</v>
      </c>
      <c r="M2296" t="s">
        <v>15706</v>
      </c>
      <c r="N2296" t="s">
        <v>5976</v>
      </c>
      <c r="O2296" t="s">
        <v>5977</v>
      </c>
      <c r="P2296" t="s">
        <v>15707</v>
      </c>
      <c r="Q2296" s="3" t="n">
        <v>44112.0</v>
      </c>
      <c r="R2296" s="3" t="n">
        <v>44231.0</v>
      </c>
      <c r="S2296" s="3" t="n">
        <v>44231.187864513886</v>
      </c>
      <c r="T2296" s="3" t="n">
        <v>44237.5943656713</v>
      </c>
      <c r="U2296" t="s">
        <v>15708</v>
      </c>
      <c r="V2296" t="s">
        <v>15709</v>
      </c>
    </row>
    <row r="2297">
      <c r="A2297" t="s">
        <v>22</v>
      </c>
      <c r="B2297" t="s">
        <v>15710</v>
      </c>
      <c r="C2297" t="s">
        <v>60</v>
      </c>
      <c r="D2297" t="s">
        <v>61</v>
      </c>
      <c r="E2297" t="s">
        <v>15119</v>
      </c>
      <c r="F2297" s="2" t="n">
        <f>HYPERLINK("https://patents.google.com/patent/US20210032355","Google")</f>
        <v>0.0</v>
      </c>
      <c r="G2297" s="2" t="n">
        <f>HYPERLINK("https://patentcenter.uspto.gov/applications/17067191","Patent Center")</f>
        <v>0.0</v>
      </c>
      <c r="H2297" s="2" t="n">
        <f>HYPERLINK("https://worldwide.espacenet.com/patent/search?q=US20210032355","Espacenet")</f>
        <v>0.0</v>
      </c>
      <c r="I2297" s="2" t="n">
        <f>HYPERLINK("https://ppubs.uspto.gov/pubwebapp/external.html?q=20210032355.pn.","USPTO")</f>
        <v>0.0</v>
      </c>
      <c r="J2297" s="2" t="n">
        <f>HYPERLINK("https://image-ppubs.uspto.gov/dirsearch-public/print/downloadPdf/20210032355","USPTO PDF")</f>
        <v>0.0</v>
      </c>
      <c r="K2297" s="2" t="n">
        <f>HYPERLINK("https://sectors.patentforecast.com/pmd/US20210032355","PMD")</f>
        <v>0.0</v>
      </c>
      <c r="L2297" s="2" t="n">
        <f>HYPERLINK("https://globaldossier.uspto.gov/result/application/US/17067191/1","US20210032355")</f>
        <v>0.0</v>
      </c>
      <c r="M2297" t="s">
        <v>15711</v>
      </c>
      <c r="N2297" t="s">
        <v>9252</v>
      </c>
      <c r="O2297" t="s">
        <v>9253</v>
      </c>
      <c r="P2297" t="s">
        <v>15712</v>
      </c>
      <c r="Q2297" s="3" t="n">
        <v>44113.0</v>
      </c>
      <c r="R2297" s="3" t="n">
        <v>44231.0</v>
      </c>
      <c r="S2297" s="3" t="n">
        <v>44231.187864513886</v>
      </c>
      <c r="T2297" s="3" t="n">
        <v>44237.59133434028</v>
      </c>
      <c r="U2297" t="s">
        <v>15713</v>
      </c>
      <c r="V2297" t="s">
        <v>15123</v>
      </c>
    </row>
    <row r="2298">
      <c r="A2298" t="s">
        <v>22</v>
      </c>
      <c r="B2298" t="s">
        <v>15714</v>
      </c>
      <c r="C2298" t="s">
        <v>60</v>
      </c>
      <c r="D2298" t="s">
        <v>77</v>
      </c>
      <c r="E2298" t="s">
        <v>15715</v>
      </c>
      <c r="F2298" s="2" t="n">
        <f>HYPERLINK("https://patents.google.com/patent/US20210032323","Google")</f>
        <v>0.0</v>
      </c>
      <c r="G2298" s="2" t="n">
        <f>HYPERLINK("https://patentcenter.uspto.gov/applications/16994882","Patent Center")</f>
        <v>0.0</v>
      </c>
      <c r="H2298" s="2" t="n">
        <f>HYPERLINK("https://worldwide.espacenet.com/patent/search?q=US20210032323","Espacenet")</f>
        <v>0.0</v>
      </c>
      <c r="I2298" s="2" t="n">
        <f>HYPERLINK("https://ppubs.uspto.gov/pubwebapp/external.html?q=20210032323.pn.","USPTO")</f>
        <v>0.0</v>
      </c>
      <c r="J2298" s="2" t="n">
        <f>HYPERLINK("https://image-ppubs.uspto.gov/dirsearch-public/print/downloadPdf/20210032323","USPTO PDF")</f>
        <v>0.0</v>
      </c>
      <c r="K2298" s="2" t="n">
        <f>HYPERLINK("https://sectors.patentforecast.com/pmd/US20210032323","PMD")</f>
        <v>0.0</v>
      </c>
      <c r="L2298" s="2" t="n">
        <f>HYPERLINK("https://globaldossier.uspto.gov/result/application/US/16994882/1","US20210032323")</f>
        <v>0.0</v>
      </c>
      <c r="M2298" t="s">
        <v>15716</v>
      </c>
      <c r="N2298" t="s">
        <v>15717</v>
      </c>
      <c r="O2298" t="s">
        <v>15717</v>
      </c>
      <c r="P2298" t="s">
        <v>15718</v>
      </c>
      <c r="Q2298" s="3" t="n">
        <v>44060.0</v>
      </c>
      <c r="R2298" s="3" t="n">
        <v>44231.0</v>
      </c>
      <c r="S2298" s="3" t="n">
        <v>44231.187864513886</v>
      </c>
      <c r="T2298" s="3" t="n">
        <v>44237.593831886574</v>
      </c>
      <c r="U2298" t="s">
        <v>15719</v>
      </c>
      <c r="V2298" t="s">
        <v>15720</v>
      </c>
    </row>
    <row r="2299">
      <c r="A2299" t="s">
        <v>22</v>
      </c>
      <c r="B2299" t="s">
        <v>15721</v>
      </c>
      <c r="C2299" t="s">
        <v>60</v>
      </c>
      <c r="D2299" t="s">
        <v>61</v>
      </c>
      <c r="E2299" t="s">
        <v>15722</v>
      </c>
      <c r="F2299" s="2" t="n">
        <f>HYPERLINK("https://patents.google.com/patent/US20210030811","Google")</f>
        <v>0.0</v>
      </c>
      <c r="G2299" s="2" t="n">
        <f>HYPERLINK("https://patentcenter.uspto.gov/applications/17074118","Patent Center")</f>
        <v>0.0</v>
      </c>
      <c r="H2299" s="2" t="n">
        <f>HYPERLINK("https://worldwide.espacenet.com/patent/search?q=US20210030811","Espacenet")</f>
        <v>0.0</v>
      </c>
      <c r="I2299" s="2" t="n">
        <f>HYPERLINK("https://ppubs.uspto.gov/pubwebapp/external.html?q=20210030811.pn.","USPTO")</f>
        <v>0.0</v>
      </c>
      <c r="J2299" s="2" t="n">
        <f>HYPERLINK("https://image-ppubs.uspto.gov/dirsearch-public/print/downloadPdf/20210030811","USPTO PDF")</f>
        <v>0.0</v>
      </c>
      <c r="K2299" s="2" t="n">
        <f>HYPERLINK("https://sectors.patentforecast.com/pmd/US20210030811","PMD")</f>
        <v>0.0</v>
      </c>
      <c r="L2299" s="2" t="n">
        <f>HYPERLINK("https://globaldossier.uspto.gov/result/application/US/17074118/1","US20210030811")</f>
        <v>0.0</v>
      </c>
      <c r="M2299" t="s">
        <v>15723</v>
      </c>
      <c r="N2299" t="s">
        <v>15724</v>
      </c>
      <c r="O2299" t="s">
        <v>15725</v>
      </c>
      <c r="P2299" t="s">
        <v>15726</v>
      </c>
      <c r="Q2299" s="3" t="n">
        <v>44123.0</v>
      </c>
      <c r="R2299" s="3" t="n">
        <v>44231.0</v>
      </c>
      <c r="S2299" s="3" t="n">
        <v>44231.18786395833</v>
      </c>
      <c r="T2299" s="3" t="n">
        <v>44237.589795416665</v>
      </c>
      <c r="U2299" t="s">
        <v>15727</v>
      </c>
      <c r="V2299" t="s">
        <v>15728</v>
      </c>
    </row>
    <row r="2300">
      <c r="A2300" t="s">
        <v>22</v>
      </c>
      <c r="B2300" t="s">
        <v>15729</v>
      </c>
      <c r="C2300" t="s">
        <v>24</v>
      </c>
      <c r="D2300" t="s">
        <v>34</v>
      </c>
      <c r="E2300" t="s">
        <v>15730</v>
      </c>
      <c r="F2300" s="2" t="n">
        <f>HYPERLINK("https://patents.google.com/patent/US20210025881","Google")</f>
        <v>0.0</v>
      </c>
      <c r="G2300" s="2" t="n">
        <f>HYPERLINK("https://patentcenter.uspto.gov/applications/16936208","Patent Center")</f>
        <v>0.0</v>
      </c>
      <c r="H2300" s="2" t="n">
        <f>HYPERLINK("https://worldwide.espacenet.com/patent/search?q=US20210025881","Espacenet")</f>
        <v>0.0</v>
      </c>
      <c r="I2300" s="2" t="n">
        <f>HYPERLINK("https://ppubs.uspto.gov/pubwebapp/external.html?q=20210025881.pn.","USPTO")</f>
        <v>0.0</v>
      </c>
      <c r="J2300" s="2" t="n">
        <f>HYPERLINK("https://image-ppubs.uspto.gov/dirsearch-public/print/downloadPdf/20210025881","USPTO PDF")</f>
        <v>0.0</v>
      </c>
      <c r="K2300" s="2" t="n">
        <f>HYPERLINK("https://sectors.patentforecast.com/pmd/US20210025881","PMD")</f>
        <v>0.0</v>
      </c>
      <c r="L2300" s="2" t="n">
        <f>HYPERLINK("https://globaldossier.uspto.gov/result/application/US/16936208/1","US20210025881")</f>
        <v>0.0</v>
      </c>
      <c r="M2300" t="s">
        <v>15731</v>
      </c>
      <c r="N2300" t="s">
        <v>15732</v>
      </c>
      <c r="O2300" t="s">
        <v>15733</v>
      </c>
      <c r="P2300" t="s">
        <v>15734</v>
      </c>
      <c r="Q2300" s="3" t="n">
        <v>44034.0</v>
      </c>
      <c r="R2300" s="3" t="n">
        <v>44224.0</v>
      </c>
      <c r="S2300" s="3" t="n">
        <v>44224.18796517361</v>
      </c>
      <c r="T2300" s="3" t="n">
        <v>44225.7239871875</v>
      </c>
      <c r="U2300" t="s">
        <v>15735</v>
      </c>
      <c r="V2300" t="s">
        <v>15736</v>
      </c>
    </row>
    <row r="2301">
      <c r="A2301" t="s">
        <v>22</v>
      </c>
      <c r="B2301" t="s">
        <v>15737</v>
      </c>
      <c r="C2301" t="s">
        <v>24</v>
      </c>
      <c r="D2301" t="s">
        <v>69</v>
      </c>
      <c r="E2301" t="s">
        <v>15738</v>
      </c>
      <c r="F2301" s="2" t="n">
        <f>HYPERLINK("https://patents.google.com/patent/US20210025605","Google")</f>
        <v>0.0</v>
      </c>
      <c r="G2301" s="2" t="n">
        <f>HYPERLINK("https://patentcenter.uspto.gov/applications/17001914","Patent Center")</f>
        <v>0.0</v>
      </c>
      <c r="H2301" s="2" t="n">
        <f>HYPERLINK("https://worldwide.espacenet.com/patent/search?q=US20210025605","Espacenet")</f>
        <v>0.0</v>
      </c>
      <c r="I2301" s="2" t="n">
        <f>HYPERLINK("https://ppubs.uspto.gov/pubwebapp/external.html?q=20210025605.pn.","USPTO")</f>
        <v>0.0</v>
      </c>
      <c r="J2301" s="2" t="n">
        <f>HYPERLINK("https://image-ppubs.uspto.gov/dirsearch-public/print/downloadPdf/20210025605","USPTO PDF")</f>
        <v>0.0</v>
      </c>
      <c r="K2301" s="2" t="n">
        <f>HYPERLINK("https://sectors.patentforecast.com/pmd/US20210025605","PMD")</f>
        <v>0.0</v>
      </c>
      <c r="L2301" s="2" t="n">
        <f>HYPERLINK("https://globaldossier.uspto.gov/result/application/US/17001914/1","US20210025605")</f>
        <v>0.0</v>
      </c>
      <c r="M2301" t="s">
        <v>15739</v>
      </c>
      <c r="N2301" t="s">
        <v>15740</v>
      </c>
      <c r="O2301" t="s">
        <v>15741</v>
      </c>
      <c r="P2301" t="s">
        <v>15742</v>
      </c>
      <c r="Q2301" s="3" t="n">
        <v>44068.0</v>
      </c>
      <c r="R2301" s="3" t="n">
        <v>44224.0</v>
      </c>
      <c r="S2301" s="3" t="n">
        <v>44224.18796517361</v>
      </c>
      <c r="T2301" s="3" t="n">
        <v>44225.72379606481</v>
      </c>
      <c r="U2301" t="s">
        <v>15743</v>
      </c>
      <c r="V2301" t="s">
        <v>15744</v>
      </c>
    </row>
    <row r="2302">
      <c r="A2302" t="s">
        <v>22</v>
      </c>
      <c r="B2302" t="s">
        <v>15745</v>
      </c>
      <c r="C2302" t="s">
        <v>132</v>
      </c>
      <c r="D2302" t="s">
        <v>2629</v>
      </c>
      <c r="E2302" t="s">
        <v>15746</v>
      </c>
      <c r="F2302" s="2" t="n">
        <f>HYPERLINK("https://patents.google.com/patent/US20210017255","Google")</f>
        <v>0.0</v>
      </c>
      <c r="G2302" s="2" t="n">
        <f>HYPERLINK("https://patentcenter.uspto.gov/applications/16928571","Patent Center")</f>
        <v>0.0</v>
      </c>
      <c r="H2302" s="2" t="n">
        <f>HYPERLINK("https://worldwide.espacenet.com/patent/search?q=US20210017255","Espacenet")</f>
        <v>0.0</v>
      </c>
      <c r="I2302" s="2" t="n">
        <f>HYPERLINK("https://ppubs.uspto.gov/pubwebapp/external.html?q=20210017255.pn.","USPTO")</f>
        <v>0.0</v>
      </c>
      <c r="J2302" s="2" t="n">
        <f>HYPERLINK("https://image-ppubs.uspto.gov/dirsearch-public/print/downloadPdf/20210017255","USPTO PDF")</f>
        <v>0.0</v>
      </c>
      <c r="K2302" s="2" t="n">
        <f>HYPERLINK("https://sectors.patentforecast.com/pmd/US20210017255","PMD")</f>
        <v>0.0</v>
      </c>
      <c r="L2302" s="2" t="n">
        <f>HYPERLINK("https://globaldossier.uspto.gov/result/application/US/16928571/1","US20210017255")</f>
        <v>0.0</v>
      </c>
      <c r="M2302" t="s">
        <v>15747</v>
      </c>
      <c r="N2302" t="s">
        <v>664</v>
      </c>
      <c r="O2302" t="s">
        <v>665</v>
      </c>
      <c r="P2302" t="s">
        <v>15748</v>
      </c>
      <c r="Q2302" s="3" t="n">
        <v>44026.0</v>
      </c>
      <c r="R2302" s="3" t="n">
        <v>44217.0</v>
      </c>
      <c r="S2302" s="3" t="n">
        <v>44217.19062127315</v>
      </c>
      <c r="T2302" s="3" t="n">
        <v>44217.70568259259</v>
      </c>
      <c r="U2302" t="s">
        <v>15749</v>
      </c>
      <c r="V2302" t="s">
        <v>15750</v>
      </c>
    </row>
    <row r="2303">
      <c r="A2303" t="s">
        <v>22</v>
      </c>
      <c r="B2303" t="s">
        <v>15751</v>
      </c>
      <c r="C2303" t="s">
        <v>24</v>
      </c>
      <c r="D2303" t="s">
        <v>100</v>
      </c>
      <c r="E2303" t="s">
        <v>15752</v>
      </c>
      <c r="F2303" s="2" t="n">
        <f>HYPERLINK("https://patents.google.com/patent/US20210016216","Google")</f>
        <v>0.0</v>
      </c>
      <c r="G2303" s="2" t="n">
        <f>HYPERLINK("https://patentcenter.uspto.gov/applications/17018177","Patent Center")</f>
        <v>0.0</v>
      </c>
      <c r="H2303" s="2" t="n">
        <f>HYPERLINK("https://worldwide.espacenet.com/patent/search?q=US20210016216","Espacenet")</f>
        <v>0.0</v>
      </c>
      <c r="I2303" s="2" t="n">
        <f>HYPERLINK("https://ppubs.uspto.gov/pubwebapp/external.html?q=20210016216.pn.","USPTO")</f>
        <v>0.0</v>
      </c>
      <c r="J2303" s="2" t="n">
        <f>HYPERLINK("https://image-ppubs.uspto.gov/dirsearch-public/print/downloadPdf/20210016216","USPTO PDF")</f>
        <v>0.0</v>
      </c>
      <c r="K2303" s="2" t="n">
        <f>HYPERLINK("https://sectors.patentforecast.com/pmd/US20210016216","PMD")</f>
        <v>0.0</v>
      </c>
      <c r="L2303" s="2" t="n">
        <f>HYPERLINK("https://globaldossier.uspto.gov/result/application/US/17018177/1","US20210016216")</f>
        <v>0.0</v>
      </c>
      <c r="M2303" t="s">
        <v>15753</v>
      </c>
      <c r="N2303" t="s">
        <v>15754</v>
      </c>
      <c r="O2303" t="s">
        <v>15755</v>
      </c>
      <c r="P2303" t="s">
        <v>15756</v>
      </c>
      <c r="Q2303" s="3" t="n">
        <v>44085.0</v>
      </c>
      <c r="R2303" s="3" t="n">
        <v>44217.0</v>
      </c>
      <c r="S2303" s="3" t="n">
        <v>44217.187959490744</v>
      </c>
      <c r="T2303" s="3" t="n">
        <v>44217.70692224537</v>
      </c>
      <c r="U2303" t="s">
        <v>15757</v>
      </c>
      <c r="V2303" t="s">
        <v>15758</v>
      </c>
    </row>
    <row r="2304">
      <c r="A2304" t="s">
        <v>22</v>
      </c>
      <c r="B2304" t="s">
        <v>15759</v>
      </c>
      <c r="C2304" t="s">
        <v>24</v>
      </c>
      <c r="D2304" t="s">
        <v>3193</v>
      </c>
      <c r="E2304" t="s">
        <v>15760</v>
      </c>
      <c r="F2304" s="2" t="n">
        <f>HYPERLINK("https://patents.google.com/patent/US20210012905","Google")</f>
        <v>0.0</v>
      </c>
      <c r="G2304" s="2" t="n">
        <f>HYPERLINK("https://patentcenter.uspto.gov/applications/17033681","Patent Center")</f>
        <v>0.0</v>
      </c>
      <c r="H2304" s="2" t="n">
        <f>HYPERLINK("https://worldwide.espacenet.com/patent/search?q=US20210012905","Espacenet")</f>
        <v>0.0</v>
      </c>
      <c r="I2304" s="2" t="n">
        <f>HYPERLINK("https://ppubs.uspto.gov/pubwebapp/external.html?q=20210012905.pn.","USPTO")</f>
        <v>0.0</v>
      </c>
      <c r="J2304" s="2" t="n">
        <f>HYPERLINK("https://image-ppubs.uspto.gov/dirsearch-public/print/downloadPdf/20210012905","USPTO PDF")</f>
        <v>0.0</v>
      </c>
      <c r="K2304" s="2" t="n">
        <f>HYPERLINK("https://sectors.patentforecast.com/pmd/US20210012905","PMD")</f>
        <v>0.0</v>
      </c>
      <c r="L2304" s="2" t="n">
        <f>HYPERLINK("https://globaldossier.uspto.gov/result/application/US/17033681/1","US20210012905")</f>
        <v>0.0</v>
      </c>
      <c r="M2304" t="s">
        <v>15761</v>
      </c>
      <c r="N2304" t="s">
        <v>15762</v>
      </c>
      <c r="O2304" t="s">
        <v>15763</v>
      </c>
      <c r="P2304" t="s">
        <v>15764</v>
      </c>
      <c r="Q2304" s="3" t="n">
        <v>44100.0</v>
      </c>
      <c r="R2304" s="3" t="n">
        <v>44210.0</v>
      </c>
      <c r="S2304" s="3" t="n">
        <v>44210.19224724537</v>
      </c>
      <c r="T2304" s="3" t="n">
        <v>44210.48307203704</v>
      </c>
      <c r="U2304" t="s">
        <v>13317</v>
      </c>
      <c r="V2304" t="s">
        <v>15765</v>
      </c>
    </row>
    <row r="2305">
      <c r="A2305" t="s">
        <v>22</v>
      </c>
      <c r="B2305" t="s">
        <v>15766</v>
      </c>
      <c r="C2305" t="s">
        <v>24</v>
      </c>
      <c r="D2305" t="s">
        <v>1356</v>
      </c>
      <c r="E2305" t="s">
        <v>15767</v>
      </c>
      <c r="F2305" s="2" t="n">
        <f>HYPERLINK("https://patents.google.com/patent/US20210012869","Google")</f>
        <v>0.0</v>
      </c>
      <c r="G2305" s="2" t="n">
        <f>HYPERLINK("https://patentcenter.uspto.gov/applications/17037563","Patent Center")</f>
        <v>0.0</v>
      </c>
      <c r="H2305" s="2" t="n">
        <f>HYPERLINK("https://worldwide.espacenet.com/patent/search?q=US20210012869","Espacenet")</f>
        <v>0.0</v>
      </c>
      <c r="I2305" s="2" t="n">
        <f>HYPERLINK("https://ppubs.uspto.gov/pubwebapp/external.html?q=20210012869.pn.","USPTO")</f>
        <v>0.0</v>
      </c>
      <c r="J2305" s="2" t="n">
        <f>HYPERLINK("https://image-ppubs.uspto.gov/dirsearch-public/print/downloadPdf/20210012869","USPTO PDF")</f>
        <v>0.0</v>
      </c>
      <c r="K2305" s="2" t="n">
        <f>HYPERLINK("https://sectors.patentforecast.com/pmd/US20210012869","PMD")</f>
        <v>0.0</v>
      </c>
      <c r="L2305" s="2" t="n">
        <f>HYPERLINK("https://globaldossier.uspto.gov/result/application/US/17037563/1","US20210012869")</f>
        <v>0.0</v>
      </c>
      <c r="M2305" t="s">
        <v>15768</v>
      </c>
      <c r="N2305" t="s">
        <v>15769</v>
      </c>
      <c r="O2305" t="s">
        <v>15770</v>
      </c>
      <c r="P2305" t="s">
        <v>15771</v>
      </c>
      <c r="Q2305" s="3" t="n">
        <v>44103.0</v>
      </c>
      <c r="R2305" s="3" t="n">
        <v>44210.0</v>
      </c>
      <c r="S2305" s="3" t="n">
        <v>44210.18797497685</v>
      </c>
      <c r="T2305" s="3" t="n">
        <v>44210.49171909722</v>
      </c>
      <c r="U2305" t="s">
        <v>15772</v>
      </c>
      <c r="V2305" t="s">
        <v>15773</v>
      </c>
    </row>
    <row r="2306">
      <c r="A2306" t="s">
        <v>22</v>
      </c>
      <c r="B2306" t="s">
        <v>15774</v>
      </c>
      <c r="C2306" t="s">
        <v>24</v>
      </c>
      <c r="D2306" t="s">
        <v>69</v>
      </c>
      <c r="E2306" t="s">
        <v>9244</v>
      </c>
      <c r="F2306" s="2" t="n">
        <f>HYPERLINK("https://patents.google.com/patent/US20210011444","Google")</f>
        <v>0.0</v>
      </c>
      <c r="G2306" s="2" t="n">
        <f>HYPERLINK("https://patentcenter.uspto.gov/applications/16927759","Patent Center")</f>
        <v>0.0</v>
      </c>
      <c r="H2306" s="2" t="n">
        <f>HYPERLINK("https://worldwide.espacenet.com/patent/search?q=US20210011444","Espacenet")</f>
        <v>0.0</v>
      </c>
      <c r="I2306" s="2" t="n">
        <f>HYPERLINK("https://ppubs.uspto.gov/pubwebapp/external.html?q=20210011444.pn.","USPTO")</f>
        <v>0.0</v>
      </c>
      <c r="J2306" s="2" t="n">
        <f>HYPERLINK("https://image-ppubs.uspto.gov/dirsearch-public/print/downloadPdf/20210011444","USPTO PDF")</f>
        <v>0.0</v>
      </c>
      <c r="K2306" s="2" t="n">
        <f>HYPERLINK("https://sectors.patentforecast.com/pmd/US20210011444","PMD")</f>
        <v>0.0</v>
      </c>
      <c r="L2306" s="2" t="n">
        <f>HYPERLINK("https://globaldossier.uspto.gov/result/application/US/16927759/1","US20210011444")</f>
        <v>0.0</v>
      </c>
      <c r="M2306" t="s">
        <v>15775</v>
      </c>
      <c r="N2306" t="s">
        <v>1520</v>
      </c>
      <c r="O2306" t="s">
        <v>1521</v>
      </c>
      <c r="P2306" t="s">
        <v>15776</v>
      </c>
      <c r="Q2306" s="3" t="n">
        <v>44025.0</v>
      </c>
      <c r="R2306" s="3" t="n">
        <v>44210.0</v>
      </c>
      <c r="S2306" s="3" t="n">
        <v>44210.18797497685</v>
      </c>
      <c r="T2306" s="3" t="n">
        <v>44210.47019546296</v>
      </c>
      <c r="U2306" t="s">
        <v>15777</v>
      </c>
      <c r="V2306" t="s">
        <v>15778</v>
      </c>
    </row>
    <row r="2307">
      <c r="A2307" t="s">
        <v>22</v>
      </c>
      <c r="B2307" t="s">
        <v>15779</v>
      </c>
      <c r="C2307" t="s">
        <v>24</v>
      </c>
      <c r="D2307" t="s">
        <v>25</v>
      </c>
      <c r="E2307" t="s">
        <v>15780</v>
      </c>
      <c r="F2307" s="2" t="n">
        <f>HYPERLINK("https://patents.google.com/patent/US20210011443","Google")</f>
        <v>0.0</v>
      </c>
      <c r="G2307" s="2" t="n">
        <f>HYPERLINK("https://patentcenter.uspto.gov/applications/16927281","Patent Center")</f>
        <v>0.0</v>
      </c>
      <c r="H2307" s="2" t="n">
        <f>HYPERLINK("https://worldwide.espacenet.com/patent/search?q=US20210011443","Espacenet")</f>
        <v>0.0</v>
      </c>
      <c r="I2307" s="2" t="n">
        <f>HYPERLINK("https://ppubs.uspto.gov/pubwebapp/external.html?q=20210011443.pn.","USPTO")</f>
        <v>0.0</v>
      </c>
      <c r="J2307" s="2" t="n">
        <f>HYPERLINK("https://image-ppubs.uspto.gov/dirsearch-public/print/downloadPdf/20210011443","USPTO PDF")</f>
        <v>0.0</v>
      </c>
      <c r="K2307" s="2" t="n">
        <f>HYPERLINK("https://sectors.patentforecast.com/pmd/US20210011443","PMD")</f>
        <v>0.0</v>
      </c>
      <c r="L2307" s="2" t="n">
        <f>HYPERLINK("https://globaldossier.uspto.gov/result/application/US/16927281/1","US20210011443")</f>
        <v>0.0</v>
      </c>
      <c r="M2307" t="s">
        <v>15781</v>
      </c>
      <c r="N2307" t="s">
        <v>1520</v>
      </c>
      <c r="O2307" t="s">
        <v>1521</v>
      </c>
      <c r="P2307" t="s">
        <v>15782</v>
      </c>
      <c r="Q2307" s="3" t="n">
        <v>44025.0</v>
      </c>
      <c r="R2307" s="3" t="n">
        <v>44210.0</v>
      </c>
      <c r="S2307" s="3" t="n">
        <v>44210.19548773148</v>
      </c>
      <c r="T2307" s="3" t="n">
        <v>44210.47056850694</v>
      </c>
      <c r="U2307" t="s">
        <v>15783</v>
      </c>
      <c r="V2307" t="s">
        <v>15784</v>
      </c>
    </row>
    <row r="2308">
      <c r="A2308" t="s">
        <v>22</v>
      </c>
      <c r="B2308" t="s">
        <v>15785</v>
      </c>
      <c r="C2308" t="s">
        <v>132</v>
      </c>
      <c r="D2308" t="s">
        <v>11423</v>
      </c>
      <c r="E2308" t="s">
        <v>15786</v>
      </c>
      <c r="F2308" s="2" t="n">
        <f>HYPERLINK("https://patents.google.com/patent/US20210010962","Google")</f>
        <v>0.0</v>
      </c>
      <c r="G2308" s="2" t="n">
        <f>HYPERLINK("https://patentcenter.uspto.gov/applications/17030088","Patent Center")</f>
        <v>0.0</v>
      </c>
      <c r="H2308" s="2" t="n">
        <f>HYPERLINK("https://worldwide.espacenet.com/patent/search?q=US20210010962","Espacenet")</f>
        <v>0.0</v>
      </c>
      <c r="I2308" s="2" t="n">
        <f>HYPERLINK("https://ppubs.uspto.gov/pubwebapp/external.html?q=20210010962.pn.","USPTO")</f>
        <v>0.0</v>
      </c>
      <c r="J2308" s="2" t="n">
        <f>HYPERLINK("https://image-ppubs.uspto.gov/dirsearch-public/print/downloadPdf/20210010962","USPTO PDF")</f>
        <v>0.0</v>
      </c>
      <c r="K2308" s="2" t="n">
        <f>HYPERLINK("https://sectors.patentforecast.com/pmd/US20210010962","PMD")</f>
        <v>0.0</v>
      </c>
      <c r="L2308" s="2" t="n">
        <f>HYPERLINK("https://globaldossier.uspto.gov/result/application/US/17030088/1","US20210010962")</f>
        <v>0.0</v>
      </c>
      <c r="M2308" t="s">
        <v>15787</v>
      </c>
      <c r="N2308" t="s">
        <v>3334</v>
      </c>
      <c r="O2308" t="s">
        <v>3335</v>
      </c>
      <c r="P2308" t="s">
        <v>15788</v>
      </c>
      <c r="Q2308" s="3" t="n">
        <v>44097.0</v>
      </c>
      <c r="R2308" s="3" t="n">
        <v>44210.0</v>
      </c>
      <c r="S2308" s="3" t="n">
        <v>44210.18797497685</v>
      </c>
      <c r="T2308" s="3" t="n">
        <v>44210.482032210646</v>
      </c>
      <c r="U2308" t="s">
        <v>15789</v>
      </c>
      <c r="V2308" t="s">
        <v>15790</v>
      </c>
    </row>
    <row r="2309">
      <c r="A2309" t="s">
        <v>22</v>
      </c>
      <c r="B2309" t="s">
        <v>15791</v>
      </c>
      <c r="C2309" t="s">
        <v>60</v>
      </c>
      <c r="D2309" t="s">
        <v>715</v>
      </c>
      <c r="E2309" t="s">
        <v>15792</v>
      </c>
      <c r="F2309" s="2" t="n">
        <f>HYPERLINK("https://patents.google.com/patent/US20210008309","Google")</f>
        <v>0.0</v>
      </c>
      <c r="G2309" s="2" t="n">
        <f>HYPERLINK("https://patentcenter.uspto.gov/applications/17032328","Patent Center")</f>
        <v>0.0</v>
      </c>
      <c r="H2309" s="2" t="n">
        <f>HYPERLINK("https://worldwide.espacenet.com/patent/search?q=US20210008309","Espacenet")</f>
        <v>0.0</v>
      </c>
      <c r="I2309" s="2" t="n">
        <f>HYPERLINK("https://ppubs.uspto.gov/pubwebapp/external.html?q=20210008309.pn.","USPTO")</f>
        <v>0.0</v>
      </c>
      <c r="J2309" s="2" t="n">
        <f>HYPERLINK("https://image-ppubs.uspto.gov/dirsearch-public/print/downloadPdf/20210008309","USPTO PDF")</f>
        <v>0.0</v>
      </c>
      <c r="K2309" s="2" t="n">
        <f>HYPERLINK("https://sectors.patentforecast.com/pmd/US20210008309","PMD")</f>
        <v>0.0</v>
      </c>
      <c r="L2309" s="2" t="n">
        <f>HYPERLINK("https://globaldossier.uspto.gov/result/application/US/17032328/1","US20210008309")</f>
        <v>0.0</v>
      </c>
      <c r="M2309" t="s">
        <v>15793</v>
      </c>
      <c r="N2309" t="s">
        <v>15794</v>
      </c>
      <c r="O2309" t="s">
        <v>15795</v>
      </c>
      <c r="P2309" t="s">
        <v>15796</v>
      </c>
      <c r="Q2309" s="3" t="n">
        <v>44099.0</v>
      </c>
      <c r="R2309" s="3" t="n">
        <v>44210.0</v>
      </c>
      <c r="S2309" s="3" t="n">
        <v>44210.18797497685</v>
      </c>
      <c r="T2309" s="3" t="n">
        <v>44210.47808670139</v>
      </c>
      <c r="U2309" t="s">
        <v>15797</v>
      </c>
      <c r="V2309" t="s">
        <v>15798</v>
      </c>
    </row>
    <row r="2310">
      <c r="A2310" t="s">
        <v>22</v>
      </c>
      <c r="B2310" t="s">
        <v>15799</v>
      </c>
      <c r="C2310" t="s">
        <v>60</v>
      </c>
      <c r="D2310" t="s">
        <v>61</v>
      </c>
      <c r="E2310" t="s">
        <v>15800</v>
      </c>
      <c r="F2310" s="2" t="n">
        <f>HYPERLINK("https://patents.google.com/patent/US20210008150","Google")</f>
        <v>0.0</v>
      </c>
      <c r="G2310" s="2" t="n">
        <f>HYPERLINK("https://patentcenter.uspto.gov/applications/16894407","Patent Center")</f>
        <v>0.0</v>
      </c>
      <c r="H2310" s="2" t="n">
        <f>HYPERLINK("https://worldwide.espacenet.com/patent/search?q=US20210008150","Espacenet")</f>
        <v>0.0</v>
      </c>
      <c r="I2310" s="2" t="n">
        <f>HYPERLINK("https://ppubs.uspto.gov/pubwebapp/external.html?q=20210008150.pn.","USPTO")</f>
        <v>0.0</v>
      </c>
      <c r="J2310" s="2" t="n">
        <f>HYPERLINK("https://image-ppubs.uspto.gov/dirsearch-public/print/downloadPdf/20210008150","USPTO PDF")</f>
        <v>0.0</v>
      </c>
      <c r="K2310" s="2" t="n">
        <f>HYPERLINK("https://sectors.patentforecast.com/pmd/US20210008150","PMD")</f>
        <v>0.0</v>
      </c>
      <c r="L2310" s="2" t="n">
        <f>HYPERLINK("https://globaldossier.uspto.gov/result/application/US/16894407/1","US20210008150")</f>
        <v>0.0</v>
      </c>
      <c r="M2310" t="s">
        <v>15801</v>
      </c>
      <c r="N2310" t="s">
        <v>12173</v>
      </c>
      <c r="O2310" t="s">
        <v>12173</v>
      </c>
      <c r="P2310" t="s">
        <v>15802</v>
      </c>
      <c r="Q2310" s="3" t="n">
        <v>43987.0</v>
      </c>
      <c r="R2310" s="3" t="n">
        <v>44210.0</v>
      </c>
      <c r="S2310" s="3" t="n">
        <v>44210.18797497685</v>
      </c>
      <c r="T2310" s="3" t="n">
        <v>44210.48233726852</v>
      </c>
      <c r="U2310" t="s">
        <v>15803</v>
      </c>
      <c r="V2310" t="s">
        <v>15804</v>
      </c>
    </row>
    <row r="2311">
      <c r="A2311" t="s">
        <v>22</v>
      </c>
      <c r="B2311" t="s">
        <v>15805</v>
      </c>
      <c r="C2311" t="s">
        <v>60</v>
      </c>
      <c r="D2311" t="s">
        <v>696</v>
      </c>
      <c r="E2311" t="s">
        <v>15806</v>
      </c>
      <c r="F2311" s="2" t="n">
        <f>HYPERLINK("https://patents.google.com/patent/US20210008110","Google")</f>
        <v>0.0</v>
      </c>
      <c r="G2311" s="2" t="n">
        <f>HYPERLINK("https://patentcenter.uspto.gov/applications/16901427","Patent Center")</f>
        <v>0.0</v>
      </c>
      <c r="H2311" s="2" t="n">
        <f>HYPERLINK("https://worldwide.espacenet.com/patent/search?q=US20210008110","Espacenet")</f>
        <v>0.0</v>
      </c>
      <c r="I2311" s="2" t="n">
        <f>HYPERLINK("https://ppubs.uspto.gov/pubwebapp/external.html?q=20210008110.pn.","USPTO")</f>
        <v>0.0</v>
      </c>
      <c r="J2311" s="2" t="n">
        <f>HYPERLINK("https://image-ppubs.uspto.gov/dirsearch-public/print/downloadPdf/20210008110","USPTO PDF")</f>
        <v>0.0</v>
      </c>
      <c r="K2311" s="2" t="n">
        <f>HYPERLINK("https://sectors.patentforecast.com/pmd/US20210008110","PMD")</f>
        <v>0.0</v>
      </c>
      <c r="L2311" s="2" t="n">
        <f>HYPERLINK("https://globaldossier.uspto.gov/result/application/US/16901427/1","US20210008110")</f>
        <v>0.0</v>
      </c>
      <c r="M2311" t="s">
        <v>15807</v>
      </c>
      <c r="N2311" t="s">
        <v>14707</v>
      </c>
      <c r="O2311" t="s">
        <v>14708</v>
      </c>
      <c r="P2311" t="s">
        <v>14709</v>
      </c>
      <c r="Q2311" s="3" t="n">
        <v>43997.0</v>
      </c>
      <c r="R2311" s="3" t="n">
        <v>44210.0</v>
      </c>
      <c r="S2311" s="3" t="n">
        <v>44210.18797497685</v>
      </c>
      <c r="T2311" s="3" t="n">
        <v>44210.47277356481</v>
      </c>
      <c r="U2311" t="s">
        <v>15808</v>
      </c>
      <c r="V2311" t="s">
        <v>15809</v>
      </c>
    </row>
    <row r="2312">
      <c r="A2312" t="s">
        <v>22</v>
      </c>
      <c r="B2312" t="s">
        <v>15810</v>
      </c>
      <c r="C2312" t="s">
        <v>60</v>
      </c>
      <c r="D2312" t="s">
        <v>61</v>
      </c>
      <c r="E2312" t="s">
        <v>15811</v>
      </c>
      <c r="F2312" s="2" t="n">
        <f>HYPERLINK("https://patents.google.com/patent/US20210008105","Google")</f>
        <v>0.0</v>
      </c>
      <c r="G2312" s="2" t="n">
        <f>HYPERLINK("https://patentcenter.uspto.gov/applications/16974068","Patent Center")</f>
        <v>0.0</v>
      </c>
      <c r="H2312" s="2" t="n">
        <f>HYPERLINK("https://worldwide.espacenet.com/patent/search?q=US20210008105","Espacenet")</f>
        <v>0.0</v>
      </c>
      <c r="I2312" s="2" t="n">
        <f>HYPERLINK("https://ppubs.uspto.gov/pubwebapp/external.html?q=20210008105.pn.","USPTO")</f>
        <v>0.0</v>
      </c>
      <c r="J2312" s="2" t="n">
        <f>HYPERLINK("https://image-ppubs.uspto.gov/dirsearch-public/print/downloadPdf/20210008105","USPTO PDF")</f>
        <v>0.0</v>
      </c>
      <c r="K2312" s="2" t="n">
        <f>HYPERLINK("https://sectors.patentforecast.com/pmd/US20210008105","PMD")</f>
        <v>0.0</v>
      </c>
      <c r="L2312" s="2" t="n">
        <f>HYPERLINK("https://globaldossier.uspto.gov/result/application/US/16974068/1","US20210008105")</f>
        <v>0.0</v>
      </c>
      <c r="M2312" t="s">
        <v>15812</v>
      </c>
      <c r="N2312" t="s">
        <v>15813</v>
      </c>
      <c r="O2312" t="s">
        <v>15814</v>
      </c>
      <c r="P2312" t="s">
        <v>15815</v>
      </c>
      <c r="Q2312" s="3" t="n">
        <v>44095.0</v>
      </c>
      <c r="R2312" s="3" t="n">
        <v>44210.0</v>
      </c>
      <c r="S2312" s="3" t="n">
        <v>44210.18797497685</v>
      </c>
      <c r="T2312" s="3" t="n">
        <v>44210.471897916665</v>
      </c>
      <c r="U2312" t="s">
        <v>15816</v>
      </c>
      <c r="V2312" t="s">
        <v>15817</v>
      </c>
    </row>
    <row r="2313">
      <c r="A2313" t="s">
        <v>22</v>
      </c>
      <c r="B2313" t="s">
        <v>15818</v>
      </c>
      <c r="C2313" t="s">
        <v>24</v>
      </c>
      <c r="D2313" t="s">
        <v>258</v>
      </c>
      <c r="E2313" t="s">
        <v>15819</v>
      </c>
      <c r="F2313" s="2" t="n">
        <f>HYPERLINK("https://patents.google.com/patent/US20210005324","Google")</f>
        <v>0.0</v>
      </c>
      <c r="G2313" s="2" t="n">
        <f>HYPERLINK("https://patentcenter.uspto.gov/applications/17023516","Patent Center")</f>
        <v>0.0</v>
      </c>
      <c r="H2313" s="2" t="n">
        <f>HYPERLINK("https://worldwide.espacenet.com/patent/search?q=US20210005324","Espacenet")</f>
        <v>0.0</v>
      </c>
      <c r="I2313" s="2" t="n">
        <f>HYPERLINK("https://ppubs.uspto.gov/pubwebapp/external.html?q=20210005324.pn.","USPTO")</f>
        <v>0.0</v>
      </c>
      <c r="J2313" s="2" t="n">
        <f>HYPERLINK("https://image-ppubs.uspto.gov/dirsearch-public/print/downloadPdf/20210005324","USPTO PDF")</f>
        <v>0.0</v>
      </c>
      <c r="K2313" s="2" t="n">
        <f>HYPERLINK("https://sectors.patentforecast.com/pmd/US20210005324","PMD")</f>
        <v>0.0</v>
      </c>
      <c r="L2313" s="2" t="n">
        <f>HYPERLINK("https://globaldossier.uspto.gov/result/application/US/17023516/1","US20210005324")</f>
        <v>0.0</v>
      </c>
      <c r="M2313" t="s">
        <v>15820</v>
      </c>
      <c r="N2313" t="s">
        <v>15821</v>
      </c>
      <c r="O2313" t="s">
        <v>15822</v>
      </c>
      <c r="P2313" t="s">
        <v>15823</v>
      </c>
      <c r="Q2313" s="3" t="n">
        <v>44091.0</v>
      </c>
      <c r="R2313" s="3" t="n">
        <v>44203.0</v>
      </c>
      <c r="S2313" s="3" t="n">
        <v>44210.18797497685</v>
      </c>
      <c r="T2313" s="3" t="n">
        <v>44210.483908912036</v>
      </c>
      <c r="U2313" t="s">
        <v>31</v>
      </c>
      <c r="V2313" t="s">
        <v>15824</v>
      </c>
    </row>
    <row r="2314">
      <c r="A2314" t="s">
        <v>22</v>
      </c>
      <c r="B2314" t="s">
        <v>15825</v>
      </c>
      <c r="C2314" t="s">
        <v>24</v>
      </c>
      <c r="D2314" t="s">
        <v>258</v>
      </c>
      <c r="E2314" t="s">
        <v>15826</v>
      </c>
      <c r="F2314" s="2" t="n">
        <f>HYPERLINK("https://patents.google.com/patent/US20210004730","Google")</f>
        <v>0.0</v>
      </c>
      <c r="G2314" s="2" t="n">
        <f>HYPERLINK("https://patentcenter.uspto.gov/applications/17024453","Patent Center")</f>
        <v>0.0</v>
      </c>
      <c r="H2314" s="2" t="n">
        <f>HYPERLINK("https://worldwide.espacenet.com/patent/search?q=US20210004730","Espacenet")</f>
        <v>0.0</v>
      </c>
      <c r="I2314" s="2" t="n">
        <f>HYPERLINK("https://ppubs.uspto.gov/pubwebapp/external.html?q=20210004730.pn.","USPTO")</f>
        <v>0.0</v>
      </c>
      <c r="J2314" s="2" t="n">
        <f>HYPERLINK("https://image-ppubs.uspto.gov/dirsearch-public/print/downloadPdf/20210004730","USPTO PDF")</f>
        <v>0.0</v>
      </c>
      <c r="K2314" s="2" t="n">
        <f>HYPERLINK("https://sectors.patentforecast.com/pmd/US20210004730","PMD")</f>
        <v>0.0</v>
      </c>
      <c r="L2314" s="2" t="n">
        <f>HYPERLINK("https://globaldossier.uspto.gov/result/application/US/17024453/1","US20210004730")</f>
        <v>0.0</v>
      </c>
      <c r="M2314" t="s">
        <v>15827</v>
      </c>
      <c r="N2314" t="s">
        <v>15828</v>
      </c>
      <c r="O2314" t="s">
        <v>15828</v>
      </c>
      <c r="P2314" t="s">
        <v>15829</v>
      </c>
      <c r="Q2314" s="3" t="n">
        <v>44091.0</v>
      </c>
      <c r="R2314" s="3" t="n">
        <v>44203.0</v>
      </c>
      <c r="S2314" s="3" t="n">
        <v>44210.18797497685</v>
      </c>
      <c r="T2314" s="3" t="n">
        <v>44210.48448753472</v>
      </c>
      <c r="U2314" t="s">
        <v>31</v>
      </c>
      <c r="V2314" t="s">
        <v>15830</v>
      </c>
    </row>
    <row r="2315">
      <c r="A2315" t="s">
        <v>22</v>
      </c>
      <c r="B2315" t="s">
        <v>15831</v>
      </c>
      <c r="C2315" t="s">
        <v>24</v>
      </c>
      <c r="D2315" t="s">
        <v>34</v>
      </c>
      <c r="E2315" t="s">
        <v>15832</v>
      </c>
      <c r="F2315" s="2" t="n">
        <f>HYPERLINK("https://patents.google.com/patent/US20210003528","Google")</f>
        <v>0.0</v>
      </c>
      <c r="G2315" s="2" t="n">
        <f>HYPERLINK("https://patentcenter.uspto.gov/applications/17025664","Patent Center")</f>
        <v>0.0</v>
      </c>
      <c r="H2315" s="2" t="n">
        <f>HYPERLINK("https://worldwide.espacenet.com/patent/search?q=US20210003528","Espacenet")</f>
        <v>0.0</v>
      </c>
      <c r="I2315" s="2" t="n">
        <f>HYPERLINK("https://ppubs.uspto.gov/pubwebapp/external.html?q=20210003528.pn.","USPTO")</f>
        <v>0.0</v>
      </c>
      <c r="J2315" s="2" t="n">
        <f>HYPERLINK("https://image-ppubs.uspto.gov/dirsearch-public/print/downloadPdf/20210003528","USPTO PDF")</f>
        <v>0.0</v>
      </c>
      <c r="K2315" s="2" t="n">
        <f>HYPERLINK("https://sectors.patentforecast.com/pmd/US20210003528","PMD")</f>
        <v>0.0</v>
      </c>
      <c r="L2315" s="2" t="n">
        <f>HYPERLINK("https://globaldossier.uspto.gov/result/application/US/17025664/1","US20210003528")</f>
        <v>0.0</v>
      </c>
      <c r="M2315" t="s">
        <v>15833</v>
      </c>
      <c r="N2315" t="s">
        <v>15834</v>
      </c>
      <c r="O2315" t="s">
        <v>15834</v>
      </c>
      <c r="P2315" t="s">
        <v>15835</v>
      </c>
      <c r="Q2315" s="3" t="n">
        <v>44092.0</v>
      </c>
      <c r="R2315" s="3" t="n">
        <v>44203.0</v>
      </c>
      <c r="S2315" s="3" t="n">
        <v>44210.18797497685</v>
      </c>
      <c r="T2315" s="3" t="n">
        <v>44210.477431921296</v>
      </c>
      <c r="U2315" t="s">
        <v>31</v>
      </c>
      <c r="V2315" t="s">
        <v>15836</v>
      </c>
    </row>
    <row r="2316">
      <c r="A2316" t="s">
        <v>22</v>
      </c>
      <c r="B2316" t="s">
        <v>15837</v>
      </c>
      <c r="C2316" t="s">
        <v>24</v>
      </c>
      <c r="D2316" t="s">
        <v>34</v>
      </c>
      <c r="E2316" t="s">
        <v>15838</v>
      </c>
      <c r="F2316" s="2" t="n">
        <f>HYPERLINK("https://patents.google.com/patent/US20210001339","Google")</f>
        <v>0.0</v>
      </c>
      <c r="G2316" s="2" t="n">
        <f>HYPERLINK("https://patentcenter.uspto.gov/applications/17027253","Patent Center")</f>
        <v>0.0</v>
      </c>
      <c r="H2316" s="2" t="n">
        <f>HYPERLINK("https://worldwide.espacenet.com/patent/search?q=US20210001339","Espacenet")</f>
        <v>0.0</v>
      </c>
      <c r="I2316" s="2" t="n">
        <f>HYPERLINK("https://ppubs.uspto.gov/pubwebapp/external.html?q=20210001339.pn.","USPTO")</f>
        <v>0.0</v>
      </c>
      <c r="J2316" s="2" t="n">
        <f>HYPERLINK("https://image-ppubs.uspto.gov/dirsearch-public/print/downloadPdf/20210001339","USPTO PDF")</f>
        <v>0.0</v>
      </c>
      <c r="K2316" s="2" t="n">
        <f>HYPERLINK("https://sectors.patentforecast.com/pmd/US20210001339","PMD")</f>
        <v>0.0</v>
      </c>
      <c r="L2316" s="2" t="n">
        <f>HYPERLINK("https://globaldossier.uspto.gov/result/application/US/17027253/1","US20210001339")</f>
        <v>0.0</v>
      </c>
      <c r="M2316" t="s">
        <v>15839</v>
      </c>
      <c r="N2316" t="s">
        <v>15840</v>
      </c>
      <c r="O2316" t="s">
        <v>15841</v>
      </c>
      <c r="P2316" t="s">
        <v>15842</v>
      </c>
      <c r="Q2316" s="3" t="n">
        <v>44095.0</v>
      </c>
      <c r="R2316" s="3" t="n">
        <v>44203.0</v>
      </c>
      <c r="S2316" s="3" t="n">
        <v>44210.18797497685</v>
      </c>
      <c r="T2316" s="3" t="n">
        <v>44210.47108462963</v>
      </c>
      <c r="U2316" t="s">
        <v>31</v>
      </c>
      <c r="V2316" t="s">
        <v>15843</v>
      </c>
    </row>
    <row r="2317">
      <c r="A2317" t="s">
        <v>22</v>
      </c>
      <c r="B2317" t="s">
        <v>15844</v>
      </c>
      <c r="C2317" t="s">
        <v>24</v>
      </c>
      <c r="D2317" t="s">
        <v>69</v>
      </c>
      <c r="E2317" t="s">
        <v>15845</v>
      </c>
      <c r="F2317" s="2" t="n">
        <f>HYPERLINK("https://patents.google.com/patent/US20210001157","Google")</f>
        <v>0.0</v>
      </c>
      <c r="G2317" s="2" t="n">
        <f>HYPERLINK("https://patentcenter.uspto.gov/applications/16921720","Patent Center")</f>
        <v>0.0</v>
      </c>
      <c r="H2317" s="2" t="n">
        <f>HYPERLINK("https://worldwide.espacenet.com/patent/search?q=US20210001157","Espacenet")</f>
        <v>0.0</v>
      </c>
      <c r="I2317" s="2" t="n">
        <f>HYPERLINK("https://ppubs.uspto.gov/pubwebapp/external.html?q=20210001157.pn.","USPTO")</f>
        <v>0.0</v>
      </c>
      <c r="J2317" s="2" t="n">
        <f>HYPERLINK("https://image-ppubs.uspto.gov/dirsearch-public/print/downloadPdf/20210001157","USPTO PDF")</f>
        <v>0.0</v>
      </c>
      <c r="K2317" s="2" t="n">
        <f>HYPERLINK("https://sectors.patentforecast.com/pmd/US20210001157","PMD")</f>
        <v>0.0</v>
      </c>
      <c r="L2317" s="2" t="n">
        <f>HYPERLINK("https://globaldossier.uspto.gov/result/application/US/16921720/1","US20210001157")</f>
        <v>0.0</v>
      </c>
      <c r="M2317" t="s">
        <v>15846</v>
      </c>
      <c r="N2317" t="s">
        <v>15847</v>
      </c>
      <c r="O2317" t="s">
        <v>15848</v>
      </c>
      <c r="P2317" t="s">
        <v>15849</v>
      </c>
      <c r="Q2317" s="3" t="n">
        <v>44018.0</v>
      </c>
      <c r="R2317" s="3" t="n">
        <v>44203.0</v>
      </c>
      <c r="S2317" s="3" t="n">
        <v>44208.19609252315</v>
      </c>
      <c r="T2317" s="3" t="n">
        <v>44208.57139986111</v>
      </c>
      <c r="U2317" t="s">
        <v>31</v>
      </c>
      <c r="V2317" t="s">
        <v>15850</v>
      </c>
    </row>
    <row r="2318">
      <c r="A2318" t="s">
        <v>22</v>
      </c>
      <c r="B2318" t="s">
        <v>15851</v>
      </c>
      <c r="C2318" t="s">
        <v>132</v>
      </c>
      <c r="D2318" t="s">
        <v>133</v>
      </c>
      <c r="E2318" t="s">
        <v>14729</v>
      </c>
      <c r="F2318" s="2" t="n">
        <f>HYPERLINK("https://patents.google.com/patent/US20210000942","Google")</f>
        <v>0.0</v>
      </c>
      <c r="G2318" s="2" t="n">
        <f>HYPERLINK("https://patentcenter.uspto.gov/applications/16919943","Patent Center")</f>
        <v>0.0</v>
      </c>
      <c r="H2318" s="2" t="n">
        <f>HYPERLINK("https://worldwide.espacenet.com/patent/search?q=US20210000942","Espacenet")</f>
        <v>0.0</v>
      </c>
      <c r="I2318" s="2" t="n">
        <f>HYPERLINK("https://ppubs.uspto.gov/pubwebapp/external.html?q=20210000942.pn.","USPTO")</f>
        <v>0.0</v>
      </c>
      <c r="J2318" s="2" t="n">
        <f>HYPERLINK("https://image-ppubs.uspto.gov/dirsearch-public/print/downloadPdf/20210000942","USPTO PDF")</f>
        <v>0.0</v>
      </c>
      <c r="K2318" s="2" t="n">
        <f>HYPERLINK("https://sectors.patentforecast.com/pmd/US20210000942","PMD")</f>
        <v>0.0</v>
      </c>
      <c r="L2318" s="2" t="n">
        <f>HYPERLINK("https://globaldossier.uspto.gov/result/application/US/16919943/1","US20210000942")</f>
        <v>0.0</v>
      </c>
      <c r="M2318" t="s">
        <v>15852</v>
      </c>
      <c r="N2318" t="s">
        <v>14731</v>
      </c>
      <c r="O2318" t="s">
        <v>14732</v>
      </c>
      <c r="P2318" t="s">
        <v>14733</v>
      </c>
      <c r="Q2318" s="3" t="n">
        <v>44014.0</v>
      </c>
      <c r="R2318" s="3" t="n">
        <v>44203.0</v>
      </c>
      <c r="S2318" s="3" t="n">
        <v>44208.18903325232</v>
      </c>
      <c r="T2318" s="3" t="n">
        <v>44208.5712896412</v>
      </c>
      <c r="U2318" t="s">
        <v>31</v>
      </c>
      <c r="V2318" t="s">
        <v>15853</v>
      </c>
    </row>
    <row r="2319">
      <c r="A2319" t="s">
        <v>22</v>
      </c>
      <c r="B2319" t="s">
        <v>15854</v>
      </c>
      <c r="C2319" t="s">
        <v>24</v>
      </c>
      <c r="D2319" t="s">
        <v>1356</v>
      </c>
      <c r="E2319" t="s">
        <v>15855</v>
      </c>
      <c r="F2319" s="2" t="n">
        <f>HYPERLINK("https://patents.google.com/patent/US20210000388","Google")</f>
        <v>0.0</v>
      </c>
      <c r="G2319" s="2" t="n">
        <f>HYPERLINK("https://patentcenter.uspto.gov/applications/16913647","Patent Center")</f>
        <v>0.0</v>
      </c>
      <c r="H2319" s="2" t="n">
        <f>HYPERLINK("https://worldwide.espacenet.com/patent/search?q=US20210000388","Espacenet")</f>
        <v>0.0</v>
      </c>
      <c r="I2319" s="2" t="n">
        <f>HYPERLINK("https://ppubs.uspto.gov/pubwebapp/external.html?q=20210000388.pn.","USPTO")</f>
        <v>0.0</v>
      </c>
      <c r="J2319" s="2" t="n">
        <f>HYPERLINK("https://image-ppubs.uspto.gov/dirsearch-public/print/downloadPdf/20210000388","USPTO PDF")</f>
        <v>0.0</v>
      </c>
      <c r="K2319" s="2" t="n">
        <f>HYPERLINK("https://sectors.patentforecast.com/pmd/US20210000388","PMD")</f>
        <v>0.0</v>
      </c>
      <c r="L2319" s="2" t="n">
        <f>HYPERLINK("https://globaldossier.uspto.gov/result/application/US/16913647/1","US20210000388")</f>
        <v>0.0</v>
      </c>
      <c r="M2319" t="s">
        <v>15856</v>
      </c>
      <c r="N2319" t="s">
        <v>12222</v>
      </c>
      <c r="O2319" t="s">
        <v>12223</v>
      </c>
      <c r="P2319" t="s">
        <v>15857</v>
      </c>
      <c r="Q2319" s="3" t="n">
        <v>44008.0</v>
      </c>
      <c r="R2319" s="3" t="n">
        <v>44203.0</v>
      </c>
      <c r="S2319" s="3" t="n">
        <v>44210.18797497685</v>
      </c>
      <c r="T2319" s="3" t="n">
        <v>44210.482937685185</v>
      </c>
      <c r="U2319" t="s">
        <v>31</v>
      </c>
      <c r="V2319" t="s">
        <v>15858</v>
      </c>
    </row>
    <row r="2320">
      <c r="A2320" t="s">
        <v>22</v>
      </c>
      <c r="B2320" t="s">
        <v>15859</v>
      </c>
      <c r="C2320" t="s">
        <v>132</v>
      </c>
      <c r="D2320" t="s">
        <v>133</v>
      </c>
      <c r="E2320" t="s">
        <v>15272</v>
      </c>
      <c r="F2320" s="2" t="n">
        <f>HYPERLINK("https://patents.google.com/patent/US20200407402","Google")</f>
        <v>0.0</v>
      </c>
      <c r="G2320" s="2" t="n">
        <f>HYPERLINK("https://patentcenter.uspto.gov/applications/17019825","Patent Center")</f>
        <v>0.0</v>
      </c>
      <c r="H2320" s="2" t="n">
        <f>HYPERLINK("https://worldwide.espacenet.com/patent/search?q=US20200407402","Espacenet")</f>
        <v>0.0</v>
      </c>
      <c r="I2320" s="2" t="n">
        <f>HYPERLINK("https://ppubs.uspto.gov/pubwebapp/external.html?q=20200407402.pn.","USPTO")</f>
        <v>0.0</v>
      </c>
      <c r="J2320" s="2" t="n">
        <f>HYPERLINK("https://image-ppubs.uspto.gov/dirsearch-public/print/downloadPdf/20200407402","USPTO PDF")</f>
        <v>0.0</v>
      </c>
      <c r="K2320" s="2" t="n">
        <f>HYPERLINK("https://sectors.patentforecast.com/pmd/US20200407402","PMD")</f>
        <v>0.0</v>
      </c>
      <c r="L2320" s="2" t="n">
        <f>HYPERLINK("https://globaldossier.uspto.gov/result/application/US/17019825/1","US20200407402")</f>
        <v>0.0</v>
      </c>
      <c r="M2320" t="s">
        <v>15860</v>
      </c>
      <c r="N2320" t="s">
        <v>7310</v>
      </c>
      <c r="O2320" t="s">
        <v>7311</v>
      </c>
      <c r="P2320" t="s">
        <v>15274</v>
      </c>
      <c r="Q2320" s="3" t="n">
        <v>44088.0</v>
      </c>
      <c r="R2320" s="3" t="n">
        <v>44196.0</v>
      </c>
      <c r="S2320" s="3" t="n">
        <v>44196.18795943287</v>
      </c>
      <c r="T2320" s="3" t="n">
        <v>44201.66494472222</v>
      </c>
      <c r="U2320" t="s">
        <v>15861</v>
      </c>
      <c r="V2320" t="s">
        <v>15276</v>
      </c>
    </row>
    <row r="2321">
      <c r="A2321" t="s">
        <v>22</v>
      </c>
      <c r="B2321" t="s">
        <v>15862</v>
      </c>
      <c r="C2321" t="s">
        <v>132</v>
      </c>
      <c r="D2321" t="s">
        <v>133</v>
      </c>
      <c r="E2321" t="s">
        <v>15863</v>
      </c>
      <c r="F2321" s="2" t="n">
        <f>HYPERLINK("https://patents.google.com/patent/US20200405844","Google")</f>
        <v>0.0</v>
      </c>
      <c r="G2321" s="2" t="n">
        <f>HYPERLINK("https://patentcenter.uspto.gov/applications/16897734","Patent Center")</f>
        <v>0.0</v>
      </c>
      <c r="H2321" s="2" t="n">
        <f>HYPERLINK("https://worldwide.espacenet.com/patent/search?q=US20200405844","Espacenet")</f>
        <v>0.0</v>
      </c>
      <c r="I2321" s="2" t="n">
        <f>HYPERLINK("https://ppubs.uspto.gov/pubwebapp/external.html?q=20200405844.pn.","USPTO")</f>
        <v>0.0</v>
      </c>
      <c r="J2321" s="2" t="n">
        <f>HYPERLINK("https://image-ppubs.uspto.gov/dirsearch-public/print/downloadPdf/20200405844","USPTO PDF")</f>
        <v>0.0</v>
      </c>
      <c r="K2321" s="2" t="n">
        <f>HYPERLINK("https://sectors.patentforecast.com/pmd/US20200405844","PMD")</f>
        <v>0.0</v>
      </c>
      <c r="L2321" s="2" t="n">
        <f>HYPERLINK("https://globaldossier.uspto.gov/result/application/US/16897734/1","US20200405844")</f>
        <v>0.0</v>
      </c>
      <c r="M2321" t="s">
        <v>15864</v>
      </c>
      <c r="N2321" t="s">
        <v>145</v>
      </c>
      <c r="O2321" t="s">
        <v>146</v>
      </c>
      <c r="P2321" t="s">
        <v>15865</v>
      </c>
      <c r="Q2321" s="3" t="n">
        <v>43992.0</v>
      </c>
      <c r="R2321" s="3" t="n">
        <v>44196.0</v>
      </c>
      <c r="S2321" s="3" t="n">
        <v>44196.18911583333</v>
      </c>
      <c r="T2321" s="3" t="n">
        <v>44201.66666221065</v>
      </c>
      <c r="U2321" t="s">
        <v>15866</v>
      </c>
      <c r="V2321" t="s">
        <v>15867</v>
      </c>
    </row>
    <row r="2322">
      <c r="A2322" t="s">
        <v>22</v>
      </c>
      <c r="B2322" t="s">
        <v>15868</v>
      </c>
      <c r="C2322" t="s">
        <v>60</v>
      </c>
      <c r="D2322" t="s">
        <v>61</v>
      </c>
      <c r="E2322" t="s">
        <v>15869</v>
      </c>
      <c r="F2322" s="2" t="n">
        <f>HYPERLINK("https://patents.google.com/patent/US20200405829","Google")</f>
        <v>0.0</v>
      </c>
      <c r="G2322" s="2" t="n">
        <f>HYPERLINK("https://patentcenter.uspto.gov/applications/16913924","Patent Center")</f>
        <v>0.0</v>
      </c>
      <c r="H2322" s="2" t="n">
        <f>HYPERLINK("https://worldwide.espacenet.com/patent/search?q=US20200405829","Espacenet")</f>
        <v>0.0</v>
      </c>
      <c r="I2322" s="2" t="n">
        <f>HYPERLINK("https://ppubs.uspto.gov/pubwebapp/external.html?q=20200405829.pn.","USPTO")</f>
        <v>0.0</v>
      </c>
      <c r="J2322" s="2" t="n">
        <f>HYPERLINK("https://image-ppubs.uspto.gov/dirsearch-public/print/downloadPdf/20200405829","USPTO PDF")</f>
        <v>0.0</v>
      </c>
      <c r="K2322" s="2" t="n">
        <f>HYPERLINK("https://sectors.patentforecast.com/pmd/US20200405829","PMD")</f>
        <v>0.0</v>
      </c>
      <c r="L2322" s="2" t="n">
        <f>HYPERLINK("https://globaldossier.uspto.gov/result/application/US/16913924/1","US20200405829")</f>
        <v>0.0</v>
      </c>
      <c r="M2322" t="s">
        <v>15870</v>
      </c>
      <c r="N2322" t="s">
        <v>15871</v>
      </c>
      <c r="O2322" t="s">
        <v>15872</v>
      </c>
      <c r="P2322" t="s">
        <v>15873</v>
      </c>
      <c r="Q2322" s="3" t="n">
        <v>44008.0</v>
      </c>
      <c r="R2322" s="3" t="n">
        <v>44196.0</v>
      </c>
      <c r="S2322" s="3" t="n">
        <v>44196.18795943287</v>
      </c>
      <c r="T2322" s="3" t="n">
        <v>44201.667459641205</v>
      </c>
      <c r="U2322" t="s">
        <v>15874</v>
      </c>
      <c r="V2322" t="s">
        <v>15875</v>
      </c>
    </row>
    <row r="2323">
      <c r="A2323" t="s">
        <v>22</v>
      </c>
      <c r="B2323" t="s">
        <v>15876</v>
      </c>
      <c r="C2323" t="s">
        <v>24</v>
      </c>
      <c r="D2323" t="s">
        <v>3193</v>
      </c>
      <c r="E2323" t="s">
        <v>15877</v>
      </c>
      <c r="F2323" s="2" t="n">
        <f>HYPERLINK("https://patents.google.com/patent/US20200402671","Google")</f>
        <v>0.0</v>
      </c>
      <c r="G2323" s="2" t="n">
        <f>HYPERLINK("https://patentcenter.uspto.gov/applications/17010554","Patent Center")</f>
        <v>0.0</v>
      </c>
      <c r="H2323" s="2" t="n">
        <f>HYPERLINK("https://worldwide.espacenet.com/patent/search?q=US20200402671","Espacenet")</f>
        <v>0.0</v>
      </c>
      <c r="I2323" s="2" t="n">
        <f>HYPERLINK("https://ppubs.uspto.gov/pubwebapp/external.html?q=20200402671.pn.","USPTO")</f>
        <v>0.0</v>
      </c>
      <c r="J2323" s="2" t="n">
        <f>HYPERLINK("https://image-ppubs.uspto.gov/dirsearch-public/print/downloadPdf/20200402671","USPTO PDF")</f>
        <v>0.0</v>
      </c>
      <c r="K2323" s="2" t="n">
        <f>HYPERLINK("https://sectors.patentforecast.com/pmd/US20200402671","PMD")</f>
        <v>0.0</v>
      </c>
      <c r="L2323" s="2" t="n">
        <f>HYPERLINK("https://globaldossier.uspto.gov/result/application/US/17010554/1","US20200402671")</f>
        <v>0.0</v>
      </c>
      <c r="M2323" t="s">
        <v>15878</v>
      </c>
      <c r="N2323" t="s">
        <v>15879</v>
      </c>
      <c r="O2323" t="s">
        <v>15880</v>
      </c>
      <c r="P2323" t="s">
        <v>15881</v>
      </c>
      <c r="Q2323" s="3" t="n">
        <v>44076.0</v>
      </c>
      <c r="R2323" s="3" t="n">
        <v>44189.0</v>
      </c>
      <c r="S2323" s="3" t="n">
        <v>44189.18854809028</v>
      </c>
      <c r="T2323" s="3" t="n">
        <v>44193.57516018519</v>
      </c>
      <c r="U2323" t="s">
        <v>15882</v>
      </c>
      <c r="V2323" t="s">
        <v>15883</v>
      </c>
    </row>
    <row r="2324">
      <c r="A2324" t="s">
        <v>22</v>
      </c>
      <c r="B2324" t="s">
        <v>15884</v>
      </c>
      <c r="C2324" t="s">
        <v>24</v>
      </c>
      <c r="D2324" t="s">
        <v>43</v>
      </c>
      <c r="E2324" t="s">
        <v>15885</v>
      </c>
      <c r="F2324" s="2" t="n">
        <f>HYPERLINK("https://patents.google.com/patent/US20200402669","Google")</f>
        <v>0.0</v>
      </c>
      <c r="G2324" s="2" t="n">
        <f>HYPERLINK("https://patentcenter.uspto.gov/applications/17010378","Patent Center")</f>
        <v>0.0</v>
      </c>
      <c r="H2324" s="2" t="n">
        <f>HYPERLINK("https://worldwide.espacenet.com/patent/search?q=US20200402669","Espacenet")</f>
        <v>0.0</v>
      </c>
      <c r="I2324" s="2" t="n">
        <f>HYPERLINK("https://ppubs.uspto.gov/pubwebapp/external.html?q=20200402669.pn.","USPTO")</f>
        <v>0.0</v>
      </c>
      <c r="J2324" s="2" t="n">
        <f>HYPERLINK("https://image-ppubs.uspto.gov/dirsearch-public/print/downloadPdf/20200402669","USPTO PDF")</f>
        <v>0.0</v>
      </c>
      <c r="K2324" s="2" t="n">
        <f>HYPERLINK("https://sectors.patentforecast.com/pmd/US20200402669","PMD")</f>
        <v>0.0</v>
      </c>
      <c r="L2324" s="2" t="n">
        <f>HYPERLINK("https://globaldossier.uspto.gov/result/application/US/17010378/1","US20200402669")</f>
        <v>0.0</v>
      </c>
      <c r="M2324" t="s">
        <v>15886</v>
      </c>
      <c r="N2324" t="s">
        <v>15887</v>
      </c>
      <c r="O2324" t="s">
        <v>15888</v>
      </c>
      <c r="P2324" t="s">
        <v>15889</v>
      </c>
      <c r="Q2324" s="3" t="n">
        <v>44076.0</v>
      </c>
      <c r="R2324" s="3" t="n">
        <v>44189.0</v>
      </c>
      <c r="S2324" s="3" t="n">
        <v>44189.19421898148</v>
      </c>
      <c r="T2324" s="3" t="n">
        <v>44193.57269688657</v>
      </c>
      <c r="U2324" t="s">
        <v>15890</v>
      </c>
      <c r="V2324" t="s">
        <v>15891</v>
      </c>
    </row>
    <row r="2325">
      <c r="A2325" t="s">
        <v>22</v>
      </c>
      <c r="B2325" t="s">
        <v>15892</v>
      </c>
      <c r="C2325" t="s">
        <v>24</v>
      </c>
      <c r="D2325" t="s">
        <v>258</v>
      </c>
      <c r="E2325" t="s">
        <v>15826</v>
      </c>
      <c r="F2325" s="2" t="n">
        <f>HYPERLINK("https://patents.google.com/patent/US20200401954","Google")</f>
        <v>0.0</v>
      </c>
      <c r="G2325" s="2" t="n">
        <f>HYPERLINK("https://patentcenter.uspto.gov/applications/16900590","Patent Center")</f>
        <v>0.0</v>
      </c>
      <c r="H2325" s="2" t="n">
        <f>HYPERLINK("https://worldwide.espacenet.com/patent/search?q=US20200401954","Espacenet")</f>
        <v>0.0</v>
      </c>
      <c r="I2325" s="2" t="n">
        <f>HYPERLINK("https://ppubs.uspto.gov/pubwebapp/external.html?q=20200401954.pn.","USPTO")</f>
        <v>0.0</v>
      </c>
      <c r="J2325" s="2" t="n">
        <f>HYPERLINK("https://image-ppubs.uspto.gov/dirsearch-public/print/downloadPdf/20200401954","USPTO PDF")</f>
        <v>0.0</v>
      </c>
      <c r="K2325" s="2" t="n">
        <f>HYPERLINK("https://sectors.patentforecast.com/pmd/US20200401954","PMD")</f>
        <v>0.0</v>
      </c>
      <c r="L2325" s="2" t="n">
        <f>HYPERLINK("https://globaldossier.uspto.gov/result/application/US/16900590/1","US20200401954")</f>
        <v>0.0</v>
      </c>
      <c r="M2325" t="s">
        <v>15893</v>
      </c>
      <c r="N2325" t="s">
        <v>15828</v>
      </c>
      <c r="O2325" t="s">
        <v>15828</v>
      </c>
      <c r="P2325" t="s">
        <v>15829</v>
      </c>
      <c r="Q2325" s="3" t="n">
        <v>43994.0</v>
      </c>
      <c r="R2325" s="3" t="n">
        <v>44189.0</v>
      </c>
      <c r="S2325" s="3" t="n">
        <v>44189.18797528935</v>
      </c>
      <c r="T2325" s="3" t="n">
        <v>44193.5767816088</v>
      </c>
      <c r="U2325" t="s">
        <v>15894</v>
      </c>
      <c r="V2325" t="s">
        <v>15830</v>
      </c>
    </row>
    <row r="2326">
      <c r="A2326" t="s">
        <v>22</v>
      </c>
      <c r="B2326" t="s">
        <v>15895</v>
      </c>
      <c r="C2326" t="s">
        <v>24</v>
      </c>
      <c r="D2326" t="s">
        <v>69</v>
      </c>
      <c r="E2326" t="s">
        <v>15896</v>
      </c>
      <c r="F2326" s="2" t="n">
        <f>HYPERLINK("https://patents.google.com/patent/US20200400296","Google")</f>
        <v>0.0</v>
      </c>
      <c r="G2326" s="2" t="n">
        <f>HYPERLINK("https://patentcenter.uspto.gov/applications/17013857","Patent Center")</f>
        <v>0.0</v>
      </c>
      <c r="H2326" s="2" t="n">
        <f>HYPERLINK("https://worldwide.espacenet.com/patent/search?q=US20200400296","Espacenet")</f>
        <v>0.0</v>
      </c>
      <c r="I2326" s="2" t="n">
        <f>HYPERLINK("https://ppubs.uspto.gov/pubwebapp/external.html?q=20200400296.pn.","USPTO")</f>
        <v>0.0</v>
      </c>
      <c r="J2326" s="2" t="n">
        <f>HYPERLINK("https://image-ppubs.uspto.gov/dirsearch-public/print/downloadPdf/20200400296","USPTO PDF")</f>
        <v>0.0</v>
      </c>
      <c r="K2326" s="2" t="n">
        <f>HYPERLINK("https://sectors.patentforecast.com/pmd/US20200400296","PMD")</f>
        <v>0.0</v>
      </c>
      <c r="L2326" s="2" t="n">
        <f>HYPERLINK("https://globaldossier.uspto.gov/result/application/US/17013857/1","US20200400296")</f>
        <v>0.0</v>
      </c>
      <c r="M2326" t="s">
        <v>15897</v>
      </c>
      <c r="N2326" t="s">
        <v>15898</v>
      </c>
      <c r="O2326" t="s">
        <v>15899</v>
      </c>
      <c r="P2326" t="s">
        <v>15900</v>
      </c>
      <c r="Q2326" s="3" t="n">
        <v>44082.0</v>
      </c>
      <c r="R2326" s="3" t="n">
        <v>44189.0</v>
      </c>
      <c r="S2326" s="3" t="n">
        <v>44189.19479784722</v>
      </c>
      <c r="T2326" s="3" t="n">
        <v>44193.57283247685</v>
      </c>
      <c r="U2326" t="s">
        <v>15901</v>
      </c>
      <c r="V2326" t="s">
        <v>15902</v>
      </c>
    </row>
    <row r="2327">
      <c r="A2327" t="s">
        <v>22</v>
      </c>
      <c r="B2327" t="s">
        <v>15903</v>
      </c>
      <c r="C2327" t="s">
        <v>24</v>
      </c>
      <c r="D2327" t="s">
        <v>69</v>
      </c>
      <c r="E2327" t="s">
        <v>15904</v>
      </c>
      <c r="F2327" s="2" t="n">
        <f>HYPERLINK("https://patents.google.com/patent/US20200399939","Google")</f>
        <v>0.0</v>
      </c>
      <c r="G2327" s="2" t="n">
        <f>HYPERLINK("https://patentcenter.uspto.gov/applications/16901768","Patent Center")</f>
        <v>0.0</v>
      </c>
      <c r="H2327" s="2" t="n">
        <f>HYPERLINK("https://worldwide.espacenet.com/patent/search?q=US20200399939","Espacenet")</f>
        <v>0.0</v>
      </c>
      <c r="I2327" s="2" t="n">
        <f>HYPERLINK("https://ppubs.uspto.gov/pubwebapp/external.html?q=20200399939.pn.","USPTO")</f>
        <v>0.0</v>
      </c>
      <c r="J2327" s="2" t="n">
        <f>HYPERLINK("https://image-ppubs.uspto.gov/dirsearch-public/print/downloadPdf/20200399939","USPTO PDF")</f>
        <v>0.0</v>
      </c>
      <c r="K2327" s="2" t="n">
        <f>HYPERLINK("https://sectors.patentforecast.com/pmd/US20200399939","PMD")</f>
        <v>0.0</v>
      </c>
      <c r="L2327" s="2" t="n">
        <f>HYPERLINK("https://globaldossier.uspto.gov/result/application/US/16901768/1","US20200399939")</f>
        <v>0.0</v>
      </c>
      <c r="M2327" t="s">
        <v>15905</v>
      </c>
      <c r="N2327" t="s">
        <v>15906</v>
      </c>
      <c r="O2327" t="s">
        <v>15907</v>
      </c>
      <c r="P2327" t="s">
        <v>15908</v>
      </c>
      <c r="Q2327" s="3" t="n">
        <v>43997.0</v>
      </c>
      <c r="R2327" s="3" t="n">
        <v>44189.0</v>
      </c>
      <c r="S2327" s="3" t="n">
        <v>44189.18797528935</v>
      </c>
      <c r="T2327" s="3" t="n">
        <v>44193.55550023148</v>
      </c>
      <c r="U2327" t="s">
        <v>15909</v>
      </c>
      <c r="V2327" t="s">
        <v>15910</v>
      </c>
    </row>
    <row r="2328">
      <c r="A2328" t="s">
        <v>22</v>
      </c>
      <c r="B2328" t="s">
        <v>15911</v>
      </c>
      <c r="C2328" t="s">
        <v>60</v>
      </c>
      <c r="D2328" t="s">
        <v>715</v>
      </c>
      <c r="E2328" t="s">
        <v>15912</v>
      </c>
      <c r="F2328" s="2" t="n">
        <f>HYPERLINK("https://patents.google.com/patent/US20200398015","Google")</f>
        <v>0.0</v>
      </c>
      <c r="G2328" s="2" t="n">
        <f>HYPERLINK("https://patentcenter.uspto.gov/applications/17012639","Patent Center")</f>
        <v>0.0</v>
      </c>
      <c r="H2328" s="2" t="n">
        <f>HYPERLINK("https://worldwide.espacenet.com/patent/search?q=US20200398015","Espacenet")</f>
        <v>0.0</v>
      </c>
      <c r="I2328" s="2" t="n">
        <f>HYPERLINK("https://ppubs.uspto.gov/pubwebapp/external.html?q=20200398015.pn.","USPTO")</f>
        <v>0.0</v>
      </c>
      <c r="J2328" s="2" t="n">
        <f>HYPERLINK("https://image-ppubs.uspto.gov/dirsearch-public/print/downloadPdf/20200398015","USPTO PDF")</f>
        <v>0.0</v>
      </c>
      <c r="K2328" s="2" t="n">
        <f>HYPERLINK("https://sectors.patentforecast.com/pmd/US20200398015","PMD")</f>
        <v>0.0</v>
      </c>
      <c r="L2328" s="2" t="n">
        <f>HYPERLINK("https://globaldossier.uspto.gov/result/application/US/17012639/1","US20200398015")</f>
        <v>0.0</v>
      </c>
      <c r="M2328" t="s">
        <v>15913</v>
      </c>
      <c r="N2328" t="s">
        <v>15587</v>
      </c>
      <c r="O2328" t="s">
        <v>15588</v>
      </c>
      <c r="P2328" t="s">
        <v>15914</v>
      </c>
      <c r="Q2328" s="3" t="n">
        <v>44078.0</v>
      </c>
      <c r="R2328" s="3" t="n">
        <v>44189.0</v>
      </c>
      <c r="S2328" s="3" t="n">
        <v>44189.18797528935</v>
      </c>
      <c r="T2328" s="3" t="n">
        <v>44193.555957094904</v>
      </c>
      <c r="U2328" t="s">
        <v>15915</v>
      </c>
      <c r="V2328" t="s">
        <v>15916</v>
      </c>
    </row>
    <row r="2329">
      <c r="A2329" t="s">
        <v>22</v>
      </c>
      <c r="B2329" t="s">
        <v>15917</v>
      </c>
      <c r="C2329" t="s">
        <v>24</v>
      </c>
      <c r="D2329" t="s">
        <v>100</v>
      </c>
      <c r="E2329" t="s">
        <v>15918</v>
      </c>
      <c r="F2329" s="2" t="n">
        <f>HYPERLINK("https://patents.google.com/patent/US20200397936","Google")</f>
        <v>0.0</v>
      </c>
      <c r="G2329" s="2" t="n">
        <f>HYPERLINK("https://patentcenter.uspto.gov/applications/17001587","Patent Center")</f>
        <v>0.0</v>
      </c>
      <c r="H2329" s="2" t="n">
        <f>HYPERLINK("https://worldwide.espacenet.com/patent/search?q=US20200397936","Espacenet")</f>
        <v>0.0</v>
      </c>
      <c r="I2329" s="2" t="n">
        <f>HYPERLINK("https://ppubs.uspto.gov/pubwebapp/external.html?q=20200397936.pn.","USPTO")</f>
        <v>0.0</v>
      </c>
      <c r="J2329" s="2" t="n">
        <f>HYPERLINK("https://image-ppubs.uspto.gov/dirsearch-public/print/downloadPdf/20200397936","USPTO PDF")</f>
        <v>0.0</v>
      </c>
      <c r="K2329" s="2" t="n">
        <f>HYPERLINK("https://sectors.patentforecast.com/pmd/US20200397936","PMD")</f>
        <v>0.0</v>
      </c>
      <c r="L2329" s="2" t="n">
        <f>HYPERLINK("https://globaldossier.uspto.gov/result/application/US/17001587/1","US20200397936")</f>
        <v>0.0</v>
      </c>
      <c r="M2329" t="s">
        <v>15919</v>
      </c>
      <c r="N2329" t="s">
        <v>15920</v>
      </c>
      <c r="O2329" t="s">
        <v>15921</v>
      </c>
      <c r="P2329" t="s">
        <v>15922</v>
      </c>
      <c r="Q2329" s="3" t="n">
        <v>44067.0</v>
      </c>
      <c r="R2329" s="3" t="n">
        <v>44189.0</v>
      </c>
      <c r="S2329" s="3" t="n">
        <v>44189.18797528935</v>
      </c>
      <c r="T2329" s="3" t="n">
        <v>44193.57480710648</v>
      </c>
      <c r="U2329" t="s">
        <v>15923</v>
      </c>
      <c r="V2329" t="s">
        <v>15924</v>
      </c>
    </row>
    <row r="2330">
      <c r="A2330" t="s">
        <v>22</v>
      </c>
      <c r="B2330" t="s">
        <v>15925</v>
      </c>
      <c r="C2330" t="s">
        <v>60</v>
      </c>
      <c r="D2330" t="s">
        <v>61</v>
      </c>
      <c r="E2330" t="s">
        <v>15926</v>
      </c>
      <c r="F2330" s="2" t="n">
        <f>HYPERLINK("https://patents.google.com/patent/US20200397795","Google")</f>
        <v>0.0</v>
      </c>
      <c r="G2330" s="2" t="n">
        <f>HYPERLINK("https://patentcenter.uspto.gov/applications/16907119","Patent Center")</f>
        <v>0.0</v>
      </c>
      <c r="H2330" s="2" t="n">
        <f>HYPERLINK("https://worldwide.espacenet.com/patent/search?q=US20200397795","Espacenet")</f>
        <v>0.0</v>
      </c>
      <c r="I2330" s="2" t="n">
        <f>HYPERLINK("https://ppubs.uspto.gov/pubwebapp/external.html?q=20200397795.pn.","USPTO")</f>
        <v>0.0</v>
      </c>
      <c r="J2330" s="2" t="n">
        <f>HYPERLINK("https://image-ppubs.uspto.gov/dirsearch-public/print/downloadPdf/20200397795","USPTO PDF")</f>
        <v>0.0</v>
      </c>
      <c r="K2330" s="2" t="n">
        <f>HYPERLINK("https://sectors.patentforecast.com/pmd/US20200397795","PMD")</f>
        <v>0.0</v>
      </c>
      <c r="L2330" s="2" t="n">
        <f>HYPERLINK("https://globaldossier.uspto.gov/result/application/US/16907119/1","US20200397795")</f>
        <v>0.0</v>
      </c>
      <c r="M2330" t="s">
        <v>15927</v>
      </c>
      <c r="N2330" t="s">
        <v>6947</v>
      </c>
      <c r="O2330" t="s">
        <v>6948</v>
      </c>
      <c r="P2330" t="s">
        <v>15928</v>
      </c>
      <c r="Q2330" s="3" t="n">
        <v>44001.0</v>
      </c>
      <c r="R2330" s="3" t="n">
        <v>44189.0</v>
      </c>
      <c r="S2330" s="3" t="n">
        <v>44189.18797528935</v>
      </c>
      <c r="T2330" s="3" t="n">
        <v>44193.57423193287</v>
      </c>
      <c r="U2330" t="s">
        <v>15929</v>
      </c>
      <c r="V2330" t="s">
        <v>15930</v>
      </c>
    </row>
    <row r="2331">
      <c r="A2331" t="s">
        <v>22</v>
      </c>
      <c r="B2331" t="s">
        <v>15931</v>
      </c>
      <c r="C2331" t="s">
        <v>60</v>
      </c>
      <c r="D2331" t="s">
        <v>61</v>
      </c>
      <c r="E2331" t="s">
        <v>15932</v>
      </c>
      <c r="F2331" s="2" t="n">
        <f>HYPERLINK("https://patents.google.com/patent/US20200397711","Google")</f>
        <v>0.0</v>
      </c>
      <c r="G2331" s="2" t="n">
        <f>HYPERLINK("https://patentcenter.uspto.gov/applications/16908586","Patent Center")</f>
        <v>0.0</v>
      </c>
      <c r="H2331" s="2" t="n">
        <f>HYPERLINK("https://worldwide.espacenet.com/patent/search?q=US20200397711","Espacenet")</f>
        <v>0.0</v>
      </c>
      <c r="I2331" s="2" t="n">
        <f>HYPERLINK("https://ppubs.uspto.gov/pubwebapp/external.html?q=20200397711.pn.","USPTO")</f>
        <v>0.0</v>
      </c>
      <c r="J2331" s="2" t="n">
        <f>HYPERLINK("https://image-ppubs.uspto.gov/dirsearch-public/print/downloadPdf/20200397711","USPTO PDF")</f>
        <v>0.0</v>
      </c>
      <c r="K2331" s="2" t="n">
        <f>HYPERLINK("https://sectors.patentforecast.com/pmd/US20200397711","PMD")</f>
        <v>0.0</v>
      </c>
      <c r="L2331" s="2" t="n">
        <f>HYPERLINK("https://globaldossier.uspto.gov/result/application/US/16908586/1","US20200397711")</f>
        <v>0.0</v>
      </c>
      <c r="M2331" t="s">
        <v>15933</v>
      </c>
      <c r="N2331" t="s">
        <v>15934</v>
      </c>
      <c r="O2331" t="s">
        <v>15935</v>
      </c>
      <c r="P2331" t="s">
        <v>15936</v>
      </c>
      <c r="Q2331" s="3" t="n">
        <v>44004.0</v>
      </c>
      <c r="R2331" s="3" t="n">
        <v>44189.0</v>
      </c>
      <c r="S2331" s="3" t="n">
        <v>44189.18797528935</v>
      </c>
      <c r="T2331" s="3" t="n">
        <v>44638.69374195602</v>
      </c>
      <c r="U2331" t="s">
        <v>15937</v>
      </c>
      <c r="V2331" t="s">
        <v>15938</v>
      </c>
    </row>
    <row r="2332">
      <c r="A2332" t="s">
        <v>22</v>
      </c>
      <c r="B2332" t="s">
        <v>15939</v>
      </c>
      <c r="C2332" t="s">
        <v>24</v>
      </c>
      <c r="D2332" t="s">
        <v>25</v>
      </c>
      <c r="E2332" t="s">
        <v>15940</v>
      </c>
      <c r="F2332" s="2" t="n">
        <f>HYPERLINK("https://patents.google.com/patent/US20200397306","Google")</f>
        <v>0.0</v>
      </c>
      <c r="G2332" s="2" t="n">
        <f>HYPERLINK("https://patentcenter.uspto.gov/applications/17009655","Patent Center")</f>
        <v>0.0</v>
      </c>
      <c r="H2332" s="2" t="n">
        <f>HYPERLINK("https://worldwide.espacenet.com/patent/search?q=US20200397306","Espacenet")</f>
        <v>0.0</v>
      </c>
      <c r="I2332" s="2" t="n">
        <f>HYPERLINK("https://ppubs.uspto.gov/pubwebapp/external.html?q=20200397306.pn.","USPTO")</f>
        <v>0.0</v>
      </c>
      <c r="J2332" s="2" t="n">
        <f>HYPERLINK("https://image-ppubs.uspto.gov/dirsearch-public/print/downloadPdf/20200397306","USPTO PDF")</f>
        <v>0.0</v>
      </c>
      <c r="K2332" s="2" t="n">
        <f>HYPERLINK("https://sectors.patentforecast.com/pmd/US20200397306","PMD")</f>
        <v>0.0</v>
      </c>
      <c r="L2332" s="2" t="n">
        <f>HYPERLINK("https://globaldossier.uspto.gov/result/application/US/17009655/1","US20200397306")</f>
        <v>0.0</v>
      </c>
      <c r="M2332" t="s">
        <v>15941</v>
      </c>
      <c r="N2332" t="s">
        <v>14251</v>
      </c>
      <c r="O2332" t="s">
        <v>14252</v>
      </c>
      <c r="P2332" t="s">
        <v>14344</v>
      </c>
      <c r="Q2332" s="3" t="n">
        <v>44075.0</v>
      </c>
      <c r="R2332" s="3" t="n">
        <v>44189.0</v>
      </c>
      <c r="S2332" s="3" t="n">
        <v>44189.18797528935</v>
      </c>
      <c r="T2332" s="3" t="n">
        <v>44193.55532100694</v>
      </c>
      <c r="U2332" t="s">
        <v>15942</v>
      </c>
      <c r="V2332" t="s">
        <v>15943</v>
      </c>
    </row>
    <row r="2333">
      <c r="A2333" t="s">
        <v>22</v>
      </c>
      <c r="B2333" t="s">
        <v>15944</v>
      </c>
      <c r="C2333" t="s">
        <v>24</v>
      </c>
      <c r="D2333" t="s">
        <v>43</v>
      </c>
      <c r="E2333" t="s">
        <v>15945</v>
      </c>
      <c r="F2333" s="2" t="n">
        <f>HYPERLINK("https://patents.google.com/patent/US20200394419","Google")</f>
        <v>0.0</v>
      </c>
      <c r="G2333" s="2" t="n">
        <f>HYPERLINK("https://patentcenter.uspto.gov/applications/17005256","Patent Center")</f>
        <v>0.0</v>
      </c>
      <c r="H2333" s="2" t="n">
        <f>HYPERLINK("https://worldwide.espacenet.com/patent/search?q=US20200394419","Espacenet")</f>
        <v>0.0</v>
      </c>
      <c r="I2333" s="2" t="n">
        <f>HYPERLINK("https://ppubs.uspto.gov/pubwebapp/external.html?q=20200394419.pn.","USPTO")</f>
        <v>0.0</v>
      </c>
      <c r="J2333" s="2" t="n">
        <f>HYPERLINK("https://image-ppubs.uspto.gov/dirsearch-public/print/downloadPdf/20200394419","USPTO PDF")</f>
        <v>0.0</v>
      </c>
      <c r="K2333" s="2" t="n">
        <f>HYPERLINK("https://sectors.patentforecast.com/pmd/US20200394419","PMD")</f>
        <v>0.0</v>
      </c>
      <c r="L2333" s="2" t="n">
        <f>HYPERLINK("https://globaldossier.uspto.gov/result/application/US/17005256/1","US20200394419")</f>
        <v>0.0</v>
      </c>
      <c r="M2333" t="s">
        <v>15946</v>
      </c>
      <c r="N2333" t="s">
        <v>15762</v>
      </c>
      <c r="O2333" t="s">
        <v>15763</v>
      </c>
      <c r="P2333" t="s">
        <v>15947</v>
      </c>
      <c r="Q2333" s="3" t="n">
        <v>44070.0</v>
      </c>
      <c r="R2333" s="3" t="n">
        <v>44182.0</v>
      </c>
      <c r="S2333" s="3" t="n">
        <v>44189.18854809028</v>
      </c>
      <c r="T2333" s="3" t="n">
        <v>44193.573185092595</v>
      </c>
      <c r="U2333" t="s">
        <v>15948</v>
      </c>
      <c r="V2333" t="s">
        <v>15949</v>
      </c>
    </row>
    <row r="2334">
      <c r="A2334" t="s">
        <v>22</v>
      </c>
      <c r="B2334" t="s">
        <v>15950</v>
      </c>
      <c r="C2334" t="s">
        <v>24</v>
      </c>
      <c r="D2334" t="s">
        <v>13922</v>
      </c>
      <c r="E2334" t="s">
        <v>15951</v>
      </c>
      <c r="F2334" s="2" t="n">
        <f>HYPERLINK("https://patents.google.com/patent/US20200391210","Google")</f>
        <v>0.0</v>
      </c>
      <c r="G2334" s="2" t="n">
        <f>HYPERLINK("https://patentcenter.uspto.gov/applications/16890417","Patent Center")</f>
        <v>0.0</v>
      </c>
      <c r="H2334" s="2" t="n">
        <f>HYPERLINK("https://worldwide.espacenet.com/patent/search?q=US20200391210","Espacenet")</f>
        <v>0.0</v>
      </c>
      <c r="I2334" s="2" t="n">
        <f>HYPERLINK("https://ppubs.uspto.gov/pubwebapp/external.html?q=20200391210.pn.","USPTO")</f>
        <v>0.0</v>
      </c>
      <c r="J2334" s="2" t="n">
        <f>HYPERLINK("https://image-ppubs.uspto.gov/dirsearch-public/print/downloadPdf/20200391210","USPTO PDF")</f>
        <v>0.0</v>
      </c>
      <c r="K2334" s="2" t="n">
        <f>HYPERLINK("https://sectors.patentforecast.com/pmd/US20200391210","PMD")</f>
        <v>0.0</v>
      </c>
      <c r="L2334" s="2" t="n">
        <f>HYPERLINK("https://globaldossier.uspto.gov/result/application/US/16890417/1","US20200391210")</f>
        <v>0.0</v>
      </c>
      <c r="M2334" t="s">
        <v>15952</v>
      </c>
      <c r="N2334" t="s">
        <v>15953</v>
      </c>
      <c r="O2334" t="s">
        <v>15954</v>
      </c>
      <c r="P2334" t="s">
        <v>15955</v>
      </c>
      <c r="Q2334" s="3" t="n">
        <v>43984.0</v>
      </c>
      <c r="R2334" s="3" t="n">
        <v>44182.0</v>
      </c>
      <c r="S2334" s="3" t="n">
        <v>44182.18797398148</v>
      </c>
      <c r="T2334" s="3" t="n">
        <v>44186.36858357639</v>
      </c>
      <c r="U2334" t="s">
        <v>15956</v>
      </c>
      <c r="V2334" t="s">
        <v>15957</v>
      </c>
    </row>
    <row r="2335">
      <c r="A2335" t="s">
        <v>22</v>
      </c>
      <c r="B2335" t="s">
        <v>15958</v>
      </c>
      <c r="C2335" t="s">
        <v>24</v>
      </c>
      <c r="D2335" t="s">
        <v>100</v>
      </c>
      <c r="E2335" t="s">
        <v>15959</v>
      </c>
      <c r="F2335" s="2" t="n">
        <f>HYPERLINK("https://patents.google.com/patent/US20200391197","Google")</f>
        <v>0.0</v>
      </c>
      <c r="G2335" s="2" t="n">
        <f>HYPERLINK("https://patentcenter.uspto.gov/applications/17008341","Patent Center")</f>
        <v>0.0</v>
      </c>
      <c r="H2335" s="2" t="n">
        <f>HYPERLINK("https://worldwide.espacenet.com/patent/search?q=US20200391197","Espacenet")</f>
        <v>0.0</v>
      </c>
      <c r="I2335" s="2" t="n">
        <f>HYPERLINK("https://ppubs.uspto.gov/pubwebapp/external.html?q=20200391197.pn.","USPTO")</f>
        <v>0.0</v>
      </c>
      <c r="J2335" s="2" t="n">
        <f>HYPERLINK("https://image-ppubs.uspto.gov/dirsearch-public/print/downloadPdf/20200391197","USPTO PDF")</f>
        <v>0.0</v>
      </c>
      <c r="K2335" s="2" t="n">
        <f>HYPERLINK("https://sectors.patentforecast.com/pmd/US20200391197","PMD")</f>
        <v>0.0</v>
      </c>
      <c r="L2335" s="2" t="n">
        <f>HYPERLINK("https://globaldossier.uspto.gov/result/application/US/17008341/1","US20200391197")</f>
        <v>0.0</v>
      </c>
      <c r="M2335" t="s">
        <v>15960</v>
      </c>
      <c r="N2335" t="s">
        <v>15961</v>
      </c>
      <c r="O2335" t="s">
        <v>15962</v>
      </c>
      <c r="P2335" t="s">
        <v>15963</v>
      </c>
      <c r="Q2335" s="3" t="n">
        <v>44074.0</v>
      </c>
      <c r="R2335" s="3" t="n">
        <v>44182.0</v>
      </c>
      <c r="S2335" s="3" t="n">
        <v>44182.18797398148</v>
      </c>
      <c r="T2335" s="3" t="n">
        <v>44186.3692784838</v>
      </c>
      <c r="U2335" t="s">
        <v>15964</v>
      </c>
      <c r="V2335" t="s">
        <v>15965</v>
      </c>
    </row>
    <row r="2336">
      <c r="A2336" t="s">
        <v>22</v>
      </c>
      <c r="B2336" t="s">
        <v>15966</v>
      </c>
      <c r="C2336" t="s">
        <v>60</v>
      </c>
      <c r="D2336" t="s">
        <v>715</v>
      </c>
      <c r="E2336" t="s">
        <v>3386</v>
      </c>
      <c r="F2336" s="2" t="n">
        <f>HYPERLINK("https://patents.google.com/patent/US20200391045","Google")</f>
        <v>0.0</v>
      </c>
      <c r="G2336" s="2" t="n">
        <f>HYPERLINK("https://patentcenter.uspto.gov/applications/16889799","Patent Center")</f>
        <v>0.0</v>
      </c>
      <c r="H2336" s="2" t="n">
        <f>HYPERLINK("https://worldwide.espacenet.com/patent/search?q=US20200391045","Espacenet")</f>
        <v>0.0</v>
      </c>
      <c r="I2336" s="2" t="n">
        <f>HYPERLINK("https://ppubs.uspto.gov/pubwebapp/external.html?q=20200391045.pn.","USPTO")</f>
        <v>0.0</v>
      </c>
      <c r="J2336" s="2" t="n">
        <f>HYPERLINK("https://image-ppubs.uspto.gov/dirsearch-public/print/downloadPdf/20200391045","USPTO PDF")</f>
        <v>0.0</v>
      </c>
      <c r="K2336" s="2" t="n">
        <f>HYPERLINK("https://sectors.patentforecast.com/pmd/US20200391045","PMD")</f>
        <v>0.0</v>
      </c>
      <c r="L2336" s="2" t="n">
        <f>HYPERLINK("https://globaldossier.uspto.gov/result/application/US/16889799/1","US20200391045")</f>
        <v>0.0</v>
      </c>
      <c r="M2336" t="s">
        <v>15967</v>
      </c>
      <c r="N2336" t="s">
        <v>3388</v>
      </c>
      <c r="O2336" t="s">
        <v>3389</v>
      </c>
      <c r="P2336" t="s">
        <v>3390</v>
      </c>
      <c r="Q2336" s="3" t="n">
        <v>43983.0</v>
      </c>
      <c r="R2336" s="3" t="n">
        <v>44182.0</v>
      </c>
      <c r="S2336" s="3" t="n">
        <v>44182.18797398148</v>
      </c>
      <c r="T2336" s="3" t="n">
        <v>44757.75336074074</v>
      </c>
      <c r="U2336" t="s">
        <v>15968</v>
      </c>
      <c r="V2336" t="s">
        <v>3391</v>
      </c>
    </row>
    <row r="2337">
      <c r="A2337" t="s">
        <v>22</v>
      </c>
      <c r="B2337" t="s">
        <v>15969</v>
      </c>
      <c r="C2337" t="s">
        <v>60</v>
      </c>
      <c r="D2337" t="s">
        <v>715</v>
      </c>
      <c r="E2337" t="s">
        <v>14493</v>
      </c>
      <c r="F2337" s="2" t="n">
        <f>HYPERLINK("https://patents.google.com/patent/US20200390650","Google")</f>
        <v>0.0</v>
      </c>
      <c r="G2337" s="2" t="n">
        <f>HYPERLINK("https://patentcenter.uspto.gov/applications/17005074","Patent Center")</f>
        <v>0.0</v>
      </c>
      <c r="H2337" s="2" t="n">
        <f>HYPERLINK("https://worldwide.espacenet.com/patent/search?q=US20200390650","Espacenet")</f>
        <v>0.0</v>
      </c>
      <c r="I2337" s="2" t="n">
        <f>HYPERLINK("https://ppubs.uspto.gov/pubwebapp/external.html?q=20200390650.pn.","USPTO")</f>
        <v>0.0</v>
      </c>
      <c r="J2337" s="2" t="n">
        <f>HYPERLINK("https://image-ppubs.uspto.gov/dirsearch-public/print/downloadPdf/20200390650","USPTO PDF")</f>
        <v>0.0</v>
      </c>
      <c r="K2337" s="2" t="n">
        <f>HYPERLINK("https://sectors.patentforecast.com/pmd/US20200390650","PMD")</f>
        <v>0.0</v>
      </c>
      <c r="L2337" s="2" t="n">
        <f>HYPERLINK("https://globaldossier.uspto.gov/result/application/US/17005074/1","US20200390650")</f>
        <v>0.0</v>
      </c>
      <c r="M2337" t="s">
        <v>15970</v>
      </c>
      <c r="N2337" t="s">
        <v>14495</v>
      </c>
      <c r="O2337" t="s">
        <v>14495</v>
      </c>
      <c r="P2337" t="s">
        <v>14496</v>
      </c>
      <c r="Q2337" s="3" t="n">
        <v>44070.0</v>
      </c>
      <c r="R2337" s="3" t="n">
        <v>44182.0</v>
      </c>
      <c r="S2337" s="3" t="n">
        <v>44182.18797398148</v>
      </c>
      <c r="T2337" s="3" t="n">
        <v>44186.36966689815</v>
      </c>
      <c r="U2337" t="s">
        <v>15971</v>
      </c>
      <c r="V2337" t="s">
        <v>14498</v>
      </c>
    </row>
    <row r="2338">
      <c r="A2338" t="s">
        <v>22</v>
      </c>
      <c r="B2338" t="s">
        <v>15972</v>
      </c>
      <c r="C2338" t="s">
        <v>24</v>
      </c>
      <c r="D2338" t="s">
        <v>34</v>
      </c>
      <c r="E2338" t="s">
        <v>15973</v>
      </c>
      <c r="F2338" s="2" t="n">
        <f>HYPERLINK("https://patents.google.com/patent/US20200390337","Google")</f>
        <v>0.0</v>
      </c>
      <c r="G2338" s="2" t="n">
        <f>HYPERLINK("https://patentcenter.uspto.gov/applications/17005259","Patent Center")</f>
        <v>0.0</v>
      </c>
      <c r="H2338" s="2" t="n">
        <f>HYPERLINK("https://worldwide.espacenet.com/patent/search?q=US20200390337","Espacenet")</f>
        <v>0.0</v>
      </c>
      <c r="I2338" s="2" t="n">
        <f>HYPERLINK("https://ppubs.uspto.gov/pubwebapp/external.html?q=20200390337.pn.","USPTO")</f>
        <v>0.0</v>
      </c>
      <c r="J2338" s="2" t="n">
        <f>HYPERLINK("https://image-ppubs.uspto.gov/dirsearch-public/print/downloadPdf/20200390337","USPTO PDF")</f>
        <v>0.0</v>
      </c>
      <c r="K2338" s="2" t="n">
        <f>HYPERLINK("https://sectors.patentforecast.com/pmd/US20200390337","PMD")</f>
        <v>0.0</v>
      </c>
      <c r="L2338" s="2" t="n">
        <f>HYPERLINK("https://globaldossier.uspto.gov/result/application/US/17005259/1","US20200390337")</f>
        <v>0.0</v>
      </c>
      <c r="M2338" t="s">
        <v>15974</v>
      </c>
      <c r="N2338" t="s">
        <v>14251</v>
      </c>
      <c r="O2338" t="s">
        <v>14252</v>
      </c>
      <c r="P2338" t="s">
        <v>14253</v>
      </c>
      <c r="Q2338" s="3" t="n">
        <v>44070.0</v>
      </c>
      <c r="R2338" s="3" t="n">
        <v>44182.0</v>
      </c>
      <c r="S2338" s="3" t="n">
        <v>44182.18797398148</v>
      </c>
      <c r="T2338" s="3" t="n">
        <v>44186.36703667824</v>
      </c>
      <c r="U2338" t="s">
        <v>15975</v>
      </c>
      <c r="V2338" t="s">
        <v>15976</v>
      </c>
    </row>
    <row r="2339">
      <c r="A2339" t="s">
        <v>22</v>
      </c>
      <c r="B2339" t="s">
        <v>15977</v>
      </c>
      <c r="C2339" t="s">
        <v>24</v>
      </c>
      <c r="D2339" t="s">
        <v>69</v>
      </c>
      <c r="E2339" t="s">
        <v>15978</v>
      </c>
      <c r="F2339" s="2" t="n">
        <f>HYPERLINK("https://patents.google.com/patent/US20200390177","Google")</f>
        <v>0.0</v>
      </c>
      <c r="G2339" s="2" t="n">
        <f>HYPERLINK("https://patentcenter.uspto.gov/applications/16943611","Patent Center")</f>
        <v>0.0</v>
      </c>
      <c r="H2339" s="2" t="n">
        <f>HYPERLINK("https://worldwide.espacenet.com/patent/search?q=US20200390177","Espacenet")</f>
        <v>0.0</v>
      </c>
      <c r="I2339" s="2" t="n">
        <f>HYPERLINK("https://ppubs.uspto.gov/pubwebapp/external.html?q=20200390177.pn.","USPTO")</f>
        <v>0.0</v>
      </c>
      <c r="J2339" s="2" t="n">
        <f>HYPERLINK("https://image-ppubs.uspto.gov/dirsearch-public/print/downloadPdf/20200390177","USPTO PDF")</f>
        <v>0.0</v>
      </c>
      <c r="K2339" s="2" t="n">
        <f>HYPERLINK("https://sectors.patentforecast.com/pmd/US20200390177","PMD")</f>
        <v>0.0</v>
      </c>
      <c r="L2339" s="2" t="n">
        <f>HYPERLINK("https://globaldossier.uspto.gov/result/application/US/16943611/1","US20200390177")</f>
        <v>0.0</v>
      </c>
      <c r="M2339" t="s">
        <v>15979</v>
      </c>
      <c r="N2339" t="s">
        <v>15980</v>
      </c>
      <c r="O2339" t="s">
        <v>15981</v>
      </c>
      <c r="P2339" t="s">
        <v>15982</v>
      </c>
      <c r="Q2339" s="3" t="n">
        <v>44042.0</v>
      </c>
      <c r="R2339" s="3" t="n">
        <v>44182.0</v>
      </c>
      <c r="S2339" s="3" t="n">
        <v>44182.18797398148</v>
      </c>
      <c r="T2339" s="3" t="n">
        <v>44186.36625865741</v>
      </c>
      <c r="U2339" t="s">
        <v>15983</v>
      </c>
      <c r="V2339" t="s">
        <v>15984</v>
      </c>
    </row>
    <row r="2340">
      <c r="A2340" t="s">
        <v>22</v>
      </c>
      <c r="B2340" t="s">
        <v>15985</v>
      </c>
      <c r="C2340" t="s">
        <v>24</v>
      </c>
      <c r="D2340" t="s">
        <v>25</v>
      </c>
      <c r="E2340" t="s">
        <v>15986</v>
      </c>
      <c r="F2340" s="2" t="n">
        <f>HYPERLINK("https://patents.google.com/patent/US20200386766","Google")</f>
        <v>0.0</v>
      </c>
      <c r="G2340" s="2" t="n">
        <f>HYPERLINK("https://patentcenter.uspto.gov/applications/16921113","Patent Center")</f>
        <v>0.0</v>
      </c>
      <c r="H2340" s="2" t="n">
        <f>HYPERLINK("https://worldwide.espacenet.com/patent/search?q=US20200386766","Espacenet")</f>
        <v>0.0</v>
      </c>
      <c r="I2340" s="2" t="n">
        <f>HYPERLINK("https://ppubs.uspto.gov/pubwebapp/external.html?q=20200386766.pn.","USPTO")</f>
        <v>0.0</v>
      </c>
      <c r="J2340" s="2" t="n">
        <f>HYPERLINK("https://image-ppubs.uspto.gov/dirsearch-public/print/downloadPdf/20200386766","USPTO PDF")</f>
        <v>0.0</v>
      </c>
      <c r="K2340" s="2" t="n">
        <f>HYPERLINK("https://sectors.patentforecast.com/pmd/US20200386766","PMD")</f>
        <v>0.0</v>
      </c>
      <c r="L2340" s="2" t="n">
        <f>HYPERLINK("https://globaldossier.uspto.gov/result/application/US/16921113/1","US20200386766")</f>
        <v>0.0</v>
      </c>
      <c r="M2340" t="s">
        <v>15987</v>
      </c>
      <c r="N2340" t="s">
        <v>15988</v>
      </c>
      <c r="O2340" t="s">
        <v>15989</v>
      </c>
      <c r="P2340" t="s">
        <v>15990</v>
      </c>
      <c r="Q2340" s="3" t="n">
        <v>44018.0</v>
      </c>
      <c r="R2340" s="3" t="n">
        <v>44175.0</v>
      </c>
      <c r="S2340" s="3" t="n">
        <v>44175.18787634259</v>
      </c>
      <c r="T2340" s="3" t="n">
        <v>44175.412355520835</v>
      </c>
      <c r="U2340" t="s">
        <v>15991</v>
      </c>
      <c r="V2340" t="s">
        <v>15992</v>
      </c>
    </row>
    <row r="2341">
      <c r="A2341" t="s">
        <v>22</v>
      </c>
      <c r="B2341" t="s">
        <v>15993</v>
      </c>
      <c r="C2341" t="s">
        <v>24</v>
      </c>
      <c r="D2341" t="s">
        <v>69</v>
      </c>
      <c r="E2341" t="s">
        <v>15994</v>
      </c>
      <c r="F2341" s="2" t="n">
        <f>HYPERLINK("https://patents.google.com/patent/US20200385613","Google")</f>
        <v>0.0</v>
      </c>
      <c r="G2341" s="2" t="n">
        <f>HYPERLINK("https://patentcenter.uspto.gov/applications/16879014","Patent Center")</f>
        <v>0.0</v>
      </c>
      <c r="H2341" s="2" t="n">
        <f>HYPERLINK("https://worldwide.espacenet.com/patent/search?q=US20200385613","Espacenet")</f>
        <v>0.0</v>
      </c>
      <c r="I2341" s="2" t="n">
        <f>HYPERLINK("https://ppubs.uspto.gov/pubwebapp/external.html?q=20200385613.pn.","USPTO")</f>
        <v>0.0</v>
      </c>
      <c r="J2341" s="2" t="n">
        <f>HYPERLINK("https://image-ppubs.uspto.gov/dirsearch-public/print/downloadPdf/20200385613","USPTO PDF")</f>
        <v>0.0</v>
      </c>
      <c r="K2341" s="2" t="n">
        <f>HYPERLINK("https://sectors.patentforecast.com/pmd/US20200385613","PMD")</f>
        <v>0.0</v>
      </c>
      <c r="L2341" s="2" t="n">
        <f>HYPERLINK("https://globaldossier.uspto.gov/result/application/US/16879014/1","US20200385613")</f>
        <v>0.0</v>
      </c>
      <c r="M2341" t="s">
        <v>15995</v>
      </c>
      <c r="N2341" t="s">
        <v>4556</v>
      </c>
      <c r="O2341" t="s">
        <v>4557</v>
      </c>
      <c r="P2341" t="s">
        <v>4558</v>
      </c>
      <c r="Q2341" s="3" t="n">
        <v>43971.0</v>
      </c>
      <c r="R2341" s="3" t="n">
        <v>44175.0</v>
      </c>
      <c r="S2341" s="3" t="n">
        <v>44175.18787634259</v>
      </c>
      <c r="T2341" s="3" t="n">
        <v>44175.4092809375</v>
      </c>
      <c r="U2341" t="s">
        <v>15996</v>
      </c>
      <c r="V2341" t="s">
        <v>15997</v>
      </c>
    </row>
    <row r="2342">
      <c r="A2342" t="s">
        <v>22</v>
      </c>
      <c r="B2342" t="s">
        <v>15998</v>
      </c>
      <c r="C2342" t="s">
        <v>24</v>
      </c>
      <c r="D2342" t="s">
        <v>69</v>
      </c>
      <c r="E2342" t="s">
        <v>15999</v>
      </c>
      <c r="F2342" s="2" t="n">
        <f>HYPERLINK("https://patents.google.com/patent/US20200384730","Google")</f>
        <v>0.0</v>
      </c>
      <c r="G2342" s="2" t="n">
        <f>HYPERLINK("https://patentcenter.uspto.gov/applications/16878988","Patent Center")</f>
        <v>0.0</v>
      </c>
      <c r="H2342" s="2" t="n">
        <f>HYPERLINK("https://worldwide.espacenet.com/patent/search?q=US20200384730","Espacenet")</f>
        <v>0.0</v>
      </c>
      <c r="I2342" s="2" t="n">
        <f>HYPERLINK("https://ppubs.uspto.gov/pubwebapp/external.html?q=20200384730.pn.","USPTO")</f>
        <v>0.0</v>
      </c>
      <c r="J2342" s="2" t="n">
        <f>HYPERLINK("https://image-ppubs.uspto.gov/dirsearch-public/print/downloadPdf/20200384730","USPTO PDF")</f>
        <v>0.0</v>
      </c>
      <c r="K2342" s="2" t="n">
        <f>HYPERLINK("https://sectors.patentforecast.com/pmd/US20200384730","PMD")</f>
        <v>0.0</v>
      </c>
      <c r="L2342" s="2" t="n">
        <f>HYPERLINK("https://globaldossier.uspto.gov/result/application/US/16878988/1","US20200384730")</f>
        <v>0.0</v>
      </c>
      <c r="M2342" t="s">
        <v>16000</v>
      </c>
      <c r="N2342" t="s">
        <v>4556</v>
      </c>
      <c r="O2342" t="s">
        <v>4557</v>
      </c>
      <c r="P2342" t="s">
        <v>4558</v>
      </c>
      <c r="Q2342" s="3" t="n">
        <v>43971.0</v>
      </c>
      <c r="R2342" s="3" t="n">
        <v>44175.0</v>
      </c>
      <c r="S2342" s="3" t="n">
        <v>44175.18787634259</v>
      </c>
      <c r="T2342" s="3" t="n">
        <v>44175.409052476854</v>
      </c>
      <c r="U2342" t="s">
        <v>16001</v>
      </c>
      <c r="V2342" t="s">
        <v>16002</v>
      </c>
    </row>
    <row r="2343">
      <c r="A2343" t="s">
        <v>22</v>
      </c>
      <c r="B2343" t="s">
        <v>16003</v>
      </c>
      <c r="C2343" t="s">
        <v>60</v>
      </c>
      <c r="D2343" t="s">
        <v>61</v>
      </c>
      <c r="E2343" t="s">
        <v>16004</v>
      </c>
      <c r="F2343" s="2" t="n">
        <f>HYPERLINK("https://patents.google.com/patent/US20200384034","Google")</f>
        <v>0.0</v>
      </c>
      <c r="G2343" s="2" t="n">
        <f>HYPERLINK("https://patentcenter.uspto.gov/applications/16893306","Patent Center")</f>
        <v>0.0</v>
      </c>
      <c r="H2343" s="2" t="n">
        <f>HYPERLINK("https://worldwide.espacenet.com/patent/search?q=US20200384034","Espacenet")</f>
        <v>0.0</v>
      </c>
      <c r="I2343" s="2" t="n">
        <f>HYPERLINK("https://ppubs.uspto.gov/pubwebapp/external.html?q=20200384034.pn.","USPTO")</f>
        <v>0.0</v>
      </c>
      <c r="J2343" s="2" t="n">
        <f>HYPERLINK("https://image-ppubs.uspto.gov/dirsearch-public/print/downloadPdf/20200384034","USPTO PDF")</f>
        <v>0.0</v>
      </c>
      <c r="K2343" s="2" t="n">
        <f>HYPERLINK("https://sectors.patentforecast.com/pmd/US20200384034","PMD")</f>
        <v>0.0</v>
      </c>
      <c r="L2343" s="2" t="n">
        <f>HYPERLINK("https://globaldossier.uspto.gov/result/application/US/16893306/1","US20200384034")</f>
        <v>0.0</v>
      </c>
      <c r="M2343" t="s">
        <v>16005</v>
      </c>
      <c r="N2343" t="s">
        <v>16006</v>
      </c>
      <c r="O2343" t="s">
        <v>16007</v>
      </c>
      <c r="P2343" t="s">
        <v>16008</v>
      </c>
      <c r="Q2343" s="3" t="n">
        <v>43986.0</v>
      </c>
      <c r="R2343" s="3" t="n">
        <v>44175.0</v>
      </c>
      <c r="S2343" s="3" t="n">
        <v>44175.18787634259</v>
      </c>
      <c r="T2343" s="3" t="n">
        <v>44175.412660358794</v>
      </c>
      <c r="U2343" t="s">
        <v>16009</v>
      </c>
      <c r="V2343" t="s">
        <v>16010</v>
      </c>
    </row>
    <row r="2344">
      <c r="A2344" t="s">
        <v>22</v>
      </c>
      <c r="B2344" t="s">
        <v>16011</v>
      </c>
      <c r="C2344" t="s">
        <v>24</v>
      </c>
      <c r="D2344" t="s">
        <v>69</v>
      </c>
      <c r="E2344" t="s">
        <v>4018</v>
      </c>
      <c r="F2344" s="2" t="n">
        <f>HYPERLINK("https://patents.google.com/patent/US20200384016","Google")</f>
        <v>0.0</v>
      </c>
      <c r="G2344" s="2" t="n">
        <f>HYPERLINK("https://patentcenter.uspto.gov/applications/16925740","Patent Center")</f>
        <v>0.0</v>
      </c>
      <c r="H2344" s="2" t="n">
        <f>HYPERLINK("https://worldwide.espacenet.com/patent/search?q=US20200384016","Espacenet")</f>
        <v>0.0</v>
      </c>
      <c r="I2344" s="2" t="n">
        <f>HYPERLINK("https://ppubs.uspto.gov/pubwebapp/external.html?q=20200384016.pn.","USPTO")</f>
        <v>0.0</v>
      </c>
      <c r="J2344" s="2" t="n">
        <f>HYPERLINK("https://image-ppubs.uspto.gov/dirsearch-public/print/downloadPdf/20200384016","USPTO PDF")</f>
        <v>0.0</v>
      </c>
      <c r="K2344" s="2" t="n">
        <f>HYPERLINK("https://sectors.patentforecast.com/pmd/US20200384016","PMD")</f>
        <v>0.0</v>
      </c>
      <c r="L2344" s="2" t="n">
        <f>HYPERLINK("https://globaldossier.uspto.gov/result/application/US/16925740/1","US20200384016")</f>
        <v>0.0</v>
      </c>
      <c r="M2344" t="s">
        <v>16012</v>
      </c>
      <c r="N2344" t="s">
        <v>4020</v>
      </c>
      <c r="O2344" t="s">
        <v>4021</v>
      </c>
      <c r="P2344" t="s">
        <v>4022</v>
      </c>
      <c r="Q2344" s="3" t="n">
        <v>44022.0</v>
      </c>
      <c r="R2344" s="3" t="n">
        <v>44175.0</v>
      </c>
      <c r="S2344" s="3" t="n">
        <v>44175.18787583333</v>
      </c>
      <c r="T2344" s="3" t="n">
        <v>44175.41291800926</v>
      </c>
      <c r="U2344" t="s">
        <v>16013</v>
      </c>
      <c r="V2344" t="s">
        <v>4024</v>
      </c>
    </row>
    <row r="2345">
      <c r="A2345" t="s">
        <v>22</v>
      </c>
      <c r="B2345" t="s">
        <v>16014</v>
      </c>
      <c r="C2345" t="s">
        <v>24</v>
      </c>
      <c r="D2345" t="s">
        <v>69</v>
      </c>
      <c r="E2345" t="s">
        <v>16015</v>
      </c>
      <c r="F2345" s="2" t="n">
        <f>HYPERLINK("https://patents.google.com/patent/US20200383323","Google")</f>
        <v>0.0</v>
      </c>
      <c r="G2345" s="2" t="n">
        <f>HYPERLINK("https://patentcenter.uspto.gov/applications/16878996","Patent Center")</f>
        <v>0.0</v>
      </c>
      <c r="H2345" s="2" t="n">
        <f>HYPERLINK("https://worldwide.espacenet.com/patent/search?q=US20200383323","Espacenet")</f>
        <v>0.0</v>
      </c>
      <c r="I2345" s="2" t="n">
        <f>HYPERLINK("https://ppubs.uspto.gov/pubwebapp/external.html?q=20200383323.pn.","USPTO")</f>
        <v>0.0</v>
      </c>
      <c r="J2345" s="2" t="n">
        <f>HYPERLINK("https://image-ppubs.uspto.gov/dirsearch-public/print/downloadPdf/20200383323","USPTO PDF")</f>
        <v>0.0</v>
      </c>
      <c r="K2345" s="2" t="n">
        <f>HYPERLINK("https://sectors.patentforecast.com/pmd/US20200383323","PMD")</f>
        <v>0.0</v>
      </c>
      <c r="L2345" s="2" t="n">
        <f>HYPERLINK("https://globaldossier.uspto.gov/result/application/US/16878996/1","US20200383323")</f>
        <v>0.0</v>
      </c>
      <c r="M2345" t="s">
        <v>16016</v>
      </c>
      <c r="N2345" t="s">
        <v>16017</v>
      </c>
      <c r="O2345" t="s">
        <v>16018</v>
      </c>
      <c r="P2345" t="s">
        <v>16019</v>
      </c>
      <c r="Q2345" s="3" t="n">
        <v>43971.0</v>
      </c>
      <c r="R2345" s="3" t="n">
        <v>44175.0</v>
      </c>
      <c r="S2345" s="3" t="n">
        <v>44175.18787634259</v>
      </c>
      <c r="T2345" s="3" t="n">
        <v>44175.409052476854</v>
      </c>
      <c r="U2345" t="s">
        <v>16020</v>
      </c>
      <c r="V2345" t="s">
        <v>16021</v>
      </c>
    </row>
    <row r="2346">
      <c r="A2346" t="s">
        <v>22</v>
      </c>
      <c r="B2346" t="s">
        <v>16022</v>
      </c>
      <c r="C2346" t="s">
        <v>24</v>
      </c>
      <c r="D2346" t="s">
        <v>258</v>
      </c>
      <c r="E2346" t="s">
        <v>16023</v>
      </c>
      <c r="F2346" s="2" t="n">
        <f>HYPERLINK("https://patents.google.com/patent/US20200380427","Google")</f>
        <v>0.0</v>
      </c>
      <c r="G2346" s="2" t="n">
        <f>HYPERLINK("https://patentcenter.uspto.gov/applications/16852289","Patent Center")</f>
        <v>0.0</v>
      </c>
      <c r="H2346" s="2" t="n">
        <f>HYPERLINK("https://worldwide.espacenet.com/patent/search?q=US20200380427","Espacenet")</f>
        <v>0.0</v>
      </c>
      <c r="I2346" s="2" t="n">
        <f>HYPERLINK("https://ppubs.uspto.gov/pubwebapp/external.html?q=20200380427.pn.","USPTO")</f>
        <v>0.0</v>
      </c>
      <c r="J2346" s="2" t="n">
        <f>HYPERLINK("https://image-ppubs.uspto.gov/dirsearch-public/print/downloadPdf/20200380427","USPTO PDF")</f>
        <v>0.0</v>
      </c>
      <c r="K2346" s="2" t="n">
        <f>HYPERLINK("https://sectors.patentforecast.com/pmd/US20200380427","PMD")</f>
        <v>0.0</v>
      </c>
      <c r="L2346" s="2" t="n">
        <f>HYPERLINK("https://globaldossier.uspto.gov/result/application/US/16852289/1","US20200380427")</f>
        <v>0.0</v>
      </c>
      <c r="M2346" t="s">
        <v>16024</v>
      </c>
      <c r="N2346" t="s">
        <v>16025</v>
      </c>
      <c r="O2346" t="s">
        <v>16026</v>
      </c>
      <c r="P2346" t="s">
        <v>16027</v>
      </c>
      <c r="Q2346" s="3" t="n">
        <v>43938.0</v>
      </c>
      <c r="R2346" s="3" t="n">
        <v>44168.0</v>
      </c>
      <c r="S2346" s="3" t="n">
        <v>44168.18787810185</v>
      </c>
      <c r="T2346" s="3" t="n">
        <v>44168.44150893518</v>
      </c>
      <c r="U2346" t="s">
        <v>16028</v>
      </c>
      <c r="V2346" t="s">
        <v>16029</v>
      </c>
    </row>
    <row r="2347">
      <c r="A2347" t="s">
        <v>22</v>
      </c>
      <c r="B2347" t="s">
        <v>16030</v>
      </c>
      <c r="C2347" t="s">
        <v>24</v>
      </c>
      <c r="D2347" t="s">
        <v>25</v>
      </c>
      <c r="E2347" t="s">
        <v>14942</v>
      </c>
      <c r="F2347" s="2" t="n">
        <f>HYPERLINK("https://patents.google.com/patent/US20200380178","Google")</f>
        <v>0.0</v>
      </c>
      <c r="G2347" s="2" t="n">
        <f>HYPERLINK("https://patentcenter.uspto.gov/applications/16935857","Patent Center")</f>
        <v>0.0</v>
      </c>
      <c r="H2347" s="2" t="n">
        <f>HYPERLINK("https://worldwide.espacenet.com/patent/search?q=US20200380178","Espacenet")</f>
        <v>0.0</v>
      </c>
      <c r="I2347" s="2" t="n">
        <f>HYPERLINK("https://ppubs.uspto.gov/pubwebapp/external.html?q=20200380178.pn.","USPTO")</f>
        <v>0.0</v>
      </c>
      <c r="J2347" s="2" t="n">
        <f>HYPERLINK("https://image-ppubs.uspto.gov/dirsearch-public/print/downloadPdf/20200380178","USPTO PDF")</f>
        <v>0.0</v>
      </c>
      <c r="K2347" s="2" t="n">
        <f>HYPERLINK("https://sectors.patentforecast.com/pmd/US20200380178","PMD")</f>
        <v>0.0</v>
      </c>
      <c r="L2347" s="2" t="n">
        <f>HYPERLINK("https://globaldossier.uspto.gov/result/application/US/16935857/1","US20200380178")</f>
        <v>0.0</v>
      </c>
      <c r="M2347" t="s">
        <v>16031</v>
      </c>
      <c r="N2347" t="s">
        <v>14944</v>
      </c>
      <c r="O2347" t="s">
        <v>14945</v>
      </c>
      <c r="P2347" t="s">
        <v>14946</v>
      </c>
      <c r="Q2347" s="3" t="n">
        <v>44034.0</v>
      </c>
      <c r="R2347" s="3" t="n">
        <v>44168.0</v>
      </c>
      <c r="S2347" s="3" t="n">
        <v>44168.18787810185</v>
      </c>
      <c r="T2347" s="3" t="n">
        <v>44168.44132953704</v>
      </c>
      <c r="U2347" t="s">
        <v>16032</v>
      </c>
      <c r="V2347" t="s">
        <v>16033</v>
      </c>
    </row>
    <row r="2348">
      <c r="A2348" t="s">
        <v>22</v>
      </c>
      <c r="B2348" t="s">
        <v>16034</v>
      </c>
      <c r="C2348" t="s">
        <v>24</v>
      </c>
      <c r="D2348" t="s">
        <v>34</v>
      </c>
      <c r="E2348" t="s">
        <v>16035</v>
      </c>
      <c r="F2348" s="2" t="n">
        <f>HYPERLINK("https://patents.google.com/patent/US20200377617","Google")</f>
        <v>0.0</v>
      </c>
      <c r="G2348" s="2" t="n">
        <f>HYPERLINK("https://patentcenter.uspto.gov/applications/16886037","Patent Center")</f>
        <v>0.0</v>
      </c>
      <c r="H2348" s="2" t="n">
        <f>HYPERLINK("https://worldwide.espacenet.com/patent/search?q=US20200377617","Espacenet")</f>
        <v>0.0</v>
      </c>
      <c r="I2348" s="2" t="n">
        <f>HYPERLINK("https://ppubs.uspto.gov/pubwebapp/external.html?q=20200377617.pn.","USPTO")</f>
        <v>0.0</v>
      </c>
      <c r="J2348" s="2" t="n">
        <f>HYPERLINK("https://image-ppubs.uspto.gov/dirsearch-public/print/downloadPdf/20200377617","USPTO PDF")</f>
        <v>0.0</v>
      </c>
      <c r="K2348" s="2" t="n">
        <f>HYPERLINK("https://sectors.patentforecast.com/pmd/US20200377617","PMD")</f>
        <v>0.0</v>
      </c>
      <c r="L2348" s="2" t="n">
        <f>HYPERLINK("https://globaldossier.uspto.gov/result/application/US/16886037/1","US20200377617")</f>
        <v>0.0</v>
      </c>
      <c r="M2348" t="s">
        <v>16036</v>
      </c>
      <c r="N2348" t="s">
        <v>3270</v>
      </c>
      <c r="O2348" t="s">
        <v>3271</v>
      </c>
      <c r="P2348" t="s">
        <v>16037</v>
      </c>
      <c r="Q2348" s="3" t="n">
        <v>43979.0</v>
      </c>
      <c r="R2348" s="3" t="n">
        <v>44168.0</v>
      </c>
      <c r="S2348" s="3" t="n">
        <v>44168.18787810185</v>
      </c>
      <c r="T2348" s="3" t="n">
        <v>44168.42600032407</v>
      </c>
      <c r="U2348" t="s">
        <v>16038</v>
      </c>
      <c r="V2348" t="s">
        <v>16039</v>
      </c>
    </row>
    <row r="2349">
      <c r="A2349" t="s">
        <v>22</v>
      </c>
      <c r="B2349" t="s">
        <v>16040</v>
      </c>
      <c r="C2349" t="s">
        <v>24</v>
      </c>
      <c r="D2349" t="s">
        <v>34</v>
      </c>
      <c r="E2349" t="s">
        <v>16041</v>
      </c>
      <c r="F2349" s="2" t="n">
        <f>HYPERLINK("https://patents.google.com/patent/US20200376494","Google")</f>
        <v>0.0</v>
      </c>
      <c r="G2349" s="2" t="n">
        <f>HYPERLINK("https://patentcenter.uspto.gov/applications/16899810","Patent Center")</f>
        <v>0.0</v>
      </c>
      <c r="H2349" s="2" t="n">
        <f>HYPERLINK("https://worldwide.espacenet.com/patent/search?q=US20200376494","Espacenet")</f>
        <v>0.0</v>
      </c>
      <c r="I2349" s="2" t="n">
        <f>HYPERLINK("https://ppubs.uspto.gov/pubwebapp/external.html?q=20200376494.pn.","USPTO")</f>
        <v>0.0</v>
      </c>
      <c r="J2349" s="2" t="n">
        <f>HYPERLINK("https://image-ppubs.uspto.gov/dirsearch-public/print/downloadPdf/20200376494","USPTO PDF")</f>
        <v>0.0</v>
      </c>
      <c r="K2349" s="2" t="n">
        <f>HYPERLINK("https://sectors.patentforecast.com/pmd/US20200376494","PMD")</f>
        <v>0.0</v>
      </c>
      <c r="L2349" s="2" t="n">
        <f>HYPERLINK("https://globaldossier.uspto.gov/result/application/US/16899810/1","US20200376494")</f>
        <v>0.0</v>
      </c>
      <c r="M2349" t="s">
        <v>16042</v>
      </c>
      <c r="N2349" t="s">
        <v>4728</v>
      </c>
      <c r="O2349" t="s">
        <v>4729</v>
      </c>
      <c r="P2349" t="s">
        <v>16043</v>
      </c>
      <c r="Q2349" s="3" t="n">
        <v>43994.0</v>
      </c>
      <c r="R2349" s="3" t="n">
        <v>44168.0</v>
      </c>
      <c r="S2349" s="3" t="n">
        <v>44370.45832509259</v>
      </c>
      <c r="T2349" s="3" t="n">
        <v>44372.38111516204</v>
      </c>
      <c r="U2349" t="s">
        <v>16044</v>
      </c>
      <c r="V2349" t="s">
        <v>16045</v>
      </c>
    </row>
    <row r="2350">
      <c r="A2350" t="s">
        <v>22</v>
      </c>
      <c r="B2350" t="s">
        <v>16046</v>
      </c>
      <c r="C2350" t="s">
        <v>24</v>
      </c>
      <c r="D2350" t="s">
        <v>69</v>
      </c>
      <c r="E2350" t="s">
        <v>7890</v>
      </c>
      <c r="F2350" s="2" t="n">
        <f>HYPERLINK("https://patents.google.com/patent/US20200376305","Google")</f>
        <v>0.0</v>
      </c>
      <c r="G2350" s="2" t="n">
        <f>HYPERLINK("https://patentcenter.uspto.gov/applications/16933935","Patent Center")</f>
        <v>0.0</v>
      </c>
      <c r="H2350" s="2" t="n">
        <f>HYPERLINK("https://worldwide.espacenet.com/patent/search?q=US20200376305","Espacenet")</f>
        <v>0.0</v>
      </c>
      <c r="I2350" s="2" t="n">
        <f>HYPERLINK("https://ppubs.uspto.gov/pubwebapp/external.html?q=20200376305.pn.","USPTO")</f>
        <v>0.0</v>
      </c>
      <c r="J2350" s="2" t="n">
        <f>HYPERLINK("https://image-ppubs.uspto.gov/dirsearch-public/print/downloadPdf/20200376305","USPTO PDF")</f>
        <v>0.0</v>
      </c>
      <c r="K2350" s="2" t="n">
        <f>HYPERLINK("https://sectors.patentforecast.com/pmd/US20200376305","PMD")</f>
        <v>0.0</v>
      </c>
      <c r="L2350" s="2" t="n">
        <f>HYPERLINK("https://globaldossier.uspto.gov/result/application/US/16933935/1","US20200376305")</f>
        <v>0.0</v>
      </c>
      <c r="M2350" t="s">
        <v>16047</v>
      </c>
      <c r="N2350" t="s">
        <v>7892</v>
      </c>
      <c r="O2350" t="s">
        <v>7892</v>
      </c>
      <c r="P2350" t="s">
        <v>16048</v>
      </c>
      <c r="Q2350" s="3" t="n">
        <v>44032.0</v>
      </c>
      <c r="R2350" s="3" t="n">
        <v>44168.0</v>
      </c>
      <c r="S2350" s="3" t="n">
        <v>44168.18787810185</v>
      </c>
      <c r="T2350" s="3" t="n">
        <v>44168.44159630787</v>
      </c>
      <c r="U2350" t="s">
        <v>16049</v>
      </c>
      <c r="V2350" t="s">
        <v>7895</v>
      </c>
    </row>
    <row r="2351">
      <c r="A2351" t="s">
        <v>22</v>
      </c>
      <c r="B2351" t="s">
        <v>16050</v>
      </c>
      <c r="C2351" t="s">
        <v>60</v>
      </c>
      <c r="D2351" t="s">
        <v>715</v>
      </c>
      <c r="E2351" t="s">
        <v>16051</v>
      </c>
      <c r="F2351" s="2" t="n">
        <f>HYPERLINK("https://patents.google.com/patent/US20200376213","Google")</f>
        <v>0.0</v>
      </c>
      <c r="G2351" s="2" t="n">
        <f>HYPERLINK("https://patentcenter.uspto.gov/applications/17001450","Patent Center")</f>
        <v>0.0</v>
      </c>
      <c r="H2351" s="2" t="n">
        <f>HYPERLINK("https://worldwide.espacenet.com/patent/search?q=US20200376213","Espacenet")</f>
        <v>0.0</v>
      </c>
      <c r="I2351" s="2" t="n">
        <f>HYPERLINK("https://ppubs.uspto.gov/pubwebapp/external.html?q=20200376213.pn.","USPTO")</f>
        <v>0.0</v>
      </c>
      <c r="J2351" s="2" t="n">
        <f>HYPERLINK("https://image-ppubs.uspto.gov/dirsearch-public/print/downloadPdf/20200376213","USPTO PDF")</f>
        <v>0.0</v>
      </c>
      <c r="K2351" s="2" t="n">
        <f>HYPERLINK("https://sectors.patentforecast.com/pmd/US20200376213","PMD")</f>
        <v>0.0</v>
      </c>
      <c r="L2351" s="2" t="n">
        <f>HYPERLINK("https://globaldossier.uspto.gov/result/application/US/17001450/1","US20200376213")</f>
        <v>0.0</v>
      </c>
      <c r="M2351" t="s">
        <v>16052</v>
      </c>
      <c r="N2351" t="s">
        <v>16053</v>
      </c>
      <c r="O2351" t="s">
        <v>16054</v>
      </c>
      <c r="P2351" t="s">
        <v>16055</v>
      </c>
      <c r="Q2351" s="3" t="n">
        <v>44067.0</v>
      </c>
      <c r="R2351" s="3" t="n">
        <v>44168.0</v>
      </c>
      <c r="S2351" s="3" t="n">
        <v>44168.18787810185</v>
      </c>
      <c r="T2351" s="3" t="n">
        <v>44168.426993217596</v>
      </c>
      <c r="U2351" t="s">
        <v>16056</v>
      </c>
      <c r="V2351" t="s">
        <v>16057</v>
      </c>
    </row>
    <row r="2352">
      <c r="A2352" t="s">
        <v>22</v>
      </c>
      <c r="B2352" t="s">
        <v>16058</v>
      </c>
      <c r="C2352" t="s">
        <v>60</v>
      </c>
      <c r="D2352" t="s">
        <v>61</v>
      </c>
      <c r="E2352" t="s">
        <v>16059</v>
      </c>
      <c r="F2352" s="2" t="n">
        <f>HYPERLINK("https://patents.google.com/patent/US20200376094","Google")</f>
        <v>0.0</v>
      </c>
      <c r="G2352" s="2" t="n">
        <f>HYPERLINK("https://patentcenter.uspto.gov/applications/16885537","Patent Center")</f>
        <v>0.0</v>
      </c>
      <c r="H2352" s="2" t="n">
        <f>HYPERLINK("https://worldwide.espacenet.com/patent/search?q=US20200376094","Espacenet")</f>
        <v>0.0</v>
      </c>
      <c r="I2352" s="2" t="n">
        <f>HYPERLINK("https://ppubs.uspto.gov/pubwebapp/external.html?q=20200376094.pn.","USPTO")</f>
        <v>0.0</v>
      </c>
      <c r="J2352" s="2" t="n">
        <f>HYPERLINK("https://image-ppubs.uspto.gov/dirsearch-public/print/downloadPdf/20200376094","USPTO PDF")</f>
        <v>0.0</v>
      </c>
      <c r="K2352" s="2" t="n">
        <f>HYPERLINK("https://sectors.patentforecast.com/pmd/US20200376094","PMD")</f>
        <v>0.0</v>
      </c>
      <c r="L2352" s="2" t="n">
        <f>HYPERLINK("https://globaldossier.uspto.gov/result/application/US/16885537/1","US20200376094")</f>
        <v>0.0</v>
      </c>
      <c r="M2352" t="s">
        <v>16060</v>
      </c>
      <c r="N2352" t="s">
        <v>16061</v>
      </c>
      <c r="O2352" t="s">
        <v>16062</v>
      </c>
      <c r="P2352" t="s">
        <v>16063</v>
      </c>
      <c r="Q2352" s="3" t="n">
        <v>43979.0</v>
      </c>
      <c r="R2352" s="3" t="n">
        <v>44168.0</v>
      </c>
      <c r="S2352" s="3" t="n">
        <v>44168.18787810185</v>
      </c>
      <c r="T2352" s="3" t="n">
        <v>44168.4406590162</v>
      </c>
      <c r="U2352" t="s">
        <v>16064</v>
      </c>
      <c r="V2352" t="s">
        <v>16065</v>
      </c>
    </row>
    <row r="2353">
      <c r="A2353" t="s">
        <v>22</v>
      </c>
      <c r="B2353" t="s">
        <v>16066</v>
      </c>
      <c r="C2353" t="s">
        <v>60</v>
      </c>
      <c r="D2353" t="s">
        <v>61</v>
      </c>
      <c r="E2353" t="s">
        <v>16067</v>
      </c>
      <c r="F2353" s="2" t="n">
        <f>HYPERLINK("https://patents.google.com/patent/US20200376014","Google")</f>
        <v>0.0</v>
      </c>
      <c r="G2353" s="2" t="n">
        <f>HYPERLINK("https://patentcenter.uspto.gov/applications/16852102","Patent Center")</f>
        <v>0.0</v>
      </c>
      <c r="H2353" s="2" t="n">
        <f>HYPERLINK("https://worldwide.espacenet.com/patent/search?q=US20200376014","Espacenet")</f>
        <v>0.0</v>
      </c>
      <c r="I2353" s="2" t="n">
        <f>HYPERLINK("https://ppubs.uspto.gov/pubwebapp/external.html?q=20200376014.pn.","USPTO")</f>
        <v>0.0</v>
      </c>
      <c r="J2353" s="2" t="n">
        <f>HYPERLINK("https://image-ppubs.uspto.gov/dirsearch-public/print/downloadPdf/20200376014","USPTO PDF")</f>
        <v>0.0</v>
      </c>
      <c r="K2353" s="2" t="n">
        <f>HYPERLINK("https://sectors.patentforecast.com/pmd/US20200376014","PMD")</f>
        <v>0.0</v>
      </c>
      <c r="L2353" s="2" t="n">
        <f>HYPERLINK("https://globaldossier.uspto.gov/result/application/US/16852102/1","US20200376014")</f>
        <v>0.0</v>
      </c>
      <c r="M2353" t="s">
        <v>16068</v>
      </c>
      <c r="N2353" t="s">
        <v>2354</v>
      </c>
      <c r="O2353" t="s">
        <v>2355</v>
      </c>
      <c r="P2353" t="s">
        <v>16069</v>
      </c>
      <c r="Q2353" s="3" t="n">
        <v>43938.0</v>
      </c>
      <c r="R2353" s="3" t="n">
        <v>44168.0</v>
      </c>
      <c r="S2353" s="3" t="n">
        <v>44168.188338900465</v>
      </c>
      <c r="T2353" s="3" t="n">
        <v>44168.42672299768</v>
      </c>
      <c r="U2353" t="s">
        <v>16070</v>
      </c>
      <c r="V2353" t="s">
        <v>16071</v>
      </c>
    </row>
    <row r="2354">
      <c r="A2354" t="s">
        <v>22</v>
      </c>
      <c r="B2354" t="s">
        <v>16072</v>
      </c>
      <c r="C2354" t="s">
        <v>24</v>
      </c>
      <c r="D2354" t="s">
        <v>3193</v>
      </c>
      <c r="E2354" t="s">
        <v>16073</v>
      </c>
      <c r="F2354" s="2" t="n">
        <f>HYPERLINK("https://patents.google.com/patent/US20200373018","Google")</f>
        <v>0.0</v>
      </c>
      <c r="G2354" s="2" t="n">
        <f>HYPERLINK("https://patentcenter.uspto.gov/applications/16895449","Patent Center")</f>
        <v>0.0</v>
      </c>
      <c r="H2354" s="2" t="n">
        <f>HYPERLINK("https://worldwide.espacenet.com/patent/search?q=US20200373018","Espacenet")</f>
        <v>0.0</v>
      </c>
      <c r="I2354" s="2" t="n">
        <f>HYPERLINK("https://ppubs.uspto.gov/pubwebapp/external.html?q=20200373018.pn.","USPTO")</f>
        <v>0.0</v>
      </c>
      <c r="J2354" s="2" t="n">
        <f>HYPERLINK("https://image-ppubs.uspto.gov/dirsearch-public/print/downloadPdf/20200373018","USPTO PDF")</f>
        <v>0.0</v>
      </c>
      <c r="K2354" s="2" t="n">
        <f>HYPERLINK("https://sectors.patentforecast.com/pmd/US20200373018","PMD")</f>
        <v>0.0</v>
      </c>
      <c r="L2354" s="2" t="n">
        <f>HYPERLINK("https://globaldossier.uspto.gov/result/application/US/16895449/1","US20200373018")</f>
        <v>0.0</v>
      </c>
      <c r="M2354" t="s">
        <v>16074</v>
      </c>
      <c r="N2354" t="s">
        <v>16075</v>
      </c>
      <c r="O2354" t="s">
        <v>16076</v>
      </c>
      <c r="P2354" t="s">
        <v>16077</v>
      </c>
      <c r="Q2354" s="3" t="n">
        <v>43990.0</v>
      </c>
      <c r="R2354" s="3" t="n">
        <v>44161.0</v>
      </c>
      <c r="S2354" s="3" t="n">
        <v>44161.187937650466</v>
      </c>
      <c r="T2354" s="3" t="n">
        <v>44165.39001578704</v>
      </c>
      <c r="U2354" t="s">
        <v>16078</v>
      </c>
      <c r="V2354" t="s">
        <v>16079</v>
      </c>
    </row>
    <row r="2355">
      <c r="A2355" t="s">
        <v>22</v>
      </c>
      <c r="B2355" t="s">
        <v>16080</v>
      </c>
      <c r="C2355" t="s">
        <v>24</v>
      </c>
      <c r="D2355" t="s">
        <v>69</v>
      </c>
      <c r="E2355" t="s">
        <v>16081</v>
      </c>
      <c r="F2355" s="2" t="n">
        <f>HYPERLINK("https://patents.google.com/patent/US20200372743","Google")</f>
        <v>0.0</v>
      </c>
      <c r="G2355" s="2" t="n">
        <f>HYPERLINK("https://patentcenter.uspto.gov/applications/16879097","Patent Center")</f>
        <v>0.0</v>
      </c>
      <c r="H2355" s="2" t="n">
        <f>HYPERLINK("https://worldwide.espacenet.com/patent/search?q=US20200372743","Espacenet")</f>
        <v>0.0</v>
      </c>
      <c r="I2355" s="2" t="n">
        <f>HYPERLINK("https://ppubs.uspto.gov/pubwebapp/external.html?q=20200372743.pn.","USPTO")</f>
        <v>0.0</v>
      </c>
      <c r="J2355" s="2" t="n">
        <f>HYPERLINK("https://image-ppubs.uspto.gov/dirsearch-public/print/downloadPdf/20200372743","USPTO PDF")</f>
        <v>0.0</v>
      </c>
      <c r="K2355" s="2" t="n">
        <f>HYPERLINK("https://sectors.patentforecast.com/pmd/US20200372743","PMD")</f>
        <v>0.0</v>
      </c>
      <c r="L2355" s="2" t="n">
        <f>HYPERLINK("https://globaldossier.uspto.gov/result/application/US/16879097/1","US20200372743")</f>
        <v>0.0</v>
      </c>
      <c r="M2355" t="s">
        <v>16082</v>
      </c>
      <c r="N2355" t="s">
        <v>16083</v>
      </c>
      <c r="O2355" t="s">
        <v>16084</v>
      </c>
      <c r="P2355" t="s">
        <v>16085</v>
      </c>
      <c r="Q2355" s="3" t="n">
        <v>43971.0</v>
      </c>
      <c r="R2355" s="3" t="n">
        <v>44161.0</v>
      </c>
      <c r="S2355" s="3" t="n">
        <v>44161.187937650466</v>
      </c>
      <c r="T2355" s="3" t="n">
        <v>44165.38937412037</v>
      </c>
      <c r="U2355" t="s">
        <v>16086</v>
      </c>
      <c r="V2355" t="s">
        <v>16087</v>
      </c>
    </row>
    <row r="2356">
      <c r="A2356" t="s">
        <v>22</v>
      </c>
      <c r="B2356" t="s">
        <v>16088</v>
      </c>
      <c r="C2356" t="s">
        <v>24</v>
      </c>
      <c r="D2356" t="s">
        <v>34</v>
      </c>
      <c r="E2356" t="s">
        <v>16089</v>
      </c>
      <c r="F2356" s="2" t="n">
        <f>HYPERLINK("https://patents.google.com/patent/US20200370037","Google")</f>
        <v>0.0</v>
      </c>
      <c r="G2356" s="2" t="n">
        <f>HYPERLINK("https://patentcenter.uspto.gov/applications/16898865","Patent Center")</f>
        <v>0.0</v>
      </c>
      <c r="H2356" s="2" t="n">
        <f>HYPERLINK("https://worldwide.espacenet.com/patent/search?q=US20200370037","Espacenet")</f>
        <v>0.0</v>
      </c>
      <c r="I2356" s="2" t="n">
        <f>HYPERLINK("https://ppubs.uspto.gov/pubwebapp/external.html?q=20200370037.pn.","USPTO")</f>
        <v>0.0</v>
      </c>
      <c r="J2356" s="2" t="n">
        <f>HYPERLINK("https://image-ppubs.uspto.gov/dirsearch-public/print/downloadPdf/20200370037","USPTO PDF")</f>
        <v>0.0</v>
      </c>
      <c r="K2356" s="2" t="n">
        <f>HYPERLINK("https://sectors.patentforecast.com/pmd/US20200370037","PMD")</f>
        <v>0.0</v>
      </c>
      <c r="L2356" s="2" t="n">
        <f>HYPERLINK("https://globaldossier.uspto.gov/result/application/US/16898865/1","US20200370037")</f>
        <v>0.0</v>
      </c>
      <c r="M2356" t="s">
        <v>16090</v>
      </c>
      <c r="N2356" t="s">
        <v>4728</v>
      </c>
      <c r="O2356" t="s">
        <v>4729</v>
      </c>
      <c r="P2356" t="s">
        <v>16091</v>
      </c>
      <c r="Q2356" s="3" t="n">
        <v>43993.0</v>
      </c>
      <c r="R2356" s="3" t="n">
        <v>44161.0</v>
      </c>
      <c r="S2356" s="3" t="n">
        <v>44370.45832509259</v>
      </c>
      <c r="T2356" s="3" t="n">
        <v>44372.38111516204</v>
      </c>
      <c r="U2356" t="s">
        <v>16092</v>
      </c>
      <c r="V2356" t="s">
        <v>16093</v>
      </c>
    </row>
    <row r="2357">
      <c r="A2357" t="s">
        <v>22</v>
      </c>
      <c r="B2357" t="s">
        <v>16094</v>
      </c>
      <c r="C2357" t="s">
        <v>24</v>
      </c>
      <c r="D2357" t="s">
        <v>100</v>
      </c>
      <c r="E2357" t="s">
        <v>16095</v>
      </c>
      <c r="F2357" s="2" t="n">
        <f>HYPERLINK("https://patents.google.com/patent/US20200369538","Google")</f>
        <v>0.0</v>
      </c>
      <c r="G2357" s="2" t="n">
        <f>HYPERLINK("https://patentcenter.uspto.gov/applications/16880941","Patent Center")</f>
        <v>0.0</v>
      </c>
      <c r="H2357" s="2" t="n">
        <f>HYPERLINK("https://worldwide.espacenet.com/patent/search?q=US20200369538","Espacenet")</f>
        <v>0.0</v>
      </c>
      <c r="I2357" s="2" t="n">
        <f>HYPERLINK("https://ppubs.uspto.gov/pubwebapp/external.html?q=20200369538.pn.","USPTO")</f>
        <v>0.0</v>
      </c>
      <c r="J2357" s="2" t="n">
        <f>HYPERLINK("https://image-ppubs.uspto.gov/dirsearch-public/print/downloadPdf/20200369538","USPTO PDF")</f>
        <v>0.0</v>
      </c>
      <c r="K2357" s="2" t="n">
        <f>HYPERLINK("https://sectors.patentforecast.com/pmd/US20200369538","PMD")</f>
        <v>0.0</v>
      </c>
      <c r="L2357" s="2" t="n">
        <f>HYPERLINK("https://globaldossier.uspto.gov/result/application/US/16880941/1","US20200369538")</f>
        <v>0.0</v>
      </c>
      <c r="M2357" t="s">
        <v>16096</v>
      </c>
      <c r="N2357" t="s">
        <v>16097</v>
      </c>
      <c r="O2357" t="s">
        <v>16098</v>
      </c>
      <c r="P2357" t="s">
        <v>16099</v>
      </c>
      <c r="Q2357" s="3" t="n">
        <v>43972.0</v>
      </c>
      <c r="R2357" s="3" t="n">
        <v>44161.0</v>
      </c>
      <c r="S2357" s="3" t="n">
        <v>44161.187937650466</v>
      </c>
      <c r="T2357" s="3" t="n">
        <v>44165.38853646991</v>
      </c>
      <c r="U2357" t="s">
        <v>16100</v>
      </c>
      <c r="V2357" t="s">
        <v>16101</v>
      </c>
    </row>
    <row r="2358">
      <c r="A2358" t="s">
        <v>22</v>
      </c>
      <c r="B2358" t="s">
        <v>16102</v>
      </c>
      <c r="C2358" t="s">
        <v>60</v>
      </c>
      <c r="D2358" t="s">
        <v>4942</v>
      </c>
      <c r="E2358" t="s">
        <v>16103</v>
      </c>
      <c r="F2358" s="2" t="n">
        <f>HYPERLINK("https://patents.google.com/patent/US20200368194","Google")</f>
        <v>0.0</v>
      </c>
      <c r="G2358" s="2" t="n">
        <f>HYPERLINK("https://patentcenter.uspto.gov/applications/16987507","Patent Center")</f>
        <v>0.0</v>
      </c>
      <c r="H2358" s="2" t="n">
        <f>HYPERLINK("https://worldwide.espacenet.com/patent/search?q=US20200368194","Espacenet")</f>
        <v>0.0</v>
      </c>
      <c r="I2358" s="2" t="n">
        <f>HYPERLINK("https://ppubs.uspto.gov/pubwebapp/external.html?q=20200368194.pn.","USPTO")</f>
        <v>0.0</v>
      </c>
      <c r="J2358" s="2" t="n">
        <f>HYPERLINK("https://image-ppubs.uspto.gov/dirsearch-public/print/downloadPdf/20200368194","USPTO PDF")</f>
        <v>0.0</v>
      </c>
      <c r="K2358" s="2" t="n">
        <f>HYPERLINK("https://sectors.patentforecast.com/pmd/US20200368194","PMD")</f>
        <v>0.0</v>
      </c>
      <c r="L2358" s="2" t="n">
        <f>HYPERLINK("https://globaldossier.uspto.gov/result/application/US/16987507/1","US20200368194")</f>
        <v>0.0</v>
      </c>
      <c r="M2358" t="s">
        <v>16104</v>
      </c>
      <c r="N2358" t="s">
        <v>16105</v>
      </c>
      <c r="O2358" t="s">
        <v>16106</v>
      </c>
      <c r="P2358" t="s">
        <v>16107</v>
      </c>
      <c r="Q2358" s="3" t="n">
        <v>44050.0</v>
      </c>
      <c r="R2358" s="3" t="n">
        <v>44161.0</v>
      </c>
      <c r="S2358" s="3" t="n">
        <v>44161.19163984954</v>
      </c>
      <c r="T2358" s="3" t="n">
        <v>44643.40105256945</v>
      </c>
      <c r="U2358" t="s">
        <v>16108</v>
      </c>
      <c r="V2358" t="s">
        <v>16109</v>
      </c>
    </row>
    <row r="2359">
      <c r="A2359" t="s">
        <v>22</v>
      </c>
      <c r="B2359" t="s">
        <v>16110</v>
      </c>
      <c r="C2359" t="s">
        <v>24</v>
      </c>
      <c r="D2359" t="s">
        <v>34</v>
      </c>
      <c r="E2359" t="s">
        <v>16111</v>
      </c>
      <c r="F2359" s="2" t="n">
        <f>HYPERLINK("https://patents.google.com/patent/US20200367761","Google")</f>
        <v>0.0</v>
      </c>
      <c r="G2359" s="2" t="n">
        <f>HYPERLINK("https://patentcenter.uspto.gov/applications/16985113","Patent Center")</f>
        <v>0.0</v>
      </c>
      <c r="H2359" s="2" t="n">
        <f>HYPERLINK("https://worldwide.espacenet.com/patent/search?q=US20200367761","Espacenet")</f>
        <v>0.0</v>
      </c>
      <c r="I2359" s="2" t="n">
        <f>HYPERLINK("https://ppubs.uspto.gov/pubwebapp/external.html?q=20200367761.pn.","USPTO")</f>
        <v>0.0</v>
      </c>
      <c r="J2359" s="2" t="n">
        <f>HYPERLINK("https://image-ppubs.uspto.gov/dirsearch-public/print/downloadPdf/20200367761","USPTO PDF")</f>
        <v>0.0</v>
      </c>
      <c r="K2359" s="2" t="n">
        <f>HYPERLINK("https://sectors.patentforecast.com/pmd/US20200367761","PMD")</f>
        <v>0.0</v>
      </c>
      <c r="L2359" s="2" t="n">
        <f>HYPERLINK("https://globaldossier.uspto.gov/result/application/US/16985113/1","US20200367761")</f>
        <v>0.0</v>
      </c>
      <c r="M2359" t="s">
        <v>16112</v>
      </c>
      <c r="N2359" t="s">
        <v>2354</v>
      </c>
      <c r="O2359" t="s">
        <v>2355</v>
      </c>
      <c r="P2359" t="s">
        <v>16113</v>
      </c>
      <c r="Q2359" s="3" t="n">
        <v>44047.0</v>
      </c>
      <c r="R2359" s="3" t="n">
        <v>44161.0</v>
      </c>
      <c r="S2359" s="3" t="n">
        <v>44161.187937650466</v>
      </c>
      <c r="T2359" s="3" t="n">
        <v>44165.390528194446</v>
      </c>
      <c r="U2359" t="s">
        <v>16114</v>
      </c>
      <c r="V2359" t="s">
        <v>16115</v>
      </c>
    </row>
    <row r="2360">
      <c r="A2360" t="s">
        <v>22</v>
      </c>
      <c r="B2360" t="s">
        <v>16116</v>
      </c>
      <c r="C2360" t="s">
        <v>24</v>
      </c>
      <c r="D2360" t="s">
        <v>100</v>
      </c>
      <c r="E2360" t="s">
        <v>16117</v>
      </c>
      <c r="F2360" s="2" t="n">
        <f>HYPERLINK("https://patents.google.com/patent/US20200367334","Google")</f>
        <v>0.0</v>
      </c>
      <c r="G2360" s="2" t="n">
        <f>HYPERLINK("https://patentcenter.uspto.gov/applications/16875861","Patent Center")</f>
        <v>0.0</v>
      </c>
      <c r="H2360" s="2" t="n">
        <f>HYPERLINK("https://worldwide.espacenet.com/patent/search?q=US20200367334","Espacenet")</f>
        <v>0.0</v>
      </c>
      <c r="I2360" s="2" t="n">
        <f>HYPERLINK("https://ppubs.uspto.gov/pubwebapp/external.html?q=20200367334.pn.","USPTO")</f>
        <v>0.0</v>
      </c>
      <c r="J2360" s="2" t="n">
        <f>HYPERLINK("https://image-ppubs.uspto.gov/dirsearch-public/print/downloadPdf/20200367334","USPTO PDF")</f>
        <v>0.0</v>
      </c>
      <c r="K2360" s="2" t="n">
        <f>HYPERLINK("https://sectors.patentforecast.com/pmd/US20200367334","PMD")</f>
        <v>0.0</v>
      </c>
      <c r="L2360" s="2" t="n">
        <f>HYPERLINK("https://globaldossier.uspto.gov/result/application/US/16875861/1","US20200367334")</f>
        <v>0.0</v>
      </c>
      <c r="M2360" t="s">
        <v>16118</v>
      </c>
      <c r="N2360" t="s">
        <v>16119</v>
      </c>
      <c r="O2360" t="s">
        <v>16120</v>
      </c>
      <c r="P2360" t="s">
        <v>16121</v>
      </c>
      <c r="Q2360" s="3" t="n">
        <v>43966.0</v>
      </c>
      <c r="R2360" s="3" t="n">
        <v>44154.0</v>
      </c>
      <c r="S2360" s="3" t="n">
        <v>44154.18786856481</v>
      </c>
      <c r="T2360" s="3" t="n">
        <v>44154.503088275465</v>
      </c>
      <c r="U2360" t="s">
        <v>16122</v>
      </c>
      <c r="V2360" t="s">
        <v>16123</v>
      </c>
    </row>
    <row r="2361">
      <c r="A2361" t="s">
        <v>22</v>
      </c>
      <c r="B2361" t="s">
        <v>16124</v>
      </c>
      <c r="C2361" t="s">
        <v>24</v>
      </c>
      <c r="D2361" t="s">
        <v>1356</v>
      </c>
      <c r="E2361" t="s">
        <v>16125</v>
      </c>
      <c r="F2361" s="2" t="n">
        <f>HYPERLINK("https://patents.google.com/patent/US20200365002","Google")</f>
        <v>0.0</v>
      </c>
      <c r="G2361" s="2" t="n">
        <f>HYPERLINK("https://patentcenter.uspto.gov/applications/16945893","Patent Center")</f>
        <v>0.0</v>
      </c>
      <c r="H2361" s="2" t="n">
        <f>HYPERLINK("https://worldwide.espacenet.com/patent/search?q=US20200365002","Espacenet")</f>
        <v>0.0</v>
      </c>
      <c r="I2361" s="2" t="n">
        <f>HYPERLINK("https://ppubs.uspto.gov/pubwebapp/external.html?q=20200365002.pn.","USPTO")</f>
        <v>0.0</v>
      </c>
      <c r="J2361" s="2" t="n">
        <f>HYPERLINK("https://image-ppubs.uspto.gov/dirsearch-public/print/downloadPdf/20200365002","USPTO PDF")</f>
        <v>0.0</v>
      </c>
      <c r="K2361" s="2" t="n">
        <f>HYPERLINK("https://sectors.patentforecast.com/pmd/US20200365002","PMD")</f>
        <v>0.0</v>
      </c>
      <c r="L2361" s="2" t="n">
        <f>HYPERLINK("https://globaldossier.uspto.gov/result/application/US/16945893/1","US20200365002")</f>
        <v>0.0</v>
      </c>
      <c r="M2361" t="s">
        <v>16126</v>
      </c>
      <c r="N2361" t="s">
        <v>16127</v>
      </c>
      <c r="O2361" t="s">
        <v>16128</v>
      </c>
      <c r="P2361" t="s">
        <v>16129</v>
      </c>
      <c r="Q2361" s="3" t="n">
        <v>44045.0</v>
      </c>
      <c r="R2361" s="3" t="n">
        <v>44154.0</v>
      </c>
      <c r="S2361" s="3" t="n">
        <v>44154.18786856481</v>
      </c>
      <c r="T2361" s="3" t="n">
        <v>44154.50253439815</v>
      </c>
      <c r="U2361" t="s">
        <v>16130</v>
      </c>
      <c r="V2361" t="s">
        <v>16131</v>
      </c>
    </row>
    <row r="2362">
      <c r="A2362" t="s">
        <v>22</v>
      </c>
      <c r="B2362" t="s">
        <v>16132</v>
      </c>
      <c r="C2362" t="s">
        <v>60</v>
      </c>
      <c r="D2362" t="s">
        <v>61</v>
      </c>
      <c r="E2362" t="s">
        <v>16133</v>
      </c>
      <c r="F2362" s="2" t="n">
        <f>HYPERLINK("https://patents.google.com/patent/US20200362052","Google")</f>
        <v>0.0</v>
      </c>
      <c r="G2362" s="2" t="n">
        <f>HYPERLINK("https://patentcenter.uspto.gov/applications/16986063","Patent Center")</f>
        <v>0.0</v>
      </c>
      <c r="H2362" s="2" t="n">
        <f>HYPERLINK("https://worldwide.espacenet.com/patent/search?q=US20200362052","Espacenet")</f>
        <v>0.0</v>
      </c>
      <c r="I2362" s="2" t="n">
        <f>HYPERLINK("https://ppubs.uspto.gov/pubwebapp/external.html?q=20200362052.pn.","USPTO")</f>
        <v>0.0</v>
      </c>
      <c r="J2362" s="2" t="n">
        <f>HYPERLINK("https://image-ppubs.uspto.gov/dirsearch-public/print/downloadPdf/20200362052","USPTO PDF")</f>
        <v>0.0</v>
      </c>
      <c r="K2362" s="2" t="n">
        <f>HYPERLINK("https://sectors.patentforecast.com/pmd/US20200362052","PMD")</f>
        <v>0.0</v>
      </c>
      <c r="L2362" s="2" t="n">
        <f>HYPERLINK("https://globaldossier.uspto.gov/result/application/US/16986063/1","US20200362052")</f>
        <v>0.0</v>
      </c>
      <c r="M2362" t="s">
        <v>16134</v>
      </c>
      <c r="N2362" t="s">
        <v>16135</v>
      </c>
      <c r="O2362" t="s">
        <v>16136</v>
      </c>
      <c r="P2362" t="s">
        <v>16137</v>
      </c>
      <c r="Q2362" s="3" t="n">
        <v>44048.0</v>
      </c>
      <c r="R2362" s="3" t="n">
        <v>44154.0</v>
      </c>
      <c r="S2362" s="3" t="n">
        <v>44154.18786856481</v>
      </c>
      <c r="T2362" s="3" t="n">
        <v>44154.50355905093</v>
      </c>
      <c r="U2362" t="s">
        <v>16138</v>
      </c>
      <c r="V2362" t="s">
        <v>16139</v>
      </c>
    </row>
    <row r="2363">
      <c r="A2363" t="s">
        <v>22</v>
      </c>
      <c r="B2363" t="s">
        <v>16140</v>
      </c>
      <c r="C2363" t="s">
        <v>60</v>
      </c>
      <c r="D2363" t="s">
        <v>77</v>
      </c>
      <c r="E2363" t="s">
        <v>15119</v>
      </c>
      <c r="F2363" s="2" t="n">
        <f>HYPERLINK("https://patents.google.com/patent/US20200362044","Google")</f>
        <v>0.0</v>
      </c>
      <c r="G2363" s="2" t="n">
        <f>HYPERLINK("https://patentcenter.uspto.gov/applications/16932636","Patent Center")</f>
        <v>0.0</v>
      </c>
      <c r="H2363" s="2" t="n">
        <f>HYPERLINK("https://worldwide.espacenet.com/patent/search?q=US20200362044","Espacenet")</f>
        <v>0.0</v>
      </c>
      <c r="I2363" s="2" t="n">
        <f>HYPERLINK("https://ppubs.uspto.gov/pubwebapp/external.html?q=20200362044.pn.","USPTO")</f>
        <v>0.0</v>
      </c>
      <c r="J2363" s="2" t="n">
        <f>HYPERLINK("https://image-ppubs.uspto.gov/dirsearch-public/print/downloadPdf/20200362044","USPTO PDF")</f>
        <v>0.0</v>
      </c>
      <c r="K2363" s="2" t="n">
        <f>HYPERLINK("https://sectors.patentforecast.com/pmd/US20200362044","PMD")</f>
        <v>0.0</v>
      </c>
      <c r="L2363" s="2" t="n">
        <f>HYPERLINK("https://globaldossier.uspto.gov/result/application/US/16932636/1","US20200362044")</f>
        <v>0.0</v>
      </c>
      <c r="M2363" t="s">
        <v>16141</v>
      </c>
      <c r="N2363" t="s">
        <v>9252</v>
      </c>
      <c r="O2363" t="s">
        <v>9253</v>
      </c>
      <c r="P2363" t="s">
        <v>15712</v>
      </c>
      <c r="Q2363" s="3" t="n">
        <v>44029.0</v>
      </c>
      <c r="R2363" s="3" t="n">
        <v>44154.0</v>
      </c>
      <c r="S2363" s="3" t="n">
        <v>44154.18786856481</v>
      </c>
      <c r="T2363" s="3" t="n">
        <v>44154.501308831015</v>
      </c>
      <c r="U2363" t="s">
        <v>16142</v>
      </c>
      <c r="V2363" t="s">
        <v>15123</v>
      </c>
    </row>
    <row r="2364">
      <c r="A2364" t="s">
        <v>22</v>
      </c>
      <c r="B2364" t="s">
        <v>16143</v>
      </c>
      <c r="C2364" t="s">
        <v>132</v>
      </c>
      <c r="D2364" t="s">
        <v>11423</v>
      </c>
      <c r="E2364" t="s">
        <v>16144</v>
      </c>
      <c r="F2364" s="2" t="n">
        <f>HYPERLINK("https://patents.google.com/patent/US20200360513","Google")</f>
        <v>0.0</v>
      </c>
      <c r="G2364" s="2" t="n">
        <f>HYPERLINK("https://patentcenter.uspto.gov/applications/16877185","Patent Center")</f>
        <v>0.0</v>
      </c>
      <c r="H2364" s="2" t="n">
        <f>HYPERLINK("https://worldwide.espacenet.com/patent/search?q=US20200360513","Espacenet")</f>
        <v>0.0</v>
      </c>
      <c r="I2364" s="2" t="n">
        <f>HYPERLINK("https://ppubs.uspto.gov/pubwebapp/external.html?q=20200360513.pn.","USPTO")</f>
        <v>0.0</v>
      </c>
      <c r="J2364" s="2" t="n">
        <f>HYPERLINK("https://image-ppubs.uspto.gov/dirsearch-public/print/downloadPdf/20200360513","USPTO PDF")</f>
        <v>0.0</v>
      </c>
      <c r="K2364" s="2" t="n">
        <f>HYPERLINK("https://sectors.patentforecast.com/pmd/US20200360513","PMD")</f>
        <v>0.0</v>
      </c>
      <c r="L2364" s="2" t="n">
        <f>HYPERLINK("https://globaldossier.uspto.gov/result/application/US/16877185/1","US20200360513")</f>
        <v>0.0</v>
      </c>
      <c r="M2364" t="s">
        <v>16145</v>
      </c>
      <c r="N2364" t="s">
        <v>16146</v>
      </c>
      <c r="O2364" t="s">
        <v>16147</v>
      </c>
      <c r="P2364" t="s">
        <v>16148</v>
      </c>
      <c r="Q2364" s="3" t="n">
        <v>43969.0</v>
      </c>
      <c r="R2364" s="3" t="n">
        <v>44154.0</v>
      </c>
      <c r="S2364" s="3" t="n">
        <v>44154.18786856481</v>
      </c>
      <c r="T2364" s="3" t="n">
        <v>44154.50370071759</v>
      </c>
      <c r="U2364" t="s">
        <v>16149</v>
      </c>
      <c r="V2364" t="s">
        <v>16150</v>
      </c>
    </row>
    <row r="2365">
      <c r="A2365" t="s">
        <v>22</v>
      </c>
      <c r="B2365" t="s">
        <v>16151</v>
      </c>
      <c r="C2365" t="s">
        <v>132</v>
      </c>
      <c r="D2365" t="s">
        <v>1265</v>
      </c>
      <c r="E2365" t="s">
        <v>16152</v>
      </c>
      <c r="F2365" s="2" t="n">
        <f>HYPERLINK("https://patents.google.com/patent/US20200360507","Google")</f>
        <v>0.0</v>
      </c>
      <c r="G2365" s="2" t="n">
        <f>HYPERLINK("https://patentcenter.uspto.gov/applications/16722437","Patent Center")</f>
        <v>0.0</v>
      </c>
      <c r="H2365" s="2" t="n">
        <f>HYPERLINK("https://worldwide.espacenet.com/patent/search?q=US20200360507","Espacenet")</f>
        <v>0.0</v>
      </c>
      <c r="I2365" s="2" t="n">
        <f>HYPERLINK("https://ppubs.uspto.gov/pubwebapp/external.html?q=20200360507.pn.","USPTO")</f>
        <v>0.0</v>
      </c>
      <c r="J2365" s="2" t="n">
        <f>HYPERLINK("https://image-ppubs.uspto.gov/dirsearch-public/print/downloadPdf/20200360507","USPTO PDF")</f>
        <v>0.0</v>
      </c>
      <c r="K2365" s="2" t="n">
        <f>HYPERLINK("https://sectors.patentforecast.com/pmd/US20200360507","PMD")</f>
        <v>0.0</v>
      </c>
      <c r="L2365" s="2" t="n">
        <f>HYPERLINK("https://globaldossier.uspto.gov/result/application/US/16722437/1","US20200360507")</f>
        <v>0.0</v>
      </c>
      <c r="M2365" t="s">
        <v>16153</v>
      </c>
      <c r="N2365" t="s">
        <v>15147</v>
      </c>
      <c r="O2365" t="s">
        <v>15148</v>
      </c>
      <c r="P2365" t="s">
        <v>16154</v>
      </c>
      <c r="Q2365" s="3" t="n">
        <v>43819.0</v>
      </c>
      <c r="R2365" s="3" t="n">
        <v>44154.0</v>
      </c>
      <c r="S2365" s="3" t="n">
        <v>44154.19179946759</v>
      </c>
      <c r="T2365" s="3" t="n">
        <v>44154.50082328704</v>
      </c>
      <c r="U2365" t="s">
        <v>16155</v>
      </c>
      <c r="V2365" t="s">
        <v>16156</v>
      </c>
    </row>
    <row r="2366">
      <c r="A2366" t="s">
        <v>22</v>
      </c>
      <c r="B2366" t="s">
        <v>16157</v>
      </c>
      <c r="C2366" t="s">
        <v>24</v>
      </c>
      <c r="D2366" t="s">
        <v>69</v>
      </c>
      <c r="E2366" t="s">
        <v>16158</v>
      </c>
      <c r="F2366" s="2" t="n">
        <f>HYPERLINK("https://patents.google.com/patent/US20200358762","Google")</f>
        <v>0.0</v>
      </c>
      <c r="G2366" s="2" t="n">
        <f>HYPERLINK("https://patentcenter.uspto.gov/applications/16940266","Patent Center")</f>
        <v>0.0</v>
      </c>
      <c r="H2366" s="2" t="n">
        <f>HYPERLINK("https://worldwide.espacenet.com/patent/search?q=US20200358762","Espacenet")</f>
        <v>0.0</v>
      </c>
      <c r="I2366" s="2" t="n">
        <f>HYPERLINK("https://ppubs.uspto.gov/pubwebapp/external.html?q=20200358762.pn.","USPTO")</f>
        <v>0.0</v>
      </c>
      <c r="J2366" s="2" t="n">
        <f>HYPERLINK("https://image-ppubs.uspto.gov/dirsearch-public/print/downloadPdf/20200358762","USPTO PDF")</f>
        <v>0.0</v>
      </c>
      <c r="K2366" s="2" t="n">
        <f>HYPERLINK("https://sectors.patentforecast.com/pmd/US20200358762","PMD")</f>
        <v>0.0</v>
      </c>
      <c r="L2366" s="2" t="n">
        <f>HYPERLINK("https://globaldossier.uspto.gov/result/application/US/16940266/1","US20200358762")</f>
        <v>0.0</v>
      </c>
      <c r="M2366" t="s">
        <v>16159</v>
      </c>
      <c r="N2366" t="s">
        <v>15434</v>
      </c>
      <c r="O2366" t="s">
        <v>15435</v>
      </c>
      <c r="P2366" t="s">
        <v>15436</v>
      </c>
      <c r="Q2366" s="3" t="n">
        <v>44039.0</v>
      </c>
      <c r="R2366" s="3" t="n">
        <v>44147.0</v>
      </c>
      <c r="S2366" s="3" t="n">
        <v>44147.187879791665</v>
      </c>
      <c r="T2366" s="3" t="n">
        <v>44148.38677204861</v>
      </c>
      <c r="U2366" t="s">
        <v>16160</v>
      </c>
      <c r="V2366" t="s">
        <v>15438</v>
      </c>
    </row>
    <row r="2367">
      <c r="A2367" t="s">
        <v>22</v>
      </c>
      <c r="B2367" t="s">
        <v>16161</v>
      </c>
      <c r="C2367" t="s">
        <v>24</v>
      </c>
      <c r="D2367" t="s">
        <v>43</v>
      </c>
      <c r="E2367" t="s">
        <v>8246</v>
      </c>
      <c r="F2367" s="2" t="n">
        <f>HYPERLINK("https://patents.google.com/patent/US20200357512","Google")</f>
        <v>0.0</v>
      </c>
      <c r="G2367" s="2" t="n">
        <f>HYPERLINK("https://patentcenter.uspto.gov/applications/16941087","Patent Center")</f>
        <v>0.0</v>
      </c>
      <c r="H2367" s="2" t="n">
        <f>HYPERLINK("https://worldwide.espacenet.com/patent/search?q=US20200357512","Espacenet")</f>
        <v>0.0</v>
      </c>
      <c r="I2367" s="2" t="n">
        <f>HYPERLINK("https://ppubs.uspto.gov/pubwebapp/external.html?q=20200357512.pn.","USPTO")</f>
        <v>0.0</v>
      </c>
      <c r="J2367" s="2" t="n">
        <f>HYPERLINK("https://image-ppubs.uspto.gov/dirsearch-public/print/downloadPdf/20200357512","USPTO PDF")</f>
        <v>0.0</v>
      </c>
      <c r="K2367" s="2" t="n">
        <f>HYPERLINK("https://sectors.patentforecast.com/pmd/US20200357512","PMD")</f>
        <v>0.0</v>
      </c>
      <c r="L2367" s="2" t="n">
        <f>HYPERLINK("https://globaldossier.uspto.gov/result/application/US/16941087/1","US20200357512")</f>
        <v>0.0</v>
      </c>
      <c r="M2367" t="s">
        <v>16162</v>
      </c>
      <c r="N2367" t="s">
        <v>8248</v>
      </c>
      <c r="O2367" t="s">
        <v>8249</v>
      </c>
      <c r="P2367" t="s">
        <v>16163</v>
      </c>
      <c r="Q2367" s="3" t="n">
        <v>44040.0</v>
      </c>
      <c r="R2367" s="3" t="n">
        <v>44147.0</v>
      </c>
      <c r="S2367" s="3" t="n">
        <v>44147.187879791665</v>
      </c>
      <c r="T2367" s="3" t="n">
        <v>44148.386223877314</v>
      </c>
      <c r="U2367" t="s">
        <v>16164</v>
      </c>
      <c r="V2367" t="s">
        <v>8252</v>
      </c>
    </row>
    <row r="2368">
      <c r="A2368" t="s">
        <v>22</v>
      </c>
      <c r="B2368" t="s">
        <v>16165</v>
      </c>
      <c r="C2368" t="s">
        <v>24</v>
      </c>
      <c r="D2368" t="s">
        <v>43</v>
      </c>
      <c r="E2368" t="s">
        <v>16166</v>
      </c>
      <c r="F2368" s="2" t="n">
        <f>HYPERLINK("https://patents.google.com/patent/US20200357510","Google")</f>
        <v>0.0</v>
      </c>
      <c r="G2368" s="2" t="n">
        <f>HYPERLINK("https://patentcenter.uspto.gov/applications/16936895","Patent Center")</f>
        <v>0.0</v>
      </c>
      <c r="H2368" s="2" t="n">
        <f>HYPERLINK("https://worldwide.espacenet.com/patent/search?q=US20200357510","Espacenet")</f>
        <v>0.0</v>
      </c>
      <c r="I2368" s="2" t="n">
        <f>HYPERLINK("https://ppubs.uspto.gov/pubwebapp/external.html?q=20200357510.pn.","USPTO")</f>
        <v>0.0</v>
      </c>
      <c r="J2368" s="2" t="n">
        <f>HYPERLINK("https://image-ppubs.uspto.gov/dirsearch-public/print/downloadPdf/20200357510","USPTO PDF")</f>
        <v>0.0</v>
      </c>
      <c r="K2368" s="2" t="n">
        <f>HYPERLINK("https://sectors.patentforecast.com/pmd/US20200357510","PMD")</f>
        <v>0.0</v>
      </c>
      <c r="L2368" s="2" t="n">
        <f>HYPERLINK("https://globaldossier.uspto.gov/result/application/US/16936895/1","US20200357510")</f>
        <v>0.0</v>
      </c>
      <c r="M2368" t="s">
        <v>16167</v>
      </c>
      <c r="N2368" t="s">
        <v>16168</v>
      </c>
      <c r="O2368" t="s">
        <v>16169</v>
      </c>
      <c r="P2368" t="s">
        <v>16170</v>
      </c>
      <c r="Q2368" s="3" t="n">
        <v>44035.0</v>
      </c>
      <c r="R2368" s="3" t="n">
        <v>44147.0</v>
      </c>
      <c r="S2368" s="3" t="n">
        <v>44147.187879791665</v>
      </c>
      <c r="T2368" s="3" t="n">
        <v>44148.38643744213</v>
      </c>
      <c r="U2368" t="s">
        <v>8548</v>
      </c>
      <c r="V2368" t="s">
        <v>16171</v>
      </c>
    </row>
    <row r="2369">
      <c r="A2369" t="s">
        <v>22</v>
      </c>
      <c r="B2369" t="s">
        <v>16172</v>
      </c>
      <c r="C2369" t="s">
        <v>24</v>
      </c>
      <c r="D2369" t="s">
        <v>100</v>
      </c>
      <c r="E2369" t="s">
        <v>14884</v>
      </c>
      <c r="F2369" s="2" t="n">
        <f>HYPERLINK("https://patents.google.com/patent/US20200357114","Google")</f>
        <v>0.0</v>
      </c>
      <c r="G2369" s="2" t="n">
        <f>HYPERLINK("https://patentcenter.uspto.gov/applications/16842630","Patent Center")</f>
        <v>0.0</v>
      </c>
      <c r="H2369" s="2" t="n">
        <f>HYPERLINK("https://worldwide.espacenet.com/patent/search?q=US20200357114","Espacenet")</f>
        <v>0.0</v>
      </c>
      <c r="I2369" s="2" t="n">
        <f>HYPERLINK("https://ppubs.uspto.gov/pubwebapp/external.html?q=20200357114.pn.","USPTO")</f>
        <v>0.0</v>
      </c>
      <c r="J2369" s="2" t="n">
        <f>HYPERLINK("https://image-ppubs.uspto.gov/dirsearch-public/print/downloadPdf/20200357114","USPTO PDF")</f>
        <v>0.0</v>
      </c>
      <c r="K2369" s="2" t="n">
        <f>HYPERLINK("https://sectors.patentforecast.com/pmd/US20200357114","PMD")</f>
        <v>0.0</v>
      </c>
      <c r="L2369" s="2" t="n">
        <f>HYPERLINK("https://globaldossier.uspto.gov/result/application/US/16842630/1","US20200357114")</f>
        <v>0.0</v>
      </c>
      <c r="M2369" t="s">
        <v>16173</v>
      </c>
      <c r="N2369" t="s">
        <v>14886</v>
      </c>
      <c r="O2369" t="s">
        <v>14887</v>
      </c>
      <c r="P2369" t="s">
        <v>14888</v>
      </c>
      <c r="Q2369" s="3" t="n">
        <v>43928.0</v>
      </c>
      <c r="R2369" s="3" t="n">
        <v>44147.0</v>
      </c>
      <c r="S2369" s="3" t="n">
        <v>44147.187879791665</v>
      </c>
      <c r="T2369" s="3" t="n">
        <v>44148.39132793982</v>
      </c>
      <c r="U2369" t="s">
        <v>16174</v>
      </c>
      <c r="V2369" t="s">
        <v>16175</v>
      </c>
    </row>
    <row r="2370">
      <c r="A2370" t="s">
        <v>22</v>
      </c>
      <c r="B2370" t="s">
        <v>16176</v>
      </c>
      <c r="C2370" t="s">
        <v>132</v>
      </c>
      <c r="D2370" t="s">
        <v>133</v>
      </c>
      <c r="E2370" t="s">
        <v>16177</v>
      </c>
      <c r="F2370" s="2" t="n">
        <f>HYPERLINK("https://patents.google.com/patent/US20200354410","Google")</f>
        <v>0.0</v>
      </c>
      <c r="G2370" s="2" t="n">
        <f>HYPERLINK("https://patentcenter.uspto.gov/applications/16867650","Patent Center")</f>
        <v>0.0</v>
      </c>
      <c r="H2370" s="2" t="n">
        <f>HYPERLINK("https://worldwide.espacenet.com/patent/search?q=US20200354410","Espacenet")</f>
        <v>0.0</v>
      </c>
      <c r="I2370" s="2" t="n">
        <f>HYPERLINK("https://ppubs.uspto.gov/pubwebapp/external.html?q=20200354410.pn.","USPTO")</f>
        <v>0.0</v>
      </c>
      <c r="J2370" s="2" t="n">
        <f>HYPERLINK("https://image-ppubs.uspto.gov/dirsearch-public/print/downloadPdf/20200354410","USPTO PDF")</f>
        <v>0.0</v>
      </c>
      <c r="K2370" s="2" t="n">
        <f>HYPERLINK("https://sectors.patentforecast.com/pmd/US20200354410","PMD")</f>
        <v>0.0</v>
      </c>
      <c r="L2370" s="2" t="n">
        <f>HYPERLINK("https://globaldossier.uspto.gov/result/application/US/16867650/1","US20200354410")</f>
        <v>0.0</v>
      </c>
      <c r="M2370" t="s">
        <v>16178</v>
      </c>
      <c r="N2370" t="s">
        <v>16179</v>
      </c>
      <c r="O2370" t="s">
        <v>16180</v>
      </c>
      <c r="P2370" t="s">
        <v>16181</v>
      </c>
      <c r="Q2370" s="3" t="n">
        <v>43957.0</v>
      </c>
      <c r="R2370" s="3" t="n">
        <v>44147.0</v>
      </c>
      <c r="S2370" s="3" t="n">
        <v>44147.18903421296</v>
      </c>
      <c r="T2370" s="3" t="n">
        <v>44148.38727085648</v>
      </c>
      <c r="U2370" t="s">
        <v>16182</v>
      </c>
      <c r="V2370" t="s">
        <v>16183</v>
      </c>
    </row>
    <row r="2371">
      <c r="A2371" t="s">
        <v>22</v>
      </c>
      <c r="B2371" t="s">
        <v>16184</v>
      </c>
      <c r="C2371" t="s">
        <v>60</v>
      </c>
      <c r="D2371" t="s">
        <v>61</v>
      </c>
      <c r="E2371" t="s">
        <v>16185</v>
      </c>
      <c r="F2371" s="2" t="n">
        <f>HYPERLINK("https://patents.google.com/patent/US20200352986","Google")</f>
        <v>0.0</v>
      </c>
      <c r="G2371" s="2" t="n">
        <f>HYPERLINK("https://patentcenter.uspto.gov/applications/16936036","Patent Center")</f>
        <v>0.0</v>
      </c>
      <c r="H2371" s="2" t="n">
        <f>HYPERLINK("https://worldwide.espacenet.com/patent/search?q=US20200352986","Espacenet")</f>
        <v>0.0</v>
      </c>
      <c r="I2371" s="2" t="n">
        <f>HYPERLINK("https://ppubs.uspto.gov/pubwebapp/external.html?q=20200352986.pn.","USPTO")</f>
        <v>0.0</v>
      </c>
      <c r="J2371" s="2" t="n">
        <f>HYPERLINK("https://image-ppubs.uspto.gov/dirsearch-public/print/downloadPdf/20200352986","USPTO PDF")</f>
        <v>0.0</v>
      </c>
      <c r="K2371" s="2" t="n">
        <f>HYPERLINK("https://sectors.patentforecast.com/pmd/US20200352986","PMD")</f>
        <v>0.0</v>
      </c>
      <c r="L2371" s="2" t="n">
        <f>HYPERLINK("https://globaldossier.uspto.gov/result/application/US/16936036/1","US20200352986")</f>
        <v>0.0</v>
      </c>
      <c r="M2371" t="s">
        <v>16186</v>
      </c>
      <c r="N2371" t="s">
        <v>16187</v>
      </c>
      <c r="O2371" t="s">
        <v>16188</v>
      </c>
      <c r="P2371" t="s">
        <v>16189</v>
      </c>
      <c r="Q2371" s="3" t="n">
        <v>44034.0</v>
      </c>
      <c r="R2371" s="3" t="n">
        <v>44147.0</v>
      </c>
      <c r="S2371" s="3" t="n">
        <v>44147.187879791665</v>
      </c>
      <c r="T2371" s="3" t="n">
        <v>44148.388029456015</v>
      </c>
      <c r="U2371" t="s">
        <v>16190</v>
      </c>
      <c r="V2371" t="s">
        <v>16191</v>
      </c>
    </row>
    <row r="2372">
      <c r="A2372" t="s">
        <v>22</v>
      </c>
      <c r="B2372" t="s">
        <v>16192</v>
      </c>
      <c r="C2372" t="s">
        <v>60</v>
      </c>
      <c r="D2372" t="s">
        <v>61</v>
      </c>
      <c r="E2372" t="s">
        <v>8636</v>
      </c>
      <c r="F2372" s="2" t="n">
        <f>HYPERLINK("https://patents.google.com/patent/US20200352967","Google")</f>
        <v>0.0</v>
      </c>
      <c r="G2372" s="2" t="n">
        <f>HYPERLINK("https://patentcenter.uspto.gov/applications/16863566","Patent Center")</f>
        <v>0.0</v>
      </c>
      <c r="H2372" s="2" t="n">
        <f>HYPERLINK("https://worldwide.espacenet.com/patent/search?q=US20200352967","Espacenet")</f>
        <v>0.0</v>
      </c>
      <c r="I2372" s="2" t="n">
        <f>HYPERLINK("https://ppubs.uspto.gov/pubwebapp/external.html?q=20200352967.pn.","USPTO")</f>
        <v>0.0</v>
      </c>
      <c r="J2372" s="2" t="n">
        <f>HYPERLINK("https://image-ppubs.uspto.gov/dirsearch-public/print/downloadPdf/20200352967","USPTO PDF")</f>
        <v>0.0</v>
      </c>
      <c r="K2372" s="2" t="n">
        <f>HYPERLINK("https://sectors.patentforecast.com/pmd/US20200352967","PMD")</f>
        <v>0.0</v>
      </c>
      <c r="L2372" s="2" t="n">
        <f>HYPERLINK("https://globaldossier.uspto.gov/result/application/US/16863566/1","US20200352967")</f>
        <v>0.0</v>
      </c>
      <c r="M2372" t="s">
        <v>16193</v>
      </c>
      <c r="N2372" t="s">
        <v>664</v>
      </c>
      <c r="O2372" t="s">
        <v>665</v>
      </c>
      <c r="P2372" t="s">
        <v>16194</v>
      </c>
      <c r="Q2372" s="3" t="n">
        <v>43951.0</v>
      </c>
      <c r="R2372" s="3" t="n">
        <v>44147.0</v>
      </c>
      <c r="S2372" s="3" t="n">
        <v>44147.18892111111</v>
      </c>
      <c r="T2372" s="3" t="n">
        <v>44148.38788270833</v>
      </c>
      <c r="U2372" t="s">
        <v>8639</v>
      </c>
      <c r="V2372" t="s">
        <v>8640</v>
      </c>
    </row>
    <row r="2373">
      <c r="A2373" t="s">
        <v>22</v>
      </c>
      <c r="B2373" t="s">
        <v>16195</v>
      </c>
      <c r="C2373" t="s">
        <v>60</v>
      </c>
      <c r="D2373" t="s">
        <v>715</v>
      </c>
      <c r="E2373" t="s">
        <v>16196</v>
      </c>
      <c r="F2373" s="2" t="n">
        <f>HYPERLINK("https://patents.google.com/patent/US20200352456","Google")</f>
        <v>0.0</v>
      </c>
      <c r="G2373" s="2" t="n">
        <f>HYPERLINK("https://patentcenter.uspto.gov/applications/16937691","Patent Center")</f>
        <v>0.0</v>
      </c>
      <c r="H2373" s="2" t="n">
        <f>HYPERLINK("https://worldwide.espacenet.com/patent/search?q=US20200352456","Espacenet")</f>
        <v>0.0</v>
      </c>
      <c r="I2373" s="2" t="n">
        <f>HYPERLINK("https://ppubs.uspto.gov/pubwebapp/external.html?q=20200352456.pn.","USPTO")</f>
        <v>0.0</v>
      </c>
      <c r="J2373" s="2" t="n">
        <f>HYPERLINK("https://image-ppubs.uspto.gov/dirsearch-public/print/downloadPdf/20200352456","USPTO PDF")</f>
        <v>0.0</v>
      </c>
      <c r="K2373" s="2" t="n">
        <f>HYPERLINK("https://sectors.patentforecast.com/pmd/US20200352456","PMD")</f>
        <v>0.0</v>
      </c>
      <c r="L2373" s="2" t="n">
        <f>HYPERLINK("https://globaldossier.uspto.gov/result/application/US/16937691/1","US20200352456")</f>
        <v>0.0</v>
      </c>
      <c r="M2373" t="s">
        <v>16197</v>
      </c>
      <c r="N2373" t="s">
        <v>16198</v>
      </c>
      <c r="O2373" t="s">
        <v>16198</v>
      </c>
      <c r="P2373" t="s">
        <v>16199</v>
      </c>
      <c r="Q2373" s="3" t="n">
        <v>44036.0</v>
      </c>
      <c r="R2373" s="3" t="n">
        <v>44147.0</v>
      </c>
      <c r="S2373" s="3" t="n">
        <v>44147.187879791665</v>
      </c>
      <c r="T2373" s="3" t="n">
        <v>44148.38923688657</v>
      </c>
      <c r="U2373" t="s">
        <v>16200</v>
      </c>
      <c r="V2373" t="s">
        <v>16201</v>
      </c>
    </row>
    <row r="2374">
      <c r="A2374" t="s">
        <v>22</v>
      </c>
      <c r="B2374" t="s">
        <v>16202</v>
      </c>
      <c r="C2374" t="s">
        <v>24</v>
      </c>
      <c r="D2374" t="s">
        <v>25</v>
      </c>
      <c r="E2374" t="s">
        <v>16203</v>
      </c>
      <c r="F2374" s="2" t="n">
        <f>HYPERLINK("https://patents.google.com/patent/US20200350989","Google")</f>
        <v>0.0</v>
      </c>
      <c r="G2374" s="2" t="n">
        <f>HYPERLINK("https://patentcenter.uspto.gov/applications/16935530","Patent Center")</f>
        <v>0.0</v>
      </c>
      <c r="H2374" s="2" t="n">
        <f>HYPERLINK("https://worldwide.espacenet.com/patent/search?q=US20200350989","Espacenet")</f>
        <v>0.0</v>
      </c>
      <c r="I2374" s="2" t="n">
        <f>HYPERLINK("https://ppubs.uspto.gov/pubwebapp/external.html?q=20200350989.pn.","USPTO")</f>
        <v>0.0</v>
      </c>
      <c r="J2374" s="2" t="n">
        <f>HYPERLINK("https://image-ppubs.uspto.gov/dirsearch-public/print/downloadPdf/20200350989","USPTO PDF")</f>
        <v>0.0</v>
      </c>
      <c r="K2374" s="2" t="n">
        <f>HYPERLINK("https://sectors.patentforecast.com/pmd/US20200350989","PMD")</f>
        <v>0.0</v>
      </c>
      <c r="L2374" s="2" t="n">
        <f>HYPERLINK("https://globaldossier.uspto.gov/result/application/US/16935530/1","US20200350989")</f>
        <v>0.0</v>
      </c>
      <c r="M2374" t="s">
        <v>16204</v>
      </c>
      <c r="N2374" t="s">
        <v>12669</v>
      </c>
      <c r="O2374" t="s">
        <v>12670</v>
      </c>
      <c r="P2374" t="s">
        <v>14766</v>
      </c>
      <c r="Q2374" s="3" t="n">
        <v>44034.0</v>
      </c>
      <c r="R2374" s="3" t="n">
        <v>44140.0</v>
      </c>
      <c r="S2374" s="3" t="n">
        <v>44140.18778869213</v>
      </c>
      <c r="T2374" s="3" t="n">
        <v>44140.35480460648</v>
      </c>
      <c r="U2374" t="s">
        <v>16205</v>
      </c>
      <c r="V2374" t="s">
        <v>16206</v>
      </c>
    </row>
    <row r="2375">
      <c r="A2375" t="s">
        <v>22</v>
      </c>
      <c r="B2375" t="s">
        <v>16207</v>
      </c>
      <c r="C2375" t="s">
        <v>24</v>
      </c>
      <c r="D2375" t="s">
        <v>1450</v>
      </c>
      <c r="E2375" t="s">
        <v>16208</v>
      </c>
      <c r="F2375" s="2" t="n">
        <f>HYPERLINK("https://patents.google.com/patent/US20200350079","Google")</f>
        <v>0.0</v>
      </c>
      <c r="G2375" s="2" t="n">
        <f>HYPERLINK("https://patentcenter.uspto.gov/applications/16863598","Patent Center")</f>
        <v>0.0</v>
      </c>
      <c r="H2375" s="2" t="n">
        <f>HYPERLINK("https://worldwide.espacenet.com/patent/search?q=US20200350079","Espacenet")</f>
        <v>0.0</v>
      </c>
      <c r="I2375" s="2" t="n">
        <f>HYPERLINK("https://ppubs.uspto.gov/pubwebapp/external.html?q=20200350079.pn.","USPTO")</f>
        <v>0.0</v>
      </c>
      <c r="J2375" s="2" t="n">
        <f>HYPERLINK("https://image-ppubs.uspto.gov/dirsearch-public/print/downloadPdf/20200350079","USPTO PDF")</f>
        <v>0.0</v>
      </c>
      <c r="K2375" s="2" t="n">
        <f>HYPERLINK("https://sectors.patentforecast.com/pmd/US20200350079","PMD")</f>
        <v>0.0</v>
      </c>
      <c r="L2375" s="2" t="n">
        <f>HYPERLINK("https://globaldossier.uspto.gov/result/application/US/16863598/1","US20200350079")</f>
        <v>0.0</v>
      </c>
      <c r="M2375" t="s">
        <v>16209</v>
      </c>
      <c r="N2375" t="s">
        <v>16210</v>
      </c>
      <c r="O2375" t="s">
        <v>16211</v>
      </c>
      <c r="P2375" t="s">
        <v>16212</v>
      </c>
      <c r="Q2375" s="3" t="n">
        <v>43951.0</v>
      </c>
      <c r="R2375" s="3" t="n">
        <v>44140.0</v>
      </c>
      <c r="S2375" s="3" t="n">
        <v>44140.18778869213</v>
      </c>
      <c r="T2375" s="3" t="n">
        <v>44140.35214844908</v>
      </c>
      <c r="U2375" t="s">
        <v>16213</v>
      </c>
      <c r="V2375" t="s">
        <v>16214</v>
      </c>
    </row>
    <row r="2376">
      <c r="A2376" t="s">
        <v>22</v>
      </c>
      <c r="B2376" t="s">
        <v>16215</v>
      </c>
      <c r="C2376" t="s">
        <v>24</v>
      </c>
      <c r="D2376" t="s">
        <v>100</v>
      </c>
      <c r="E2376" t="s">
        <v>16216</v>
      </c>
      <c r="F2376" s="2" t="n">
        <f>HYPERLINK("https://patents.google.com/patent/US20200348038","Google")</f>
        <v>0.0</v>
      </c>
      <c r="G2376" s="2" t="n">
        <f>HYPERLINK("https://patentcenter.uspto.gov/applications/16927766","Patent Center")</f>
        <v>0.0</v>
      </c>
      <c r="H2376" s="2" t="n">
        <f>HYPERLINK("https://worldwide.espacenet.com/patent/search?q=US20200348038","Espacenet")</f>
        <v>0.0</v>
      </c>
      <c r="I2376" s="2" t="n">
        <f>HYPERLINK("https://ppubs.uspto.gov/pubwebapp/external.html?q=20200348038.pn.","USPTO")</f>
        <v>0.0</v>
      </c>
      <c r="J2376" s="2" t="n">
        <f>HYPERLINK("https://image-ppubs.uspto.gov/dirsearch-public/print/downloadPdf/20200348038","USPTO PDF")</f>
        <v>0.0</v>
      </c>
      <c r="K2376" s="2" t="n">
        <f>HYPERLINK("https://sectors.patentforecast.com/pmd/US20200348038","PMD")</f>
        <v>0.0</v>
      </c>
      <c r="L2376" s="2" t="n">
        <f>HYPERLINK("https://globaldossier.uspto.gov/result/application/US/16927766/1","US20200348038")</f>
        <v>0.0</v>
      </c>
      <c r="M2376" t="s">
        <v>16217</v>
      </c>
      <c r="N2376" t="s">
        <v>1520</v>
      </c>
      <c r="O2376" t="s">
        <v>1521</v>
      </c>
      <c r="P2376" t="s">
        <v>15776</v>
      </c>
      <c r="Q2376" s="3" t="n">
        <v>44025.0</v>
      </c>
      <c r="R2376" s="3" t="n">
        <v>44140.0</v>
      </c>
      <c r="S2376" s="3" t="n">
        <v>44140.18778869213</v>
      </c>
      <c r="T2376" s="3" t="n">
        <v>44140.35633815972</v>
      </c>
      <c r="U2376" t="s">
        <v>16218</v>
      </c>
      <c r="V2376" t="s">
        <v>16219</v>
      </c>
    </row>
    <row r="2377">
      <c r="A2377" t="s">
        <v>22</v>
      </c>
      <c r="B2377" t="s">
        <v>16220</v>
      </c>
      <c r="C2377" t="s">
        <v>60</v>
      </c>
      <c r="D2377" t="s">
        <v>715</v>
      </c>
      <c r="E2377" t="s">
        <v>16221</v>
      </c>
      <c r="F2377" s="2" t="n">
        <f>HYPERLINK("https://patents.google.com/patent/US20200345920","Google")</f>
        <v>0.0</v>
      </c>
      <c r="G2377" s="2" t="n">
        <f>HYPERLINK("https://patentcenter.uspto.gov/applications/16846291","Patent Center")</f>
        <v>0.0</v>
      </c>
      <c r="H2377" s="2" t="n">
        <f>HYPERLINK("https://worldwide.espacenet.com/patent/search?q=US20200345920","Espacenet")</f>
        <v>0.0</v>
      </c>
      <c r="I2377" s="2" t="n">
        <f>HYPERLINK("https://ppubs.uspto.gov/pubwebapp/external.html?q=20200345920.pn.","USPTO")</f>
        <v>0.0</v>
      </c>
      <c r="J2377" s="2" t="n">
        <f>HYPERLINK("https://image-ppubs.uspto.gov/dirsearch-public/print/downloadPdf/20200345920","USPTO PDF")</f>
        <v>0.0</v>
      </c>
      <c r="K2377" s="2" t="n">
        <f>HYPERLINK("https://sectors.patentforecast.com/pmd/US20200345920","PMD")</f>
        <v>0.0</v>
      </c>
      <c r="L2377" s="2" t="n">
        <f>HYPERLINK("https://globaldossier.uspto.gov/result/application/US/16846291/1","US20200345920")</f>
        <v>0.0</v>
      </c>
      <c r="M2377" t="s">
        <v>16222</v>
      </c>
      <c r="N2377" t="s">
        <v>7250</v>
      </c>
      <c r="O2377" t="s">
        <v>7251</v>
      </c>
      <c r="P2377" t="s">
        <v>7252</v>
      </c>
      <c r="Q2377" s="3" t="n">
        <v>43932.0</v>
      </c>
      <c r="R2377" s="3" t="n">
        <v>44140.0</v>
      </c>
      <c r="S2377" s="3" t="n">
        <v>44140.18778869213</v>
      </c>
      <c r="T2377" s="3" t="n">
        <v>44140.35545570602</v>
      </c>
      <c r="U2377" t="s">
        <v>16223</v>
      </c>
      <c r="V2377" t="s">
        <v>16224</v>
      </c>
    </row>
    <row r="2378">
      <c r="A2378" t="s">
        <v>22</v>
      </c>
      <c r="B2378" t="s">
        <v>16225</v>
      </c>
      <c r="C2378" t="s">
        <v>24</v>
      </c>
      <c r="D2378" t="s">
        <v>100</v>
      </c>
      <c r="E2378" t="s">
        <v>16226</v>
      </c>
      <c r="F2378" s="2" t="n">
        <f>HYPERLINK("https://patents.google.com/patent/US20200345873","Google")</f>
        <v>0.0</v>
      </c>
      <c r="G2378" s="2" t="n">
        <f>HYPERLINK("https://patentcenter.uspto.gov/applications/16925107","Patent Center")</f>
        <v>0.0</v>
      </c>
      <c r="H2378" s="2" t="n">
        <f>HYPERLINK("https://worldwide.espacenet.com/patent/search?q=US20200345873","Espacenet")</f>
        <v>0.0</v>
      </c>
      <c r="I2378" s="2" t="n">
        <f>HYPERLINK("https://ppubs.uspto.gov/pubwebapp/external.html?q=20200345873.pn.","USPTO")</f>
        <v>0.0</v>
      </c>
      <c r="J2378" s="2" t="n">
        <f>HYPERLINK("https://image-ppubs.uspto.gov/dirsearch-public/print/downloadPdf/20200345873","USPTO PDF")</f>
        <v>0.0</v>
      </c>
      <c r="K2378" s="2" t="n">
        <f>HYPERLINK("https://sectors.patentforecast.com/pmd/US20200345873","PMD")</f>
        <v>0.0</v>
      </c>
      <c r="L2378" s="2" t="n">
        <f>HYPERLINK("https://globaldossier.uspto.gov/result/application/US/16925107/1","US20200345873")</f>
        <v>0.0</v>
      </c>
      <c r="M2378" t="s">
        <v>16227</v>
      </c>
      <c r="N2378" t="s">
        <v>5946</v>
      </c>
      <c r="O2378" t="s">
        <v>5947</v>
      </c>
      <c r="P2378" t="s">
        <v>5948</v>
      </c>
      <c r="Q2378" s="3" t="n">
        <v>44021.0</v>
      </c>
      <c r="R2378" s="3" t="n">
        <v>44140.0</v>
      </c>
      <c r="S2378" s="3" t="n">
        <v>44140.18778869213</v>
      </c>
      <c r="T2378" s="3" t="n">
        <v>44140.35688630787</v>
      </c>
      <c r="U2378" t="s">
        <v>16228</v>
      </c>
      <c r="V2378" t="s">
        <v>5949</v>
      </c>
    </row>
    <row r="2379">
      <c r="A2379" t="s">
        <v>22</v>
      </c>
      <c r="B2379" t="s">
        <v>16229</v>
      </c>
      <c r="C2379" t="s">
        <v>132</v>
      </c>
      <c r="D2379" t="s">
        <v>11423</v>
      </c>
      <c r="E2379" t="s">
        <v>16230</v>
      </c>
      <c r="F2379" s="2" t="n">
        <f>HYPERLINK("https://patents.google.com/patent/US20200345840","Google")</f>
        <v>0.0</v>
      </c>
      <c r="G2379" s="2" t="n">
        <f>HYPERLINK("https://patentcenter.uspto.gov/applications/16701948","Patent Center")</f>
        <v>0.0</v>
      </c>
      <c r="H2379" s="2" t="n">
        <f>HYPERLINK("https://worldwide.espacenet.com/patent/search?q=US20200345840","Espacenet")</f>
        <v>0.0</v>
      </c>
      <c r="I2379" s="2" t="n">
        <f>HYPERLINK("https://ppubs.uspto.gov/pubwebapp/external.html?q=20200345840.pn.","USPTO")</f>
        <v>0.0</v>
      </c>
      <c r="J2379" s="2" t="n">
        <f>HYPERLINK("https://image-ppubs.uspto.gov/dirsearch-public/print/downloadPdf/20200345840","USPTO PDF")</f>
        <v>0.0</v>
      </c>
      <c r="K2379" s="2" t="n">
        <f>HYPERLINK("https://sectors.patentforecast.com/pmd/US20200345840","PMD")</f>
        <v>0.0</v>
      </c>
      <c r="L2379" s="2" t="n">
        <f>HYPERLINK("https://globaldossier.uspto.gov/result/application/US/16701948/1","US20200345840")</f>
        <v>0.0</v>
      </c>
      <c r="M2379" t="s">
        <v>16231</v>
      </c>
      <c r="N2379" t="s">
        <v>1275</v>
      </c>
      <c r="O2379" t="s">
        <v>1275</v>
      </c>
      <c r="P2379" t="s">
        <v>16232</v>
      </c>
      <c r="Q2379" s="3" t="n">
        <v>43802.0</v>
      </c>
      <c r="R2379" s="3" t="n">
        <v>44140.0</v>
      </c>
      <c r="S2379" s="3" t="n">
        <v>44140.18987461805</v>
      </c>
      <c r="T2379" s="3" t="n">
        <v>44140.35510412037</v>
      </c>
      <c r="U2379" t="s">
        <v>16233</v>
      </c>
      <c r="V2379" t="s">
        <v>16234</v>
      </c>
    </row>
    <row r="2380">
      <c r="A2380" t="s">
        <v>22</v>
      </c>
      <c r="B2380" t="s">
        <v>16235</v>
      </c>
      <c r="C2380" t="s">
        <v>60</v>
      </c>
      <c r="D2380" t="s">
        <v>61</v>
      </c>
      <c r="E2380" t="s">
        <v>16236</v>
      </c>
      <c r="F2380" s="2" t="n">
        <f>HYPERLINK("https://patents.google.com/patent/US20200345699","Google")</f>
        <v>0.0</v>
      </c>
      <c r="G2380" s="2" t="n">
        <f>HYPERLINK("https://patentcenter.uspto.gov/applications/16849747","Patent Center")</f>
        <v>0.0</v>
      </c>
      <c r="H2380" s="2" t="n">
        <f>HYPERLINK("https://worldwide.espacenet.com/patent/search?q=US20200345699","Espacenet")</f>
        <v>0.0</v>
      </c>
      <c r="I2380" s="2" t="n">
        <f>HYPERLINK("https://ppubs.uspto.gov/pubwebapp/external.html?q=20200345699.pn.","USPTO")</f>
        <v>0.0</v>
      </c>
      <c r="J2380" s="2" t="n">
        <f>HYPERLINK("https://image-ppubs.uspto.gov/dirsearch-public/print/downloadPdf/20200345699","USPTO PDF")</f>
        <v>0.0</v>
      </c>
      <c r="K2380" s="2" t="n">
        <f>HYPERLINK("https://sectors.patentforecast.com/pmd/US20200345699","PMD")</f>
        <v>0.0</v>
      </c>
      <c r="L2380" s="2" t="n">
        <f>HYPERLINK("https://globaldossier.uspto.gov/result/application/US/16849747/1","US20200345699")</f>
        <v>0.0</v>
      </c>
      <c r="M2380" t="s">
        <v>16237</v>
      </c>
      <c r="N2380" t="s">
        <v>664</v>
      </c>
      <c r="O2380" t="s">
        <v>665</v>
      </c>
      <c r="P2380" t="s">
        <v>16238</v>
      </c>
      <c r="Q2380" s="3" t="n">
        <v>43936.0</v>
      </c>
      <c r="R2380" s="3" t="n">
        <v>44140.0</v>
      </c>
      <c r="S2380" s="3" t="n">
        <v>44140.18778869213</v>
      </c>
      <c r="T2380" s="3" t="n">
        <v>44638.66544981481</v>
      </c>
      <c r="U2380" t="s">
        <v>16239</v>
      </c>
      <c r="V2380" t="s">
        <v>16240</v>
      </c>
    </row>
    <row r="2381">
      <c r="A2381" t="s">
        <v>22</v>
      </c>
      <c r="B2381" t="s">
        <v>16241</v>
      </c>
      <c r="C2381" t="s">
        <v>24</v>
      </c>
      <c r="D2381" t="s">
        <v>34</v>
      </c>
      <c r="E2381" t="s">
        <v>14778</v>
      </c>
      <c r="F2381" s="2" t="n">
        <f>HYPERLINK("https://patents.google.com/patent/US20200340945","Google")</f>
        <v>0.0</v>
      </c>
      <c r="G2381" s="2" t="n">
        <f>HYPERLINK("https://patentcenter.uspto.gov/applications/16924718","Patent Center")</f>
        <v>0.0</v>
      </c>
      <c r="H2381" s="2" t="n">
        <f>HYPERLINK("https://worldwide.espacenet.com/patent/search?q=US20200340945","Espacenet")</f>
        <v>0.0</v>
      </c>
      <c r="I2381" s="2" t="n">
        <f>HYPERLINK("https://ppubs.uspto.gov/pubwebapp/external.html?q=20200340945.pn.","USPTO")</f>
        <v>0.0</v>
      </c>
      <c r="J2381" s="2" t="n">
        <f>HYPERLINK("https://image-ppubs.uspto.gov/dirsearch-public/print/downloadPdf/20200340945","USPTO PDF")</f>
        <v>0.0</v>
      </c>
      <c r="K2381" s="2" t="n">
        <f>HYPERLINK("https://sectors.patentforecast.com/pmd/US20200340945","PMD")</f>
        <v>0.0</v>
      </c>
      <c r="L2381" s="2" t="n">
        <f>HYPERLINK("https://globaldossier.uspto.gov/result/application/US/16924718/1","US20200340945")</f>
        <v>0.0</v>
      </c>
      <c r="M2381" t="s">
        <v>16242</v>
      </c>
      <c r="N2381" t="s">
        <v>16243</v>
      </c>
      <c r="O2381" t="s">
        <v>16244</v>
      </c>
      <c r="P2381" t="s">
        <v>16245</v>
      </c>
      <c r="Q2381" s="3" t="n">
        <v>44021.0</v>
      </c>
      <c r="R2381" s="3" t="n">
        <v>44133.0</v>
      </c>
      <c r="S2381" s="3" t="n">
        <v>44133.229471631945</v>
      </c>
      <c r="T2381" s="3" t="n">
        <v>44133.3608671875</v>
      </c>
      <c r="U2381" t="s">
        <v>16246</v>
      </c>
      <c r="V2381" t="s">
        <v>16247</v>
      </c>
    </row>
    <row r="2382">
      <c r="A2382" t="s">
        <v>22</v>
      </c>
      <c r="B2382" t="s">
        <v>16248</v>
      </c>
      <c r="C2382" t="s">
        <v>24</v>
      </c>
      <c r="D2382" t="s">
        <v>100</v>
      </c>
      <c r="E2382" t="s">
        <v>16249</v>
      </c>
      <c r="F2382" s="2" t="n">
        <f>HYPERLINK("https://patents.google.com/patent/US20200340270","Google")</f>
        <v>0.0</v>
      </c>
      <c r="G2382" s="2" t="n">
        <f>HYPERLINK("https://patentcenter.uspto.gov/applications/16923124","Patent Center")</f>
        <v>0.0</v>
      </c>
      <c r="H2382" s="2" t="n">
        <f>HYPERLINK("https://worldwide.espacenet.com/patent/search?q=US20200340270","Espacenet")</f>
        <v>0.0</v>
      </c>
      <c r="I2382" s="2" t="n">
        <f>HYPERLINK("https://ppubs.uspto.gov/pubwebapp/external.html?q=20200340270.pn.","USPTO")</f>
        <v>0.0</v>
      </c>
      <c r="J2382" s="2" t="n">
        <f>HYPERLINK("https://image-ppubs.uspto.gov/dirsearch-public/print/downloadPdf/20200340270","USPTO PDF")</f>
        <v>0.0</v>
      </c>
      <c r="K2382" s="2" t="n">
        <f>HYPERLINK("https://sectors.patentforecast.com/pmd/US20200340270","PMD")</f>
        <v>0.0</v>
      </c>
      <c r="L2382" s="2" t="n">
        <f>HYPERLINK("https://globaldossier.uspto.gov/result/application/US/16923124/1","US20200340270")</f>
        <v>0.0</v>
      </c>
      <c r="M2382" t="s">
        <v>16250</v>
      </c>
      <c r="N2382" t="s">
        <v>16251</v>
      </c>
      <c r="O2382" t="s">
        <v>16252</v>
      </c>
      <c r="P2382" t="s">
        <v>16253</v>
      </c>
      <c r="Q2382" s="3" t="n">
        <v>44020.0</v>
      </c>
      <c r="R2382" s="3" t="n">
        <v>44133.0</v>
      </c>
      <c r="S2382" s="3" t="n">
        <v>44133.229471631945</v>
      </c>
      <c r="T2382" s="3" t="n">
        <v>44133.35889173611</v>
      </c>
      <c r="U2382" t="s">
        <v>16254</v>
      </c>
      <c r="V2382" t="s">
        <v>16255</v>
      </c>
    </row>
    <row r="2383">
      <c r="A2383" t="s">
        <v>22</v>
      </c>
      <c r="B2383" t="s">
        <v>16256</v>
      </c>
      <c r="C2383" t="s">
        <v>60</v>
      </c>
      <c r="D2383" t="s">
        <v>715</v>
      </c>
      <c r="E2383" t="s">
        <v>16257</v>
      </c>
      <c r="F2383" s="2" t="n">
        <f>HYPERLINK("https://patents.google.com/patent/US20200337942","Google")</f>
        <v>0.0</v>
      </c>
      <c r="G2383" s="2" t="n">
        <f>HYPERLINK("https://patentcenter.uspto.gov/applications/16867952","Patent Center")</f>
        <v>0.0</v>
      </c>
      <c r="H2383" s="2" t="n">
        <f>HYPERLINK("https://worldwide.espacenet.com/patent/search?q=US20200337942","Espacenet")</f>
        <v>0.0</v>
      </c>
      <c r="I2383" s="2" t="n">
        <f>HYPERLINK("https://ppubs.uspto.gov/pubwebapp/external.html?q=20200337942.pn.","USPTO")</f>
        <v>0.0</v>
      </c>
      <c r="J2383" s="2" t="n">
        <f>HYPERLINK("https://image-ppubs.uspto.gov/dirsearch-public/print/downloadPdf/20200337942","USPTO PDF")</f>
        <v>0.0</v>
      </c>
      <c r="K2383" s="2" t="n">
        <f>HYPERLINK("https://sectors.patentforecast.com/pmd/US20200337942","PMD")</f>
        <v>0.0</v>
      </c>
      <c r="L2383" s="2" t="n">
        <f>HYPERLINK("https://globaldossier.uspto.gov/result/application/US/16867952/1","US20200337942")</f>
        <v>0.0</v>
      </c>
      <c r="M2383" t="s">
        <v>16258</v>
      </c>
      <c r="N2383" t="s">
        <v>16259</v>
      </c>
      <c r="O2383" t="s">
        <v>16260</v>
      </c>
      <c r="P2383" t="s">
        <v>16261</v>
      </c>
      <c r="Q2383" s="3" t="n">
        <v>43957.0</v>
      </c>
      <c r="R2383" s="3" t="n">
        <v>44133.0</v>
      </c>
      <c r="S2383" s="3" t="n">
        <v>44133.229471631945</v>
      </c>
      <c r="T2383" s="3" t="n">
        <v>44133.359789780094</v>
      </c>
      <c r="U2383" t="s">
        <v>16262</v>
      </c>
      <c r="V2383" t="s">
        <v>16263</v>
      </c>
    </row>
    <row r="2384">
      <c r="A2384" t="s">
        <v>22</v>
      </c>
      <c r="B2384" t="s">
        <v>16264</v>
      </c>
      <c r="C2384" t="s">
        <v>24</v>
      </c>
      <c r="D2384" t="s">
        <v>34</v>
      </c>
      <c r="E2384" t="s">
        <v>16265</v>
      </c>
      <c r="F2384" s="2" t="n">
        <f>HYPERLINK("https://patents.google.com/patent/US20200337594","Google")</f>
        <v>0.0</v>
      </c>
      <c r="G2384" s="2" t="n">
        <f>HYPERLINK("https://patentcenter.uspto.gov/applications/16823082","Patent Center")</f>
        <v>0.0</v>
      </c>
      <c r="H2384" s="2" t="n">
        <f>HYPERLINK("https://worldwide.espacenet.com/patent/search?q=US20200337594","Espacenet")</f>
        <v>0.0</v>
      </c>
      <c r="I2384" s="2" t="n">
        <f>HYPERLINK("https://ppubs.uspto.gov/pubwebapp/external.html?q=20200337594.pn.","USPTO")</f>
        <v>0.0</v>
      </c>
      <c r="J2384" s="2" t="n">
        <f>HYPERLINK("https://image-ppubs.uspto.gov/dirsearch-public/print/downloadPdf/20200337594","USPTO PDF")</f>
        <v>0.0</v>
      </c>
      <c r="K2384" s="2" t="n">
        <f>HYPERLINK("https://sectors.patentforecast.com/pmd/US20200337594","PMD")</f>
        <v>0.0</v>
      </c>
      <c r="L2384" s="2" t="n">
        <f>HYPERLINK("https://globaldossier.uspto.gov/result/application/US/16823082/1","US20200337594")</f>
        <v>0.0</v>
      </c>
      <c r="M2384" t="s">
        <v>16266</v>
      </c>
      <c r="N2384" t="s">
        <v>16267</v>
      </c>
      <c r="O2384" t="s">
        <v>16268</v>
      </c>
      <c r="P2384" t="s">
        <v>16269</v>
      </c>
      <c r="Q2384" s="3" t="n">
        <v>43908.0</v>
      </c>
      <c r="R2384" s="3" t="n">
        <v>44133.0</v>
      </c>
      <c r="S2384" s="3" t="n">
        <v>44133.229471631945</v>
      </c>
      <c r="T2384" s="3" t="n">
        <v>44133.362325208334</v>
      </c>
      <c r="U2384" t="s">
        <v>16270</v>
      </c>
      <c r="V2384" t="s">
        <v>16271</v>
      </c>
    </row>
    <row r="2385">
      <c r="A2385" t="s">
        <v>22</v>
      </c>
      <c r="B2385" t="s">
        <v>16272</v>
      </c>
      <c r="C2385" t="s">
        <v>24</v>
      </c>
      <c r="D2385" t="s">
        <v>1356</v>
      </c>
      <c r="E2385" t="s">
        <v>16273</v>
      </c>
      <c r="F2385" s="2" t="n">
        <f>HYPERLINK("https://patents.google.com/patent/US20200335226","Google")</f>
        <v>0.0</v>
      </c>
      <c r="G2385" s="2" t="n">
        <f>HYPERLINK("https://patentcenter.uspto.gov/applications/16918000","Patent Center")</f>
        <v>0.0</v>
      </c>
      <c r="H2385" s="2" t="n">
        <f>HYPERLINK("https://worldwide.espacenet.com/patent/search?q=US20200335226","Espacenet")</f>
        <v>0.0</v>
      </c>
      <c r="I2385" s="2" t="n">
        <f>HYPERLINK("https://ppubs.uspto.gov/pubwebapp/external.html?q=20200335226.pn.","USPTO")</f>
        <v>0.0</v>
      </c>
      <c r="J2385" s="2" t="n">
        <f>HYPERLINK("https://image-ppubs.uspto.gov/dirsearch-public/print/downloadPdf/20200335226","USPTO PDF")</f>
        <v>0.0</v>
      </c>
      <c r="K2385" s="2" t="n">
        <f>HYPERLINK("https://sectors.patentforecast.com/pmd/US20200335226","PMD")</f>
        <v>0.0</v>
      </c>
      <c r="L2385" s="2" t="n">
        <f>HYPERLINK("https://globaldossier.uspto.gov/result/application/US/16918000/1","US20200335226")</f>
        <v>0.0</v>
      </c>
      <c r="M2385" t="s">
        <v>16274</v>
      </c>
      <c r="N2385" t="s">
        <v>15762</v>
      </c>
      <c r="O2385" t="s">
        <v>15763</v>
      </c>
      <c r="P2385" t="s">
        <v>16275</v>
      </c>
      <c r="Q2385" s="3" t="n">
        <v>44013.0</v>
      </c>
      <c r="R2385" s="3" t="n">
        <v>44126.0</v>
      </c>
      <c r="S2385" s="3" t="n">
        <v>44131.23013900463</v>
      </c>
      <c r="T2385" s="3" t="n">
        <v>44131.385767685184</v>
      </c>
      <c r="U2385" t="s">
        <v>16276</v>
      </c>
      <c r="V2385" t="s">
        <v>16277</v>
      </c>
    </row>
    <row r="2386">
      <c r="A2386" t="s">
        <v>22</v>
      </c>
      <c r="B2386" t="s">
        <v>16278</v>
      </c>
      <c r="C2386" t="s">
        <v>60</v>
      </c>
      <c r="D2386" t="s">
        <v>715</v>
      </c>
      <c r="E2386" t="s">
        <v>16279</v>
      </c>
      <c r="F2386" s="2" t="n">
        <f>HYPERLINK("https://patents.google.com/patent/US20200330782","Google")</f>
        <v>0.0</v>
      </c>
      <c r="G2386" s="2" t="n">
        <f>HYPERLINK("https://patentcenter.uspto.gov/applications/16908990","Patent Center")</f>
        <v>0.0</v>
      </c>
      <c r="H2386" s="2" t="n">
        <f>HYPERLINK("https://worldwide.espacenet.com/patent/search?q=US20200330782","Espacenet")</f>
        <v>0.0</v>
      </c>
      <c r="I2386" s="2" t="n">
        <f>HYPERLINK("https://ppubs.uspto.gov/pubwebapp/external.html?q=20200330782.pn.","USPTO")</f>
        <v>0.0</v>
      </c>
      <c r="J2386" s="2" t="n">
        <f>HYPERLINK("https://image-ppubs.uspto.gov/dirsearch-public/print/downloadPdf/20200330782","USPTO PDF")</f>
        <v>0.0</v>
      </c>
      <c r="K2386" s="2" t="n">
        <f>HYPERLINK("https://sectors.patentforecast.com/pmd/US20200330782","PMD")</f>
        <v>0.0</v>
      </c>
      <c r="L2386" s="2" t="n">
        <f>HYPERLINK("https://globaldossier.uspto.gov/result/application/US/16908990/1","US20200330782")</f>
        <v>0.0</v>
      </c>
      <c r="M2386" t="s">
        <v>16280</v>
      </c>
      <c r="N2386" t="s">
        <v>16281</v>
      </c>
      <c r="O2386" t="s">
        <v>16281</v>
      </c>
      <c r="P2386" t="s">
        <v>16282</v>
      </c>
      <c r="Q2386" s="3" t="n">
        <v>44005.0</v>
      </c>
      <c r="R2386" s="3" t="n">
        <v>44126.0</v>
      </c>
      <c r="S2386" s="3" t="n">
        <v>44131.22956247685</v>
      </c>
      <c r="T2386" s="3" t="n">
        <v>44131.37081467592</v>
      </c>
      <c r="U2386" t="s">
        <v>16283</v>
      </c>
      <c r="V2386" t="s">
        <v>16284</v>
      </c>
    </row>
    <row r="2387">
      <c r="A2387" t="s">
        <v>22</v>
      </c>
      <c r="B2387" t="s">
        <v>16285</v>
      </c>
      <c r="C2387" t="s">
        <v>60</v>
      </c>
      <c r="D2387" t="s">
        <v>61</v>
      </c>
      <c r="E2387" t="s">
        <v>16286</v>
      </c>
      <c r="F2387" s="2" t="n">
        <f>HYPERLINK("https://patents.google.com/patent/US20200330487","Google")</f>
        <v>0.0</v>
      </c>
      <c r="G2387" s="2" t="n">
        <f>HYPERLINK("https://patentcenter.uspto.gov/applications/16920640","Patent Center")</f>
        <v>0.0</v>
      </c>
      <c r="H2387" s="2" t="n">
        <f>HYPERLINK("https://worldwide.espacenet.com/patent/search?q=US20200330487","Espacenet")</f>
        <v>0.0</v>
      </c>
      <c r="I2387" s="2" t="n">
        <f>HYPERLINK("https://ppubs.uspto.gov/pubwebapp/external.html?q=20200330487.pn.","USPTO")</f>
        <v>0.0</v>
      </c>
      <c r="J2387" s="2" t="n">
        <f>HYPERLINK("https://image-ppubs.uspto.gov/dirsearch-public/print/downloadPdf/20200330487","USPTO PDF")</f>
        <v>0.0</v>
      </c>
      <c r="K2387" s="2" t="n">
        <f>HYPERLINK("https://sectors.patentforecast.com/pmd/US20200330487","PMD")</f>
        <v>0.0</v>
      </c>
      <c r="L2387" s="2" t="n">
        <f>HYPERLINK("https://globaldossier.uspto.gov/result/application/US/16920640/1","US20200330487")</f>
        <v>0.0</v>
      </c>
      <c r="M2387" t="s">
        <v>16287</v>
      </c>
      <c r="N2387" t="s">
        <v>16288</v>
      </c>
      <c r="O2387" t="s">
        <v>16289</v>
      </c>
      <c r="P2387" t="s">
        <v>16290</v>
      </c>
      <c r="Q2387" s="3" t="n">
        <v>44015.0</v>
      </c>
      <c r="R2387" s="3" t="n">
        <v>44126.0</v>
      </c>
      <c r="S2387" s="3" t="n">
        <v>44131.22956247685</v>
      </c>
      <c r="T2387" s="3" t="n">
        <v>44131.38611950231</v>
      </c>
      <c r="U2387" t="s">
        <v>16291</v>
      </c>
      <c r="V2387" t="s">
        <v>16292</v>
      </c>
    </row>
    <row r="2388">
      <c r="A2388" t="s">
        <v>22</v>
      </c>
      <c r="B2388" t="s">
        <v>16293</v>
      </c>
      <c r="C2388" t="s">
        <v>60</v>
      </c>
      <c r="D2388" t="s">
        <v>61</v>
      </c>
      <c r="E2388" t="s">
        <v>16294</v>
      </c>
      <c r="F2388" s="2" t="n">
        <f>HYPERLINK("https://patents.google.com/patent/US20200330473","Google")</f>
        <v>0.0</v>
      </c>
      <c r="G2388" s="2" t="n">
        <f>HYPERLINK("https://patentcenter.uspto.gov/applications/16830764","Patent Center")</f>
        <v>0.0</v>
      </c>
      <c r="H2388" s="2" t="n">
        <f>HYPERLINK("https://worldwide.espacenet.com/patent/search?q=US20200330473","Espacenet")</f>
        <v>0.0</v>
      </c>
      <c r="I2388" s="2" t="n">
        <f>HYPERLINK("https://ppubs.uspto.gov/pubwebapp/external.html?q=20200330473.pn.","USPTO")</f>
        <v>0.0</v>
      </c>
      <c r="J2388" s="2" t="n">
        <f>HYPERLINK("https://image-ppubs.uspto.gov/dirsearch-public/print/downloadPdf/20200330473","USPTO PDF")</f>
        <v>0.0</v>
      </c>
      <c r="K2388" s="2" t="n">
        <f>HYPERLINK("https://sectors.patentforecast.com/pmd/US20200330473","PMD")</f>
        <v>0.0</v>
      </c>
      <c r="L2388" s="2" t="n">
        <f>HYPERLINK("https://globaldossier.uspto.gov/result/application/US/16830764/1","US20200330473")</f>
        <v>0.0</v>
      </c>
      <c r="M2388" t="s">
        <v>16295</v>
      </c>
      <c r="N2388" t="s">
        <v>5274</v>
      </c>
      <c r="O2388" t="s">
        <v>5275</v>
      </c>
      <c r="P2388" t="s">
        <v>16296</v>
      </c>
      <c r="Q2388" s="3" t="n">
        <v>43916.0</v>
      </c>
      <c r="R2388" s="3" t="n">
        <v>44126.0</v>
      </c>
      <c r="S2388" s="3" t="n">
        <v>44131.23406847222</v>
      </c>
      <c r="T2388" s="3" t="n">
        <v>44131.372089791665</v>
      </c>
      <c r="U2388" t="s">
        <v>16297</v>
      </c>
      <c r="V2388" t="s">
        <v>16298</v>
      </c>
    </row>
    <row r="2389">
      <c r="A2389" t="s">
        <v>22</v>
      </c>
      <c r="B2389" t="s">
        <v>16299</v>
      </c>
      <c r="C2389" t="s">
        <v>24</v>
      </c>
      <c r="D2389" t="s">
        <v>69</v>
      </c>
      <c r="E2389" t="s">
        <v>16300</v>
      </c>
      <c r="F2389" s="2" t="n">
        <f>HYPERLINK("https://patents.google.com/patent/US20200329792","Google")</f>
        <v>0.0</v>
      </c>
      <c r="G2389" s="2" t="n">
        <f>HYPERLINK("https://patentcenter.uspto.gov/applications/16918819","Patent Center")</f>
        <v>0.0</v>
      </c>
      <c r="H2389" s="2" t="n">
        <f>HYPERLINK("https://worldwide.espacenet.com/patent/search?q=US20200329792","Espacenet")</f>
        <v>0.0</v>
      </c>
      <c r="I2389" s="2" t="n">
        <f>HYPERLINK("https://ppubs.uspto.gov/pubwebapp/external.html?q=20200329792.pn.","USPTO")</f>
        <v>0.0</v>
      </c>
      <c r="J2389" s="2" t="n">
        <f>HYPERLINK("https://image-ppubs.uspto.gov/dirsearch-public/print/downloadPdf/20200329792","USPTO PDF")</f>
        <v>0.0</v>
      </c>
      <c r="K2389" s="2" t="n">
        <f>HYPERLINK("https://sectors.patentforecast.com/pmd/US20200329792","PMD")</f>
        <v>0.0</v>
      </c>
      <c r="L2389" s="2" t="n">
        <f>HYPERLINK("https://globaldossier.uspto.gov/result/application/US/16918819/1","US20200329792")</f>
        <v>0.0</v>
      </c>
      <c r="M2389" t="s">
        <v>16301</v>
      </c>
      <c r="N2389" t="s">
        <v>16302</v>
      </c>
      <c r="O2389" t="s">
        <v>16303</v>
      </c>
      <c r="P2389" t="s">
        <v>16304</v>
      </c>
      <c r="Q2389" s="3" t="n">
        <v>44013.0</v>
      </c>
      <c r="R2389" s="3" t="n">
        <v>44126.0</v>
      </c>
      <c r="S2389" s="3" t="n">
        <v>44131.22956247685</v>
      </c>
      <c r="T2389" s="3" t="n">
        <v>44131.37393967593</v>
      </c>
      <c r="U2389" t="s">
        <v>5009</v>
      </c>
      <c r="V2389" t="s">
        <v>16305</v>
      </c>
    </row>
    <row r="2390">
      <c r="A2390" t="s">
        <v>22</v>
      </c>
      <c r="B2390" t="s">
        <v>16306</v>
      </c>
      <c r="C2390" t="s">
        <v>24</v>
      </c>
      <c r="D2390" t="s">
        <v>204</v>
      </c>
      <c r="E2390" t="s">
        <v>16307</v>
      </c>
      <c r="F2390" s="2" t="n">
        <f>HYPERLINK("https://patents.google.com/patent/US20200327977","Google")</f>
        <v>0.0</v>
      </c>
      <c r="G2390" s="2" t="n">
        <f>HYPERLINK("https://patentcenter.uspto.gov/applications/16911651","Patent Center")</f>
        <v>0.0</v>
      </c>
      <c r="H2390" s="2" t="n">
        <f>HYPERLINK("https://worldwide.espacenet.com/patent/search?q=US20200327977","Espacenet")</f>
        <v>0.0</v>
      </c>
      <c r="I2390" s="2" t="n">
        <f>HYPERLINK("https://ppubs.uspto.gov/pubwebapp/external.html?q=20200327977.pn.","USPTO")</f>
        <v>0.0</v>
      </c>
      <c r="J2390" s="2" t="n">
        <f>HYPERLINK("https://image-ppubs.uspto.gov/dirsearch-public/print/downloadPdf/20200327977","USPTO PDF")</f>
        <v>0.0</v>
      </c>
      <c r="K2390" s="2" t="n">
        <f>HYPERLINK("https://sectors.patentforecast.com/pmd/US20200327977","PMD")</f>
        <v>0.0</v>
      </c>
      <c r="L2390" s="2" t="n">
        <f>HYPERLINK("https://globaldossier.uspto.gov/result/application/US/16911651/1","US20200327977")</f>
        <v>0.0</v>
      </c>
      <c r="M2390" t="s">
        <v>16308</v>
      </c>
      <c r="N2390" t="s">
        <v>16309</v>
      </c>
      <c r="O2390" t="s">
        <v>16309</v>
      </c>
      <c r="P2390" t="s">
        <v>16310</v>
      </c>
      <c r="Q2390" s="3" t="n">
        <v>44007.0</v>
      </c>
      <c r="R2390" s="3" t="n">
        <v>44119.0</v>
      </c>
      <c r="S2390" s="3" t="n">
        <v>44119.22957084491</v>
      </c>
      <c r="T2390" s="3" t="n">
        <v>44119.43560585648</v>
      </c>
      <c r="U2390" t="s">
        <v>16311</v>
      </c>
      <c r="V2390" t="s">
        <v>16312</v>
      </c>
    </row>
    <row r="2391">
      <c r="A2391" t="s">
        <v>22</v>
      </c>
      <c r="B2391" t="s">
        <v>16313</v>
      </c>
      <c r="C2391" t="s">
        <v>60</v>
      </c>
      <c r="D2391" t="s">
        <v>61</v>
      </c>
      <c r="E2391" t="s">
        <v>16314</v>
      </c>
      <c r="F2391" s="2" t="n">
        <f>HYPERLINK("https://patents.google.com/patent/US20200325182","Google")</f>
        <v>0.0</v>
      </c>
      <c r="G2391" s="2" t="n">
        <f>HYPERLINK("https://patentcenter.uspto.gov/applications/16917899","Patent Center")</f>
        <v>0.0</v>
      </c>
      <c r="H2391" s="2" t="n">
        <f>HYPERLINK("https://worldwide.espacenet.com/patent/search?q=US20200325182","Espacenet")</f>
        <v>0.0</v>
      </c>
      <c r="I2391" s="2" t="n">
        <f>HYPERLINK("https://ppubs.uspto.gov/pubwebapp/external.html?q=20200325182.pn.","USPTO")</f>
        <v>0.0</v>
      </c>
      <c r="J2391" s="2" t="n">
        <f>HYPERLINK("https://image-ppubs.uspto.gov/dirsearch-public/print/downloadPdf/20200325182","USPTO PDF")</f>
        <v>0.0</v>
      </c>
      <c r="K2391" s="2" t="n">
        <f>HYPERLINK("https://sectors.patentforecast.com/pmd/US20200325182","PMD")</f>
        <v>0.0</v>
      </c>
      <c r="L2391" s="2" t="n">
        <f>HYPERLINK("https://globaldossier.uspto.gov/result/application/US/16917899/1","US20200325182")</f>
        <v>0.0</v>
      </c>
      <c r="M2391" t="s">
        <v>16315</v>
      </c>
      <c r="N2391" t="s">
        <v>16316</v>
      </c>
      <c r="O2391" t="s">
        <v>16317</v>
      </c>
      <c r="P2391" t="s">
        <v>16318</v>
      </c>
      <c r="Q2391" s="3" t="n">
        <v>44012.0</v>
      </c>
      <c r="R2391" s="3" t="n">
        <v>44119.0</v>
      </c>
      <c r="S2391" s="3" t="n">
        <v>44119.22957084491</v>
      </c>
      <c r="T2391" s="3" t="n">
        <v>44119.43800412037</v>
      </c>
      <c r="U2391" t="s">
        <v>16319</v>
      </c>
      <c r="V2391" t="s">
        <v>16320</v>
      </c>
    </row>
    <row r="2392">
      <c r="A2392" t="s">
        <v>22</v>
      </c>
      <c r="B2392" t="s">
        <v>16321</v>
      </c>
      <c r="C2392" t="s">
        <v>132</v>
      </c>
      <c r="D2392" t="s">
        <v>11423</v>
      </c>
      <c r="E2392" t="s">
        <v>16322</v>
      </c>
      <c r="F2392" s="2" t="n">
        <f>HYPERLINK("https://patents.google.com/patent/US20200323979","Google")</f>
        <v>0.0</v>
      </c>
      <c r="G2392" s="2" t="n">
        <f>HYPERLINK("https://patentcenter.uspto.gov/applications/15876630","Patent Center")</f>
        <v>0.0</v>
      </c>
      <c r="H2392" s="2" t="n">
        <f>HYPERLINK("https://worldwide.espacenet.com/patent/search?q=US20200323979","Espacenet")</f>
        <v>0.0</v>
      </c>
      <c r="I2392" s="2" t="n">
        <f>HYPERLINK("https://ppubs.uspto.gov/pubwebapp/external.html?q=20200323979.pn.","USPTO")</f>
        <v>0.0</v>
      </c>
      <c r="J2392" s="2" t="n">
        <f>HYPERLINK("https://image-ppubs.uspto.gov/dirsearch-public/print/downloadPdf/20200323979","USPTO PDF")</f>
        <v>0.0</v>
      </c>
      <c r="K2392" s="2" t="n">
        <f>HYPERLINK("https://sectors.patentforecast.com/pmd/US20200323979","PMD")</f>
        <v>0.0</v>
      </c>
      <c r="L2392" s="2" t="n">
        <f>HYPERLINK("https://globaldossier.uspto.gov/result/application/US/15876630/1","US20200323979")</f>
        <v>0.0</v>
      </c>
      <c r="M2392" t="s">
        <v>16323</v>
      </c>
      <c r="N2392" t="s">
        <v>1275</v>
      </c>
      <c r="O2392" t="s">
        <v>1275</v>
      </c>
      <c r="P2392" t="s">
        <v>16324</v>
      </c>
      <c r="Q2392" s="3" t="n">
        <v>43122.0</v>
      </c>
      <c r="R2392" s="3" t="n">
        <v>44119.0</v>
      </c>
      <c r="S2392" s="3" t="n">
        <v>44119.23199833334</v>
      </c>
      <c r="T2392" s="3" t="n">
        <v>44119.439300300925</v>
      </c>
      <c r="U2392" t="s">
        <v>16325</v>
      </c>
      <c r="V2392" t="s">
        <v>16326</v>
      </c>
    </row>
    <row r="2393">
      <c r="A2393" t="s">
        <v>22</v>
      </c>
      <c r="B2393" t="s">
        <v>16327</v>
      </c>
      <c r="C2393" t="s">
        <v>60</v>
      </c>
      <c r="D2393" t="s">
        <v>61</v>
      </c>
      <c r="E2393" t="s">
        <v>16328</v>
      </c>
      <c r="F2393" s="2" t="n">
        <f>HYPERLINK("https://patents.google.com/patent/US20200323917","Google")</f>
        <v>0.0</v>
      </c>
      <c r="G2393" s="2" t="n">
        <f>HYPERLINK("https://patentcenter.uspto.gov/applications/16915547","Patent Center")</f>
        <v>0.0</v>
      </c>
      <c r="H2393" s="2" t="n">
        <f>HYPERLINK("https://worldwide.espacenet.com/patent/search?q=US20200323917","Espacenet")</f>
        <v>0.0</v>
      </c>
      <c r="I2393" s="2" t="n">
        <f>HYPERLINK("https://ppubs.uspto.gov/pubwebapp/external.html?q=20200323917.pn.","USPTO")</f>
        <v>0.0</v>
      </c>
      <c r="J2393" s="2" t="n">
        <f>HYPERLINK("https://image-ppubs.uspto.gov/dirsearch-public/print/downloadPdf/20200323917","USPTO PDF")</f>
        <v>0.0</v>
      </c>
      <c r="K2393" s="2" t="n">
        <f>HYPERLINK("https://sectors.patentforecast.com/pmd/US20200323917","PMD")</f>
        <v>0.0</v>
      </c>
      <c r="L2393" s="2" t="n">
        <f>HYPERLINK("https://globaldossier.uspto.gov/result/application/US/16915547/1","US20200323917")</f>
        <v>0.0</v>
      </c>
      <c r="M2393" t="s">
        <v>16329</v>
      </c>
      <c r="N2393" t="s">
        <v>13514</v>
      </c>
      <c r="O2393" t="s">
        <v>13515</v>
      </c>
      <c r="P2393" t="s">
        <v>13516</v>
      </c>
      <c r="Q2393" s="3" t="n">
        <v>44011.0</v>
      </c>
      <c r="R2393" s="3" t="n">
        <v>44119.0</v>
      </c>
      <c r="S2393" s="3" t="n">
        <v>44119.22957084491</v>
      </c>
      <c r="T2393" s="3" t="n">
        <v>44119.43438326389</v>
      </c>
      <c r="U2393" t="s">
        <v>16330</v>
      </c>
      <c r="V2393" t="s">
        <v>13518</v>
      </c>
    </row>
    <row r="2394">
      <c r="A2394" t="s">
        <v>22</v>
      </c>
      <c r="B2394" t="s">
        <v>16331</v>
      </c>
      <c r="C2394" t="s">
        <v>24</v>
      </c>
      <c r="D2394" t="s">
        <v>34</v>
      </c>
      <c r="E2394" t="s">
        <v>16332</v>
      </c>
      <c r="F2394" s="2" t="n">
        <f>HYPERLINK("https://patents.google.com/patent/US20200323484","Google")</f>
        <v>0.0</v>
      </c>
      <c r="G2394" s="2" t="n">
        <f>HYPERLINK("https://patentcenter.uspto.gov/applications/16906091","Patent Center")</f>
        <v>0.0</v>
      </c>
      <c r="H2394" s="2" t="n">
        <f>HYPERLINK("https://worldwide.espacenet.com/patent/search?q=US20200323484","Espacenet")</f>
        <v>0.0</v>
      </c>
      <c r="I2394" s="2" t="n">
        <f>HYPERLINK("https://ppubs.uspto.gov/pubwebapp/external.html?q=20200323484.pn.","USPTO")</f>
        <v>0.0</v>
      </c>
      <c r="J2394" s="2" t="n">
        <f>HYPERLINK("https://image-ppubs.uspto.gov/dirsearch-public/print/downloadPdf/20200323484","USPTO PDF")</f>
        <v>0.0</v>
      </c>
      <c r="K2394" s="2" t="n">
        <f>HYPERLINK("https://sectors.patentforecast.com/pmd/US20200323484","PMD")</f>
        <v>0.0</v>
      </c>
      <c r="L2394" s="2" t="n">
        <f>HYPERLINK("https://globaldossier.uspto.gov/result/application/US/16906091/1","US20200323484")</f>
        <v>0.0</v>
      </c>
      <c r="M2394" t="s">
        <v>16333</v>
      </c>
      <c r="N2394" t="s">
        <v>16334</v>
      </c>
      <c r="O2394" t="s">
        <v>16334</v>
      </c>
      <c r="P2394" t="s">
        <v>16335</v>
      </c>
      <c r="Q2394" s="3" t="n">
        <v>44001.0</v>
      </c>
      <c r="R2394" s="3" t="n">
        <v>44119.0</v>
      </c>
      <c r="S2394" s="3" t="n">
        <v>44119.22957084491</v>
      </c>
      <c r="T2394" s="3" t="n">
        <v>44119.4361862963</v>
      </c>
      <c r="U2394" t="s">
        <v>16336</v>
      </c>
      <c r="V2394" t="s">
        <v>16337</v>
      </c>
    </row>
    <row r="2395">
      <c r="A2395" t="s">
        <v>22</v>
      </c>
      <c r="B2395" t="s">
        <v>16338</v>
      </c>
      <c r="C2395" t="s">
        <v>24</v>
      </c>
      <c r="D2395" t="s">
        <v>3193</v>
      </c>
      <c r="E2395" t="s">
        <v>16339</v>
      </c>
      <c r="F2395" s="2" t="n">
        <f>HYPERLINK("https://patents.google.com/patent/US20200321127","Google")</f>
        <v>0.0</v>
      </c>
      <c r="G2395" s="2" t="n">
        <f>HYPERLINK("https://patentcenter.uspto.gov/applications/16904508","Patent Center")</f>
        <v>0.0</v>
      </c>
      <c r="H2395" s="2" t="n">
        <f>HYPERLINK("https://worldwide.espacenet.com/patent/search?q=US20200321127","Espacenet")</f>
        <v>0.0</v>
      </c>
      <c r="I2395" s="2" t="n">
        <f>HYPERLINK("https://ppubs.uspto.gov/pubwebapp/external.html?q=20200321127.pn.","USPTO")</f>
        <v>0.0</v>
      </c>
      <c r="J2395" s="2" t="n">
        <f>HYPERLINK("https://image-ppubs.uspto.gov/dirsearch-public/print/downloadPdf/20200321127","USPTO PDF")</f>
        <v>0.0</v>
      </c>
      <c r="K2395" s="2" t="n">
        <f>HYPERLINK("https://sectors.patentforecast.com/pmd/US20200321127","PMD")</f>
        <v>0.0</v>
      </c>
      <c r="L2395" s="2" t="n">
        <f>HYPERLINK("https://globaldossier.uspto.gov/result/application/US/16904508/1","US20200321127")</f>
        <v>0.0</v>
      </c>
      <c r="M2395" t="s">
        <v>16340</v>
      </c>
      <c r="N2395" t="s">
        <v>16341</v>
      </c>
      <c r="O2395" t="s">
        <v>16342</v>
      </c>
      <c r="P2395" t="s">
        <v>16343</v>
      </c>
      <c r="Q2395" s="3" t="n">
        <v>43999.0</v>
      </c>
      <c r="R2395" s="3" t="n">
        <v>44112.0</v>
      </c>
      <c r="S2395" s="3" t="n">
        <v>44119.23014681713</v>
      </c>
      <c r="T2395" s="3" t="n">
        <v>44119.436631400466</v>
      </c>
      <c r="U2395" t="s">
        <v>16344</v>
      </c>
      <c r="V2395" t="s">
        <v>16345</v>
      </c>
    </row>
    <row r="2396">
      <c r="A2396" t="s">
        <v>22</v>
      </c>
      <c r="B2396" t="s">
        <v>16346</v>
      </c>
      <c r="C2396" t="s">
        <v>60</v>
      </c>
      <c r="D2396" t="s">
        <v>61</v>
      </c>
      <c r="E2396" t="s">
        <v>16347</v>
      </c>
      <c r="F2396" s="2" t="n">
        <f>HYPERLINK("https://patents.google.com/patent/US20200318117","Google")</f>
        <v>0.0</v>
      </c>
      <c r="G2396" s="2" t="n">
        <f>HYPERLINK("https://patentcenter.uspto.gov/applications/16908346","Patent Center")</f>
        <v>0.0</v>
      </c>
      <c r="H2396" s="2" t="n">
        <f>HYPERLINK("https://worldwide.espacenet.com/patent/search?q=US20200318117","Espacenet")</f>
        <v>0.0</v>
      </c>
      <c r="I2396" s="2" t="n">
        <f>HYPERLINK("https://ppubs.uspto.gov/pubwebapp/external.html?q=20200318117.pn.","USPTO")</f>
        <v>0.0</v>
      </c>
      <c r="J2396" s="2" t="n">
        <f>HYPERLINK("https://image-ppubs.uspto.gov/dirsearch-public/print/downloadPdf/20200318117","USPTO PDF")</f>
        <v>0.0</v>
      </c>
      <c r="K2396" s="2" t="n">
        <f>HYPERLINK("https://sectors.patentforecast.com/pmd/US20200318117","PMD")</f>
        <v>0.0</v>
      </c>
      <c r="L2396" s="2" t="n">
        <f>HYPERLINK("https://globaldossier.uspto.gov/result/application/US/16908346/1","US20200318117")</f>
        <v>0.0</v>
      </c>
      <c r="M2396" t="s">
        <v>16348</v>
      </c>
      <c r="N2396" t="s">
        <v>16349</v>
      </c>
      <c r="O2396" t="s">
        <v>16350</v>
      </c>
      <c r="P2396" t="s">
        <v>16351</v>
      </c>
      <c r="Q2396" s="3" t="n">
        <v>44004.0</v>
      </c>
      <c r="R2396" s="3" t="n">
        <v>44112.0</v>
      </c>
      <c r="S2396" s="3" t="n">
        <v>44112.23322472222</v>
      </c>
      <c r="T2396" s="3" t="n">
        <v>44112.53025524306</v>
      </c>
      <c r="U2396" t="s">
        <v>16352</v>
      </c>
      <c r="V2396" t="s">
        <v>16353</v>
      </c>
    </row>
    <row r="2397">
      <c r="A2397" t="s">
        <v>22</v>
      </c>
      <c r="B2397" t="s">
        <v>16354</v>
      </c>
      <c r="C2397" t="s">
        <v>60</v>
      </c>
      <c r="D2397" t="s">
        <v>77</v>
      </c>
      <c r="E2397" t="s">
        <v>236</v>
      </c>
      <c r="F2397" s="2" t="n">
        <f>HYPERLINK("https://patents.google.com/patent/US20200308262","Google")</f>
        <v>0.0</v>
      </c>
      <c r="G2397" s="2" t="n">
        <f>HYPERLINK("https://patentcenter.uspto.gov/applications/16856407","Patent Center")</f>
        <v>0.0</v>
      </c>
      <c r="H2397" s="2" t="n">
        <f>HYPERLINK("https://worldwide.espacenet.com/patent/search?q=US20200308262","Espacenet")</f>
        <v>0.0</v>
      </c>
      <c r="I2397" s="2" t="n">
        <f>HYPERLINK("https://ppubs.uspto.gov/pubwebapp/external.html?q=20200308262.pn.","USPTO")</f>
        <v>0.0</v>
      </c>
      <c r="J2397" s="2" t="n">
        <f>HYPERLINK("https://image-ppubs.uspto.gov/dirsearch-public/print/downloadPdf/20200308262","USPTO PDF")</f>
        <v>0.0</v>
      </c>
      <c r="K2397" s="2" t="n">
        <f>HYPERLINK("https://sectors.patentforecast.com/pmd/US20200308262","PMD")</f>
        <v>0.0</v>
      </c>
      <c r="L2397" s="2" t="n">
        <f>HYPERLINK("https://globaldossier.uspto.gov/result/application/US/16856407/1","US20200308262")</f>
        <v>0.0</v>
      </c>
      <c r="M2397" t="s">
        <v>16355</v>
      </c>
      <c r="N2397" t="s">
        <v>238</v>
      </c>
      <c r="O2397" t="s">
        <v>239</v>
      </c>
      <c r="P2397" t="s">
        <v>16356</v>
      </c>
      <c r="Q2397" s="3" t="n">
        <v>43944.0</v>
      </c>
      <c r="R2397" s="3" t="n">
        <v>44105.0</v>
      </c>
      <c r="S2397" s="3" t="n">
        <v>44105.22951942129</v>
      </c>
      <c r="T2397" s="3" t="n">
        <v>44105.38052199074</v>
      </c>
      <c r="U2397" t="s">
        <v>16357</v>
      </c>
      <c r="V2397" t="s">
        <v>242</v>
      </c>
    </row>
    <row r="2398">
      <c r="A2398" t="s">
        <v>22</v>
      </c>
      <c r="B2398" t="s">
        <v>16358</v>
      </c>
      <c r="C2398" t="s">
        <v>132</v>
      </c>
      <c r="D2398" t="s">
        <v>133</v>
      </c>
      <c r="E2398" t="s">
        <v>14547</v>
      </c>
      <c r="F2398" s="2" t="n">
        <f>HYPERLINK("https://patents.google.com/patent/US20200308232","Google")</f>
        <v>0.0</v>
      </c>
      <c r="G2398" s="2" t="n">
        <f>HYPERLINK("https://patentcenter.uspto.gov/applications/15929356","Patent Center")</f>
        <v>0.0</v>
      </c>
      <c r="H2398" s="2" t="n">
        <f>HYPERLINK("https://worldwide.espacenet.com/patent/search?q=US20200308232","Espacenet")</f>
        <v>0.0</v>
      </c>
      <c r="I2398" s="2" t="n">
        <f>HYPERLINK("https://ppubs.uspto.gov/pubwebapp/external.html?q=20200308232.pn.","USPTO")</f>
        <v>0.0</v>
      </c>
      <c r="J2398" s="2" t="n">
        <f>HYPERLINK("https://image-ppubs.uspto.gov/dirsearch-public/print/downloadPdf/20200308232","USPTO PDF")</f>
        <v>0.0</v>
      </c>
      <c r="K2398" s="2" t="n">
        <f>HYPERLINK("https://sectors.patentforecast.com/pmd/US20200308232","PMD")</f>
        <v>0.0</v>
      </c>
      <c r="L2398" s="2" t="n">
        <f>HYPERLINK("https://globaldossier.uspto.gov/result/application/US/15929356/1","US20200308232")</f>
        <v>0.0</v>
      </c>
      <c r="M2398" t="s">
        <v>16359</v>
      </c>
      <c r="N2398" t="s">
        <v>2038</v>
      </c>
      <c r="O2398" t="s">
        <v>2039</v>
      </c>
      <c r="P2398" t="s">
        <v>14549</v>
      </c>
      <c r="Q2398" s="3" t="n">
        <v>43949.0</v>
      </c>
      <c r="R2398" s="3" t="n">
        <v>44105.0</v>
      </c>
      <c r="S2398" s="3" t="n">
        <v>44105.23068028935</v>
      </c>
      <c r="T2398" s="3" t="n">
        <v>44105.37367017361</v>
      </c>
      <c r="U2398" t="s">
        <v>16360</v>
      </c>
      <c r="V2398" t="s">
        <v>16361</v>
      </c>
    </row>
    <row r="2399">
      <c r="A2399" t="s">
        <v>22</v>
      </c>
      <c r="B2399" t="s">
        <v>16362</v>
      </c>
      <c r="C2399" t="s">
        <v>60</v>
      </c>
      <c r="D2399" t="s">
        <v>715</v>
      </c>
      <c r="E2399" t="s">
        <v>16363</v>
      </c>
      <c r="F2399" s="2" t="n">
        <f>HYPERLINK("https://patents.google.com/patent/US20200307749","Google")</f>
        <v>0.0</v>
      </c>
      <c r="G2399" s="2" t="n">
        <f>HYPERLINK("https://patentcenter.uspto.gov/applications/16863615","Patent Center")</f>
        <v>0.0</v>
      </c>
      <c r="H2399" s="2" t="n">
        <f>HYPERLINK("https://worldwide.espacenet.com/patent/search?q=US20200307749","Espacenet")</f>
        <v>0.0</v>
      </c>
      <c r="I2399" s="2" t="n">
        <f>HYPERLINK("https://ppubs.uspto.gov/pubwebapp/external.html?q=20200307749.pn.","USPTO")</f>
        <v>0.0</v>
      </c>
      <c r="J2399" s="2" t="n">
        <f>HYPERLINK("https://image-ppubs.uspto.gov/dirsearch-public/print/downloadPdf/20200307749","USPTO PDF")</f>
        <v>0.0</v>
      </c>
      <c r="K2399" s="2" t="n">
        <f>HYPERLINK("https://sectors.patentforecast.com/pmd/US20200307749","PMD")</f>
        <v>0.0</v>
      </c>
      <c r="L2399" s="2" t="n">
        <f>HYPERLINK("https://globaldossier.uspto.gov/result/application/US/16863615/1","US20200307749")</f>
        <v>0.0</v>
      </c>
      <c r="M2399" t="s">
        <v>16364</v>
      </c>
      <c r="N2399" t="s">
        <v>16365</v>
      </c>
      <c r="O2399" t="s">
        <v>16366</v>
      </c>
      <c r="P2399" t="s">
        <v>16367</v>
      </c>
      <c r="Q2399" s="3" t="n">
        <v>43951.0</v>
      </c>
      <c r="R2399" s="3" t="n">
        <v>44105.0</v>
      </c>
      <c r="S2399" s="3" t="n">
        <v>44105.22951942129</v>
      </c>
      <c r="T2399" s="3" t="n">
        <v>44105.374415</v>
      </c>
      <c r="U2399" t="s">
        <v>16368</v>
      </c>
      <c r="V2399" t="s">
        <v>16369</v>
      </c>
    </row>
    <row r="2400">
      <c r="A2400" t="s">
        <v>22</v>
      </c>
      <c r="B2400" t="s">
        <v>16370</v>
      </c>
      <c r="C2400" t="s">
        <v>60</v>
      </c>
      <c r="D2400" t="s">
        <v>715</v>
      </c>
      <c r="E2400" t="s">
        <v>16371</v>
      </c>
      <c r="F2400" s="2" t="n">
        <f>HYPERLINK("https://patents.google.com/patent/US20200306476","Google")</f>
        <v>0.0</v>
      </c>
      <c r="G2400" s="2" t="n">
        <f>HYPERLINK("https://patentcenter.uspto.gov/applications/16847926","Patent Center")</f>
        <v>0.0</v>
      </c>
      <c r="H2400" s="2" t="n">
        <f>HYPERLINK("https://worldwide.espacenet.com/patent/search?q=US20200306476","Espacenet")</f>
        <v>0.0</v>
      </c>
      <c r="I2400" s="2" t="n">
        <f>HYPERLINK("https://ppubs.uspto.gov/pubwebapp/external.html?q=20200306476.pn.","USPTO")</f>
        <v>0.0</v>
      </c>
      <c r="J2400" s="2" t="n">
        <f>HYPERLINK("https://image-ppubs.uspto.gov/dirsearch-public/print/downloadPdf/20200306476","USPTO PDF")</f>
        <v>0.0</v>
      </c>
      <c r="K2400" s="2" t="n">
        <f>HYPERLINK("https://sectors.patentforecast.com/pmd/US20200306476","PMD")</f>
        <v>0.0</v>
      </c>
      <c r="L2400" s="2" t="n">
        <f>HYPERLINK("https://globaldossier.uspto.gov/result/application/US/16847926/1","US20200306476")</f>
        <v>0.0</v>
      </c>
      <c r="M2400" t="s">
        <v>16372</v>
      </c>
      <c r="N2400" t="s">
        <v>10111</v>
      </c>
      <c r="O2400" t="s">
        <v>10112</v>
      </c>
      <c r="P2400" t="s">
        <v>16373</v>
      </c>
      <c r="Q2400" s="3" t="n">
        <v>43935.0</v>
      </c>
      <c r="R2400" s="3" t="n">
        <v>44105.0</v>
      </c>
      <c r="S2400" s="3" t="n">
        <v>44105.22951942129</v>
      </c>
      <c r="T2400" s="3" t="n">
        <v>44105.375585856484</v>
      </c>
      <c r="U2400" t="s">
        <v>16374</v>
      </c>
      <c r="V2400" t="s">
        <v>16375</v>
      </c>
    </row>
    <row r="2401">
      <c r="A2401" t="s">
        <v>22</v>
      </c>
      <c r="B2401" t="s">
        <v>16376</v>
      </c>
      <c r="C2401" t="s">
        <v>60</v>
      </c>
      <c r="D2401" t="s">
        <v>61</v>
      </c>
      <c r="E2401" t="s">
        <v>16377</v>
      </c>
      <c r="F2401" s="2" t="n">
        <f>HYPERLINK("https://patents.google.com/patent/US20200306400","Google")</f>
        <v>0.0</v>
      </c>
      <c r="G2401" s="2" t="n">
        <f>HYPERLINK("https://patentcenter.uspto.gov/applications/16894235","Patent Center")</f>
        <v>0.0</v>
      </c>
      <c r="H2401" s="2" t="n">
        <f>HYPERLINK("https://worldwide.espacenet.com/patent/search?q=US20200306400","Espacenet")</f>
        <v>0.0</v>
      </c>
      <c r="I2401" s="2" t="n">
        <f>HYPERLINK("https://ppubs.uspto.gov/pubwebapp/external.html?q=20200306400.pn.","USPTO")</f>
        <v>0.0</v>
      </c>
      <c r="J2401" s="2" t="n">
        <f>HYPERLINK("https://image-ppubs.uspto.gov/dirsearch-public/print/downloadPdf/20200306400","USPTO PDF")</f>
        <v>0.0</v>
      </c>
      <c r="K2401" s="2" t="n">
        <f>HYPERLINK("https://sectors.patentforecast.com/pmd/US20200306400","PMD")</f>
        <v>0.0</v>
      </c>
      <c r="L2401" s="2" t="n">
        <f>HYPERLINK("https://globaldossier.uspto.gov/result/application/US/16894235/1","US20200306400")</f>
        <v>0.0</v>
      </c>
      <c r="M2401" t="s">
        <v>16378</v>
      </c>
      <c r="N2401" t="s">
        <v>16379</v>
      </c>
      <c r="O2401" t="s">
        <v>16380</v>
      </c>
      <c r="P2401" t="s">
        <v>16381</v>
      </c>
      <c r="Q2401" s="3" t="n">
        <v>43987.0</v>
      </c>
      <c r="R2401" s="3" t="n">
        <v>44105.0</v>
      </c>
      <c r="S2401" s="3" t="n">
        <v>44105.22951942129</v>
      </c>
      <c r="T2401" s="3" t="n">
        <v>44105.37738045139</v>
      </c>
      <c r="U2401" t="s">
        <v>16382</v>
      </c>
      <c r="V2401" t="s">
        <v>16383</v>
      </c>
    </row>
    <row r="2402">
      <c r="A2402" t="s">
        <v>22</v>
      </c>
      <c r="B2402" t="s">
        <v>16384</v>
      </c>
      <c r="C2402" t="s">
        <v>60</v>
      </c>
      <c r="D2402" t="s">
        <v>61</v>
      </c>
      <c r="E2402" t="s">
        <v>16385</v>
      </c>
      <c r="F2402" s="2" t="n">
        <f>HYPERLINK("https://patents.google.com/patent/US20200306338","Google")</f>
        <v>0.0</v>
      </c>
      <c r="G2402" s="2" t="n">
        <f>HYPERLINK("https://patentcenter.uspto.gov/applications/16831187","Patent Center")</f>
        <v>0.0</v>
      </c>
      <c r="H2402" s="2" t="n">
        <f>HYPERLINK("https://worldwide.espacenet.com/patent/search?q=US20200306338","Espacenet")</f>
        <v>0.0</v>
      </c>
      <c r="I2402" s="2" t="n">
        <f>HYPERLINK("https://ppubs.uspto.gov/pubwebapp/external.html?q=20200306338.pn.","USPTO")</f>
        <v>0.0</v>
      </c>
      <c r="J2402" s="2" t="n">
        <f>HYPERLINK("https://image-ppubs.uspto.gov/dirsearch-public/print/downloadPdf/20200306338","USPTO PDF")</f>
        <v>0.0</v>
      </c>
      <c r="K2402" s="2" t="n">
        <f>HYPERLINK("https://sectors.patentforecast.com/pmd/US20200306338","PMD")</f>
        <v>0.0</v>
      </c>
      <c r="L2402" s="2" t="n">
        <f>HYPERLINK("https://globaldossier.uspto.gov/result/application/US/16831187/1","US20200306338")</f>
        <v>0.0</v>
      </c>
      <c r="M2402" t="s">
        <v>16386</v>
      </c>
      <c r="N2402" t="s">
        <v>16387</v>
      </c>
      <c r="O2402" t="s">
        <v>16387</v>
      </c>
      <c r="P2402" t="s">
        <v>16388</v>
      </c>
      <c r="Q2402" s="3" t="n">
        <v>43916.0</v>
      </c>
      <c r="R2402" s="3" t="n">
        <v>44105.0</v>
      </c>
      <c r="S2402" s="3" t="n">
        <v>44105.23068028935</v>
      </c>
      <c r="T2402" s="3" t="n">
        <v>44105.37287655093</v>
      </c>
      <c r="U2402" t="s">
        <v>16389</v>
      </c>
      <c r="V2402" t="s">
        <v>16390</v>
      </c>
    </row>
    <row r="2403">
      <c r="A2403" t="s">
        <v>22</v>
      </c>
      <c r="B2403" t="s">
        <v>16391</v>
      </c>
      <c r="C2403" t="s">
        <v>24</v>
      </c>
      <c r="D2403" t="s">
        <v>25</v>
      </c>
      <c r="E2403" t="s">
        <v>8921</v>
      </c>
      <c r="F2403" s="2" t="n">
        <f>HYPERLINK("https://patents.google.com/patent/US20200304944","Google")</f>
        <v>0.0</v>
      </c>
      <c r="G2403" s="2" t="n">
        <f>HYPERLINK("https://patentcenter.uspto.gov/applications/16894030","Patent Center")</f>
        <v>0.0</v>
      </c>
      <c r="H2403" s="2" t="n">
        <f>HYPERLINK("https://worldwide.espacenet.com/patent/search?q=US20200304944","Espacenet")</f>
        <v>0.0</v>
      </c>
      <c r="I2403" s="2" t="n">
        <f>HYPERLINK("https://ppubs.uspto.gov/pubwebapp/external.html?q=20200304944.pn.","USPTO")</f>
        <v>0.0</v>
      </c>
      <c r="J2403" s="2" t="n">
        <f>HYPERLINK("https://image-ppubs.uspto.gov/dirsearch-public/print/downloadPdf/20200304944","USPTO PDF")</f>
        <v>0.0</v>
      </c>
      <c r="K2403" s="2" t="n">
        <f>HYPERLINK("https://sectors.patentforecast.com/pmd/US20200304944","PMD")</f>
        <v>0.0</v>
      </c>
      <c r="L2403" s="2" t="n">
        <f>HYPERLINK("https://globaldossier.uspto.gov/result/application/US/16894030/1","US20200304944")</f>
        <v>0.0</v>
      </c>
      <c r="M2403" t="s">
        <v>16392</v>
      </c>
      <c r="N2403" t="s">
        <v>8923</v>
      </c>
      <c r="O2403" t="s">
        <v>8924</v>
      </c>
      <c r="P2403" t="s">
        <v>8925</v>
      </c>
      <c r="Q2403" s="3" t="n">
        <v>43987.0</v>
      </c>
      <c r="R2403" s="3" t="n">
        <v>44098.0</v>
      </c>
      <c r="S2403" s="3" t="n">
        <v>44098.22951322917</v>
      </c>
      <c r="T2403" s="3" t="n">
        <v>44098.5394956713</v>
      </c>
      <c r="U2403" t="s">
        <v>16393</v>
      </c>
      <c r="V2403" t="s">
        <v>16394</v>
      </c>
    </row>
    <row r="2404">
      <c r="A2404" t="s">
        <v>22</v>
      </c>
      <c r="B2404" t="s">
        <v>16395</v>
      </c>
      <c r="C2404" t="s">
        <v>24</v>
      </c>
      <c r="D2404" t="s">
        <v>43</v>
      </c>
      <c r="E2404" t="s">
        <v>16396</v>
      </c>
      <c r="F2404" s="2" t="n">
        <f>HYPERLINK("https://patents.google.com/patent/US20200302452","Google")</f>
        <v>0.0</v>
      </c>
      <c r="G2404" s="2" t="n">
        <f>HYPERLINK("https://patentcenter.uspto.gov/applications/16858670","Patent Center")</f>
        <v>0.0</v>
      </c>
      <c r="H2404" s="2" t="n">
        <f>HYPERLINK("https://worldwide.espacenet.com/patent/search?q=US20200302452","Espacenet")</f>
        <v>0.0</v>
      </c>
      <c r="I2404" s="2" t="n">
        <f>HYPERLINK("https://ppubs.uspto.gov/pubwebapp/external.html?q=20200302452.pn.","USPTO")</f>
        <v>0.0</v>
      </c>
      <c r="J2404" s="2" t="n">
        <f>HYPERLINK("https://image-ppubs.uspto.gov/dirsearch-public/print/downloadPdf/20200302452","USPTO PDF")</f>
        <v>0.0</v>
      </c>
      <c r="K2404" s="2" t="n">
        <f>HYPERLINK("https://sectors.patentforecast.com/pmd/US20200302452","PMD")</f>
        <v>0.0</v>
      </c>
      <c r="L2404" s="2" t="n">
        <f>HYPERLINK("https://globaldossier.uspto.gov/result/application/US/16858670/1","US20200302452")</f>
        <v>0.0</v>
      </c>
      <c r="M2404" t="s">
        <v>16397</v>
      </c>
      <c r="N2404" t="s">
        <v>16398</v>
      </c>
      <c r="O2404" t="s">
        <v>16399</v>
      </c>
      <c r="P2404" t="s">
        <v>16400</v>
      </c>
      <c r="Q2404" s="3" t="n">
        <v>43947.0</v>
      </c>
      <c r="R2404" s="3" t="n">
        <v>44098.0</v>
      </c>
      <c r="S2404" s="3" t="n">
        <v>44098.23634019676</v>
      </c>
      <c r="T2404" s="3" t="n">
        <v>44098.53570840278</v>
      </c>
      <c r="U2404" t="s">
        <v>16401</v>
      </c>
      <c r="V2404" t="s">
        <v>16402</v>
      </c>
    </row>
    <row r="2405">
      <c r="A2405" t="s">
        <v>22</v>
      </c>
      <c r="B2405" t="s">
        <v>16403</v>
      </c>
      <c r="C2405" t="s">
        <v>60</v>
      </c>
      <c r="D2405" t="s">
        <v>77</v>
      </c>
      <c r="E2405" t="s">
        <v>2546</v>
      </c>
      <c r="F2405" s="2" t="n">
        <f>HYPERLINK("https://patents.google.com/patent/US20200299359","Google")</f>
        <v>0.0</v>
      </c>
      <c r="G2405" s="2" t="n">
        <f>HYPERLINK("https://patentcenter.uspto.gov/applications/16651435","Patent Center")</f>
        <v>0.0</v>
      </c>
      <c r="H2405" s="2" t="n">
        <f>HYPERLINK("https://worldwide.espacenet.com/patent/search?q=US20200299359","Espacenet")</f>
        <v>0.0</v>
      </c>
      <c r="I2405" s="2" t="n">
        <f>HYPERLINK("https://ppubs.uspto.gov/pubwebapp/external.html?q=20200299359.pn.","USPTO")</f>
        <v>0.0</v>
      </c>
      <c r="J2405" s="2" t="n">
        <f>HYPERLINK("https://image-ppubs.uspto.gov/dirsearch-public/print/downloadPdf/20200299359","USPTO PDF")</f>
        <v>0.0</v>
      </c>
      <c r="K2405" s="2" t="n">
        <f>HYPERLINK("https://sectors.patentforecast.com/pmd/US20200299359","PMD")</f>
        <v>0.0</v>
      </c>
      <c r="L2405" s="2" t="n">
        <f>HYPERLINK("https://globaldossier.uspto.gov/result/application/US/16651435/1","US20200299359")</f>
        <v>0.0</v>
      </c>
      <c r="M2405" t="s">
        <v>16404</v>
      </c>
      <c r="N2405" t="s">
        <v>2548</v>
      </c>
      <c r="O2405" t="s">
        <v>2549</v>
      </c>
      <c r="P2405" t="s">
        <v>16405</v>
      </c>
      <c r="Q2405" s="3" t="n">
        <v>43370.0</v>
      </c>
      <c r="R2405" s="3" t="n">
        <v>44098.0</v>
      </c>
      <c r="S2405" s="3" t="n">
        <v>44098.23032189815</v>
      </c>
      <c r="T2405" s="3" t="n">
        <v>44098.532931435184</v>
      </c>
      <c r="U2405" t="s">
        <v>16406</v>
      </c>
      <c r="V2405" t="s">
        <v>2552</v>
      </c>
    </row>
    <row r="2406">
      <c r="A2406" t="s">
        <v>22</v>
      </c>
      <c r="B2406" t="s">
        <v>16407</v>
      </c>
      <c r="C2406" t="s">
        <v>24</v>
      </c>
      <c r="D2406" t="s">
        <v>204</v>
      </c>
      <c r="E2406" t="s">
        <v>16408</v>
      </c>
      <c r="F2406" s="2" t="n">
        <f>HYPERLINK("https://patents.google.com/patent/US20200294680","Google")</f>
        <v>0.0</v>
      </c>
      <c r="G2406" s="2" t="n">
        <f>HYPERLINK("https://patentcenter.uspto.gov/applications/16887608","Patent Center")</f>
        <v>0.0</v>
      </c>
      <c r="H2406" s="2" t="n">
        <f>HYPERLINK("https://worldwide.espacenet.com/patent/search?q=US20200294680","Espacenet")</f>
        <v>0.0</v>
      </c>
      <c r="I2406" s="2" t="n">
        <f>HYPERLINK("https://ppubs.uspto.gov/pubwebapp/external.html?q=20200294680.pn.","USPTO")</f>
        <v>0.0</v>
      </c>
      <c r="J2406" s="2" t="n">
        <f>HYPERLINK("https://image-ppubs.uspto.gov/dirsearch-public/print/downloadPdf/20200294680","USPTO PDF")</f>
        <v>0.0</v>
      </c>
      <c r="K2406" s="2" t="n">
        <f>HYPERLINK("https://sectors.patentforecast.com/pmd/US20200294680","PMD")</f>
        <v>0.0</v>
      </c>
      <c r="L2406" s="2" t="n">
        <f>HYPERLINK("https://globaldossier.uspto.gov/result/application/US/16887608/1","US20200294680")</f>
        <v>0.0</v>
      </c>
      <c r="M2406" t="s">
        <v>16409</v>
      </c>
      <c r="N2406" t="s">
        <v>11831</v>
      </c>
      <c r="O2406" t="s">
        <v>11832</v>
      </c>
      <c r="P2406" t="s">
        <v>15141</v>
      </c>
      <c r="Q2406" s="3" t="n">
        <v>43980.0</v>
      </c>
      <c r="R2406" s="3" t="n">
        <v>44091.0</v>
      </c>
      <c r="S2406" s="3" t="n">
        <v>44091.22973994213</v>
      </c>
      <c r="T2406" s="3" t="n">
        <v>44091.39897902778</v>
      </c>
      <c r="U2406" t="s">
        <v>16410</v>
      </c>
      <c r="V2406" t="s">
        <v>16411</v>
      </c>
    </row>
    <row r="2407">
      <c r="A2407" t="s">
        <v>22</v>
      </c>
      <c r="B2407" t="s">
        <v>16412</v>
      </c>
      <c r="C2407" t="s">
        <v>24</v>
      </c>
      <c r="D2407" t="s">
        <v>51</v>
      </c>
      <c r="E2407" t="s">
        <v>16413</v>
      </c>
      <c r="F2407" s="2" t="n">
        <f>HYPERLINK("https://patents.google.com/patent/US20200291490","Google")</f>
        <v>0.0</v>
      </c>
      <c r="G2407" s="2" t="n">
        <f>HYPERLINK("https://patentcenter.uspto.gov/applications/16855046","Patent Center")</f>
        <v>0.0</v>
      </c>
      <c r="H2407" s="2" t="n">
        <f>HYPERLINK("https://worldwide.espacenet.com/patent/search?q=US20200291490","Espacenet")</f>
        <v>0.0</v>
      </c>
      <c r="I2407" s="2" t="n">
        <f>HYPERLINK("https://ppubs.uspto.gov/pubwebapp/external.html?q=20200291490.pn.","USPTO")</f>
        <v>0.0</v>
      </c>
      <c r="J2407" s="2" t="n">
        <f>HYPERLINK("https://image-ppubs.uspto.gov/dirsearch-public/print/downloadPdf/20200291490","USPTO PDF")</f>
        <v>0.0</v>
      </c>
      <c r="K2407" s="2" t="n">
        <f>HYPERLINK("https://sectors.patentforecast.com/pmd/US20200291490","PMD")</f>
        <v>0.0</v>
      </c>
      <c r="L2407" s="2" t="n">
        <f>HYPERLINK("https://globaldossier.uspto.gov/result/application/US/16855046/1","US20200291490")</f>
        <v>0.0</v>
      </c>
      <c r="M2407" t="s">
        <v>16414</v>
      </c>
      <c r="N2407" t="s">
        <v>16415</v>
      </c>
      <c r="O2407" t="s">
        <v>16416</v>
      </c>
      <c r="P2407" t="s">
        <v>16417</v>
      </c>
      <c r="Q2407" s="3" t="n">
        <v>43943.0</v>
      </c>
      <c r="R2407" s="3" t="n">
        <v>44091.0</v>
      </c>
      <c r="S2407" s="3" t="n">
        <v>44091.22973994213</v>
      </c>
      <c r="T2407" s="3" t="n">
        <v>44096.49659420139</v>
      </c>
      <c r="U2407" t="s">
        <v>16418</v>
      </c>
      <c r="V2407" t="s">
        <v>16419</v>
      </c>
    </row>
    <row r="2408">
      <c r="A2408" t="s">
        <v>22</v>
      </c>
      <c r="B2408" t="s">
        <v>16420</v>
      </c>
      <c r="C2408" t="s">
        <v>24</v>
      </c>
      <c r="D2408" t="s">
        <v>100</v>
      </c>
      <c r="E2408" t="s">
        <v>12863</v>
      </c>
      <c r="F2408" s="2" t="n">
        <f>HYPERLINK("https://patents.google.com/patent/US20200289989","Google")</f>
        <v>0.0</v>
      </c>
      <c r="G2408" s="2" t="n">
        <f>HYPERLINK("https://patentcenter.uspto.gov/applications/16889764","Patent Center")</f>
        <v>0.0</v>
      </c>
      <c r="H2408" s="2" t="n">
        <f>HYPERLINK("https://worldwide.espacenet.com/patent/search?q=US20200289989","Espacenet")</f>
        <v>0.0</v>
      </c>
      <c r="I2408" s="2" t="n">
        <f>HYPERLINK("https://ppubs.uspto.gov/pubwebapp/external.html?q=20200289989.pn.","USPTO")</f>
        <v>0.0</v>
      </c>
      <c r="J2408" s="2" t="n">
        <f>HYPERLINK("https://image-ppubs.uspto.gov/dirsearch-public/print/downloadPdf/20200289989","USPTO PDF")</f>
        <v>0.0</v>
      </c>
      <c r="K2408" s="2" t="n">
        <f>HYPERLINK("https://sectors.patentforecast.com/pmd/US20200289989","PMD")</f>
        <v>0.0</v>
      </c>
      <c r="L2408" s="2" t="n">
        <f>HYPERLINK("https://globaldossier.uspto.gov/result/application/US/16889764/1","US20200289989")</f>
        <v>0.0</v>
      </c>
      <c r="M2408" t="s">
        <v>16421</v>
      </c>
      <c r="N2408" t="s">
        <v>12865</v>
      </c>
      <c r="O2408" t="s">
        <v>12866</v>
      </c>
      <c r="P2408" t="s">
        <v>12867</v>
      </c>
      <c r="Q2408" s="3" t="n">
        <v>43983.0</v>
      </c>
      <c r="R2408" s="3" t="n">
        <v>44091.0</v>
      </c>
      <c r="S2408" s="3" t="n">
        <v>44091.22973994213</v>
      </c>
      <c r="T2408" s="3" t="n">
        <v>44096.49547326389</v>
      </c>
      <c r="U2408" t="s">
        <v>12868</v>
      </c>
      <c r="V2408" t="s">
        <v>12869</v>
      </c>
    </row>
    <row r="2409">
      <c r="A2409" t="s">
        <v>22</v>
      </c>
      <c r="B2409" t="s">
        <v>16422</v>
      </c>
      <c r="C2409" t="s">
        <v>60</v>
      </c>
      <c r="D2409" t="s">
        <v>61</v>
      </c>
      <c r="E2409" t="s">
        <v>14834</v>
      </c>
      <c r="F2409" s="2" t="n">
        <f>HYPERLINK("https://patents.google.com/patent/US20200289534","Google")</f>
        <v>0.0</v>
      </c>
      <c r="G2409" s="2" t="n">
        <f>HYPERLINK("https://patentcenter.uspto.gov/applications/16861128","Patent Center")</f>
        <v>0.0</v>
      </c>
      <c r="H2409" s="2" t="n">
        <f>HYPERLINK("https://worldwide.espacenet.com/patent/search?q=US20200289534","Espacenet")</f>
        <v>0.0</v>
      </c>
      <c r="I2409" s="2" t="n">
        <f>HYPERLINK("https://ppubs.uspto.gov/pubwebapp/external.html?q=20200289534.pn.","USPTO")</f>
        <v>0.0</v>
      </c>
      <c r="J2409" s="2" t="n">
        <f>HYPERLINK("https://image-ppubs.uspto.gov/dirsearch-public/print/downloadPdf/20200289534","USPTO PDF")</f>
        <v>0.0</v>
      </c>
      <c r="K2409" s="2" t="n">
        <f>HYPERLINK("https://sectors.patentforecast.com/pmd/US20200289534","PMD")</f>
        <v>0.0</v>
      </c>
      <c r="L2409" s="2" t="n">
        <f>HYPERLINK("https://globaldossier.uspto.gov/result/application/US/16861128/1","US20200289534")</f>
        <v>0.0</v>
      </c>
      <c r="M2409" t="s">
        <v>16423</v>
      </c>
      <c r="N2409" t="s">
        <v>14836</v>
      </c>
      <c r="O2409" t="s">
        <v>14837</v>
      </c>
      <c r="P2409" t="s">
        <v>14838</v>
      </c>
      <c r="Q2409" s="3" t="n">
        <v>43949.0</v>
      </c>
      <c r="R2409" s="3" t="n">
        <v>44091.0</v>
      </c>
      <c r="S2409" s="3" t="n">
        <v>44091.22973994213</v>
      </c>
      <c r="T2409" s="3" t="n">
        <v>44096.49624680555</v>
      </c>
      <c r="U2409" t="s">
        <v>16424</v>
      </c>
      <c r="V2409" t="s">
        <v>16425</v>
      </c>
    </row>
    <row r="2410">
      <c r="A2410" t="s">
        <v>22</v>
      </c>
      <c r="B2410" t="s">
        <v>16426</v>
      </c>
      <c r="C2410" t="s">
        <v>24</v>
      </c>
      <c r="D2410" t="s">
        <v>1356</v>
      </c>
      <c r="E2410" t="s">
        <v>16427</v>
      </c>
      <c r="F2410" s="2" t="n">
        <f>HYPERLINK("https://patents.google.com/patent/US20200286590","Google")</f>
        <v>0.0</v>
      </c>
      <c r="G2410" s="2" t="n">
        <f>HYPERLINK("https://patentcenter.uspto.gov/applications/16679927","Patent Center")</f>
        <v>0.0</v>
      </c>
      <c r="H2410" s="2" t="n">
        <f>HYPERLINK("https://worldwide.espacenet.com/patent/search?q=US20200286590","Espacenet")</f>
        <v>0.0</v>
      </c>
      <c r="I2410" s="2" t="n">
        <f>HYPERLINK("https://ppubs.uspto.gov/pubwebapp/external.html?q=20200286590.pn.","USPTO")</f>
        <v>0.0</v>
      </c>
      <c r="J2410" s="2" t="n">
        <f>HYPERLINK("https://image-ppubs.uspto.gov/dirsearch-public/print/downloadPdf/20200286590","USPTO PDF")</f>
        <v>0.0</v>
      </c>
      <c r="K2410" s="2" t="n">
        <f>HYPERLINK("https://sectors.patentforecast.com/pmd/US20200286590","PMD")</f>
        <v>0.0</v>
      </c>
      <c r="L2410" s="2" t="n">
        <f>HYPERLINK("https://globaldossier.uspto.gov/result/application/US/16679927/1","US20200286590")</f>
        <v>0.0</v>
      </c>
      <c r="M2410" t="s">
        <v>16428</v>
      </c>
      <c r="N2410" t="s">
        <v>16429</v>
      </c>
      <c r="O2410" t="s">
        <v>16430</v>
      </c>
      <c r="P2410" t="s">
        <v>16431</v>
      </c>
      <c r="Q2410" s="3" t="n">
        <v>43780.0</v>
      </c>
      <c r="R2410" s="3" t="n">
        <v>44084.0</v>
      </c>
      <c r="S2410" s="3" t="n">
        <v>44084.22997060185</v>
      </c>
      <c r="T2410" s="3" t="n">
        <v>44084.49618778935</v>
      </c>
      <c r="U2410" t="s">
        <v>16432</v>
      </c>
      <c r="V2410" t="s">
        <v>16433</v>
      </c>
    </row>
    <row r="2411">
      <c r="A2411" t="s">
        <v>22</v>
      </c>
      <c r="B2411" t="s">
        <v>16434</v>
      </c>
      <c r="C2411" t="s">
        <v>24</v>
      </c>
      <c r="D2411" t="s">
        <v>100</v>
      </c>
      <c r="E2411" t="s">
        <v>16435</v>
      </c>
      <c r="F2411" s="2" t="n">
        <f>HYPERLINK("https://patents.google.com/patent/US20200283644","Google")</f>
        <v>0.0</v>
      </c>
      <c r="G2411" s="2" t="n">
        <f>HYPERLINK("https://patentcenter.uspto.gov/applications/16880493","Patent Center")</f>
        <v>0.0</v>
      </c>
      <c r="H2411" s="2" t="n">
        <f>HYPERLINK("https://worldwide.espacenet.com/patent/search?q=US20200283644","Espacenet")</f>
        <v>0.0</v>
      </c>
      <c r="I2411" s="2" t="n">
        <f>HYPERLINK("https://ppubs.uspto.gov/pubwebapp/external.html?q=20200283644.pn.","USPTO")</f>
        <v>0.0</v>
      </c>
      <c r="J2411" s="2" t="n">
        <f>HYPERLINK("https://image-ppubs.uspto.gov/dirsearch-public/print/downloadPdf/20200283644","USPTO PDF")</f>
        <v>0.0</v>
      </c>
      <c r="K2411" s="2" t="n">
        <f>HYPERLINK("https://sectors.patentforecast.com/pmd/US20200283644","PMD")</f>
        <v>0.0</v>
      </c>
      <c r="L2411" s="2" t="n">
        <f>HYPERLINK("https://globaldossier.uspto.gov/result/application/US/16880493/1","US20200283644")</f>
        <v>0.0</v>
      </c>
      <c r="M2411" t="s">
        <v>16436</v>
      </c>
      <c r="N2411" t="s">
        <v>16437</v>
      </c>
      <c r="O2411" t="s">
        <v>16438</v>
      </c>
      <c r="P2411" t="s">
        <v>16439</v>
      </c>
      <c r="Q2411" s="3" t="n">
        <v>43972.0</v>
      </c>
      <c r="R2411" s="3" t="n">
        <v>44084.0</v>
      </c>
      <c r="S2411" s="3" t="n">
        <v>44084.235062719905</v>
      </c>
      <c r="T2411" s="3" t="n">
        <v>44084.4960721875</v>
      </c>
      <c r="U2411" t="s">
        <v>16440</v>
      </c>
      <c r="V2411" t="s">
        <v>16441</v>
      </c>
    </row>
    <row r="2412">
      <c r="A2412" t="s">
        <v>22</v>
      </c>
      <c r="B2412" t="s">
        <v>16442</v>
      </c>
      <c r="C2412" t="s">
        <v>132</v>
      </c>
      <c r="D2412" t="s">
        <v>133</v>
      </c>
      <c r="E2412" t="s">
        <v>16443</v>
      </c>
      <c r="F2412" s="2" t="n">
        <f>HYPERLINK("https://patents.google.com/patent/US20200282046","Google")</f>
        <v>0.0</v>
      </c>
      <c r="G2412" s="2" t="n">
        <f>HYPERLINK("https://patentcenter.uspto.gov/applications/16880829","Patent Center")</f>
        <v>0.0</v>
      </c>
      <c r="H2412" s="2" t="n">
        <f>HYPERLINK("https://worldwide.espacenet.com/patent/search?q=US20200282046","Espacenet")</f>
        <v>0.0</v>
      </c>
      <c r="I2412" s="2" t="n">
        <f>HYPERLINK("https://ppubs.uspto.gov/pubwebapp/external.html?q=20200282046.pn.","USPTO")</f>
        <v>0.0</v>
      </c>
      <c r="J2412" s="2" t="n">
        <f>HYPERLINK("https://image-ppubs.uspto.gov/dirsearch-public/print/downloadPdf/20200282046","USPTO PDF")</f>
        <v>0.0</v>
      </c>
      <c r="K2412" s="2" t="n">
        <f>HYPERLINK("https://sectors.patentforecast.com/pmd/US20200282046","PMD")</f>
        <v>0.0</v>
      </c>
      <c r="L2412" s="2" t="n">
        <f>HYPERLINK("https://globaldossier.uspto.gov/result/application/US/16880829/1","US20200282046")</f>
        <v>0.0</v>
      </c>
      <c r="M2412" t="s">
        <v>16444</v>
      </c>
      <c r="N2412" t="s">
        <v>145</v>
      </c>
      <c r="O2412" t="s">
        <v>146</v>
      </c>
      <c r="P2412" t="s">
        <v>15865</v>
      </c>
      <c r="Q2412" s="3" t="n">
        <v>43972.0</v>
      </c>
      <c r="R2412" s="3" t="n">
        <v>44084.0</v>
      </c>
      <c r="S2412" s="3" t="n">
        <v>44084.2306655787</v>
      </c>
      <c r="T2412" s="3" t="n">
        <v>44084.49563476852</v>
      </c>
      <c r="U2412" t="s">
        <v>16445</v>
      </c>
      <c r="V2412" t="s">
        <v>15867</v>
      </c>
    </row>
    <row r="2413">
      <c r="A2413" t="s">
        <v>22</v>
      </c>
      <c r="B2413" t="s">
        <v>16446</v>
      </c>
      <c r="C2413" t="s">
        <v>60</v>
      </c>
      <c r="D2413" t="s">
        <v>61</v>
      </c>
      <c r="E2413" t="s">
        <v>16447</v>
      </c>
      <c r="F2413" s="2" t="n">
        <f>HYPERLINK("https://patents.google.com/patent/US20200282042","Google")</f>
        <v>0.0</v>
      </c>
      <c r="G2413" s="2" t="n">
        <f>HYPERLINK("https://patentcenter.uspto.gov/applications/16612556","Patent Center")</f>
        <v>0.0</v>
      </c>
      <c r="H2413" s="2" t="n">
        <f>HYPERLINK("https://worldwide.espacenet.com/patent/search?q=US20200282042","Espacenet")</f>
        <v>0.0</v>
      </c>
      <c r="I2413" s="2" t="n">
        <f>HYPERLINK("https://ppubs.uspto.gov/pubwebapp/external.html?q=20200282042.pn.","USPTO")</f>
        <v>0.0</v>
      </c>
      <c r="J2413" s="2" t="n">
        <f>HYPERLINK("https://image-ppubs.uspto.gov/dirsearch-public/print/downloadPdf/20200282042","USPTO PDF")</f>
        <v>0.0</v>
      </c>
      <c r="K2413" s="2" t="n">
        <f>HYPERLINK("https://sectors.patentforecast.com/pmd/US20200282042","PMD")</f>
        <v>0.0</v>
      </c>
      <c r="L2413" s="2" t="n">
        <f>HYPERLINK("https://globaldossier.uspto.gov/result/application/US/16612556/1","US20200282042")</f>
        <v>0.0</v>
      </c>
      <c r="M2413" t="s">
        <v>16448</v>
      </c>
      <c r="N2413" t="s">
        <v>10151</v>
      </c>
      <c r="O2413" t="s">
        <v>10152</v>
      </c>
      <c r="P2413" t="s">
        <v>16449</v>
      </c>
      <c r="Q2413" s="3" t="n">
        <v>43231.0</v>
      </c>
      <c r="R2413" s="3" t="n">
        <v>44084.0</v>
      </c>
      <c r="S2413" s="3" t="n">
        <v>44084.231243518516</v>
      </c>
      <c r="T2413" s="3" t="n">
        <v>44084.49658356482</v>
      </c>
      <c r="U2413" t="s">
        <v>16450</v>
      </c>
      <c r="V2413" t="s">
        <v>16451</v>
      </c>
    </row>
    <row r="2414">
      <c r="A2414" t="s">
        <v>22</v>
      </c>
      <c r="B2414" t="s">
        <v>16452</v>
      </c>
      <c r="C2414" t="s">
        <v>60</v>
      </c>
      <c r="D2414" t="s">
        <v>61</v>
      </c>
      <c r="E2414" t="s">
        <v>14919</v>
      </c>
      <c r="F2414" s="2" t="n">
        <f>HYPERLINK("https://patents.google.com/patent/US20200281972","Google")</f>
        <v>0.0</v>
      </c>
      <c r="G2414" s="2" t="n">
        <f>HYPERLINK("https://patentcenter.uspto.gov/applications/16881937","Patent Center")</f>
        <v>0.0</v>
      </c>
      <c r="H2414" s="2" t="n">
        <f>HYPERLINK("https://worldwide.espacenet.com/patent/search?q=US20200281972","Espacenet")</f>
        <v>0.0</v>
      </c>
      <c r="I2414" s="2" t="n">
        <f>HYPERLINK("https://ppubs.uspto.gov/pubwebapp/external.html?q=20200281972.pn.","USPTO")</f>
        <v>0.0</v>
      </c>
      <c r="J2414" s="2" t="n">
        <f>HYPERLINK("https://image-ppubs.uspto.gov/dirsearch-public/print/downloadPdf/20200281972","USPTO PDF")</f>
        <v>0.0</v>
      </c>
      <c r="K2414" s="2" t="n">
        <f>HYPERLINK("https://sectors.patentforecast.com/pmd/US20200281972","PMD")</f>
        <v>0.0</v>
      </c>
      <c r="L2414" s="2" t="n">
        <f>HYPERLINK("https://globaldossier.uspto.gov/result/application/US/16881937/1","US20200281972")</f>
        <v>0.0</v>
      </c>
      <c r="M2414" t="s">
        <v>16453</v>
      </c>
      <c r="N2414" t="s">
        <v>14921</v>
      </c>
      <c r="O2414" t="s">
        <v>14922</v>
      </c>
      <c r="P2414" t="s">
        <v>14923</v>
      </c>
      <c r="Q2414" s="3" t="n">
        <v>43973.0</v>
      </c>
      <c r="R2414" s="3" t="n">
        <v>44084.0</v>
      </c>
      <c r="S2414" s="3" t="n">
        <v>44084.22950790509</v>
      </c>
      <c r="T2414" s="3" t="n">
        <v>44638.70665263889</v>
      </c>
      <c r="U2414" t="s">
        <v>14924</v>
      </c>
      <c r="V2414" t="s">
        <v>14925</v>
      </c>
    </row>
    <row r="2415">
      <c r="A2415" t="s">
        <v>22</v>
      </c>
      <c r="B2415" t="s">
        <v>16454</v>
      </c>
      <c r="C2415" t="s">
        <v>24</v>
      </c>
      <c r="D2415" t="s">
        <v>1450</v>
      </c>
      <c r="E2415" t="s">
        <v>16455</v>
      </c>
      <c r="F2415" s="2" t="n">
        <f>HYPERLINK("https://patents.google.com/patent/US20200281518","Google")</f>
        <v>0.0</v>
      </c>
      <c r="G2415" s="2" t="n">
        <f>HYPERLINK("https://patentcenter.uspto.gov/applications/16645002","Patent Center")</f>
        <v>0.0</v>
      </c>
      <c r="H2415" s="2" t="n">
        <f>HYPERLINK("https://worldwide.espacenet.com/patent/search?q=US20200281518","Espacenet")</f>
        <v>0.0</v>
      </c>
      <c r="I2415" s="2" t="n">
        <f>HYPERLINK("https://ppubs.uspto.gov/pubwebapp/external.html?q=20200281518.pn.","USPTO")</f>
        <v>0.0</v>
      </c>
      <c r="J2415" s="2" t="n">
        <f>HYPERLINK("https://image-ppubs.uspto.gov/dirsearch-public/print/downloadPdf/20200281518","USPTO PDF")</f>
        <v>0.0</v>
      </c>
      <c r="K2415" s="2" t="n">
        <f>HYPERLINK("https://sectors.patentforecast.com/pmd/US20200281518","PMD")</f>
        <v>0.0</v>
      </c>
      <c r="L2415" s="2" t="n">
        <f>HYPERLINK("https://globaldossier.uspto.gov/result/application/US/16645002/1","US20200281518")</f>
        <v>0.0</v>
      </c>
      <c r="M2415" t="s">
        <v>16456</v>
      </c>
      <c r="N2415" t="s">
        <v>16457</v>
      </c>
      <c r="O2415" t="s">
        <v>16458</v>
      </c>
      <c r="P2415" t="s">
        <v>16459</v>
      </c>
      <c r="Q2415" s="3" t="n">
        <v>43349.0</v>
      </c>
      <c r="R2415" s="3" t="n">
        <v>44084.0</v>
      </c>
      <c r="S2415" s="3" t="n">
        <v>44091.23020200231</v>
      </c>
      <c r="T2415" s="3" t="n">
        <v>44096.495016712965</v>
      </c>
      <c r="U2415" t="s">
        <v>16460</v>
      </c>
      <c r="V2415" t="s">
        <v>16461</v>
      </c>
    </row>
    <row r="2416">
      <c r="A2416" t="s">
        <v>22</v>
      </c>
      <c r="B2416" t="s">
        <v>16462</v>
      </c>
      <c r="C2416" t="s">
        <v>312</v>
      </c>
      <c r="D2416" t="s">
        <v>715</v>
      </c>
      <c r="E2416" t="s">
        <v>16463</v>
      </c>
      <c r="F2416" s="2" t="n">
        <f>HYPERLINK("https://patents.google.com/patent/US20200279657","Google")</f>
        <v>0.0</v>
      </c>
      <c r="G2416" s="2" t="n">
        <f>HYPERLINK("https://patentcenter.uspto.gov/applications/16643370","Patent Center")</f>
        <v>0.0</v>
      </c>
      <c r="H2416" s="2" t="n">
        <f>HYPERLINK("https://worldwide.espacenet.com/patent/search?q=US20200279657","Espacenet")</f>
        <v>0.0</v>
      </c>
      <c r="I2416" s="2" t="n">
        <f>HYPERLINK("https://ppubs.uspto.gov/pubwebapp/external.html?q=20200279657.pn.","USPTO")</f>
        <v>0.0</v>
      </c>
      <c r="J2416" s="2" t="n">
        <f>HYPERLINK("https://image-ppubs.uspto.gov/dirsearch-public/print/downloadPdf/20200279657","USPTO PDF")</f>
        <v>0.0</v>
      </c>
      <c r="K2416" s="2" t="n">
        <f>HYPERLINK("https://sectors.patentforecast.com/pmd/US20200279657","PMD")</f>
        <v>0.0</v>
      </c>
      <c r="L2416" s="2" t="n">
        <f>HYPERLINK("https://globaldossier.uspto.gov/result/application/US/16643370/1","US20200279657")</f>
        <v>0.0</v>
      </c>
      <c r="M2416" t="s">
        <v>16464</v>
      </c>
      <c r="N2416" t="s">
        <v>16465</v>
      </c>
      <c r="O2416" t="s">
        <v>16466</v>
      </c>
      <c r="P2416" t="s">
        <v>16467</v>
      </c>
      <c r="Q2416" s="3" t="n">
        <v>43332.0</v>
      </c>
      <c r="R2416" s="3" t="n">
        <v>44077.0</v>
      </c>
      <c r="S2416" s="3" t="n">
        <v>44077.2299690625</v>
      </c>
      <c r="T2416" s="3" t="n">
        <v>44077.44051888889</v>
      </c>
      <c r="U2416" t="s">
        <v>16468</v>
      </c>
      <c r="V2416" t="s">
        <v>16469</v>
      </c>
    </row>
    <row r="2417">
      <c r="A2417" t="s">
        <v>22</v>
      </c>
      <c r="B2417" t="s">
        <v>16470</v>
      </c>
      <c r="C2417" t="s">
        <v>24</v>
      </c>
      <c r="D2417" t="s">
        <v>204</v>
      </c>
      <c r="E2417" t="s">
        <v>16471</v>
      </c>
      <c r="F2417" s="2" t="n">
        <f>HYPERLINK("https://patents.google.com/patent/US20200279654","Google")</f>
        <v>0.0</v>
      </c>
      <c r="G2417" s="2" t="n">
        <f>HYPERLINK("https://patentcenter.uspto.gov/applications/16633143","Patent Center")</f>
        <v>0.0</v>
      </c>
      <c r="H2417" s="2" t="n">
        <f>HYPERLINK("https://worldwide.espacenet.com/patent/search?q=US20200279654","Espacenet")</f>
        <v>0.0</v>
      </c>
      <c r="I2417" s="2" t="n">
        <f>HYPERLINK("https://ppubs.uspto.gov/pubwebapp/external.html?q=20200279654.pn.","USPTO")</f>
        <v>0.0</v>
      </c>
      <c r="J2417" s="2" t="n">
        <f>HYPERLINK("https://image-ppubs.uspto.gov/dirsearch-public/print/downloadPdf/20200279654","USPTO PDF")</f>
        <v>0.0</v>
      </c>
      <c r="K2417" s="2" t="n">
        <f>HYPERLINK("https://sectors.patentforecast.com/pmd/US20200279654","PMD")</f>
        <v>0.0</v>
      </c>
      <c r="L2417" s="2" t="n">
        <f>HYPERLINK("https://globaldossier.uspto.gov/result/application/US/16633143/1","US20200279654")</f>
        <v>0.0</v>
      </c>
      <c r="M2417" t="s">
        <v>16472</v>
      </c>
      <c r="N2417" t="s">
        <v>16473</v>
      </c>
      <c r="O2417" t="s">
        <v>16474</v>
      </c>
      <c r="P2417" t="s">
        <v>16475</v>
      </c>
      <c r="Q2417" s="3" t="n">
        <v>43419.0</v>
      </c>
      <c r="R2417" s="3" t="n">
        <v>44077.0</v>
      </c>
      <c r="S2417" s="3" t="n">
        <v>44077.23286894676</v>
      </c>
      <c r="T2417" s="3" t="n">
        <v>44077.43935574074</v>
      </c>
      <c r="U2417" t="s">
        <v>16476</v>
      </c>
      <c r="V2417" t="s">
        <v>16477</v>
      </c>
    </row>
    <row r="2418">
      <c r="A2418" t="s">
        <v>22</v>
      </c>
      <c r="B2418" t="s">
        <v>16478</v>
      </c>
      <c r="C2418" t="s">
        <v>24</v>
      </c>
      <c r="D2418" t="s">
        <v>51</v>
      </c>
      <c r="E2418" t="s">
        <v>16479</v>
      </c>
      <c r="F2418" s="2" t="n">
        <f>HYPERLINK("https://patents.google.com/patent/US20200279585","Google")</f>
        <v>0.0</v>
      </c>
      <c r="G2418" s="2" t="n">
        <f>HYPERLINK("https://patentcenter.uspto.gov/applications/16876114","Patent Center")</f>
        <v>0.0</v>
      </c>
      <c r="H2418" s="2" t="n">
        <f>HYPERLINK("https://worldwide.espacenet.com/patent/search?q=US20200279585","Espacenet")</f>
        <v>0.0</v>
      </c>
      <c r="I2418" s="2" t="n">
        <f>HYPERLINK("https://ppubs.uspto.gov/pubwebapp/external.html?q=20200279585.pn.","USPTO")</f>
        <v>0.0</v>
      </c>
      <c r="J2418" s="2" t="n">
        <f>HYPERLINK("https://image-ppubs.uspto.gov/dirsearch-public/print/downloadPdf/20200279585","USPTO PDF")</f>
        <v>0.0</v>
      </c>
      <c r="K2418" s="2" t="n">
        <f>HYPERLINK("https://sectors.patentforecast.com/pmd/US20200279585","PMD")</f>
        <v>0.0</v>
      </c>
      <c r="L2418" s="2" t="n">
        <f>HYPERLINK("https://globaldossier.uspto.gov/result/application/US/16876114/1","US20200279585")</f>
        <v>0.0</v>
      </c>
      <c r="M2418" t="s">
        <v>16480</v>
      </c>
      <c r="N2418" t="s">
        <v>16481</v>
      </c>
      <c r="O2418" t="s">
        <v>16482</v>
      </c>
      <c r="P2418" t="s">
        <v>16483</v>
      </c>
      <c r="Q2418" s="3" t="n">
        <v>43968.0</v>
      </c>
      <c r="R2418" s="3" t="n">
        <v>44077.0</v>
      </c>
      <c r="S2418" s="3" t="n">
        <v>44077.22950819445</v>
      </c>
      <c r="T2418" s="3" t="n">
        <v>44077.43786438657</v>
      </c>
      <c r="U2418" t="s">
        <v>16484</v>
      </c>
      <c r="V2418" t="s">
        <v>16485</v>
      </c>
    </row>
    <row r="2419">
      <c r="A2419" t="s">
        <v>22</v>
      </c>
      <c r="B2419" t="s">
        <v>16486</v>
      </c>
      <c r="C2419" t="s">
        <v>24</v>
      </c>
      <c r="D2419" t="s">
        <v>25</v>
      </c>
      <c r="E2419" t="s">
        <v>16487</v>
      </c>
      <c r="F2419" s="2" t="n">
        <f>HYPERLINK("https://patents.google.com/patent/US20200279464","Google")</f>
        <v>0.0</v>
      </c>
      <c r="G2419" s="2" t="n">
        <f>HYPERLINK("https://patentcenter.uspto.gov/applications/16867413","Patent Center")</f>
        <v>0.0</v>
      </c>
      <c r="H2419" s="2" t="n">
        <f>HYPERLINK("https://worldwide.espacenet.com/patent/search?q=US20200279464","Espacenet")</f>
        <v>0.0</v>
      </c>
      <c r="I2419" s="2" t="n">
        <f>HYPERLINK("https://ppubs.uspto.gov/pubwebapp/external.html?q=20200279464.pn.","USPTO")</f>
        <v>0.0</v>
      </c>
      <c r="J2419" s="2" t="n">
        <f>HYPERLINK("https://image-ppubs.uspto.gov/dirsearch-public/print/downloadPdf/20200279464","USPTO PDF")</f>
        <v>0.0</v>
      </c>
      <c r="K2419" s="2" t="n">
        <f>HYPERLINK("https://sectors.patentforecast.com/pmd/US20200279464","PMD")</f>
        <v>0.0</v>
      </c>
      <c r="L2419" s="2" t="n">
        <f>HYPERLINK("https://globaldossier.uspto.gov/result/application/US/16867413/1","US20200279464")</f>
        <v>0.0</v>
      </c>
      <c r="M2419" t="s">
        <v>16488</v>
      </c>
      <c r="N2419" t="s">
        <v>12669</v>
      </c>
      <c r="O2419" t="s">
        <v>12670</v>
      </c>
      <c r="P2419" t="s">
        <v>14766</v>
      </c>
      <c r="Q2419" s="3" t="n">
        <v>43956.0</v>
      </c>
      <c r="R2419" s="3" t="n">
        <v>44077.0</v>
      </c>
      <c r="S2419" s="3" t="n">
        <v>44077.22950819445</v>
      </c>
      <c r="T2419" s="3" t="n">
        <v>44077.43747834491</v>
      </c>
      <c r="U2419" t="s">
        <v>16489</v>
      </c>
      <c r="V2419" t="s">
        <v>16490</v>
      </c>
    </row>
    <row r="2420">
      <c r="A2420" t="s">
        <v>22</v>
      </c>
      <c r="B2420" t="s">
        <v>16491</v>
      </c>
      <c r="C2420" t="s">
        <v>312</v>
      </c>
      <c r="D2420" t="s">
        <v>715</v>
      </c>
      <c r="E2420" t="s">
        <v>14361</v>
      </c>
      <c r="F2420" s="2" t="n">
        <f>HYPERLINK("https://patents.google.com/patent/US20200279339","Google")</f>
        <v>0.0</v>
      </c>
      <c r="G2420" s="2" t="n">
        <f>HYPERLINK("https://patentcenter.uspto.gov/applications/16875013","Patent Center")</f>
        <v>0.0</v>
      </c>
      <c r="H2420" s="2" t="n">
        <f>HYPERLINK("https://worldwide.espacenet.com/patent/search?q=US20200279339","Espacenet")</f>
        <v>0.0</v>
      </c>
      <c r="I2420" s="2" t="n">
        <f>HYPERLINK("https://ppubs.uspto.gov/pubwebapp/external.html?q=20200279339.pn.","USPTO")</f>
        <v>0.0</v>
      </c>
      <c r="J2420" s="2" t="n">
        <f>HYPERLINK("https://image-ppubs.uspto.gov/dirsearch-public/print/downloadPdf/20200279339","USPTO PDF")</f>
        <v>0.0</v>
      </c>
      <c r="K2420" s="2" t="n">
        <f>HYPERLINK("https://sectors.patentforecast.com/pmd/US20200279339","PMD")</f>
        <v>0.0</v>
      </c>
      <c r="L2420" s="2" t="n">
        <f>HYPERLINK("https://globaldossier.uspto.gov/result/application/US/16875013/1","US20200279339")</f>
        <v>0.0</v>
      </c>
      <c r="M2420" t="s">
        <v>16492</v>
      </c>
      <c r="N2420" t="s">
        <v>14363</v>
      </c>
      <c r="O2420" t="s">
        <v>14364</v>
      </c>
      <c r="P2420" t="s">
        <v>14365</v>
      </c>
      <c r="Q2420" s="3" t="n">
        <v>43966.0</v>
      </c>
      <c r="R2420" s="3" t="n">
        <v>44077.0</v>
      </c>
      <c r="S2420" s="3" t="n">
        <v>44077.22950819445</v>
      </c>
      <c r="T2420" s="3" t="n">
        <v>44077.439562245374</v>
      </c>
      <c r="U2420" t="s">
        <v>16493</v>
      </c>
      <c r="V2420" t="s">
        <v>14367</v>
      </c>
    </row>
    <row r="2421">
      <c r="A2421" t="s">
        <v>22</v>
      </c>
      <c r="B2421" t="s">
        <v>16494</v>
      </c>
      <c r="C2421" t="s">
        <v>60</v>
      </c>
      <c r="D2421" t="s">
        <v>61</v>
      </c>
      <c r="E2421" t="s">
        <v>16495</v>
      </c>
      <c r="F2421" s="2" t="n">
        <f>HYPERLINK("https://patents.google.com/patent/US20200277321","Google")</f>
        <v>0.0</v>
      </c>
      <c r="G2421" s="2" t="n">
        <f>HYPERLINK("https://patentcenter.uspto.gov/applications/16648405","Patent Center")</f>
        <v>0.0</v>
      </c>
      <c r="H2421" s="2" t="n">
        <f>HYPERLINK("https://worldwide.espacenet.com/patent/search?q=US20200277321","Espacenet")</f>
        <v>0.0</v>
      </c>
      <c r="I2421" s="2" t="n">
        <f>HYPERLINK("https://ppubs.uspto.gov/pubwebapp/external.html?q=20200277321.pn.","USPTO")</f>
        <v>0.0</v>
      </c>
      <c r="J2421" s="2" t="n">
        <f>HYPERLINK("https://image-ppubs.uspto.gov/dirsearch-public/print/downloadPdf/20200277321","USPTO PDF")</f>
        <v>0.0</v>
      </c>
      <c r="K2421" s="2" t="n">
        <f>HYPERLINK("https://sectors.patentforecast.com/pmd/US20200277321","PMD")</f>
        <v>0.0</v>
      </c>
      <c r="L2421" s="2" t="n">
        <f>HYPERLINK("https://globaldossier.uspto.gov/result/application/US/16648405/1","US20200277321")</f>
        <v>0.0</v>
      </c>
      <c r="M2421" t="s">
        <v>16496</v>
      </c>
      <c r="N2421" t="s">
        <v>16497</v>
      </c>
      <c r="O2421" t="s">
        <v>16498</v>
      </c>
      <c r="P2421" t="s">
        <v>16499</v>
      </c>
      <c r="Q2421" s="3" t="n">
        <v>43361.0</v>
      </c>
      <c r="R2421" s="3" t="n">
        <v>44077.0</v>
      </c>
      <c r="S2421" s="3" t="n">
        <v>44077.23055493055</v>
      </c>
      <c r="T2421" s="3" t="n">
        <v>44077.43834150463</v>
      </c>
      <c r="U2421" t="s">
        <v>16500</v>
      </c>
      <c r="V2421" t="s">
        <v>16501</v>
      </c>
    </row>
    <row r="2422">
      <c r="A2422" t="s">
        <v>22</v>
      </c>
      <c r="B2422" t="s">
        <v>16502</v>
      </c>
      <c r="C2422" t="s">
        <v>24</v>
      </c>
      <c r="D2422" t="s">
        <v>34</v>
      </c>
      <c r="E2422" t="s">
        <v>16503</v>
      </c>
      <c r="F2422" s="2" t="n">
        <f>HYPERLINK("https://patents.google.com/patent/US20200276582","Google")</f>
        <v>0.0</v>
      </c>
      <c r="G2422" s="2" t="n">
        <f>HYPERLINK("https://patentcenter.uspto.gov/applications/16817733","Patent Center")</f>
        <v>0.0</v>
      </c>
      <c r="H2422" s="2" t="n">
        <f>HYPERLINK("https://worldwide.espacenet.com/patent/search?q=US20200276582","Espacenet")</f>
        <v>0.0</v>
      </c>
      <c r="I2422" s="2" t="n">
        <f>HYPERLINK("https://ppubs.uspto.gov/pubwebapp/external.html?q=20200276582.pn.","USPTO")</f>
        <v>0.0</v>
      </c>
      <c r="J2422" s="2" t="n">
        <f>HYPERLINK("https://image-ppubs.uspto.gov/dirsearch-public/print/downloadPdf/20200276582","USPTO PDF")</f>
        <v>0.0</v>
      </c>
      <c r="K2422" s="2" t="n">
        <f>HYPERLINK("https://sectors.patentforecast.com/pmd/US20200276582","PMD")</f>
        <v>0.0</v>
      </c>
      <c r="L2422" s="2" t="n">
        <f>HYPERLINK("https://globaldossier.uspto.gov/result/application/US/16817733/1","US20200276582")</f>
        <v>0.0</v>
      </c>
      <c r="M2422" t="s">
        <v>16504</v>
      </c>
      <c r="N2422" t="s">
        <v>4728</v>
      </c>
      <c r="O2422" t="s">
        <v>4729</v>
      </c>
      <c r="P2422" t="s">
        <v>16505</v>
      </c>
      <c r="Q2422" s="3" t="n">
        <v>43903.0</v>
      </c>
      <c r="R2422" s="3" t="n">
        <v>44077.0</v>
      </c>
      <c r="S2422" s="3" t="n">
        <v>44370.45832509259</v>
      </c>
      <c r="T2422" s="3" t="n">
        <v>44372.38111516204</v>
      </c>
      <c r="U2422" t="s">
        <v>16506</v>
      </c>
      <c r="V2422" t="s">
        <v>16507</v>
      </c>
    </row>
    <row r="2423">
      <c r="A2423" t="s">
        <v>22</v>
      </c>
      <c r="B2423" t="s">
        <v>16508</v>
      </c>
      <c r="C2423" t="s">
        <v>60</v>
      </c>
      <c r="D2423" t="s">
        <v>715</v>
      </c>
      <c r="E2423" t="s">
        <v>16509</v>
      </c>
      <c r="F2423" s="2" t="n">
        <f>HYPERLINK("https://patents.google.com/patent/US20200268601","Google")</f>
        <v>0.0</v>
      </c>
      <c r="G2423" s="2" t="n">
        <f>HYPERLINK("https://patentcenter.uspto.gov/applications/16860814","Patent Center")</f>
        <v>0.0</v>
      </c>
      <c r="H2423" s="2" t="n">
        <f>HYPERLINK("https://worldwide.espacenet.com/patent/search?q=US20200268601","Espacenet")</f>
        <v>0.0</v>
      </c>
      <c r="I2423" s="2" t="n">
        <f>HYPERLINK("https://ppubs.uspto.gov/pubwebapp/external.html?q=20200268601.pn.","USPTO")</f>
        <v>0.0</v>
      </c>
      <c r="J2423" s="2" t="n">
        <f>HYPERLINK("https://image-ppubs.uspto.gov/dirsearch-public/print/downloadPdf/20200268601","USPTO PDF")</f>
        <v>0.0</v>
      </c>
      <c r="K2423" s="2" t="n">
        <f>HYPERLINK("https://sectors.patentforecast.com/pmd/US20200268601","PMD")</f>
        <v>0.0</v>
      </c>
      <c r="L2423" s="2" t="n">
        <f>HYPERLINK("https://globaldossier.uspto.gov/result/application/US/16860814/1","US20200268601")</f>
        <v>0.0</v>
      </c>
      <c r="M2423" t="s">
        <v>16510</v>
      </c>
      <c r="N2423" t="s">
        <v>16511</v>
      </c>
      <c r="O2423" t="s">
        <v>16512</v>
      </c>
      <c r="P2423" t="s">
        <v>16513</v>
      </c>
      <c r="Q2423" s="3" t="n">
        <v>43949.0</v>
      </c>
      <c r="R2423" s="3" t="n">
        <v>44070.0</v>
      </c>
      <c r="S2423" s="3" t="n">
        <v>44070.22950695602</v>
      </c>
      <c r="T2423" s="3" t="n">
        <v>44071.724304675925</v>
      </c>
      <c r="U2423" t="s">
        <v>16514</v>
      </c>
      <c r="V2423" t="s">
        <v>16515</v>
      </c>
    </row>
    <row r="2424">
      <c r="A2424" t="s">
        <v>22</v>
      </c>
      <c r="B2424" t="s">
        <v>16516</v>
      </c>
      <c r="C2424" t="s">
        <v>24</v>
      </c>
      <c r="D2424" t="s">
        <v>100</v>
      </c>
      <c r="E2424" t="s">
        <v>16517</v>
      </c>
      <c r="F2424" s="2" t="n">
        <f>HYPERLINK("https://patents.google.com/patent/US20200267876","Google")</f>
        <v>0.0</v>
      </c>
      <c r="G2424" s="2" t="n">
        <f>HYPERLINK("https://patentcenter.uspto.gov/applications/16858502","Patent Center")</f>
        <v>0.0</v>
      </c>
      <c r="H2424" s="2" t="n">
        <f>HYPERLINK("https://worldwide.espacenet.com/patent/search?q=US20200267876","Espacenet")</f>
        <v>0.0</v>
      </c>
      <c r="I2424" s="2" t="n">
        <f>HYPERLINK("https://ppubs.uspto.gov/pubwebapp/external.html?q=20200267876.pn.","USPTO")</f>
        <v>0.0</v>
      </c>
      <c r="J2424" s="2" t="n">
        <f>HYPERLINK("https://image-ppubs.uspto.gov/dirsearch-public/print/downloadPdf/20200267876","USPTO PDF")</f>
        <v>0.0</v>
      </c>
      <c r="K2424" s="2" t="n">
        <f>HYPERLINK("https://sectors.patentforecast.com/pmd/US20200267876","PMD")</f>
        <v>0.0</v>
      </c>
      <c r="L2424" s="2" t="n">
        <f>HYPERLINK("https://globaldossier.uspto.gov/result/application/US/16858502/1","US20200267876")</f>
        <v>0.0</v>
      </c>
      <c r="M2424" t="s">
        <v>16518</v>
      </c>
      <c r="N2424" t="s">
        <v>16519</v>
      </c>
      <c r="O2424" t="s">
        <v>16520</v>
      </c>
      <c r="P2424" t="s">
        <v>16521</v>
      </c>
      <c r="Q2424" s="3" t="n">
        <v>43945.0</v>
      </c>
      <c r="R2424" s="3" t="n">
        <v>44063.0</v>
      </c>
      <c r="S2424" s="3" t="n">
        <v>44063.22951439815</v>
      </c>
      <c r="T2424" s="3" t="n">
        <v>44063.60743986111</v>
      </c>
      <c r="U2424" t="s">
        <v>16522</v>
      </c>
      <c r="V2424" t="s">
        <v>16523</v>
      </c>
    </row>
    <row r="2425">
      <c r="A2425" t="s">
        <v>22</v>
      </c>
      <c r="B2425" t="s">
        <v>16524</v>
      </c>
      <c r="C2425" t="s">
        <v>24</v>
      </c>
      <c r="D2425" t="s">
        <v>8459</v>
      </c>
      <c r="E2425" t="s">
        <v>16525</v>
      </c>
      <c r="F2425" s="2" t="n">
        <f>HYPERLINK("https://patents.google.com/patent/US20200265960","Google")</f>
        <v>0.0</v>
      </c>
      <c r="G2425" s="2" t="n">
        <f>HYPERLINK("https://patentcenter.uspto.gov/applications/16736838","Patent Center")</f>
        <v>0.0</v>
      </c>
      <c r="H2425" s="2" t="n">
        <f>HYPERLINK("https://worldwide.espacenet.com/patent/search?q=US20200265960","Espacenet")</f>
        <v>0.0</v>
      </c>
      <c r="I2425" s="2" t="n">
        <f>HYPERLINK("https://ppubs.uspto.gov/pubwebapp/external.html?q=20200265960.pn.","USPTO")</f>
        <v>0.0</v>
      </c>
      <c r="J2425" s="2" t="n">
        <f>HYPERLINK("https://image-ppubs.uspto.gov/dirsearch-public/print/downloadPdf/20200265960","USPTO PDF")</f>
        <v>0.0</v>
      </c>
      <c r="K2425" s="2" t="n">
        <f>HYPERLINK("https://sectors.patentforecast.com/pmd/US20200265960","PMD")</f>
        <v>0.0</v>
      </c>
      <c r="L2425" s="2" t="n">
        <f>HYPERLINK("https://globaldossier.uspto.gov/result/application/US/16736838/1","US20200265960")</f>
        <v>0.0</v>
      </c>
      <c r="M2425" t="s">
        <v>16526</v>
      </c>
      <c r="N2425" t="s">
        <v>5048</v>
      </c>
      <c r="O2425" t="s">
        <v>5049</v>
      </c>
      <c r="P2425" t="s">
        <v>16527</v>
      </c>
      <c r="Q2425" s="3" t="n">
        <v>43838.0</v>
      </c>
      <c r="R2425" s="3" t="n">
        <v>44063.0</v>
      </c>
      <c r="S2425" s="3" t="n">
        <v>44063.229975277776</v>
      </c>
      <c r="T2425" s="3" t="n">
        <v>44063.61320288194</v>
      </c>
      <c r="U2425" t="s">
        <v>16528</v>
      </c>
      <c r="V2425" t="s">
        <v>16529</v>
      </c>
    </row>
    <row r="2426">
      <c r="A2426" t="s">
        <v>22</v>
      </c>
      <c r="B2426" t="s">
        <v>16530</v>
      </c>
      <c r="C2426" t="s">
        <v>24</v>
      </c>
      <c r="D2426" t="s">
        <v>1356</v>
      </c>
      <c r="E2426" t="s">
        <v>16531</v>
      </c>
      <c r="F2426" s="2" t="n">
        <f>HYPERLINK("https://patents.google.com/patent/US20200265701","Google")</f>
        <v>0.0</v>
      </c>
      <c r="G2426" s="2" t="n">
        <f>HYPERLINK("https://patentcenter.uspto.gov/applications/16862229","Patent Center")</f>
        <v>0.0</v>
      </c>
      <c r="H2426" s="2" t="n">
        <f>HYPERLINK("https://worldwide.espacenet.com/patent/search?q=US20200265701","Espacenet")</f>
        <v>0.0</v>
      </c>
      <c r="I2426" s="2" t="n">
        <f>HYPERLINK("https://ppubs.uspto.gov/pubwebapp/external.html?q=20200265701.pn.","USPTO")</f>
        <v>0.0</v>
      </c>
      <c r="J2426" s="2" t="n">
        <f>HYPERLINK("https://image-ppubs.uspto.gov/dirsearch-public/print/downloadPdf/20200265701","USPTO PDF")</f>
        <v>0.0</v>
      </c>
      <c r="K2426" s="2" t="n">
        <f>HYPERLINK("https://sectors.patentforecast.com/pmd/US20200265701","PMD")</f>
        <v>0.0</v>
      </c>
      <c r="L2426" s="2" t="n">
        <f>HYPERLINK("https://globaldossier.uspto.gov/result/application/US/16862229/1","US20200265701")</f>
        <v>0.0</v>
      </c>
      <c r="M2426" t="s">
        <v>16532</v>
      </c>
      <c r="N2426" t="s">
        <v>16533</v>
      </c>
      <c r="O2426" t="s">
        <v>16534</v>
      </c>
      <c r="P2426" t="s">
        <v>16535</v>
      </c>
      <c r="Q2426" s="3" t="n">
        <v>43950.0</v>
      </c>
      <c r="R2426" s="3" t="n">
        <v>44063.0</v>
      </c>
      <c r="S2426" s="3" t="n">
        <v>44063.22951439815</v>
      </c>
      <c r="T2426" s="3" t="n">
        <v>44063.608264560185</v>
      </c>
      <c r="U2426" t="s">
        <v>16536</v>
      </c>
      <c r="V2426" t="s">
        <v>16537</v>
      </c>
    </row>
    <row r="2427">
      <c r="A2427" t="s">
        <v>22</v>
      </c>
      <c r="B2427" t="s">
        <v>16538</v>
      </c>
      <c r="C2427" t="s">
        <v>24</v>
      </c>
      <c r="D2427" t="s">
        <v>100</v>
      </c>
      <c r="E2427" t="s">
        <v>16539</v>
      </c>
      <c r="F2427" s="2" t="n">
        <f>HYPERLINK("https://patents.google.com/patent/US20200261608","Google")</f>
        <v>0.0</v>
      </c>
      <c r="G2427" s="2" t="n">
        <f>HYPERLINK("https://patentcenter.uspto.gov/applications/16853081","Patent Center")</f>
        <v>0.0</v>
      </c>
      <c r="H2427" s="2" t="n">
        <f>HYPERLINK("https://worldwide.espacenet.com/patent/search?q=US20200261608","Espacenet")</f>
        <v>0.0</v>
      </c>
      <c r="I2427" s="2" t="n">
        <f>HYPERLINK("https://ppubs.uspto.gov/pubwebapp/external.html?q=20200261608.pn.","USPTO")</f>
        <v>0.0</v>
      </c>
      <c r="J2427" s="2" t="n">
        <f>HYPERLINK("https://image-ppubs.uspto.gov/dirsearch-public/print/downloadPdf/20200261608","USPTO PDF")</f>
        <v>0.0</v>
      </c>
      <c r="K2427" s="2" t="n">
        <f>HYPERLINK("https://sectors.patentforecast.com/pmd/US20200261608","PMD")</f>
        <v>0.0</v>
      </c>
      <c r="L2427" s="2" t="n">
        <f>HYPERLINK("https://globaldossier.uspto.gov/result/application/US/16853081/1","US20200261608")</f>
        <v>0.0</v>
      </c>
      <c r="M2427" t="s">
        <v>16540</v>
      </c>
      <c r="N2427" t="s">
        <v>16541</v>
      </c>
      <c r="O2427" t="s">
        <v>16542</v>
      </c>
      <c r="P2427" t="s">
        <v>16543</v>
      </c>
      <c r="Q2427" s="3" t="n">
        <v>43941.0</v>
      </c>
      <c r="R2427" s="3" t="n">
        <v>44063.0</v>
      </c>
      <c r="S2427" s="3" t="n">
        <v>44063.234142106485</v>
      </c>
      <c r="T2427" s="3" t="n">
        <v>44063.60743986111</v>
      </c>
      <c r="U2427" t="s">
        <v>16544</v>
      </c>
      <c r="V2427" t="s">
        <v>16545</v>
      </c>
    </row>
    <row r="2428">
      <c r="A2428" t="s">
        <v>22</v>
      </c>
      <c r="B2428" t="s">
        <v>16546</v>
      </c>
      <c r="C2428" t="s">
        <v>24</v>
      </c>
      <c r="D2428" t="s">
        <v>3193</v>
      </c>
      <c r="E2428" t="s">
        <v>16547</v>
      </c>
      <c r="F2428" s="2" t="n">
        <f>HYPERLINK("https://patents.google.com/patent/US20200258639","Google")</f>
        <v>0.0</v>
      </c>
      <c r="G2428" s="2" t="n">
        <f>HYPERLINK("https://patentcenter.uspto.gov/applications/16754579","Patent Center")</f>
        <v>0.0</v>
      </c>
      <c r="H2428" s="2" t="n">
        <f>HYPERLINK("https://worldwide.espacenet.com/patent/search?q=US20200258639","Espacenet")</f>
        <v>0.0</v>
      </c>
      <c r="I2428" s="2" t="n">
        <f>HYPERLINK("https://ppubs.uspto.gov/pubwebapp/external.html?q=20200258639.pn.","USPTO")</f>
        <v>0.0</v>
      </c>
      <c r="J2428" s="2" t="n">
        <f>HYPERLINK("https://image-ppubs.uspto.gov/dirsearch-public/print/downloadPdf/20200258639","USPTO PDF")</f>
        <v>0.0</v>
      </c>
      <c r="K2428" s="2" t="n">
        <f>HYPERLINK("https://sectors.patentforecast.com/pmd/US20200258639","PMD")</f>
        <v>0.0</v>
      </c>
      <c r="L2428" s="2" t="n">
        <f>HYPERLINK("https://globaldossier.uspto.gov/result/application/US/16754579/1","US20200258639")</f>
        <v>0.0</v>
      </c>
      <c r="M2428" t="s">
        <v>16548</v>
      </c>
      <c r="N2428" t="s">
        <v>16549</v>
      </c>
      <c r="O2428" t="s">
        <v>16550</v>
      </c>
      <c r="P2428" t="s">
        <v>16551</v>
      </c>
      <c r="Q2428" s="3" t="n">
        <v>43378.0</v>
      </c>
      <c r="R2428" s="3" t="n">
        <v>44056.0</v>
      </c>
      <c r="S2428" s="3" t="n">
        <v>44103.230304895835</v>
      </c>
      <c r="T2428" s="3" t="n">
        <v>44103.561625601855</v>
      </c>
      <c r="U2428" t="s">
        <v>16552</v>
      </c>
      <c r="V2428" t="s">
        <v>16553</v>
      </c>
    </row>
    <row r="2429">
      <c r="A2429" t="s">
        <v>22</v>
      </c>
      <c r="B2429" t="s">
        <v>16554</v>
      </c>
      <c r="C2429" t="s">
        <v>132</v>
      </c>
      <c r="D2429" t="s">
        <v>2629</v>
      </c>
      <c r="E2429" t="s">
        <v>16555</v>
      </c>
      <c r="F2429" s="2" t="n">
        <f>HYPERLINK("https://patents.google.com/patent/US20200254086","Google")</f>
        <v>0.0</v>
      </c>
      <c r="G2429" s="2" t="n">
        <f>HYPERLINK("https://patentcenter.uspto.gov/applications/16639403","Patent Center")</f>
        <v>0.0</v>
      </c>
      <c r="H2429" s="2" t="n">
        <f>HYPERLINK("https://worldwide.espacenet.com/patent/search?q=US20200254086","Espacenet")</f>
        <v>0.0</v>
      </c>
      <c r="I2429" s="2" t="n">
        <f>HYPERLINK("https://ppubs.uspto.gov/pubwebapp/external.html?q=20200254086.pn.","USPTO")</f>
        <v>0.0</v>
      </c>
      <c r="J2429" s="2" t="n">
        <f>HYPERLINK("https://image-ppubs.uspto.gov/dirsearch-public/print/downloadPdf/20200254086","USPTO PDF")</f>
        <v>0.0</v>
      </c>
      <c r="K2429" s="2" t="n">
        <f>HYPERLINK("https://sectors.patentforecast.com/pmd/US20200254086","PMD")</f>
        <v>0.0</v>
      </c>
      <c r="L2429" s="2" t="n">
        <f>HYPERLINK("https://globaldossier.uspto.gov/result/application/US/16639403/1","US20200254086")</f>
        <v>0.0</v>
      </c>
      <c r="M2429" t="s">
        <v>16556</v>
      </c>
      <c r="N2429" t="s">
        <v>9230</v>
      </c>
      <c r="O2429" t="s">
        <v>9231</v>
      </c>
      <c r="P2429" t="s">
        <v>16557</v>
      </c>
      <c r="Q2429" s="3" t="n">
        <v>43329.0</v>
      </c>
      <c r="R2429" s="3" t="n">
        <v>44056.0</v>
      </c>
      <c r="S2429" s="3" t="n">
        <v>44056.23168795139</v>
      </c>
      <c r="T2429" s="3" t="n">
        <v>44056.634206215276</v>
      </c>
      <c r="U2429" t="s">
        <v>16558</v>
      </c>
      <c r="V2429" t="s">
        <v>16559</v>
      </c>
    </row>
    <row r="2430">
      <c r="A2430" t="s">
        <v>22</v>
      </c>
      <c r="B2430" t="s">
        <v>16560</v>
      </c>
      <c r="C2430" t="s">
        <v>24</v>
      </c>
      <c r="D2430" t="s">
        <v>51</v>
      </c>
      <c r="E2430" t="s">
        <v>16561</v>
      </c>
      <c r="F2430" s="2" t="n">
        <f>HYPERLINK("https://patents.google.com/patent/US20200253562","Google")</f>
        <v>0.0</v>
      </c>
      <c r="G2430" s="2" t="n">
        <f>HYPERLINK("https://patentcenter.uspto.gov/applications/16848646","Patent Center")</f>
        <v>0.0</v>
      </c>
      <c r="H2430" s="2" t="n">
        <f>HYPERLINK("https://worldwide.espacenet.com/patent/search?q=US20200253562","Espacenet")</f>
        <v>0.0</v>
      </c>
      <c r="I2430" s="2" t="n">
        <f>HYPERLINK("https://ppubs.uspto.gov/pubwebapp/external.html?q=20200253562.pn.","USPTO")</f>
        <v>0.0</v>
      </c>
      <c r="J2430" s="2" t="n">
        <f>HYPERLINK("https://image-ppubs.uspto.gov/dirsearch-public/print/downloadPdf/20200253562","USPTO PDF")</f>
        <v>0.0</v>
      </c>
      <c r="K2430" s="2" t="n">
        <f>HYPERLINK("https://sectors.patentforecast.com/pmd/US20200253562","PMD")</f>
        <v>0.0</v>
      </c>
      <c r="L2430" s="2" t="n">
        <f>HYPERLINK("https://globaldossier.uspto.gov/result/application/US/16848646/1","US20200253562")</f>
        <v>0.0</v>
      </c>
      <c r="M2430" t="s">
        <v>16562</v>
      </c>
      <c r="N2430" t="s">
        <v>15092</v>
      </c>
      <c r="O2430" t="s">
        <v>15093</v>
      </c>
      <c r="P2430" t="s">
        <v>15094</v>
      </c>
      <c r="Q2430" s="3" t="n">
        <v>43935.0</v>
      </c>
      <c r="R2430" s="3" t="n">
        <v>44056.0</v>
      </c>
      <c r="S2430" s="3" t="n">
        <v>44056.229489247686</v>
      </c>
      <c r="T2430" s="3" t="n">
        <v>44056.635307766206</v>
      </c>
      <c r="U2430" t="s">
        <v>16563</v>
      </c>
      <c r="V2430" t="s">
        <v>15096</v>
      </c>
    </row>
    <row r="2431">
      <c r="A2431" t="s">
        <v>22</v>
      </c>
      <c r="B2431" t="s">
        <v>16564</v>
      </c>
      <c r="C2431" t="s">
        <v>132</v>
      </c>
      <c r="D2431" t="s">
        <v>142</v>
      </c>
      <c r="E2431" t="s">
        <v>16565</v>
      </c>
      <c r="F2431" s="2" t="n">
        <f>HYPERLINK("https://patents.google.com/patent/US20200246613","Google")</f>
        <v>0.0</v>
      </c>
      <c r="G2431" s="2" t="n">
        <f>HYPERLINK("https://patentcenter.uspto.gov/applications/16857963","Patent Center")</f>
        <v>0.0</v>
      </c>
      <c r="H2431" s="2" t="n">
        <f>HYPERLINK("https://worldwide.espacenet.com/patent/search?q=US20200246613","Espacenet")</f>
        <v>0.0</v>
      </c>
      <c r="I2431" s="2" t="n">
        <f>HYPERLINK("https://ppubs.uspto.gov/pubwebapp/external.html?q=20200246613.pn.","USPTO")</f>
        <v>0.0</v>
      </c>
      <c r="J2431" s="2" t="n">
        <f>HYPERLINK("https://image-ppubs.uspto.gov/dirsearch-public/print/downloadPdf/20200246613","USPTO PDF")</f>
        <v>0.0</v>
      </c>
      <c r="K2431" s="2" t="n">
        <f>HYPERLINK("https://sectors.patentforecast.com/pmd/US20200246613","PMD")</f>
        <v>0.0</v>
      </c>
      <c r="L2431" s="2" t="n">
        <f>HYPERLINK("https://globaldossier.uspto.gov/result/application/US/16857963/1","US20200246613")</f>
        <v>0.0</v>
      </c>
      <c r="M2431" t="s">
        <v>16566</v>
      </c>
      <c r="N2431" t="s">
        <v>10151</v>
      </c>
      <c r="O2431" t="s">
        <v>10152</v>
      </c>
      <c r="P2431" t="s">
        <v>16567</v>
      </c>
      <c r="Q2431" s="3" t="n">
        <v>43945.0</v>
      </c>
      <c r="R2431" s="3" t="n">
        <v>44049.0</v>
      </c>
      <c r="S2431" s="3" t="n">
        <v>44049.23084708333</v>
      </c>
      <c r="T2431" s="3" t="n">
        <v>44672.31512517361</v>
      </c>
      <c r="U2431" t="s">
        <v>16568</v>
      </c>
      <c r="V2431" t="s">
        <v>16569</v>
      </c>
    </row>
    <row r="2432">
      <c r="A2432" t="s">
        <v>22</v>
      </c>
      <c r="B2432" t="s">
        <v>16570</v>
      </c>
      <c r="C2432" t="s">
        <v>24</v>
      </c>
      <c r="D2432" t="s">
        <v>100</v>
      </c>
      <c r="E2432" t="s">
        <v>16571</v>
      </c>
      <c r="F2432" s="2" t="n">
        <f>HYPERLINK("https://patents.google.com/patent/US20200246533","Google")</f>
        <v>0.0</v>
      </c>
      <c r="G2432" s="2" t="n">
        <f>HYPERLINK("https://patentcenter.uspto.gov/applications/16840899","Patent Center")</f>
        <v>0.0</v>
      </c>
      <c r="H2432" s="2" t="n">
        <f>HYPERLINK("https://worldwide.espacenet.com/patent/search?q=US20200246533","Espacenet")</f>
        <v>0.0</v>
      </c>
      <c r="I2432" s="2" t="n">
        <f>HYPERLINK("https://ppubs.uspto.gov/pubwebapp/external.html?q=20200246533.pn.","USPTO")</f>
        <v>0.0</v>
      </c>
      <c r="J2432" s="2" t="n">
        <f>HYPERLINK("https://image-ppubs.uspto.gov/dirsearch-public/print/downloadPdf/20200246533","USPTO PDF")</f>
        <v>0.0</v>
      </c>
      <c r="K2432" s="2" t="n">
        <f>HYPERLINK("https://sectors.patentforecast.com/pmd/US20200246533","PMD")</f>
        <v>0.0</v>
      </c>
      <c r="L2432" s="2" t="n">
        <f>HYPERLINK("https://globaldossier.uspto.gov/result/application/US/16840899/1","US20200246533")</f>
        <v>0.0</v>
      </c>
      <c r="M2432" t="s">
        <v>16572</v>
      </c>
      <c r="N2432" t="s">
        <v>16573</v>
      </c>
      <c r="O2432" t="s">
        <v>16574</v>
      </c>
      <c r="P2432" t="s">
        <v>16575</v>
      </c>
      <c r="Q2432" s="3" t="n">
        <v>43927.0</v>
      </c>
      <c r="R2432" s="3" t="n">
        <v>44049.0</v>
      </c>
      <c r="S2432" s="3" t="n">
        <v>44049.22945869213</v>
      </c>
      <c r="T2432" s="3" t="n">
        <v>44053.680456458336</v>
      </c>
      <c r="U2432" t="s">
        <v>16576</v>
      </c>
      <c r="V2432" t="s">
        <v>16577</v>
      </c>
    </row>
    <row r="2433">
      <c r="A2433" t="s">
        <v>22</v>
      </c>
      <c r="B2433" t="s">
        <v>16578</v>
      </c>
      <c r="C2433" t="s">
        <v>24</v>
      </c>
      <c r="D2433" t="s">
        <v>100</v>
      </c>
      <c r="E2433" t="s">
        <v>16579</v>
      </c>
      <c r="F2433" s="2" t="n">
        <f>HYPERLINK("https://patents.google.com/patent/US20200246496","Google")</f>
        <v>0.0</v>
      </c>
      <c r="G2433" s="2" t="n">
        <f>HYPERLINK("https://patentcenter.uspto.gov/applications/16853983","Patent Center")</f>
        <v>0.0</v>
      </c>
      <c r="H2433" s="2" t="n">
        <f>HYPERLINK("https://worldwide.espacenet.com/patent/search?q=US20200246496","Espacenet")</f>
        <v>0.0</v>
      </c>
      <c r="I2433" s="2" t="n">
        <f>HYPERLINK("https://ppubs.uspto.gov/pubwebapp/external.html?q=20200246496.pn.","USPTO")</f>
        <v>0.0</v>
      </c>
      <c r="J2433" s="2" t="n">
        <f>HYPERLINK("https://image-ppubs.uspto.gov/dirsearch-public/print/downloadPdf/20200246496","USPTO PDF")</f>
        <v>0.0</v>
      </c>
      <c r="K2433" s="2" t="n">
        <f>HYPERLINK("https://sectors.patentforecast.com/pmd/US20200246496","PMD")</f>
        <v>0.0</v>
      </c>
      <c r="L2433" s="2" t="n">
        <f>HYPERLINK("https://globaldossier.uspto.gov/result/application/US/16853983/1","US20200246496")</f>
        <v>0.0</v>
      </c>
      <c r="M2433" t="s">
        <v>16580</v>
      </c>
      <c r="N2433" t="s">
        <v>1030</v>
      </c>
      <c r="O2433" t="s">
        <v>1031</v>
      </c>
      <c r="P2433" t="s">
        <v>16581</v>
      </c>
      <c r="Q2433" s="3" t="n">
        <v>43942.0</v>
      </c>
      <c r="R2433" s="3" t="n">
        <v>44049.0</v>
      </c>
      <c r="S2433" s="3" t="n">
        <v>44049.23431923611</v>
      </c>
      <c r="T2433" s="3" t="n">
        <v>44053.679816006945</v>
      </c>
      <c r="U2433" t="s">
        <v>16582</v>
      </c>
      <c r="V2433" t="s">
        <v>16583</v>
      </c>
    </row>
    <row r="2434">
      <c r="A2434" t="s">
        <v>22</v>
      </c>
      <c r="B2434" t="s">
        <v>16584</v>
      </c>
      <c r="C2434" t="s">
        <v>24</v>
      </c>
      <c r="D2434" t="s">
        <v>25</v>
      </c>
      <c r="E2434" t="s">
        <v>16585</v>
      </c>
      <c r="F2434" s="2" t="n">
        <f>HYPERLINK("https://patents.google.com/patent/US20200245873","Google")</f>
        <v>0.0</v>
      </c>
      <c r="G2434" s="2" t="n">
        <f>HYPERLINK("https://patentcenter.uspto.gov/applications/16854883","Patent Center")</f>
        <v>0.0</v>
      </c>
      <c r="H2434" s="2" t="n">
        <f>HYPERLINK("https://worldwide.espacenet.com/patent/search?q=US20200245873","Espacenet")</f>
        <v>0.0</v>
      </c>
      <c r="I2434" s="2" t="n">
        <f>HYPERLINK("https://ppubs.uspto.gov/pubwebapp/external.html?q=20200245873.pn.","USPTO")</f>
        <v>0.0</v>
      </c>
      <c r="J2434" s="2" t="n">
        <f>HYPERLINK("https://image-ppubs.uspto.gov/dirsearch-public/print/downloadPdf/20200245873","USPTO PDF")</f>
        <v>0.0</v>
      </c>
      <c r="K2434" s="2" t="n">
        <f>HYPERLINK("https://sectors.patentforecast.com/pmd/US20200245873","PMD")</f>
        <v>0.0</v>
      </c>
      <c r="L2434" s="2" t="n">
        <f>HYPERLINK("https://globaldossier.uspto.gov/result/application/US/16854883/1","US20200245873")</f>
        <v>0.0</v>
      </c>
      <c r="M2434" t="s">
        <v>16586</v>
      </c>
      <c r="N2434" t="s">
        <v>14251</v>
      </c>
      <c r="O2434" t="s">
        <v>14252</v>
      </c>
      <c r="P2434" t="s">
        <v>14344</v>
      </c>
      <c r="Q2434" s="3" t="n">
        <v>43942.0</v>
      </c>
      <c r="R2434" s="3" t="n">
        <v>44049.0</v>
      </c>
      <c r="S2434" s="3" t="n">
        <v>44049.22945869213</v>
      </c>
      <c r="T2434" s="3" t="n">
        <v>44053.68029596065</v>
      </c>
      <c r="U2434" t="s">
        <v>16587</v>
      </c>
      <c r="V2434" t="s">
        <v>16588</v>
      </c>
    </row>
    <row r="2435">
      <c r="A2435" t="s">
        <v>22</v>
      </c>
      <c r="B2435" t="s">
        <v>16589</v>
      </c>
      <c r="C2435" t="s">
        <v>60</v>
      </c>
      <c r="D2435" t="s">
        <v>61</v>
      </c>
      <c r="E2435" t="s">
        <v>16590</v>
      </c>
      <c r="F2435" s="2" t="n">
        <f>HYPERLINK("https://patents.google.com/patent/US20200237689","Google")</f>
        <v>0.0</v>
      </c>
      <c r="G2435" s="2" t="n">
        <f>HYPERLINK("https://patentcenter.uspto.gov/applications/16828542","Patent Center")</f>
        <v>0.0</v>
      </c>
      <c r="H2435" s="2" t="n">
        <f>HYPERLINK("https://worldwide.espacenet.com/patent/search?q=US20200237689","Espacenet")</f>
        <v>0.0</v>
      </c>
      <c r="I2435" s="2" t="n">
        <f>HYPERLINK("https://ppubs.uspto.gov/pubwebapp/external.html?q=20200237689.pn.","USPTO")</f>
        <v>0.0</v>
      </c>
      <c r="J2435" s="2" t="n">
        <f>HYPERLINK("https://image-ppubs.uspto.gov/dirsearch-public/print/downloadPdf/20200237689","USPTO PDF")</f>
        <v>0.0</v>
      </c>
      <c r="K2435" s="2" t="n">
        <f>HYPERLINK("https://sectors.patentforecast.com/pmd/US20200237689","PMD")</f>
        <v>0.0</v>
      </c>
      <c r="L2435" s="2" t="n">
        <f>HYPERLINK("https://globaldossier.uspto.gov/result/application/US/16828542/1","US20200237689")</f>
        <v>0.0</v>
      </c>
      <c r="M2435" t="s">
        <v>16591</v>
      </c>
      <c r="N2435" t="s">
        <v>16592</v>
      </c>
      <c r="O2435" t="s">
        <v>16593</v>
      </c>
      <c r="P2435" t="s">
        <v>16594</v>
      </c>
      <c r="Q2435" s="3" t="n">
        <v>43914.0</v>
      </c>
      <c r="R2435" s="3" t="n">
        <v>44042.0</v>
      </c>
      <c r="S2435" s="3" t="n">
        <v>44042.229485625</v>
      </c>
      <c r="T2435" s="3" t="n">
        <v>44043.488468703705</v>
      </c>
      <c r="U2435" t="s">
        <v>16595</v>
      </c>
      <c r="V2435" t="s">
        <v>16596</v>
      </c>
    </row>
    <row r="2436">
      <c r="A2436" t="s">
        <v>22</v>
      </c>
      <c r="B2436" t="s">
        <v>16597</v>
      </c>
      <c r="C2436" t="s">
        <v>24</v>
      </c>
      <c r="D2436" t="s">
        <v>25</v>
      </c>
      <c r="E2436" t="s">
        <v>16598</v>
      </c>
      <c r="F2436" s="2" t="n">
        <f>HYPERLINK("https://patents.google.com/patent/US20200234804","Google")</f>
        <v>0.0</v>
      </c>
      <c r="G2436" s="2" t="n">
        <f>HYPERLINK("https://patentcenter.uspto.gov/applications/16712545","Patent Center")</f>
        <v>0.0</v>
      </c>
      <c r="H2436" s="2" t="n">
        <f>HYPERLINK("https://worldwide.espacenet.com/patent/search?q=US20200234804","Espacenet")</f>
        <v>0.0</v>
      </c>
      <c r="I2436" s="2" t="n">
        <f>HYPERLINK("https://ppubs.uspto.gov/pubwebapp/external.html?q=20200234804.pn.","USPTO")</f>
        <v>0.0</v>
      </c>
      <c r="J2436" s="2" t="n">
        <f>HYPERLINK("https://image-ppubs.uspto.gov/dirsearch-public/print/downloadPdf/20200234804","USPTO PDF")</f>
        <v>0.0</v>
      </c>
      <c r="K2436" s="2" t="n">
        <f>HYPERLINK("https://sectors.patentforecast.com/pmd/US20200234804","PMD")</f>
        <v>0.0</v>
      </c>
      <c r="L2436" s="2" t="n">
        <f>HYPERLINK("https://globaldossier.uspto.gov/result/application/US/16712545/1","US20200234804")</f>
        <v>0.0</v>
      </c>
      <c r="M2436" t="s">
        <v>16599</v>
      </c>
      <c r="N2436" t="s">
        <v>3621</v>
      </c>
      <c r="O2436" t="s">
        <v>3622</v>
      </c>
      <c r="P2436" t="s">
        <v>16600</v>
      </c>
      <c r="Q2436" s="3" t="n">
        <v>43811.0</v>
      </c>
      <c r="R2436" s="3" t="n">
        <v>44035.0</v>
      </c>
      <c r="S2436" s="3" t="n">
        <v>44035.23297866898</v>
      </c>
      <c r="T2436" s="3" t="n">
        <v>44040.40123819444</v>
      </c>
      <c r="U2436" t="s">
        <v>16601</v>
      </c>
      <c r="V2436" t="s">
        <v>16602</v>
      </c>
    </row>
    <row r="2437">
      <c r="A2437" t="s">
        <v>22</v>
      </c>
      <c r="B2437" t="s">
        <v>16603</v>
      </c>
      <c r="C2437" t="s">
        <v>24</v>
      </c>
      <c r="D2437" t="s">
        <v>100</v>
      </c>
      <c r="E2437" t="s">
        <v>16604</v>
      </c>
      <c r="F2437" s="2" t="n">
        <f>HYPERLINK("https://patents.google.com/patent/US20200231128","Google")</f>
        <v>0.0</v>
      </c>
      <c r="G2437" s="2" t="n">
        <f>HYPERLINK("https://patentcenter.uspto.gov/applications/16835851","Patent Center")</f>
        <v>0.0</v>
      </c>
      <c r="H2437" s="2" t="n">
        <f>HYPERLINK("https://worldwide.espacenet.com/patent/search?q=US20200231128","Espacenet")</f>
        <v>0.0</v>
      </c>
      <c r="I2437" s="2" t="n">
        <f>HYPERLINK("https://ppubs.uspto.gov/pubwebapp/external.html?q=20200231128.pn.","USPTO")</f>
        <v>0.0</v>
      </c>
      <c r="J2437" s="2" t="n">
        <f>HYPERLINK("https://image-ppubs.uspto.gov/dirsearch-public/print/downloadPdf/20200231128","USPTO PDF")</f>
        <v>0.0</v>
      </c>
      <c r="K2437" s="2" t="n">
        <f>HYPERLINK("https://sectors.patentforecast.com/pmd/US20200231128","PMD")</f>
        <v>0.0</v>
      </c>
      <c r="L2437" s="2" t="n">
        <f>HYPERLINK("https://globaldossier.uspto.gov/result/application/US/16835851/1","US20200231128")</f>
        <v>0.0</v>
      </c>
      <c r="M2437" t="s">
        <v>16605</v>
      </c>
      <c r="N2437" t="s">
        <v>16606</v>
      </c>
      <c r="O2437" t="s">
        <v>16607</v>
      </c>
      <c r="P2437" t="s">
        <v>16608</v>
      </c>
      <c r="Q2437" s="3" t="n">
        <v>43921.0</v>
      </c>
      <c r="R2437" s="3" t="n">
        <v>44035.0</v>
      </c>
      <c r="S2437" s="3" t="n">
        <v>44035.229507013886</v>
      </c>
      <c r="T2437" s="3" t="n">
        <v>44040.38188181713</v>
      </c>
      <c r="U2437" t="s">
        <v>16609</v>
      </c>
      <c r="V2437" t="s">
        <v>16610</v>
      </c>
    </row>
    <row r="2438">
      <c r="A2438" t="s">
        <v>22</v>
      </c>
      <c r="B2438" t="s">
        <v>16611</v>
      </c>
      <c r="C2438" t="s">
        <v>60</v>
      </c>
      <c r="D2438" t="s">
        <v>715</v>
      </c>
      <c r="E2438" t="s">
        <v>16612</v>
      </c>
      <c r="F2438" s="2" t="n">
        <f>HYPERLINK("https://patents.google.com/patent/US20200230408","Google")</f>
        <v>0.0</v>
      </c>
      <c r="G2438" s="2" t="n">
        <f>HYPERLINK("https://patentcenter.uspto.gov/applications/16838953","Patent Center")</f>
        <v>0.0</v>
      </c>
      <c r="H2438" s="2" t="n">
        <f>HYPERLINK("https://worldwide.espacenet.com/patent/search?q=US20200230408","Espacenet")</f>
        <v>0.0</v>
      </c>
      <c r="I2438" s="2" t="n">
        <f>HYPERLINK("https://ppubs.uspto.gov/pubwebapp/external.html?q=20200230408.pn.","USPTO")</f>
        <v>0.0</v>
      </c>
      <c r="J2438" s="2" t="n">
        <f>HYPERLINK("https://image-ppubs.uspto.gov/dirsearch-public/print/downloadPdf/20200230408","USPTO PDF")</f>
        <v>0.0</v>
      </c>
      <c r="K2438" s="2" t="n">
        <f>HYPERLINK("https://sectors.patentforecast.com/pmd/US20200230408","PMD")</f>
        <v>0.0</v>
      </c>
      <c r="L2438" s="2" t="n">
        <f>HYPERLINK("https://globaldossier.uspto.gov/result/application/US/16838953/1","US20200230408")</f>
        <v>0.0</v>
      </c>
      <c r="M2438" t="s">
        <v>16613</v>
      </c>
      <c r="N2438" t="s">
        <v>5322</v>
      </c>
      <c r="O2438" t="s">
        <v>5323</v>
      </c>
      <c r="P2438" t="s">
        <v>16614</v>
      </c>
      <c r="Q2438" s="3" t="n">
        <v>43923.0</v>
      </c>
      <c r="R2438" s="3" t="n">
        <v>44035.0</v>
      </c>
      <c r="S2438" s="3" t="n">
        <v>44035.229507013886</v>
      </c>
      <c r="T2438" s="3" t="n">
        <v>44040.381305069444</v>
      </c>
      <c r="U2438" t="s">
        <v>16615</v>
      </c>
      <c r="V2438" t="s">
        <v>16616</v>
      </c>
    </row>
    <row r="2439">
      <c r="A2439" t="s">
        <v>22</v>
      </c>
      <c r="B2439" t="s">
        <v>16617</v>
      </c>
      <c r="C2439" t="s">
        <v>132</v>
      </c>
      <c r="D2439" t="s">
        <v>133</v>
      </c>
      <c r="E2439" t="s">
        <v>16618</v>
      </c>
      <c r="F2439" s="2" t="n">
        <f>HYPERLINK("https://patents.google.com/patent/US20200230198","Google")</f>
        <v>0.0</v>
      </c>
      <c r="G2439" s="2" t="n">
        <f>HYPERLINK("https://patentcenter.uspto.gov/applications/16311108","Patent Center")</f>
        <v>0.0</v>
      </c>
      <c r="H2439" s="2" t="n">
        <f>HYPERLINK("https://worldwide.espacenet.com/patent/search?q=US20200230198","Espacenet")</f>
        <v>0.0</v>
      </c>
      <c r="I2439" s="2" t="n">
        <f>HYPERLINK("https://ppubs.uspto.gov/pubwebapp/external.html?q=20200230198.pn.","USPTO")</f>
        <v>0.0</v>
      </c>
      <c r="J2439" s="2" t="n">
        <f>HYPERLINK("https://image-ppubs.uspto.gov/dirsearch-public/print/downloadPdf/20200230198","USPTO PDF")</f>
        <v>0.0</v>
      </c>
      <c r="K2439" s="2" t="n">
        <f>HYPERLINK("https://sectors.patentforecast.com/pmd/US20200230198","PMD")</f>
        <v>0.0</v>
      </c>
      <c r="L2439" s="2" t="n">
        <f>HYPERLINK("https://globaldossier.uspto.gov/result/application/US/16311108/1","US20200230198")</f>
        <v>0.0</v>
      </c>
      <c r="M2439" t="s">
        <v>16619</v>
      </c>
      <c r="N2439" t="s">
        <v>16620</v>
      </c>
      <c r="O2439" t="s">
        <v>16620</v>
      </c>
      <c r="P2439" t="s">
        <v>16621</v>
      </c>
      <c r="Q2439" s="3" t="n">
        <v>42902.0</v>
      </c>
      <c r="R2439" s="3" t="n">
        <v>44035.0</v>
      </c>
      <c r="S2439" s="3" t="n">
        <v>44035.23066050926</v>
      </c>
      <c r="T2439" s="3" t="n">
        <v>44040.37540824074</v>
      </c>
      <c r="U2439" t="s">
        <v>16622</v>
      </c>
      <c r="V2439" t="s">
        <v>16623</v>
      </c>
    </row>
    <row r="2440">
      <c r="A2440" t="s">
        <v>22</v>
      </c>
      <c r="B2440" t="s">
        <v>16624</v>
      </c>
      <c r="C2440" t="s">
        <v>24</v>
      </c>
      <c r="D2440" t="s">
        <v>100</v>
      </c>
      <c r="E2440" t="s">
        <v>16625</v>
      </c>
      <c r="F2440" s="2" t="n">
        <f>HYPERLINK("https://patents.google.com/patent/US20200222718","Google")</f>
        <v>0.0</v>
      </c>
      <c r="G2440" s="2" t="n">
        <f>HYPERLINK("https://patentcenter.uspto.gov/applications/16826229","Patent Center")</f>
        <v>0.0</v>
      </c>
      <c r="H2440" s="2" t="n">
        <f>HYPERLINK("https://worldwide.espacenet.com/patent/search?q=US20200222718","Espacenet")</f>
        <v>0.0</v>
      </c>
      <c r="I2440" s="2" t="n">
        <f>HYPERLINK("https://ppubs.uspto.gov/pubwebapp/external.html?q=20200222718.pn.","USPTO")</f>
        <v>0.0</v>
      </c>
      <c r="J2440" s="2" t="n">
        <f>HYPERLINK("https://image-ppubs.uspto.gov/dirsearch-public/print/downloadPdf/20200222718","USPTO PDF")</f>
        <v>0.0</v>
      </c>
      <c r="K2440" s="2" t="n">
        <f>HYPERLINK("https://sectors.patentforecast.com/pmd/US20200222718","PMD")</f>
        <v>0.0</v>
      </c>
      <c r="L2440" s="2" t="n">
        <f>HYPERLINK("https://globaldossier.uspto.gov/result/application/US/16826229/1","US20200222718")</f>
        <v>0.0</v>
      </c>
      <c r="M2440" t="s">
        <v>16626</v>
      </c>
      <c r="N2440" t="s">
        <v>16627</v>
      </c>
      <c r="O2440" t="s">
        <v>16628</v>
      </c>
      <c r="P2440" t="s">
        <v>16629</v>
      </c>
      <c r="Q2440" s="3" t="n">
        <v>43911.0</v>
      </c>
      <c r="R2440" s="3" t="n">
        <v>44028.0</v>
      </c>
      <c r="S2440" s="3" t="n">
        <v>44028.22995616898</v>
      </c>
      <c r="T2440" s="3" t="n">
        <v>44033.37646743056</v>
      </c>
      <c r="U2440" t="s">
        <v>16630</v>
      </c>
      <c r="V2440" t="s">
        <v>16631</v>
      </c>
    </row>
    <row r="2441">
      <c r="A2441" t="s">
        <v>22</v>
      </c>
      <c r="B2441" t="s">
        <v>16632</v>
      </c>
      <c r="C2441" t="s">
        <v>132</v>
      </c>
      <c r="D2441" t="s">
        <v>133</v>
      </c>
      <c r="E2441" t="s">
        <v>8399</v>
      </c>
      <c r="F2441" s="2" t="n">
        <f>HYPERLINK("https://patents.google.com/patent/US20200222527","Google")</f>
        <v>0.0</v>
      </c>
      <c r="G2441" s="2" t="n">
        <f>HYPERLINK("https://patentcenter.uspto.gov/applications/16781433","Patent Center")</f>
        <v>0.0</v>
      </c>
      <c r="H2441" s="2" t="n">
        <f>HYPERLINK("https://worldwide.espacenet.com/patent/search?q=US20200222527","Espacenet")</f>
        <v>0.0</v>
      </c>
      <c r="I2441" s="2" t="n">
        <f>HYPERLINK("https://ppubs.uspto.gov/pubwebapp/external.html?q=20200222527.pn.","USPTO")</f>
        <v>0.0</v>
      </c>
      <c r="J2441" s="2" t="n">
        <f>HYPERLINK("https://image-ppubs.uspto.gov/dirsearch-public/print/downloadPdf/20200222527","USPTO PDF")</f>
        <v>0.0</v>
      </c>
      <c r="K2441" s="2" t="n">
        <f>HYPERLINK("https://sectors.patentforecast.com/pmd/US20200222527","PMD")</f>
        <v>0.0</v>
      </c>
      <c r="L2441" s="2" t="n">
        <f>HYPERLINK("https://globaldossier.uspto.gov/result/application/US/16781433/1","US20200222527")</f>
        <v>0.0</v>
      </c>
      <c r="M2441" t="s">
        <v>16633</v>
      </c>
      <c r="N2441" t="s">
        <v>2541</v>
      </c>
      <c r="O2441" t="s">
        <v>2542</v>
      </c>
      <c r="P2441" t="s">
        <v>8401</v>
      </c>
      <c r="Q2441" s="3" t="n">
        <v>43865.0</v>
      </c>
      <c r="R2441" s="3" t="n">
        <v>44028.0</v>
      </c>
      <c r="S2441" s="3" t="n">
        <v>44028.23111320602</v>
      </c>
      <c r="T2441" s="3" t="n">
        <v>44033.37845665509</v>
      </c>
      <c r="U2441" t="s">
        <v>16634</v>
      </c>
      <c r="V2441" t="s">
        <v>8403</v>
      </c>
    </row>
    <row r="2442">
      <c r="A2442" t="s">
        <v>22</v>
      </c>
      <c r="B2442" t="s">
        <v>16635</v>
      </c>
      <c r="C2442" t="s">
        <v>24</v>
      </c>
      <c r="D2442" t="s">
        <v>1356</v>
      </c>
      <c r="E2442" t="s">
        <v>16636</v>
      </c>
      <c r="F2442" s="2" t="n">
        <f>HYPERLINK("https://patents.google.com/patent/US20200219623","Google")</f>
        <v>0.0</v>
      </c>
      <c r="G2442" s="2" t="n">
        <f>HYPERLINK("https://patentcenter.uspto.gov/applications/16819238","Patent Center")</f>
        <v>0.0</v>
      </c>
      <c r="H2442" s="2" t="n">
        <f>HYPERLINK("https://worldwide.espacenet.com/patent/search?q=US20200219623","Espacenet")</f>
        <v>0.0</v>
      </c>
      <c r="I2442" s="2" t="n">
        <f>HYPERLINK("https://ppubs.uspto.gov/pubwebapp/external.html?q=20200219623.pn.","USPTO")</f>
        <v>0.0</v>
      </c>
      <c r="J2442" s="2" t="n">
        <f>HYPERLINK("https://image-ppubs.uspto.gov/dirsearch-public/print/downloadPdf/20200219623","USPTO PDF")</f>
        <v>0.0</v>
      </c>
      <c r="K2442" s="2" t="n">
        <f>HYPERLINK("https://sectors.patentforecast.com/pmd/US20200219623","PMD")</f>
        <v>0.0</v>
      </c>
      <c r="L2442" s="2" t="n">
        <f>HYPERLINK("https://globaldossier.uspto.gov/result/application/US/16819238/1","US20200219623")</f>
        <v>0.0</v>
      </c>
      <c r="M2442" t="s">
        <v>16637</v>
      </c>
      <c r="N2442" t="s">
        <v>15762</v>
      </c>
      <c r="O2442" t="s">
        <v>15763</v>
      </c>
      <c r="P2442" t="s">
        <v>16638</v>
      </c>
      <c r="Q2442" s="3" t="n">
        <v>43906.0</v>
      </c>
      <c r="R2442" s="3" t="n">
        <v>44021.0</v>
      </c>
      <c r="S2442" s="3" t="n">
        <v>44028.230650219906</v>
      </c>
      <c r="T2442" s="3" t="n">
        <v>44033.39234425926</v>
      </c>
      <c r="U2442" t="s">
        <v>16639</v>
      </c>
      <c r="V2442" t="s">
        <v>16640</v>
      </c>
    </row>
    <row r="2443">
      <c r="A2443" t="s">
        <v>22</v>
      </c>
      <c r="B2443" t="s">
        <v>16641</v>
      </c>
      <c r="C2443" t="s">
        <v>132</v>
      </c>
      <c r="D2443" t="s">
        <v>11423</v>
      </c>
      <c r="E2443" t="s">
        <v>16642</v>
      </c>
      <c r="F2443" s="2" t="n">
        <f>HYPERLINK("https://patents.google.com/patent/US20200215189","Google")</f>
        <v>0.0</v>
      </c>
      <c r="G2443" s="2" t="n">
        <f>HYPERLINK("https://patentcenter.uspto.gov/applications/16823836","Patent Center")</f>
        <v>0.0</v>
      </c>
      <c r="H2443" s="2" t="n">
        <f>HYPERLINK("https://worldwide.espacenet.com/patent/search?q=US20200215189","Espacenet")</f>
        <v>0.0</v>
      </c>
      <c r="I2443" s="2" t="n">
        <f>HYPERLINK("https://ppubs.uspto.gov/pubwebapp/external.html?q=20200215189.pn.","USPTO")</f>
        <v>0.0</v>
      </c>
      <c r="J2443" s="2" t="n">
        <f>HYPERLINK("https://image-ppubs.uspto.gov/dirsearch-public/print/downloadPdf/20200215189","USPTO PDF")</f>
        <v>0.0</v>
      </c>
      <c r="K2443" s="2" t="n">
        <f>HYPERLINK("https://sectors.patentforecast.com/pmd/US20200215189","PMD")</f>
        <v>0.0</v>
      </c>
      <c r="L2443" s="2" t="n">
        <f>HYPERLINK("https://globaldossier.uspto.gov/result/application/US/16823836/1","US20200215189")</f>
        <v>0.0</v>
      </c>
      <c r="M2443" t="s">
        <v>16643</v>
      </c>
      <c r="N2443" t="s">
        <v>1275</v>
      </c>
      <c r="O2443" t="s">
        <v>1275</v>
      </c>
      <c r="P2443" t="s">
        <v>16644</v>
      </c>
      <c r="Q2443" s="3" t="n">
        <v>43909.0</v>
      </c>
      <c r="R2443" s="3" t="n">
        <v>44021.0</v>
      </c>
      <c r="S2443" s="3" t="n">
        <v>44021.23132547454</v>
      </c>
      <c r="T2443" s="3" t="n">
        <v>44026.37564185185</v>
      </c>
      <c r="U2443" t="s">
        <v>16645</v>
      </c>
      <c r="V2443" t="s">
        <v>16646</v>
      </c>
    </row>
    <row r="2444">
      <c r="A2444" t="s">
        <v>22</v>
      </c>
      <c r="B2444" t="s">
        <v>16647</v>
      </c>
      <c r="C2444" t="s">
        <v>132</v>
      </c>
      <c r="D2444" t="s">
        <v>1265</v>
      </c>
      <c r="E2444" t="s">
        <v>16648</v>
      </c>
      <c r="F2444" s="2" t="n">
        <f>HYPERLINK("https://patents.google.com/patent/US20200215184","Google")</f>
        <v>0.0</v>
      </c>
      <c r="G2444" s="2" t="n">
        <f>HYPERLINK("https://patentcenter.uspto.gov/applications/16657082","Patent Center")</f>
        <v>0.0</v>
      </c>
      <c r="H2444" s="2" t="n">
        <f>HYPERLINK("https://worldwide.espacenet.com/patent/search?q=US20200215184","Espacenet")</f>
        <v>0.0</v>
      </c>
      <c r="I2444" s="2" t="n">
        <f>HYPERLINK("https://ppubs.uspto.gov/pubwebapp/external.html?q=20200215184.pn.","USPTO")</f>
        <v>0.0</v>
      </c>
      <c r="J2444" s="2" t="n">
        <f>HYPERLINK("https://image-ppubs.uspto.gov/dirsearch-public/print/downloadPdf/20200215184","USPTO PDF")</f>
        <v>0.0</v>
      </c>
      <c r="K2444" s="2" t="n">
        <f>HYPERLINK("https://sectors.patentforecast.com/pmd/US20200215184","PMD")</f>
        <v>0.0</v>
      </c>
      <c r="L2444" s="2" t="n">
        <f>HYPERLINK("https://globaldossier.uspto.gov/result/application/US/16657082/1","US20200215184")</f>
        <v>0.0</v>
      </c>
      <c r="M2444" t="s">
        <v>16649</v>
      </c>
      <c r="N2444" t="s">
        <v>16650</v>
      </c>
      <c r="O2444" t="s">
        <v>16651</v>
      </c>
      <c r="P2444" t="s">
        <v>16652</v>
      </c>
      <c r="Q2444" s="3" t="n">
        <v>43756.0</v>
      </c>
      <c r="R2444" s="3" t="n">
        <v>44021.0</v>
      </c>
      <c r="S2444" s="3" t="n">
        <v>44179.590614872686</v>
      </c>
      <c r="T2444" s="3" t="n">
        <v>44757.75354799769</v>
      </c>
      <c r="U2444" t="s">
        <v>16653</v>
      </c>
      <c r="V2444" t="s">
        <v>16654</v>
      </c>
    </row>
    <row r="2445">
      <c r="A2445" t="s">
        <v>22</v>
      </c>
      <c r="B2445" t="s">
        <v>16655</v>
      </c>
      <c r="C2445" t="s">
        <v>24</v>
      </c>
      <c r="D2445" t="s">
        <v>25</v>
      </c>
      <c r="E2445" t="s">
        <v>16656</v>
      </c>
      <c r="F2445" s="2" t="n">
        <f>HYPERLINK("https://patents.google.com/patent/US20200214649","Google")</f>
        <v>0.0</v>
      </c>
      <c r="G2445" s="2" t="n">
        <f>HYPERLINK("https://patentcenter.uspto.gov/applications/16824178","Patent Center")</f>
        <v>0.0</v>
      </c>
      <c r="H2445" s="2" t="n">
        <f>HYPERLINK("https://worldwide.espacenet.com/patent/search?q=US20200214649","Espacenet")</f>
        <v>0.0</v>
      </c>
      <c r="I2445" s="2" t="n">
        <f>HYPERLINK("https://ppubs.uspto.gov/pubwebapp/external.html?q=20200214649.pn.","USPTO")</f>
        <v>0.0</v>
      </c>
      <c r="J2445" s="2" t="n">
        <f>HYPERLINK("https://image-ppubs.uspto.gov/dirsearch-public/print/downloadPdf/20200214649","USPTO PDF")</f>
        <v>0.0</v>
      </c>
      <c r="K2445" s="2" t="n">
        <f>HYPERLINK("https://sectors.patentforecast.com/pmd/US20200214649","PMD")</f>
        <v>0.0</v>
      </c>
      <c r="L2445" s="2" t="n">
        <f>HYPERLINK("https://globaldossier.uspto.gov/result/application/US/16824178/1","US20200214649")</f>
        <v>0.0</v>
      </c>
      <c r="M2445" t="s">
        <v>16657</v>
      </c>
      <c r="N2445" t="s">
        <v>16658</v>
      </c>
      <c r="O2445" t="s">
        <v>16658</v>
      </c>
      <c r="P2445" t="s">
        <v>16659</v>
      </c>
      <c r="Q2445" s="3" t="n">
        <v>43909.0</v>
      </c>
      <c r="R2445" s="3" t="n">
        <v>44021.0</v>
      </c>
      <c r="S2445" s="3" t="n">
        <v>44021.229468530095</v>
      </c>
      <c r="T2445" s="3" t="n">
        <v>44026.40208940972</v>
      </c>
      <c r="U2445" t="s">
        <v>16660</v>
      </c>
      <c r="V2445" t="s">
        <v>16661</v>
      </c>
    </row>
    <row r="2446">
      <c r="A2446" t="s">
        <v>22</v>
      </c>
      <c r="B2446" t="s">
        <v>16662</v>
      </c>
      <c r="C2446" t="s">
        <v>24</v>
      </c>
      <c r="D2446" t="s">
        <v>25</v>
      </c>
      <c r="E2446" t="s">
        <v>16663</v>
      </c>
      <c r="F2446" s="2" t="n">
        <f>HYPERLINK("https://patents.google.com/patent/US20200214264","Google")</f>
        <v>0.0</v>
      </c>
      <c r="G2446" s="2" t="n">
        <f>HYPERLINK("https://patentcenter.uspto.gov/applications/16590761","Patent Center")</f>
        <v>0.0</v>
      </c>
      <c r="H2446" s="2" t="n">
        <f>HYPERLINK("https://worldwide.espacenet.com/patent/search?q=US20200214264","Espacenet")</f>
        <v>0.0</v>
      </c>
      <c r="I2446" s="2" t="n">
        <f>HYPERLINK("https://ppubs.uspto.gov/pubwebapp/external.html?q=20200214264.pn.","USPTO")</f>
        <v>0.0</v>
      </c>
      <c r="J2446" s="2" t="n">
        <f>HYPERLINK("https://image-ppubs.uspto.gov/dirsearch-public/print/downloadPdf/20200214264","USPTO PDF")</f>
        <v>0.0</v>
      </c>
      <c r="K2446" s="2" t="n">
        <f>HYPERLINK("https://sectors.patentforecast.com/pmd/US20200214264","PMD")</f>
        <v>0.0</v>
      </c>
      <c r="L2446" s="2" t="n">
        <f>HYPERLINK("https://globaldossier.uspto.gov/result/application/US/16590761/1","US20200214264")</f>
        <v>0.0</v>
      </c>
      <c r="M2446" t="s">
        <v>16664</v>
      </c>
      <c r="N2446" t="s">
        <v>16665</v>
      </c>
      <c r="O2446" t="s">
        <v>16666</v>
      </c>
      <c r="P2446" t="s">
        <v>16667</v>
      </c>
      <c r="Q2446" s="3" t="n">
        <v>43740.0</v>
      </c>
      <c r="R2446" s="3" t="n">
        <v>44021.0</v>
      </c>
      <c r="S2446" s="3" t="n">
        <v>44021.22993142361</v>
      </c>
      <c r="T2446" s="3" t="n">
        <v>44026.415334930556</v>
      </c>
      <c r="U2446" t="s">
        <v>16668</v>
      </c>
      <c r="V2446" t="s">
        <v>16669</v>
      </c>
    </row>
    <row r="2447">
      <c r="A2447" t="s">
        <v>22</v>
      </c>
      <c r="B2447" t="s">
        <v>16670</v>
      </c>
      <c r="C2447" t="s">
        <v>24</v>
      </c>
      <c r="D2447" t="s">
        <v>3193</v>
      </c>
      <c r="E2447" t="s">
        <v>16671</v>
      </c>
      <c r="F2447" s="2" t="n">
        <f>HYPERLINK("https://patents.google.com/patent/US20200210143","Google")</f>
        <v>0.0</v>
      </c>
      <c r="G2447" s="2" t="n">
        <f>HYPERLINK("https://patentcenter.uspto.gov/applications/16814243","Patent Center")</f>
        <v>0.0</v>
      </c>
      <c r="H2447" s="2" t="n">
        <f>HYPERLINK("https://worldwide.espacenet.com/patent/search?q=US20200210143","Espacenet")</f>
        <v>0.0</v>
      </c>
      <c r="I2447" s="2" t="n">
        <f>HYPERLINK("https://ppubs.uspto.gov/pubwebapp/external.html?q=20200210143.pn.","USPTO")</f>
        <v>0.0</v>
      </c>
      <c r="J2447" s="2" t="n">
        <f>HYPERLINK("https://image-ppubs.uspto.gov/dirsearch-public/print/downloadPdf/20200210143","USPTO PDF")</f>
        <v>0.0</v>
      </c>
      <c r="K2447" s="2" t="n">
        <f>HYPERLINK("https://sectors.patentforecast.com/pmd/US20200210143","PMD")</f>
        <v>0.0</v>
      </c>
      <c r="L2447" s="2" t="n">
        <f>HYPERLINK("https://globaldossier.uspto.gov/result/application/US/16814243/1","US20200210143")</f>
        <v>0.0</v>
      </c>
      <c r="M2447" t="s">
        <v>16672</v>
      </c>
      <c r="N2447" t="s">
        <v>16673</v>
      </c>
      <c r="O2447" t="s">
        <v>16674</v>
      </c>
      <c r="P2447" t="s">
        <v>16675</v>
      </c>
      <c r="Q2447" s="3" t="n">
        <v>43900.0</v>
      </c>
      <c r="R2447" s="3" t="n">
        <v>44014.0</v>
      </c>
      <c r="S2447" s="3" t="n">
        <v>44014.23223347222</v>
      </c>
      <c r="T2447" s="3" t="n">
        <v>44014.38117065972</v>
      </c>
      <c r="U2447" t="s">
        <v>16676</v>
      </c>
      <c r="V2447" t="s">
        <v>16677</v>
      </c>
    </row>
    <row r="2448">
      <c r="A2448" t="s">
        <v>22</v>
      </c>
      <c r="B2448" t="s">
        <v>16678</v>
      </c>
      <c r="C2448" t="s">
        <v>60</v>
      </c>
      <c r="D2448" t="s">
        <v>61</v>
      </c>
      <c r="E2448" t="s">
        <v>16679</v>
      </c>
      <c r="F2448" s="2" t="n">
        <f>HYPERLINK("https://patents.google.com/patent/US20200206362","Google")</f>
        <v>0.0</v>
      </c>
      <c r="G2448" s="2" t="n">
        <f>HYPERLINK("https://patentcenter.uspto.gov/applications/16599661","Patent Center")</f>
        <v>0.0</v>
      </c>
      <c r="H2448" s="2" t="n">
        <f>HYPERLINK("https://worldwide.espacenet.com/patent/search?q=US20200206362","Espacenet")</f>
        <v>0.0</v>
      </c>
      <c r="I2448" s="2" t="n">
        <f>HYPERLINK("https://ppubs.uspto.gov/pubwebapp/external.html?q=20200206362.pn.","USPTO")</f>
        <v>0.0</v>
      </c>
      <c r="J2448" s="2" t="n">
        <f>HYPERLINK("https://image-ppubs.uspto.gov/dirsearch-public/print/downloadPdf/20200206362","USPTO PDF")</f>
        <v>0.0</v>
      </c>
      <c r="K2448" s="2" t="n">
        <f>HYPERLINK("https://sectors.patentforecast.com/pmd/US20200206362","PMD")</f>
        <v>0.0</v>
      </c>
      <c r="L2448" s="2" t="n">
        <f>HYPERLINK("https://globaldossier.uspto.gov/result/application/US/16599661/1","US20200206362")</f>
        <v>0.0</v>
      </c>
      <c r="M2448" t="s">
        <v>16680</v>
      </c>
      <c r="N2448" t="s">
        <v>145</v>
      </c>
      <c r="O2448" t="s">
        <v>146</v>
      </c>
      <c r="P2448" t="s">
        <v>16681</v>
      </c>
      <c r="Q2448" s="3" t="n">
        <v>43749.0</v>
      </c>
      <c r="R2448" s="3" t="n">
        <v>44014.0</v>
      </c>
      <c r="S2448" s="3" t="n">
        <v>44014.2313078125</v>
      </c>
      <c r="T2448" s="3" t="n">
        <v>44014.37939563658</v>
      </c>
      <c r="U2448" t="s">
        <v>16682</v>
      </c>
      <c r="V2448" t="s">
        <v>16683</v>
      </c>
    </row>
    <row r="2449">
      <c r="A2449" t="s">
        <v>22</v>
      </c>
      <c r="B2449" t="s">
        <v>16684</v>
      </c>
      <c r="C2449" t="s">
        <v>24</v>
      </c>
      <c r="D2449" t="s">
        <v>204</v>
      </c>
      <c r="E2449" t="s">
        <v>16685</v>
      </c>
      <c r="F2449" s="2" t="n">
        <f>HYPERLINK("https://patents.google.com/patent/US20200203021","Google")</f>
        <v>0.0</v>
      </c>
      <c r="G2449" s="2" t="n">
        <f>HYPERLINK("https://patentcenter.uspto.gov/applications/16644230","Patent Center")</f>
        <v>0.0</v>
      </c>
      <c r="H2449" s="2" t="n">
        <f>HYPERLINK("https://worldwide.espacenet.com/patent/search?q=US20200203021","Espacenet")</f>
        <v>0.0</v>
      </c>
      <c r="I2449" s="2" t="n">
        <f>HYPERLINK("https://ppubs.uspto.gov/pubwebapp/external.html?q=20200203021.pn.","USPTO")</f>
        <v>0.0</v>
      </c>
      <c r="J2449" s="2" t="n">
        <f>HYPERLINK("https://image-ppubs.uspto.gov/dirsearch-public/print/downloadPdf/20200203021","USPTO PDF")</f>
        <v>0.0</v>
      </c>
      <c r="K2449" s="2" t="n">
        <f>HYPERLINK("https://sectors.patentforecast.com/pmd/US20200203021","PMD")</f>
        <v>0.0</v>
      </c>
      <c r="L2449" s="2" t="n">
        <f>HYPERLINK("https://globaldossier.uspto.gov/result/application/US/16644230/1","US20200203021")</f>
        <v>0.0</v>
      </c>
      <c r="M2449" t="s">
        <v>16686</v>
      </c>
      <c r="N2449" t="s">
        <v>9610</v>
      </c>
      <c r="O2449" t="s">
        <v>9611</v>
      </c>
      <c r="P2449" t="s">
        <v>16687</v>
      </c>
      <c r="Q2449" s="3" t="n">
        <v>43348.0</v>
      </c>
      <c r="R2449" s="3" t="n">
        <v>44007.0</v>
      </c>
      <c r="S2449" s="3" t="n">
        <v>44007.22981725694</v>
      </c>
      <c r="T2449" s="3" t="n">
        <v>44007.365693611115</v>
      </c>
      <c r="U2449" t="s">
        <v>16688</v>
      </c>
      <c r="V2449" t="s">
        <v>16689</v>
      </c>
    </row>
    <row r="2450">
      <c r="A2450" t="s">
        <v>22</v>
      </c>
      <c r="B2450" t="s">
        <v>16690</v>
      </c>
      <c r="C2450" t="s">
        <v>132</v>
      </c>
      <c r="D2450" t="s">
        <v>1265</v>
      </c>
      <c r="E2450" t="s">
        <v>16691</v>
      </c>
      <c r="F2450" s="2" t="n">
        <f>HYPERLINK("https://patents.google.com/patent/US20200200764","Google")</f>
        <v>0.0</v>
      </c>
      <c r="G2450" s="2" t="n">
        <f>HYPERLINK("https://patentcenter.uspto.gov/applications/16524280","Patent Center")</f>
        <v>0.0</v>
      </c>
      <c r="H2450" s="2" t="n">
        <f>HYPERLINK("https://worldwide.espacenet.com/patent/search?q=US20200200764","Espacenet")</f>
        <v>0.0</v>
      </c>
      <c r="I2450" s="2" t="n">
        <f>HYPERLINK("https://ppubs.uspto.gov/pubwebapp/external.html?q=20200200764.pn.","USPTO")</f>
        <v>0.0</v>
      </c>
      <c r="J2450" s="2" t="n">
        <f>HYPERLINK("https://image-ppubs.uspto.gov/dirsearch-public/print/downloadPdf/20200200764","USPTO PDF")</f>
        <v>0.0</v>
      </c>
      <c r="K2450" s="2" t="n">
        <f>HYPERLINK("https://sectors.patentforecast.com/pmd/US20200200764","PMD")</f>
        <v>0.0</v>
      </c>
      <c r="L2450" s="2" t="n">
        <f>HYPERLINK("https://globaldossier.uspto.gov/result/application/US/16524280/1","US20200200764")</f>
        <v>0.0</v>
      </c>
      <c r="M2450" t="s">
        <v>16692</v>
      </c>
      <c r="N2450" t="s">
        <v>14996</v>
      </c>
      <c r="O2450" t="s">
        <v>14997</v>
      </c>
      <c r="P2450" t="s">
        <v>16693</v>
      </c>
      <c r="Q2450" s="3" t="n">
        <v>43675.0</v>
      </c>
      <c r="R2450" s="3" t="n">
        <v>44007.0</v>
      </c>
      <c r="S2450" s="3" t="n">
        <v>44179.590614872686</v>
      </c>
      <c r="T2450" s="3" t="n">
        <v>44672.312941979166</v>
      </c>
      <c r="U2450" t="s">
        <v>16694</v>
      </c>
      <c r="V2450" t="s">
        <v>16695</v>
      </c>
    </row>
    <row r="2451">
      <c r="A2451" t="s">
        <v>22</v>
      </c>
      <c r="B2451" t="s">
        <v>16696</v>
      </c>
      <c r="C2451" t="s">
        <v>132</v>
      </c>
      <c r="D2451" t="s">
        <v>133</v>
      </c>
      <c r="E2451" t="s">
        <v>16697</v>
      </c>
      <c r="F2451" s="2" t="n">
        <f>HYPERLINK("https://patents.google.com/patent/US20200197510","Google")</f>
        <v>0.0</v>
      </c>
      <c r="G2451" s="2" t="n">
        <f>HYPERLINK("https://patentcenter.uspto.gov/applications/16805587","Patent Center")</f>
        <v>0.0</v>
      </c>
      <c r="H2451" s="2" t="n">
        <f>HYPERLINK("https://worldwide.espacenet.com/patent/search?q=US20200197510","Espacenet")</f>
        <v>0.0</v>
      </c>
      <c r="I2451" s="2" t="n">
        <f>HYPERLINK("https://ppubs.uspto.gov/pubwebapp/external.html?q=20200197510.pn.","USPTO")</f>
        <v>0.0</v>
      </c>
      <c r="J2451" s="2" t="n">
        <f>HYPERLINK("https://image-ppubs.uspto.gov/dirsearch-public/print/downloadPdf/20200197510","USPTO PDF")</f>
        <v>0.0</v>
      </c>
      <c r="K2451" s="2" t="n">
        <f>HYPERLINK("https://sectors.patentforecast.com/pmd/US20200197510","PMD")</f>
        <v>0.0</v>
      </c>
      <c r="L2451" s="2" t="n">
        <f>HYPERLINK("https://globaldossier.uspto.gov/result/application/US/16805587/1","US20200197510")</f>
        <v>0.0</v>
      </c>
      <c r="M2451" t="s">
        <v>16698</v>
      </c>
      <c r="N2451" t="s">
        <v>145</v>
      </c>
      <c r="O2451" t="s">
        <v>146</v>
      </c>
      <c r="P2451" t="s">
        <v>15865</v>
      </c>
      <c r="Q2451" s="3" t="n">
        <v>43889.0</v>
      </c>
      <c r="R2451" s="3" t="n">
        <v>44007.0</v>
      </c>
      <c r="S2451" s="3" t="n">
        <v>44007.230511539354</v>
      </c>
      <c r="T2451" s="3" t="n">
        <v>44007.36033957176</v>
      </c>
      <c r="U2451" t="s">
        <v>16699</v>
      </c>
      <c r="V2451" t="s">
        <v>15867</v>
      </c>
    </row>
    <row r="2452">
      <c r="A2452" t="s">
        <v>22</v>
      </c>
      <c r="B2452" t="s">
        <v>16700</v>
      </c>
      <c r="C2452" t="s">
        <v>132</v>
      </c>
      <c r="D2452" t="s">
        <v>8747</v>
      </c>
      <c r="E2452" t="s">
        <v>16701</v>
      </c>
      <c r="F2452" s="2" t="n">
        <f>HYPERLINK("https://patents.google.com/patent/US20200197458","Google")</f>
        <v>0.0</v>
      </c>
      <c r="G2452" s="2" t="n">
        <f>HYPERLINK("https://patentcenter.uspto.gov/applications/16803439","Patent Center")</f>
        <v>0.0</v>
      </c>
      <c r="H2452" s="2" t="n">
        <f>HYPERLINK("https://worldwide.espacenet.com/patent/search?q=US20200197458","Espacenet")</f>
        <v>0.0</v>
      </c>
      <c r="I2452" s="2" t="n">
        <f>HYPERLINK("https://ppubs.uspto.gov/pubwebapp/external.html?q=20200197458.pn.","USPTO")</f>
        <v>0.0</v>
      </c>
      <c r="J2452" s="2" t="n">
        <f>HYPERLINK("https://image-ppubs.uspto.gov/dirsearch-public/print/downloadPdf/20200197458","USPTO PDF")</f>
        <v>0.0</v>
      </c>
      <c r="K2452" s="2" t="n">
        <f>HYPERLINK("https://sectors.patentforecast.com/pmd/US20200197458","PMD")</f>
        <v>0.0</v>
      </c>
      <c r="L2452" s="2" t="n">
        <f>HYPERLINK("https://globaldossier.uspto.gov/result/application/US/16803439/1","US20200197458")</f>
        <v>0.0</v>
      </c>
      <c r="M2452" t="s">
        <v>16702</v>
      </c>
      <c r="N2452" t="s">
        <v>16703</v>
      </c>
      <c r="O2452" t="s">
        <v>16704</v>
      </c>
      <c r="P2452" t="s">
        <v>16705</v>
      </c>
      <c r="Q2452" s="3" t="n">
        <v>43888.0</v>
      </c>
      <c r="R2452" s="3" t="n">
        <v>44007.0</v>
      </c>
      <c r="S2452" s="3" t="n">
        <v>44007.23271039352</v>
      </c>
      <c r="T2452" s="3" t="n">
        <v>44007.36292770833</v>
      </c>
      <c r="U2452" t="s">
        <v>16706</v>
      </c>
      <c r="V2452" t="s">
        <v>16707</v>
      </c>
    </row>
    <row r="2453">
      <c r="A2453" t="s">
        <v>22</v>
      </c>
      <c r="B2453" t="s">
        <v>16708</v>
      </c>
      <c r="C2453" t="s">
        <v>24</v>
      </c>
      <c r="D2453" t="s">
        <v>1356</v>
      </c>
      <c r="E2453" t="s">
        <v>16709</v>
      </c>
      <c r="F2453" s="2" t="n">
        <f>HYPERLINK("https://patents.google.com/patent/US20200194130","Google")</f>
        <v>0.0</v>
      </c>
      <c r="G2453" s="2" t="n">
        <f>HYPERLINK("https://patentcenter.uspto.gov/applications/16473269","Patent Center")</f>
        <v>0.0</v>
      </c>
      <c r="H2453" s="2" t="n">
        <f>HYPERLINK("https://worldwide.espacenet.com/patent/search?q=US20200194130","Espacenet")</f>
        <v>0.0</v>
      </c>
      <c r="I2453" s="2" t="n">
        <f>HYPERLINK("https://ppubs.uspto.gov/pubwebapp/external.html?q=20200194130.pn.","USPTO")</f>
        <v>0.0</v>
      </c>
      <c r="J2453" s="2" t="n">
        <f>HYPERLINK("https://image-ppubs.uspto.gov/dirsearch-public/print/downloadPdf/20200194130","USPTO PDF")</f>
        <v>0.0</v>
      </c>
      <c r="K2453" s="2" t="n">
        <f>HYPERLINK("https://sectors.patentforecast.com/pmd/US20200194130","PMD")</f>
        <v>0.0</v>
      </c>
      <c r="L2453" s="2" t="n">
        <f>HYPERLINK("https://globaldossier.uspto.gov/result/application/US/16473269/1","US20200194130")</f>
        <v>0.0</v>
      </c>
      <c r="M2453" t="s">
        <v>16710</v>
      </c>
      <c r="N2453" t="s">
        <v>9610</v>
      </c>
      <c r="O2453" t="s">
        <v>9611</v>
      </c>
      <c r="P2453" t="s">
        <v>16711</v>
      </c>
      <c r="Q2453" s="3" t="n">
        <v>43096.0</v>
      </c>
      <c r="R2453" s="3" t="n">
        <v>44000.0</v>
      </c>
      <c r="S2453" s="3" t="n">
        <v>44000.22975918982</v>
      </c>
      <c r="T2453" s="3" t="n">
        <v>44006.55477486111</v>
      </c>
      <c r="U2453" t="s">
        <v>16712</v>
      </c>
      <c r="V2453" t="s">
        <v>16713</v>
      </c>
    </row>
    <row r="2454">
      <c r="A2454" t="s">
        <v>22</v>
      </c>
      <c r="B2454" t="s">
        <v>16714</v>
      </c>
      <c r="C2454" t="s">
        <v>24</v>
      </c>
      <c r="D2454" t="s">
        <v>25</v>
      </c>
      <c r="E2454" t="s">
        <v>16715</v>
      </c>
      <c r="F2454" s="2" t="n">
        <f>HYPERLINK("https://patents.google.com/patent/US20200194101","Google")</f>
        <v>0.0</v>
      </c>
      <c r="G2454" s="2" t="n">
        <f>HYPERLINK("https://patentcenter.uspto.gov/applications/16472710","Patent Center")</f>
        <v>0.0</v>
      </c>
      <c r="H2454" s="2" t="n">
        <f>HYPERLINK("https://worldwide.espacenet.com/patent/search?q=US20200194101","Espacenet")</f>
        <v>0.0</v>
      </c>
      <c r="I2454" s="2" t="n">
        <f>HYPERLINK("https://ppubs.uspto.gov/pubwebapp/external.html?q=20200194101.pn.","USPTO")</f>
        <v>0.0</v>
      </c>
      <c r="J2454" s="2" t="n">
        <f>HYPERLINK("https://image-ppubs.uspto.gov/dirsearch-public/print/downloadPdf/20200194101","USPTO PDF")</f>
        <v>0.0</v>
      </c>
      <c r="K2454" s="2" t="n">
        <f>HYPERLINK("https://sectors.patentforecast.com/pmd/US20200194101","PMD")</f>
        <v>0.0</v>
      </c>
      <c r="L2454" s="2" t="n">
        <f>HYPERLINK("https://globaldossier.uspto.gov/result/application/US/16472710/1","US20200194101")</f>
        <v>0.0</v>
      </c>
      <c r="M2454" t="s">
        <v>16716</v>
      </c>
      <c r="N2454" t="s">
        <v>16717</v>
      </c>
      <c r="O2454" t="s">
        <v>16718</v>
      </c>
      <c r="P2454" t="s">
        <v>16719</v>
      </c>
      <c r="Q2454" s="3" t="n">
        <v>43108.0</v>
      </c>
      <c r="R2454" s="3" t="n">
        <v>44000.0</v>
      </c>
      <c r="S2454" s="3" t="n">
        <v>44000.23218936343</v>
      </c>
      <c r="T2454" s="3" t="n">
        <v>44006.55156005787</v>
      </c>
      <c r="U2454" t="s">
        <v>16720</v>
      </c>
      <c r="V2454" t="s">
        <v>16721</v>
      </c>
    </row>
    <row r="2455">
      <c r="A2455" t="s">
        <v>22</v>
      </c>
      <c r="B2455" t="s">
        <v>16722</v>
      </c>
      <c r="C2455" t="s">
        <v>132</v>
      </c>
      <c r="D2455" t="s">
        <v>133</v>
      </c>
      <c r="E2455" t="s">
        <v>16723</v>
      </c>
      <c r="F2455" s="2" t="n">
        <f>HYPERLINK("https://patents.google.com/patent/US20200188508","Google")</f>
        <v>0.0</v>
      </c>
      <c r="G2455" s="2" t="n">
        <f>HYPERLINK("https://patentcenter.uspto.gov/applications/16600334","Patent Center")</f>
        <v>0.0</v>
      </c>
      <c r="H2455" s="2" t="n">
        <f>HYPERLINK("https://worldwide.espacenet.com/patent/search?q=US20200188508","Espacenet")</f>
        <v>0.0</v>
      </c>
      <c r="I2455" s="2" t="n">
        <f>HYPERLINK("https://ppubs.uspto.gov/pubwebapp/external.html?q=20200188508.pn.","USPTO")</f>
        <v>0.0</v>
      </c>
      <c r="J2455" s="2" t="n">
        <f>HYPERLINK("https://image-ppubs.uspto.gov/dirsearch-public/print/downloadPdf/20200188508","USPTO PDF")</f>
        <v>0.0</v>
      </c>
      <c r="K2455" s="2" t="n">
        <f>HYPERLINK("https://sectors.patentforecast.com/pmd/US20200188508","PMD")</f>
        <v>0.0</v>
      </c>
      <c r="L2455" s="2" t="n">
        <f>HYPERLINK("https://globaldossier.uspto.gov/result/application/US/16600334/1","US20200188508")</f>
        <v>0.0</v>
      </c>
      <c r="M2455" t="s">
        <v>16724</v>
      </c>
      <c r="N2455" t="s">
        <v>16725</v>
      </c>
      <c r="O2455" t="s">
        <v>16726</v>
      </c>
      <c r="P2455" t="s">
        <v>16727</v>
      </c>
      <c r="Q2455" s="3" t="n">
        <v>43749.0</v>
      </c>
      <c r="R2455" s="3" t="n">
        <v>44000.0</v>
      </c>
      <c r="S2455" s="3" t="n">
        <v>44000.23218936343</v>
      </c>
      <c r="T2455" s="3" t="n">
        <v>44006.5496587963</v>
      </c>
      <c r="U2455" t="s">
        <v>16728</v>
      </c>
      <c r="V2455" t="s">
        <v>16729</v>
      </c>
    </row>
    <row r="2456">
      <c r="A2456" t="s">
        <v>22</v>
      </c>
      <c r="B2456" t="s">
        <v>16730</v>
      </c>
      <c r="C2456" t="s">
        <v>132</v>
      </c>
      <c r="D2456" t="s">
        <v>2629</v>
      </c>
      <c r="E2456" t="s">
        <v>16731</v>
      </c>
      <c r="F2456" s="2" t="n">
        <f>HYPERLINK("https://patents.google.com/patent/US20200188499","Google")</f>
        <v>0.0</v>
      </c>
      <c r="G2456" s="2" t="n">
        <f>HYPERLINK("https://patentcenter.uspto.gov/applications/16613111","Patent Center")</f>
        <v>0.0</v>
      </c>
      <c r="H2456" s="2" t="n">
        <f>HYPERLINK("https://worldwide.espacenet.com/patent/search?q=US20200188499","Espacenet")</f>
        <v>0.0</v>
      </c>
      <c r="I2456" s="2" t="n">
        <f>HYPERLINK("https://ppubs.uspto.gov/pubwebapp/external.html?q=20200188499.pn.","USPTO")</f>
        <v>0.0</v>
      </c>
      <c r="J2456" s="2" t="n">
        <f>HYPERLINK("https://image-ppubs.uspto.gov/dirsearch-public/print/downloadPdf/20200188499","USPTO PDF")</f>
        <v>0.0</v>
      </c>
      <c r="K2456" s="2" t="n">
        <f>HYPERLINK("https://sectors.patentforecast.com/pmd/US20200188499","PMD")</f>
        <v>0.0</v>
      </c>
      <c r="L2456" s="2" t="n">
        <f>HYPERLINK("https://globaldossier.uspto.gov/result/application/US/16613111/1","US20200188499")</f>
        <v>0.0</v>
      </c>
      <c r="M2456" t="s">
        <v>16732</v>
      </c>
      <c r="N2456" t="s">
        <v>15147</v>
      </c>
      <c r="O2456" t="s">
        <v>15148</v>
      </c>
      <c r="P2456" t="s">
        <v>16733</v>
      </c>
      <c r="Q2456" s="3" t="n">
        <v>43231.0</v>
      </c>
      <c r="R2456" s="3" t="n">
        <v>44000.0</v>
      </c>
      <c r="S2456" s="3" t="n">
        <v>44179.581587962966</v>
      </c>
      <c r="T2456" s="3" t="n">
        <v>44678.38934256945</v>
      </c>
      <c r="U2456" t="s">
        <v>16734</v>
      </c>
      <c r="V2456" t="s">
        <v>16735</v>
      </c>
    </row>
    <row r="2457">
      <c r="A2457" t="s">
        <v>22</v>
      </c>
      <c r="B2457" t="s">
        <v>16736</v>
      </c>
      <c r="C2457" t="s">
        <v>24</v>
      </c>
      <c r="D2457" t="s">
        <v>69</v>
      </c>
      <c r="E2457" t="s">
        <v>16737</v>
      </c>
      <c r="F2457" s="2" t="n">
        <f>HYPERLINK("https://patents.google.com/patent/US20200187786","Google")</f>
        <v>0.0</v>
      </c>
      <c r="G2457" s="2" t="n">
        <f>HYPERLINK("https://patentcenter.uspto.gov/applications/16711564","Patent Center")</f>
        <v>0.0</v>
      </c>
      <c r="H2457" s="2" t="n">
        <f>HYPERLINK("https://worldwide.espacenet.com/patent/search?q=US20200187786","Espacenet")</f>
        <v>0.0</v>
      </c>
      <c r="I2457" s="2" t="n">
        <f>HYPERLINK("https://ppubs.uspto.gov/pubwebapp/external.html?q=20200187786.pn.","USPTO")</f>
        <v>0.0</v>
      </c>
      <c r="J2457" s="2" t="n">
        <f>HYPERLINK("https://image-ppubs.uspto.gov/dirsearch-public/print/downloadPdf/20200187786","USPTO PDF")</f>
        <v>0.0</v>
      </c>
      <c r="K2457" s="2" t="n">
        <f>HYPERLINK("https://sectors.patentforecast.com/pmd/US20200187786","PMD")</f>
        <v>0.0</v>
      </c>
      <c r="L2457" s="2" t="n">
        <f>HYPERLINK("https://globaldossier.uspto.gov/result/application/US/16711564/1","US20200187786")</f>
        <v>0.0</v>
      </c>
      <c r="M2457" t="s">
        <v>16738</v>
      </c>
      <c r="N2457" t="s">
        <v>16739</v>
      </c>
      <c r="O2457" t="s">
        <v>16739</v>
      </c>
      <c r="P2457" t="s">
        <v>16740</v>
      </c>
      <c r="Q2457" s="3" t="n">
        <v>43811.0</v>
      </c>
      <c r="R2457" s="3" t="n">
        <v>44000.0</v>
      </c>
      <c r="S2457" s="3" t="n">
        <v>44089.2300490162</v>
      </c>
      <c r="T2457" s="3" t="n">
        <v>44089.43576868055</v>
      </c>
      <c r="U2457" t="s">
        <v>16741</v>
      </c>
      <c r="V2457" t="s">
        <v>16742</v>
      </c>
    </row>
    <row r="2458">
      <c r="A2458" t="s">
        <v>22</v>
      </c>
      <c r="B2458" t="s">
        <v>16743</v>
      </c>
      <c r="C2458" t="s">
        <v>24</v>
      </c>
      <c r="D2458" t="s">
        <v>204</v>
      </c>
      <c r="E2458" t="s">
        <v>16744</v>
      </c>
      <c r="F2458" s="2" t="n">
        <f>HYPERLINK("https://patents.google.com/patent/US20200185074","Google")</f>
        <v>0.0</v>
      </c>
      <c r="G2458" s="2" t="n">
        <f>HYPERLINK("https://patentcenter.uspto.gov/applications/16794129","Patent Center")</f>
        <v>0.0</v>
      </c>
      <c r="H2458" s="2" t="n">
        <f>HYPERLINK("https://worldwide.espacenet.com/patent/search?q=US20200185074","Espacenet")</f>
        <v>0.0</v>
      </c>
      <c r="I2458" s="2" t="n">
        <f>HYPERLINK("https://ppubs.uspto.gov/pubwebapp/external.html?q=20200185074.pn.","USPTO")</f>
        <v>0.0</v>
      </c>
      <c r="J2458" s="2" t="n">
        <f>HYPERLINK("https://image-ppubs.uspto.gov/dirsearch-public/print/downloadPdf/20200185074","USPTO PDF")</f>
        <v>0.0</v>
      </c>
      <c r="K2458" s="2" t="n">
        <f>HYPERLINK("https://sectors.patentforecast.com/pmd/US20200185074","PMD")</f>
        <v>0.0</v>
      </c>
      <c r="L2458" s="2" t="n">
        <f>HYPERLINK("https://globaldossier.uspto.gov/result/application/US/16794129/1","US20200185074")</f>
        <v>0.0</v>
      </c>
      <c r="M2458" t="s">
        <v>16745</v>
      </c>
      <c r="N2458" t="s">
        <v>16746</v>
      </c>
      <c r="O2458" t="s">
        <v>16746</v>
      </c>
      <c r="P2458" t="s">
        <v>16747</v>
      </c>
      <c r="Q2458" s="3" t="n">
        <v>43879.0</v>
      </c>
      <c r="R2458" s="3" t="n">
        <v>43993.0</v>
      </c>
      <c r="S2458" s="3" t="n">
        <v>43994.467852291666</v>
      </c>
      <c r="T2458" s="3" t="n">
        <v>43998.43433865741</v>
      </c>
      <c r="U2458" t="s">
        <v>16748</v>
      </c>
      <c r="V2458" t="s">
        <v>16749</v>
      </c>
    </row>
    <row r="2459">
      <c r="A2459" t="s">
        <v>22</v>
      </c>
      <c r="B2459" t="s">
        <v>16750</v>
      </c>
      <c r="C2459" t="s">
        <v>24</v>
      </c>
      <c r="D2459" t="s">
        <v>204</v>
      </c>
      <c r="E2459" t="s">
        <v>16751</v>
      </c>
      <c r="F2459" s="2" t="n">
        <f>HYPERLINK("https://patents.google.com/patent/US20200185071","Google")</f>
        <v>0.0</v>
      </c>
      <c r="G2459" s="2" t="n">
        <f>HYPERLINK("https://patentcenter.uspto.gov/applications/16707721","Patent Center")</f>
        <v>0.0</v>
      </c>
      <c r="H2459" s="2" t="n">
        <f>HYPERLINK("https://worldwide.espacenet.com/patent/search?q=US20200185071","Espacenet")</f>
        <v>0.0</v>
      </c>
      <c r="I2459" s="2" t="n">
        <f>HYPERLINK("https://ppubs.uspto.gov/pubwebapp/external.html?q=20200185071.pn.","USPTO")</f>
        <v>0.0</v>
      </c>
      <c r="J2459" s="2" t="n">
        <f>HYPERLINK("https://image-ppubs.uspto.gov/dirsearch-public/print/downloadPdf/20200185071","USPTO PDF")</f>
        <v>0.0</v>
      </c>
      <c r="K2459" s="2" t="n">
        <f>HYPERLINK("https://sectors.patentforecast.com/pmd/US20200185071","PMD")</f>
        <v>0.0</v>
      </c>
      <c r="L2459" s="2" t="n">
        <f>HYPERLINK("https://globaldossier.uspto.gov/result/application/US/16707721/1","US20200185071")</f>
        <v>0.0</v>
      </c>
      <c r="M2459" t="s">
        <v>16752</v>
      </c>
      <c r="N2459" t="s">
        <v>16753</v>
      </c>
      <c r="O2459" t="s">
        <v>16754</v>
      </c>
      <c r="P2459" t="s">
        <v>16755</v>
      </c>
      <c r="Q2459" s="3" t="n">
        <v>43808.0</v>
      </c>
      <c r="R2459" s="3" t="n">
        <v>43993.0</v>
      </c>
      <c r="S2459" s="3" t="n">
        <v>43994.46391650463</v>
      </c>
      <c r="T2459" s="3" t="n">
        <v>43998.43540012732</v>
      </c>
      <c r="U2459" t="s">
        <v>16756</v>
      </c>
      <c r="V2459" t="s">
        <v>16757</v>
      </c>
    </row>
    <row r="2460">
      <c r="A2460" t="s">
        <v>22</v>
      </c>
      <c r="B2460" t="s">
        <v>16758</v>
      </c>
      <c r="C2460" t="s">
        <v>60</v>
      </c>
      <c r="D2460" t="s">
        <v>61</v>
      </c>
      <c r="E2460" t="s">
        <v>16759</v>
      </c>
      <c r="F2460" s="2" t="n">
        <f>HYPERLINK("https://patents.google.com/patent/US20200179367","Google")</f>
        <v>0.0</v>
      </c>
      <c r="G2460" s="2" t="n">
        <f>HYPERLINK("https://patentcenter.uspto.gov/applications/16792492","Patent Center")</f>
        <v>0.0</v>
      </c>
      <c r="H2460" s="2" t="n">
        <f>HYPERLINK("https://worldwide.espacenet.com/patent/search?q=US20200179367","Espacenet")</f>
        <v>0.0</v>
      </c>
      <c r="I2460" s="2" t="n">
        <f>HYPERLINK("https://ppubs.uspto.gov/pubwebapp/external.html?q=20200179367.pn.","USPTO")</f>
        <v>0.0</v>
      </c>
      <c r="J2460" s="2" t="n">
        <f>HYPERLINK("https://image-ppubs.uspto.gov/dirsearch-public/print/downloadPdf/20200179367","USPTO PDF")</f>
        <v>0.0</v>
      </c>
      <c r="K2460" s="2" t="n">
        <f>HYPERLINK("https://sectors.patentforecast.com/pmd/US20200179367","PMD")</f>
        <v>0.0</v>
      </c>
      <c r="L2460" s="2" t="n">
        <f>HYPERLINK("https://globaldossier.uspto.gov/result/application/US/16792492/1","US20200179367")</f>
        <v>0.0</v>
      </c>
      <c r="M2460" t="s">
        <v>16760</v>
      </c>
      <c r="N2460" t="s">
        <v>16761</v>
      </c>
      <c r="O2460" t="s">
        <v>16762</v>
      </c>
      <c r="P2460" t="s">
        <v>16763</v>
      </c>
      <c r="Q2460" s="3" t="n">
        <v>43878.0</v>
      </c>
      <c r="R2460" s="3" t="n">
        <v>43993.0</v>
      </c>
      <c r="S2460" s="3" t="n">
        <v>43994.46033412037</v>
      </c>
      <c r="T2460" s="3" t="n">
        <v>43998.678607152775</v>
      </c>
      <c r="U2460" t="s">
        <v>16764</v>
      </c>
      <c r="V2460" t="s">
        <v>16765</v>
      </c>
    </row>
    <row r="2461">
      <c r="A2461" t="s">
        <v>22</v>
      </c>
      <c r="B2461" t="s">
        <v>16766</v>
      </c>
      <c r="C2461" t="s">
        <v>24</v>
      </c>
      <c r="D2461" t="s">
        <v>25</v>
      </c>
      <c r="E2461" t="s">
        <v>16767</v>
      </c>
      <c r="F2461" s="2" t="n">
        <f>HYPERLINK("https://patents.google.com/patent/US20200176125","Google")</f>
        <v>0.0</v>
      </c>
      <c r="G2461" s="2" t="n">
        <f>HYPERLINK("https://patentcenter.uspto.gov/applications/16636373","Patent Center")</f>
        <v>0.0</v>
      </c>
      <c r="H2461" s="2" t="n">
        <f>HYPERLINK("https://worldwide.espacenet.com/patent/search?q=US20200176125","Espacenet")</f>
        <v>0.0</v>
      </c>
      <c r="I2461" s="2" t="n">
        <f>HYPERLINK("https://ppubs.uspto.gov/pubwebapp/external.html?q=20200176125.pn.","USPTO")</f>
        <v>0.0</v>
      </c>
      <c r="J2461" s="2" t="n">
        <f>HYPERLINK("https://image-ppubs.uspto.gov/dirsearch-public/print/downloadPdf/20200176125","USPTO PDF")</f>
        <v>0.0</v>
      </c>
      <c r="K2461" s="2" t="n">
        <f>HYPERLINK("https://sectors.patentforecast.com/pmd/US20200176125","PMD")</f>
        <v>0.0</v>
      </c>
      <c r="L2461" s="2" t="n">
        <f>HYPERLINK("https://globaldossier.uspto.gov/result/application/US/16636373/1","US20200176125")</f>
        <v>0.0</v>
      </c>
      <c r="M2461" t="s">
        <v>16768</v>
      </c>
      <c r="N2461" t="s">
        <v>9610</v>
      </c>
      <c r="O2461" t="s">
        <v>9611</v>
      </c>
      <c r="P2461" t="s">
        <v>16769</v>
      </c>
      <c r="Q2461" s="3" t="n">
        <v>43333.0</v>
      </c>
      <c r="R2461" s="3" t="n">
        <v>43986.0</v>
      </c>
      <c r="S2461" s="3" t="n">
        <v>43987.45899232639</v>
      </c>
      <c r="T2461" s="3" t="n">
        <v>43990.545949444444</v>
      </c>
      <c r="U2461" t="s">
        <v>16770</v>
      </c>
      <c r="V2461" t="s">
        <v>16771</v>
      </c>
    </row>
    <row r="2462">
      <c r="A2462" t="s">
        <v>22</v>
      </c>
      <c r="B2462" t="s">
        <v>16772</v>
      </c>
      <c r="C2462" t="s">
        <v>24</v>
      </c>
      <c r="D2462" t="s">
        <v>25</v>
      </c>
      <c r="E2462" t="s">
        <v>16773</v>
      </c>
      <c r="F2462" s="2" t="n">
        <f>HYPERLINK("https://patents.google.com/patent/US20200176124","Google")</f>
        <v>0.0</v>
      </c>
      <c r="G2462" s="2" t="n">
        <f>HYPERLINK("https://patentcenter.uspto.gov/applications/16633039","Patent Center")</f>
        <v>0.0</v>
      </c>
      <c r="H2462" s="2" t="n">
        <f>HYPERLINK("https://worldwide.espacenet.com/patent/search?q=US20200176124","Espacenet")</f>
        <v>0.0</v>
      </c>
      <c r="I2462" s="2" t="n">
        <f>HYPERLINK("https://ppubs.uspto.gov/pubwebapp/external.html?q=20200176124.pn.","USPTO")</f>
        <v>0.0</v>
      </c>
      <c r="J2462" s="2" t="n">
        <f>HYPERLINK("https://image-ppubs.uspto.gov/dirsearch-public/print/downloadPdf/20200176124","USPTO PDF")</f>
        <v>0.0</v>
      </c>
      <c r="K2462" s="2" t="n">
        <f>HYPERLINK("https://sectors.patentforecast.com/pmd/US20200176124","PMD")</f>
        <v>0.0</v>
      </c>
      <c r="L2462" s="2" t="n">
        <f>HYPERLINK("https://globaldossier.uspto.gov/result/application/US/16633039/1","US20200176124")</f>
        <v>0.0</v>
      </c>
      <c r="M2462" t="s">
        <v>16774</v>
      </c>
      <c r="N2462" t="s">
        <v>9610</v>
      </c>
      <c r="O2462" t="s">
        <v>9611</v>
      </c>
      <c r="P2462" t="s">
        <v>16769</v>
      </c>
      <c r="Q2462" s="3" t="n">
        <v>43300.0</v>
      </c>
      <c r="R2462" s="3" t="n">
        <v>43986.0</v>
      </c>
      <c r="S2462" s="3" t="n">
        <v>43987.45899232639</v>
      </c>
      <c r="T2462" s="3" t="n">
        <v>43990.5461074537</v>
      </c>
      <c r="U2462" t="s">
        <v>16775</v>
      </c>
      <c r="V2462" t="s">
        <v>16776</v>
      </c>
    </row>
    <row r="2463">
      <c r="A2463" t="s">
        <v>22</v>
      </c>
      <c r="B2463" t="s">
        <v>16777</v>
      </c>
      <c r="C2463" t="s">
        <v>132</v>
      </c>
      <c r="D2463" t="s">
        <v>133</v>
      </c>
      <c r="E2463" t="s">
        <v>16778</v>
      </c>
      <c r="F2463" s="2" t="n">
        <f>HYPERLINK("https://patents.google.com/patent/US20200172920","Google")</f>
        <v>0.0</v>
      </c>
      <c r="G2463" s="2" t="n">
        <f>HYPERLINK("https://patentcenter.uspto.gov/applications/16621853","Patent Center")</f>
        <v>0.0</v>
      </c>
      <c r="H2463" s="2" t="n">
        <f>HYPERLINK("https://worldwide.espacenet.com/patent/search?q=US20200172920","Espacenet")</f>
        <v>0.0</v>
      </c>
      <c r="I2463" s="2" t="n">
        <f>HYPERLINK("https://ppubs.uspto.gov/pubwebapp/external.html?q=20200172920.pn.","USPTO")</f>
        <v>0.0</v>
      </c>
      <c r="J2463" s="2" t="n">
        <f>HYPERLINK("https://image-ppubs.uspto.gov/dirsearch-public/print/downloadPdf/20200172920","USPTO PDF")</f>
        <v>0.0</v>
      </c>
      <c r="K2463" s="2" t="n">
        <f>HYPERLINK("https://sectors.patentforecast.com/pmd/US20200172920","PMD")</f>
        <v>0.0</v>
      </c>
      <c r="L2463" s="2" t="n">
        <f>HYPERLINK("https://globaldossier.uspto.gov/result/application/US/16621853/1","US20200172920")</f>
        <v>0.0</v>
      </c>
      <c r="M2463" t="s">
        <v>16779</v>
      </c>
      <c r="N2463" t="s">
        <v>16780</v>
      </c>
      <c r="O2463" t="s">
        <v>16780</v>
      </c>
      <c r="P2463" t="s">
        <v>16781</v>
      </c>
      <c r="Q2463" s="3" t="n">
        <v>42935.0</v>
      </c>
      <c r="R2463" s="3" t="n">
        <v>43986.0</v>
      </c>
      <c r="S2463" s="3" t="n">
        <v>43987.459798055555</v>
      </c>
      <c r="T2463" s="3" t="n">
        <v>43990.54993887732</v>
      </c>
      <c r="U2463" t="s">
        <v>16782</v>
      </c>
      <c r="V2463" t="s">
        <v>16783</v>
      </c>
    </row>
    <row r="2464">
      <c r="A2464" t="s">
        <v>22</v>
      </c>
      <c r="B2464" t="s">
        <v>16784</v>
      </c>
      <c r="C2464" t="s">
        <v>24</v>
      </c>
      <c r="D2464" t="s">
        <v>25</v>
      </c>
      <c r="E2464" t="s">
        <v>16785</v>
      </c>
      <c r="F2464" s="2" t="n">
        <f>HYPERLINK("https://patents.google.com/patent/US20200170234","Google")</f>
        <v>0.0</v>
      </c>
      <c r="G2464" s="2" t="n">
        <f>HYPERLINK("https://patentcenter.uspto.gov/applications/16207223","Patent Center")</f>
        <v>0.0</v>
      </c>
      <c r="H2464" s="2" t="n">
        <f>HYPERLINK("https://worldwide.espacenet.com/patent/search?q=US20200170234","Espacenet")</f>
        <v>0.0</v>
      </c>
      <c r="I2464" s="2" t="n">
        <f>HYPERLINK("https://ppubs.uspto.gov/pubwebapp/external.html?q=20200170234.pn.","USPTO")</f>
        <v>0.0</v>
      </c>
      <c r="J2464" s="2" t="n">
        <f>HYPERLINK("https://image-ppubs.uspto.gov/dirsearch-public/print/downloadPdf/20200170234","USPTO PDF")</f>
        <v>0.0</v>
      </c>
      <c r="K2464" s="2" t="n">
        <f>HYPERLINK("https://sectors.patentforecast.com/pmd/US20200170234","PMD")</f>
        <v>0.0</v>
      </c>
      <c r="L2464" s="2" t="n">
        <f>HYPERLINK("https://globaldossier.uspto.gov/result/application/US/16207223/1","US20200170234")</f>
        <v>0.0</v>
      </c>
      <c r="M2464" t="s">
        <v>16786</v>
      </c>
      <c r="N2464" t="s">
        <v>947</v>
      </c>
      <c r="O2464" t="s">
        <v>948</v>
      </c>
      <c r="P2464" t="s">
        <v>16787</v>
      </c>
      <c r="Q2464" s="3" t="n">
        <v>43437.0</v>
      </c>
      <c r="R2464" s="3" t="n">
        <v>43986.0</v>
      </c>
      <c r="S2464" s="3" t="n">
        <v>43987.45899232639</v>
      </c>
      <c r="T2464" s="3" t="n">
        <v>43990.552602511576</v>
      </c>
      <c r="U2464" t="s">
        <v>16788</v>
      </c>
      <c r="V2464" t="s">
        <v>16789</v>
      </c>
    </row>
    <row r="2465">
      <c r="A2465" t="s">
        <v>22</v>
      </c>
      <c r="B2465" t="s">
        <v>16790</v>
      </c>
      <c r="C2465" t="s">
        <v>60</v>
      </c>
      <c r="D2465" t="s">
        <v>61</v>
      </c>
      <c r="E2465" t="s">
        <v>3467</v>
      </c>
      <c r="F2465" s="2" t="n">
        <f>HYPERLINK("https://patents.google.com/patent/US20200165630","Google")</f>
        <v>0.0</v>
      </c>
      <c r="G2465" s="2" t="n">
        <f>HYPERLINK("https://patentcenter.uspto.gov/applications/16097446","Patent Center")</f>
        <v>0.0</v>
      </c>
      <c r="H2465" s="2" t="n">
        <f>HYPERLINK("https://worldwide.espacenet.com/patent/search?q=US20200165630","Espacenet")</f>
        <v>0.0</v>
      </c>
      <c r="I2465" s="2" t="n">
        <f>HYPERLINK("https://ppubs.uspto.gov/pubwebapp/external.html?q=20200165630.pn.","USPTO")</f>
        <v>0.0</v>
      </c>
      <c r="J2465" s="2" t="n">
        <f>HYPERLINK("https://image-ppubs.uspto.gov/dirsearch-public/print/downloadPdf/20200165630","USPTO PDF")</f>
        <v>0.0</v>
      </c>
      <c r="K2465" s="2" t="n">
        <f>HYPERLINK("https://sectors.patentforecast.com/pmd/US20200165630","PMD")</f>
        <v>0.0</v>
      </c>
      <c r="L2465" s="2" t="n">
        <f>HYPERLINK("https://globaldossier.uspto.gov/result/application/US/16097446/1","US20200165630")</f>
        <v>0.0</v>
      </c>
      <c r="M2465" t="s">
        <v>16791</v>
      </c>
      <c r="N2465" t="s">
        <v>3469</v>
      </c>
      <c r="O2465" t="s">
        <v>3470</v>
      </c>
      <c r="P2465" t="s">
        <v>16792</v>
      </c>
      <c r="Q2465" s="3" t="n">
        <v>42853.0</v>
      </c>
      <c r="R2465" s="3" t="n">
        <v>43979.0</v>
      </c>
      <c r="S2465" s="3" t="n">
        <v>43980.45943362269</v>
      </c>
      <c r="T2465" s="3" t="n">
        <v>43985.4743456713</v>
      </c>
      <c r="U2465" t="s">
        <v>16793</v>
      </c>
      <c r="V2465" t="s">
        <v>3472</v>
      </c>
    </row>
    <row r="2466">
      <c r="A2466" t="s">
        <v>22</v>
      </c>
      <c r="B2466" t="s">
        <v>16794</v>
      </c>
      <c r="C2466" t="s">
        <v>132</v>
      </c>
      <c r="D2466" t="s">
        <v>133</v>
      </c>
      <c r="E2466" t="s">
        <v>15520</v>
      </c>
      <c r="F2466" s="2" t="n">
        <f>HYPERLINK("https://patents.google.com/patent/US20200164058","Google")</f>
        <v>0.0</v>
      </c>
      <c r="G2466" s="2" t="n">
        <f>HYPERLINK("https://patentcenter.uspto.gov/applications/16201409","Patent Center")</f>
        <v>0.0</v>
      </c>
      <c r="H2466" s="2" t="n">
        <f>HYPERLINK("https://worldwide.espacenet.com/patent/search?q=US20200164058","Espacenet")</f>
        <v>0.0</v>
      </c>
      <c r="I2466" s="2" t="n">
        <f>HYPERLINK("https://ppubs.uspto.gov/pubwebapp/external.html?q=20200164058.pn.","USPTO")</f>
        <v>0.0</v>
      </c>
      <c r="J2466" s="2" t="n">
        <f>HYPERLINK("https://image-ppubs.uspto.gov/dirsearch-public/print/downloadPdf/20200164058","USPTO PDF")</f>
        <v>0.0</v>
      </c>
      <c r="K2466" s="2" t="n">
        <f>HYPERLINK("https://sectors.patentforecast.com/pmd/US20200164058","PMD")</f>
        <v>0.0</v>
      </c>
      <c r="L2466" s="2" t="n">
        <f>HYPERLINK("https://globaldossier.uspto.gov/result/application/US/16201409/1","US20200164058")</f>
        <v>0.0</v>
      </c>
      <c r="M2466" t="s">
        <v>16795</v>
      </c>
      <c r="N2466" t="s">
        <v>5964</v>
      </c>
      <c r="O2466" t="s">
        <v>5964</v>
      </c>
      <c r="P2466" t="s">
        <v>16796</v>
      </c>
      <c r="Q2466" s="3" t="n">
        <v>43431.0</v>
      </c>
      <c r="R2466" s="3" t="n">
        <v>43979.0</v>
      </c>
      <c r="S2466" s="3" t="n">
        <v>43980.45943362269</v>
      </c>
      <c r="T2466" s="3" t="n">
        <v>43985.474573900465</v>
      </c>
      <c r="U2466" t="s">
        <v>16797</v>
      </c>
      <c r="V2466" t="s">
        <v>5967</v>
      </c>
    </row>
    <row r="2467">
      <c r="A2467" t="s">
        <v>22</v>
      </c>
      <c r="B2467" t="s">
        <v>16798</v>
      </c>
      <c r="C2467" t="s">
        <v>60</v>
      </c>
      <c r="D2467" t="s">
        <v>77</v>
      </c>
      <c r="E2467" t="s">
        <v>16799</v>
      </c>
      <c r="F2467" s="2" t="n">
        <f>HYPERLINK("https://patents.google.com/patent/US20200156071","Google")</f>
        <v>0.0</v>
      </c>
      <c r="G2467" s="2" t="n">
        <f>HYPERLINK("https://patentcenter.uspto.gov/applications/16081401","Patent Center")</f>
        <v>0.0</v>
      </c>
      <c r="H2467" s="2" t="n">
        <f>HYPERLINK("https://worldwide.espacenet.com/patent/search?q=US20200156071","Espacenet")</f>
        <v>0.0</v>
      </c>
      <c r="I2467" s="2" t="n">
        <f>HYPERLINK("https://ppubs.uspto.gov/pubwebapp/external.html?q=20200156071.pn.","USPTO")</f>
        <v>0.0</v>
      </c>
      <c r="J2467" s="2" t="n">
        <f>HYPERLINK("https://image-ppubs.uspto.gov/dirsearch-public/print/downloadPdf/20200156071","USPTO PDF")</f>
        <v>0.0</v>
      </c>
      <c r="K2467" s="2" t="n">
        <f>HYPERLINK("https://sectors.patentforecast.com/pmd/US20200156071","PMD")</f>
        <v>0.0</v>
      </c>
      <c r="L2467" s="2" t="n">
        <f>HYPERLINK("https://globaldossier.uspto.gov/result/application/US/16081401/1","US20200156071")</f>
        <v>0.0</v>
      </c>
      <c r="M2467" t="s">
        <v>16800</v>
      </c>
      <c r="N2467" t="s">
        <v>16801</v>
      </c>
      <c r="O2467" t="s">
        <v>16802</v>
      </c>
      <c r="P2467" t="s">
        <v>16803</v>
      </c>
      <c r="Q2467" s="3" t="n">
        <v>42811.0</v>
      </c>
      <c r="R2467" s="3" t="n">
        <v>43972.0</v>
      </c>
      <c r="S2467" s="3" t="n">
        <v>43985.669204328704</v>
      </c>
      <c r="T2467" s="3" t="n">
        <v>43985.67861778935</v>
      </c>
      <c r="U2467" t="s">
        <v>16804</v>
      </c>
      <c r="V2467" t="s">
        <v>16805</v>
      </c>
    </row>
    <row r="2468">
      <c r="A2468" t="s">
        <v>22</v>
      </c>
      <c r="B2468" t="s">
        <v>16806</v>
      </c>
      <c r="C2468" t="s">
        <v>132</v>
      </c>
      <c r="D2468" t="s">
        <v>2629</v>
      </c>
      <c r="E2468" t="s">
        <v>16807</v>
      </c>
      <c r="F2468" s="2" t="n">
        <f>HYPERLINK("https://patents.google.com/patent/US20200155667","Google")</f>
        <v>0.0</v>
      </c>
      <c r="G2468" s="2" t="n">
        <f>HYPERLINK("https://patentcenter.uspto.gov/applications/16751635","Patent Center")</f>
        <v>0.0</v>
      </c>
      <c r="H2468" s="2" t="n">
        <f>HYPERLINK("https://worldwide.espacenet.com/patent/search?q=US20200155667","Espacenet")</f>
        <v>0.0</v>
      </c>
      <c r="I2468" s="2" t="n">
        <f>HYPERLINK("https://ppubs.uspto.gov/pubwebapp/external.html?q=20200155667.pn.","USPTO")</f>
        <v>0.0</v>
      </c>
      <c r="J2468" s="2" t="n">
        <f>HYPERLINK("https://image-ppubs.uspto.gov/dirsearch-public/print/downloadPdf/20200155667","USPTO PDF")</f>
        <v>0.0</v>
      </c>
      <c r="K2468" s="2" t="n">
        <f>HYPERLINK("https://sectors.patentforecast.com/pmd/US20200155667","PMD")</f>
        <v>0.0</v>
      </c>
      <c r="L2468" s="2" t="n">
        <f>HYPERLINK("https://globaldossier.uspto.gov/result/application/US/16751635/1","US20200155667")</f>
        <v>0.0</v>
      </c>
      <c r="M2468" t="s">
        <v>16808</v>
      </c>
      <c r="N2468" t="s">
        <v>16809</v>
      </c>
      <c r="O2468" t="s">
        <v>16810</v>
      </c>
      <c r="P2468" t="s">
        <v>16811</v>
      </c>
      <c r="Q2468" s="3" t="n">
        <v>43854.0</v>
      </c>
      <c r="R2468" s="3" t="n">
        <v>43972.0</v>
      </c>
      <c r="S2468" s="3" t="n">
        <v>43999.59019282407</v>
      </c>
      <c r="T2468" s="3" t="n">
        <v>43999.66477556713</v>
      </c>
      <c r="U2468" t="s">
        <v>16812</v>
      </c>
      <c r="V2468" t="s">
        <v>16813</v>
      </c>
    </row>
    <row r="2469">
      <c r="A2469" t="s">
        <v>22</v>
      </c>
      <c r="B2469" t="s">
        <v>16814</v>
      </c>
      <c r="C2469" t="s">
        <v>132</v>
      </c>
      <c r="D2469" t="s">
        <v>11423</v>
      </c>
      <c r="E2469" t="s">
        <v>16815</v>
      </c>
      <c r="F2469" s="2" t="n">
        <f>HYPERLINK("https://patents.google.com/patent/US20200155664","Google")</f>
        <v>0.0</v>
      </c>
      <c r="G2469" s="2" t="n">
        <f>HYPERLINK("https://patentcenter.uspto.gov/applications/16452783","Patent Center")</f>
        <v>0.0</v>
      </c>
      <c r="H2469" s="2" t="n">
        <f>HYPERLINK("https://worldwide.espacenet.com/patent/search?q=US20200155664","Espacenet")</f>
        <v>0.0</v>
      </c>
      <c r="I2469" s="2" t="n">
        <f>HYPERLINK("https://ppubs.uspto.gov/pubwebapp/external.html?q=20200155664.pn.","USPTO")</f>
        <v>0.0</v>
      </c>
      <c r="J2469" s="2" t="n">
        <f>HYPERLINK("https://image-ppubs.uspto.gov/dirsearch-public/print/downloadPdf/20200155664","USPTO PDF")</f>
        <v>0.0</v>
      </c>
      <c r="K2469" s="2" t="n">
        <f>HYPERLINK("https://sectors.patentforecast.com/pmd/US20200155664","PMD")</f>
        <v>0.0</v>
      </c>
      <c r="L2469" s="2" t="n">
        <f>HYPERLINK("https://globaldossier.uspto.gov/result/application/US/16452783/1","US20200155664")</f>
        <v>0.0</v>
      </c>
      <c r="M2469" t="s">
        <v>16816</v>
      </c>
      <c r="N2469" t="s">
        <v>14996</v>
      </c>
      <c r="O2469" t="s">
        <v>14997</v>
      </c>
      <c r="P2469" t="s">
        <v>16817</v>
      </c>
      <c r="Q2469" s="3" t="n">
        <v>43642.0</v>
      </c>
      <c r="R2469" s="3" t="n">
        <v>43972.0</v>
      </c>
      <c r="S2469" s="3" t="n">
        <v>44179.590614872686</v>
      </c>
      <c r="T2469" s="3" t="n">
        <v>44179.59115291667</v>
      </c>
      <c r="U2469" t="s">
        <v>16818</v>
      </c>
      <c r="V2469" t="s">
        <v>16819</v>
      </c>
    </row>
    <row r="2470">
      <c r="A2470" t="s">
        <v>22</v>
      </c>
      <c r="B2470" t="s">
        <v>16820</v>
      </c>
      <c r="C2470" t="s">
        <v>132</v>
      </c>
      <c r="D2470" t="s">
        <v>2629</v>
      </c>
      <c r="E2470" t="s">
        <v>16821</v>
      </c>
      <c r="F2470" s="2" t="n">
        <f>HYPERLINK("https://patents.google.com/patent/US20200155660","Google")</f>
        <v>0.0</v>
      </c>
      <c r="G2470" s="2" t="n">
        <f>HYPERLINK("https://patentcenter.uspto.gov/applications/16692624","Patent Center")</f>
        <v>0.0</v>
      </c>
      <c r="H2470" s="2" t="n">
        <f>HYPERLINK("https://worldwide.espacenet.com/patent/search?q=US20200155660","Espacenet")</f>
        <v>0.0</v>
      </c>
      <c r="I2470" s="2" t="n">
        <f>HYPERLINK("https://ppubs.uspto.gov/pubwebapp/external.html?q=20200155660.pn.","USPTO")</f>
        <v>0.0</v>
      </c>
      <c r="J2470" s="2" t="n">
        <f>HYPERLINK("https://image-ppubs.uspto.gov/dirsearch-public/print/downloadPdf/20200155660","USPTO PDF")</f>
        <v>0.0</v>
      </c>
      <c r="K2470" s="2" t="n">
        <f>HYPERLINK("https://sectors.patentforecast.com/pmd/US20200155660","PMD")</f>
        <v>0.0</v>
      </c>
      <c r="L2470" s="2" t="n">
        <f>HYPERLINK("https://globaldossier.uspto.gov/result/application/US/16692624/1","US20200155660")</f>
        <v>0.0</v>
      </c>
      <c r="M2470" t="s">
        <v>16822</v>
      </c>
      <c r="N2470" t="s">
        <v>16823</v>
      </c>
      <c r="O2470" t="s">
        <v>16824</v>
      </c>
      <c r="P2470" t="s">
        <v>16825</v>
      </c>
      <c r="Q2470" s="3" t="n">
        <v>43791.0</v>
      </c>
      <c r="R2470" s="3" t="n">
        <v>43972.0</v>
      </c>
      <c r="S2470" s="3" t="n">
        <v>43973.46878570602</v>
      </c>
      <c r="T2470" s="3" t="n">
        <v>44545.575426944444</v>
      </c>
      <c r="U2470" t="s">
        <v>16826</v>
      </c>
      <c r="V2470" t="s">
        <v>16827</v>
      </c>
    </row>
    <row r="2471">
      <c r="A2471" t="s">
        <v>22</v>
      </c>
      <c r="B2471" t="s">
        <v>16828</v>
      </c>
      <c r="C2471" t="s">
        <v>60</v>
      </c>
      <c r="D2471" t="s">
        <v>61</v>
      </c>
      <c r="E2471" t="s">
        <v>16829</v>
      </c>
      <c r="F2471" s="2" t="n">
        <f>HYPERLINK("https://patents.google.com/patent/US20200155646","Google")</f>
        <v>0.0</v>
      </c>
      <c r="G2471" s="2" t="n">
        <f>HYPERLINK("https://patentcenter.uspto.gov/applications/16434737","Patent Center")</f>
        <v>0.0</v>
      </c>
      <c r="H2471" s="2" t="n">
        <f>HYPERLINK("https://worldwide.espacenet.com/patent/search?q=US20200155646","Espacenet")</f>
        <v>0.0</v>
      </c>
      <c r="I2471" s="2" t="n">
        <f>HYPERLINK("https://ppubs.uspto.gov/pubwebapp/external.html?q=20200155646.pn.","USPTO")</f>
        <v>0.0</v>
      </c>
      <c r="J2471" s="2" t="n">
        <f>HYPERLINK("https://image-ppubs.uspto.gov/dirsearch-public/print/downloadPdf/20200155646","USPTO PDF")</f>
        <v>0.0</v>
      </c>
      <c r="K2471" s="2" t="n">
        <f>HYPERLINK("https://sectors.patentforecast.com/pmd/US20200155646","PMD")</f>
        <v>0.0</v>
      </c>
      <c r="L2471" s="2" t="n">
        <f>HYPERLINK("https://globaldossier.uspto.gov/result/application/US/16434737/1","US20200155646")</f>
        <v>0.0</v>
      </c>
      <c r="M2471" t="s">
        <v>16830</v>
      </c>
      <c r="N2471" t="s">
        <v>16831</v>
      </c>
      <c r="O2471" t="s">
        <v>16832</v>
      </c>
      <c r="P2471" t="s">
        <v>16833</v>
      </c>
      <c r="Q2471" s="3" t="n">
        <v>43623.0</v>
      </c>
      <c r="R2471" s="3" t="n">
        <v>43972.0</v>
      </c>
      <c r="S2471" s="3" t="n">
        <v>43973.46473476852</v>
      </c>
      <c r="T2471" s="3" t="n">
        <v>44545.58138111111</v>
      </c>
      <c r="U2471" t="s">
        <v>16834</v>
      </c>
      <c r="V2471" t="s">
        <v>16835</v>
      </c>
    </row>
    <row r="2472">
      <c r="A2472" t="s">
        <v>22</v>
      </c>
      <c r="B2472" t="s">
        <v>16836</v>
      </c>
      <c r="C2472" t="s">
        <v>60</v>
      </c>
      <c r="D2472" t="s">
        <v>77</v>
      </c>
      <c r="E2472" t="s">
        <v>16837</v>
      </c>
      <c r="F2472" s="2" t="n">
        <f>HYPERLINK("https://patents.google.com/patent/US20200149031","Google")</f>
        <v>0.0</v>
      </c>
      <c r="G2472" s="2" t="n">
        <f>HYPERLINK("https://patentcenter.uspto.gov/applications/16063394","Patent Center")</f>
        <v>0.0</v>
      </c>
      <c r="H2472" s="2" t="n">
        <f>HYPERLINK("https://worldwide.espacenet.com/patent/search?q=US20200149031","Espacenet")</f>
        <v>0.0</v>
      </c>
      <c r="I2472" s="2" t="n">
        <f>HYPERLINK("https://ppubs.uspto.gov/pubwebapp/external.html?q=20200149031.pn.","USPTO")</f>
        <v>0.0</v>
      </c>
      <c r="J2472" s="2" t="n">
        <f>HYPERLINK("https://image-ppubs.uspto.gov/dirsearch-public/print/downloadPdf/20200149031","USPTO PDF")</f>
        <v>0.0</v>
      </c>
      <c r="K2472" s="2" t="n">
        <f>HYPERLINK("https://sectors.patentforecast.com/pmd/US20200149031","PMD")</f>
        <v>0.0</v>
      </c>
      <c r="L2472" s="2" t="n">
        <f>HYPERLINK("https://globaldossier.uspto.gov/result/application/US/16063394/1","US20200149031")</f>
        <v>0.0</v>
      </c>
      <c r="M2472" t="s">
        <v>16838</v>
      </c>
      <c r="N2472" t="s">
        <v>16801</v>
      </c>
      <c r="O2472" t="s">
        <v>16802</v>
      </c>
      <c r="P2472" t="s">
        <v>16839</v>
      </c>
      <c r="Q2472" s="3" t="n">
        <v>42725.0</v>
      </c>
      <c r="R2472" s="3" t="n">
        <v>43965.0</v>
      </c>
      <c r="S2472" s="3" t="n">
        <v>43985.669204328704</v>
      </c>
      <c r="T2472" s="3" t="n">
        <v>43985.67861778935</v>
      </c>
      <c r="U2472" t="s">
        <v>16840</v>
      </c>
      <c r="V2472" t="s">
        <v>16841</v>
      </c>
    </row>
    <row r="2473">
      <c r="A2473" t="s">
        <v>22</v>
      </c>
      <c r="B2473" t="s">
        <v>16842</v>
      </c>
      <c r="C2473" t="s">
        <v>132</v>
      </c>
      <c r="D2473" t="s">
        <v>1265</v>
      </c>
      <c r="E2473" t="s">
        <v>16843</v>
      </c>
      <c r="F2473" s="2" t="n">
        <f>HYPERLINK("https://patents.google.com/patent/US20200147203","Google")</f>
        <v>0.0</v>
      </c>
      <c r="G2473" s="2" t="n">
        <f>HYPERLINK("https://patentcenter.uspto.gov/applications/16739358","Patent Center")</f>
        <v>0.0</v>
      </c>
      <c r="H2473" s="2" t="n">
        <f>HYPERLINK("https://worldwide.espacenet.com/patent/search?q=US20200147203","Espacenet")</f>
        <v>0.0</v>
      </c>
      <c r="I2473" s="2" t="n">
        <f>HYPERLINK("https://ppubs.uspto.gov/pubwebapp/external.html?q=20200147203.pn.","USPTO")</f>
        <v>0.0</v>
      </c>
      <c r="J2473" s="2" t="n">
        <f>HYPERLINK("https://image-ppubs.uspto.gov/dirsearch-public/print/downloadPdf/20200147203","USPTO PDF")</f>
        <v>0.0</v>
      </c>
      <c r="K2473" s="2" t="n">
        <f>HYPERLINK("https://sectors.patentforecast.com/pmd/US20200147203","PMD")</f>
        <v>0.0</v>
      </c>
      <c r="L2473" s="2" t="n">
        <f>HYPERLINK("https://globaldossier.uspto.gov/result/application/US/16739358/1","US20200147203")</f>
        <v>0.0</v>
      </c>
      <c r="M2473" t="s">
        <v>16844</v>
      </c>
      <c r="N2473" t="s">
        <v>16845</v>
      </c>
      <c r="O2473" t="s">
        <v>16846</v>
      </c>
      <c r="P2473" t="s">
        <v>16847</v>
      </c>
      <c r="Q2473" s="3" t="n">
        <v>43840.0</v>
      </c>
      <c r="R2473" s="3" t="n">
        <v>43965.0</v>
      </c>
      <c r="S2473" s="3" t="n">
        <v>43966.47950349537</v>
      </c>
      <c r="T2473" s="3" t="n">
        <v>44179.59136068287</v>
      </c>
      <c r="U2473" t="s">
        <v>16848</v>
      </c>
      <c r="V2473" t="s">
        <v>16849</v>
      </c>
    </row>
    <row r="2474">
      <c r="A2474" t="s">
        <v>22</v>
      </c>
      <c r="B2474" t="s">
        <v>16850</v>
      </c>
      <c r="C2474" t="s">
        <v>60</v>
      </c>
      <c r="D2474" t="s">
        <v>61</v>
      </c>
      <c r="E2474" t="s">
        <v>16851</v>
      </c>
      <c r="F2474" s="2" t="n">
        <f>HYPERLINK("https://patents.google.com/patent/US20200147028","Google")</f>
        <v>0.0</v>
      </c>
      <c r="G2474" s="2" t="n">
        <f>HYPERLINK("https://patentcenter.uspto.gov/applications/16495829","Patent Center")</f>
        <v>0.0</v>
      </c>
      <c r="H2474" s="2" t="n">
        <f>HYPERLINK("https://worldwide.espacenet.com/patent/search?q=US20200147028","Espacenet")</f>
        <v>0.0</v>
      </c>
      <c r="I2474" s="2" t="n">
        <f>HYPERLINK("https://ppubs.uspto.gov/pubwebapp/external.html?q=20200147028.pn.","USPTO")</f>
        <v>0.0</v>
      </c>
      <c r="J2474" s="2" t="n">
        <f>HYPERLINK("https://image-ppubs.uspto.gov/dirsearch-public/print/downloadPdf/20200147028","USPTO PDF")</f>
        <v>0.0</v>
      </c>
      <c r="K2474" s="2" t="n">
        <f>HYPERLINK("https://sectors.patentforecast.com/pmd/US20200147028","PMD")</f>
        <v>0.0</v>
      </c>
      <c r="L2474" s="2" t="n">
        <f>HYPERLINK("https://globaldossier.uspto.gov/result/application/US/16495829/1","US20200147028")</f>
        <v>0.0</v>
      </c>
      <c r="M2474" t="s">
        <v>16852</v>
      </c>
      <c r="N2474" t="s">
        <v>16853</v>
      </c>
      <c r="O2474" t="s">
        <v>16854</v>
      </c>
      <c r="P2474" t="s">
        <v>16855</v>
      </c>
      <c r="Q2474" s="3" t="n">
        <v>43188.0</v>
      </c>
      <c r="R2474" s="3" t="n">
        <v>43965.0</v>
      </c>
      <c r="S2474" s="3" t="n">
        <v>43966.47950349537</v>
      </c>
      <c r="T2474" s="3" t="n">
        <v>44757.75366855324</v>
      </c>
      <c r="U2474" t="s">
        <v>16856</v>
      </c>
      <c r="V2474" t="s">
        <v>16857</v>
      </c>
    </row>
    <row r="2475">
      <c r="A2475" t="s">
        <v>22</v>
      </c>
      <c r="B2475" t="s">
        <v>16858</v>
      </c>
      <c r="C2475" t="s">
        <v>312</v>
      </c>
      <c r="D2475" t="s">
        <v>313</v>
      </c>
      <c r="E2475" t="s">
        <v>16859</v>
      </c>
      <c r="F2475" s="2" t="n">
        <f>HYPERLINK("https://patents.google.com/patent/US20200145956","Google")</f>
        <v>0.0</v>
      </c>
      <c r="G2475" s="2" t="n">
        <f>HYPERLINK("https://patentcenter.uspto.gov/applications/16736820","Patent Center")</f>
        <v>0.0</v>
      </c>
      <c r="H2475" s="2" t="n">
        <f>HYPERLINK("https://worldwide.espacenet.com/patent/search?q=US20200145956","Espacenet")</f>
        <v>0.0</v>
      </c>
      <c r="I2475" s="2" t="n">
        <f>HYPERLINK("https://ppubs.uspto.gov/pubwebapp/external.html?q=20200145956.pn.","USPTO")</f>
        <v>0.0</v>
      </c>
      <c r="J2475" s="2" t="n">
        <f>HYPERLINK("https://image-ppubs.uspto.gov/dirsearch-public/print/downloadPdf/20200145956","USPTO PDF")</f>
        <v>0.0</v>
      </c>
      <c r="K2475" s="2" t="n">
        <f>HYPERLINK("https://sectors.patentforecast.com/pmd/US20200145956","PMD")</f>
        <v>0.0</v>
      </c>
      <c r="L2475" s="2" t="n">
        <f>HYPERLINK("https://globaldossier.uspto.gov/result/application/US/16736820/1","US20200145956")</f>
        <v>0.0</v>
      </c>
      <c r="M2475" t="s">
        <v>16860</v>
      </c>
      <c r="N2475" t="s">
        <v>16861</v>
      </c>
      <c r="O2475" t="s">
        <v>16862</v>
      </c>
      <c r="P2475" t="s">
        <v>2414</v>
      </c>
      <c r="Q2475" s="3" t="n">
        <v>43838.0</v>
      </c>
      <c r="R2475" s="3" t="n">
        <v>43958.0</v>
      </c>
      <c r="S2475" s="3" t="n">
        <v>43959.458768206016</v>
      </c>
      <c r="T2475" s="3" t="n">
        <v>43985.470604780094</v>
      </c>
      <c r="U2475" t="s">
        <v>16863</v>
      </c>
      <c r="V2475" t="s">
        <v>16864</v>
      </c>
    </row>
    <row r="2476">
      <c r="A2476" t="s">
        <v>22</v>
      </c>
      <c r="B2476" t="s">
        <v>16865</v>
      </c>
      <c r="C2476" t="s">
        <v>60</v>
      </c>
      <c r="D2476" t="s">
        <v>77</v>
      </c>
      <c r="E2476" t="s">
        <v>16866</v>
      </c>
      <c r="F2476" s="2" t="n">
        <f>HYPERLINK("https://patents.google.com/patent/US20200140547","Google")</f>
        <v>0.0</v>
      </c>
      <c r="G2476" s="2" t="n">
        <f>HYPERLINK("https://patentcenter.uspto.gov/applications/16615785","Patent Center")</f>
        <v>0.0</v>
      </c>
      <c r="H2476" s="2" t="n">
        <f>HYPERLINK("https://worldwide.espacenet.com/patent/search?q=US20200140547","Espacenet")</f>
        <v>0.0</v>
      </c>
      <c r="I2476" s="2" t="n">
        <f>HYPERLINK("https://ppubs.uspto.gov/pubwebapp/external.html?q=20200140547.pn.","USPTO")</f>
        <v>0.0</v>
      </c>
      <c r="J2476" s="2" t="n">
        <f>HYPERLINK("https://image-ppubs.uspto.gov/dirsearch-public/print/downloadPdf/20200140547","USPTO PDF")</f>
        <v>0.0</v>
      </c>
      <c r="K2476" s="2" t="n">
        <f>HYPERLINK("https://sectors.patentforecast.com/pmd/US20200140547","PMD")</f>
        <v>0.0</v>
      </c>
      <c r="L2476" s="2" t="n">
        <f>HYPERLINK("https://globaldossier.uspto.gov/result/application/US/16615785/1","US20200140547")</f>
        <v>0.0</v>
      </c>
      <c r="M2476" t="s">
        <v>16867</v>
      </c>
      <c r="N2476" t="s">
        <v>16349</v>
      </c>
      <c r="O2476" t="s">
        <v>16350</v>
      </c>
      <c r="P2476" t="s">
        <v>16868</v>
      </c>
      <c r="Q2476" s="3" t="n">
        <v>43245.0</v>
      </c>
      <c r="R2476" s="3" t="n">
        <v>43958.0</v>
      </c>
      <c r="S2476" s="3" t="n">
        <v>43959.46027310185</v>
      </c>
      <c r="T2476" s="3" t="n">
        <v>43985.45538008102</v>
      </c>
      <c r="U2476" t="s">
        <v>16869</v>
      </c>
      <c r="V2476" t="s">
        <v>16870</v>
      </c>
    </row>
    <row r="2477">
      <c r="A2477" t="s">
        <v>22</v>
      </c>
      <c r="B2477" t="s">
        <v>16871</v>
      </c>
      <c r="C2477" t="s">
        <v>60</v>
      </c>
      <c r="D2477" t="s">
        <v>61</v>
      </c>
      <c r="E2477" t="s">
        <v>16872</v>
      </c>
      <c r="F2477" s="2" t="n">
        <f>HYPERLINK("https://patents.google.com/patent/US20200138749","Google")</f>
        <v>0.0</v>
      </c>
      <c r="G2477" s="2" t="n">
        <f>HYPERLINK("https://patentcenter.uspto.gov/applications/16593422","Patent Center")</f>
        <v>0.0</v>
      </c>
      <c r="H2477" s="2" t="n">
        <f>HYPERLINK("https://worldwide.espacenet.com/patent/search?q=US20200138749","Espacenet")</f>
        <v>0.0</v>
      </c>
      <c r="I2477" s="2" t="n">
        <f>HYPERLINK("https://ppubs.uspto.gov/pubwebapp/external.html?q=20200138749.pn.","USPTO")</f>
        <v>0.0</v>
      </c>
      <c r="J2477" s="2" t="n">
        <f>HYPERLINK("https://image-ppubs.uspto.gov/dirsearch-public/print/downloadPdf/20200138749","USPTO PDF")</f>
        <v>0.0</v>
      </c>
      <c r="K2477" s="2" t="n">
        <f>HYPERLINK("https://sectors.patentforecast.com/pmd/US20200138749","PMD")</f>
        <v>0.0</v>
      </c>
      <c r="L2477" s="2" t="n">
        <f>HYPERLINK("https://globaldossier.uspto.gov/result/application/US/16593422/1","US20200138749")</f>
        <v>0.0</v>
      </c>
      <c r="M2477" t="s">
        <v>16873</v>
      </c>
      <c r="N2477" t="s">
        <v>16874</v>
      </c>
      <c r="O2477" t="s">
        <v>16875</v>
      </c>
      <c r="P2477" t="s">
        <v>16876</v>
      </c>
      <c r="Q2477" s="3" t="n">
        <v>43742.0</v>
      </c>
      <c r="R2477" s="3" t="n">
        <v>43958.0</v>
      </c>
      <c r="S2477" s="3" t="n">
        <v>43966.47950349537</v>
      </c>
      <c r="T2477" s="3" t="n">
        <v>44757.753759039355</v>
      </c>
      <c r="U2477" t="s">
        <v>16877</v>
      </c>
      <c r="V2477" t="s">
        <v>16878</v>
      </c>
    </row>
    <row r="2478">
      <c r="A2478" t="s">
        <v>22</v>
      </c>
      <c r="B2478" t="s">
        <v>16879</v>
      </c>
      <c r="C2478" t="s">
        <v>312</v>
      </c>
      <c r="D2478" t="s">
        <v>313</v>
      </c>
      <c r="E2478" t="s">
        <v>16880</v>
      </c>
      <c r="F2478" s="2" t="n">
        <f>HYPERLINK("https://patents.google.com/patent/US20200126664","Google")</f>
        <v>0.0</v>
      </c>
      <c r="G2478" s="2" t="n">
        <f>HYPERLINK("https://patentcenter.uspto.gov/applications/16619386","Patent Center")</f>
        <v>0.0</v>
      </c>
      <c r="H2478" s="2" t="n">
        <f>HYPERLINK("https://worldwide.espacenet.com/patent/search?q=US20200126664","Espacenet")</f>
        <v>0.0</v>
      </c>
      <c r="I2478" s="2" t="n">
        <f>HYPERLINK("https://ppubs.uspto.gov/pubwebapp/external.html?q=20200126664.pn.","USPTO")</f>
        <v>0.0</v>
      </c>
      <c r="J2478" s="2" t="n">
        <f>HYPERLINK("https://image-ppubs.uspto.gov/dirsearch-public/print/downloadPdf/20200126664","USPTO PDF")</f>
        <v>0.0</v>
      </c>
      <c r="K2478" s="2" t="n">
        <f>HYPERLINK("https://sectors.patentforecast.com/pmd/US20200126664","PMD")</f>
        <v>0.0</v>
      </c>
      <c r="L2478" s="2" t="n">
        <f>HYPERLINK("https://globaldossier.uspto.gov/result/application/US/16619386/1","US20200126664")</f>
        <v>0.0</v>
      </c>
      <c r="M2478" t="s">
        <v>16881</v>
      </c>
      <c r="N2478" t="s">
        <v>16882</v>
      </c>
      <c r="O2478" t="s">
        <v>16883</v>
      </c>
      <c r="P2478" t="s">
        <v>16884</v>
      </c>
      <c r="Q2478" s="3" t="n">
        <v>43305.0</v>
      </c>
      <c r="R2478" s="3" t="n">
        <v>43944.0</v>
      </c>
      <c r="S2478" s="3" t="n">
        <v>44005.232479479164</v>
      </c>
      <c r="T2478" s="3" t="n">
        <v>44006.56412365741</v>
      </c>
      <c r="U2478" t="s">
        <v>16885</v>
      </c>
      <c r="V2478" t="s">
        <v>16886</v>
      </c>
    </row>
    <row r="2479">
      <c r="A2479" t="s">
        <v>22</v>
      </c>
      <c r="B2479" t="s">
        <v>16887</v>
      </c>
      <c r="C2479" t="s">
        <v>24</v>
      </c>
      <c r="D2479" t="s">
        <v>25</v>
      </c>
      <c r="E2479" t="s">
        <v>16888</v>
      </c>
      <c r="F2479" s="2" t="n">
        <f>HYPERLINK("https://patents.google.com/patent/US20200124599","Google")</f>
        <v>0.0</v>
      </c>
      <c r="G2479" s="2" t="n">
        <f>HYPERLINK("https://patentcenter.uspto.gov/applications/16604806","Patent Center")</f>
        <v>0.0</v>
      </c>
      <c r="H2479" s="2" t="n">
        <f>HYPERLINK("https://worldwide.espacenet.com/patent/search?q=US20200124599","Espacenet")</f>
        <v>0.0</v>
      </c>
      <c r="I2479" s="2" t="n">
        <f>HYPERLINK("https://ppubs.uspto.gov/pubwebapp/external.html?q=20200124599.pn.","USPTO")</f>
        <v>0.0</v>
      </c>
      <c r="J2479" s="2" t="n">
        <f>HYPERLINK("https://image-ppubs.uspto.gov/dirsearch-public/print/downloadPdf/20200124599","USPTO PDF")</f>
        <v>0.0</v>
      </c>
      <c r="K2479" s="2" t="n">
        <f>HYPERLINK("https://sectors.patentforecast.com/pmd/US20200124599","PMD")</f>
        <v>0.0</v>
      </c>
      <c r="L2479" s="2" t="n">
        <f>HYPERLINK("https://globaldossier.uspto.gov/result/application/US/16604806/1","US20200124599")</f>
        <v>0.0</v>
      </c>
      <c r="M2479" t="s">
        <v>16889</v>
      </c>
      <c r="N2479" t="s">
        <v>16890</v>
      </c>
      <c r="O2479" t="s">
        <v>16890</v>
      </c>
      <c r="P2479" t="s">
        <v>16891</v>
      </c>
      <c r="Q2479" s="3" t="n">
        <v>43203.0</v>
      </c>
      <c r="R2479" s="3" t="n">
        <v>43944.0</v>
      </c>
      <c r="S2479" s="3" t="n">
        <v>43945.459789583336</v>
      </c>
      <c r="T2479" s="3" t="n">
        <v>43950.40031263889</v>
      </c>
      <c r="U2479" t="s">
        <v>16892</v>
      </c>
      <c r="V2479" t="s">
        <v>16893</v>
      </c>
    </row>
    <row r="2480">
      <c r="A2480" t="s">
        <v>22</v>
      </c>
      <c r="B2480" t="s">
        <v>16894</v>
      </c>
      <c r="C2480" t="s">
        <v>60</v>
      </c>
      <c r="D2480" t="s">
        <v>61</v>
      </c>
      <c r="E2480" t="s">
        <v>16895</v>
      </c>
      <c r="F2480" s="2" t="n">
        <f>HYPERLINK("https://patents.google.com/patent/US20200123235","Google")</f>
        <v>0.0</v>
      </c>
      <c r="G2480" s="2" t="n">
        <f>HYPERLINK("https://patentcenter.uspto.gov/applications/16733734","Patent Center")</f>
        <v>0.0</v>
      </c>
      <c r="H2480" s="2" t="n">
        <f>HYPERLINK("https://worldwide.espacenet.com/patent/search?q=US20200123235","Espacenet")</f>
        <v>0.0</v>
      </c>
      <c r="I2480" s="2" t="n">
        <f>HYPERLINK("https://ppubs.uspto.gov/pubwebapp/external.html?q=20200123235.pn.","USPTO")</f>
        <v>0.0</v>
      </c>
      <c r="J2480" s="2" t="n">
        <f>HYPERLINK("https://image-ppubs.uspto.gov/dirsearch-public/print/downloadPdf/20200123235","USPTO PDF")</f>
        <v>0.0</v>
      </c>
      <c r="K2480" s="2" t="n">
        <f>HYPERLINK("https://sectors.patentforecast.com/pmd/US20200123235","PMD")</f>
        <v>0.0</v>
      </c>
      <c r="L2480" s="2" t="n">
        <f>HYPERLINK("https://globaldossier.uspto.gov/result/application/US/16733734/1","US20200123235")</f>
        <v>0.0</v>
      </c>
      <c r="M2480" t="s">
        <v>16896</v>
      </c>
      <c r="N2480" t="s">
        <v>16897</v>
      </c>
      <c r="O2480" t="s">
        <v>16898</v>
      </c>
      <c r="P2480" t="s">
        <v>16899</v>
      </c>
      <c r="Q2480" s="3" t="n">
        <v>43833.0</v>
      </c>
      <c r="R2480" s="3" t="n">
        <v>43944.0</v>
      </c>
      <c r="S2480" s="3" t="n">
        <v>43945.46094660879</v>
      </c>
      <c r="T2480" s="3" t="n">
        <v>43950.4006771412</v>
      </c>
      <c r="U2480" t="s">
        <v>16900</v>
      </c>
      <c r="V2480" t="s">
        <v>16901</v>
      </c>
    </row>
    <row r="2481">
      <c r="A2481" t="s">
        <v>22</v>
      </c>
      <c r="B2481" t="s">
        <v>16902</v>
      </c>
      <c r="C2481" t="s">
        <v>60</v>
      </c>
      <c r="D2481" t="s">
        <v>61</v>
      </c>
      <c r="E2481" t="s">
        <v>16903</v>
      </c>
      <c r="F2481" s="2" t="n">
        <f>HYPERLINK("https://patents.google.com/patent/US20200123132","Google")</f>
        <v>0.0</v>
      </c>
      <c r="G2481" s="2" t="n">
        <f>HYPERLINK("https://patentcenter.uspto.gov/applications/16421330","Patent Center")</f>
        <v>0.0</v>
      </c>
      <c r="H2481" s="2" t="n">
        <f>HYPERLINK("https://worldwide.espacenet.com/patent/search?q=US20200123132","Espacenet")</f>
        <v>0.0</v>
      </c>
      <c r="I2481" s="2" t="n">
        <f>HYPERLINK("https://ppubs.uspto.gov/pubwebapp/external.html?q=20200123132.pn.","USPTO")</f>
        <v>0.0</v>
      </c>
      <c r="J2481" s="2" t="n">
        <f>HYPERLINK("https://image-ppubs.uspto.gov/dirsearch-public/print/downloadPdf/20200123132","USPTO PDF")</f>
        <v>0.0</v>
      </c>
      <c r="K2481" s="2" t="n">
        <f>HYPERLINK("https://sectors.patentforecast.com/pmd/US20200123132","PMD")</f>
        <v>0.0</v>
      </c>
      <c r="L2481" s="2" t="n">
        <f>HYPERLINK("https://globaldossier.uspto.gov/result/application/US/16421330/1","US20200123132")</f>
        <v>0.0</v>
      </c>
      <c r="M2481" t="s">
        <v>16904</v>
      </c>
      <c r="N2481" t="s">
        <v>664</v>
      </c>
      <c r="O2481" t="s">
        <v>665</v>
      </c>
      <c r="P2481" t="s">
        <v>16905</v>
      </c>
      <c r="Q2481" s="3" t="n">
        <v>43608.0</v>
      </c>
      <c r="R2481" s="3" t="n">
        <v>43944.0</v>
      </c>
      <c r="S2481" s="3" t="n">
        <v>43952.45945721065</v>
      </c>
      <c r="T2481" s="3" t="n">
        <v>44638.65271974537</v>
      </c>
      <c r="U2481" t="s">
        <v>16906</v>
      </c>
      <c r="V2481" t="s">
        <v>16907</v>
      </c>
    </row>
    <row r="2482">
      <c r="A2482" t="s">
        <v>22</v>
      </c>
      <c r="B2482" t="s">
        <v>16908</v>
      </c>
      <c r="C2482" t="s">
        <v>24</v>
      </c>
      <c r="D2482" t="s">
        <v>25</v>
      </c>
      <c r="E2482" t="s">
        <v>16909</v>
      </c>
      <c r="F2482" s="2" t="n">
        <f>HYPERLINK("https://patents.google.com/patent/US20200118692","Google")</f>
        <v>0.0</v>
      </c>
      <c r="G2482" s="2" t="n">
        <f>HYPERLINK("https://patentcenter.uspto.gov/applications/16714618","Patent Center")</f>
        <v>0.0</v>
      </c>
      <c r="H2482" s="2" t="n">
        <f>HYPERLINK("https://worldwide.espacenet.com/patent/search?q=US20200118692","Espacenet")</f>
        <v>0.0</v>
      </c>
      <c r="I2482" s="2" t="n">
        <f>HYPERLINK("https://ppubs.uspto.gov/pubwebapp/external.html?q=20200118692.pn.","USPTO")</f>
        <v>0.0</v>
      </c>
      <c r="J2482" s="2" t="n">
        <f>HYPERLINK("https://image-ppubs.uspto.gov/dirsearch-public/print/downloadPdf/20200118692","USPTO PDF")</f>
        <v>0.0</v>
      </c>
      <c r="K2482" s="2" t="n">
        <f>HYPERLINK("https://sectors.patentforecast.com/pmd/US20200118692","PMD")</f>
        <v>0.0</v>
      </c>
      <c r="L2482" s="2" t="n">
        <f>HYPERLINK("https://globaldossier.uspto.gov/result/application/US/16714618/1","US20200118692")</f>
        <v>0.0</v>
      </c>
      <c r="M2482" t="s">
        <v>16910</v>
      </c>
      <c r="N2482" t="s">
        <v>16911</v>
      </c>
      <c r="O2482" t="s">
        <v>16912</v>
      </c>
      <c r="P2482" t="s">
        <v>16913</v>
      </c>
      <c r="Q2482" s="3" t="n">
        <v>43812.0</v>
      </c>
      <c r="R2482" s="3" t="n">
        <v>43937.0</v>
      </c>
      <c r="S2482" s="3" t="n">
        <v>43938.45876081019</v>
      </c>
      <c r="T2482" s="3" t="n">
        <v>43950.39975163194</v>
      </c>
      <c r="U2482" t="s">
        <v>16914</v>
      </c>
      <c r="V2482" t="s">
        <v>16915</v>
      </c>
    </row>
    <row r="2483">
      <c r="A2483" t="s">
        <v>22</v>
      </c>
      <c r="B2483" t="s">
        <v>16916</v>
      </c>
      <c r="C2483" t="s">
        <v>24</v>
      </c>
      <c r="D2483" t="s">
        <v>25</v>
      </c>
      <c r="E2483" t="s">
        <v>16917</v>
      </c>
      <c r="F2483" s="2" t="n">
        <f>HYPERLINK("https://patents.google.com/patent/US20200117840","Google")</f>
        <v>0.0</v>
      </c>
      <c r="G2483" s="2" t="n">
        <f>HYPERLINK("https://patentcenter.uspto.gov/applications/16713566","Patent Center")</f>
        <v>0.0</v>
      </c>
      <c r="H2483" s="2" t="n">
        <f>HYPERLINK("https://worldwide.espacenet.com/patent/search?q=US20200117840","Espacenet")</f>
        <v>0.0</v>
      </c>
      <c r="I2483" s="2" t="n">
        <f>HYPERLINK("https://ppubs.uspto.gov/pubwebapp/external.html?q=20200117840.pn.","USPTO")</f>
        <v>0.0</v>
      </c>
      <c r="J2483" s="2" t="n">
        <f>HYPERLINK("https://image-ppubs.uspto.gov/dirsearch-public/print/downloadPdf/20200117840","USPTO PDF")</f>
        <v>0.0</v>
      </c>
      <c r="K2483" s="2" t="n">
        <f>HYPERLINK("https://sectors.patentforecast.com/pmd/US20200117840","PMD")</f>
        <v>0.0</v>
      </c>
      <c r="L2483" s="2" t="n">
        <f>HYPERLINK("https://globaldossier.uspto.gov/result/application/US/16713566/1","US20200117840")</f>
        <v>0.0</v>
      </c>
      <c r="M2483" t="s">
        <v>16918</v>
      </c>
      <c r="N2483" t="s">
        <v>16919</v>
      </c>
      <c r="O2483" t="s">
        <v>16920</v>
      </c>
      <c r="P2483" t="s">
        <v>16921</v>
      </c>
      <c r="Q2483" s="3" t="n">
        <v>43812.0</v>
      </c>
      <c r="R2483" s="3" t="n">
        <v>43937.0</v>
      </c>
      <c r="S2483" s="3" t="n">
        <v>43938.45876081019</v>
      </c>
      <c r="T2483" s="3" t="n">
        <v>43950.40140618056</v>
      </c>
      <c r="U2483" t="s">
        <v>16922</v>
      </c>
      <c r="V2483" t="s">
        <v>16923</v>
      </c>
    </row>
    <row r="2484">
      <c r="A2484" t="s">
        <v>22</v>
      </c>
      <c r="B2484" t="s">
        <v>16924</v>
      </c>
      <c r="C2484" t="s">
        <v>60</v>
      </c>
      <c r="D2484" t="s">
        <v>696</v>
      </c>
      <c r="E2484" t="s">
        <v>16925</v>
      </c>
      <c r="F2484" s="2" t="n">
        <f>HYPERLINK("https://patents.google.com/patent/US20200108140","Google")</f>
        <v>0.0</v>
      </c>
      <c r="G2484" s="2" t="n">
        <f>HYPERLINK("https://patentcenter.uspto.gov/applications/16550625","Patent Center")</f>
        <v>0.0</v>
      </c>
      <c r="H2484" s="2" t="n">
        <f>HYPERLINK("https://worldwide.espacenet.com/patent/search?q=US20200108140","Espacenet")</f>
        <v>0.0</v>
      </c>
      <c r="I2484" s="2" t="n">
        <f>HYPERLINK("https://ppubs.uspto.gov/pubwebapp/external.html?q=20200108140.pn.","USPTO")</f>
        <v>0.0</v>
      </c>
      <c r="J2484" s="2" t="n">
        <f>HYPERLINK("https://image-ppubs.uspto.gov/dirsearch-public/print/downloadPdf/20200108140","USPTO PDF")</f>
        <v>0.0</v>
      </c>
      <c r="K2484" s="2" t="n">
        <f>HYPERLINK("https://sectors.patentforecast.com/pmd/US20200108140","PMD")</f>
        <v>0.0</v>
      </c>
      <c r="L2484" s="2" t="n">
        <f>HYPERLINK("https://globaldossier.uspto.gov/result/application/US/16550625/1","US20200108140")</f>
        <v>0.0</v>
      </c>
      <c r="M2484" t="s">
        <v>16926</v>
      </c>
      <c r="N2484" t="s">
        <v>16927</v>
      </c>
      <c r="O2484" t="s">
        <v>16928</v>
      </c>
      <c r="P2484" t="s">
        <v>16929</v>
      </c>
      <c r="Q2484" s="3" t="n">
        <v>43703.0</v>
      </c>
      <c r="R2484" s="3" t="n">
        <v>43930.0</v>
      </c>
      <c r="S2484" s="3" t="n">
        <v>43966.47950349537</v>
      </c>
      <c r="T2484" s="3" t="n">
        <v>44643.44490069444</v>
      </c>
      <c r="U2484" t="s">
        <v>16930</v>
      </c>
      <c r="V2484" t="s">
        <v>16931</v>
      </c>
    </row>
    <row r="2485">
      <c r="A2485" t="s">
        <v>22</v>
      </c>
      <c r="B2485" t="s">
        <v>16932</v>
      </c>
      <c r="C2485" t="s">
        <v>60</v>
      </c>
      <c r="D2485" t="s">
        <v>61</v>
      </c>
      <c r="E2485" t="s">
        <v>16933</v>
      </c>
      <c r="F2485" s="2" t="n">
        <f>HYPERLINK("https://patents.google.com/patent/US20200108086","Google")</f>
        <v>0.0</v>
      </c>
      <c r="G2485" s="2" t="n">
        <f>HYPERLINK("https://patentcenter.uspto.gov/applications/16582657","Patent Center")</f>
        <v>0.0</v>
      </c>
      <c r="H2485" s="2" t="n">
        <f>HYPERLINK("https://worldwide.espacenet.com/patent/search?q=US20200108086","Espacenet")</f>
        <v>0.0</v>
      </c>
      <c r="I2485" s="2" t="n">
        <f>HYPERLINK("https://ppubs.uspto.gov/pubwebapp/external.html?q=20200108086.pn.","USPTO")</f>
        <v>0.0</v>
      </c>
      <c r="J2485" s="2" t="n">
        <f>HYPERLINK("https://image-ppubs.uspto.gov/dirsearch-public/print/downloadPdf/20200108086","USPTO PDF")</f>
        <v>0.0</v>
      </c>
      <c r="K2485" s="2" t="n">
        <f>HYPERLINK("https://sectors.patentforecast.com/pmd/US20200108086","PMD")</f>
        <v>0.0</v>
      </c>
      <c r="L2485" s="2" t="n">
        <f>HYPERLINK("https://globaldossier.uspto.gov/result/application/US/16582657/1","US20200108086")</f>
        <v>0.0</v>
      </c>
      <c r="M2485" t="s">
        <v>16934</v>
      </c>
      <c r="N2485" t="s">
        <v>16935</v>
      </c>
      <c r="O2485" t="s">
        <v>16936</v>
      </c>
      <c r="P2485" t="s">
        <v>16937</v>
      </c>
      <c r="Q2485" s="3" t="n">
        <v>43733.0</v>
      </c>
      <c r="R2485" s="3" t="n">
        <v>43930.0</v>
      </c>
      <c r="S2485" s="3" t="n">
        <v>43966.47950349537</v>
      </c>
      <c r="T2485" s="3" t="n">
        <v>44757.75397149305</v>
      </c>
      <c r="U2485" t="s">
        <v>16938</v>
      </c>
      <c r="V2485" t="s">
        <v>16939</v>
      </c>
    </row>
    <row r="2486">
      <c r="A2486" t="s">
        <v>22</v>
      </c>
      <c r="B2486" t="s">
        <v>16940</v>
      </c>
      <c r="C2486" t="s">
        <v>132</v>
      </c>
      <c r="D2486" t="s">
        <v>142</v>
      </c>
      <c r="E2486" t="s">
        <v>16941</v>
      </c>
      <c r="F2486" s="2" t="n">
        <f>HYPERLINK("https://patents.google.com/patent/US20200101142","Google")</f>
        <v>0.0</v>
      </c>
      <c r="G2486" s="2" t="n">
        <f>HYPERLINK("https://patentcenter.uspto.gov/applications/16621593","Patent Center")</f>
        <v>0.0</v>
      </c>
      <c r="H2486" s="2" t="n">
        <f>HYPERLINK("https://worldwide.espacenet.com/patent/search?q=US20200101142","Espacenet")</f>
        <v>0.0</v>
      </c>
      <c r="I2486" s="2" t="n">
        <f>HYPERLINK("https://ppubs.uspto.gov/pubwebapp/external.html?q=20200101142.pn.","USPTO")</f>
        <v>0.0</v>
      </c>
      <c r="J2486" s="2" t="n">
        <f>HYPERLINK("https://image-ppubs.uspto.gov/dirsearch-public/print/downloadPdf/20200101142","USPTO PDF")</f>
        <v>0.0</v>
      </c>
      <c r="K2486" s="2" t="n">
        <f>HYPERLINK("https://sectors.patentforecast.com/pmd/US20200101142","PMD")</f>
        <v>0.0</v>
      </c>
      <c r="L2486" s="2" t="n">
        <f>HYPERLINK("https://globaldossier.uspto.gov/result/application/US/16621593/1","US20200101142")</f>
        <v>0.0</v>
      </c>
      <c r="M2486" t="s">
        <v>16942</v>
      </c>
      <c r="N2486" t="s">
        <v>16943</v>
      </c>
      <c r="O2486" t="s">
        <v>16944</v>
      </c>
      <c r="P2486" t="s">
        <v>16945</v>
      </c>
      <c r="Q2486" s="3" t="n">
        <v>43263.0</v>
      </c>
      <c r="R2486" s="3" t="n">
        <v>43923.0</v>
      </c>
      <c r="S2486" s="3" t="n">
        <v>43935.704047824074</v>
      </c>
      <c r="T2486" s="3" t="n">
        <v>43950.407938993056</v>
      </c>
      <c r="U2486" t="s">
        <v>16946</v>
      </c>
      <c r="V2486" t="s">
        <v>16947</v>
      </c>
    </row>
    <row r="2487">
      <c r="A2487" t="s">
        <v>22</v>
      </c>
      <c r="B2487" t="s">
        <v>16948</v>
      </c>
      <c r="C2487" t="s">
        <v>60</v>
      </c>
      <c r="D2487" t="s">
        <v>61</v>
      </c>
      <c r="E2487" t="s">
        <v>16949</v>
      </c>
      <c r="F2487" s="2" t="n">
        <f>HYPERLINK("https://patents.google.com/patent/US20200101087","Google")</f>
        <v>0.0</v>
      </c>
      <c r="G2487" s="2" t="n">
        <f>HYPERLINK("https://patentcenter.uspto.gov/applications/16690282","Patent Center")</f>
        <v>0.0</v>
      </c>
      <c r="H2487" s="2" t="n">
        <f>HYPERLINK("https://worldwide.espacenet.com/patent/search?q=US20200101087","Espacenet")</f>
        <v>0.0</v>
      </c>
      <c r="I2487" s="2" t="n">
        <f>HYPERLINK("https://ppubs.uspto.gov/pubwebapp/external.html?q=20200101087.pn.","USPTO")</f>
        <v>0.0</v>
      </c>
      <c r="J2487" s="2" t="n">
        <f>HYPERLINK("https://image-ppubs.uspto.gov/dirsearch-public/print/downloadPdf/20200101087","USPTO PDF")</f>
        <v>0.0</v>
      </c>
      <c r="K2487" s="2" t="n">
        <f>HYPERLINK("https://sectors.patentforecast.com/pmd/US20200101087","PMD")</f>
        <v>0.0</v>
      </c>
      <c r="L2487" s="2" t="n">
        <f>HYPERLINK("https://globaldossier.uspto.gov/result/application/US/16690282/1","US20200101087")</f>
        <v>0.0</v>
      </c>
      <c r="M2487" t="s">
        <v>16950</v>
      </c>
      <c r="N2487" t="s">
        <v>16951</v>
      </c>
      <c r="O2487" t="s">
        <v>16952</v>
      </c>
      <c r="P2487" t="s">
        <v>16953</v>
      </c>
      <c r="Q2487" s="3" t="n">
        <v>43790.0</v>
      </c>
      <c r="R2487" s="3" t="n">
        <v>43923.0</v>
      </c>
      <c r="S2487" s="3" t="n">
        <v>43936.4616650463</v>
      </c>
      <c r="T2487" s="3" t="n">
        <v>43950.41363484954</v>
      </c>
      <c r="U2487" t="s">
        <v>16954</v>
      </c>
      <c r="V2487" t="s">
        <v>16955</v>
      </c>
    </row>
    <row r="2488">
      <c r="A2488" t="s">
        <v>22</v>
      </c>
      <c r="B2488" t="s">
        <v>16956</v>
      </c>
      <c r="C2488" t="s">
        <v>60</v>
      </c>
      <c r="D2488" t="s">
        <v>696</v>
      </c>
      <c r="E2488" t="s">
        <v>16957</v>
      </c>
      <c r="F2488" s="2" t="n">
        <f>HYPERLINK("https://patents.google.com/patent/US20200093921","Google")</f>
        <v>0.0</v>
      </c>
      <c r="G2488" s="2" t="n">
        <f>HYPERLINK("https://patentcenter.uspto.gov/applications/16591668","Patent Center")</f>
        <v>0.0</v>
      </c>
      <c r="H2488" s="2" t="n">
        <f>HYPERLINK("https://worldwide.espacenet.com/patent/search?q=US20200093921","Espacenet")</f>
        <v>0.0</v>
      </c>
      <c r="I2488" s="2" t="n">
        <f>HYPERLINK("https://ppubs.uspto.gov/pubwebapp/external.html?q=20200093921.pn.","USPTO")</f>
        <v>0.0</v>
      </c>
      <c r="J2488" s="2" t="n">
        <f>HYPERLINK("https://image-ppubs.uspto.gov/dirsearch-public/print/downloadPdf/20200093921","USPTO PDF")</f>
        <v>0.0</v>
      </c>
      <c r="K2488" s="2" t="n">
        <f>HYPERLINK("https://sectors.patentforecast.com/pmd/US20200093921","PMD")</f>
        <v>0.0</v>
      </c>
      <c r="L2488" s="2" t="n">
        <f>HYPERLINK("https://globaldossier.uspto.gov/result/application/US/16591668/1","US20200093921")</f>
        <v>0.0</v>
      </c>
      <c r="M2488" t="s">
        <v>16958</v>
      </c>
      <c r="N2488" t="s">
        <v>16927</v>
      </c>
      <c r="O2488" t="s">
        <v>16928</v>
      </c>
      <c r="P2488" t="s">
        <v>16959</v>
      </c>
      <c r="Q2488" s="3" t="n">
        <v>43741.0</v>
      </c>
      <c r="R2488" s="3" t="n">
        <v>43916.0</v>
      </c>
      <c r="S2488" s="3" t="n">
        <v>43966.47950349537</v>
      </c>
      <c r="T2488" s="3" t="n">
        <v>44643.44490069444</v>
      </c>
      <c r="U2488" t="s">
        <v>16960</v>
      </c>
      <c r="V2488" t="s">
        <v>16961</v>
      </c>
    </row>
    <row r="2489">
      <c r="A2489" t="s">
        <v>22</v>
      </c>
      <c r="B2489" t="s">
        <v>16962</v>
      </c>
      <c r="C2489" t="s">
        <v>132</v>
      </c>
      <c r="D2489" t="s">
        <v>133</v>
      </c>
      <c r="E2489" t="s">
        <v>16963</v>
      </c>
      <c r="F2489" s="2" t="n">
        <f>HYPERLINK("https://patents.google.com/patent/US20200093919","Google")</f>
        <v>0.0</v>
      </c>
      <c r="G2489" s="2" t="n">
        <f>HYPERLINK("https://patentcenter.uspto.gov/applications/16575106","Patent Center")</f>
        <v>0.0</v>
      </c>
      <c r="H2489" s="2" t="n">
        <f>HYPERLINK("https://worldwide.espacenet.com/patent/search?q=US20200093919","Espacenet")</f>
        <v>0.0</v>
      </c>
      <c r="I2489" s="2" t="n">
        <f>HYPERLINK("https://ppubs.uspto.gov/pubwebapp/external.html?q=20200093919.pn.","USPTO")</f>
        <v>0.0</v>
      </c>
      <c r="J2489" s="2" t="n">
        <f>HYPERLINK("https://image-ppubs.uspto.gov/dirsearch-public/print/downloadPdf/20200093919","USPTO PDF")</f>
        <v>0.0</v>
      </c>
      <c r="K2489" s="2" t="n">
        <f>HYPERLINK("https://sectors.patentforecast.com/pmd/US20200093919","PMD")</f>
        <v>0.0</v>
      </c>
      <c r="L2489" s="2" t="n">
        <f>HYPERLINK("https://globaldossier.uspto.gov/result/application/US/16575106/1","US20200093919")</f>
        <v>0.0</v>
      </c>
      <c r="M2489" t="s">
        <v>16964</v>
      </c>
      <c r="N2489" t="s">
        <v>16179</v>
      </c>
      <c r="O2489" t="s">
        <v>16180</v>
      </c>
      <c r="P2489" t="s">
        <v>16965</v>
      </c>
      <c r="Q2489" s="3" t="n">
        <v>43726.0</v>
      </c>
      <c r="R2489" s="3" t="n">
        <v>43916.0</v>
      </c>
      <c r="S2489" s="3" t="n">
        <v>43917.459096990744</v>
      </c>
      <c r="T2489" s="3" t="n">
        <v>43937.515310902774</v>
      </c>
      <c r="U2489" t="s">
        <v>16966</v>
      </c>
      <c r="V2489" t="s">
        <v>16967</v>
      </c>
    </row>
    <row r="2490">
      <c r="A2490" t="s">
        <v>22</v>
      </c>
      <c r="B2490" t="s">
        <v>16968</v>
      </c>
      <c r="C2490" t="s">
        <v>132</v>
      </c>
      <c r="D2490" t="s">
        <v>133</v>
      </c>
      <c r="E2490" t="s">
        <v>16969</v>
      </c>
      <c r="F2490" s="2" t="n">
        <f>HYPERLINK("https://patents.google.com/patent/US20200093918","Google")</f>
        <v>0.0</v>
      </c>
      <c r="G2490" s="2" t="n">
        <f>HYPERLINK("https://patentcenter.uspto.gov/applications/16575121","Patent Center")</f>
        <v>0.0</v>
      </c>
      <c r="H2490" s="2" t="n">
        <f>HYPERLINK("https://worldwide.espacenet.com/patent/search?q=US20200093918","Espacenet")</f>
        <v>0.0</v>
      </c>
      <c r="I2490" s="2" t="n">
        <f>HYPERLINK("https://ppubs.uspto.gov/pubwebapp/external.html?q=20200093918.pn.","USPTO")</f>
        <v>0.0</v>
      </c>
      <c r="J2490" s="2" t="n">
        <f>HYPERLINK("https://image-ppubs.uspto.gov/dirsearch-public/print/downloadPdf/20200093918","USPTO PDF")</f>
        <v>0.0</v>
      </c>
      <c r="K2490" s="2" t="n">
        <f>HYPERLINK("https://sectors.patentforecast.com/pmd/US20200093918","PMD")</f>
        <v>0.0</v>
      </c>
      <c r="L2490" s="2" t="n">
        <f>HYPERLINK("https://globaldossier.uspto.gov/result/application/US/16575121/1","US20200093918")</f>
        <v>0.0</v>
      </c>
      <c r="M2490" t="s">
        <v>16970</v>
      </c>
      <c r="N2490" t="s">
        <v>16179</v>
      </c>
      <c r="O2490" t="s">
        <v>16180</v>
      </c>
      <c r="P2490" t="s">
        <v>16965</v>
      </c>
      <c r="Q2490" s="3" t="n">
        <v>43726.0</v>
      </c>
      <c r="R2490" s="3" t="n">
        <v>43916.0</v>
      </c>
      <c r="S2490" s="3" t="n">
        <v>43917.459096990744</v>
      </c>
      <c r="T2490" s="3" t="n">
        <v>43937.515347719906</v>
      </c>
      <c r="U2490" t="s">
        <v>16971</v>
      </c>
      <c r="V2490" t="s">
        <v>16972</v>
      </c>
    </row>
    <row r="2491">
      <c r="A2491" t="s">
        <v>22</v>
      </c>
      <c r="B2491" t="s">
        <v>16973</v>
      </c>
      <c r="C2491" t="s">
        <v>24</v>
      </c>
      <c r="D2491" t="s">
        <v>25</v>
      </c>
      <c r="E2491" t="s">
        <v>16974</v>
      </c>
      <c r="F2491" s="2" t="n">
        <f>HYPERLINK("https://patents.google.com/patent/US20200087709","Google")</f>
        <v>0.0</v>
      </c>
      <c r="G2491" s="2" t="n">
        <f>HYPERLINK("https://patentcenter.uspto.gov/applications/16352083","Patent Center")</f>
        <v>0.0</v>
      </c>
      <c r="H2491" s="2" t="n">
        <f>HYPERLINK("https://worldwide.espacenet.com/patent/search?q=US20200087709","Espacenet")</f>
        <v>0.0</v>
      </c>
      <c r="I2491" s="2" t="n">
        <f>HYPERLINK("https://ppubs.uspto.gov/pubwebapp/external.html?q=20200087709.pn.","USPTO")</f>
        <v>0.0</v>
      </c>
      <c r="J2491" s="2" t="n">
        <f>HYPERLINK("https://image-ppubs.uspto.gov/dirsearch-public/print/downloadPdf/20200087709","USPTO PDF")</f>
        <v>0.0</v>
      </c>
      <c r="K2491" s="2" t="n">
        <f>HYPERLINK("https://sectors.patentforecast.com/pmd/US20200087709","PMD")</f>
        <v>0.0</v>
      </c>
      <c r="L2491" s="2" t="n">
        <f>HYPERLINK("https://globaldossier.uspto.gov/result/application/US/16352083/1","US20200087709")</f>
        <v>0.0</v>
      </c>
      <c r="M2491" t="s">
        <v>16975</v>
      </c>
      <c r="N2491" t="s">
        <v>16976</v>
      </c>
      <c r="O2491" t="s">
        <v>16977</v>
      </c>
      <c r="P2491" t="s">
        <v>16978</v>
      </c>
      <c r="Q2491" s="3" t="n">
        <v>43537.0</v>
      </c>
      <c r="R2491" s="3" t="n">
        <v>43909.0</v>
      </c>
      <c r="S2491" s="3" t="n">
        <v>43936.4616650463</v>
      </c>
      <c r="T2491" s="3" t="n">
        <v>43950.41532972222</v>
      </c>
      <c r="U2491" t="s">
        <v>16979</v>
      </c>
      <c r="V2491" t="s">
        <v>16980</v>
      </c>
    </row>
    <row r="2492">
      <c r="A2492" t="s">
        <v>22</v>
      </c>
      <c r="B2492" t="s">
        <v>16981</v>
      </c>
      <c r="C2492" t="s">
        <v>132</v>
      </c>
      <c r="D2492" t="s">
        <v>142</v>
      </c>
      <c r="E2492" t="s">
        <v>16982</v>
      </c>
      <c r="F2492" s="2" t="n">
        <f>HYPERLINK("https://patents.google.com/patent/US20200087684","Google")</f>
        <v>0.0</v>
      </c>
      <c r="G2492" s="2" t="n">
        <f>HYPERLINK("https://patentcenter.uspto.gov/applications/16698412","Patent Center")</f>
        <v>0.0</v>
      </c>
      <c r="H2492" s="2" t="n">
        <f>HYPERLINK("https://worldwide.espacenet.com/patent/search?q=US20200087684","Espacenet")</f>
        <v>0.0</v>
      </c>
      <c r="I2492" s="2" t="n">
        <f>HYPERLINK("https://ppubs.uspto.gov/pubwebapp/external.html?q=20200087684.pn.","USPTO")</f>
        <v>0.0</v>
      </c>
      <c r="J2492" s="2" t="n">
        <f>HYPERLINK("https://image-ppubs.uspto.gov/dirsearch-public/print/downloadPdf/20200087684","USPTO PDF")</f>
        <v>0.0</v>
      </c>
      <c r="K2492" s="2" t="n">
        <f>HYPERLINK("https://sectors.patentforecast.com/pmd/US20200087684","PMD")</f>
        <v>0.0</v>
      </c>
      <c r="L2492" s="2" t="n">
        <f>HYPERLINK("https://globaldossier.uspto.gov/result/application/US/16698412/1","US20200087684")</f>
        <v>0.0</v>
      </c>
      <c r="M2492" t="s">
        <v>16983</v>
      </c>
      <c r="N2492" t="s">
        <v>7854</v>
      </c>
      <c r="O2492" t="s">
        <v>7855</v>
      </c>
      <c r="P2492" t="s">
        <v>16984</v>
      </c>
      <c r="Q2492" s="3" t="n">
        <v>43796.0</v>
      </c>
      <c r="R2492" s="3" t="n">
        <v>43909.0</v>
      </c>
      <c r="S2492" s="3" t="n">
        <v>43936.4616650463</v>
      </c>
      <c r="T2492" s="3" t="n">
        <v>43950.41755131944</v>
      </c>
      <c r="U2492" t="s">
        <v>16985</v>
      </c>
      <c r="V2492" t="s">
        <v>16986</v>
      </c>
    </row>
    <row r="2493">
      <c r="A2493" t="s">
        <v>22</v>
      </c>
      <c r="B2493" t="s">
        <v>16987</v>
      </c>
      <c r="C2493" t="s">
        <v>60</v>
      </c>
      <c r="D2493" t="s">
        <v>696</v>
      </c>
      <c r="E2493" t="s">
        <v>16925</v>
      </c>
      <c r="F2493" s="2" t="n">
        <f>HYPERLINK("https://patents.google.com/patent/US20200087391","Google")</f>
        <v>0.0</v>
      </c>
      <c r="G2493" s="2" t="n">
        <f>HYPERLINK("https://patentcenter.uspto.gov/applications/16421803","Patent Center")</f>
        <v>0.0</v>
      </c>
      <c r="H2493" s="2" t="n">
        <f>HYPERLINK("https://worldwide.espacenet.com/patent/search?q=US20200087391","Espacenet")</f>
        <v>0.0</v>
      </c>
      <c r="I2493" s="2" t="n">
        <f>HYPERLINK("https://ppubs.uspto.gov/pubwebapp/external.html?q=20200087391.pn.","USPTO")</f>
        <v>0.0</v>
      </c>
      <c r="J2493" s="2" t="n">
        <f>HYPERLINK("https://image-ppubs.uspto.gov/dirsearch-public/print/downloadPdf/20200087391","USPTO PDF")</f>
        <v>0.0</v>
      </c>
      <c r="K2493" s="2" t="n">
        <f>HYPERLINK("https://sectors.patentforecast.com/pmd/US20200087391","PMD")</f>
        <v>0.0</v>
      </c>
      <c r="L2493" s="2" t="n">
        <f>HYPERLINK("https://globaldossier.uspto.gov/result/application/US/16421803/1","US20200087391")</f>
        <v>0.0</v>
      </c>
      <c r="M2493" t="s">
        <v>16988</v>
      </c>
      <c r="N2493" t="s">
        <v>16989</v>
      </c>
      <c r="O2493" t="s">
        <v>16990</v>
      </c>
      <c r="P2493" t="s">
        <v>16991</v>
      </c>
      <c r="Q2493" s="3" t="n">
        <v>43609.0</v>
      </c>
      <c r="R2493" s="3" t="n">
        <v>43909.0</v>
      </c>
      <c r="S2493" s="3" t="n">
        <v>43966.47950349537</v>
      </c>
      <c r="T2493" s="3" t="n">
        <v>44643.44490069444</v>
      </c>
      <c r="U2493" t="s">
        <v>16992</v>
      </c>
      <c r="V2493" t="s">
        <v>16993</v>
      </c>
    </row>
    <row r="2494">
      <c r="A2494" t="s">
        <v>22</v>
      </c>
      <c r="B2494" t="s">
        <v>16994</v>
      </c>
      <c r="C2494" t="s">
        <v>60</v>
      </c>
      <c r="D2494" t="s">
        <v>61</v>
      </c>
      <c r="E2494" t="s">
        <v>16995</v>
      </c>
      <c r="F2494" s="2" t="n">
        <f>HYPERLINK("https://patents.google.com/patent/US20200087337","Google")</f>
        <v>0.0</v>
      </c>
      <c r="G2494" s="2" t="n">
        <f>HYPERLINK("https://patentcenter.uspto.gov/applications/16565888","Patent Center")</f>
        <v>0.0</v>
      </c>
      <c r="H2494" s="2" t="n">
        <f>HYPERLINK("https://worldwide.espacenet.com/patent/search?q=US20200087337","Espacenet")</f>
        <v>0.0</v>
      </c>
      <c r="I2494" s="2" t="n">
        <f>HYPERLINK("https://ppubs.uspto.gov/pubwebapp/external.html?q=20200087337.pn.","USPTO")</f>
        <v>0.0</v>
      </c>
      <c r="J2494" s="2" t="n">
        <f>HYPERLINK("https://image-ppubs.uspto.gov/dirsearch-public/print/downloadPdf/20200087337","USPTO PDF")</f>
        <v>0.0</v>
      </c>
      <c r="K2494" s="2" t="n">
        <f>HYPERLINK("https://sectors.patentforecast.com/pmd/US20200087337","PMD")</f>
        <v>0.0</v>
      </c>
      <c r="L2494" s="2" t="n">
        <f>HYPERLINK("https://globaldossier.uspto.gov/result/application/US/16565888/1","US20200087337")</f>
        <v>0.0</v>
      </c>
      <c r="M2494" t="s">
        <v>16996</v>
      </c>
      <c r="N2494" t="s">
        <v>664</v>
      </c>
      <c r="O2494" t="s">
        <v>665</v>
      </c>
      <c r="P2494" t="s">
        <v>16997</v>
      </c>
      <c r="Q2494" s="3" t="n">
        <v>43718.0</v>
      </c>
      <c r="R2494" s="3" t="n">
        <v>43909.0</v>
      </c>
      <c r="S2494" s="3" t="n">
        <v>43952.45945721065</v>
      </c>
      <c r="T2494" s="3" t="n">
        <v>44638.65008547454</v>
      </c>
      <c r="U2494" t="s">
        <v>16998</v>
      </c>
      <c r="V2494" t="s">
        <v>16999</v>
      </c>
    </row>
    <row r="2495">
      <c r="A2495" t="s">
        <v>22</v>
      </c>
      <c r="B2495" t="s">
        <v>17000</v>
      </c>
      <c r="C2495" t="s">
        <v>60</v>
      </c>
      <c r="D2495" t="s">
        <v>61</v>
      </c>
      <c r="E2495" t="s">
        <v>17001</v>
      </c>
      <c r="F2495" s="2" t="n">
        <f>HYPERLINK("https://patents.google.com/patent/US20200087313","Google")</f>
        <v>0.0</v>
      </c>
      <c r="G2495" s="2" t="n">
        <f>HYPERLINK("https://patentcenter.uspto.gov/applications/16394986","Patent Center")</f>
        <v>0.0</v>
      </c>
      <c r="H2495" s="2" t="n">
        <f>HYPERLINK("https://worldwide.espacenet.com/patent/search?q=US20200087313","Espacenet")</f>
        <v>0.0</v>
      </c>
      <c r="I2495" s="2" t="n">
        <f>HYPERLINK("https://ppubs.uspto.gov/pubwebapp/external.html?q=20200087313.pn.","USPTO")</f>
        <v>0.0</v>
      </c>
      <c r="J2495" s="2" t="n">
        <f>HYPERLINK("https://image-ppubs.uspto.gov/dirsearch-public/print/downloadPdf/20200087313","USPTO PDF")</f>
        <v>0.0</v>
      </c>
      <c r="K2495" s="2" t="n">
        <f>HYPERLINK("https://sectors.patentforecast.com/pmd/US20200087313","PMD")</f>
        <v>0.0</v>
      </c>
      <c r="L2495" s="2" t="n">
        <f>HYPERLINK("https://globaldossier.uspto.gov/result/application/US/16394986/1","US20200087313")</f>
        <v>0.0</v>
      </c>
      <c r="M2495" t="s">
        <v>17002</v>
      </c>
      <c r="N2495" t="s">
        <v>17003</v>
      </c>
      <c r="O2495" t="s">
        <v>17004</v>
      </c>
      <c r="P2495" t="s">
        <v>17005</v>
      </c>
      <c r="Q2495" s="3" t="n">
        <v>43580.0</v>
      </c>
      <c r="R2495" s="3" t="n">
        <v>43909.0</v>
      </c>
      <c r="S2495" s="3" t="n">
        <v>43936.4616650463</v>
      </c>
      <c r="T2495" s="3" t="n">
        <v>43950.40332694445</v>
      </c>
      <c r="U2495" t="s">
        <v>17006</v>
      </c>
      <c r="V2495" t="s">
        <v>17007</v>
      </c>
    </row>
    <row r="2496">
      <c r="A2496" t="s">
        <v>22</v>
      </c>
      <c r="B2496" t="s">
        <v>17008</v>
      </c>
      <c r="C2496" t="s">
        <v>132</v>
      </c>
      <c r="D2496" t="s">
        <v>142</v>
      </c>
      <c r="E2496" t="s">
        <v>17009</v>
      </c>
      <c r="F2496" s="2" t="n">
        <f>HYPERLINK("https://patents.google.com/patent/US20200085943","Google")</f>
        <v>0.0</v>
      </c>
      <c r="G2496" s="2" t="n">
        <f>HYPERLINK("https://patentcenter.uspto.gov/applications/16555881","Patent Center")</f>
        <v>0.0</v>
      </c>
      <c r="H2496" s="2" t="n">
        <f>HYPERLINK("https://worldwide.espacenet.com/patent/search?q=US20200085943","Espacenet")</f>
        <v>0.0</v>
      </c>
      <c r="I2496" s="2" t="n">
        <f>HYPERLINK("https://ppubs.uspto.gov/pubwebapp/external.html?q=20200085943.pn.","USPTO")</f>
        <v>0.0</v>
      </c>
      <c r="J2496" s="2" t="n">
        <f>HYPERLINK("https://image-ppubs.uspto.gov/dirsearch-public/print/downloadPdf/20200085943","USPTO PDF")</f>
        <v>0.0</v>
      </c>
      <c r="K2496" s="2" t="n">
        <f>HYPERLINK("https://sectors.patentforecast.com/pmd/US20200085943","PMD")</f>
        <v>0.0</v>
      </c>
      <c r="L2496" s="2" t="n">
        <f>HYPERLINK("https://globaldossier.uspto.gov/result/application/US/16555881/1","US20200085943")</f>
        <v>0.0</v>
      </c>
      <c r="M2496" t="s">
        <v>17010</v>
      </c>
      <c r="N2496" t="s">
        <v>136</v>
      </c>
      <c r="O2496" t="s">
        <v>137</v>
      </c>
      <c r="P2496" t="s">
        <v>17011</v>
      </c>
      <c r="Q2496" s="3" t="n">
        <v>43706.0</v>
      </c>
      <c r="R2496" s="3" t="n">
        <v>43909.0</v>
      </c>
      <c r="S2496" s="3" t="n">
        <v>43936.4616650463</v>
      </c>
      <c r="T2496" s="3" t="n">
        <v>43950.456753530096</v>
      </c>
      <c r="U2496" t="s">
        <v>17012</v>
      </c>
      <c r="V2496" t="s">
        <v>17013</v>
      </c>
    </row>
    <row r="2497">
      <c r="A2497" t="s">
        <v>22</v>
      </c>
      <c r="B2497" t="s">
        <v>17014</v>
      </c>
      <c r="C2497" t="s">
        <v>132</v>
      </c>
      <c r="D2497" t="s">
        <v>2629</v>
      </c>
      <c r="E2497" t="s">
        <v>17015</v>
      </c>
      <c r="F2497" s="2" t="n">
        <f>HYPERLINK("https://patents.google.com/patent/US20200085935","Google")</f>
        <v>0.0</v>
      </c>
      <c r="G2497" s="2" t="n">
        <f>HYPERLINK("https://patentcenter.uspto.gov/applications/16471606","Patent Center")</f>
        <v>0.0</v>
      </c>
      <c r="H2497" s="2" t="n">
        <f>HYPERLINK("https://worldwide.espacenet.com/patent/search?q=US20200085935","Espacenet")</f>
        <v>0.0</v>
      </c>
      <c r="I2497" s="2" t="n">
        <f>HYPERLINK("https://ppubs.uspto.gov/pubwebapp/external.html?q=20200085935.pn.","USPTO")</f>
        <v>0.0</v>
      </c>
      <c r="J2497" s="2" t="n">
        <f>HYPERLINK("https://image-ppubs.uspto.gov/dirsearch-public/print/downloadPdf/20200085935","USPTO PDF")</f>
        <v>0.0</v>
      </c>
      <c r="K2497" s="2" t="n">
        <f>HYPERLINK("https://sectors.patentforecast.com/pmd/US20200085935","PMD")</f>
        <v>0.0</v>
      </c>
      <c r="L2497" s="2" t="n">
        <f>HYPERLINK("https://globaldossier.uspto.gov/result/application/US/16471606/1","US20200085935")</f>
        <v>0.0</v>
      </c>
      <c r="M2497" t="s">
        <v>17016</v>
      </c>
      <c r="N2497" t="s">
        <v>17017</v>
      </c>
      <c r="O2497" t="s">
        <v>17018</v>
      </c>
      <c r="P2497" t="s">
        <v>17019</v>
      </c>
      <c r="Q2497" s="3" t="n">
        <v>43091.0</v>
      </c>
      <c r="R2497" s="3" t="n">
        <v>43909.0</v>
      </c>
      <c r="S2497" s="3" t="n">
        <v>43936.4616650463</v>
      </c>
      <c r="T2497" s="3" t="n">
        <v>43950.46095168981</v>
      </c>
      <c r="U2497" t="s">
        <v>17020</v>
      </c>
      <c r="V2497" t="s">
        <v>17021</v>
      </c>
    </row>
    <row r="2498">
      <c r="A2498" t="s">
        <v>22</v>
      </c>
      <c r="B2498" t="s">
        <v>17022</v>
      </c>
      <c r="C2498" t="s">
        <v>132</v>
      </c>
      <c r="D2498" t="s">
        <v>142</v>
      </c>
      <c r="E2498" t="s">
        <v>17023</v>
      </c>
      <c r="F2498" s="2" t="n">
        <f>HYPERLINK("https://patents.google.com/patent/US20200085852","Google")</f>
        <v>0.0</v>
      </c>
      <c r="G2498" s="2" t="n">
        <f>HYPERLINK("https://patentcenter.uspto.gov/applications/15749778","Patent Center")</f>
        <v>0.0</v>
      </c>
      <c r="H2498" s="2" t="n">
        <f>HYPERLINK("https://worldwide.espacenet.com/patent/search?q=US20200085852","Espacenet")</f>
        <v>0.0</v>
      </c>
      <c r="I2498" s="2" t="n">
        <f>HYPERLINK("https://ppubs.uspto.gov/pubwebapp/external.html?q=20200085852.pn.","USPTO")</f>
        <v>0.0</v>
      </c>
      <c r="J2498" s="2" t="n">
        <f>HYPERLINK("https://image-ppubs.uspto.gov/dirsearch-public/print/downloadPdf/20200085852","USPTO PDF")</f>
        <v>0.0</v>
      </c>
      <c r="K2498" s="2" t="n">
        <f>HYPERLINK("https://sectors.patentforecast.com/pmd/US20200085852","PMD")</f>
        <v>0.0</v>
      </c>
      <c r="L2498" s="2" t="n">
        <f>HYPERLINK("https://globaldossier.uspto.gov/result/application/US/15749778/1","US20200085852")</f>
        <v>0.0</v>
      </c>
      <c r="M2498" t="s">
        <v>17024</v>
      </c>
      <c r="N2498" t="s">
        <v>136</v>
      </c>
      <c r="O2498" t="s">
        <v>137</v>
      </c>
      <c r="P2498" t="s">
        <v>17025</v>
      </c>
      <c r="Q2498" s="3" t="n">
        <v>42587.0</v>
      </c>
      <c r="R2498" s="3" t="n">
        <v>43909.0</v>
      </c>
      <c r="S2498" s="3" t="n">
        <v>43936.4616650463</v>
      </c>
      <c r="T2498" s="3" t="n">
        <v>43950.456753530096</v>
      </c>
      <c r="U2498" t="s">
        <v>17026</v>
      </c>
      <c r="V2498" t="s">
        <v>17027</v>
      </c>
    </row>
    <row r="2499">
      <c r="A2499" t="s">
        <v>22</v>
      </c>
      <c r="B2499" t="s">
        <v>17028</v>
      </c>
      <c r="C2499" t="s">
        <v>24</v>
      </c>
      <c r="D2499" t="s">
        <v>25</v>
      </c>
      <c r="E2499" t="s">
        <v>17029</v>
      </c>
      <c r="F2499" s="2" t="n">
        <f>HYPERLINK("https://patents.google.com/patent/US20200082947","Google")</f>
        <v>0.0</v>
      </c>
      <c r="G2499" s="2" t="n">
        <f>HYPERLINK("https://patentcenter.uspto.gov/applications/16563222","Patent Center")</f>
        <v>0.0</v>
      </c>
      <c r="H2499" s="2" t="n">
        <f>HYPERLINK("https://worldwide.espacenet.com/patent/search?q=US20200082947","Espacenet")</f>
        <v>0.0</v>
      </c>
      <c r="I2499" s="2" t="n">
        <f>HYPERLINK("https://ppubs.uspto.gov/pubwebapp/external.html?q=20200082947.pn.","USPTO")</f>
        <v>0.0</v>
      </c>
      <c r="J2499" s="2" t="n">
        <f>HYPERLINK("https://image-ppubs.uspto.gov/dirsearch-public/print/downloadPdf/20200082947","USPTO PDF")</f>
        <v>0.0</v>
      </c>
      <c r="K2499" s="2" t="n">
        <f>HYPERLINK("https://sectors.patentforecast.com/pmd/US20200082947","PMD")</f>
        <v>0.0</v>
      </c>
      <c r="L2499" s="2" t="n">
        <f>HYPERLINK("https://globaldossier.uspto.gov/result/application/US/16563222/1","US20200082947")</f>
        <v>0.0</v>
      </c>
      <c r="M2499" t="s">
        <v>17030</v>
      </c>
      <c r="N2499" t="s">
        <v>4321</v>
      </c>
      <c r="O2499" t="s">
        <v>4322</v>
      </c>
      <c r="P2499" t="s">
        <v>17031</v>
      </c>
      <c r="Q2499" s="3" t="n">
        <v>43714.0</v>
      </c>
      <c r="R2499" s="3" t="n">
        <v>43902.0</v>
      </c>
      <c r="S2499" s="3" t="n">
        <v>43908.458510358796</v>
      </c>
      <c r="T2499" s="3" t="n">
        <v>43984.672505</v>
      </c>
      <c r="U2499" t="s">
        <v>17032</v>
      </c>
      <c r="V2499" t="s">
        <v>17033</v>
      </c>
    </row>
    <row r="2500">
      <c r="A2500" t="s">
        <v>22</v>
      </c>
      <c r="B2500" t="s">
        <v>17034</v>
      </c>
      <c r="C2500" t="s">
        <v>24</v>
      </c>
      <c r="D2500" t="s">
        <v>34</v>
      </c>
      <c r="E2500" t="s">
        <v>17035</v>
      </c>
      <c r="F2500" s="2" t="n">
        <f>HYPERLINK("https://patents.google.com/patent/US20200080133","Google")</f>
        <v>0.0</v>
      </c>
      <c r="G2500" s="2" t="n">
        <f>HYPERLINK("https://patentcenter.uspto.gov/applications/16571535","Patent Center")</f>
        <v>0.0</v>
      </c>
      <c r="H2500" s="2" t="n">
        <f>HYPERLINK("https://worldwide.espacenet.com/patent/search?q=US20200080133","Espacenet")</f>
        <v>0.0</v>
      </c>
      <c r="I2500" s="2" t="n">
        <f>HYPERLINK("https://ppubs.uspto.gov/pubwebapp/external.html?q=20200080133.pn.","USPTO")</f>
        <v>0.0</v>
      </c>
      <c r="J2500" s="2" t="n">
        <f>HYPERLINK("https://image-ppubs.uspto.gov/dirsearch-public/print/downloadPdf/20200080133","USPTO PDF")</f>
        <v>0.0</v>
      </c>
      <c r="K2500" s="2" t="n">
        <f>HYPERLINK("https://sectors.patentforecast.com/pmd/US20200080133","PMD")</f>
        <v>0.0</v>
      </c>
      <c r="L2500" s="2" t="n">
        <f>HYPERLINK("https://globaldossier.uspto.gov/result/application/US/16571535/1","US20200080133")</f>
        <v>0.0</v>
      </c>
      <c r="M2500" t="s">
        <v>17036</v>
      </c>
      <c r="N2500" t="s">
        <v>4728</v>
      </c>
      <c r="O2500" t="s">
        <v>4729</v>
      </c>
      <c r="P2500" t="s">
        <v>17037</v>
      </c>
      <c r="Q2500" s="3" t="n">
        <v>43724.0</v>
      </c>
      <c r="R2500" s="3" t="n">
        <v>43902.0</v>
      </c>
      <c r="S2500" s="3" t="n">
        <v>44370.45832509259</v>
      </c>
      <c r="T2500" s="3" t="n">
        <v>44372.38111516204</v>
      </c>
      <c r="U2500" t="s">
        <v>17038</v>
      </c>
      <c r="V2500" t="s">
        <v>17039</v>
      </c>
    </row>
    <row r="2501">
      <c r="A2501" t="s">
        <v>22</v>
      </c>
      <c r="B2501" t="s">
        <v>17040</v>
      </c>
      <c r="C2501" t="s">
        <v>132</v>
      </c>
      <c r="D2501" t="s">
        <v>142</v>
      </c>
      <c r="E2501" t="s">
        <v>16982</v>
      </c>
      <c r="F2501" s="2" t="n">
        <f>HYPERLINK("https://patents.google.com/patent/US20200080109","Google")</f>
        <v>0.0</v>
      </c>
      <c r="G2501" s="2" t="n">
        <f>HYPERLINK("https://patentcenter.uspto.gov/applications/16691227","Patent Center")</f>
        <v>0.0</v>
      </c>
      <c r="H2501" s="2" t="n">
        <f>HYPERLINK("https://worldwide.espacenet.com/patent/search?q=US20200080109","Espacenet")</f>
        <v>0.0</v>
      </c>
      <c r="I2501" s="2" t="n">
        <f>HYPERLINK("https://ppubs.uspto.gov/pubwebapp/external.html?q=20200080109.pn.","USPTO")</f>
        <v>0.0</v>
      </c>
      <c r="J2501" s="2" t="n">
        <f>HYPERLINK("https://image-ppubs.uspto.gov/dirsearch-public/print/downloadPdf/20200080109","USPTO PDF")</f>
        <v>0.0</v>
      </c>
      <c r="K2501" s="2" t="n">
        <f>HYPERLINK("https://sectors.patentforecast.com/pmd/US20200080109","PMD")</f>
        <v>0.0</v>
      </c>
      <c r="L2501" s="2" t="n">
        <f>HYPERLINK("https://globaldossier.uspto.gov/result/application/US/16691227/1","US20200080109")</f>
        <v>0.0</v>
      </c>
      <c r="M2501" t="s">
        <v>17041</v>
      </c>
      <c r="N2501" t="s">
        <v>7854</v>
      </c>
      <c r="O2501" t="s">
        <v>7855</v>
      </c>
      <c r="P2501" t="s">
        <v>16984</v>
      </c>
      <c r="Q2501" s="3" t="n">
        <v>43790.0</v>
      </c>
      <c r="R2501" s="3" t="n">
        <v>43902.0</v>
      </c>
      <c r="S2501" s="3" t="n">
        <v>43936.4616650463</v>
      </c>
      <c r="T2501" s="3" t="n">
        <v>43950.417724375</v>
      </c>
      <c r="U2501" t="s">
        <v>17042</v>
      </c>
      <c r="V2501" t="s">
        <v>17043</v>
      </c>
    </row>
    <row r="2502">
      <c r="A2502" t="s">
        <v>22</v>
      </c>
      <c r="B2502" t="s">
        <v>17044</v>
      </c>
      <c r="C2502" t="s">
        <v>132</v>
      </c>
      <c r="D2502" t="s">
        <v>133</v>
      </c>
      <c r="E2502" t="s">
        <v>17045</v>
      </c>
      <c r="F2502" s="2" t="n">
        <f>HYPERLINK("https://patents.google.com/patent/US20200080101","Google")</f>
        <v>0.0</v>
      </c>
      <c r="G2502" s="2" t="n">
        <f>HYPERLINK("https://patentcenter.uspto.gov/applications/16566330","Patent Center")</f>
        <v>0.0</v>
      </c>
      <c r="H2502" s="2" t="n">
        <f>HYPERLINK("https://worldwide.espacenet.com/patent/search?q=US20200080101","Espacenet")</f>
        <v>0.0</v>
      </c>
      <c r="I2502" s="2" t="n">
        <f>HYPERLINK("https://ppubs.uspto.gov/pubwebapp/external.html?q=20200080101.pn.","USPTO")</f>
        <v>0.0</v>
      </c>
      <c r="J2502" s="2" t="n">
        <f>HYPERLINK("https://image-ppubs.uspto.gov/dirsearch-public/print/downloadPdf/20200080101","USPTO PDF")</f>
        <v>0.0</v>
      </c>
      <c r="K2502" s="2" t="n">
        <f>HYPERLINK("https://sectors.patentforecast.com/pmd/US20200080101","PMD")</f>
        <v>0.0</v>
      </c>
      <c r="L2502" s="2" t="n">
        <f>HYPERLINK("https://globaldossier.uspto.gov/result/application/US/16566330/1","US20200080101")</f>
        <v>0.0</v>
      </c>
      <c r="M2502" t="s">
        <v>17046</v>
      </c>
      <c r="N2502" t="s">
        <v>17047</v>
      </c>
      <c r="O2502" t="s">
        <v>17048</v>
      </c>
      <c r="P2502" t="s">
        <v>17049</v>
      </c>
      <c r="Q2502" s="3" t="n">
        <v>43718.0</v>
      </c>
      <c r="R2502" s="3" t="n">
        <v>43902.0</v>
      </c>
      <c r="S2502" s="3" t="n">
        <v>43908.459896712964</v>
      </c>
      <c r="T2502" s="3" t="n">
        <v>43984.67339469907</v>
      </c>
      <c r="U2502" t="s">
        <v>17050</v>
      </c>
      <c r="V2502" t="s">
        <v>17051</v>
      </c>
    </row>
    <row r="2503">
      <c r="A2503" t="s">
        <v>22</v>
      </c>
      <c r="B2503" t="s">
        <v>17052</v>
      </c>
      <c r="C2503" t="s">
        <v>24</v>
      </c>
      <c r="D2503" t="s">
        <v>25</v>
      </c>
      <c r="E2503" t="s">
        <v>17053</v>
      </c>
      <c r="F2503" s="2" t="n">
        <f>HYPERLINK("https://patents.google.com/patent/US20200075173","Google")</f>
        <v>0.0</v>
      </c>
      <c r="G2503" s="2" t="n">
        <f>HYPERLINK("https://patentcenter.uspto.gov/applications/16543911","Patent Center")</f>
        <v>0.0</v>
      </c>
      <c r="H2503" s="2" t="n">
        <f>HYPERLINK("https://worldwide.espacenet.com/patent/search?q=US20200075173","Espacenet")</f>
        <v>0.0</v>
      </c>
      <c r="I2503" s="2" t="n">
        <f>HYPERLINK("https://ppubs.uspto.gov/pubwebapp/external.html?q=20200075173.pn.","USPTO")</f>
        <v>0.0</v>
      </c>
      <c r="J2503" s="2" t="n">
        <f>HYPERLINK("https://image-ppubs.uspto.gov/dirsearch-public/print/downloadPdf/20200075173","USPTO PDF")</f>
        <v>0.0</v>
      </c>
      <c r="K2503" s="2" t="n">
        <f>HYPERLINK("https://sectors.patentforecast.com/pmd/US20200075173","PMD")</f>
        <v>0.0</v>
      </c>
      <c r="L2503" s="2" t="n">
        <f>HYPERLINK("https://globaldossier.uspto.gov/result/application/US/16543911/1","US20200075173")</f>
        <v>0.0</v>
      </c>
      <c r="M2503" t="s">
        <v>17054</v>
      </c>
      <c r="N2503" t="s">
        <v>17055</v>
      </c>
      <c r="O2503" t="s">
        <v>17056</v>
      </c>
      <c r="P2503" t="s">
        <v>17057</v>
      </c>
      <c r="Q2503" s="3" t="n">
        <v>43696.0</v>
      </c>
      <c r="R2503" s="3" t="n">
        <v>43895.0</v>
      </c>
      <c r="S2503" s="3" t="n">
        <v>43908.458510358796</v>
      </c>
      <c r="T2503" s="3" t="n">
        <v>43990.708497789354</v>
      </c>
      <c r="U2503" t="s">
        <v>17058</v>
      </c>
      <c r="V2503" t="s">
        <v>17059</v>
      </c>
    </row>
    <row r="2504">
      <c r="A2504" t="s">
        <v>22</v>
      </c>
      <c r="B2504" t="s">
        <v>17060</v>
      </c>
      <c r="C2504" t="s">
        <v>60</v>
      </c>
      <c r="D2504" t="s">
        <v>61</v>
      </c>
      <c r="E2504" t="s">
        <v>17061</v>
      </c>
      <c r="F2504" s="2" t="n">
        <f>HYPERLINK("https://patents.google.com/patent/US20200071421","Google")</f>
        <v>0.0</v>
      </c>
      <c r="G2504" s="2" t="n">
        <f>HYPERLINK("https://patentcenter.uspto.gov/applications/16377712","Patent Center")</f>
        <v>0.0</v>
      </c>
      <c r="H2504" s="2" t="n">
        <f>HYPERLINK("https://worldwide.espacenet.com/patent/search?q=US20200071421","Espacenet")</f>
        <v>0.0</v>
      </c>
      <c r="I2504" s="2" t="n">
        <f>HYPERLINK("https://ppubs.uspto.gov/pubwebapp/external.html?q=20200071421.pn.","USPTO")</f>
        <v>0.0</v>
      </c>
      <c r="J2504" s="2" t="n">
        <f>HYPERLINK("https://image-ppubs.uspto.gov/dirsearch-public/print/downloadPdf/20200071421","USPTO PDF")</f>
        <v>0.0</v>
      </c>
      <c r="K2504" s="2" t="n">
        <f>HYPERLINK("https://sectors.patentforecast.com/pmd/US20200071421","PMD")</f>
        <v>0.0</v>
      </c>
      <c r="L2504" s="2" t="n">
        <f>HYPERLINK("https://globaldossier.uspto.gov/result/application/US/16377712/1","US20200071421")</f>
        <v>0.0</v>
      </c>
      <c r="M2504" t="s">
        <v>17062</v>
      </c>
      <c r="N2504" t="s">
        <v>17063</v>
      </c>
      <c r="O2504" t="s">
        <v>17064</v>
      </c>
      <c r="P2504" t="s">
        <v>17065</v>
      </c>
      <c r="Q2504" s="3" t="n">
        <v>43563.0</v>
      </c>
      <c r="R2504" s="3" t="n">
        <v>43895.0</v>
      </c>
      <c r="S2504" s="3" t="n">
        <v>43936.4616650463</v>
      </c>
      <c r="T2504" s="3" t="n">
        <v>44543.63822709491</v>
      </c>
      <c r="U2504" t="s">
        <v>17066</v>
      </c>
      <c r="V2504" t="s">
        <v>17067</v>
      </c>
    </row>
    <row r="2505">
      <c r="A2505" t="s">
        <v>22</v>
      </c>
      <c r="B2505" t="s">
        <v>17068</v>
      </c>
      <c r="C2505" t="s">
        <v>60</v>
      </c>
      <c r="D2505" t="s">
        <v>61</v>
      </c>
      <c r="E2505" t="s">
        <v>16903</v>
      </c>
      <c r="F2505" s="2" t="n">
        <f>HYPERLINK("https://patents.google.com/patent/US20200071337","Google")</f>
        <v>0.0</v>
      </c>
      <c r="G2505" s="2" t="n">
        <f>HYPERLINK("https://patentcenter.uspto.gov/applications/16378089","Patent Center")</f>
        <v>0.0</v>
      </c>
      <c r="H2505" s="2" t="n">
        <f>HYPERLINK("https://worldwide.espacenet.com/patent/search?q=US20200071337","Espacenet")</f>
        <v>0.0</v>
      </c>
      <c r="I2505" s="2" t="n">
        <f>HYPERLINK("https://ppubs.uspto.gov/pubwebapp/external.html?q=20200071337.pn.","USPTO")</f>
        <v>0.0</v>
      </c>
      <c r="J2505" s="2" t="n">
        <f>HYPERLINK("https://image-ppubs.uspto.gov/dirsearch-public/print/downloadPdf/20200071337","USPTO PDF")</f>
        <v>0.0</v>
      </c>
      <c r="K2505" s="2" t="n">
        <f>HYPERLINK("https://sectors.patentforecast.com/pmd/US20200071337","PMD")</f>
        <v>0.0</v>
      </c>
      <c r="L2505" s="2" t="n">
        <f>HYPERLINK("https://globaldossier.uspto.gov/result/application/US/16378089/1","US20200071337")</f>
        <v>0.0</v>
      </c>
      <c r="M2505" t="s">
        <v>17069</v>
      </c>
      <c r="N2505" t="s">
        <v>664</v>
      </c>
      <c r="O2505" t="s">
        <v>665</v>
      </c>
      <c r="P2505" t="s">
        <v>17070</v>
      </c>
      <c r="Q2505" s="3" t="n">
        <v>43563.0</v>
      </c>
      <c r="R2505" s="3" t="n">
        <v>43895.0</v>
      </c>
      <c r="S2505" s="3" t="n">
        <v>43952.45945721065</v>
      </c>
      <c r="T2505" s="3" t="n">
        <v>44638.65271974537</v>
      </c>
      <c r="U2505" t="s">
        <v>17071</v>
      </c>
      <c r="V2505" t="s">
        <v>17072</v>
      </c>
    </row>
    <row r="2506">
      <c r="A2506" t="s">
        <v>22</v>
      </c>
      <c r="B2506" t="s">
        <v>17073</v>
      </c>
      <c r="C2506" t="s">
        <v>60</v>
      </c>
      <c r="D2506" t="s">
        <v>61</v>
      </c>
      <c r="E2506" t="s">
        <v>17074</v>
      </c>
      <c r="F2506" s="2" t="n">
        <f>HYPERLINK("https://patents.google.com/patent/US20200069708","Google")</f>
        <v>0.0</v>
      </c>
      <c r="G2506" s="2" t="n">
        <f>HYPERLINK("https://patentcenter.uspto.gov/applications/16252124","Patent Center")</f>
        <v>0.0</v>
      </c>
      <c r="H2506" s="2" t="n">
        <f>HYPERLINK("https://worldwide.espacenet.com/patent/search?q=US20200069708","Espacenet")</f>
        <v>0.0</v>
      </c>
      <c r="I2506" s="2" t="n">
        <f>HYPERLINK("https://ppubs.uspto.gov/pubwebapp/external.html?q=20200069708.pn.","USPTO")</f>
        <v>0.0</v>
      </c>
      <c r="J2506" s="2" t="n">
        <f>HYPERLINK("https://image-ppubs.uspto.gov/dirsearch-public/print/downloadPdf/20200069708","USPTO PDF")</f>
        <v>0.0</v>
      </c>
      <c r="K2506" s="2" t="n">
        <f>HYPERLINK("https://sectors.patentforecast.com/pmd/US20200069708","PMD")</f>
        <v>0.0</v>
      </c>
      <c r="L2506" s="2" t="n">
        <f>HYPERLINK("https://globaldossier.uspto.gov/result/application/US/16252124/1","US20200069708")</f>
        <v>0.0</v>
      </c>
      <c r="M2506" t="s">
        <v>17075</v>
      </c>
      <c r="N2506" t="s">
        <v>664</v>
      </c>
      <c r="O2506" t="s">
        <v>665</v>
      </c>
      <c r="P2506" t="s">
        <v>17076</v>
      </c>
      <c r="Q2506" s="3" t="n">
        <v>43483.0</v>
      </c>
      <c r="R2506" s="3" t="n">
        <v>43895.0</v>
      </c>
      <c r="S2506" s="3" t="n">
        <v>43950.647371782405</v>
      </c>
      <c r="T2506" s="3" t="n">
        <v>44638.65271974537</v>
      </c>
      <c r="U2506" t="s">
        <v>17077</v>
      </c>
      <c r="V2506" t="s">
        <v>17078</v>
      </c>
    </row>
    <row r="2507">
      <c r="A2507" t="s">
        <v>22</v>
      </c>
      <c r="B2507" t="s">
        <v>17079</v>
      </c>
      <c r="C2507" t="s">
        <v>24</v>
      </c>
      <c r="D2507" t="s">
        <v>373</v>
      </c>
      <c r="E2507" t="s">
        <v>17080</v>
      </c>
      <c r="F2507" s="2" t="n">
        <f>HYPERLINK("https://patents.google.com/patent/US20200063197","Google")</f>
        <v>0.0</v>
      </c>
      <c r="G2507" s="2" t="n">
        <f>HYPERLINK("https://patentcenter.uspto.gov/applications/16611799","Patent Center")</f>
        <v>0.0</v>
      </c>
      <c r="H2507" s="2" t="n">
        <f>HYPERLINK("https://worldwide.espacenet.com/patent/search?q=US20200063197","Espacenet")</f>
        <v>0.0</v>
      </c>
      <c r="I2507" s="2" t="n">
        <f>HYPERLINK("https://ppubs.uspto.gov/pubwebapp/external.html?q=20200063197.pn.","USPTO")</f>
        <v>0.0</v>
      </c>
      <c r="J2507" s="2" t="n">
        <f>HYPERLINK("https://image-ppubs.uspto.gov/dirsearch-public/print/downloadPdf/20200063197","USPTO PDF")</f>
        <v>0.0</v>
      </c>
      <c r="K2507" s="2" t="n">
        <f>HYPERLINK("https://sectors.patentforecast.com/pmd/US20200063197","PMD")</f>
        <v>0.0</v>
      </c>
      <c r="L2507" s="2" t="n">
        <f>HYPERLINK("https://globaldossier.uspto.gov/result/application/US/16611799/1","US20200063197")</f>
        <v>0.0</v>
      </c>
      <c r="M2507" t="s">
        <v>17081</v>
      </c>
      <c r="N2507" t="s">
        <v>3605</v>
      </c>
      <c r="O2507" t="s">
        <v>3606</v>
      </c>
      <c r="P2507" t="s">
        <v>17082</v>
      </c>
      <c r="Q2507" s="3" t="n">
        <v>43235.0</v>
      </c>
      <c r="R2507" s="3" t="n">
        <v>43888.0</v>
      </c>
      <c r="S2507" s="3" t="n">
        <v>43908.458510358796</v>
      </c>
      <c r="T2507" s="3" t="n">
        <v>43984.680133981485</v>
      </c>
      <c r="U2507" t="s">
        <v>17083</v>
      </c>
      <c r="V2507" t="s">
        <v>17084</v>
      </c>
    </row>
    <row r="2508">
      <c r="A2508" t="s">
        <v>22</v>
      </c>
      <c r="B2508" t="s">
        <v>17085</v>
      </c>
      <c r="C2508" t="s">
        <v>132</v>
      </c>
      <c r="D2508" t="s">
        <v>133</v>
      </c>
      <c r="E2508" t="s">
        <v>14305</v>
      </c>
      <c r="F2508" s="2" t="n">
        <f>HYPERLINK("https://patents.google.com/patent/US20200061185","Google")</f>
        <v>0.0</v>
      </c>
      <c r="G2508" s="2" t="n">
        <f>HYPERLINK("https://patentcenter.uspto.gov/applications/16344774","Patent Center")</f>
        <v>0.0</v>
      </c>
      <c r="H2508" s="2" t="n">
        <f>HYPERLINK("https://worldwide.espacenet.com/patent/search?q=US20200061185","Espacenet")</f>
        <v>0.0</v>
      </c>
      <c r="I2508" s="2" t="n">
        <f>HYPERLINK("https://ppubs.uspto.gov/pubwebapp/external.html?q=20200061185.pn.","USPTO")</f>
        <v>0.0</v>
      </c>
      <c r="J2508" s="2" t="n">
        <f>HYPERLINK("https://image-ppubs.uspto.gov/dirsearch-public/print/downloadPdf/20200061185","USPTO PDF")</f>
        <v>0.0</v>
      </c>
      <c r="K2508" s="2" t="n">
        <f>HYPERLINK("https://sectors.patentforecast.com/pmd/US20200061185","PMD")</f>
        <v>0.0</v>
      </c>
      <c r="L2508" s="2" t="n">
        <f>HYPERLINK("https://globaldossier.uspto.gov/result/application/US/16344774/1","US20200061185")</f>
        <v>0.0</v>
      </c>
      <c r="M2508" t="s">
        <v>17086</v>
      </c>
      <c r="N2508" t="s">
        <v>7310</v>
      </c>
      <c r="O2508" t="s">
        <v>7311</v>
      </c>
      <c r="P2508" t="s">
        <v>17087</v>
      </c>
      <c r="Q2508" s="3" t="n">
        <v>43033.0</v>
      </c>
      <c r="R2508" s="3" t="n">
        <v>43888.0</v>
      </c>
      <c r="S2508" s="3" t="n">
        <v>43935.704047824074</v>
      </c>
      <c r="T2508" s="3" t="n">
        <v>43950.46150305556</v>
      </c>
      <c r="U2508" t="s">
        <v>17088</v>
      </c>
      <c r="V2508" t="s">
        <v>14309</v>
      </c>
    </row>
    <row r="2509">
      <c r="A2509" t="s">
        <v>22</v>
      </c>
      <c r="B2509" t="s">
        <v>17089</v>
      </c>
      <c r="C2509" t="s">
        <v>24</v>
      </c>
      <c r="D2509" t="s">
        <v>100</v>
      </c>
      <c r="E2509" t="s">
        <v>17090</v>
      </c>
      <c r="F2509" s="2" t="n">
        <f>HYPERLINK("https://patents.google.com/patent/US20200046865","Google")</f>
        <v>0.0</v>
      </c>
      <c r="G2509" s="2" t="n">
        <f>HYPERLINK("https://patentcenter.uspto.gov/applications/16548434","Patent Center")</f>
        <v>0.0</v>
      </c>
      <c r="H2509" s="2" t="n">
        <f>HYPERLINK("https://worldwide.espacenet.com/patent/search?q=US20200046865","Espacenet")</f>
        <v>0.0</v>
      </c>
      <c r="I2509" s="2" t="n">
        <f>HYPERLINK("https://ppubs.uspto.gov/pubwebapp/external.html?q=20200046865.pn.","USPTO")</f>
        <v>0.0</v>
      </c>
      <c r="J2509" s="2" t="n">
        <f>HYPERLINK("https://image-ppubs.uspto.gov/dirsearch-public/print/downloadPdf/20200046865","USPTO PDF")</f>
        <v>0.0</v>
      </c>
      <c r="K2509" s="2" t="n">
        <f>HYPERLINK("https://sectors.patentforecast.com/pmd/US20200046865","PMD")</f>
        <v>0.0</v>
      </c>
      <c r="L2509" s="2" t="n">
        <f>HYPERLINK("https://globaldossier.uspto.gov/result/application/US/16548434/1","US20200046865")</f>
        <v>0.0</v>
      </c>
      <c r="M2509" t="s">
        <v>17091</v>
      </c>
      <c r="N2509" t="s">
        <v>15557</v>
      </c>
      <c r="O2509" t="s">
        <v>15558</v>
      </c>
      <c r="P2509" t="s">
        <v>17092</v>
      </c>
      <c r="Q2509" s="3" t="n">
        <v>43699.0</v>
      </c>
      <c r="R2509" s="3" t="n">
        <v>43874.0</v>
      </c>
      <c r="S2509" s="3" t="n">
        <v>43999.59019282407</v>
      </c>
      <c r="T2509" s="3" t="n">
        <v>43999.69838207176</v>
      </c>
      <c r="U2509" t="s">
        <v>17093</v>
      </c>
      <c r="V2509" t="s">
        <v>15561</v>
      </c>
    </row>
    <row r="2510">
      <c r="A2510" t="s">
        <v>22</v>
      </c>
      <c r="B2510" t="s">
        <v>17094</v>
      </c>
      <c r="C2510" t="s">
        <v>132</v>
      </c>
      <c r="D2510" t="s">
        <v>1265</v>
      </c>
      <c r="E2510" t="s">
        <v>17095</v>
      </c>
      <c r="F2510" s="2" t="n">
        <f>HYPERLINK("https://patents.google.com/patent/US20200046826","Google")</f>
        <v>0.0</v>
      </c>
      <c r="G2510" s="2" t="n">
        <f>HYPERLINK("https://patentcenter.uspto.gov/applications/16431099","Patent Center")</f>
        <v>0.0</v>
      </c>
      <c r="H2510" s="2" t="n">
        <f>HYPERLINK("https://worldwide.espacenet.com/patent/search?q=US20200046826","Espacenet")</f>
        <v>0.0</v>
      </c>
      <c r="I2510" s="2" t="n">
        <f>HYPERLINK("https://ppubs.uspto.gov/pubwebapp/external.html?q=20200046826.pn.","USPTO")</f>
        <v>0.0</v>
      </c>
      <c r="J2510" s="2" t="n">
        <f>HYPERLINK("https://image-ppubs.uspto.gov/dirsearch-public/print/downloadPdf/20200046826","USPTO PDF")</f>
        <v>0.0</v>
      </c>
      <c r="K2510" s="2" t="n">
        <f>HYPERLINK("https://sectors.patentforecast.com/pmd/US20200046826","PMD")</f>
        <v>0.0</v>
      </c>
      <c r="L2510" s="2" t="n">
        <f>HYPERLINK("https://globaldossier.uspto.gov/result/application/US/16431099/1","US20200046826")</f>
        <v>0.0</v>
      </c>
      <c r="M2510" t="s">
        <v>17096</v>
      </c>
      <c r="N2510" t="s">
        <v>17097</v>
      </c>
      <c r="O2510" t="s">
        <v>17097</v>
      </c>
      <c r="P2510" t="s">
        <v>17098</v>
      </c>
      <c r="Q2510" s="3" t="n">
        <v>43620.0</v>
      </c>
      <c r="R2510" s="3" t="n">
        <v>43874.0</v>
      </c>
      <c r="S2510" s="3" t="n">
        <v>43936.4616650463</v>
      </c>
      <c r="T2510" s="3" t="n">
        <v>44543.67582287037</v>
      </c>
      <c r="U2510" t="s">
        <v>17099</v>
      </c>
      <c r="V2510" t="s">
        <v>17100</v>
      </c>
    </row>
    <row r="2511">
      <c r="A2511" t="s">
        <v>22</v>
      </c>
      <c r="B2511" t="s">
        <v>17101</v>
      </c>
      <c r="C2511" t="s">
        <v>60</v>
      </c>
      <c r="D2511" t="s">
        <v>696</v>
      </c>
      <c r="E2511" t="s">
        <v>16925</v>
      </c>
      <c r="F2511" s="2" t="n">
        <f>HYPERLINK("https://patents.google.com/patent/US20200040074","Google")</f>
        <v>0.0</v>
      </c>
      <c r="G2511" s="2" t="n">
        <f>HYPERLINK("https://patentcenter.uspto.gov/applications/16356468","Patent Center")</f>
        <v>0.0</v>
      </c>
      <c r="H2511" s="2" t="n">
        <f>HYPERLINK("https://worldwide.espacenet.com/patent/search?q=US20200040074","Espacenet")</f>
        <v>0.0</v>
      </c>
      <c r="I2511" s="2" t="n">
        <f>HYPERLINK("https://ppubs.uspto.gov/pubwebapp/external.html?q=20200040074.pn.","USPTO")</f>
        <v>0.0</v>
      </c>
      <c r="J2511" s="2" t="n">
        <f>HYPERLINK("https://image-ppubs.uspto.gov/dirsearch-public/print/downloadPdf/20200040074","USPTO PDF")</f>
        <v>0.0</v>
      </c>
      <c r="K2511" s="2" t="n">
        <f>HYPERLINK("https://sectors.patentforecast.com/pmd/US20200040074","PMD")</f>
        <v>0.0</v>
      </c>
      <c r="L2511" s="2" t="n">
        <f>HYPERLINK("https://globaldossier.uspto.gov/result/application/US/16356468/1","US20200040074")</f>
        <v>0.0</v>
      </c>
      <c r="M2511" t="s">
        <v>17102</v>
      </c>
      <c r="N2511" t="s">
        <v>16927</v>
      </c>
      <c r="O2511" t="s">
        <v>16928</v>
      </c>
      <c r="P2511" t="s">
        <v>17103</v>
      </c>
      <c r="Q2511" s="3" t="n">
        <v>43542.0</v>
      </c>
      <c r="R2511" s="3" t="n">
        <v>43867.0</v>
      </c>
      <c r="S2511" s="3" t="n">
        <v>43966.47961465278</v>
      </c>
      <c r="T2511" s="3" t="n">
        <v>44643.44490069444</v>
      </c>
      <c r="U2511" t="s">
        <v>17104</v>
      </c>
      <c r="V2511" t="s">
        <v>16993</v>
      </c>
    </row>
    <row r="2512">
      <c r="A2512" t="s">
        <v>22</v>
      </c>
      <c r="B2512" t="s">
        <v>17105</v>
      </c>
      <c r="C2512" t="s">
        <v>132</v>
      </c>
      <c r="D2512" t="s">
        <v>142</v>
      </c>
      <c r="E2512" t="s">
        <v>1661</v>
      </c>
      <c r="F2512" s="2" t="n">
        <f>HYPERLINK("https://patents.google.com/patent/US20200040042","Google")</f>
        <v>0.0</v>
      </c>
      <c r="G2512" s="2" t="n">
        <f>HYPERLINK("https://patentcenter.uspto.gov/applications/16498865","Patent Center")</f>
        <v>0.0</v>
      </c>
      <c r="H2512" s="2" t="n">
        <f>HYPERLINK("https://worldwide.espacenet.com/patent/search?q=US20200040042","Espacenet")</f>
        <v>0.0</v>
      </c>
      <c r="I2512" s="2" t="n">
        <f>HYPERLINK("https://ppubs.uspto.gov/pubwebapp/external.html?q=20200040042.pn.","USPTO")</f>
        <v>0.0</v>
      </c>
      <c r="J2512" s="2" t="n">
        <f>HYPERLINK("https://image-ppubs.uspto.gov/dirsearch-public/print/downloadPdf/20200040042","USPTO PDF")</f>
        <v>0.0</v>
      </c>
      <c r="K2512" s="2" t="n">
        <f>HYPERLINK("https://sectors.patentforecast.com/pmd/US20200040042","PMD")</f>
        <v>0.0</v>
      </c>
      <c r="L2512" s="2" t="n">
        <f>HYPERLINK("https://globaldossier.uspto.gov/result/application/US/16498865/1","US20200040042")</f>
        <v>0.0</v>
      </c>
      <c r="M2512" t="s">
        <v>17106</v>
      </c>
      <c r="N2512" t="s">
        <v>1663</v>
      </c>
      <c r="O2512" t="s">
        <v>1664</v>
      </c>
      <c r="P2512" t="s">
        <v>1665</v>
      </c>
      <c r="Q2512" s="3" t="n">
        <v>43188.0</v>
      </c>
      <c r="R2512" s="3" t="n">
        <v>43867.0</v>
      </c>
      <c r="S2512" s="3" t="n">
        <v>43935.704047824074</v>
      </c>
      <c r="T2512" s="3" t="n">
        <v>44672.3118962963</v>
      </c>
      <c r="U2512" t="s">
        <v>17107</v>
      </c>
      <c r="V2512" t="s">
        <v>1667</v>
      </c>
    </row>
    <row r="2513">
      <c r="A2513" t="s">
        <v>22</v>
      </c>
      <c r="B2513" t="s">
        <v>17108</v>
      </c>
      <c r="C2513" t="s">
        <v>132</v>
      </c>
      <c r="D2513" t="s">
        <v>133</v>
      </c>
      <c r="E2513" t="s">
        <v>17109</v>
      </c>
      <c r="F2513" s="2" t="n">
        <f>HYPERLINK("https://patents.google.com/patent/US20200038504","Google")</f>
        <v>0.0</v>
      </c>
      <c r="G2513" s="2" t="n">
        <f>HYPERLINK("https://patentcenter.uspto.gov/applications/16481010","Patent Center")</f>
        <v>0.0</v>
      </c>
      <c r="H2513" s="2" t="n">
        <f>HYPERLINK("https://worldwide.espacenet.com/patent/search?q=US20200038504","Espacenet")</f>
        <v>0.0</v>
      </c>
      <c r="I2513" s="2" t="n">
        <f>HYPERLINK("https://ppubs.uspto.gov/pubwebapp/external.html?q=20200038504.pn.","USPTO")</f>
        <v>0.0</v>
      </c>
      <c r="J2513" s="2" t="n">
        <f>HYPERLINK("https://image-ppubs.uspto.gov/dirsearch-public/print/downloadPdf/20200038504","USPTO PDF")</f>
        <v>0.0</v>
      </c>
      <c r="K2513" s="2" t="n">
        <f>HYPERLINK("https://sectors.patentforecast.com/pmd/US20200038504","PMD")</f>
        <v>0.0</v>
      </c>
      <c r="L2513" s="2" t="n">
        <f>HYPERLINK("https://globaldossier.uspto.gov/result/application/US/16481010/1","US20200038504")</f>
        <v>0.0</v>
      </c>
      <c r="M2513" t="s">
        <v>17110</v>
      </c>
      <c r="N2513" t="s">
        <v>16179</v>
      </c>
      <c r="O2513" t="s">
        <v>16180</v>
      </c>
      <c r="P2513" t="s">
        <v>17111</v>
      </c>
      <c r="Q2513" s="3" t="n">
        <v>43126.0</v>
      </c>
      <c r="R2513" s="3" t="n">
        <v>43867.0</v>
      </c>
      <c r="S2513" s="3" t="n">
        <v>43900.43726237269</v>
      </c>
      <c r="T2513" s="3" t="n">
        <v>43901.721565162035</v>
      </c>
      <c r="U2513" t="s">
        <v>17112</v>
      </c>
      <c r="V2513" t="s">
        <v>17113</v>
      </c>
    </row>
    <row r="2514">
      <c r="A2514" t="s">
        <v>22</v>
      </c>
      <c r="B2514" t="s">
        <v>17114</v>
      </c>
      <c r="C2514" t="s">
        <v>60</v>
      </c>
      <c r="D2514" t="s">
        <v>61</v>
      </c>
      <c r="E2514" t="s">
        <v>17115</v>
      </c>
      <c r="F2514" s="2" t="n">
        <f>HYPERLINK("https://patents.google.com/patent/US20200038389","Google")</f>
        <v>0.0</v>
      </c>
      <c r="G2514" s="2" t="n">
        <f>HYPERLINK("https://patentcenter.uspto.gov/applications/16512166","Patent Center")</f>
        <v>0.0</v>
      </c>
      <c r="H2514" s="2" t="n">
        <f>HYPERLINK("https://worldwide.espacenet.com/patent/search?q=US20200038389","Espacenet")</f>
        <v>0.0</v>
      </c>
      <c r="I2514" s="2" t="n">
        <f>HYPERLINK("https://ppubs.uspto.gov/pubwebapp/external.html?q=20200038389.pn.","USPTO")</f>
        <v>0.0</v>
      </c>
      <c r="J2514" s="2" t="n">
        <f>HYPERLINK("https://image-ppubs.uspto.gov/dirsearch-public/print/downloadPdf/20200038389","USPTO PDF")</f>
        <v>0.0</v>
      </c>
      <c r="K2514" s="2" t="n">
        <f>HYPERLINK("https://sectors.patentforecast.com/pmd/US20200038389","PMD")</f>
        <v>0.0</v>
      </c>
      <c r="L2514" s="2" t="n">
        <f>HYPERLINK("https://globaldossier.uspto.gov/result/application/US/16512166/1","US20200038389")</f>
        <v>0.0</v>
      </c>
      <c r="M2514" t="s">
        <v>17116</v>
      </c>
      <c r="N2514" t="s">
        <v>664</v>
      </c>
      <c r="O2514" t="s">
        <v>665</v>
      </c>
      <c r="P2514" t="s">
        <v>17117</v>
      </c>
      <c r="Q2514" s="3" t="n">
        <v>43661.0</v>
      </c>
      <c r="R2514" s="3" t="n">
        <v>43867.0</v>
      </c>
      <c r="S2514" s="3" t="n">
        <v>43952.45945721065</v>
      </c>
      <c r="T2514" s="3" t="n">
        <v>44638.662781747684</v>
      </c>
      <c r="U2514" t="s">
        <v>17118</v>
      </c>
      <c r="V2514" t="s">
        <v>17119</v>
      </c>
    </row>
    <row r="2515">
      <c r="A2515" t="s">
        <v>22</v>
      </c>
      <c r="B2515" t="s">
        <v>17120</v>
      </c>
      <c r="C2515" t="s">
        <v>60</v>
      </c>
      <c r="D2515" t="s">
        <v>61</v>
      </c>
      <c r="E2515" t="s">
        <v>17001</v>
      </c>
      <c r="F2515" s="2" t="n">
        <f>HYPERLINK("https://patents.google.com/patent/US20200038373","Google")</f>
        <v>0.0</v>
      </c>
      <c r="G2515" s="2" t="n">
        <f>HYPERLINK("https://patentcenter.uspto.gov/applications/16414479","Patent Center")</f>
        <v>0.0</v>
      </c>
      <c r="H2515" s="2" t="n">
        <f>HYPERLINK("https://worldwide.espacenet.com/patent/search?q=US20200038373","Espacenet")</f>
        <v>0.0</v>
      </c>
      <c r="I2515" s="2" t="n">
        <f>HYPERLINK("https://ppubs.uspto.gov/pubwebapp/external.html?q=20200038373.pn.","USPTO")</f>
        <v>0.0</v>
      </c>
      <c r="J2515" s="2" t="n">
        <f>HYPERLINK("https://image-ppubs.uspto.gov/dirsearch-public/print/downloadPdf/20200038373","USPTO PDF")</f>
        <v>0.0</v>
      </c>
      <c r="K2515" s="2" t="n">
        <f>HYPERLINK("https://sectors.patentforecast.com/pmd/US20200038373","PMD")</f>
        <v>0.0</v>
      </c>
      <c r="L2515" s="2" t="n">
        <f>HYPERLINK("https://globaldossier.uspto.gov/result/application/US/16414479/1","US20200038373")</f>
        <v>0.0</v>
      </c>
      <c r="M2515" t="s">
        <v>17121</v>
      </c>
      <c r="N2515" t="s">
        <v>17122</v>
      </c>
      <c r="O2515" t="s">
        <v>17123</v>
      </c>
      <c r="P2515" t="s">
        <v>17124</v>
      </c>
      <c r="Q2515" s="3" t="n">
        <v>43601.0</v>
      </c>
      <c r="R2515" s="3" t="n">
        <v>43867.0</v>
      </c>
      <c r="S2515" s="3" t="n">
        <v>43936.4616650463</v>
      </c>
      <c r="T2515" s="3" t="n">
        <v>44543.67864025463</v>
      </c>
      <c r="U2515" t="s">
        <v>17125</v>
      </c>
      <c r="V2515" t="s">
        <v>17126</v>
      </c>
    </row>
    <row r="2516">
      <c r="A2516" t="s">
        <v>22</v>
      </c>
      <c r="B2516" t="s">
        <v>17127</v>
      </c>
      <c r="C2516" t="s">
        <v>60</v>
      </c>
      <c r="D2516" t="s">
        <v>696</v>
      </c>
      <c r="E2516" t="s">
        <v>16957</v>
      </c>
      <c r="F2516" s="2" t="n">
        <f>HYPERLINK("https://patents.google.com/patent/US20200031923","Google")</f>
        <v>0.0</v>
      </c>
      <c r="G2516" s="2" t="n">
        <f>HYPERLINK("https://patentcenter.uspto.gov/applications/16297866","Patent Center")</f>
        <v>0.0</v>
      </c>
      <c r="H2516" s="2" t="n">
        <f>HYPERLINK("https://worldwide.espacenet.com/patent/search?q=US20200031923","Espacenet")</f>
        <v>0.0</v>
      </c>
      <c r="I2516" s="2" t="n">
        <f>HYPERLINK("https://ppubs.uspto.gov/pubwebapp/external.html?q=20200031923.pn.","USPTO")</f>
        <v>0.0</v>
      </c>
      <c r="J2516" s="2" t="n">
        <f>HYPERLINK("https://image-ppubs.uspto.gov/dirsearch-public/print/downloadPdf/20200031923","USPTO PDF")</f>
        <v>0.0</v>
      </c>
      <c r="K2516" s="2" t="n">
        <f>HYPERLINK("https://sectors.patentforecast.com/pmd/US20200031923","PMD")</f>
        <v>0.0</v>
      </c>
      <c r="L2516" s="2" t="n">
        <f>HYPERLINK("https://globaldossier.uspto.gov/result/application/US/16297866/1","US20200031923")</f>
        <v>0.0</v>
      </c>
      <c r="M2516" t="s">
        <v>17128</v>
      </c>
      <c r="N2516" t="s">
        <v>16927</v>
      </c>
      <c r="O2516" t="s">
        <v>16928</v>
      </c>
      <c r="P2516" t="s">
        <v>16959</v>
      </c>
      <c r="Q2516" s="3" t="n">
        <v>43535.0</v>
      </c>
      <c r="R2516" s="3" t="n">
        <v>43860.0</v>
      </c>
      <c r="S2516" s="3" t="n">
        <v>43966.47961465278</v>
      </c>
      <c r="T2516" s="3" t="n">
        <v>44643.44490069444</v>
      </c>
      <c r="U2516" t="s">
        <v>17129</v>
      </c>
      <c r="V2516" t="s">
        <v>17130</v>
      </c>
    </row>
    <row r="2517">
      <c r="A2517" t="s">
        <v>22</v>
      </c>
      <c r="B2517" t="s">
        <v>17131</v>
      </c>
      <c r="C2517" t="s">
        <v>132</v>
      </c>
      <c r="D2517" t="s">
        <v>2629</v>
      </c>
      <c r="E2517" t="s">
        <v>17132</v>
      </c>
      <c r="F2517" s="2" t="n">
        <f>HYPERLINK("https://patents.google.com/patent/US20200030436","Google")</f>
        <v>0.0</v>
      </c>
      <c r="G2517" s="2" t="n">
        <f>HYPERLINK("https://patentcenter.uspto.gov/applications/16599568","Patent Center")</f>
        <v>0.0</v>
      </c>
      <c r="H2517" s="2" t="n">
        <f>HYPERLINK("https://worldwide.espacenet.com/patent/search?q=US20200030436","Espacenet")</f>
        <v>0.0</v>
      </c>
      <c r="I2517" s="2" t="n">
        <f>HYPERLINK("https://ppubs.uspto.gov/pubwebapp/external.html?q=20200030436.pn.","USPTO")</f>
        <v>0.0</v>
      </c>
      <c r="J2517" s="2" t="n">
        <f>HYPERLINK("https://image-ppubs.uspto.gov/dirsearch-public/print/downloadPdf/20200030436","USPTO PDF")</f>
        <v>0.0</v>
      </c>
      <c r="K2517" s="2" t="n">
        <f>HYPERLINK("https://sectors.patentforecast.com/pmd/US20200030436","PMD")</f>
        <v>0.0</v>
      </c>
      <c r="L2517" s="2" t="n">
        <f>HYPERLINK("https://globaldossier.uspto.gov/result/application/US/16599568/1","US20200030436")</f>
        <v>0.0</v>
      </c>
      <c r="M2517" t="s">
        <v>17133</v>
      </c>
      <c r="N2517" t="s">
        <v>1275</v>
      </c>
      <c r="O2517" t="s">
        <v>1275</v>
      </c>
      <c r="P2517" t="s">
        <v>17134</v>
      </c>
      <c r="Q2517" s="3" t="n">
        <v>43749.0</v>
      </c>
      <c r="R2517" s="3" t="n">
        <v>43860.0</v>
      </c>
      <c r="S2517" s="3" t="n">
        <v>43966.47961465278</v>
      </c>
      <c r="T2517" s="3" t="n">
        <v>44020.62389086805</v>
      </c>
      <c r="U2517" t="s">
        <v>17135</v>
      </c>
      <c r="V2517" t="s">
        <v>17136</v>
      </c>
    </row>
    <row r="2518">
      <c r="A2518" t="s">
        <v>22</v>
      </c>
      <c r="B2518" t="s">
        <v>17137</v>
      </c>
      <c r="C2518" t="s">
        <v>132</v>
      </c>
      <c r="D2518" t="s">
        <v>133</v>
      </c>
      <c r="E2518" t="s">
        <v>2257</v>
      </c>
      <c r="F2518" s="2" t="n">
        <f>HYPERLINK("https://patents.google.com/patent/US20200030432","Google")</f>
        <v>0.0</v>
      </c>
      <c r="G2518" s="2" t="n">
        <f>HYPERLINK("https://patentcenter.uspto.gov/applications/16494988","Patent Center")</f>
        <v>0.0</v>
      </c>
      <c r="H2518" s="2" t="n">
        <f>HYPERLINK("https://worldwide.espacenet.com/patent/search?q=US20200030432","Espacenet")</f>
        <v>0.0</v>
      </c>
      <c r="I2518" s="2" t="n">
        <f>HYPERLINK("https://ppubs.uspto.gov/pubwebapp/external.html?q=20200030432.pn.","USPTO")</f>
        <v>0.0</v>
      </c>
      <c r="J2518" s="2" t="n">
        <f>HYPERLINK("https://image-ppubs.uspto.gov/dirsearch-public/print/downloadPdf/20200030432","USPTO PDF")</f>
        <v>0.0</v>
      </c>
      <c r="K2518" s="2" t="n">
        <f>HYPERLINK("https://sectors.patentforecast.com/pmd/US20200030432","PMD")</f>
        <v>0.0</v>
      </c>
      <c r="L2518" s="2" t="n">
        <f>HYPERLINK("https://globaldossier.uspto.gov/result/application/US/16494988/1","US20200030432")</f>
        <v>0.0</v>
      </c>
      <c r="M2518" t="s">
        <v>17138</v>
      </c>
      <c r="N2518" t="s">
        <v>145</v>
      </c>
      <c r="O2518" t="s">
        <v>146</v>
      </c>
      <c r="P2518" t="s">
        <v>2259</v>
      </c>
      <c r="Q2518" s="3" t="n">
        <v>43175.0</v>
      </c>
      <c r="R2518" s="3" t="n">
        <v>43860.0</v>
      </c>
      <c r="S2518" s="3" t="n">
        <v>43935.704047824074</v>
      </c>
      <c r="T2518" s="3" t="n">
        <v>43950.49902238426</v>
      </c>
      <c r="U2518" t="s">
        <v>17139</v>
      </c>
      <c r="V2518" t="s">
        <v>2260</v>
      </c>
    </row>
    <row r="2519">
      <c r="A2519" t="s">
        <v>22</v>
      </c>
      <c r="B2519" t="s">
        <v>17140</v>
      </c>
      <c r="C2519" t="s">
        <v>60</v>
      </c>
      <c r="D2519" t="s">
        <v>61</v>
      </c>
      <c r="E2519" t="s">
        <v>17141</v>
      </c>
      <c r="F2519" s="2" t="n">
        <f>HYPERLINK("https://patents.google.com/patent/US20200030426","Google")</f>
        <v>0.0</v>
      </c>
      <c r="G2519" s="2" t="n">
        <f>HYPERLINK("https://patentcenter.uspto.gov/applications/16337637","Patent Center")</f>
        <v>0.0</v>
      </c>
      <c r="H2519" s="2" t="n">
        <f>HYPERLINK("https://worldwide.espacenet.com/patent/search?q=US20200030426","Espacenet")</f>
        <v>0.0</v>
      </c>
      <c r="I2519" s="2" t="n">
        <f>HYPERLINK("https://ppubs.uspto.gov/pubwebapp/external.html?q=20200030426.pn.","USPTO")</f>
        <v>0.0</v>
      </c>
      <c r="J2519" s="2" t="n">
        <f>HYPERLINK("https://image-ppubs.uspto.gov/dirsearch-public/print/downloadPdf/20200030426","USPTO PDF")</f>
        <v>0.0</v>
      </c>
      <c r="K2519" s="2" t="n">
        <f>HYPERLINK("https://sectors.patentforecast.com/pmd/US20200030426","PMD")</f>
        <v>0.0</v>
      </c>
      <c r="L2519" s="2" t="n">
        <f>HYPERLINK("https://globaldossier.uspto.gov/result/application/US/16337637/1","US20200030426")</f>
        <v>0.0</v>
      </c>
      <c r="M2519" t="s">
        <v>17142</v>
      </c>
      <c r="N2519" t="s">
        <v>7854</v>
      </c>
      <c r="O2519" t="s">
        <v>7855</v>
      </c>
      <c r="P2519" t="s">
        <v>17143</v>
      </c>
      <c r="Q2519" s="3" t="n">
        <v>43007.0</v>
      </c>
      <c r="R2519" s="3" t="n">
        <v>43860.0</v>
      </c>
      <c r="S2519" s="3" t="n">
        <v>43936.46037263889</v>
      </c>
      <c r="T2519" s="3" t="n">
        <v>44543.68315672454</v>
      </c>
      <c r="U2519" t="s">
        <v>17144</v>
      </c>
      <c r="V2519" t="s">
        <v>17145</v>
      </c>
    </row>
    <row r="2520">
      <c r="A2520" t="s">
        <v>22</v>
      </c>
      <c r="B2520" t="s">
        <v>17146</v>
      </c>
      <c r="C2520" t="s">
        <v>60</v>
      </c>
      <c r="D2520" t="s">
        <v>61</v>
      </c>
      <c r="E2520" t="s">
        <v>17147</v>
      </c>
      <c r="F2520" s="2" t="n">
        <f>HYPERLINK("https://patents.google.com/patent/US20200030425","Google")</f>
        <v>0.0</v>
      </c>
      <c r="G2520" s="2" t="n">
        <f>HYPERLINK("https://patentcenter.uspto.gov/applications/16601231","Patent Center")</f>
        <v>0.0</v>
      </c>
      <c r="H2520" s="2" t="n">
        <f>HYPERLINK("https://worldwide.espacenet.com/patent/search?q=US20200030425","Espacenet")</f>
        <v>0.0</v>
      </c>
      <c r="I2520" s="2" t="n">
        <f>HYPERLINK("https://ppubs.uspto.gov/pubwebapp/external.html?q=20200030425.pn.","USPTO")</f>
        <v>0.0</v>
      </c>
      <c r="J2520" s="2" t="n">
        <f>HYPERLINK("https://image-ppubs.uspto.gov/dirsearch-public/print/downloadPdf/20200030425","USPTO PDF")</f>
        <v>0.0</v>
      </c>
      <c r="K2520" s="2" t="n">
        <f>HYPERLINK("https://sectors.patentforecast.com/pmd/US20200030425","PMD")</f>
        <v>0.0</v>
      </c>
      <c r="L2520" s="2" t="n">
        <f>HYPERLINK("https://globaldossier.uspto.gov/result/application/US/16601231/1","US20200030425")</f>
        <v>0.0</v>
      </c>
      <c r="M2520" t="s">
        <v>17148</v>
      </c>
      <c r="N2520" t="s">
        <v>17149</v>
      </c>
      <c r="O2520" t="s">
        <v>17149</v>
      </c>
      <c r="P2520" t="s">
        <v>17150</v>
      </c>
      <c r="Q2520" s="3" t="n">
        <v>43752.0</v>
      </c>
      <c r="R2520" s="3" t="n">
        <v>43860.0</v>
      </c>
      <c r="S2520" s="3" t="n">
        <v>43936.4616650463</v>
      </c>
      <c r="T2520" s="3" t="n">
        <v>43950.53527021991</v>
      </c>
      <c r="U2520" t="s">
        <v>17151</v>
      </c>
      <c r="V2520" t="s">
        <v>17152</v>
      </c>
    </row>
    <row r="2521">
      <c r="A2521" t="s">
        <v>22</v>
      </c>
      <c r="B2521" t="s">
        <v>17153</v>
      </c>
      <c r="C2521" t="s">
        <v>132</v>
      </c>
      <c r="D2521" t="s">
        <v>142</v>
      </c>
      <c r="E2521" t="s">
        <v>17154</v>
      </c>
      <c r="F2521" s="2" t="n">
        <f>HYPERLINK("https://patents.google.com/patent/US20200030422","Google")</f>
        <v>0.0</v>
      </c>
      <c r="G2521" s="2" t="n">
        <f>HYPERLINK("https://patentcenter.uspto.gov/applications/16384904","Patent Center")</f>
        <v>0.0</v>
      </c>
      <c r="H2521" s="2" t="n">
        <f>HYPERLINK("https://worldwide.espacenet.com/patent/search?q=US20200030422","Espacenet")</f>
        <v>0.0</v>
      </c>
      <c r="I2521" s="2" t="n">
        <f>HYPERLINK("https://ppubs.uspto.gov/pubwebapp/external.html?q=20200030422.pn.","USPTO")</f>
        <v>0.0</v>
      </c>
      <c r="J2521" s="2" t="n">
        <f>HYPERLINK("https://image-ppubs.uspto.gov/dirsearch-public/print/downloadPdf/20200030422","USPTO PDF")</f>
        <v>0.0</v>
      </c>
      <c r="K2521" s="2" t="n">
        <f>HYPERLINK("https://sectors.patentforecast.com/pmd/US20200030422","PMD")</f>
        <v>0.0</v>
      </c>
      <c r="L2521" s="2" t="n">
        <f>HYPERLINK("https://globaldossier.uspto.gov/result/application/US/16384904/1","US20200030422")</f>
        <v>0.0</v>
      </c>
      <c r="M2521" t="s">
        <v>17155</v>
      </c>
      <c r="N2521" t="s">
        <v>136</v>
      </c>
      <c r="O2521" t="s">
        <v>137</v>
      </c>
      <c r="P2521" t="s">
        <v>17156</v>
      </c>
      <c r="Q2521" s="3" t="n">
        <v>43570.0</v>
      </c>
      <c r="R2521" s="3" t="n">
        <v>43860.0</v>
      </c>
      <c r="S2521" s="3" t="n">
        <v>43936.4616650463</v>
      </c>
      <c r="T2521" s="3" t="n">
        <v>43950.456753530096</v>
      </c>
      <c r="U2521" t="s">
        <v>17157</v>
      </c>
      <c r="V2521" t="s">
        <v>17158</v>
      </c>
    </row>
    <row r="2522">
      <c r="A2522" t="s">
        <v>22</v>
      </c>
      <c r="B2522" t="s">
        <v>17159</v>
      </c>
      <c r="C2522" t="s">
        <v>60</v>
      </c>
      <c r="D2522" t="s">
        <v>61</v>
      </c>
      <c r="E2522" t="s">
        <v>17160</v>
      </c>
      <c r="F2522" s="2" t="n">
        <f>HYPERLINK("https://patents.google.com/patent/US20200030327","Google")</f>
        <v>0.0</v>
      </c>
      <c r="G2522" s="2" t="n">
        <f>HYPERLINK("https://patentcenter.uspto.gov/applications/16525203","Patent Center")</f>
        <v>0.0</v>
      </c>
      <c r="H2522" s="2" t="n">
        <f>HYPERLINK("https://worldwide.espacenet.com/patent/search?q=US20200030327","Espacenet")</f>
        <v>0.0</v>
      </c>
      <c r="I2522" s="2" t="n">
        <f>HYPERLINK("https://ppubs.uspto.gov/pubwebapp/external.html?q=20200030327.pn.","USPTO")</f>
        <v>0.0</v>
      </c>
      <c r="J2522" s="2" t="n">
        <f>HYPERLINK("https://image-ppubs.uspto.gov/dirsearch-public/print/downloadPdf/20200030327","USPTO PDF")</f>
        <v>0.0</v>
      </c>
      <c r="K2522" s="2" t="n">
        <f>HYPERLINK("https://sectors.patentforecast.com/pmd/US20200030327","PMD")</f>
        <v>0.0</v>
      </c>
      <c r="L2522" s="2" t="n">
        <f>HYPERLINK("https://globaldossier.uspto.gov/result/application/US/16525203/1","US20200030327")</f>
        <v>0.0</v>
      </c>
      <c r="M2522" t="s">
        <v>17161</v>
      </c>
      <c r="N2522" t="s">
        <v>664</v>
      </c>
      <c r="O2522" t="s">
        <v>665</v>
      </c>
      <c r="P2522" t="s">
        <v>17162</v>
      </c>
      <c r="Q2522" s="3" t="n">
        <v>43675.0</v>
      </c>
      <c r="R2522" s="3" t="n">
        <v>43860.0</v>
      </c>
      <c r="S2522" s="3" t="n">
        <v>43952.45945721065</v>
      </c>
      <c r="T2522" s="3" t="n">
        <v>44638.65699523148</v>
      </c>
      <c r="U2522" t="s">
        <v>17163</v>
      </c>
      <c r="V2522" t="s">
        <v>17164</v>
      </c>
    </row>
    <row r="2523">
      <c r="A2523" t="s">
        <v>22</v>
      </c>
      <c r="B2523" t="s">
        <v>17165</v>
      </c>
      <c r="C2523" t="s">
        <v>24</v>
      </c>
      <c r="D2523" t="s">
        <v>34</v>
      </c>
      <c r="E2523" t="s">
        <v>17166</v>
      </c>
      <c r="F2523" s="2" t="n">
        <f>HYPERLINK("https://patents.google.com/patent/US20200027558","Google")</f>
        <v>0.0</v>
      </c>
      <c r="G2523" s="2" t="n">
        <f>HYPERLINK("https://patentcenter.uspto.gov/applications/16336269","Patent Center")</f>
        <v>0.0</v>
      </c>
      <c r="H2523" s="2" t="n">
        <f>HYPERLINK("https://worldwide.espacenet.com/patent/search?q=US20200027558","Espacenet")</f>
        <v>0.0</v>
      </c>
      <c r="I2523" s="2" t="n">
        <f>HYPERLINK("https://ppubs.uspto.gov/pubwebapp/external.html?q=20200027558.pn.","USPTO")</f>
        <v>0.0</v>
      </c>
      <c r="J2523" s="2" t="n">
        <f>HYPERLINK("https://image-ppubs.uspto.gov/dirsearch-public/print/downloadPdf/20200027558","USPTO PDF")</f>
        <v>0.0</v>
      </c>
      <c r="K2523" s="2" t="n">
        <f>HYPERLINK("https://sectors.patentforecast.com/pmd/US20200027558","PMD")</f>
        <v>0.0</v>
      </c>
      <c r="L2523" s="2" t="n">
        <f>HYPERLINK("https://globaldossier.uspto.gov/result/application/US/16336269/1","US20200027558")</f>
        <v>0.0</v>
      </c>
      <c r="M2523" t="s">
        <v>17167</v>
      </c>
      <c r="N2523" t="s">
        <v>17168</v>
      </c>
      <c r="O2523" t="s">
        <v>17169</v>
      </c>
      <c r="P2523" t="s">
        <v>17170</v>
      </c>
      <c r="Q2523" s="3" t="n">
        <v>43004.0</v>
      </c>
      <c r="R2523" s="3" t="n">
        <v>43853.0</v>
      </c>
      <c r="S2523" s="3" t="n">
        <v>43977.50186493056</v>
      </c>
      <c r="T2523" s="3" t="n">
        <v>44638.63714871528</v>
      </c>
      <c r="U2523" t="s">
        <v>17171</v>
      </c>
      <c r="V2523" t="s">
        <v>17172</v>
      </c>
    </row>
    <row r="2524">
      <c r="A2524" t="s">
        <v>22</v>
      </c>
      <c r="B2524" t="s">
        <v>17173</v>
      </c>
      <c r="C2524" t="s">
        <v>132</v>
      </c>
      <c r="D2524" t="s">
        <v>142</v>
      </c>
      <c r="E2524" t="s">
        <v>17174</v>
      </c>
      <c r="F2524" s="2" t="n">
        <f>HYPERLINK("https://patents.google.com/patent/US20200023076","Google")</f>
        <v>0.0</v>
      </c>
      <c r="G2524" s="2" t="n">
        <f>HYPERLINK("https://patentcenter.uspto.gov/applications/16097084","Patent Center")</f>
        <v>0.0</v>
      </c>
      <c r="H2524" s="2" t="n">
        <f>HYPERLINK("https://worldwide.espacenet.com/patent/search?q=US20200023076","Espacenet")</f>
        <v>0.0</v>
      </c>
      <c r="I2524" s="2" t="n">
        <f>HYPERLINK("https://ppubs.uspto.gov/pubwebapp/external.html?q=20200023076.pn.","USPTO")</f>
        <v>0.0</v>
      </c>
      <c r="J2524" s="2" t="n">
        <f>HYPERLINK("https://image-ppubs.uspto.gov/dirsearch-public/print/downloadPdf/20200023076","USPTO PDF")</f>
        <v>0.0</v>
      </c>
      <c r="K2524" s="2" t="n">
        <f>HYPERLINK("https://sectors.patentforecast.com/pmd/US20200023076","PMD")</f>
        <v>0.0</v>
      </c>
      <c r="L2524" s="2" t="n">
        <f>HYPERLINK("https://globaldossier.uspto.gov/result/application/US/16097084/1","US20200023076")</f>
        <v>0.0</v>
      </c>
      <c r="M2524" t="s">
        <v>17175</v>
      </c>
      <c r="N2524" t="s">
        <v>136</v>
      </c>
      <c r="O2524" t="s">
        <v>137</v>
      </c>
      <c r="P2524" t="s">
        <v>17176</v>
      </c>
      <c r="Q2524" s="3" t="n">
        <v>42853.0</v>
      </c>
      <c r="R2524" s="3" t="n">
        <v>43853.0</v>
      </c>
      <c r="S2524" s="3" t="n">
        <v>43966.47961465278</v>
      </c>
      <c r="T2524" s="3" t="n">
        <v>43991.72395799769</v>
      </c>
      <c r="U2524" t="s">
        <v>17177</v>
      </c>
      <c r="V2524" t="s">
        <v>17178</v>
      </c>
    </row>
    <row r="2525">
      <c r="A2525" t="s">
        <v>22</v>
      </c>
      <c r="B2525" t="s">
        <v>17179</v>
      </c>
      <c r="C2525" t="s">
        <v>132</v>
      </c>
      <c r="D2525" t="s">
        <v>2629</v>
      </c>
      <c r="E2525" t="s">
        <v>7852</v>
      </c>
      <c r="F2525" s="2" t="n">
        <f>HYPERLINK("https://patents.google.com/patent/US20200017553","Google")</f>
        <v>0.0</v>
      </c>
      <c r="G2525" s="2" t="n">
        <f>HYPERLINK("https://patentcenter.uspto.gov/applications/16416663","Patent Center")</f>
        <v>0.0</v>
      </c>
      <c r="H2525" s="2" t="n">
        <f>HYPERLINK("https://worldwide.espacenet.com/patent/search?q=US20200017553","Espacenet")</f>
        <v>0.0</v>
      </c>
      <c r="I2525" s="2" t="n">
        <f>HYPERLINK("https://ppubs.uspto.gov/pubwebapp/external.html?q=20200017553.pn.","USPTO")</f>
        <v>0.0</v>
      </c>
      <c r="J2525" s="2" t="n">
        <f>HYPERLINK("https://image-ppubs.uspto.gov/dirsearch-public/print/downloadPdf/20200017553","USPTO PDF")</f>
        <v>0.0</v>
      </c>
      <c r="K2525" s="2" t="n">
        <f>HYPERLINK("https://sectors.patentforecast.com/pmd/US20200017553","PMD")</f>
        <v>0.0</v>
      </c>
      <c r="L2525" s="2" t="n">
        <f>HYPERLINK("https://globaldossier.uspto.gov/result/application/US/16416663/1","US20200017553")</f>
        <v>0.0</v>
      </c>
      <c r="M2525" t="s">
        <v>17180</v>
      </c>
      <c r="N2525" t="s">
        <v>10151</v>
      </c>
      <c r="O2525" t="s">
        <v>10152</v>
      </c>
      <c r="P2525" t="s">
        <v>7856</v>
      </c>
      <c r="Q2525" s="3" t="n">
        <v>43605.0</v>
      </c>
      <c r="R2525" s="3" t="n">
        <v>43846.0</v>
      </c>
      <c r="S2525" s="3" t="n">
        <v>43936.46037263889</v>
      </c>
      <c r="T2525" s="3" t="n">
        <v>43950.41908667824</v>
      </c>
      <c r="U2525" t="s">
        <v>17181</v>
      </c>
      <c r="V2525" t="s">
        <v>7858</v>
      </c>
    </row>
    <row r="2526">
      <c r="A2526" t="s">
        <v>22</v>
      </c>
      <c r="B2526" t="s">
        <v>17182</v>
      </c>
      <c r="C2526" t="s">
        <v>60</v>
      </c>
      <c r="D2526" t="s">
        <v>61</v>
      </c>
      <c r="E2526" t="s">
        <v>17183</v>
      </c>
      <c r="F2526" s="2" t="n">
        <f>HYPERLINK("https://patents.google.com/patent/US20200017514","Google")</f>
        <v>0.0</v>
      </c>
      <c r="G2526" s="2" t="n">
        <f>HYPERLINK("https://patentcenter.uspto.gov/applications/16033636","Patent Center")</f>
        <v>0.0</v>
      </c>
      <c r="H2526" s="2" t="n">
        <f>HYPERLINK("https://worldwide.espacenet.com/patent/search?q=US20200017514","Espacenet")</f>
        <v>0.0</v>
      </c>
      <c r="I2526" s="2" t="n">
        <f>HYPERLINK("https://ppubs.uspto.gov/pubwebapp/external.html?q=20200017514.pn.","USPTO")</f>
        <v>0.0</v>
      </c>
      <c r="J2526" s="2" t="n">
        <f>HYPERLINK("https://image-ppubs.uspto.gov/dirsearch-public/print/downloadPdf/20200017514","USPTO PDF")</f>
        <v>0.0</v>
      </c>
      <c r="K2526" s="2" t="n">
        <f>HYPERLINK("https://sectors.patentforecast.com/pmd/US20200017514","PMD")</f>
        <v>0.0</v>
      </c>
      <c r="L2526" s="2" t="n">
        <f>HYPERLINK("https://globaldossier.uspto.gov/result/application/US/16033636/1","US20200017514")</f>
        <v>0.0</v>
      </c>
      <c r="M2526" t="s">
        <v>17184</v>
      </c>
      <c r="N2526" t="s">
        <v>17185</v>
      </c>
      <c r="O2526" t="s">
        <v>17186</v>
      </c>
      <c r="P2526" t="s">
        <v>17187</v>
      </c>
      <c r="Q2526" s="3" t="n">
        <v>43293.0</v>
      </c>
      <c r="R2526" s="3" t="n">
        <v>43846.0</v>
      </c>
      <c r="S2526" s="3" t="n">
        <v>43936.4616650463</v>
      </c>
      <c r="T2526" s="3" t="n">
        <v>43950.47195328704</v>
      </c>
      <c r="U2526" t="s">
        <v>17188</v>
      </c>
      <c r="V2526" t="s">
        <v>17189</v>
      </c>
    </row>
    <row r="2527">
      <c r="A2527" t="s">
        <v>22</v>
      </c>
      <c r="B2527" t="s">
        <v>17190</v>
      </c>
      <c r="C2527" t="s">
        <v>24</v>
      </c>
      <c r="D2527" t="s">
        <v>25</v>
      </c>
      <c r="E2527" t="s">
        <v>16598</v>
      </c>
      <c r="F2527" s="2" t="n">
        <f>HYPERLINK("https://patents.google.com/patent/US20200013488","Google")</f>
        <v>0.0</v>
      </c>
      <c r="G2527" s="2" t="n">
        <f>HYPERLINK("https://patentcenter.uspto.gov/applications/16382593","Patent Center")</f>
        <v>0.0</v>
      </c>
      <c r="H2527" s="2" t="n">
        <f>HYPERLINK("https://worldwide.espacenet.com/patent/search?q=US20200013488","Espacenet")</f>
        <v>0.0</v>
      </c>
      <c r="I2527" s="2" t="n">
        <f>HYPERLINK("https://ppubs.uspto.gov/pubwebapp/external.html?q=20200013488.pn.","USPTO")</f>
        <v>0.0</v>
      </c>
      <c r="J2527" s="2" t="n">
        <f>HYPERLINK("https://image-ppubs.uspto.gov/dirsearch-public/print/downloadPdf/20200013488","USPTO PDF")</f>
        <v>0.0</v>
      </c>
      <c r="K2527" s="2" t="n">
        <f>HYPERLINK("https://sectors.patentforecast.com/pmd/US20200013488","PMD")</f>
        <v>0.0</v>
      </c>
      <c r="L2527" s="2" t="n">
        <f>HYPERLINK("https://globaldossier.uspto.gov/result/application/US/16382593/1","US20200013488")</f>
        <v>0.0</v>
      </c>
      <c r="M2527" t="s">
        <v>17191</v>
      </c>
      <c r="N2527" t="s">
        <v>3621</v>
      </c>
      <c r="O2527" t="s">
        <v>3622</v>
      </c>
      <c r="P2527" t="s">
        <v>17192</v>
      </c>
      <c r="Q2527" s="3" t="n">
        <v>43567.0</v>
      </c>
      <c r="R2527" s="3" t="n">
        <v>43839.0</v>
      </c>
      <c r="S2527" s="3" t="n">
        <v>43906.372912708335</v>
      </c>
      <c r="T2527" s="3" t="n">
        <v>43958.41062627315</v>
      </c>
      <c r="U2527" t="s">
        <v>17193</v>
      </c>
      <c r="V2527" t="s">
        <v>16602</v>
      </c>
    </row>
    <row r="2528">
      <c r="A2528" t="s">
        <v>22</v>
      </c>
      <c r="B2528" t="s">
        <v>17194</v>
      </c>
      <c r="C2528" t="s">
        <v>132</v>
      </c>
      <c r="D2528" t="s">
        <v>133</v>
      </c>
      <c r="E2528" t="s">
        <v>7308</v>
      </c>
      <c r="F2528" s="2" t="n">
        <f>HYPERLINK("https://patents.google.com/patent/US20200009244","Google")</f>
        <v>0.0</v>
      </c>
      <c r="G2528" s="2" t="n">
        <f>HYPERLINK("https://patentcenter.uspto.gov/applications/16440067","Patent Center")</f>
        <v>0.0</v>
      </c>
      <c r="H2528" s="2" t="n">
        <f>HYPERLINK("https://worldwide.espacenet.com/patent/search?q=US20200009244","Espacenet")</f>
        <v>0.0</v>
      </c>
      <c r="I2528" s="2" t="n">
        <f>HYPERLINK("https://ppubs.uspto.gov/pubwebapp/external.html?q=20200009244.pn.","USPTO")</f>
        <v>0.0</v>
      </c>
      <c r="J2528" s="2" t="n">
        <f>HYPERLINK("https://image-ppubs.uspto.gov/dirsearch-public/print/downloadPdf/20200009244","USPTO PDF")</f>
        <v>0.0</v>
      </c>
      <c r="K2528" s="2" t="n">
        <f>HYPERLINK("https://sectors.patentforecast.com/pmd/US20200009244","PMD")</f>
        <v>0.0</v>
      </c>
      <c r="L2528" s="2" t="n">
        <f>HYPERLINK("https://globaldossier.uspto.gov/result/application/US/16440067/1","US20200009244")</f>
        <v>0.0</v>
      </c>
      <c r="M2528" t="s">
        <v>17195</v>
      </c>
      <c r="N2528" t="s">
        <v>7310</v>
      </c>
      <c r="O2528" t="s">
        <v>7311</v>
      </c>
      <c r="P2528" t="s">
        <v>7312</v>
      </c>
      <c r="Q2528" s="3" t="n">
        <v>43629.0</v>
      </c>
      <c r="R2528" s="3" t="n">
        <v>43839.0</v>
      </c>
      <c r="S2528" s="3" t="n">
        <v>43935.704047824074</v>
      </c>
      <c r="T2528" s="3" t="n">
        <v>43990.70621458333</v>
      </c>
      <c r="U2528" t="s">
        <v>17196</v>
      </c>
      <c r="V2528" t="s">
        <v>7314</v>
      </c>
    </row>
    <row r="2529">
      <c r="A2529" t="s">
        <v>22</v>
      </c>
      <c r="B2529" t="s">
        <v>17197</v>
      </c>
      <c r="C2529" t="s">
        <v>312</v>
      </c>
      <c r="D2529" t="s">
        <v>3202</v>
      </c>
      <c r="E2529" t="s">
        <v>17198</v>
      </c>
      <c r="F2529" s="2" t="n">
        <f>HYPERLINK("https://patents.google.com/patent/US20200004904","Google")</f>
        <v>0.0</v>
      </c>
      <c r="G2529" s="2" t="n">
        <f>HYPERLINK("https://patentcenter.uspto.gov/applications/16248133","Patent Center")</f>
        <v>0.0</v>
      </c>
      <c r="H2529" s="2" t="n">
        <f>HYPERLINK("https://worldwide.espacenet.com/patent/search?q=US20200004904","Espacenet")</f>
        <v>0.0</v>
      </c>
      <c r="I2529" s="2" t="n">
        <f>HYPERLINK("https://ppubs.uspto.gov/pubwebapp/external.html?q=20200004904.pn.","USPTO")</f>
        <v>0.0</v>
      </c>
      <c r="J2529" s="2" t="n">
        <f>HYPERLINK("https://image-ppubs.uspto.gov/dirsearch-public/print/downloadPdf/20200004904","USPTO PDF")</f>
        <v>0.0</v>
      </c>
      <c r="K2529" s="2" t="n">
        <f>HYPERLINK("https://sectors.patentforecast.com/pmd/US20200004904","PMD")</f>
        <v>0.0</v>
      </c>
      <c r="L2529" s="2" t="n">
        <f>HYPERLINK("https://globaldossier.uspto.gov/result/application/US/16248133/1","US20200004904")</f>
        <v>0.0</v>
      </c>
      <c r="M2529" t="s">
        <v>17199</v>
      </c>
      <c r="N2529" t="s">
        <v>17200</v>
      </c>
      <c r="O2529" t="s">
        <v>17201</v>
      </c>
      <c r="P2529" t="s">
        <v>17202</v>
      </c>
      <c r="Q2529" s="3" t="n">
        <v>43480.0</v>
      </c>
      <c r="R2529" s="3" t="n">
        <v>43832.0</v>
      </c>
      <c r="S2529" s="3" t="n">
        <v>43908.458510358796</v>
      </c>
      <c r="T2529" s="3" t="n">
        <v>43950.58327357639</v>
      </c>
      <c r="U2529" t="s">
        <v>17203</v>
      </c>
      <c r="V2529" t="s">
        <v>17204</v>
      </c>
    </row>
    <row r="2530">
      <c r="A2530" t="s">
        <v>22</v>
      </c>
      <c r="B2530" t="s">
        <v>17205</v>
      </c>
      <c r="C2530" t="s">
        <v>24</v>
      </c>
      <c r="D2530" t="s">
        <v>1356</v>
      </c>
      <c r="E2530" t="s">
        <v>13703</v>
      </c>
      <c r="F2530" s="2" t="n">
        <f>HYPERLINK("https://patents.google.com/patent/US20200004746","Google")</f>
        <v>0.0</v>
      </c>
      <c r="G2530" s="2" t="n">
        <f>HYPERLINK("https://patentcenter.uspto.gov/applications/16460335","Patent Center")</f>
        <v>0.0</v>
      </c>
      <c r="H2530" s="2" t="n">
        <f>HYPERLINK("https://worldwide.espacenet.com/patent/search?q=US20200004746","Espacenet")</f>
        <v>0.0</v>
      </c>
      <c r="I2530" s="2" t="n">
        <f>HYPERLINK("https://ppubs.uspto.gov/pubwebapp/external.html?q=20200004746.pn.","USPTO")</f>
        <v>0.0</v>
      </c>
      <c r="J2530" s="2" t="n">
        <f>HYPERLINK("https://image-ppubs.uspto.gov/dirsearch-public/print/downloadPdf/20200004746","USPTO PDF")</f>
        <v>0.0</v>
      </c>
      <c r="K2530" s="2" t="n">
        <f>HYPERLINK("https://sectors.patentforecast.com/pmd/US20200004746","PMD")</f>
        <v>0.0</v>
      </c>
      <c r="L2530" s="2" t="n">
        <f>HYPERLINK("https://globaldossier.uspto.gov/result/application/US/16460335/1","US20200004746")</f>
        <v>0.0</v>
      </c>
      <c r="M2530" t="s">
        <v>17206</v>
      </c>
      <c r="N2530" t="s">
        <v>13705</v>
      </c>
      <c r="O2530" t="s">
        <v>13706</v>
      </c>
      <c r="P2530" t="s">
        <v>13707</v>
      </c>
      <c r="Q2530" s="3" t="n">
        <v>43648.0</v>
      </c>
      <c r="R2530" s="3" t="n">
        <v>43832.0</v>
      </c>
      <c r="S2530" s="3" t="n">
        <v>43908.458510358796</v>
      </c>
      <c r="T2530" s="3" t="n">
        <v>43984.72941465278</v>
      </c>
      <c r="U2530" t="s">
        <v>17207</v>
      </c>
      <c r="V2530" t="s">
        <v>13709</v>
      </c>
    </row>
    <row r="2531">
      <c r="A2531" t="s">
        <v>22</v>
      </c>
      <c r="B2531" t="s">
        <v>17208</v>
      </c>
      <c r="C2531" t="s">
        <v>60</v>
      </c>
      <c r="D2531" t="s">
        <v>715</v>
      </c>
      <c r="E2531" t="s">
        <v>17209</v>
      </c>
      <c r="F2531" s="2" t="n">
        <f>HYPERLINK("https://patents.google.com/patent/US20200000913","Google")</f>
        <v>0.0</v>
      </c>
      <c r="G2531" s="2" t="n">
        <f>HYPERLINK("https://patentcenter.uspto.gov/applications/16448650","Patent Center")</f>
        <v>0.0</v>
      </c>
      <c r="H2531" s="2" t="n">
        <f>HYPERLINK("https://worldwide.espacenet.com/patent/search?q=US20200000913","Espacenet")</f>
        <v>0.0</v>
      </c>
      <c r="I2531" s="2" t="n">
        <f>HYPERLINK("https://ppubs.uspto.gov/pubwebapp/external.html?q=20200000913.pn.","USPTO")</f>
        <v>0.0</v>
      </c>
      <c r="J2531" s="2" t="n">
        <f>HYPERLINK("https://image-ppubs.uspto.gov/dirsearch-public/print/downloadPdf/20200000913","USPTO PDF")</f>
        <v>0.0</v>
      </c>
      <c r="K2531" s="2" t="n">
        <f>HYPERLINK("https://sectors.patentforecast.com/pmd/US20200000913","PMD")</f>
        <v>0.0</v>
      </c>
      <c r="L2531" s="2" t="n">
        <f>HYPERLINK("https://globaldossier.uspto.gov/result/application/US/16448650/1","US20200000913")</f>
        <v>0.0</v>
      </c>
      <c r="M2531" t="s">
        <v>17210</v>
      </c>
      <c r="N2531" t="s">
        <v>17211</v>
      </c>
      <c r="O2531" t="s">
        <v>17212</v>
      </c>
      <c r="P2531" t="s">
        <v>17213</v>
      </c>
      <c r="Q2531" s="3" t="n">
        <v>43637.0</v>
      </c>
      <c r="R2531" s="3" t="n">
        <v>43832.0</v>
      </c>
      <c r="S2531" s="3" t="n">
        <v>43900.43726237269</v>
      </c>
      <c r="T2531" s="3" t="n">
        <v>43901.721564363426</v>
      </c>
      <c r="U2531" t="s">
        <v>17214</v>
      </c>
      <c r="V2531" t="s">
        <v>17215</v>
      </c>
    </row>
    <row r="2532">
      <c r="A2532" t="s">
        <v>22</v>
      </c>
      <c r="B2532" t="s">
        <v>17216</v>
      </c>
      <c r="C2532" t="s">
        <v>24</v>
      </c>
      <c r="D2532" t="s">
        <v>25</v>
      </c>
      <c r="E2532" t="s">
        <v>17217</v>
      </c>
      <c r="F2532" s="2" t="n">
        <f>HYPERLINK("https://patents.google.com/patent/US20190392927","Google")</f>
        <v>0.0</v>
      </c>
      <c r="G2532" s="2" t="n">
        <f>HYPERLINK("https://patentcenter.uspto.gov/applications/16448479","Patent Center")</f>
        <v>0.0</v>
      </c>
      <c r="H2532" s="2" t="n">
        <f>HYPERLINK("https://worldwide.espacenet.com/patent/search?q=US20190392927","Espacenet")</f>
        <v>0.0</v>
      </c>
      <c r="I2532" s="2" t="n">
        <f>HYPERLINK("https://ppubs.uspto.gov/pubwebapp/external.html?q=20190392927.pn.","USPTO")</f>
        <v>0.0</v>
      </c>
      <c r="J2532" s="2" t="n">
        <f>HYPERLINK("https://image-ppubs.uspto.gov/dirsearch-public/print/downloadPdf/20190392927","USPTO PDF")</f>
        <v>0.0</v>
      </c>
      <c r="K2532" s="2" t="n">
        <f>HYPERLINK("https://sectors.patentforecast.com/pmd/US20190392927","PMD")</f>
        <v>0.0</v>
      </c>
      <c r="L2532" s="2" t="n">
        <f>HYPERLINK("https://globaldossier.uspto.gov/result/application/US/16448479/1","US20190392927")</f>
        <v>0.0</v>
      </c>
      <c r="M2532" t="s">
        <v>17218</v>
      </c>
      <c r="N2532" t="s">
        <v>17219</v>
      </c>
      <c r="O2532" t="s">
        <v>17219</v>
      </c>
      <c r="P2532" t="s">
        <v>17220</v>
      </c>
      <c r="Q2532" s="3" t="n">
        <v>43637.0</v>
      </c>
      <c r="R2532" s="3" t="n">
        <v>43825.0</v>
      </c>
      <c r="S2532" s="3" t="n">
        <v>43908.458510358796</v>
      </c>
      <c r="T2532" s="3" t="n">
        <v>43984.69046929398</v>
      </c>
      <c r="U2532" t="s">
        <v>17221</v>
      </c>
      <c r="V2532" t="s">
        <v>17222</v>
      </c>
    </row>
    <row r="2533">
      <c r="A2533" t="s">
        <v>22</v>
      </c>
      <c r="B2533" t="s">
        <v>17223</v>
      </c>
      <c r="C2533" t="s">
        <v>132</v>
      </c>
      <c r="D2533" t="s">
        <v>1265</v>
      </c>
      <c r="E2533" t="s">
        <v>17224</v>
      </c>
      <c r="F2533" s="2" t="n">
        <f>HYPERLINK("https://patents.google.com/patent/US20190389816","Google")</f>
        <v>0.0</v>
      </c>
      <c r="G2533" s="2" t="n">
        <f>HYPERLINK("https://patentcenter.uspto.gov/applications/16554990","Patent Center")</f>
        <v>0.0</v>
      </c>
      <c r="H2533" s="2" t="n">
        <f>HYPERLINK("https://worldwide.espacenet.com/patent/search?q=US20190389816","Espacenet")</f>
        <v>0.0</v>
      </c>
      <c r="I2533" s="2" t="n">
        <f>HYPERLINK("https://ppubs.uspto.gov/pubwebapp/external.html?q=20190389816.pn.","USPTO")</f>
        <v>0.0</v>
      </c>
      <c r="J2533" s="2" t="n">
        <f>HYPERLINK("https://image-ppubs.uspto.gov/dirsearch-public/print/downloadPdf/20190389816","USPTO PDF")</f>
        <v>0.0</v>
      </c>
      <c r="K2533" s="2" t="n">
        <f>HYPERLINK("https://sectors.patentforecast.com/pmd/US20190389816","PMD")</f>
        <v>0.0</v>
      </c>
      <c r="L2533" s="2" t="n">
        <f>HYPERLINK("https://globaldossier.uspto.gov/result/application/US/16554990/1","US20190389816")</f>
        <v>0.0</v>
      </c>
      <c r="M2533" t="s">
        <v>17225</v>
      </c>
      <c r="N2533" t="s">
        <v>17226</v>
      </c>
      <c r="O2533" t="s">
        <v>17227</v>
      </c>
      <c r="P2533" t="s">
        <v>17228</v>
      </c>
      <c r="Q2533" s="3" t="n">
        <v>43706.0</v>
      </c>
      <c r="R2533" s="3" t="n">
        <v>43825.0</v>
      </c>
      <c r="S2533" s="3" t="n">
        <v>43936.4616650463</v>
      </c>
      <c r="T2533" s="3" t="n">
        <v>44543.627287222225</v>
      </c>
      <c r="U2533" t="s">
        <v>17229</v>
      </c>
      <c r="V2533" t="s">
        <v>17230</v>
      </c>
    </row>
    <row r="2534">
      <c r="A2534" t="s">
        <v>22</v>
      </c>
      <c r="B2534" t="s">
        <v>17231</v>
      </c>
      <c r="C2534" t="s">
        <v>132</v>
      </c>
      <c r="D2534" t="s">
        <v>133</v>
      </c>
      <c r="E2534" t="s">
        <v>17232</v>
      </c>
      <c r="F2534" s="2" t="n">
        <f>HYPERLINK("https://patents.google.com/patent/US20190388535","Google")</f>
        <v>0.0</v>
      </c>
      <c r="G2534" s="2" t="n">
        <f>HYPERLINK("https://patentcenter.uspto.gov/applications/16450810","Patent Center")</f>
        <v>0.0</v>
      </c>
      <c r="H2534" s="2" t="n">
        <f>HYPERLINK("https://worldwide.espacenet.com/patent/search?q=US20190388535","Espacenet")</f>
        <v>0.0</v>
      </c>
      <c r="I2534" s="2" t="n">
        <f>HYPERLINK("https://ppubs.uspto.gov/pubwebapp/external.html?q=20190388535.pn.","USPTO")</f>
        <v>0.0</v>
      </c>
      <c r="J2534" s="2" t="n">
        <f>HYPERLINK("https://image-ppubs.uspto.gov/dirsearch-public/print/downloadPdf/20190388535","USPTO PDF")</f>
        <v>0.0</v>
      </c>
      <c r="K2534" s="2" t="n">
        <f>HYPERLINK("https://sectors.patentforecast.com/pmd/US20190388535","PMD")</f>
        <v>0.0</v>
      </c>
      <c r="L2534" s="2" t="n">
        <f>HYPERLINK("https://globaldossier.uspto.gov/result/application/US/16450810/1","US20190388535")</f>
        <v>0.0</v>
      </c>
      <c r="M2534" t="s">
        <v>17233</v>
      </c>
      <c r="N2534" t="s">
        <v>17097</v>
      </c>
      <c r="O2534" t="s">
        <v>17097</v>
      </c>
      <c r="P2534" t="s">
        <v>17234</v>
      </c>
      <c r="Q2534" s="3" t="n">
        <v>43640.0</v>
      </c>
      <c r="R2534" s="3" t="n">
        <v>43825.0</v>
      </c>
      <c r="S2534" s="3" t="n">
        <v>43900.43726237269</v>
      </c>
      <c r="T2534" s="3" t="n">
        <v>43901.721564224536</v>
      </c>
      <c r="U2534" t="s">
        <v>17235</v>
      </c>
      <c r="V2534" t="s">
        <v>17236</v>
      </c>
    </row>
    <row r="2535">
      <c r="A2535" t="s">
        <v>22</v>
      </c>
      <c r="B2535" t="s">
        <v>17237</v>
      </c>
      <c r="C2535" t="s">
        <v>132</v>
      </c>
      <c r="D2535" t="s">
        <v>1265</v>
      </c>
      <c r="E2535" t="s">
        <v>16152</v>
      </c>
      <c r="F2535" s="2" t="n">
        <f>HYPERLINK("https://patents.google.com/patent/US20190388534","Google")</f>
        <v>0.0</v>
      </c>
      <c r="G2535" s="2" t="n">
        <f>HYPERLINK("https://patentcenter.uspto.gov/applications/16260557","Patent Center")</f>
        <v>0.0</v>
      </c>
      <c r="H2535" s="2" t="n">
        <f>HYPERLINK("https://worldwide.espacenet.com/patent/search?q=US20190388534","Espacenet")</f>
        <v>0.0</v>
      </c>
      <c r="I2535" s="2" t="n">
        <f>HYPERLINK("https://ppubs.uspto.gov/pubwebapp/external.html?q=20190388534.pn.","USPTO")</f>
        <v>0.0</v>
      </c>
      <c r="J2535" s="2" t="n">
        <f>HYPERLINK("https://image-ppubs.uspto.gov/dirsearch-public/print/downloadPdf/20190388534","USPTO PDF")</f>
        <v>0.0</v>
      </c>
      <c r="K2535" s="2" t="n">
        <f>HYPERLINK("https://sectors.patentforecast.com/pmd/US20190388534","PMD")</f>
        <v>0.0</v>
      </c>
      <c r="L2535" s="2" t="n">
        <f>HYPERLINK("https://globaldossier.uspto.gov/result/application/US/16260557/1","US20190388534")</f>
        <v>0.0</v>
      </c>
      <c r="M2535" t="s">
        <v>17238</v>
      </c>
      <c r="N2535" t="s">
        <v>1275</v>
      </c>
      <c r="O2535" t="s">
        <v>1275</v>
      </c>
      <c r="P2535" t="s">
        <v>17239</v>
      </c>
      <c r="Q2535" s="3" t="n">
        <v>43494.0</v>
      </c>
      <c r="R2535" s="3" t="n">
        <v>43825.0</v>
      </c>
      <c r="S2535" s="3" t="n">
        <v>44019.68541525463</v>
      </c>
      <c r="T2535" s="3" t="n">
        <v>44020.6224516088</v>
      </c>
      <c r="U2535" t="s">
        <v>17240</v>
      </c>
      <c r="V2535" t="s">
        <v>17241</v>
      </c>
    </row>
    <row r="2536">
      <c r="A2536" t="s">
        <v>22</v>
      </c>
      <c r="B2536" t="s">
        <v>17242</v>
      </c>
      <c r="C2536" t="s">
        <v>132</v>
      </c>
      <c r="D2536" t="s">
        <v>142</v>
      </c>
      <c r="E2536" t="s">
        <v>17243</v>
      </c>
      <c r="F2536" s="2" t="n">
        <f>HYPERLINK("https://patents.google.com/patent/US20190381180","Google")</f>
        <v>0.0</v>
      </c>
      <c r="G2536" s="2" t="n">
        <f>HYPERLINK("https://patentcenter.uspto.gov/applications/16308471","Patent Center")</f>
        <v>0.0</v>
      </c>
      <c r="H2536" s="2" t="n">
        <f>HYPERLINK("https://worldwide.espacenet.com/patent/search?q=US20190381180","Espacenet")</f>
        <v>0.0</v>
      </c>
      <c r="I2536" s="2" t="n">
        <f>HYPERLINK("https://ppubs.uspto.gov/pubwebapp/external.html?q=20190381180.pn.","USPTO")</f>
        <v>0.0</v>
      </c>
      <c r="J2536" s="2" t="n">
        <f>HYPERLINK("https://image-ppubs.uspto.gov/dirsearch-public/print/downloadPdf/20190381180","USPTO PDF")</f>
        <v>0.0</v>
      </c>
      <c r="K2536" s="2" t="n">
        <f>HYPERLINK("https://sectors.patentforecast.com/pmd/US20190381180","PMD")</f>
        <v>0.0</v>
      </c>
      <c r="L2536" s="2" t="n">
        <f>HYPERLINK("https://globaldossier.uspto.gov/result/application/US/16308471/1","US20190381180")</f>
        <v>0.0</v>
      </c>
      <c r="M2536" t="s">
        <v>17244</v>
      </c>
      <c r="N2536" t="s">
        <v>136</v>
      </c>
      <c r="O2536" t="s">
        <v>137</v>
      </c>
      <c r="P2536" t="s">
        <v>17245</v>
      </c>
      <c r="Q2536" s="3" t="n">
        <v>42895.0</v>
      </c>
      <c r="R2536" s="3" t="n">
        <v>43818.0</v>
      </c>
      <c r="S2536" s="3" t="n">
        <v>43936.4616650463</v>
      </c>
      <c r="T2536" s="3" t="n">
        <v>43950.45853400463</v>
      </c>
      <c r="U2536" t="s">
        <v>17246</v>
      </c>
      <c r="V2536" t="s">
        <v>17247</v>
      </c>
    </row>
    <row r="2537">
      <c r="A2537" t="s">
        <v>22</v>
      </c>
      <c r="B2537" t="s">
        <v>17248</v>
      </c>
      <c r="C2537" t="s">
        <v>132</v>
      </c>
      <c r="D2537" t="s">
        <v>2629</v>
      </c>
      <c r="E2537" t="s">
        <v>17249</v>
      </c>
      <c r="F2537" s="2" t="n">
        <f>HYPERLINK("https://patents.google.com/patent/US20190381165","Google")</f>
        <v>0.0</v>
      </c>
      <c r="G2537" s="2" t="n">
        <f>HYPERLINK("https://patentcenter.uspto.gov/applications/16557210","Patent Center")</f>
        <v>0.0</v>
      </c>
      <c r="H2537" s="2" t="n">
        <f>HYPERLINK("https://worldwide.espacenet.com/patent/search?q=US20190381165","Espacenet")</f>
        <v>0.0</v>
      </c>
      <c r="I2537" s="2" t="n">
        <f>HYPERLINK("https://ppubs.uspto.gov/pubwebapp/external.html?q=20190381165.pn.","USPTO")</f>
        <v>0.0</v>
      </c>
      <c r="J2537" s="2" t="n">
        <f>HYPERLINK("https://image-ppubs.uspto.gov/dirsearch-public/print/downloadPdf/20190381165","USPTO PDF")</f>
        <v>0.0</v>
      </c>
      <c r="K2537" s="2" t="n">
        <f>HYPERLINK("https://sectors.patentforecast.com/pmd/US20190381165","PMD")</f>
        <v>0.0</v>
      </c>
      <c r="L2537" s="2" t="n">
        <f>HYPERLINK("https://globaldossier.uspto.gov/result/application/US/16557210/1","US20190381165")</f>
        <v>0.0</v>
      </c>
      <c r="M2537" t="s">
        <v>17250</v>
      </c>
      <c r="N2537" t="s">
        <v>14959</v>
      </c>
      <c r="O2537" t="s">
        <v>14960</v>
      </c>
      <c r="P2537" t="s">
        <v>17251</v>
      </c>
      <c r="Q2537" s="3" t="n">
        <v>43707.0</v>
      </c>
      <c r="R2537" s="3" t="n">
        <v>43818.0</v>
      </c>
      <c r="S2537" s="3" t="n">
        <v>43936.4616650463</v>
      </c>
      <c r="T2537" s="3" t="n">
        <v>44543.68358590278</v>
      </c>
      <c r="U2537" t="s">
        <v>17252</v>
      </c>
      <c r="V2537" t="s">
        <v>17253</v>
      </c>
    </row>
    <row r="2538">
      <c r="A2538" t="s">
        <v>22</v>
      </c>
      <c r="B2538" t="s">
        <v>17254</v>
      </c>
      <c r="C2538" t="s">
        <v>132</v>
      </c>
      <c r="D2538" t="s">
        <v>142</v>
      </c>
      <c r="E2538" t="s">
        <v>17255</v>
      </c>
      <c r="F2538" s="2" t="n">
        <f>HYPERLINK("https://patents.google.com/patent/US20190381155","Google")</f>
        <v>0.0</v>
      </c>
      <c r="G2538" s="2" t="n">
        <f>HYPERLINK("https://patentcenter.uspto.gov/applications/16555586","Patent Center")</f>
        <v>0.0</v>
      </c>
      <c r="H2538" s="2" t="n">
        <f>HYPERLINK("https://worldwide.espacenet.com/patent/search?q=US20190381155","Espacenet")</f>
        <v>0.0</v>
      </c>
      <c r="I2538" s="2" t="n">
        <f>HYPERLINK("https://ppubs.uspto.gov/pubwebapp/external.html?q=20190381155.pn.","USPTO")</f>
        <v>0.0</v>
      </c>
      <c r="J2538" s="2" t="n">
        <f>HYPERLINK("https://image-ppubs.uspto.gov/dirsearch-public/print/downloadPdf/20190381155","USPTO PDF")</f>
        <v>0.0</v>
      </c>
      <c r="K2538" s="2" t="n">
        <f>HYPERLINK("https://sectors.patentforecast.com/pmd/US20190381155","PMD")</f>
        <v>0.0</v>
      </c>
      <c r="L2538" s="2" t="n">
        <f>HYPERLINK("https://globaldossier.uspto.gov/result/application/US/16555586/1","US20190381155")</f>
        <v>0.0</v>
      </c>
      <c r="M2538" t="s">
        <v>17256</v>
      </c>
      <c r="N2538" t="s">
        <v>136</v>
      </c>
      <c r="O2538" t="s">
        <v>137</v>
      </c>
      <c r="P2538" t="s">
        <v>17257</v>
      </c>
      <c r="Q2538" s="3" t="n">
        <v>43706.0</v>
      </c>
      <c r="R2538" s="3" t="n">
        <v>43818.0</v>
      </c>
      <c r="S2538" s="3" t="n">
        <v>43936.4616650463</v>
      </c>
      <c r="T2538" s="3" t="n">
        <v>43950.45685512731</v>
      </c>
      <c r="U2538" t="s">
        <v>17258</v>
      </c>
      <c r="V2538" t="s">
        <v>17259</v>
      </c>
    </row>
    <row r="2539">
      <c r="A2539" t="s">
        <v>22</v>
      </c>
      <c r="B2539" t="s">
        <v>17260</v>
      </c>
      <c r="C2539" t="s">
        <v>60</v>
      </c>
      <c r="D2539" t="s">
        <v>61</v>
      </c>
      <c r="E2539" t="s">
        <v>17261</v>
      </c>
      <c r="F2539" s="2" t="n">
        <f>HYPERLINK("https://patents.google.com/patent/US20190381038","Google")</f>
        <v>0.0</v>
      </c>
      <c r="G2539" s="2" t="n">
        <f>HYPERLINK("https://patentcenter.uspto.gov/applications/16338547","Patent Center")</f>
        <v>0.0</v>
      </c>
      <c r="H2539" s="2" t="n">
        <f>HYPERLINK("https://worldwide.espacenet.com/patent/search?q=US20190381038","Espacenet")</f>
        <v>0.0</v>
      </c>
      <c r="I2539" s="2" t="n">
        <f>HYPERLINK("https://ppubs.uspto.gov/pubwebapp/external.html?q=20190381038.pn.","USPTO")</f>
        <v>0.0</v>
      </c>
      <c r="J2539" s="2" t="n">
        <f>HYPERLINK("https://image-ppubs.uspto.gov/dirsearch-public/print/downloadPdf/20190381038","USPTO PDF")</f>
        <v>0.0</v>
      </c>
      <c r="K2539" s="2" t="n">
        <f>HYPERLINK("https://sectors.patentforecast.com/pmd/US20190381038","PMD")</f>
        <v>0.0</v>
      </c>
      <c r="L2539" s="2" t="n">
        <f>HYPERLINK("https://globaldossier.uspto.gov/result/application/US/16338547/1","US20190381038")</f>
        <v>0.0</v>
      </c>
      <c r="M2539" t="s">
        <v>17262</v>
      </c>
      <c r="N2539" t="s">
        <v>16951</v>
      </c>
      <c r="O2539" t="s">
        <v>16952</v>
      </c>
      <c r="P2539" t="s">
        <v>17263</v>
      </c>
      <c r="Q2539" s="3" t="n">
        <v>43011.0</v>
      </c>
      <c r="R2539" s="3" t="n">
        <v>43818.0</v>
      </c>
      <c r="S2539" s="3" t="n">
        <v>43936.4616650463</v>
      </c>
      <c r="T2539" s="3" t="n">
        <v>43950.413641875</v>
      </c>
      <c r="U2539" t="s">
        <v>17264</v>
      </c>
      <c r="V2539" t="s">
        <v>17265</v>
      </c>
    </row>
    <row r="2540">
      <c r="A2540" t="s">
        <v>22</v>
      </c>
      <c r="B2540" t="s">
        <v>17266</v>
      </c>
      <c r="C2540" t="s">
        <v>60</v>
      </c>
      <c r="D2540" t="s">
        <v>61</v>
      </c>
      <c r="E2540" t="s">
        <v>17267</v>
      </c>
      <c r="F2540" s="2" t="n">
        <f>HYPERLINK("https://patents.google.com/patent/US20190380995","Google")</f>
        <v>0.0</v>
      </c>
      <c r="G2540" s="2" t="n">
        <f>HYPERLINK("https://patentcenter.uspto.gov/applications/16502150","Patent Center")</f>
        <v>0.0</v>
      </c>
      <c r="H2540" s="2" t="n">
        <f>HYPERLINK("https://worldwide.espacenet.com/patent/search?q=US20190380995","Espacenet")</f>
        <v>0.0</v>
      </c>
      <c r="I2540" s="2" t="n">
        <f>HYPERLINK("https://ppubs.uspto.gov/pubwebapp/external.html?q=20190380995.pn.","USPTO")</f>
        <v>0.0</v>
      </c>
      <c r="J2540" s="2" t="n">
        <f>HYPERLINK("https://image-ppubs.uspto.gov/dirsearch-public/print/downloadPdf/20190380995","USPTO PDF")</f>
        <v>0.0</v>
      </c>
      <c r="K2540" s="2" t="n">
        <f>HYPERLINK("https://sectors.patentforecast.com/pmd/US20190380995","PMD")</f>
        <v>0.0</v>
      </c>
      <c r="L2540" s="2" t="n">
        <f>HYPERLINK("https://globaldossier.uspto.gov/result/application/US/16502150/1","US20190380995")</f>
        <v>0.0</v>
      </c>
      <c r="M2540" t="s">
        <v>17268</v>
      </c>
      <c r="N2540" t="s">
        <v>17269</v>
      </c>
      <c r="O2540" t="s">
        <v>17269</v>
      </c>
      <c r="P2540" t="s">
        <v>17270</v>
      </c>
      <c r="Q2540" s="3" t="n">
        <v>43649.0</v>
      </c>
      <c r="R2540" s="3" t="n">
        <v>43818.0</v>
      </c>
      <c r="S2540" s="3" t="n">
        <v>43936.4616650463</v>
      </c>
      <c r="T2540" s="3" t="n">
        <v>44543.68055922454</v>
      </c>
      <c r="U2540" t="s">
        <v>17271</v>
      </c>
      <c r="V2540" t="s">
        <v>17272</v>
      </c>
    </row>
    <row r="2541">
      <c r="A2541" t="s">
        <v>22</v>
      </c>
      <c r="B2541" t="s">
        <v>17273</v>
      </c>
      <c r="C2541" t="s">
        <v>60</v>
      </c>
      <c r="D2541" t="s">
        <v>77</v>
      </c>
      <c r="E2541" t="s">
        <v>17274</v>
      </c>
      <c r="F2541" s="2" t="n">
        <f>HYPERLINK("https://patents.google.com/patent/US20190375801","Google")</f>
        <v>0.0</v>
      </c>
      <c r="G2541" s="2" t="n">
        <f>HYPERLINK("https://patentcenter.uspto.gov/applications/16331847","Patent Center")</f>
        <v>0.0</v>
      </c>
      <c r="H2541" s="2" t="n">
        <f>HYPERLINK("https://worldwide.espacenet.com/patent/search?q=US20190375801","Espacenet")</f>
        <v>0.0</v>
      </c>
      <c r="I2541" s="2" t="n">
        <f>HYPERLINK("https://ppubs.uspto.gov/pubwebapp/external.html?q=20190375801.pn.","USPTO")</f>
        <v>0.0</v>
      </c>
      <c r="J2541" s="2" t="n">
        <f>HYPERLINK("https://image-ppubs.uspto.gov/dirsearch-public/print/downloadPdf/20190375801","USPTO PDF")</f>
        <v>0.0</v>
      </c>
      <c r="K2541" s="2" t="n">
        <f>HYPERLINK("https://sectors.patentforecast.com/pmd/US20190375801","PMD")</f>
        <v>0.0</v>
      </c>
      <c r="L2541" s="2" t="n">
        <f>HYPERLINK("https://globaldossier.uspto.gov/result/application/US/16331847/1","US20190375801")</f>
        <v>0.0</v>
      </c>
      <c r="M2541" t="s">
        <v>17275</v>
      </c>
      <c r="N2541" t="s">
        <v>17276</v>
      </c>
      <c r="O2541" t="s">
        <v>17277</v>
      </c>
      <c r="P2541" t="s">
        <v>17278</v>
      </c>
      <c r="Q2541" s="3" t="n">
        <v>42986.0</v>
      </c>
      <c r="R2541" s="3" t="n">
        <v>43811.0</v>
      </c>
      <c r="S2541" s="3" t="n">
        <v>43936.4616650463</v>
      </c>
      <c r="T2541" s="3" t="n">
        <v>43950.53702869213</v>
      </c>
      <c r="U2541" t="s">
        <v>17279</v>
      </c>
      <c r="V2541" t="s">
        <v>17280</v>
      </c>
    </row>
    <row r="2542">
      <c r="A2542" t="s">
        <v>22</v>
      </c>
      <c r="B2542" t="s">
        <v>17281</v>
      </c>
      <c r="C2542" t="s">
        <v>60</v>
      </c>
      <c r="D2542" t="s">
        <v>61</v>
      </c>
      <c r="E2542" t="s">
        <v>17282</v>
      </c>
      <c r="F2542" s="2" t="n">
        <f>HYPERLINK("https://patents.google.com/patent/US20190375726","Google")</f>
        <v>0.0</v>
      </c>
      <c r="G2542" s="2" t="n">
        <f>HYPERLINK("https://patentcenter.uspto.gov/applications/16419578","Patent Center")</f>
        <v>0.0</v>
      </c>
      <c r="H2542" s="2" t="n">
        <f>HYPERLINK("https://worldwide.espacenet.com/patent/search?q=US20190375726","Espacenet")</f>
        <v>0.0</v>
      </c>
      <c r="I2542" s="2" t="n">
        <f>HYPERLINK("https://ppubs.uspto.gov/pubwebapp/external.html?q=20190375726.pn.","USPTO")</f>
        <v>0.0</v>
      </c>
      <c r="J2542" s="2" t="n">
        <f>HYPERLINK("https://image-ppubs.uspto.gov/dirsearch-public/print/downloadPdf/20190375726","USPTO PDF")</f>
        <v>0.0</v>
      </c>
      <c r="K2542" s="2" t="n">
        <f>HYPERLINK("https://sectors.patentforecast.com/pmd/US20190375726","PMD")</f>
        <v>0.0</v>
      </c>
      <c r="L2542" s="2" t="n">
        <f>HYPERLINK("https://globaldossier.uspto.gov/result/application/US/16419578/1","US20190375726")</f>
        <v>0.0</v>
      </c>
      <c r="M2542" t="s">
        <v>17283</v>
      </c>
      <c r="N2542" t="s">
        <v>664</v>
      </c>
      <c r="O2542" t="s">
        <v>665</v>
      </c>
      <c r="P2542" t="s">
        <v>17284</v>
      </c>
      <c r="Q2542" s="3" t="n">
        <v>43607.0</v>
      </c>
      <c r="R2542" s="3" t="n">
        <v>43811.0</v>
      </c>
      <c r="S2542" s="3" t="n">
        <v>43952.45945721065</v>
      </c>
      <c r="T2542" s="3" t="n">
        <v>44638.662781747684</v>
      </c>
      <c r="U2542" t="s">
        <v>17285</v>
      </c>
      <c r="V2542" t="s">
        <v>17286</v>
      </c>
    </row>
    <row r="2543">
      <c r="A2543" t="s">
        <v>22</v>
      </c>
      <c r="B2543" t="s">
        <v>17287</v>
      </c>
      <c r="C2543" t="s">
        <v>24</v>
      </c>
      <c r="D2543" t="s">
        <v>25</v>
      </c>
      <c r="E2543" t="s">
        <v>17288</v>
      </c>
      <c r="F2543" s="2" t="n">
        <f>HYPERLINK("https://patents.google.com/patent/US20190369126","Google")</f>
        <v>0.0</v>
      </c>
      <c r="G2543" s="2" t="n">
        <f>HYPERLINK("https://patentcenter.uspto.gov/applications/15996164","Patent Center")</f>
        <v>0.0</v>
      </c>
      <c r="H2543" s="2" t="n">
        <f>HYPERLINK("https://worldwide.espacenet.com/patent/search?q=US20190369126","Espacenet")</f>
        <v>0.0</v>
      </c>
      <c r="I2543" s="2" t="n">
        <f>HYPERLINK("https://ppubs.uspto.gov/pubwebapp/external.html?q=20190369126.pn.","USPTO")</f>
        <v>0.0</v>
      </c>
      <c r="J2543" s="2" t="n">
        <f>HYPERLINK("https://image-ppubs.uspto.gov/dirsearch-public/print/downloadPdf/20190369126","USPTO PDF")</f>
        <v>0.0</v>
      </c>
      <c r="K2543" s="2" t="n">
        <f>HYPERLINK("https://sectors.patentforecast.com/pmd/US20190369126","PMD")</f>
        <v>0.0</v>
      </c>
      <c r="L2543" s="2" t="n">
        <f>HYPERLINK("https://globaldossier.uspto.gov/result/application/US/15996164/1","US20190369126")</f>
        <v>0.0</v>
      </c>
      <c r="M2543" t="s">
        <v>17289</v>
      </c>
      <c r="N2543" t="s">
        <v>5274</v>
      </c>
      <c r="O2543" t="s">
        <v>5275</v>
      </c>
      <c r="P2543" t="s">
        <v>17290</v>
      </c>
      <c r="Q2543" s="3" t="n">
        <v>43252.0</v>
      </c>
      <c r="R2543" s="3" t="n">
        <v>43804.0</v>
      </c>
      <c r="S2543" s="3" t="n">
        <v>43908.458510358796</v>
      </c>
      <c r="T2543" s="3" t="n">
        <v>44543.615971354164</v>
      </c>
      <c r="U2543" t="s">
        <v>17291</v>
      </c>
      <c r="V2543" t="s">
        <v>17292</v>
      </c>
    </row>
    <row r="2544">
      <c r="A2544" t="s">
        <v>22</v>
      </c>
      <c r="B2544" t="s">
        <v>17293</v>
      </c>
      <c r="C2544" t="s">
        <v>24</v>
      </c>
      <c r="D2544" t="s">
        <v>51</v>
      </c>
      <c r="E2544" t="s">
        <v>17294</v>
      </c>
      <c r="F2544" s="2" t="n">
        <f>HYPERLINK("https://patents.google.com/patent/US20190369094","Google")</f>
        <v>0.0</v>
      </c>
      <c r="G2544" s="2" t="n">
        <f>HYPERLINK("https://patentcenter.uspto.gov/applications/16541153","Patent Center")</f>
        <v>0.0</v>
      </c>
      <c r="H2544" s="2" t="n">
        <f>HYPERLINK("https://worldwide.espacenet.com/patent/search?q=US20190369094","Espacenet")</f>
        <v>0.0</v>
      </c>
      <c r="I2544" s="2" t="n">
        <f>HYPERLINK("https://ppubs.uspto.gov/pubwebapp/external.html?q=20190369094.pn.","USPTO")</f>
        <v>0.0</v>
      </c>
      <c r="J2544" s="2" t="n">
        <f>HYPERLINK("https://image-ppubs.uspto.gov/dirsearch-public/print/downloadPdf/20190369094","USPTO PDF")</f>
        <v>0.0</v>
      </c>
      <c r="K2544" s="2" t="n">
        <f>HYPERLINK("https://sectors.patentforecast.com/pmd/US20190369094","PMD")</f>
        <v>0.0</v>
      </c>
      <c r="L2544" s="2" t="n">
        <f>HYPERLINK("https://globaldossier.uspto.gov/result/application/US/16541153/1","US20190369094")</f>
        <v>0.0</v>
      </c>
      <c r="M2544" t="s">
        <v>17295</v>
      </c>
      <c r="N2544" t="s">
        <v>5048</v>
      </c>
      <c r="O2544" t="s">
        <v>5049</v>
      </c>
      <c r="P2544" t="s">
        <v>17296</v>
      </c>
      <c r="Q2544" s="3" t="n">
        <v>43692.0</v>
      </c>
      <c r="R2544" s="3" t="n">
        <v>43804.0</v>
      </c>
      <c r="S2544" s="3" t="n">
        <v>43908.458510358796</v>
      </c>
      <c r="T2544" s="3" t="n">
        <v>44543.60458890046</v>
      </c>
      <c r="U2544" t="s">
        <v>17297</v>
      </c>
      <c r="V2544" t="s">
        <v>17298</v>
      </c>
    </row>
    <row r="2545">
      <c r="A2545" t="s">
        <v>22</v>
      </c>
      <c r="B2545" t="s">
        <v>17299</v>
      </c>
      <c r="C2545" t="s">
        <v>60</v>
      </c>
      <c r="D2545" t="s">
        <v>77</v>
      </c>
      <c r="E2545" t="s">
        <v>17300</v>
      </c>
      <c r="F2545" s="2" t="n">
        <f>HYPERLINK("https://patents.google.com/patent/US20190367860","Google")</f>
        <v>0.0</v>
      </c>
      <c r="G2545" s="2" t="n">
        <f>HYPERLINK("https://patentcenter.uspto.gov/applications/16526654","Patent Center")</f>
        <v>0.0</v>
      </c>
      <c r="H2545" s="2" t="n">
        <f>HYPERLINK("https://worldwide.espacenet.com/patent/search?q=US20190367860","Espacenet")</f>
        <v>0.0</v>
      </c>
      <c r="I2545" s="2" t="n">
        <f>HYPERLINK("https://ppubs.uspto.gov/pubwebapp/external.html?q=20190367860.pn.","USPTO")</f>
        <v>0.0</v>
      </c>
      <c r="J2545" s="2" t="n">
        <f>HYPERLINK("https://image-ppubs.uspto.gov/dirsearch-public/print/downloadPdf/20190367860","USPTO PDF")</f>
        <v>0.0</v>
      </c>
      <c r="K2545" s="2" t="n">
        <f>HYPERLINK("https://sectors.patentforecast.com/pmd/US20190367860","PMD")</f>
        <v>0.0</v>
      </c>
      <c r="L2545" s="2" t="n">
        <f>HYPERLINK("https://globaldossier.uspto.gov/result/application/US/16526654/1","US20190367860")</f>
        <v>0.0</v>
      </c>
      <c r="M2545" t="s">
        <v>17301</v>
      </c>
      <c r="N2545" t="s">
        <v>16801</v>
      </c>
      <c r="O2545" t="s">
        <v>16802</v>
      </c>
      <c r="P2545" t="s">
        <v>17302</v>
      </c>
      <c r="Q2545" s="3" t="n">
        <v>43676.0</v>
      </c>
      <c r="R2545" s="3" t="n">
        <v>43804.0</v>
      </c>
      <c r="S2545" s="3" t="n">
        <v>43985.66955119213</v>
      </c>
      <c r="T2545" s="3" t="n">
        <v>43985.67861778935</v>
      </c>
      <c r="U2545" t="s">
        <v>17303</v>
      </c>
      <c r="V2545" t="s">
        <v>17304</v>
      </c>
    </row>
    <row r="2546">
      <c r="A2546" t="s">
        <v>22</v>
      </c>
      <c r="B2546" t="s">
        <v>17305</v>
      </c>
      <c r="C2546" t="s">
        <v>60</v>
      </c>
      <c r="D2546" t="s">
        <v>61</v>
      </c>
      <c r="E2546" t="s">
        <v>17306</v>
      </c>
      <c r="F2546" s="2" t="n">
        <f>HYPERLINK("https://patents.google.com/patent/US20190365748","Google")</f>
        <v>0.0</v>
      </c>
      <c r="G2546" s="2" t="n">
        <f>HYPERLINK("https://patentcenter.uspto.gov/applications/16409610","Patent Center")</f>
        <v>0.0</v>
      </c>
      <c r="H2546" s="2" t="n">
        <f>HYPERLINK("https://worldwide.espacenet.com/patent/search?q=US20190365748","Espacenet")</f>
        <v>0.0</v>
      </c>
      <c r="I2546" s="2" t="n">
        <f>HYPERLINK("https://ppubs.uspto.gov/pubwebapp/external.html?q=20190365748.pn.","USPTO")</f>
        <v>0.0</v>
      </c>
      <c r="J2546" s="2" t="n">
        <f>HYPERLINK("https://image-ppubs.uspto.gov/dirsearch-public/print/downloadPdf/20190365748","USPTO PDF")</f>
        <v>0.0</v>
      </c>
      <c r="K2546" s="2" t="n">
        <f>HYPERLINK("https://sectors.patentforecast.com/pmd/US20190365748","PMD")</f>
        <v>0.0</v>
      </c>
      <c r="L2546" s="2" t="n">
        <f>HYPERLINK("https://globaldossier.uspto.gov/result/application/US/16409610/1","US20190365748")</f>
        <v>0.0</v>
      </c>
      <c r="M2546" t="s">
        <v>17307</v>
      </c>
      <c r="N2546" t="s">
        <v>664</v>
      </c>
      <c r="O2546" t="s">
        <v>665</v>
      </c>
      <c r="P2546" t="s">
        <v>17308</v>
      </c>
      <c r="Q2546" s="3" t="n">
        <v>43595.0</v>
      </c>
      <c r="R2546" s="3" t="n">
        <v>43804.0</v>
      </c>
      <c r="S2546" s="3" t="n">
        <v>43952.45945721065</v>
      </c>
      <c r="T2546" s="3" t="n">
        <v>44638.65643378472</v>
      </c>
      <c r="U2546" t="s">
        <v>17309</v>
      </c>
      <c r="V2546" t="s">
        <v>17310</v>
      </c>
    </row>
    <row r="2547">
      <c r="A2547" t="s">
        <v>22</v>
      </c>
      <c r="B2547" t="s">
        <v>17311</v>
      </c>
      <c r="C2547" t="s">
        <v>132</v>
      </c>
      <c r="D2547" t="s">
        <v>2629</v>
      </c>
      <c r="E2547" t="s">
        <v>17312</v>
      </c>
      <c r="F2547" s="2" t="n">
        <f>HYPERLINK("https://patents.google.com/patent/US20190359987","Google")</f>
        <v>0.0</v>
      </c>
      <c r="G2547" s="2" t="n">
        <f>HYPERLINK("https://patentcenter.uspto.gov/applications/16421781","Patent Center")</f>
        <v>0.0</v>
      </c>
      <c r="H2547" s="2" t="n">
        <f>HYPERLINK("https://worldwide.espacenet.com/patent/search?q=US20190359987","Espacenet")</f>
        <v>0.0</v>
      </c>
      <c r="I2547" s="2" t="n">
        <f>HYPERLINK("https://ppubs.uspto.gov/pubwebapp/external.html?q=20190359987.pn.","USPTO")</f>
        <v>0.0</v>
      </c>
      <c r="J2547" s="2" t="n">
        <f>HYPERLINK("https://image-ppubs.uspto.gov/dirsearch-public/print/downloadPdf/20190359987","USPTO PDF")</f>
        <v>0.0</v>
      </c>
      <c r="K2547" s="2" t="n">
        <f>HYPERLINK("https://sectors.patentforecast.com/pmd/US20190359987","PMD")</f>
        <v>0.0</v>
      </c>
      <c r="L2547" s="2" t="n">
        <f>HYPERLINK("https://globaldossier.uspto.gov/result/application/US/16421781/1","US20190359987")</f>
        <v>0.0</v>
      </c>
      <c r="M2547" t="s">
        <v>17313</v>
      </c>
      <c r="N2547" t="s">
        <v>8097</v>
      </c>
      <c r="O2547" t="s">
        <v>8098</v>
      </c>
      <c r="P2547" t="s">
        <v>17314</v>
      </c>
      <c r="Q2547" s="3" t="n">
        <v>43609.0</v>
      </c>
      <c r="R2547" s="3" t="n">
        <v>43797.0</v>
      </c>
      <c r="S2547" s="3" t="n">
        <v>43936.4616650463</v>
      </c>
      <c r="T2547" s="3" t="n">
        <v>44543.63983296297</v>
      </c>
      <c r="U2547" t="s">
        <v>17315</v>
      </c>
      <c r="V2547" t="s">
        <v>17316</v>
      </c>
    </row>
    <row r="2548">
      <c r="A2548" t="s">
        <v>22</v>
      </c>
      <c r="B2548" t="s">
        <v>17317</v>
      </c>
      <c r="C2548" t="s">
        <v>60</v>
      </c>
      <c r="D2548" t="s">
        <v>61</v>
      </c>
      <c r="E2548" t="s">
        <v>17318</v>
      </c>
      <c r="F2548" s="2" t="n">
        <f>HYPERLINK("https://patents.google.com/patent/US20190359644","Google")</f>
        <v>0.0</v>
      </c>
      <c r="G2548" s="2" t="n">
        <f>HYPERLINK("https://patentcenter.uspto.gov/applications/16226811","Patent Center")</f>
        <v>0.0</v>
      </c>
      <c r="H2548" s="2" t="n">
        <f>HYPERLINK("https://worldwide.espacenet.com/patent/search?q=US20190359644","Espacenet")</f>
        <v>0.0</v>
      </c>
      <c r="I2548" s="2" t="n">
        <f>HYPERLINK("https://ppubs.uspto.gov/pubwebapp/external.html?q=20190359644.pn.","USPTO")</f>
        <v>0.0</v>
      </c>
      <c r="J2548" s="2" t="n">
        <f>HYPERLINK("https://image-ppubs.uspto.gov/dirsearch-public/print/downloadPdf/20190359644","USPTO PDF")</f>
        <v>0.0</v>
      </c>
      <c r="K2548" s="2" t="n">
        <f>HYPERLINK("https://sectors.patentforecast.com/pmd/US20190359644","PMD")</f>
        <v>0.0</v>
      </c>
      <c r="L2548" s="2" t="n">
        <f>HYPERLINK("https://globaldossier.uspto.gov/result/application/US/16226811/1","US20190359644")</f>
        <v>0.0</v>
      </c>
      <c r="M2548" t="s">
        <v>17319</v>
      </c>
      <c r="N2548" t="s">
        <v>664</v>
      </c>
      <c r="O2548" t="s">
        <v>665</v>
      </c>
      <c r="P2548" t="s">
        <v>17320</v>
      </c>
      <c r="Q2548" s="3" t="n">
        <v>43454.0</v>
      </c>
      <c r="R2548" s="3" t="n">
        <v>43797.0</v>
      </c>
      <c r="S2548" s="3" t="n">
        <v>43952.45945721065</v>
      </c>
      <c r="T2548" s="3" t="n">
        <v>44638.65807175926</v>
      </c>
      <c r="U2548" t="s">
        <v>17321</v>
      </c>
      <c r="V2548" t="s">
        <v>17322</v>
      </c>
    </row>
    <row r="2549">
      <c r="A2549" t="s">
        <v>22</v>
      </c>
      <c r="B2549" t="s">
        <v>17323</v>
      </c>
      <c r="C2549" t="s">
        <v>132</v>
      </c>
      <c r="D2549" t="s">
        <v>1265</v>
      </c>
      <c r="E2549" t="s">
        <v>17324</v>
      </c>
      <c r="F2549" s="2" t="n">
        <f>HYPERLINK("https://patents.google.com/patent/US20190358168","Google")</f>
        <v>0.0</v>
      </c>
      <c r="G2549" s="2" t="n">
        <f>HYPERLINK("https://patentcenter.uspto.gov/applications/16527648","Patent Center")</f>
        <v>0.0</v>
      </c>
      <c r="H2549" s="2" t="n">
        <f>HYPERLINK("https://worldwide.espacenet.com/patent/search?q=US20190358168","Espacenet")</f>
        <v>0.0</v>
      </c>
      <c r="I2549" s="2" t="n">
        <f>HYPERLINK("https://ppubs.uspto.gov/pubwebapp/external.html?q=20190358168.pn.","USPTO")</f>
        <v>0.0</v>
      </c>
      <c r="J2549" s="2" t="n">
        <f>HYPERLINK("https://image-ppubs.uspto.gov/dirsearch-public/print/downloadPdf/20190358168","USPTO PDF")</f>
        <v>0.0</v>
      </c>
      <c r="K2549" s="2" t="n">
        <f>HYPERLINK("https://sectors.patentforecast.com/pmd/US20190358168","PMD")</f>
        <v>0.0</v>
      </c>
      <c r="L2549" s="2" t="n">
        <f>HYPERLINK("https://globaldossier.uspto.gov/result/application/US/16527648/1","US20190358168")</f>
        <v>0.0</v>
      </c>
      <c r="M2549" t="s">
        <v>17325</v>
      </c>
      <c r="N2549" t="s">
        <v>17326</v>
      </c>
      <c r="O2549" t="s">
        <v>17327</v>
      </c>
      <c r="P2549" t="s">
        <v>17328</v>
      </c>
      <c r="Q2549" s="3" t="n">
        <v>43677.0</v>
      </c>
      <c r="R2549" s="3" t="n">
        <v>43797.0</v>
      </c>
      <c r="S2549" s="3" t="n">
        <v>43936.4616650463</v>
      </c>
      <c r="T2549" s="3" t="n">
        <v>44543.68144787037</v>
      </c>
      <c r="U2549" t="s">
        <v>17329</v>
      </c>
      <c r="V2549" t="s">
        <v>17330</v>
      </c>
    </row>
    <row r="2550">
      <c r="A2550" t="s">
        <v>22</v>
      </c>
      <c r="B2550" t="s">
        <v>17331</v>
      </c>
      <c r="C2550" t="s">
        <v>24</v>
      </c>
      <c r="D2550" t="s">
        <v>25</v>
      </c>
      <c r="E2550" t="s">
        <v>17332</v>
      </c>
      <c r="F2550" s="2" t="n">
        <f>HYPERLINK("https://patents.google.com/patent/US20190355480","Google")</f>
        <v>0.0</v>
      </c>
      <c r="G2550" s="2" t="n">
        <f>HYPERLINK("https://patentcenter.uspto.gov/applications/16423232","Patent Center")</f>
        <v>0.0</v>
      </c>
      <c r="H2550" s="2" t="n">
        <f>HYPERLINK("https://worldwide.espacenet.com/patent/search?q=US20190355480","Espacenet")</f>
        <v>0.0</v>
      </c>
      <c r="I2550" s="2" t="n">
        <f>HYPERLINK("https://ppubs.uspto.gov/pubwebapp/external.html?q=20190355480.pn.","USPTO")</f>
        <v>0.0</v>
      </c>
      <c r="J2550" s="2" t="n">
        <f>HYPERLINK("https://image-ppubs.uspto.gov/dirsearch-public/print/downloadPdf/20190355480","USPTO PDF")</f>
        <v>0.0</v>
      </c>
      <c r="K2550" s="2" t="n">
        <f>HYPERLINK("https://sectors.patentforecast.com/pmd/US20190355480","PMD")</f>
        <v>0.0</v>
      </c>
      <c r="L2550" s="2" t="n">
        <f>HYPERLINK("https://globaldossier.uspto.gov/result/application/US/16423232/1","US20190355480")</f>
        <v>0.0</v>
      </c>
      <c r="M2550" t="s">
        <v>17333</v>
      </c>
      <c r="N2550" t="s">
        <v>17334</v>
      </c>
      <c r="O2550" t="s">
        <v>17335</v>
      </c>
      <c r="P2550" t="s">
        <v>17336</v>
      </c>
      <c r="Q2550" s="3" t="n">
        <v>43613.0</v>
      </c>
      <c r="R2550" s="3" t="n">
        <v>43790.0</v>
      </c>
      <c r="S2550" s="3" t="n">
        <v>43908.458510358796</v>
      </c>
      <c r="T2550" s="3" t="n">
        <v>43950.55375533565</v>
      </c>
      <c r="U2550" t="s">
        <v>15882</v>
      </c>
      <c r="V2550" t="s">
        <v>17337</v>
      </c>
    </row>
    <row r="2551">
      <c r="A2551" t="s">
        <v>22</v>
      </c>
      <c r="B2551" t="s">
        <v>17338</v>
      </c>
      <c r="C2551" t="s">
        <v>24</v>
      </c>
      <c r="D2551" t="s">
        <v>25</v>
      </c>
      <c r="E2551" t="s">
        <v>17339</v>
      </c>
      <c r="F2551" s="2" t="n">
        <f>HYPERLINK("https://patents.google.com/patent/US20190355082","Google")</f>
        <v>0.0</v>
      </c>
      <c r="G2551" s="2" t="n">
        <f>HYPERLINK("https://patentcenter.uspto.gov/applications/16523238","Patent Center")</f>
        <v>0.0</v>
      </c>
      <c r="H2551" s="2" t="n">
        <f>HYPERLINK("https://worldwide.espacenet.com/patent/search?q=US20190355082","Espacenet")</f>
        <v>0.0</v>
      </c>
      <c r="I2551" s="2" t="n">
        <f>HYPERLINK("https://ppubs.uspto.gov/pubwebapp/external.html?q=20190355082.pn.","USPTO")</f>
        <v>0.0</v>
      </c>
      <c r="J2551" s="2" t="n">
        <f>HYPERLINK("https://image-ppubs.uspto.gov/dirsearch-public/print/downloadPdf/20190355082","USPTO PDF")</f>
        <v>0.0</v>
      </c>
      <c r="K2551" s="2" t="n">
        <f>HYPERLINK("https://sectors.patentforecast.com/pmd/US20190355082","PMD")</f>
        <v>0.0</v>
      </c>
      <c r="L2551" s="2" t="n">
        <f>HYPERLINK("https://globaldossier.uspto.gov/result/application/US/16523238/1","US20190355082")</f>
        <v>0.0</v>
      </c>
      <c r="M2551" t="s">
        <v>17340</v>
      </c>
      <c r="N2551" t="s">
        <v>979</v>
      </c>
      <c r="O2551" t="s">
        <v>980</v>
      </c>
      <c r="P2551" t="s">
        <v>17341</v>
      </c>
      <c r="Q2551" s="3" t="n">
        <v>43672.0</v>
      </c>
      <c r="R2551" s="3" t="n">
        <v>43790.0</v>
      </c>
      <c r="S2551" s="3" t="n">
        <v>43908.458510358796</v>
      </c>
      <c r="T2551" s="3" t="n">
        <v>43937.51688725694</v>
      </c>
      <c r="U2551" t="s">
        <v>17342</v>
      </c>
      <c r="V2551" t="s">
        <v>17343</v>
      </c>
    </row>
    <row r="2552">
      <c r="A2552" t="s">
        <v>22</v>
      </c>
      <c r="B2552" t="s">
        <v>17344</v>
      </c>
      <c r="C2552" t="s">
        <v>60</v>
      </c>
      <c r="D2552" t="s">
        <v>77</v>
      </c>
      <c r="E2552" t="s">
        <v>17345</v>
      </c>
      <c r="F2552" s="2" t="n">
        <f>HYPERLINK("https://patents.google.com/patent/US20190351049","Google")</f>
        <v>0.0</v>
      </c>
      <c r="G2552" s="2" t="n">
        <f>HYPERLINK("https://patentcenter.uspto.gov/applications/16530140","Patent Center")</f>
        <v>0.0</v>
      </c>
      <c r="H2552" s="2" t="n">
        <f>HYPERLINK("https://worldwide.espacenet.com/patent/search?q=US20190351049","Espacenet")</f>
        <v>0.0</v>
      </c>
      <c r="I2552" s="2" t="n">
        <f>HYPERLINK("https://ppubs.uspto.gov/pubwebapp/external.html?q=20190351049.pn.","USPTO")</f>
        <v>0.0</v>
      </c>
      <c r="J2552" s="2" t="n">
        <f>HYPERLINK("https://image-ppubs.uspto.gov/dirsearch-public/print/downloadPdf/20190351049","USPTO PDF")</f>
        <v>0.0</v>
      </c>
      <c r="K2552" s="2" t="n">
        <f>HYPERLINK("https://sectors.patentforecast.com/pmd/US20190351049","PMD")</f>
        <v>0.0</v>
      </c>
      <c r="L2552" s="2" t="n">
        <f>HYPERLINK("https://globaldossier.uspto.gov/result/application/US/16530140/1","US20190351049")</f>
        <v>0.0</v>
      </c>
      <c r="M2552" t="s">
        <v>17346</v>
      </c>
      <c r="N2552" t="s">
        <v>4321</v>
      </c>
      <c r="O2552" t="s">
        <v>4322</v>
      </c>
      <c r="P2552" t="s">
        <v>17347</v>
      </c>
      <c r="Q2552" s="3" t="n">
        <v>43679.0</v>
      </c>
      <c r="R2552" s="3" t="n">
        <v>43790.0</v>
      </c>
      <c r="S2552" s="3" t="n">
        <v>43935.704047824074</v>
      </c>
      <c r="T2552" s="3" t="n">
        <v>43985.63712869213</v>
      </c>
      <c r="U2552" t="s">
        <v>17348</v>
      </c>
      <c r="V2552" t="s">
        <v>17349</v>
      </c>
    </row>
    <row r="2553">
      <c r="A2553" t="s">
        <v>22</v>
      </c>
      <c r="B2553" t="s">
        <v>17350</v>
      </c>
      <c r="C2553" t="s">
        <v>132</v>
      </c>
      <c r="D2553" t="s">
        <v>133</v>
      </c>
      <c r="E2553" t="s">
        <v>8405</v>
      </c>
      <c r="F2553" s="2" t="n">
        <f>HYPERLINK("https://patents.google.com/patent/US20190351048","Google")</f>
        <v>0.0</v>
      </c>
      <c r="G2553" s="2" t="n">
        <f>HYPERLINK("https://patentcenter.uspto.gov/applications/16471539","Patent Center")</f>
        <v>0.0</v>
      </c>
      <c r="H2553" s="2" t="n">
        <f>HYPERLINK("https://worldwide.espacenet.com/patent/search?q=US20190351048","Espacenet")</f>
        <v>0.0</v>
      </c>
      <c r="I2553" s="2" t="n">
        <f>HYPERLINK("https://ppubs.uspto.gov/pubwebapp/external.html?q=20190351048.pn.","USPTO")</f>
        <v>0.0</v>
      </c>
      <c r="J2553" s="2" t="n">
        <f>HYPERLINK("https://image-ppubs.uspto.gov/dirsearch-public/print/downloadPdf/20190351048","USPTO PDF")</f>
        <v>0.0</v>
      </c>
      <c r="K2553" s="2" t="n">
        <f>HYPERLINK("https://sectors.patentforecast.com/pmd/US20190351048","PMD")</f>
        <v>0.0</v>
      </c>
      <c r="L2553" s="2" t="n">
        <f>HYPERLINK("https://globaldossier.uspto.gov/result/application/US/16471539/1","US20190351048")</f>
        <v>0.0</v>
      </c>
      <c r="M2553" t="s">
        <v>17351</v>
      </c>
      <c r="N2553" t="s">
        <v>136</v>
      </c>
      <c r="O2553" t="s">
        <v>137</v>
      </c>
      <c r="P2553" t="s">
        <v>8407</v>
      </c>
      <c r="Q2553" s="3" t="n">
        <v>43091.0</v>
      </c>
      <c r="R2553" s="3" t="n">
        <v>43790.0</v>
      </c>
      <c r="S2553" s="3" t="n">
        <v>43935.704047824074</v>
      </c>
      <c r="T2553" s="3" t="n">
        <v>43950.45694527778</v>
      </c>
      <c r="U2553" t="s">
        <v>17352</v>
      </c>
      <c r="V2553" t="s">
        <v>8409</v>
      </c>
    </row>
    <row r="2554">
      <c r="A2554" t="s">
        <v>22</v>
      </c>
      <c r="B2554" t="s">
        <v>17353</v>
      </c>
      <c r="C2554" t="s">
        <v>60</v>
      </c>
      <c r="D2554" t="s">
        <v>61</v>
      </c>
      <c r="E2554" t="s">
        <v>17354</v>
      </c>
      <c r="F2554" s="2" t="n">
        <f>HYPERLINK("https://patents.google.com/patent/US20190345190","Google")</f>
        <v>0.0</v>
      </c>
      <c r="G2554" s="2" t="n">
        <f>HYPERLINK("https://patentcenter.uspto.gov/applications/16196075","Patent Center")</f>
        <v>0.0</v>
      </c>
      <c r="H2554" s="2" t="n">
        <f>HYPERLINK("https://worldwide.espacenet.com/patent/search?q=US20190345190","Espacenet")</f>
        <v>0.0</v>
      </c>
      <c r="I2554" s="2" t="n">
        <f>HYPERLINK("https://ppubs.uspto.gov/pubwebapp/external.html?q=20190345190.pn.","USPTO")</f>
        <v>0.0</v>
      </c>
      <c r="J2554" s="2" t="n">
        <f>HYPERLINK("https://image-ppubs.uspto.gov/dirsearch-public/print/downloadPdf/20190345190","USPTO PDF")</f>
        <v>0.0</v>
      </c>
      <c r="K2554" s="2" t="n">
        <f>HYPERLINK("https://sectors.patentforecast.com/pmd/US20190345190","PMD")</f>
        <v>0.0</v>
      </c>
      <c r="L2554" s="2" t="n">
        <f>HYPERLINK("https://globaldossier.uspto.gov/result/application/US/16196075/1","US20190345190")</f>
        <v>0.0</v>
      </c>
      <c r="M2554" t="s">
        <v>17355</v>
      </c>
      <c r="N2554" t="s">
        <v>664</v>
      </c>
      <c r="O2554" t="s">
        <v>665</v>
      </c>
      <c r="P2554" t="s">
        <v>17356</v>
      </c>
      <c r="Q2554" s="3" t="n">
        <v>43424.0</v>
      </c>
      <c r="R2554" s="3" t="n">
        <v>43783.0</v>
      </c>
      <c r="S2554" s="3" t="n">
        <v>43952.45945721065</v>
      </c>
      <c r="T2554" s="3" t="n">
        <v>44638.662781747684</v>
      </c>
      <c r="U2554" t="s">
        <v>17357</v>
      </c>
      <c r="V2554" t="s">
        <v>17358</v>
      </c>
    </row>
    <row r="2555">
      <c r="A2555" t="s">
        <v>22</v>
      </c>
      <c r="B2555" t="s">
        <v>17359</v>
      </c>
      <c r="C2555" t="s">
        <v>60</v>
      </c>
      <c r="D2555" t="s">
        <v>61</v>
      </c>
      <c r="E2555" t="s">
        <v>16903</v>
      </c>
      <c r="F2555" s="2" t="n">
        <f>HYPERLINK("https://patents.google.com/patent/US20190337960","Google")</f>
        <v>0.0</v>
      </c>
      <c r="G2555" s="2" t="n">
        <f>HYPERLINK("https://patentcenter.uspto.gov/applications/16209860","Patent Center")</f>
        <v>0.0</v>
      </c>
      <c r="H2555" s="2" t="n">
        <f>HYPERLINK("https://worldwide.espacenet.com/patent/search?q=US20190337960","Espacenet")</f>
        <v>0.0</v>
      </c>
      <c r="I2555" s="2" t="n">
        <f>HYPERLINK("https://ppubs.uspto.gov/pubwebapp/external.html?q=20190337960.pn.","USPTO")</f>
        <v>0.0</v>
      </c>
      <c r="J2555" s="2" t="n">
        <f>HYPERLINK("https://image-ppubs.uspto.gov/dirsearch-public/print/downloadPdf/20190337960","USPTO PDF")</f>
        <v>0.0</v>
      </c>
      <c r="K2555" s="2" t="n">
        <f>HYPERLINK("https://sectors.patentforecast.com/pmd/US20190337960","PMD")</f>
        <v>0.0</v>
      </c>
      <c r="L2555" s="2" t="n">
        <f>HYPERLINK("https://globaldossier.uspto.gov/result/application/US/16209860/1","US20190337960")</f>
        <v>0.0</v>
      </c>
      <c r="M2555" t="s">
        <v>17360</v>
      </c>
      <c r="N2555" t="s">
        <v>664</v>
      </c>
      <c r="O2555" t="s">
        <v>665</v>
      </c>
      <c r="P2555" t="s">
        <v>17361</v>
      </c>
      <c r="Q2555" s="3" t="n">
        <v>43438.0</v>
      </c>
      <c r="R2555" s="3" t="n">
        <v>43776.0</v>
      </c>
      <c r="S2555" s="3" t="n">
        <v>43952.45945721065</v>
      </c>
      <c r="T2555" s="3" t="n">
        <v>44638.65271974537</v>
      </c>
      <c r="U2555" t="s">
        <v>17362</v>
      </c>
      <c r="V2555" t="s">
        <v>17072</v>
      </c>
    </row>
    <row r="2556">
      <c r="A2556" t="s">
        <v>22</v>
      </c>
      <c r="B2556" t="s">
        <v>17363</v>
      </c>
      <c r="C2556" t="s">
        <v>861</v>
      </c>
      <c r="D2556" t="s">
        <v>17364</v>
      </c>
      <c r="E2556" t="s">
        <v>17365</v>
      </c>
      <c r="F2556" s="2" t="n">
        <f>HYPERLINK("https://patents.google.com/patent/US20190333647","Google")</f>
        <v>0.0</v>
      </c>
      <c r="G2556" s="2" t="n">
        <f>HYPERLINK("https://patentcenter.uspto.gov/applications/16504565","Patent Center")</f>
        <v>0.0</v>
      </c>
      <c r="H2556" s="2" t="n">
        <f>HYPERLINK("https://worldwide.espacenet.com/patent/search?q=US20190333647","Espacenet")</f>
        <v>0.0</v>
      </c>
      <c r="I2556" s="2" t="n">
        <f>HYPERLINK("https://ppubs.uspto.gov/pubwebapp/external.html?q=20190333647.pn.","USPTO")</f>
        <v>0.0</v>
      </c>
      <c r="J2556" s="2" t="n">
        <f>HYPERLINK("https://image-ppubs.uspto.gov/dirsearch-public/print/downloadPdf/20190333647","USPTO PDF")</f>
        <v>0.0</v>
      </c>
      <c r="K2556" s="2" t="n">
        <f>HYPERLINK("https://sectors.patentforecast.com/pmd/US20190333647","PMD")</f>
        <v>0.0</v>
      </c>
      <c r="L2556" s="2" t="n">
        <f>HYPERLINK("https://globaldossier.uspto.gov/result/application/US/16504565/1","US20190333647")</f>
        <v>0.0</v>
      </c>
      <c r="M2556" t="s">
        <v>17366</v>
      </c>
      <c r="N2556" t="s">
        <v>9610</v>
      </c>
      <c r="O2556" t="s">
        <v>9611</v>
      </c>
      <c r="P2556" t="s">
        <v>17367</v>
      </c>
      <c r="Q2556" s="3" t="n">
        <v>43654.0</v>
      </c>
      <c r="R2556" s="3" t="n">
        <v>43769.0</v>
      </c>
      <c r="S2556" s="3" t="n">
        <v>43908.458510358796</v>
      </c>
      <c r="T2556" s="3" t="n">
        <v>44543.60305651621</v>
      </c>
      <c r="U2556" t="s">
        <v>17368</v>
      </c>
      <c r="V2556" t="s">
        <v>17369</v>
      </c>
    </row>
    <row r="2557">
      <c r="A2557" t="s">
        <v>22</v>
      </c>
      <c r="B2557" t="s">
        <v>17370</v>
      </c>
      <c r="C2557" t="s">
        <v>312</v>
      </c>
      <c r="D2557" t="s">
        <v>313</v>
      </c>
      <c r="E2557" t="s">
        <v>17371</v>
      </c>
      <c r="F2557" s="2" t="n">
        <f>HYPERLINK("https://patents.google.com/patent/US20190333645","Google")</f>
        <v>0.0</v>
      </c>
      <c r="G2557" s="2" t="n">
        <f>HYPERLINK("https://patentcenter.uspto.gov/applications/15966064","Patent Center")</f>
        <v>0.0</v>
      </c>
      <c r="H2557" s="2" t="n">
        <f>HYPERLINK("https://worldwide.espacenet.com/patent/search?q=US20190333645","Espacenet")</f>
        <v>0.0</v>
      </c>
      <c r="I2557" s="2" t="n">
        <f>HYPERLINK("https://ppubs.uspto.gov/pubwebapp/external.html?q=20190333645.pn.","USPTO")</f>
        <v>0.0</v>
      </c>
      <c r="J2557" s="2" t="n">
        <f>HYPERLINK("https://image-ppubs.uspto.gov/dirsearch-public/print/downloadPdf/20190333645","USPTO PDF")</f>
        <v>0.0</v>
      </c>
      <c r="K2557" s="2" t="n">
        <f>HYPERLINK("https://sectors.patentforecast.com/pmd/US20190333645","PMD")</f>
        <v>0.0</v>
      </c>
      <c r="L2557" s="2" t="n">
        <f>HYPERLINK("https://globaldossier.uspto.gov/result/application/US/15966064/1","US20190333645")</f>
        <v>0.0</v>
      </c>
      <c r="M2557" t="s">
        <v>17372</v>
      </c>
      <c r="N2557" t="s">
        <v>17373</v>
      </c>
      <c r="O2557" t="s">
        <v>17374</v>
      </c>
      <c r="P2557" t="s">
        <v>17375</v>
      </c>
      <c r="Q2557" s="3" t="n">
        <v>43220.0</v>
      </c>
      <c r="R2557" s="3" t="n">
        <v>43769.0</v>
      </c>
      <c r="S2557" s="3" t="n">
        <v>43908.458510358796</v>
      </c>
      <c r="T2557" s="3" t="n">
        <v>43991.46446934028</v>
      </c>
      <c r="U2557" t="s">
        <v>15882</v>
      </c>
      <c r="V2557" t="s">
        <v>17376</v>
      </c>
    </row>
    <row r="2558">
      <c r="A2558" t="s">
        <v>22</v>
      </c>
      <c r="B2558" t="s">
        <v>17377</v>
      </c>
      <c r="C2558" t="s">
        <v>132</v>
      </c>
      <c r="D2558" t="s">
        <v>133</v>
      </c>
      <c r="E2558" t="s">
        <v>17378</v>
      </c>
      <c r="F2558" s="2" t="n">
        <f>HYPERLINK("https://patents.google.com/patent/US20190328865","Google")</f>
        <v>0.0</v>
      </c>
      <c r="G2558" s="2" t="n">
        <f>HYPERLINK("https://patentcenter.uspto.gov/applications/16462125","Patent Center")</f>
        <v>0.0</v>
      </c>
      <c r="H2558" s="2" t="n">
        <f>HYPERLINK("https://worldwide.espacenet.com/patent/search?q=US20190328865","Espacenet")</f>
        <v>0.0</v>
      </c>
      <c r="I2558" s="2" t="n">
        <f>HYPERLINK("https://ppubs.uspto.gov/pubwebapp/external.html?q=20190328865.pn.","USPTO")</f>
        <v>0.0</v>
      </c>
      <c r="J2558" s="2" t="n">
        <f>HYPERLINK("https://image-ppubs.uspto.gov/dirsearch-public/print/downloadPdf/20190328865","USPTO PDF")</f>
        <v>0.0</v>
      </c>
      <c r="K2558" s="2" t="n">
        <f>HYPERLINK("https://sectors.patentforecast.com/pmd/US20190328865","PMD")</f>
        <v>0.0</v>
      </c>
      <c r="L2558" s="2" t="n">
        <f>HYPERLINK("https://globaldossier.uspto.gov/result/application/US/16462125/1","US20190328865")</f>
        <v>0.0</v>
      </c>
      <c r="M2558" t="s">
        <v>17379</v>
      </c>
      <c r="N2558" t="s">
        <v>17380</v>
      </c>
      <c r="O2558" t="s">
        <v>17381</v>
      </c>
      <c r="P2558" t="s">
        <v>17382</v>
      </c>
      <c r="Q2558" s="3" t="n">
        <v>43056.0</v>
      </c>
      <c r="R2558" s="3" t="n">
        <v>43769.0</v>
      </c>
      <c r="S2558" s="3" t="n">
        <v>43935.704047824074</v>
      </c>
      <c r="T2558" s="3" t="n">
        <v>43950.46150305556</v>
      </c>
      <c r="U2558" t="s">
        <v>17383</v>
      </c>
      <c r="V2558" t="s">
        <v>17384</v>
      </c>
    </row>
    <row r="2559">
      <c r="A2559" t="s">
        <v>22</v>
      </c>
      <c r="B2559" t="s">
        <v>17385</v>
      </c>
      <c r="C2559" t="s">
        <v>60</v>
      </c>
      <c r="D2559" t="s">
        <v>61</v>
      </c>
      <c r="E2559" t="s">
        <v>17386</v>
      </c>
      <c r="F2559" s="2" t="n">
        <f>HYPERLINK("https://patents.google.com/patent/US20190315792","Google")</f>
        <v>0.0</v>
      </c>
      <c r="G2559" s="2" t="n">
        <f>HYPERLINK("https://patentcenter.uspto.gov/applications/16162634","Patent Center")</f>
        <v>0.0</v>
      </c>
      <c r="H2559" s="2" t="n">
        <f>HYPERLINK("https://worldwide.espacenet.com/patent/search?q=US20190315792","Espacenet")</f>
        <v>0.0</v>
      </c>
      <c r="I2559" s="2" t="n">
        <f>HYPERLINK("https://ppubs.uspto.gov/pubwebapp/external.html?q=20190315792.pn.","USPTO")</f>
        <v>0.0</v>
      </c>
      <c r="J2559" s="2" t="n">
        <f>HYPERLINK("https://image-ppubs.uspto.gov/dirsearch-public/print/downloadPdf/20190315792","USPTO PDF")</f>
        <v>0.0</v>
      </c>
      <c r="K2559" s="2" t="n">
        <f>HYPERLINK("https://sectors.patentforecast.com/pmd/US20190315792","PMD")</f>
        <v>0.0</v>
      </c>
      <c r="L2559" s="2" t="n">
        <f>HYPERLINK("https://globaldossier.uspto.gov/result/application/US/16162634/1","US20190315792")</f>
        <v>0.0</v>
      </c>
      <c r="M2559" t="s">
        <v>17387</v>
      </c>
      <c r="N2559" t="s">
        <v>664</v>
      </c>
      <c r="O2559" t="s">
        <v>665</v>
      </c>
      <c r="P2559" t="s">
        <v>17388</v>
      </c>
      <c r="Q2559" s="3" t="n">
        <v>43390.0</v>
      </c>
      <c r="R2559" s="3" t="n">
        <v>43755.0</v>
      </c>
      <c r="S2559" s="3" t="n">
        <v>43950.66032956018</v>
      </c>
      <c r="T2559" s="3" t="n">
        <v>44638.66608797454</v>
      </c>
      <c r="U2559" t="s">
        <v>17389</v>
      </c>
      <c r="V2559" t="s">
        <v>17390</v>
      </c>
    </row>
    <row r="2560">
      <c r="A2560" t="s">
        <v>22</v>
      </c>
      <c r="B2560" t="s">
        <v>17391</v>
      </c>
      <c r="C2560" t="s">
        <v>60</v>
      </c>
      <c r="D2560" t="s">
        <v>61</v>
      </c>
      <c r="E2560" t="s">
        <v>17354</v>
      </c>
      <c r="F2560" s="2" t="n">
        <f>HYPERLINK("https://patents.google.com/patent/US20190315785","Google")</f>
        <v>0.0</v>
      </c>
      <c r="G2560" s="2" t="n">
        <f>HYPERLINK("https://patentcenter.uspto.gov/applications/16195152","Patent Center")</f>
        <v>0.0</v>
      </c>
      <c r="H2560" s="2" t="n">
        <f>HYPERLINK("https://worldwide.espacenet.com/patent/search?q=US20190315785","Espacenet")</f>
        <v>0.0</v>
      </c>
      <c r="I2560" s="2" t="n">
        <f>HYPERLINK("https://ppubs.uspto.gov/pubwebapp/external.html?q=20190315785.pn.","USPTO")</f>
        <v>0.0</v>
      </c>
      <c r="J2560" s="2" t="n">
        <f>HYPERLINK("https://image-ppubs.uspto.gov/dirsearch-public/print/downloadPdf/20190315785","USPTO PDF")</f>
        <v>0.0</v>
      </c>
      <c r="K2560" s="2" t="n">
        <f>HYPERLINK("https://sectors.patentforecast.com/pmd/US20190315785","PMD")</f>
        <v>0.0</v>
      </c>
      <c r="L2560" s="2" t="n">
        <f>HYPERLINK("https://globaldossier.uspto.gov/result/application/US/16195152/1","US20190315785")</f>
        <v>0.0</v>
      </c>
      <c r="M2560" t="s">
        <v>17392</v>
      </c>
      <c r="N2560" t="s">
        <v>664</v>
      </c>
      <c r="O2560" t="s">
        <v>665</v>
      </c>
      <c r="P2560" t="s">
        <v>17356</v>
      </c>
      <c r="Q2560" s="3" t="n">
        <v>43423.0</v>
      </c>
      <c r="R2560" s="3" t="n">
        <v>43755.0</v>
      </c>
      <c r="S2560" s="3" t="n">
        <v>43952.45945721065</v>
      </c>
      <c r="T2560" s="3" t="n">
        <v>44638.662781747684</v>
      </c>
      <c r="U2560" t="s">
        <v>17393</v>
      </c>
      <c r="V2560" t="s">
        <v>17358</v>
      </c>
    </row>
    <row r="2561">
      <c r="A2561" t="s">
        <v>22</v>
      </c>
      <c r="B2561" t="s">
        <v>17394</v>
      </c>
      <c r="C2561" t="s">
        <v>132</v>
      </c>
      <c r="D2561" t="s">
        <v>1265</v>
      </c>
      <c r="E2561" t="s">
        <v>4432</v>
      </c>
      <c r="F2561" s="2" t="n">
        <f>HYPERLINK("https://patents.google.com/patent/US20190314487","Google")</f>
        <v>0.0</v>
      </c>
      <c r="G2561" s="2" t="n">
        <f>HYPERLINK("https://patentcenter.uspto.gov/applications/16357876","Patent Center")</f>
        <v>0.0</v>
      </c>
      <c r="H2561" s="2" t="n">
        <f>HYPERLINK("https://worldwide.espacenet.com/patent/search?q=US20190314487","Espacenet")</f>
        <v>0.0</v>
      </c>
      <c r="I2561" s="2" t="n">
        <f>HYPERLINK("https://ppubs.uspto.gov/pubwebapp/external.html?q=20190314487.pn.","USPTO")</f>
        <v>0.0</v>
      </c>
      <c r="J2561" s="2" t="n">
        <f>HYPERLINK("https://image-ppubs.uspto.gov/dirsearch-public/print/downloadPdf/20190314487","USPTO PDF")</f>
        <v>0.0</v>
      </c>
      <c r="K2561" s="2" t="n">
        <f>HYPERLINK("https://sectors.patentforecast.com/pmd/US20190314487","PMD")</f>
        <v>0.0</v>
      </c>
      <c r="L2561" s="2" t="n">
        <f>HYPERLINK("https://globaldossier.uspto.gov/result/application/US/16357876/1","US20190314487")</f>
        <v>0.0</v>
      </c>
      <c r="M2561" t="s">
        <v>17395</v>
      </c>
      <c r="N2561" t="s">
        <v>1275</v>
      </c>
      <c r="O2561" t="s">
        <v>1275</v>
      </c>
      <c r="P2561" t="s">
        <v>4434</v>
      </c>
      <c r="Q2561" s="3" t="n">
        <v>43543.0</v>
      </c>
      <c r="R2561" s="3" t="n">
        <v>43755.0</v>
      </c>
      <c r="S2561" s="3" t="n">
        <v>43966.48180256945</v>
      </c>
      <c r="T2561" s="3" t="n">
        <v>43990.70709106482</v>
      </c>
      <c r="U2561" t="s">
        <v>17396</v>
      </c>
      <c r="V2561" t="s">
        <v>4436</v>
      </c>
    </row>
    <row r="2562">
      <c r="A2562" t="s">
        <v>22</v>
      </c>
      <c r="B2562" t="s">
        <v>17397</v>
      </c>
      <c r="C2562" t="s">
        <v>132</v>
      </c>
      <c r="D2562" t="s">
        <v>1265</v>
      </c>
      <c r="E2562" t="s">
        <v>17398</v>
      </c>
      <c r="F2562" s="2" t="n">
        <f>HYPERLINK("https://patents.google.com/patent/US20190314484","Google")</f>
        <v>0.0</v>
      </c>
      <c r="G2562" s="2" t="n">
        <f>HYPERLINK("https://patentcenter.uspto.gov/applications/16210501","Patent Center")</f>
        <v>0.0</v>
      </c>
      <c r="H2562" s="2" t="n">
        <f>HYPERLINK("https://worldwide.espacenet.com/patent/search?q=US20190314484","Espacenet")</f>
        <v>0.0</v>
      </c>
      <c r="I2562" s="2" t="n">
        <f>HYPERLINK("https://ppubs.uspto.gov/pubwebapp/external.html?q=20190314484.pn.","USPTO")</f>
        <v>0.0</v>
      </c>
      <c r="J2562" s="2" t="n">
        <f>HYPERLINK("https://image-ppubs.uspto.gov/dirsearch-public/print/downloadPdf/20190314484","USPTO PDF")</f>
        <v>0.0</v>
      </c>
      <c r="K2562" s="2" t="n">
        <f>HYPERLINK("https://sectors.patentforecast.com/pmd/US20190314484","PMD")</f>
        <v>0.0</v>
      </c>
      <c r="L2562" s="2" t="n">
        <f>HYPERLINK("https://globaldossier.uspto.gov/result/application/US/16210501/1","US20190314484")</f>
        <v>0.0</v>
      </c>
      <c r="M2562" t="s">
        <v>17399</v>
      </c>
      <c r="N2562" t="s">
        <v>1275</v>
      </c>
      <c r="O2562" t="s">
        <v>1275</v>
      </c>
      <c r="P2562" t="s">
        <v>17400</v>
      </c>
      <c r="Q2562" s="3" t="n">
        <v>43439.0</v>
      </c>
      <c r="R2562" s="3" t="n">
        <v>43755.0</v>
      </c>
      <c r="S2562" s="3" t="n">
        <v>43900.43726237269</v>
      </c>
      <c r="T2562" s="3" t="n">
        <v>43901.72156394676</v>
      </c>
      <c r="U2562" t="s">
        <v>17401</v>
      </c>
      <c r="V2562" t="s">
        <v>17402</v>
      </c>
    </row>
    <row r="2563">
      <c r="A2563" t="s">
        <v>22</v>
      </c>
      <c r="B2563" t="s">
        <v>17403</v>
      </c>
      <c r="C2563" t="s">
        <v>60</v>
      </c>
      <c r="D2563" t="s">
        <v>61</v>
      </c>
      <c r="E2563" t="s">
        <v>17404</v>
      </c>
      <c r="F2563" s="2" t="n">
        <f>HYPERLINK("https://patents.google.com/patent/US20190309052","Google")</f>
        <v>0.0</v>
      </c>
      <c r="G2563" s="2" t="n">
        <f>HYPERLINK("https://patentcenter.uspto.gov/applications/16372163","Patent Center")</f>
        <v>0.0</v>
      </c>
      <c r="H2563" s="2" t="n">
        <f>HYPERLINK("https://worldwide.espacenet.com/patent/search?q=US20190309052","Espacenet")</f>
        <v>0.0</v>
      </c>
      <c r="I2563" s="2" t="n">
        <f>HYPERLINK("https://ppubs.uspto.gov/pubwebapp/external.html?q=20190309052.pn.","USPTO")</f>
        <v>0.0</v>
      </c>
      <c r="J2563" s="2" t="n">
        <f>HYPERLINK("https://image-ppubs.uspto.gov/dirsearch-public/print/downloadPdf/20190309052","USPTO PDF")</f>
        <v>0.0</v>
      </c>
      <c r="K2563" s="2" t="n">
        <f>HYPERLINK("https://sectors.patentforecast.com/pmd/US20190309052","PMD")</f>
        <v>0.0</v>
      </c>
      <c r="L2563" s="2" t="n">
        <f>HYPERLINK("https://globaldossier.uspto.gov/result/application/US/16372163/1","US20190309052")</f>
        <v>0.0</v>
      </c>
      <c r="M2563" t="s">
        <v>17405</v>
      </c>
      <c r="N2563" t="s">
        <v>664</v>
      </c>
      <c r="O2563" t="s">
        <v>665</v>
      </c>
      <c r="P2563" t="s">
        <v>17406</v>
      </c>
      <c r="Q2563" s="3" t="n">
        <v>43556.0</v>
      </c>
      <c r="R2563" s="3" t="n">
        <v>43748.0</v>
      </c>
      <c r="S2563" s="3" t="n">
        <v>43952.45945721065</v>
      </c>
      <c r="T2563" s="3" t="n">
        <v>44638.65643378472</v>
      </c>
      <c r="U2563" t="s">
        <v>17407</v>
      </c>
      <c r="V2563" t="s">
        <v>17408</v>
      </c>
    </row>
    <row r="2564">
      <c r="A2564" t="s">
        <v>22</v>
      </c>
      <c r="B2564" t="s">
        <v>17409</v>
      </c>
      <c r="C2564" t="s">
        <v>60</v>
      </c>
      <c r="D2564" t="s">
        <v>61</v>
      </c>
      <c r="E2564" t="s">
        <v>17410</v>
      </c>
      <c r="F2564" s="2" t="n">
        <f>HYPERLINK("https://patents.google.com/patent/US20190308983","Google")</f>
        <v>0.0</v>
      </c>
      <c r="G2564" s="2" t="n">
        <f>HYPERLINK("https://patentcenter.uspto.gov/applications/16364487","Patent Center")</f>
        <v>0.0</v>
      </c>
      <c r="H2564" s="2" t="n">
        <f>HYPERLINK("https://worldwide.espacenet.com/patent/search?q=US20190308983","Espacenet")</f>
        <v>0.0</v>
      </c>
      <c r="I2564" s="2" t="n">
        <f>HYPERLINK("https://ppubs.uspto.gov/pubwebapp/external.html?q=20190308983.pn.","USPTO")</f>
        <v>0.0</v>
      </c>
      <c r="J2564" s="2" t="n">
        <f>HYPERLINK("https://image-ppubs.uspto.gov/dirsearch-public/print/downloadPdf/20190308983","USPTO PDF")</f>
        <v>0.0</v>
      </c>
      <c r="K2564" s="2" t="n">
        <f>HYPERLINK("https://sectors.patentforecast.com/pmd/US20190308983","PMD")</f>
        <v>0.0</v>
      </c>
      <c r="L2564" s="2" t="n">
        <f>HYPERLINK("https://globaldossier.uspto.gov/result/application/US/16364487/1","US20190308983")</f>
        <v>0.0</v>
      </c>
      <c r="M2564" t="s">
        <v>17411</v>
      </c>
      <c r="N2564" t="s">
        <v>664</v>
      </c>
      <c r="O2564" t="s">
        <v>665</v>
      </c>
      <c r="P2564" t="s">
        <v>17412</v>
      </c>
      <c r="Q2564" s="3" t="n">
        <v>43550.0</v>
      </c>
      <c r="R2564" s="3" t="n">
        <v>43748.0</v>
      </c>
      <c r="S2564" s="3" t="n">
        <v>43952.45945721065</v>
      </c>
      <c r="T2564" s="3" t="n">
        <v>44638.662781747684</v>
      </c>
      <c r="U2564" t="s">
        <v>17413</v>
      </c>
      <c r="V2564" t="s">
        <v>17414</v>
      </c>
    </row>
    <row r="2565">
      <c r="A2565" t="s">
        <v>22</v>
      </c>
      <c r="B2565" t="s">
        <v>17415</v>
      </c>
      <c r="C2565" t="s">
        <v>132</v>
      </c>
      <c r="D2565" t="s">
        <v>2629</v>
      </c>
      <c r="E2565" t="s">
        <v>17416</v>
      </c>
      <c r="F2565" s="2" t="n">
        <f>HYPERLINK("https://patents.google.com/patent/US20190307870","Google")</f>
        <v>0.0</v>
      </c>
      <c r="G2565" s="2" t="n">
        <f>HYPERLINK("https://patentcenter.uspto.gov/applications/16302718","Patent Center")</f>
        <v>0.0</v>
      </c>
      <c r="H2565" s="2" t="n">
        <f>HYPERLINK("https://worldwide.espacenet.com/patent/search?q=US20190307870","Espacenet")</f>
        <v>0.0</v>
      </c>
      <c r="I2565" s="2" t="n">
        <f>HYPERLINK("https://ppubs.uspto.gov/pubwebapp/external.html?q=20190307870.pn.","USPTO")</f>
        <v>0.0</v>
      </c>
      <c r="J2565" s="2" t="n">
        <f>HYPERLINK("https://image-ppubs.uspto.gov/dirsearch-public/print/downloadPdf/20190307870","USPTO PDF")</f>
        <v>0.0</v>
      </c>
      <c r="K2565" s="2" t="n">
        <f>HYPERLINK("https://sectors.patentforecast.com/pmd/US20190307870","PMD")</f>
        <v>0.0</v>
      </c>
      <c r="L2565" s="2" t="n">
        <f>HYPERLINK("https://globaldossier.uspto.gov/result/application/US/16302718/1","US20190307870")</f>
        <v>0.0</v>
      </c>
      <c r="M2565" t="s">
        <v>17417</v>
      </c>
      <c r="N2565" t="s">
        <v>10151</v>
      </c>
      <c r="O2565" t="s">
        <v>10152</v>
      </c>
      <c r="P2565" t="s">
        <v>17418</v>
      </c>
      <c r="Q2565" s="3" t="n">
        <v>42874.0</v>
      </c>
      <c r="R2565" s="3" t="n">
        <v>43748.0</v>
      </c>
      <c r="S2565" s="3" t="n">
        <v>43936.46037263889</v>
      </c>
      <c r="T2565" s="3" t="n">
        <v>44543.6822815162</v>
      </c>
      <c r="U2565" t="s">
        <v>17419</v>
      </c>
      <c r="V2565" t="s">
        <v>17420</v>
      </c>
    </row>
    <row r="2566">
      <c r="A2566" t="s">
        <v>22</v>
      </c>
      <c r="B2566" t="s">
        <v>17421</v>
      </c>
      <c r="C2566" t="s">
        <v>60</v>
      </c>
      <c r="D2566" t="s">
        <v>61</v>
      </c>
      <c r="E2566" t="s">
        <v>17422</v>
      </c>
      <c r="F2566" s="2" t="n">
        <f>HYPERLINK("https://patents.google.com/patent/US20190307722","Google")</f>
        <v>0.0</v>
      </c>
      <c r="G2566" s="2" t="n">
        <f>HYPERLINK("https://patentcenter.uspto.gov/applications/16340346","Patent Center")</f>
        <v>0.0</v>
      </c>
      <c r="H2566" s="2" t="n">
        <f>HYPERLINK("https://worldwide.espacenet.com/patent/search?q=US20190307722","Espacenet")</f>
        <v>0.0</v>
      </c>
      <c r="I2566" s="2" t="n">
        <f>HYPERLINK("https://ppubs.uspto.gov/pubwebapp/external.html?q=20190307722.pn.","USPTO")</f>
        <v>0.0</v>
      </c>
      <c r="J2566" s="2" t="n">
        <f>HYPERLINK("https://image-ppubs.uspto.gov/dirsearch-public/print/downloadPdf/20190307722","USPTO PDF")</f>
        <v>0.0</v>
      </c>
      <c r="K2566" s="2" t="n">
        <f>HYPERLINK("https://sectors.patentforecast.com/pmd/US20190307722","PMD")</f>
        <v>0.0</v>
      </c>
      <c r="L2566" s="2" t="n">
        <f>HYPERLINK("https://globaldossier.uspto.gov/result/application/US/16340346/1","US20190307722")</f>
        <v>0.0</v>
      </c>
      <c r="M2566" t="s">
        <v>17423</v>
      </c>
      <c r="N2566" t="s">
        <v>17424</v>
      </c>
      <c r="O2566" t="s">
        <v>17425</v>
      </c>
      <c r="P2566" t="s">
        <v>17426</v>
      </c>
      <c r="Q2566" s="3" t="n">
        <v>43028.0</v>
      </c>
      <c r="R2566" s="3" t="n">
        <v>43748.0</v>
      </c>
      <c r="S2566" s="3" t="n">
        <v>43935.704047824074</v>
      </c>
      <c r="T2566" s="3" t="n">
        <v>43950.46294056713</v>
      </c>
      <c r="U2566" t="s">
        <v>17427</v>
      </c>
      <c r="V2566" t="s">
        <v>17428</v>
      </c>
    </row>
    <row r="2567">
      <c r="A2567" t="s">
        <v>22</v>
      </c>
      <c r="B2567" t="s">
        <v>17429</v>
      </c>
      <c r="C2567" t="s">
        <v>60</v>
      </c>
      <c r="D2567" t="s">
        <v>77</v>
      </c>
      <c r="E2567" t="s">
        <v>17430</v>
      </c>
      <c r="F2567" s="2" t="n">
        <f>HYPERLINK("https://patents.google.com/patent/US20190300954","Google")</f>
        <v>0.0</v>
      </c>
      <c r="G2567" s="2" t="n">
        <f>HYPERLINK("https://patentcenter.uspto.gov/applications/16423861","Patent Center")</f>
        <v>0.0</v>
      </c>
      <c r="H2567" s="2" t="n">
        <f>HYPERLINK("https://worldwide.espacenet.com/patent/search?q=US20190300954","Espacenet")</f>
        <v>0.0</v>
      </c>
      <c r="I2567" s="2" t="n">
        <f>HYPERLINK("https://ppubs.uspto.gov/pubwebapp/external.html?q=20190300954.pn.","USPTO")</f>
        <v>0.0</v>
      </c>
      <c r="J2567" s="2" t="n">
        <f>HYPERLINK("https://image-ppubs.uspto.gov/dirsearch-public/print/downloadPdf/20190300954","USPTO PDF")</f>
        <v>0.0</v>
      </c>
      <c r="K2567" s="2" t="n">
        <f>HYPERLINK("https://sectors.patentforecast.com/pmd/US20190300954","PMD")</f>
        <v>0.0</v>
      </c>
      <c r="L2567" s="2" t="n">
        <f>HYPERLINK("https://globaldossier.uspto.gov/result/application/US/16423861/1","US20190300954")</f>
        <v>0.0</v>
      </c>
      <c r="M2567" t="s">
        <v>17431</v>
      </c>
      <c r="N2567" t="s">
        <v>16801</v>
      </c>
      <c r="O2567" t="s">
        <v>16802</v>
      </c>
      <c r="P2567" t="s">
        <v>17432</v>
      </c>
      <c r="Q2567" s="3" t="n">
        <v>43613.0</v>
      </c>
      <c r="R2567" s="3" t="n">
        <v>43741.0</v>
      </c>
      <c r="S2567" s="3" t="n">
        <v>43985.669204328704</v>
      </c>
      <c r="T2567" s="3" t="n">
        <v>43985.67861778935</v>
      </c>
      <c r="U2567" t="s">
        <v>17433</v>
      </c>
      <c r="V2567" t="s">
        <v>17434</v>
      </c>
    </row>
    <row r="2568">
      <c r="A2568" t="s">
        <v>22</v>
      </c>
      <c r="B2568" t="s">
        <v>17435</v>
      </c>
      <c r="C2568" t="s">
        <v>60</v>
      </c>
      <c r="D2568" t="s">
        <v>77</v>
      </c>
      <c r="E2568" t="s">
        <v>4319</v>
      </c>
      <c r="F2568" s="2" t="n">
        <f>HYPERLINK("https://patents.google.com/patent/US20190300625","Google")</f>
        <v>0.0</v>
      </c>
      <c r="G2568" s="2" t="n">
        <f>HYPERLINK("https://patentcenter.uspto.gov/applications/16256560","Patent Center")</f>
        <v>0.0</v>
      </c>
      <c r="H2568" s="2" t="n">
        <f>HYPERLINK("https://worldwide.espacenet.com/patent/search?q=US20190300625","Espacenet")</f>
        <v>0.0</v>
      </c>
      <c r="I2568" s="2" t="n">
        <f>HYPERLINK("https://ppubs.uspto.gov/pubwebapp/external.html?q=20190300625.pn.","USPTO")</f>
        <v>0.0</v>
      </c>
      <c r="J2568" s="2" t="n">
        <f>HYPERLINK("https://image-ppubs.uspto.gov/dirsearch-public/print/downloadPdf/20190300625","USPTO PDF")</f>
        <v>0.0</v>
      </c>
      <c r="K2568" s="2" t="n">
        <f>HYPERLINK("https://sectors.patentforecast.com/pmd/US20190300625","PMD")</f>
        <v>0.0</v>
      </c>
      <c r="L2568" s="2" t="n">
        <f>HYPERLINK("https://globaldossier.uspto.gov/result/application/US/16256560/1","US20190300625")</f>
        <v>0.0</v>
      </c>
      <c r="M2568" t="s">
        <v>17436</v>
      </c>
      <c r="N2568" t="s">
        <v>4321</v>
      </c>
      <c r="O2568" t="s">
        <v>4322</v>
      </c>
      <c r="P2568" t="s">
        <v>17437</v>
      </c>
      <c r="Q2568" s="3" t="n">
        <v>43489.0</v>
      </c>
      <c r="R2568" s="3" t="n">
        <v>43741.0</v>
      </c>
      <c r="S2568" s="3" t="n">
        <v>43935.704047824074</v>
      </c>
      <c r="T2568" s="3" t="n">
        <v>43950.536497800924</v>
      </c>
      <c r="U2568" t="s">
        <v>17438</v>
      </c>
      <c r="V2568" t="s">
        <v>4325</v>
      </c>
    </row>
    <row r="2569">
      <c r="A2569" t="s">
        <v>22</v>
      </c>
      <c r="B2569" t="s">
        <v>17439</v>
      </c>
      <c r="C2569" t="s">
        <v>24</v>
      </c>
      <c r="D2569" t="s">
        <v>25</v>
      </c>
      <c r="E2569" t="s">
        <v>17440</v>
      </c>
      <c r="F2569" s="2" t="n">
        <f>HYPERLINK("https://patents.google.com/patent/US20190295732","Google")</f>
        <v>0.0</v>
      </c>
      <c r="G2569" s="2" t="n">
        <f>HYPERLINK("https://patentcenter.uspto.gov/applications/16044740","Patent Center")</f>
        <v>0.0</v>
      </c>
      <c r="H2569" s="2" t="n">
        <f>HYPERLINK("https://worldwide.espacenet.com/patent/search?q=US20190295732","Espacenet")</f>
        <v>0.0</v>
      </c>
      <c r="I2569" s="2" t="n">
        <f>HYPERLINK("https://ppubs.uspto.gov/pubwebapp/external.html?q=20190295732.pn.","USPTO")</f>
        <v>0.0</v>
      </c>
      <c r="J2569" s="2" t="n">
        <f>HYPERLINK("https://image-ppubs.uspto.gov/dirsearch-public/print/downloadPdf/20190295732","USPTO PDF")</f>
        <v>0.0</v>
      </c>
      <c r="K2569" s="2" t="n">
        <f>HYPERLINK("https://sectors.patentforecast.com/pmd/US20190295732","PMD")</f>
        <v>0.0</v>
      </c>
      <c r="L2569" s="2" t="n">
        <f>HYPERLINK("https://globaldossier.uspto.gov/result/application/US/16044740/1","US20190295732")</f>
        <v>0.0</v>
      </c>
      <c r="M2569" t="s">
        <v>17441</v>
      </c>
      <c r="N2569" t="s">
        <v>17442</v>
      </c>
      <c r="O2569" t="s">
        <v>17442</v>
      </c>
      <c r="P2569" t="s">
        <v>17443</v>
      </c>
      <c r="Q2569" s="3" t="n">
        <v>43306.0</v>
      </c>
      <c r="R2569" s="3" t="n">
        <v>43734.0</v>
      </c>
      <c r="S2569" s="3" t="n">
        <v>43908.458510358796</v>
      </c>
      <c r="T2569" s="3" t="n">
        <v>43948.68929383102</v>
      </c>
      <c r="U2569" t="s">
        <v>17444</v>
      </c>
      <c r="V2569" t="s">
        <v>17445</v>
      </c>
    </row>
    <row r="2570">
      <c r="A2570" t="s">
        <v>22</v>
      </c>
      <c r="B2570" t="s">
        <v>17446</v>
      </c>
      <c r="C2570" t="s">
        <v>24</v>
      </c>
      <c r="D2570" t="s">
        <v>17447</v>
      </c>
      <c r="E2570" t="s">
        <v>17448</v>
      </c>
      <c r="F2570" s="2" t="n">
        <f>HYPERLINK("https://patents.google.com/patent/US20190295725","Google")</f>
        <v>0.0</v>
      </c>
      <c r="G2570" s="2" t="n">
        <f>HYPERLINK("https://patentcenter.uspto.gov/applications/15933386","Patent Center")</f>
        <v>0.0</v>
      </c>
      <c r="H2570" s="2" t="n">
        <f>HYPERLINK("https://worldwide.espacenet.com/patent/search?q=US20190295725","Espacenet")</f>
        <v>0.0</v>
      </c>
      <c r="I2570" s="2" t="n">
        <f>HYPERLINK("https://ppubs.uspto.gov/pubwebapp/external.html?q=20190295725.pn.","USPTO")</f>
        <v>0.0</v>
      </c>
      <c r="J2570" s="2" t="n">
        <f>HYPERLINK("https://image-ppubs.uspto.gov/dirsearch-public/print/downloadPdf/20190295725","USPTO PDF")</f>
        <v>0.0</v>
      </c>
      <c r="K2570" s="2" t="n">
        <f>HYPERLINK("https://sectors.patentforecast.com/pmd/US20190295725","PMD")</f>
        <v>0.0</v>
      </c>
      <c r="L2570" s="2" t="n">
        <f>HYPERLINK("https://globaldossier.uspto.gov/result/application/US/15933386/1","US20190295725")</f>
        <v>0.0</v>
      </c>
      <c r="M2570" t="s">
        <v>17449</v>
      </c>
      <c r="N2570" t="s">
        <v>17450</v>
      </c>
      <c r="O2570" t="s">
        <v>17451</v>
      </c>
      <c r="P2570" t="s">
        <v>17452</v>
      </c>
      <c r="Q2570" s="3" t="n">
        <v>43182.0</v>
      </c>
      <c r="R2570" s="3" t="n">
        <v>43734.0</v>
      </c>
      <c r="S2570" s="3" t="n">
        <v>43908.458510358796</v>
      </c>
      <c r="T2570" s="3" t="n">
        <v>43984.69592760417</v>
      </c>
      <c r="U2570" t="s">
        <v>17453</v>
      </c>
      <c r="V2570" t="s">
        <v>17454</v>
      </c>
    </row>
    <row r="2571">
      <c r="A2571" t="s">
        <v>22</v>
      </c>
      <c r="B2571" t="s">
        <v>17455</v>
      </c>
      <c r="C2571" t="s">
        <v>24</v>
      </c>
      <c r="D2571" t="s">
        <v>34</v>
      </c>
      <c r="E2571" t="s">
        <v>17456</v>
      </c>
      <c r="F2571" s="2" t="n">
        <f>HYPERLINK("https://patents.google.com/patent/US20190291110","Google")</f>
        <v>0.0</v>
      </c>
      <c r="G2571" s="2" t="n">
        <f>HYPERLINK("https://patentcenter.uspto.gov/applications/16359589","Patent Center")</f>
        <v>0.0</v>
      </c>
      <c r="H2571" s="2" t="n">
        <f>HYPERLINK("https://worldwide.espacenet.com/patent/search?q=US20190291110","Espacenet")</f>
        <v>0.0</v>
      </c>
      <c r="I2571" s="2" t="n">
        <f>HYPERLINK("https://ppubs.uspto.gov/pubwebapp/external.html?q=20190291110.pn.","USPTO")</f>
        <v>0.0</v>
      </c>
      <c r="J2571" s="2" t="n">
        <f>HYPERLINK("https://image-ppubs.uspto.gov/dirsearch-public/print/downloadPdf/20190291110","USPTO PDF")</f>
        <v>0.0</v>
      </c>
      <c r="K2571" s="2" t="n">
        <f>HYPERLINK("https://sectors.patentforecast.com/pmd/US20190291110","PMD")</f>
        <v>0.0</v>
      </c>
      <c r="L2571" s="2" t="n">
        <f>HYPERLINK("https://globaldossier.uspto.gov/result/application/US/16359589/1","US20190291110")</f>
        <v>0.0</v>
      </c>
      <c r="M2571" t="s">
        <v>17457</v>
      </c>
      <c r="N2571" t="s">
        <v>17458</v>
      </c>
      <c r="O2571" t="s">
        <v>17459</v>
      </c>
      <c r="P2571" t="s">
        <v>17460</v>
      </c>
      <c r="Q2571" s="3" t="n">
        <v>43544.0</v>
      </c>
      <c r="R2571" s="3" t="n">
        <v>43734.0</v>
      </c>
      <c r="S2571" s="3" t="n">
        <v>43900.43726237269</v>
      </c>
      <c r="T2571" s="3" t="n">
        <v>43901.72156527778</v>
      </c>
      <c r="U2571" t="s">
        <v>17461</v>
      </c>
      <c r="V2571" t="s">
        <v>17462</v>
      </c>
    </row>
    <row r="2572">
      <c r="A2572" t="s">
        <v>22</v>
      </c>
      <c r="B2572" t="s">
        <v>17463</v>
      </c>
      <c r="C2572" t="s">
        <v>60</v>
      </c>
      <c r="D2572" t="s">
        <v>77</v>
      </c>
      <c r="E2572" t="s">
        <v>17464</v>
      </c>
      <c r="F2572" s="2" t="n">
        <f>HYPERLINK("https://patents.google.com/patent/US20190276519","Google")</f>
        <v>0.0</v>
      </c>
      <c r="G2572" s="2" t="n">
        <f>HYPERLINK("https://patentcenter.uspto.gov/applications/16259209","Patent Center")</f>
        <v>0.0</v>
      </c>
      <c r="H2572" s="2" t="n">
        <f>HYPERLINK("https://worldwide.espacenet.com/patent/search?q=US20190276519","Espacenet")</f>
        <v>0.0</v>
      </c>
      <c r="I2572" s="2" t="n">
        <f>HYPERLINK("https://ppubs.uspto.gov/pubwebapp/external.html?q=20190276519.pn.","USPTO")</f>
        <v>0.0</v>
      </c>
      <c r="J2572" s="2" t="n">
        <f>HYPERLINK("https://image-ppubs.uspto.gov/dirsearch-public/print/downloadPdf/20190276519","USPTO PDF")</f>
        <v>0.0</v>
      </c>
      <c r="K2572" s="2" t="n">
        <f>HYPERLINK("https://sectors.patentforecast.com/pmd/US20190276519","PMD")</f>
        <v>0.0</v>
      </c>
      <c r="L2572" s="2" t="n">
        <f>HYPERLINK("https://globaldossier.uspto.gov/result/application/US/16259209/1","US20190276519")</f>
        <v>0.0</v>
      </c>
      <c r="M2572" t="s">
        <v>17465</v>
      </c>
      <c r="N2572" t="s">
        <v>15231</v>
      </c>
      <c r="O2572" t="s">
        <v>15232</v>
      </c>
      <c r="P2572" t="s">
        <v>17466</v>
      </c>
      <c r="Q2572" s="3" t="n">
        <v>43493.0</v>
      </c>
      <c r="R2572" s="3" t="n">
        <v>43720.0</v>
      </c>
      <c r="S2572" s="3" t="n">
        <v>43966.48180256945</v>
      </c>
      <c r="T2572" s="3" t="n">
        <v>43985.6419503125</v>
      </c>
      <c r="U2572" t="s">
        <v>17467</v>
      </c>
      <c r="V2572" t="s">
        <v>17468</v>
      </c>
    </row>
    <row r="2573">
      <c r="A2573" t="s">
        <v>22</v>
      </c>
      <c r="B2573" t="s">
        <v>17469</v>
      </c>
      <c r="C2573" t="s">
        <v>60</v>
      </c>
      <c r="D2573" t="s">
        <v>61</v>
      </c>
      <c r="E2573" t="s">
        <v>16903</v>
      </c>
      <c r="F2573" s="2" t="n">
        <f>HYPERLINK("https://patents.google.com/patent/US20190276468","Google")</f>
        <v>0.0</v>
      </c>
      <c r="G2573" s="2" t="n">
        <f>HYPERLINK("https://patentcenter.uspto.gov/applications/16158204","Patent Center")</f>
        <v>0.0</v>
      </c>
      <c r="H2573" s="2" t="n">
        <f>HYPERLINK("https://worldwide.espacenet.com/patent/search?q=US20190276468","Espacenet")</f>
        <v>0.0</v>
      </c>
      <c r="I2573" s="2" t="n">
        <f>HYPERLINK("https://ppubs.uspto.gov/pubwebapp/external.html?q=20190276468.pn.","USPTO")</f>
        <v>0.0</v>
      </c>
      <c r="J2573" s="2" t="n">
        <f>HYPERLINK("https://image-ppubs.uspto.gov/dirsearch-public/print/downloadPdf/20190276468","USPTO PDF")</f>
        <v>0.0</v>
      </c>
      <c r="K2573" s="2" t="n">
        <f>HYPERLINK("https://sectors.patentforecast.com/pmd/US20190276468","PMD")</f>
        <v>0.0</v>
      </c>
      <c r="L2573" s="2" t="n">
        <f>HYPERLINK("https://globaldossier.uspto.gov/result/application/US/16158204/1","US20190276468")</f>
        <v>0.0</v>
      </c>
      <c r="M2573" t="s">
        <v>17470</v>
      </c>
      <c r="N2573" t="s">
        <v>664</v>
      </c>
      <c r="O2573" t="s">
        <v>665</v>
      </c>
      <c r="P2573" t="s">
        <v>17471</v>
      </c>
      <c r="Q2573" s="3" t="n">
        <v>43384.0</v>
      </c>
      <c r="R2573" s="3" t="n">
        <v>43720.0</v>
      </c>
      <c r="S2573" s="3" t="n">
        <v>43952.45945721065</v>
      </c>
      <c r="T2573" s="3" t="n">
        <v>44638.65271974537</v>
      </c>
      <c r="U2573" t="s">
        <v>17472</v>
      </c>
      <c r="V2573" t="s">
        <v>17072</v>
      </c>
    </row>
    <row r="2574">
      <c r="A2574" t="s">
        <v>22</v>
      </c>
      <c r="B2574" t="s">
        <v>17473</v>
      </c>
      <c r="C2574" t="s">
        <v>60</v>
      </c>
      <c r="D2574" t="s">
        <v>61</v>
      </c>
      <c r="E2574" t="s">
        <v>17474</v>
      </c>
      <c r="F2574" s="2" t="n">
        <f>HYPERLINK("https://patents.google.com/patent/US20190275063","Google")</f>
        <v>0.0</v>
      </c>
      <c r="G2574" s="2" t="n">
        <f>HYPERLINK("https://patentcenter.uspto.gov/applications/16274049","Patent Center")</f>
        <v>0.0</v>
      </c>
      <c r="H2574" s="2" t="n">
        <f>HYPERLINK("https://worldwide.espacenet.com/patent/search?q=US20190275063","Espacenet")</f>
        <v>0.0</v>
      </c>
      <c r="I2574" s="2" t="n">
        <f>HYPERLINK("https://ppubs.uspto.gov/pubwebapp/external.html?q=20190275063.pn.","USPTO")</f>
        <v>0.0</v>
      </c>
      <c r="J2574" s="2" t="n">
        <f>HYPERLINK("https://image-ppubs.uspto.gov/dirsearch-public/print/downloadPdf/20190275063","USPTO PDF")</f>
        <v>0.0</v>
      </c>
      <c r="K2574" s="2" t="n">
        <f>HYPERLINK("https://sectors.patentforecast.com/pmd/US20190275063","PMD")</f>
        <v>0.0</v>
      </c>
      <c r="L2574" s="2" t="n">
        <f>HYPERLINK("https://globaldossier.uspto.gov/result/application/US/16274049/1","US20190275063")</f>
        <v>0.0</v>
      </c>
      <c r="M2574" t="s">
        <v>17475</v>
      </c>
      <c r="N2574" t="s">
        <v>664</v>
      </c>
      <c r="O2574" t="s">
        <v>665</v>
      </c>
      <c r="P2574" t="s">
        <v>17476</v>
      </c>
      <c r="Q2574" s="3" t="n">
        <v>43508.0</v>
      </c>
      <c r="R2574" s="3" t="n">
        <v>43720.0</v>
      </c>
      <c r="S2574" s="3" t="n">
        <v>43952.45945721065</v>
      </c>
      <c r="T2574" s="3" t="n">
        <v>44638.65643378472</v>
      </c>
      <c r="U2574" t="s">
        <v>17477</v>
      </c>
      <c r="V2574" t="s">
        <v>17478</v>
      </c>
    </row>
    <row r="2575">
      <c r="A2575" t="s">
        <v>22</v>
      </c>
      <c r="B2575" t="s">
        <v>17479</v>
      </c>
      <c r="C2575" t="s">
        <v>312</v>
      </c>
      <c r="D2575" t="s">
        <v>976</v>
      </c>
      <c r="E2575" t="s">
        <v>17480</v>
      </c>
      <c r="F2575" s="2" t="n">
        <f>HYPERLINK("https://patents.google.com/patent/US20190272925","Google")</f>
        <v>0.0</v>
      </c>
      <c r="G2575" s="2" t="n">
        <f>HYPERLINK("https://patentcenter.uspto.gov/applications/16290820","Patent Center")</f>
        <v>0.0</v>
      </c>
      <c r="H2575" s="2" t="n">
        <f>HYPERLINK("https://worldwide.espacenet.com/patent/search?q=US20190272925","Espacenet")</f>
        <v>0.0</v>
      </c>
      <c r="I2575" s="2" t="n">
        <f>HYPERLINK("https://ppubs.uspto.gov/pubwebapp/external.html?q=20190272925.pn.","USPTO")</f>
        <v>0.0</v>
      </c>
      <c r="J2575" s="2" t="n">
        <f>HYPERLINK("https://image-ppubs.uspto.gov/dirsearch-public/print/downloadPdf/20190272925","USPTO PDF")</f>
        <v>0.0</v>
      </c>
      <c r="K2575" s="2" t="n">
        <f>HYPERLINK("https://sectors.patentforecast.com/pmd/US20190272925","PMD")</f>
        <v>0.0</v>
      </c>
      <c r="L2575" s="2" t="n">
        <f>HYPERLINK("https://globaldossier.uspto.gov/result/application/US/16290820/1","US20190272925")</f>
        <v>0.0</v>
      </c>
      <c r="M2575" t="s">
        <v>17481</v>
      </c>
      <c r="N2575" t="s">
        <v>16341</v>
      </c>
      <c r="O2575" t="s">
        <v>16342</v>
      </c>
      <c r="P2575" t="s">
        <v>17482</v>
      </c>
      <c r="Q2575" s="3" t="n">
        <v>43525.0</v>
      </c>
      <c r="R2575" s="3" t="n">
        <v>43713.0</v>
      </c>
      <c r="S2575" s="3" t="n">
        <v>43908.458510358796</v>
      </c>
      <c r="T2575" s="3" t="n">
        <v>43950.57960164352</v>
      </c>
      <c r="U2575" t="s">
        <v>17483</v>
      </c>
      <c r="V2575" t="s">
        <v>17484</v>
      </c>
    </row>
    <row r="2576">
      <c r="A2576" t="s">
        <v>22</v>
      </c>
      <c r="B2576" t="s">
        <v>17485</v>
      </c>
      <c r="C2576" t="s">
        <v>60</v>
      </c>
      <c r="D2576" t="s">
        <v>696</v>
      </c>
      <c r="E2576" t="s">
        <v>17486</v>
      </c>
      <c r="F2576" s="2" t="n">
        <f>HYPERLINK("https://patents.google.com/patent/US20190270805","Google")</f>
        <v>0.0</v>
      </c>
      <c r="G2576" s="2" t="n">
        <f>HYPERLINK("https://patentcenter.uspto.gov/applications/16191514","Patent Center")</f>
        <v>0.0</v>
      </c>
      <c r="H2576" s="2" t="n">
        <f>HYPERLINK("https://worldwide.espacenet.com/patent/search?q=US20190270805","Espacenet")</f>
        <v>0.0</v>
      </c>
      <c r="I2576" s="2" t="n">
        <f>HYPERLINK("https://ppubs.uspto.gov/pubwebapp/external.html?q=20190270805.pn.","USPTO")</f>
        <v>0.0</v>
      </c>
      <c r="J2576" s="2" t="n">
        <f>HYPERLINK("https://image-ppubs.uspto.gov/dirsearch-public/print/downloadPdf/20190270805","USPTO PDF")</f>
        <v>0.0</v>
      </c>
      <c r="K2576" s="2" t="n">
        <f>HYPERLINK("https://sectors.patentforecast.com/pmd/US20190270805","PMD")</f>
        <v>0.0</v>
      </c>
      <c r="L2576" s="2" t="n">
        <f>HYPERLINK("https://globaldossier.uspto.gov/result/application/US/16191514/1","US20190270805")</f>
        <v>0.0</v>
      </c>
      <c r="M2576" t="s">
        <v>17487</v>
      </c>
      <c r="N2576" t="s">
        <v>17488</v>
      </c>
      <c r="O2576" t="s">
        <v>17489</v>
      </c>
      <c r="P2576" t="s">
        <v>17490</v>
      </c>
      <c r="Q2576" s="3" t="n">
        <v>43419.0</v>
      </c>
      <c r="R2576" s="3" t="n">
        <v>43713.0</v>
      </c>
      <c r="S2576" s="3" t="n">
        <v>43966.48180256945</v>
      </c>
      <c r="T2576" s="3" t="n">
        <v>44643.44366574074</v>
      </c>
      <c r="U2576" t="s">
        <v>17491</v>
      </c>
      <c r="V2576" t="s">
        <v>17492</v>
      </c>
    </row>
    <row r="2577">
      <c r="A2577" t="s">
        <v>22</v>
      </c>
      <c r="B2577" t="s">
        <v>17493</v>
      </c>
      <c r="C2577" t="s">
        <v>60</v>
      </c>
      <c r="D2577" t="s">
        <v>61</v>
      </c>
      <c r="E2577" t="s">
        <v>17494</v>
      </c>
      <c r="F2577" s="2" t="n">
        <f>HYPERLINK("https://patents.google.com/patent/US20190270750","Google")</f>
        <v>0.0</v>
      </c>
      <c r="G2577" s="2" t="n">
        <f>HYPERLINK("https://patentcenter.uspto.gov/applications/15845837","Patent Center")</f>
        <v>0.0</v>
      </c>
      <c r="H2577" s="2" t="n">
        <f>HYPERLINK("https://worldwide.espacenet.com/patent/search?q=US20190270750","Espacenet")</f>
        <v>0.0</v>
      </c>
      <c r="I2577" s="2" t="n">
        <f>HYPERLINK("https://ppubs.uspto.gov/pubwebapp/external.html?q=20190270750.pn.","USPTO")</f>
        <v>0.0</v>
      </c>
      <c r="J2577" s="2" t="n">
        <f>HYPERLINK("https://image-ppubs.uspto.gov/dirsearch-public/print/downloadPdf/20190270750","USPTO PDF")</f>
        <v>0.0</v>
      </c>
      <c r="K2577" s="2" t="n">
        <f>HYPERLINK("https://sectors.patentforecast.com/pmd/US20190270750","PMD")</f>
        <v>0.0</v>
      </c>
      <c r="L2577" s="2" t="n">
        <f>HYPERLINK("https://globaldossier.uspto.gov/result/application/US/15845837/1","US20190270750")</f>
        <v>0.0</v>
      </c>
      <c r="M2577" t="s">
        <v>17495</v>
      </c>
      <c r="N2577" t="s">
        <v>664</v>
      </c>
      <c r="O2577" t="s">
        <v>665</v>
      </c>
      <c r="P2577" t="s">
        <v>17496</v>
      </c>
      <c r="Q2577" s="3" t="n">
        <v>43087.0</v>
      </c>
      <c r="R2577" s="3" t="n">
        <v>43713.0</v>
      </c>
      <c r="S2577" s="3" t="n">
        <v>43952.459706030095</v>
      </c>
      <c r="T2577" s="3" t="n">
        <v>44638.65271974537</v>
      </c>
      <c r="U2577" t="s">
        <v>17497</v>
      </c>
      <c r="V2577" t="s">
        <v>17498</v>
      </c>
    </row>
    <row r="2578">
      <c r="A2578" t="s">
        <v>22</v>
      </c>
      <c r="B2578" t="s">
        <v>17499</v>
      </c>
      <c r="C2578" t="s">
        <v>312</v>
      </c>
      <c r="D2578" t="s">
        <v>313</v>
      </c>
      <c r="E2578" t="s">
        <v>17500</v>
      </c>
      <c r="F2578" s="2" t="n">
        <f>HYPERLINK("https://patents.google.com/patent/US20190268426","Google")</f>
        <v>0.0</v>
      </c>
      <c r="G2578" s="2" t="n">
        <f>HYPERLINK("https://patentcenter.uspto.gov/applications/16408731","Patent Center")</f>
        <v>0.0</v>
      </c>
      <c r="H2578" s="2" t="n">
        <f>HYPERLINK("https://worldwide.espacenet.com/patent/search?q=US20190268426","Espacenet")</f>
        <v>0.0</v>
      </c>
      <c r="I2578" s="2" t="n">
        <f>HYPERLINK("https://ppubs.uspto.gov/pubwebapp/external.html?q=20190268426.pn.","USPTO")</f>
        <v>0.0</v>
      </c>
      <c r="J2578" s="2" t="n">
        <f>HYPERLINK("https://image-ppubs.uspto.gov/dirsearch-public/print/downloadPdf/20190268426","USPTO PDF")</f>
        <v>0.0</v>
      </c>
      <c r="K2578" s="2" t="n">
        <f>HYPERLINK("https://sectors.patentforecast.com/pmd/US20190268426","PMD")</f>
        <v>0.0</v>
      </c>
      <c r="L2578" s="2" t="n">
        <f>HYPERLINK("https://globaldossier.uspto.gov/result/application/US/16408731/1","US20190268426")</f>
        <v>0.0</v>
      </c>
      <c r="M2578" t="s">
        <v>17501</v>
      </c>
      <c r="N2578" t="s">
        <v>17502</v>
      </c>
      <c r="O2578" t="s">
        <v>17503</v>
      </c>
      <c r="P2578" t="s">
        <v>17504</v>
      </c>
      <c r="Q2578" s="3" t="n">
        <v>43595.0</v>
      </c>
      <c r="R2578" s="3" t="n">
        <v>43706.0</v>
      </c>
      <c r="S2578" s="3" t="n">
        <v>43908.458510358796</v>
      </c>
      <c r="T2578" s="3" t="n">
        <v>43950.587280300926</v>
      </c>
      <c r="U2578" t="s">
        <v>17505</v>
      </c>
      <c r="V2578" t="s">
        <v>17506</v>
      </c>
    </row>
    <row r="2579">
      <c r="A2579" t="s">
        <v>22</v>
      </c>
      <c r="B2579" t="s">
        <v>17507</v>
      </c>
      <c r="C2579" t="s">
        <v>24</v>
      </c>
      <c r="D2579" t="s">
        <v>25</v>
      </c>
      <c r="E2579" t="s">
        <v>17508</v>
      </c>
      <c r="F2579" s="2" t="n">
        <f>HYPERLINK("https://patents.google.com/patent/US20190266540","Google")</f>
        <v>0.0</v>
      </c>
      <c r="G2579" s="2" t="n">
        <f>HYPERLINK("https://patentcenter.uspto.gov/applications/16409429","Patent Center")</f>
        <v>0.0</v>
      </c>
      <c r="H2579" s="2" t="n">
        <f>HYPERLINK("https://worldwide.espacenet.com/patent/search?q=US20190266540","Espacenet")</f>
        <v>0.0</v>
      </c>
      <c r="I2579" s="2" t="n">
        <f>HYPERLINK("https://ppubs.uspto.gov/pubwebapp/external.html?q=20190266540.pn.","USPTO")</f>
        <v>0.0</v>
      </c>
      <c r="J2579" s="2" t="n">
        <f>HYPERLINK("https://image-ppubs.uspto.gov/dirsearch-public/print/downloadPdf/20190266540","USPTO PDF")</f>
        <v>0.0</v>
      </c>
      <c r="K2579" s="2" t="n">
        <f>HYPERLINK("https://sectors.patentforecast.com/pmd/US20190266540","PMD")</f>
        <v>0.0</v>
      </c>
      <c r="L2579" s="2" t="n">
        <f>HYPERLINK("https://globaldossier.uspto.gov/result/application/US/16409429/1","US20190266540")</f>
        <v>0.0</v>
      </c>
      <c r="M2579" t="s">
        <v>17509</v>
      </c>
      <c r="N2579" t="s">
        <v>947</v>
      </c>
      <c r="O2579" t="s">
        <v>948</v>
      </c>
      <c r="P2579" t="s">
        <v>17510</v>
      </c>
      <c r="Q2579" s="3" t="n">
        <v>43595.0</v>
      </c>
      <c r="R2579" s="3" t="n">
        <v>43706.0</v>
      </c>
      <c r="S2579" s="3" t="n">
        <v>43936.458751631944</v>
      </c>
      <c r="T2579" s="3" t="n">
        <v>43950.58860613426</v>
      </c>
      <c r="U2579" t="s">
        <v>17511</v>
      </c>
      <c r="V2579" t="s">
        <v>17512</v>
      </c>
    </row>
    <row r="2580">
      <c r="A2580" t="s">
        <v>22</v>
      </c>
      <c r="B2580" t="s">
        <v>17513</v>
      </c>
      <c r="C2580" t="s">
        <v>60</v>
      </c>
      <c r="D2580" t="s">
        <v>61</v>
      </c>
      <c r="E2580" t="s">
        <v>17514</v>
      </c>
      <c r="F2580" s="2" t="n">
        <f>HYPERLINK("https://patents.google.com/patent/US20190263771","Google")</f>
        <v>0.0</v>
      </c>
      <c r="G2580" s="2" t="n">
        <f>HYPERLINK("https://patentcenter.uspto.gov/applications/16404550","Patent Center")</f>
        <v>0.0</v>
      </c>
      <c r="H2580" s="2" t="n">
        <f>HYPERLINK("https://worldwide.espacenet.com/patent/search?q=US20190263771","Espacenet")</f>
        <v>0.0</v>
      </c>
      <c r="I2580" s="2" t="n">
        <f>HYPERLINK("https://ppubs.uspto.gov/pubwebapp/external.html?q=20190263771.pn.","USPTO")</f>
        <v>0.0</v>
      </c>
      <c r="J2580" s="2" t="n">
        <f>HYPERLINK("https://image-ppubs.uspto.gov/dirsearch-public/print/downloadPdf/20190263771","USPTO PDF")</f>
        <v>0.0</v>
      </c>
      <c r="K2580" s="2" t="n">
        <f>HYPERLINK("https://sectors.patentforecast.com/pmd/US20190263771","PMD")</f>
        <v>0.0</v>
      </c>
      <c r="L2580" s="2" t="n">
        <f>HYPERLINK("https://globaldossier.uspto.gov/result/application/US/16404550/1","US20190263771")</f>
        <v>0.0</v>
      </c>
      <c r="M2580" t="s">
        <v>17515</v>
      </c>
      <c r="N2580" t="s">
        <v>664</v>
      </c>
      <c r="O2580" t="s">
        <v>665</v>
      </c>
      <c r="P2580" t="s">
        <v>17516</v>
      </c>
      <c r="Q2580" s="3" t="n">
        <v>43591.0</v>
      </c>
      <c r="R2580" s="3" t="n">
        <v>43706.0</v>
      </c>
      <c r="S2580" s="3" t="n">
        <v>43950.647371782405</v>
      </c>
      <c r="T2580" s="3" t="n">
        <v>44638.65271974537</v>
      </c>
      <c r="U2580" t="s">
        <v>17517</v>
      </c>
      <c r="V2580" t="s">
        <v>17518</v>
      </c>
    </row>
    <row r="2581">
      <c r="A2581" t="s">
        <v>22</v>
      </c>
      <c r="B2581" t="s">
        <v>17519</v>
      </c>
      <c r="C2581" t="s">
        <v>24</v>
      </c>
      <c r="D2581" t="s">
        <v>25</v>
      </c>
      <c r="E2581" t="s">
        <v>17520</v>
      </c>
      <c r="F2581" s="2" t="n">
        <f>HYPERLINK("https://patents.google.com/patent/US20190257829","Google")</f>
        <v>0.0</v>
      </c>
      <c r="G2581" s="2" t="n">
        <f>HYPERLINK("https://patentcenter.uspto.gov/applications/16399498","Patent Center")</f>
        <v>0.0</v>
      </c>
      <c r="H2581" s="2" t="n">
        <f>HYPERLINK("https://worldwide.espacenet.com/patent/search?q=US20190257829","Espacenet")</f>
        <v>0.0</v>
      </c>
      <c r="I2581" s="2" t="n">
        <f>HYPERLINK("https://ppubs.uspto.gov/pubwebapp/external.html?q=20190257829.pn.","USPTO")</f>
        <v>0.0</v>
      </c>
      <c r="J2581" s="2" t="n">
        <f>HYPERLINK("https://image-ppubs.uspto.gov/dirsearch-public/print/downloadPdf/20190257829","USPTO PDF")</f>
        <v>0.0</v>
      </c>
      <c r="K2581" s="2" t="n">
        <f>HYPERLINK("https://sectors.patentforecast.com/pmd/US20190257829","PMD")</f>
        <v>0.0</v>
      </c>
      <c r="L2581" s="2" t="n">
        <f>HYPERLINK("https://globaldossier.uspto.gov/result/application/US/16399498/1","US20190257829")</f>
        <v>0.0</v>
      </c>
      <c r="M2581" t="s">
        <v>17521</v>
      </c>
      <c r="N2581" t="s">
        <v>17522</v>
      </c>
      <c r="O2581" t="s">
        <v>17523</v>
      </c>
      <c r="P2581" t="s">
        <v>17524</v>
      </c>
      <c r="Q2581" s="3" t="n">
        <v>43585.0</v>
      </c>
      <c r="R2581" s="3" t="n">
        <v>43699.0</v>
      </c>
      <c r="S2581" s="3" t="n">
        <v>43900.43726237269</v>
      </c>
      <c r="T2581" s="3" t="n">
        <v>43901.72156528935</v>
      </c>
      <c r="U2581" t="s">
        <v>17525</v>
      </c>
      <c r="V2581" t="s">
        <v>17526</v>
      </c>
    </row>
    <row r="2582">
      <c r="A2582" t="s">
        <v>22</v>
      </c>
      <c r="B2582" t="s">
        <v>17527</v>
      </c>
      <c r="C2582" t="s">
        <v>132</v>
      </c>
      <c r="D2582" t="s">
        <v>133</v>
      </c>
      <c r="E2582" t="s">
        <v>17528</v>
      </c>
      <c r="F2582" s="2" t="n">
        <f>HYPERLINK("https://patents.google.com/patent/US20190256579","Google")</f>
        <v>0.0</v>
      </c>
      <c r="G2582" s="2" t="n">
        <f>HYPERLINK("https://patentcenter.uspto.gov/applications/16403211","Patent Center")</f>
        <v>0.0</v>
      </c>
      <c r="H2582" s="2" t="n">
        <f>HYPERLINK("https://worldwide.espacenet.com/patent/search?q=US20190256579","Espacenet")</f>
        <v>0.0</v>
      </c>
      <c r="I2582" s="2" t="n">
        <f>HYPERLINK("https://ppubs.uspto.gov/pubwebapp/external.html?q=20190256579.pn.","USPTO")</f>
        <v>0.0</v>
      </c>
      <c r="J2582" s="2" t="n">
        <f>HYPERLINK("https://image-ppubs.uspto.gov/dirsearch-public/print/downloadPdf/20190256579","USPTO PDF")</f>
        <v>0.0</v>
      </c>
      <c r="K2582" s="2" t="n">
        <f>HYPERLINK("https://sectors.patentforecast.com/pmd/US20190256579","PMD")</f>
        <v>0.0</v>
      </c>
      <c r="L2582" s="2" t="n">
        <f>HYPERLINK("https://globaldossier.uspto.gov/result/application/US/16403211/1","US20190256579")</f>
        <v>0.0</v>
      </c>
      <c r="M2582" t="s">
        <v>17529</v>
      </c>
      <c r="N2582" t="s">
        <v>1792</v>
      </c>
      <c r="O2582" t="s">
        <v>1793</v>
      </c>
      <c r="P2582" t="s">
        <v>17530</v>
      </c>
      <c r="Q2582" s="3" t="n">
        <v>43588.0</v>
      </c>
      <c r="R2582" s="3" t="n">
        <v>43699.0</v>
      </c>
      <c r="S2582" s="3" t="n">
        <v>43935.704047824074</v>
      </c>
      <c r="T2582" s="3" t="n">
        <v>43950.46182613426</v>
      </c>
      <c r="U2582" t="s">
        <v>17531</v>
      </c>
      <c r="V2582" t="s">
        <v>17532</v>
      </c>
    </row>
    <row r="2583">
      <c r="A2583" t="s">
        <v>22</v>
      </c>
      <c r="B2583" t="s">
        <v>17533</v>
      </c>
      <c r="C2583" t="s">
        <v>132</v>
      </c>
      <c r="D2583" t="s">
        <v>12938</v>
      </c>
      <c r="E2583" t="s">
        <v>17534</v>
      </c>
      <c r="F2583" s="2" t="n">
        <f>HYPERLINK("https://patents.google.com/patent/US20190255125","Google")</f>
        <v>0.0</v>
      </c>
      <c r="G2583" s="2" t="n">
        <f>HYPERLINK("https://patentcenter.uspto.gov/applications/16307689","Patent Center")</f>
        <v>0.0</v>
      </c>
      <c r="H2583" s="2" t="n">
        <f>HYPERLINK("https://worldwide.espacenet.com/patent/search?q=US20190255125","Espacenet")</f>
        <v>0.0</v>
      </c>
      <c r="I2583" s="2" t="n">
        <f>HYPERLINK("https://ppubs.uspto.gov/pubwebapp/external.html?q=20190255125.pn.","USPTO")</f>
        <v>0.0</v>
      </c>
      <c r="J2583" s="2" t="n">
        <f>HYPERLINK("https://image-ppubs.uspto.gov/dirsearch-public/print/downloadPdf/20190255125","USPTO PDF")</f>
        <v>0.0</v>
      </c>
      <c r="K2583" s="2" t="n">
        <f>HYPERLINK("https://sectors.patentforecast.com/pmd/US20190255125","PMD")</f>
        <v>0.0</v>
      </c>
      <c r="L2583" s="2" t="n">
        <f>HYPERLINK("https://globaldossier.uspto.gov/result/application/US/16307689/1","US20190255125")</f>
        <v>0.0</v>
      </c>
      <c r="M2583" t="s">
        <v>17535</v>
      </c>
      <c r="N2583" t="s">
        <v>17536</v>
      </c>
      <c r="O2583" t="s">
        <v>17537</v>
      </c>
      <c r="P2583" t="s">
        <v>17538</v>
      </c>
      <c r="Q2583" s="3" t="n">
        <v>42908.0</v>
      </c>
      <c r="R2583" s="3" t="n">
        <v>43699.0</v>
      </c>
      <c r="S2583" s="3" t="n">
        <v>43900.43726237269</v>
      </c>
      <c r="T2583" s="3" t="n">
        <v>43901.721564293985</v>
      </c>
      <c r="U2583" t="s">
        <v>17539</v>
      </c>
      <c r="V2583" t="s">
        <v>17540</v>
      </c>
    </row>
    <row r="2584">
      <c r="A2584" t="s">
        <v>22</v>
      </c>
      <c r="B2584" t="s">
        <v>17541</v>
      </c>
      <c r="C2584" t="s">
        <v>60</v>
      </c>
      <c r="D2584" t="s">
        <v>61</v>
      </c>
      <c r="E2584" t="s">
        <v>8636</v>
      </c>
      <c r="F2584" s="2" t="n">
        <f>HYPERLINK("https://patents.google.com/patent/US20190255085","Google")</f>
        <v>0.0</v>
      </c>
      <c r="G2584" s="2" t="n">
        <f>HYPERLINK("https://patentcenter.uspto.gov/applications/16265016","Patent Center")</f>
        <v>0.0</v>
      </c>
      <c r="H2584" s="2" t="n">
        <f>HYPERLINK("https://worldwide.espacenet.com/patent/search?q=US20190255085","Espacenet")</f>
        <v>0.0</v>
      </c>
      <c r="I2584" s="2" t="n">
        <f>HYPERLINK("https://ppubs.uspto.gov/pubwebapp/external.html?q=20190255085.pn.","USPTO")</f>
        <v>0.0</v>
      </c>
      <c r="J2584" s="2" t="n">
        <f>HYPERLINK("https://image-ppubs.uspto.gov/dirsearch-public/print/downloadPdf/20190255085","USPTO PDF")</f>
        <v>0.0</v>
      </c>
      <c r="K2584" s="2" t="n">
        <f>HYPERLINK("https://sectors.patentforecast.com/pmd/US20190255085","PMD")</f>
        <v>0.0</v>
      </c>
      <c r="L2584" s="2" t="n">
        <f>HYPERLINK("https://globaldossier.uspto.gov/result/application/US/16265016/1","US20190255085")</f>
        <v>0.0</v>
      </c>
      <c r="M2584" t="s">
        <v>17542</v>
      </c>
      <c r="N2584" t="s">
        <v>664</v>
      </c>
      <c r="O2584" t="s">
        <v>665</v>
      </c>
      <c r="P2584" t="s">
        <v>16194</v>
      </c>
      <c r="Q2584" s="3" t="n">
        <v>43497.0</v>
      </c>
      <c r="R2584" s="3" t="n">
        <v>43699.0</v>
      </c>
      <c r="S2584" s="3" t="n">
        <v>43950.66032956018</v>
      </c>
      <c r="T2584" s="3" t="n">
        <v>43950.66084768518</v>
      </c>
      <c r="U2584" t="s">
        <v>17543</v>
      </c>
      <c r="V2584" t="s">
        <v>8640</v>
      </c>
    </row>
    <row r="2585">
      <c r="A2585" t="s">
        <v>22</v>
      </c>
      <c r="B2585" t="s">
        <v>17544</v>
      </c>
      <c r="C2585" t="s">
        <v>312</v>
      </c>
      <c r="D2585" t="s">
        <v>313</v>
      </c>
      <c r="E2585" t="s">
        <v>17545</v>
      </c>
      <c r="F2585" s="2" t="n">
        <f>HYPERLINK("https://patents.google.com/patent/US20190252078","Google")</f>
        <v>0.0</v>
      </c>
      <c r="G2585" s="2" t="n">
        <f>HYPERLINK("https://patentcenter.uspto.gov/applications/15897324","Patent Center")</f>
        <v>0.0</v>
      </c>
      <c r="H2585" s="2" t="n">
        <f>HYPERLINK("https://worldwide.espacenet.com/patent/search?q=US20190252078","Espacenet")</f>
        <v>0.0</v>
      </c>
      <c r="I2585" s="2" t="n">
        <f>HYPERLINK("https://ppubs.uspto.gov/pubwebapp/external.html?q=20190252078.pn.","USPTO")</f>
        <v>0.0</v>
      </c>
      <c r="J2585" s="2" t="n">
        <f>HYPERLINK("https://image-ppubs.uspto.gov/dirsearch-public/print/downloadPdf/20190252078","USPTO PDF")</f>
        <v>0.0</v>
      </c>
      <c r="K2585" s="2" t="n">
        <f>HYPERLINK("https://sectors.patentforecast.com/pmd/US20190252078","PMD")</f>
        <v>0.0</v>
      </c>
      <c r="L2585" s="2" t="n">
        <f>HYPERLINK("https://globaldossier.uspto.gov/result/application/US/15897324/1","US20190252078")</f>
        <v>0.0</v>
      </c>
      <c r="M2585" t="s">
        <v>17546</v>
      </c>
      <c r="N2585" t="s">
        <v>17547</v>
      </c>
      <c r="O2585" t="s">
        <v>17548</v>
      </c>
      <c r="P2585" t="s">
        <v>17549</v>
      </c>
      <c r="Q2585" s="3" t="n">
        <v>43146.0</v>
      </c>
      <c r="R2585" s="3" t="n">
        <v>43692.0</v>
      </c>
      <c r="S2585" s="3" t="n">
        <v>43908.458510358796</v>
      </c>
      <c r="T2585" s="3" t="n">
        <v>44543.612276886575</v>
      </c>
      <c r="U2585" t="s">
        <v>17550</v>
      </c>
      <c r="V2585" t="s">
        <v>17551</v>
      </c>
    </row>
    <row r="2586">
      <c r="A2586" t="s">
        <v>22</v>
      </c>
      <c r="B2586" t="s">
        <v>17552</v>
      </c>
      <c r="C2586" t="s">
        <v>24</v>
      </c>
      <c r="D2586" t="s">
        <v>1450</v>
      </c>
      <c r="E2586" t="s">
        <v>17332</v>
      </c>
      <c r="F2586" s="2" t="n">
        <f>HYPERLINK("https://patents.google.com/patent/US20190252077","Google")</f>
        <v>0.0</v>
      </c>
      <c r="G2586" s="2" t="n">
        <f>HYPERLINK("https://patentcenter.uspto.gov/applications/16387601","Patent Center")</f>
        <v>0.0</v>
      </c>
      <c r="H2586" s="2" t="n">
        <f>HYPERLINK("https://worldwide.espacenet.com/patent/search?q=US20190252077","Espacenet")</f>
        <v>0.0</v>
      </c>
      <c r="I2586" s="2" t="n">
        <f>HYPERLINK("https://ppubs.uspto.gov/pubwebapp/external.html?q=20190252077.pn.","USPTO")</f>
        <v>0.0</v>
      </c>
      <c r="J2586" s="2" t="n">
        <f>HYPERLINK("https://image-ppubs.uspto.gov/dirsearch-public/print/downloadPdf/20190252077","USPTO PDF")</f>
        <v>0.0</v>
      </c>
      <c r="K2586" s="2" t="n">
        <f>HYPERLINK("https://sectors.patentforecast.com/pmd/US20190252077","PMD")</f>
        <v>0.0</v>
      </c>
      <c r="L2586" s="2" t="n">
        <f>HYPERLINK("https://globaldossier.uspto.gov/result/application/US/16387601/1","US20190252077")</f>
        <v>0.0</v>
      </c>
      <c r="M2586" t="s">
        <v>17553</v>
      </c>
      <c r="N2586" t="s">
        <v>17334</v>
      </c>
      <c r="O2586" t="s">
        <v>17335</v>
      </c>
      <c r="P2586" t="s">
        <v>17336</v>
      </c>
      <c r="Q2586" s="3" t="n">
        <v>43573.0</v>
      </c>
      <c r="R2586" s="3" t="n">
        <v>43692.0</v>
      </c>
      <c r="S2586" s="3" t="n">
        <v>44089.2300490162</v>
      </c>
      <c r="T2586" s="3" t="n">
        <v>44089.43676881945</v>
      </c>
      <c r="U2586" t="s">
        <v>17554</v>
      </c>
      <c r="V2586" t="s">
        <v>17337</v>
      </c>
    </row>
    <row r="2587">
      <c r="A2587" t="s">
        <v>22</v>
      </c>
      <c r="B2587" t="s">
        <v>17555</v>
      </c>
      <c r="C2587" t="s">
        <v>24</v>
      </c>
      <c r="D2587" t="s">
        <v>100</v>
      </c>
      <c r="E2587" t="s">
        <v>17556</v>
      </c>
      <c r="F2587" s="2" t="n">
        <f>HYPERLINK("https://patents.google.com/patent/US20190247529","Google")</f>
        <v>0.0</v>
      </c>
      <c r="G2587" s="2" t="n">
        <f>HYPERLINK("https://patentcenter.uspto.gov/applications/16391812","Patent Center")</f>
        <v>0.0</v>
      </c>
      <c r="H2587" s="2" t="n">
        <f>HYPERLINK("https://worldwide.espacenet.com/patent/search?q=US20190247529","Espacenet")</f>
        <v>0.0</v>
      </c>
      <c r="I2587" s="2" t="n">
        <f>HYPERLINK("https://ppubs.uspto.gov/pubwebapp/external.html?q=20190247529.pn.","USPTO")</f>
        <v>0.0</v>
      </c>
      <c r="J2587" s="2" t="n">
        <f>HYPERLINK("https://image-ppubs.uspto.gov/dirsearch-public/print/downloadPdf/20190247529","USPTO PDF")</f>
        <v>0.0</v>
      </c>
      <c r="K2587" s="2" t="n">
        <f>HYPERLINK("https://sectors.patentforecast.com/pmd/US20190247529","PMD")</f>
        <v>0.0</v>
      </c>
      <c r="L2587" s="2" t="n">
        <f>HYPERLINK("https://globaldossier.uspto.gov/result/application/US/16391812/1","US20190247529")</f>
        <v>0.0</v>
      </c>
      <c r="M2587" t="s">
        <v>17557</v>
      </c>
      <c r="N2587" t="s">
        <v>15557</v>
      </c>
      <c r="O2587" t="s">
        <v>15558</v>
      </c>
      <c r="P2587" t="s">
        <v>17558</v>
      </c>
      <c r="Q2587" s="3" t="n">
        <v>43578.0</v>
      </c>
      <c r="R2587" s="3" t="n">
        <v>43692.0</v>
      </c>
      <c r="S2587" s="3" t="n">
        <v>43999.59019282407</v>
      </c>
      <c r="T2587" s="3" t="n">
        <v>43999.67836081018</v>
      </c>
      <c r="U2587" t="s">
        <v>17559</v>
      </c>
      <c r="V2587" t="s">
        <v>17560</v>
      </c>
    </row>
    <row r="2588">
      <c r="A2588" t="s">
        <v>22</v>
      </c>
      <c r="B2588" t="s">
        <v>17561</v>
      </c>
      <c r="C2588" t="s">
        <v>132</v>
      </c>
      <c r="D2588" t="s">
        <v>11423</v>
      </c>
      <c r="E2588" t="s">
        <v>17562</v>
      </c>
      <c r="F2588" s="2" t="n">
        <f>HYPERLINK("https://patents.google.com/patent/US20190247490","Google")</f>
        <v>0.0</v>
      </c>
      <c r="G2588" s="2" t="n">
        <f>HYPERLINK("https://patentcenter.uspto.gov/applications/16386535","Patent Center")</f>
        <v>0.0</v>
      </c>
      <c r="H2588" s="2" t="n">
        <f>HYPERLINK("https://worldwide.espacenet.com/patent/search?q=US20190247490","Espacenet")</f>
        <v>0.0</v>
      </c>
      <c r="I2588" s="2" t="n">
        <f>HYPERLINK("https://ppubs.uspto.gov/pubwebapp/external.html?q=20190247490.pn.","USPTO")</f>
        <v>0.0</v>
      </c>
      <c r="J2588" s="2" t="n">
        <f>HYPERLINK("https://image-ppubs.uspto.gov/dirsearch-public/print/downloadPdf/20190247490","USPTO PDF")</f>
        <v>0.0</v>
      </c>
      <c r="K2588" s="2" t="n">
        <f>HYPERLINK("https://sectors.patentforecast.com/pmd/US20190247490","PMD")</f>
        <v>0.0</v>
      </c>
      <c r="L2588" s="2" t="n">
        <f>HYPERLINK("https://globaldossier.uspto.gov/result/application/US/16386535/1","US20190247490")</f>
        <v>0.0</v>
      </c>
      <c r="M2588" t="s">
        <v>17563</v>
      </c>
      <c r="N2588" t="s">
        <v>17564</v>
      </c>
      <c r="O2588" t="s">
        <v>17565</v>
      </c>
      <c r="P2588" t="s">
        <v>17566</v>
      </c>
      <c r="Q2588" s="3" t="n">
        <v>43572.0</v>
      </c>
      <c r="R2588" s="3" t="n">
        <v>43692.0</v>
      </c>
      <c r="S2588" s="3" t="n">
        <v>43900.43726237269</v>
      </c>
      <c r="T2588" s="3" t="n">
        <v>43901.72156103009</v>
      </c>
      <c r="U2588" t="s">
        <v>17567</v>
      </c>
      <c r="V2588" t="s">
        <v>17568</v>
      </c>
    </row>
    <row r="2589">
      <c r="A2589" t="s">
        <v>22</v>
      </c>
      <c r="B2589" t="s">
        <v>17569</v>
      </c>
      <c r="C2589" t="s">
        <v>132</v>
      </c>
      <c r="D2589" t="s">
        <v>2629</v>
      </c>
      <c r="E2589" t="s">
        <v>17570</v>
      </c>
      <c r="F2589" s="2" t="n">
        <f>HYPERLINK("https://patents.google.com/patent/US20190240317","Google")</f>
        <v>0.0</v>
      </c>
      <c r="G2589" s="2" t="n">
        <f>HYPERLINK("https://patentcenter.uspto.gov/applications/16368270","Patent Center")</f>
        <v>0.0</v>
      </c>
      <c r="H2589" s="2" t="n">
        <f>HYPERLINK("https://worldwide.espacenet.com/patent/search?q=US20190240317","Espacenet")</f>
        <v>0.0</v>
      </c>
      <c r="I2589" s="2" t="n">
        <f>HYPERLINK("https://ppubs.uspto.gov/pubwebapp/external.html?q=20190240317.pn.","USPTO")</f>
        <v>0.0</v>
      </c>
      <c r="J2589" s="2" t="n">
        <f>HYPERLINK("https://image-ppubs.uspto.gov/dirsearch-public/print/downloadPdf/20190240317","USPTO PDF")</f>
        <v>0.0</v>
      </c>
      <c r="K2589" s="2" t="n">
        <f>HYPERLINK("https://sectors.patentforecast.com/pmd/US20190240317","PMD")</f>
        <v>0.0</v>
      </c>
      <c r="L2589" s="2" t="n">
        <f>HYPERLINK("https://globaldossier.uspto.gov/result/application/US/16368270/1","US20190240317")</f>
        <v>0.0</v>
      </c>
      <c r="M2589" t="s">
        <v>17571</v>
      </c>
      <c r="N2589" t="s">
        <v>145</v>
      </c>
      <c r="O2589" t="s">
        <v>146</v>
      </c>
      <c r="P2589" t="s">
        <v>15865</v>
      </c>
      <c r="Q2589" s="3" t="n">
        <v>43552.0</v>
      </c>
      <c r="R2589" s="3" t="n">
        <v>43685.0</v>
      </c>
      <c r="S2589" s="3" t="n">
        <v>43935.704047824074</v>
      </c>
      <c r="T2589" s="3" t="n">
        <v>43950.49980533565</v>
      </c>
      <c r="U2589" t="s">
        <v>17572</v>
      </c>
      <c r="V2589" t="s">
        <v>15867</v>
      </c>
    </row>
    <row r="2590">
      <c r="A2590" t="s">
        <v>22</v>
      </c>
      <c r="B2590" t="s">
        <v>17573</v>
      </c>
      <c r="C2590" t="s">
        <v>60</v>
      </c>
      <c r="D2590" t="s">
        <v>61</v>
      </c>
      <c r="E2590" t="s">
        <v>17574</v>
      </c>
      <c r="F2590" s="2" t="n">
        <f>HYPERLINK("https://patents.google.com/patent/US20190240246","Google")</f>
        <v>0.0</v>
      </c>
      <c r="G2590" s="2" t="n">
        <f>HYPERLINK("https://patentcenter.uspto.gov/applications/16124111","Patent Center")</f>
        <v>0.0</v>
      </c>
      <c r="H2590" s="2" t="n">
        <f>HYPERLINK("https://worldwide.espacenet.com/patent/search?q=US20190240246","Espacenet")</f>
        <v>0.0</v>
      </c>
      <c r="I2590" s="2" t="n">
        <f>HYPERLINK("https://ppubs.uspto.gov/pubwebapp/external.html?q=20190240246.pn.","USPTO")</f>
        <v>0.0</v>
      </c>
      <c r="J2590" s="2" t="n">
        <f>HYPERLINK("https://image-ppubs.uspto.gov/dirsearch-public/print/downloadPdf/20190240246","USPTO PDF")</f>
        <v>0.0</v>
      </c>
      <c r="K2590" s="2" t="n">
        <f>HYPERLINK("https://sectors.patentforecast.com/pmd/US20190240246","PMD")</f>
        <v>0.0</v>
      </c>
      <c r="L2590" s="2" t="n">
        <f>HYPERLINK("https://globaldossier.uspto.gov/result/application/US/16124111/1","US20190240246")</f>
        <v>0.0</v>
      </c>
      <c r="M2590" t="s">
        <v>17575</v>
      </c>
      <c r="N2590" t="s">
        <v>664</v>
      </c>
      <c r="O2590" t="s">
        <v>665</v>
      </c>
      <c r="P2590" t="s">
        <v>17576</v>
      </c>
      <c r="Q2590" s="3" t="n">
        <v>43349.0</v>
      </c>
      <c r="R2590" s="3" t="n">
        <v>43685.0</v>
      </c>
      <c r="S2590" s="3" t="n">
        <v>43952.459706030095</v>
      </c>
      <c r="T2590" s="3" t="n">
        <v>44638.65271974537</v>
      </c>
      <c r="U2590" t="s">
        <v>17577</v>
      </c>
      <c r="V2590" t="s">
        <v>17578</v>
      </c>
    </row>
    <row r="2591">
      <c r="A2591" t="s">
        <v>22</v>
      </c>
      <c r="B2591" t="s">
        <v>17579</v>
      </c>
      <c r="C2591" t="s">
        <v>24</v>
      </c>
      <c r="D2591" t="s">
        <v>25</v>
      </c>
      <c r="E2591" t="s">
        <v>17580</v>
      </c>
      <c r="F2591" s="2" t="n">
        <f>HYPERLINK("https://patents.google.com/patent/US20190237202","Google")</f>
        <v>0.0</v>
      </c>
      <c r="G2591" s="2" t="n">
        <f>HYPERLINK("https://patentcenter.uspto.gov/applications/16381705","Patent Center")</f>
        <v>0.0</v>
      </c>
      <c r="H2591" s="2" t="n">
        <f>HYPERLINK("https://worldwide.espacenet.com/patent/search?q=US20190237202","Espacenet")</f>
        <v>0.0</v>
      </c>
      <c r="I2591" s="2" t="n">
        <f>HYPERLINK("https://ppubs.uspto.gov/pubwebapp/external.html?q=20190237202.pn.","USPTO")</f>
        <v>0.0</v>
      </c>
      <c r="J2591" s="2" t="n">
        <f>HYPERLINK("https://image-ppubs.uspto.gov/dirsearch-public/print/downloadPdf/20190237202","USPTO PDF")</f>
        <v>0.0</v>
      </c>
      <c r="K2591" s="2" t="n">
        <f>HYPERLINK("https://sectors.patentforecast.com/pmd/US20190237202","PMD")</f>
        <v>0.0</v>
      </c>
      <c r="L2591" s="2" t="n">
        <f>HYPERLINK("https://globaldossier.uspto.gov/result/application/US/16381705/1","US20190237202")</f>
        <v>0.0</v>
      </c>
      <c r="M2591" t="s">
        <v>17581</v>
      </c>
      <c r="N2591" t="s">
        <v>17334</v>
      </c>
      <c r="O2591" t="s">
        <v>17335</v>
      </c>
      <c r="P2591" t="s">
        <v>17582</v>
      </c>
      <c r="Q2591" s="3" t="n">
        <v>43566.0</v>
      </c>
      <c r="R2591" s="3" t="n">
        <v>43678.0</v>
      </c>
      <c r="S2591" s="3" t="n">
        <v>43908.458510358796</v>
      </c>
      <c r="T2591" s="3" t="n">
        <v>43984.72531674769</v>
      </c>
      <c r="U2591" t="s">
        <v>17583</v>
      </c>
      <c r="V2591" t="s">
        <v>17584</v>
      </c>
    </row>
    <row r="2592">
      <c r="A2592" t="s">
        <v>22</v>
      </c>
      <c r="B2592" t="s">
        <v>17585</v>
      </c>
      <c r="C2592" t="s">
        <v>24</v>
      </c>
      <c r="D2592" t="s">
        <v>25</v>
      </c>
      <c r="E2592" t="s">
        <v>17586</v>
      </c>
      <c r="F2592" s="2" t="n">
        <f>HYPERLINK("https://patents.google.com/patent/US20190234962","Google")</f>
        <v>0.0</v>
      </c>
      <c r="G2592" s="2" t="n">
        <f>HYPERLINK("https://patentcenter.uspto.gov/applications/16116592","Patent Center")</f>
        <v>0.0</v>
      </c>
      <c r="H2592" s="2" t="n">
        <f>HYPERLINK("https://worldwide.espacenet.com/patent/search?q=US20190234962","Espacenet")</f>
        <v>0.0</v>
      </c>
      <c r="I2592" s="2" t="n">
        <f>HYPERLINK("https://ppubs.uspto.gov/pubwebapp/external.html?q=20190234962.pn.","USPTO")</f>
        <v>0.0</v>
      </c>
      <c r="J2592" s="2" t="n">
        <f>HYPERLINK("https://image-ppubs.uspto.gov/dirsearch-public/print/downloadPdf/20190234962","USPTO PDF")</f>
        <v>0.0</v>
      </c>
      <c r="K2592" s="2" t="n">
        <f>HYPERLINK("https://sectors.patentforecast.com/pmd/US20190234962","PMD")</f>
        <v>0.0</v>
      </c>
      <c r="L2592" s="2" t="n">
        <f>HYPERLINK("https://globaldossier.uspto.gov/result/application/US/16116592/1","US20190234962")</f>
        <v>0.0</v>
      </c>
      <c r="M2592" t="s">
        <v>17587</v>
      </c>
      <c r="N2592" t="s">
        <v>3605</v>
      </c>
      <c r="O2592" t="s">
        <v>3606</v>
      </c>
      <c r="P2592" t="s">
        <v>17588</v>
      </c>
      <c r="Q2592" s="3" t="n">
        <v>43341.0</v>
      </c>
      <c r="R2592" s="3" t="n">
        <v>43678.0</v>
      </c>
      <c r="S2592" s="3" t="n">
        <v>43908.458510358796</v>
      </c>
      <c r="T2592" s="3" t="n">
        <v>43984.72032788194</v>
      </c>
      <c r="U2592" t="s">
        <v>17589</v>
      </c>
      <c r="V2592" t="s">
        <v>17590</v>
      </c>
    </row>
    <row r="2593">
      <c r="A2593" t="s">
        <v>22</v>
      </c>
      <c r="B2593" t="s">
        <v>17591</v>
      </c>
      <c r="C2593" t="s">
        <v>132</v>
      </c>
      <c r="D2593" t="s">
        <v>11423</v>
      </c>
      <c r="E2593" t="s">
        <v>17562</v>
      </c>
      <c r="F2593" s="2" t="n">
        <f>HYPERLINK("https://patents.google.com/patent/US20190231864","Google")</f>
        <v>0.0</v>
      </c>
      <c r="G2593" s="2" t="n">
        <f>HYPERLINK("https://patentcenter.uspto.gov/applications/16353877","Patent Center")</f>
        <v>0.0</v>
      </c>
      <c r="H2593" s="2" t="n">
        <f>HYPERLINK("https://worldwide.espacenet.com/patent/search?q=US20190231864","Espacenet")</f>
        <v>0.0</v>
      </c>
      <c r="I2593" s="2" t="n">
        <f>HYPERLINK("https://ppubs.uspto.gov/pubwebapp/external.html?q=20190231864.pn.","USPTO")</f>
        <v>0.0</v>
      </c>
      <c r="J2593" s="2" t="n">
        <f>HYPERLINK("https://image-ppubs.uspto.gov/dirsearch-public/print/downloadPdf/20190231864","USPTO PDF")</f>
        <v>0.0</v>
      </c>
      <c r="K2593" s="2" t="n">
        <f>HYPERLINK("https://sectors.patentforecast.com/pmd/US20190231864","PMD")</f>
        <v>0.0</v>
      </c>
      <c r="L2593" s="2" t="n">
        <f>HYPERLINK("https://globaldossier.uspto.gov/result/application/US/16353877/1","US20190231864")</f>
        <v>0.0</v>
      </c>
      <c r="M2593" t="s">
        <v>17592</v>
      </c>
      <c r="N2593" t="s">
        <v>17564</v>
      </c>
      <c r="O2593" t="s">
        <v>17565</v>
      </c>
      <c r="P2593" t="s">
        <v>17566</v>
      </c>
      <c r="Q2593" s="3" t="n">
        <v>43538.0</v>
      </c>
      <c r="R2593" s="3" t="n">
        <v>43678.0</v>
      </c>
      <c r="S2593" s="3" t="n">
        <v>43900.43726237269</v>
      </c>
      <c r="T2593" s="3" t="n">
        <v>43901.72156116898</v>
      </c>
      <c r="U2593" t="s">
        <v>17567</v>
      </c>
      <c r="V2593" t="s">
        <v>17568</v>
      </c>
    </row>
    <row r="2594">
      <c r="A2594" t="s">
        <v>22</v>
      </c>
      <c r="B2594" t="s">
        <v>17593</v>
      </c>
      <c r="C2594" t="s">
        <v>60</v>
      </c>
      <c r="D2594" t="s">
        <v>61</v>
      </c>
      <c r="E2594" t="s">
        <v>3467</v>
      </c>
      <c r="F2594" s="2" t="n">
        <f>HYPERLINK("https://patents.google.com/patent/US20190224339","Google")</f>
        <v>0.0</v>
      </c>
      <c r="G2594" s="2" t="n">
        <f>HYPERLINK("https://patentcenter.uspto.gov/applications/16097431","Patent Center")</f>
        <v>0.0</v>
      </c>
      <c r="H2594" s="2" t="n">
        <f>HYPERLINK("https://worldwide.espacenet.com/patent/search?q=US20190224339","Espacenet")</f>
        <v>0.0</v>
      </c>
      <c r="I2594" s="2" t="n">
        <f>HYPERLINK("https://ppubs.uspto.gov/pubwebapp/external.html?q=20190224339.pn.","USPTO")</f>
        <v>0.0</v>
      </c>
      <c r="J2594" s="2" t="n">
        <f>HYPERLINK("https://image-ppubs.uspto.gov/dirsearch-public/print/downloadPdf/20190224339","USPTO PDF")</f>
        <v>0.0</v>
      </c>
      <c r="K2594" s="2" t="n">
        <f>HYPERLINK("https://sectors.patentforecast.com/pmd/US20190224339","PMD")</f>
        <v>0.0</v>
      </c>
      <c r="L2594" s="2" t="n">
        <f>HYPERLINK("https://globaldossier.uspto.gov/result/application/US/16097431/1","US20190224339")</f>
        <v>0.0</v>
      </c>
      <c r="M2594" t="s">
        <v>17594</v>
      </c>
      <c r="N2594" t="s">
        <v>3469</v>
      </c>
      <c r="O2594" t="s">
        <v>3470</v>
      </c>
      <c r="P2594" t="s">
        <v>17595</v>
      </c>
      <c r="Q2594" s="3" t="n">
        <v>42853.0</v>
      </c>
      <c r="R2594" s="3" t="n">
        <v>43671.0</v>
      </c>
      <c r="S2594" s="3" t="n">
        <v>43935.704047824074</v>
      </c>
      <c r="T2594" s="3" t="n">
        <v>44757.759113252316</v>
      </c>
      <c r="U2594" t="s">
        <v>17596</v>
      </c>
      <c r="V2594" t="s">
        <v>3472</v>
      </c>
    </row>
    <row r="2595">
      <c r="A2595" t="s">
        <v>22</v>
      </c>
      <c r="B2595" t="s">
        <v>17597</v>
      </c>
      <c r="C2595" t="s">
        <v>60</v>
      </c>
      <c r="D2595" t="s">
        <v>61</v>
      </c>
      <c r="E2595" t="s">
        <v>17598</v>
      </c>
      <c r="F2595" s="2" t="n">
        <f>HYPERLINK("https://patents.google.com/patent/US20190224206","Google")</f>
        <v>0.0</v>
      </c>
      <c r="G2595" s="2" t="n">
        <f>HYPERLINK("https://patentcenter.uspto.gov/applications/16251454","Patent Center")</f>
        <v>0.0</v>
      </c>
      <c r="H2595" s="2" t="n">
        <f>HYPERLINK("https://worldwide.espacenet.com/patent/search?q=US20190224206","Espacenet")</f>
        <v>0.0</v>
      </c>
      <c r="I2595" s="2" t="n">
        <f>HYPERLINK("https://ppubs.uspto.gov/pubwebapp/external.html?q=20190224206.pn.","USPTO")</f>
        <v>0.0</v>
      </c>
      <c r="J2595" s="2" t="n">
        <f>HYPERLINK("https://image-ppubs.uspto.gov/dirsearch-public/print/downloadPdf/20190224206","USPTO PDF")</f>
        <v>0.0</v>
      </c>
      <c r="K2595" s="2" t="n">
        <f>HYPERLINK("https://sectors.patentforecast.com/pmd/US20190224206","PMD")</f>
        <v>0.0</v>
      </c>
      <c r="L2595" s="2" t="n">
        <f>HYPERLINK("https://globaldossier.uspto.gov/result/application/US/16251454/1","US20190224206")</f>
        <v>0.0</v>
      </c>
      <c r="M2595" t="s">
        <v>17599</v>
      </c>
      <c r="N2595" t="s">
        <v>664</v>
      </c>
      <c r="O2595" t="s">
        <v>665</v>
      </c>
      <c r="P2595" t="s">
        <v>17600</v>
      </c>
      <c r="Q2595" s="3" t="n">
        <v>43483.0</v>
      </c>
      <c r="R2595" s="3" t="n">
        <v>43671.0</v>
      </c>
      <c r="S2595" s="3" t="n">
        <v>43950.647371782405</v>
      </c>
      <c r="T2595" s="3" t="n">
        <v>44672.30907630787</v>
      </c>
      <c r="U2595" t="s">
        <v>17601</v>
      </c>
      <c r="V2595" t="s">
        <v>17602</v>
      </c>
    </row>
    <row r="2596">
      <c r="A2596" t="s">
        <v>22</v>
      </c>
      <c r="B2596" t="s">
        <v>17603</v>
      </c>
      <c r="C2596" t="s">
        <v>132</v>
      </c>
      <c r="D2596" t="s">
        <v>133</v>
      </c>
      <c r="E2596" t="s">
        <v>17604</v>
      </c>
      <c r="F2596" s="2" t="n">
        <f>HYPERLINK("https://patents.google.com/patent/US20190216919","Google")</f>
        <v>0.0</v>
      </c>
      <c r="G2596" s="2" t="n">
        <f>HYPERLINK("https://patentcenter.uspto.gov/applications/16282953","Patent Center")</f>
        <v>0.0</v>
      </c>
      <c r="H2596" s="2" t="n">
        <f>HYPERLINK("https://worldwide.espacenet.com/patent/search?q=US20190216919","Espacenet")</f>
        <v>0.0</v>
      </c>
      <c r="I2596" s="2" t="n">
        <f>HYPERLINK("https://ppubs.uspto.gov/pubwebapp/external.html?q=20190216919.pn.","USPTO")</f>
        <v>0.0</v>
      </c>
      <c r="J2596" s="2" t="n">
        <f>HYPERLINK("https://image-ppubs.uspto.gov/dirsearch-public/print/downloadPdf/20190216919","USPTO PDF")</f>
        <v>0.0</v>
      </c>
      <c r="K2596" s="2" t="n">
        <f>HYPERLINK("https://sectors.patentforecast.com/pmd/US20190216919","PMD")</f>
        <v>0.0</v>
      </c>
      <c r="L2596" s="2" t="n">
        <f>HYPERLINK("https://globaldossier.uspto.gov/result/application/US/16282953/1","US20190216919")</f>
        <v>0.0</v>
      </c>
      <c r="M2596" t="s">
        <v>17605</v>
      </c>
      <c r="N2596" t="s">
        <v>6331</v>
      </c>
      <c r="O2596" t="s">
        <v>6332</v>
      </c>
      <c r="P2596" t="s">
        <v>17606</v>
      </c>
      <c r="Q2596" s="3" t="n">
        <v>43518.0</v>
      </c>
      <c r="R2596" s="3" t="n">
        <v>43664.0</v>
      </c>
      <c r="S2596" s="3" t="n">
        <v>43900.43726237269</v>
      </c>
      <c r="T2596" s="3" t="n">
        <v>43901.721564479165</v>
      </c>
      <c r="U2596" t="s">
        <v>17607</v>
      </c>
      <c r="V2596" t="s">
        <v>17608</v>
      </c>
    </row>
    <row r="2597">
      <c r="A2597" t="s">
        <v>22</v>
      </c>
      <c r="B2597" t="s">
        <v>17609</v>
      </c>
      <c r="C2597" t="s">
        <v>132</v>
      </c>
      <c r="D2597" t="s">
        <v>17610</v>
      </c>
      <c r="E2597" t="s">
        <v>17611</v>
      </c>
      <c r="F2597" s="2" t="n">
        <f>HYPERLINK("https://patents.google.com/patent/US20190216918","Google")</f>
        <v>0.0</v>
      </c>
      <c r="G2597" s="2" t="n">
        <f>HYPERLINK("https://patentcenter.uspto.gov/applications/16352135","Patent Center")</f>
        <v>0.0</v>
      </c>
      <c r="H2597" s="2" t="n">
        <f>HYPERLINK("https://worldwide.espacenet.com/patent/search?q=US20190216918","Espacenet")</f>
        <v>0.0</v>
      </c>
      <c r="I2597" s="2" t="n">
        <f>HYPERLINK("https://ppubs.uspto.gov/pubwebapp/external.html?q=20190216918.pn.","USPTO")</f>
        <v>0.0</v>
      </c>
      <c r="J2597" s="2" t="n">
        <f>HYPERLINK("https://image-ppubs.uspto.gov/dirsearch-public/print/downloadPdf/20190216918","USPTO PDF")</f>
        <v>0.0</v>
      </c>
      <c r="K2597" s="2" t="n">
        <f>HYPERLINK("https://sectors.patentforecast.com/pmd/US20190216918","PMD")</f>
        <v>0.0</v>
      </c>
      <c r="L2597" s="2" t="n">
        <f>HYPERLINK("https://globaldossier.uspto.gov/result/application/US/16352135/1","US20190216918")</f>
        <v>0.0</v>
      </c>
      <c r="M2597" t="s">
        <v>17612</v>
      </c>
      <c r="N2597" t="s">
        <v>1792</v>
      </c>
      <c r="O2597" t="s">
        <v>1793</v>
      </c>
      <c r="P2597" t="s">
        <v>17613</v>
      </c>
      <c r="Q2597" s="3" t="n">
        <v>43537.0</v>
      </c>
      <c r="R2597" s="3" t="n">
        <v>43664.0</v>
      </c>
      <c r="S2597" s="3" t="n">
        <v>43900.43726237269</v>
      </c>
      <c r="T2597" s="3" t="n">
        <v>43901.72156493056</v>
      </c>
      <c r="U2597" t="s">
        <v>17614</v>
      </c>
      <c r="V2597" t="s">
        <v>17615</v>
      </c>
    </row>
    <row r="2598">
      <c r="A2598" t="s">
        <v>22</v>
      </c>
      <c r="B2598" t="s">
        <v>17616</v>
      </c>
      <c r="C2598" t="s">
        <v>132</v>
      </c>
      <c r="D2598" t="s">
        <v>2629</v>
      </c>
      <c r="E2598" t="s">
        <v>17617</v>
      </c>
      <c r="F2598" s="2" t="n">
        <f>HYPERLINK("https://patents.google.com/patent/US20190216917","Google")</f>
        <v>0.0</v>
      </c>
      <c r="G2598" s="2" t="n">
        <f>HYPERLINK("https://patentcenter.uspto.gov/applications/16368099","Patent Center")</f>
        <v>0.0</v>
      </c>
      <c r="H2598" s="2" t="n">
        <f>HYPERLINK("https://worldwide.espacenet.com/patent/search?q=US20190216917","Espacenet")</f>
        <v>0.0</v>
      </c>
      <c r="I2598" s="2" t="n">
        <f>HYPERLINK("https://ppubs.uspto.gov/pubwebapp/external.html?q=20190216917.pn.","USPTO")</f>
        <v>0.0</v>
      </c>
      <c r="J2598" s="2" t="n">
        <f>HYPERLINK("https://image-ppubs.uspto.gov/dirsearch-public/print/downloadPdf/20190216917","USPTO PDF")</f>
        <v>0.0</v>
      </c>
      <c r="K2598" s="2" t="n">
        <f>HYPERLINK("https://sectors.patentforecast.com/pmd/US20190216917","PMD")</f>
        <v>0.0</v>
      </c>
      <c r="L2598" s="2" t="n">
        <f>HYPERLINK("https://globaldossier.uspto.gov/result/application/US/16368099/1","US20190216917")</f>
        <v>0.0</v>
      </c>
      <c r="M2598" t="s">
        <v>17618</v>
      </c>
      <c r="N2598" t="s">
        <v>145</v>
      </c>
      <c r="O2598" t="s">
        <v>146</v>
      </c>
      <c r="P2598" t="s">
        <v>15865</v>
      </c>
      <c r="Q2598" s="3" t="n">
        <v>43552.0</v>
      </c>
      <c r="R2598" s="3" t="n">
        <v>43664.0</v>
      </c>
      <c r="S2598" s="3" t="n">
        <v>43935.704047824074</v>
      </c>
      <c r="T2598" s="3" t="n">
        <v>43950.49980533565</v>
      </c>
      <c r="U2598" t="s">
        <v>17619</v>
      </c>
      <c r="V2598" t="s">
        <v>15867</v>
      </c>
    </row>
    <row r="2599">
      <c r="A2599" t="s">
        <v>22</v>
      </c>
      <c r="B2599" t="s">
        <v>17620</v>
      </c>
      <c r="C2599" t="s">
        <v>312</v>
      </c>
      <c r="D2599" t="s">
        <v>976</v>
      </c>
      <c r="E2599" t="s">
        <v>17621</v>
      </c>
      <c r="F2599" s="2" t="n">
        <f>HYPERLINK("https://patents.google.com/patent/US20190213302","Google")</f>
        <v>0.0</v>
      </c>
      <c r="G2599" s="2" t="n">
        <f>HYPERLINK("https://patentcenter.uspto.gov/applications/16199701","Patent Center")</f>
        <v>0.0</v>
      </c>
      <c r="H2599" s="2" t="n">
        <f>HYPERLINK("https://worldwide.espacenet.com/patent/search?q=US20190213302","Espacenet")</f>
        <v>0.0</v>
      </c>
      <c r="I2599" s="2" t="n">
        <f>HYPERLINK("https://ppubs.uspto.gov/pubwebapp/external.html?q=20190213302.pn.","USPTO")</f>
        <v>0.0</v>
      </c>
      <c r="J2599" s="2" t="n">
        <f>HYPERLINK("https://image-ppubs.uspto.gov/dirsearch-public/print/downloadPdf/20190213302","USPTO PDF")</f>
        <v>0.0</v>
      </c>
      <c r="K2599" s="2" t="n">
        <f>HYPERLINK("https://sectors.patentforecast.com/pmd/US20190213302","PMD")</f>
        <v>0.0</v>
      </c>
      <c r="L2599" s="2" t="n">
        <f>HYPERLINK("https://globaldossier.uspto.gov/result/application/US/16199701/1","US20190213302")</f>
        <v>0.0</v>
      </c>
      <c r="M2599" t="s">
        <v>17622</v>
      </c>
      <c r="N2599" t="s">
        <v>9610</v>
      </c>
      <c r="O2599" t="s">
        <v>9611</v>
      </c>
      <c r="P2599" t="s">
        <v>17623</v>
      </c>
      <c r="Q2599" s="3" t="n">
        <v>43430.0</v>
      </c>
      <c r="R2599" s="3" t="n">
        <v>43657.0</v>
      </c>
      <c r="S2599" s="3" t="n">
        <v>43908.458510358796</v>
      </c>
      <c r="T2599" s="3" t="n">
        <v>43950.58387883102</v>
      </c>
      <c r="U2599" t="s">
        <v>17624</v>
      </c>
      <c r="V2599" t="s">
        <v>17625</v>
      </c>
    </row>
    <row r="2600">
      <c r="A2600" t="s">
        <v>22</v>
      </c>
      <c r="B2600" t="s">
        <v>17626</v>
      </c>
      <c r="C2600" t="s">
        <v>60</v>
      </c>
      <c r="D2600" t="s">
        <v>61</v>
      </c>
      <c r="E2600" t="s">
        <v>17627</v>
      </c>
      <c r="F2600" s="2" t="n">
        <f>HYPERLINK("https://patents.google.com/patent/US20190211083","Google")</f>
        <v>0.0</v>
      </c>
      <c r="G2600" s="2" t="n">
        <f>HYPERLINK("https://patentcenter.uspto.gov/applications/16273753","Patent Center")</f>
        <v>0.0</v>
      </c>
      <c r="H2600" s="2" t="n">
        <f>HYPERLINK("https://worldwide.espacenet.com/patent/search?q=US20190211083","Espacenet")</f>
        <v>0.0</v>
      </c>
      <c r="I2600" s="2" t="n">
        <f>HYPERLINK("https://ppubs.uspto.gov/pubwebapp/external.html?q=20190211083.pn.","USPTO")</f>
        <v>0.0</v>
      </c>
      <c r="J2600" s="2" t="n">
        <f>HYPERLINK("https://image-ppubs.uspto.gov/dirsearch-public/print/downloadPdf/20190211083","USPTO PDF")</f>
        <v>0.0</v>
      </c>
      <c r="K2600" s="2" t="n">
        <f>HYPERLINK("https://sectors.patentforecast.com/pmd/US20190211083","PMD")</f>
        <v>0.0</v>
      </c>
      <c r="L2600" s="2" t="n">
        <f>HYPERLINK("https://globaldossier.uspto.gov/result/application/US/16273753/1","US20190211083")</f>
        <v>0.0</v>
      </c>
      <c r="M2600" t="s">
        <v>17628</v>
      </c>
      <c r="N2600" t="s">
        <v>664</v>
      </c>
      <c r="O2600" t="s">
        <v>665</v>
      </c>
      <c r="P2600" t="s">
        <v>17629</v>
      </c>
      <c r="Q2600" s="3" t="n">
        <v>43508.0</v>
      </c>
      <c r="R2600" s="3" t="n">
        <v>43657.0</v>
      </c>
      <c r="S2600" s="3" t="n">
        <v>43952.459706030095</v>
      </c>
      <c r="T2600" s="3" t="n">
        <v>44638.65643378472</v>
      </c>
      <c r="U2600" t="s">
        <v>17630</v>
      </c>
      <c r="V2600" t="s">
        <v>17631</v>
      </c>
    </row>
    <row r="2601">
      <c r="A2601" t="s">
        <v>22</v>
      </c>
      <c r="B2601" t="s">
        <v>17632</v>
      </c>
      <c r="C2601" t="s">
        <v>132</v>
      </c>
      <c r="D2601" t="s">
        <v>142</v>
      </c>
      <c r="E2601" t="s">
        <v>17633</v>
      </c>
      <c r="F2601" s="2" t="n">
        <f>HYPERLINK("https://patents.google.com/patent/US20190211065","Google")</f>
        <v>0.0</v>
      </c>
      <c r="G2601" s="2" t="n">
        <f>HYPERLINK("https://patentcenter.uspto.gov/applications/16362366","Patent Center")</f>
        <v>0.0</v>
      </c>
      <c r="H2601" s="2" t="n">
        <f>HYPERLINK("https://worldwide.espacenet.com/patent/search?q=US20190211065","Espacenet")</f>
        <v>0.0</v>
      </c>
      <c r="I2601" s="2" t="n">
        <f>HYPERLINK("https://ppubs.uspto.gov/pubwebapp/external.html?q=20190211065.pn.","USPTO")</f>
        <v>0.0</v>
      </c>
      <c r="J2601" s="2" t="n">
        <f>HYPERLINK("https://image-ppubs.uspto.gov/dirsearch-public/print/downloadPdf/20190211065","USPTO PDF")</f>
        <v>0.0</v>
      </c>
      <c r="K2601" s="2" t="n">
        <f>HYPERLINK("https://sectors.patentforecast.com/pmd/US20190211065","PMD")</f>
        <v>0.0</v>
      </c>
      <c r="L2601" s="2" t="n">
        <f>HYPERLINK("https://globaldossier.uspto.gov/result/application/US/16362366/1","US20190211065")</f>
        <v>0.0</v>
      </c>
      <c r="M2601" t="s">
        <v>17634</v>
      </c>
      <c r="N2601" t="s">
        <v>145</v>
      </c>
      <c r="O2601" t="s">
        <v>146</v>
      </c>
      <c r="P2601" t="s">
        <v>17635</v>
      </c>
      <c r="Q2601" s="3" t="n">
        <v>43546.0</v>
      </c>
      <c r="R2601" s="3" t="n">
        <v>43657.0</v>
      </c>
      <c r="S2601" s="3" t="n">
        <v>43935.704047824074</v>
      </c>
      <c r="T2601" s="3" t="n">
        <v>43958.41377194445</v>
      </c>
      <c r="U2601" t="s">
        <v>17636</v>
      </c>
      <c r="V2601" t="s">
        <v>17637</v>
      </c>
    </row>
    <row r="2602">
      <c r="A2602" t="s">
        <v>22</v>
      </c>
      <c r="B2602" t="s">
        <v>17638</v>
      </c>
      <c r="C2602" t="s">
        <v>60</v>
      </c>
      <c r="D2602" t="s">
        <v>61</v>
      </c>
      <c r="E2602" t="s">
        <v>16236</v>
      </c>
      <c r="F2602" s="2" t="n">
        <f>HYPERLINK("https://patents.google.com/patent/US20190210978","Google")</f>
        <v>0.0</v>
      </c>
      <c r="G2602" s="2" t="n">
        <f>HYPERLINK("https://patentcenter.uspto.gov/applications/16158446","Patent Center")</f>
        <v>0.0</v>
      </c>
      <c r="H2602" s="2" t="n">
        <f>HYPERLINK("https://worldwide.espacenet.com/patent/search?q=US20190210978","Espacenet")</f>
        <v>0.0</v>
      </c>
      <c r="I2602" s="2" t="n">
        <f>HYPERLINK("https://ppubs.uspto.gov/pubwebapp/external.html?q=20190210978.pn.","USPTO")</f>
        <v>0.0</v>
      </c>
      <c r="J2602" s="2" t="n">
        <f>HYPERLINK("https://image-ppubs.uspto.gov/dirsearch-public/print/downloadPdf/20190210978","USPTO PDF")</f>
        <v>0.0</v>
      </c>
      <c r="K2602" s="2" t="n">
        <f>HYPERLINK("https://sectors.patentforecast.com/pmd/US20190210978","PMD")</f>
        <v>0.0</v>
      </c>
      <c r="L2602" s="2" t="n">
        <f>HYPERLINK("https://globaldossier.uspto.gov/result/application/US/16158446/1","US20190210978")</f>
        <v>0.0</v>
      </c>
      <c r="M2602" t="s">
        <v>17639</v>
      </c>
      <c r="N2602" t="s">
        <v>664</v>
      </c>
      <c r="O2602" t="s">
        <v>665</v>
      </c>
      <c r="P2602" t="s">
        <v>17640</v>
      </c>
      <c r="Q2602" s="3" t="n">
        <v>43385.0</v>
      </c>
      <c r="R2602" s="3" t="n">
        <v>43657.0</v>
      </c>
      <c r="S2602" s="3" t="n">
        <v>43952.459706030095</v>
      </c>
      <c r="T2602" s="3" t="n">
        <v>44638.662781747684</v>
      </c>
      <c r="U2602" t="s">
        <v>17641</v>
      </c>
      <c r="V2602" t="s">
        <v>17414</v>
      </c>
    </row>
    <row r="2603">
      <c r="A2603" t="s">
        <v>22</v>
      </c>
      <c r="B2603" t="s">
        <v>17642</v>
      </c>
      <c r="C2603" t="s">
        <v>132</v>
      </c>
      <c r="D2603" t="s">
        <v>133</v>
      </c>
      <c r="E2603" t="s">
        <v>17643</v>
      </c>
      <c r="F2603" s="2" t="n">
        <f>HYPERLINK("https://patents.google.com/patent/US20190209676","Google")</f>
        <v>0.0</v>
      </c>
      <c r="G2603" s="2" t="n">
        <f>HYPERLINK("https://patentcenter.uspto.gov/applications/16325615","Patent Center")</f>
        <v>0.0</v>
      </c>
      <c r="H2603" s="2" t="n">
        <f>HYPERLINK("https://worldwide.espacenet.com/patent/search?q=US20190209676","Espacenet")</f>
        <v>0.0</v>
      </c>
      <c r="I2603" s="2" t="n">
        <f>HYPERLINK("https://ppubs.uspto.gov/pubwebapp/external.html?q=20190209676.pn.","USPTO")</f>
        <v>0.0</v>
      </c>
      <c r="J2603" s="2" t="n">
        <f>HYPERLINK("https://image-ppubs.uspto.gov/dirsearch-public/print/downloadPdf/20190209676","USPTO PDF")</f>
        <v>0.0</v>
      </c>
      <c r="K2603" s="2" t="n">
        <f>HYPERLINK("https://sectors.patentforecast.com/pmd/US20190209676","PMD")</f>
        <v>0.0</v>
      </c>
      <c r="L2603" s="2" t="n">
        <f>HYPERLINK("https://globaldossier.uspto.gov/result/application/US/16325615/1","US20190209676")</f>
        <v>0.0</v>
      </c>
      <c r="M2603" t="s">
        <v>17644</v>
      </c>
      <c r="N2603" t="s">
        <v>17645</v>
      </c>
      <c r="O2603" t="s">
        <v>17645</v>
      </c>
      <c r="P2603" t="s">
        <v>17646</v>
      </c>
      <c r="Q2603" s="3" t="n">
        <v>42940.0</v>
      </c>
      <c r="R2603" s="3" t="n">
        <v>43657.0</v>
      </c>
      <c r="S2603" s="3" t="n">
        <v>43900.43726237269</v>
      </c>
      <c r="T2603" s="3" t="n">
        <v>43901.721564479165</v>
      </c>
      <c r="U2603" t="s">
        <v>17647</v>
      </c>
      <c r="V2603" t="s">
        <v>17648</v>
      </c>
    </row>
    <row r="2604">
      <c r="A2604" t="s">
        <v>22</v>
      </c>
      <c r="B2604" t="s">
        <v>17649</v>
      </c>
      <c r="C2604" t="s">
        <v>132</v>
      </c>
      <c r="D2604" t="s">
        <v>133</v>
      </c>
      <c r="E2604" t="s">
        <v>17650</v>
      </c>
      <c r="F2604" s="2" t="n">
        <f>HYPERLINK("https://patents.google.com/patent/US20190202868","Google")</f>
        <v>0.0</v>
      </c>
      <c r="G2604" s="2" t="n">
        <f>HYPERLINK("https://patentcenter.uspto.gov/applications/16354547","Patent Center")</f>
        <v>0.0</v>
      </c>
      <c r="H2604" s="2" t="n">
        <f>HYPERLINK("https://worldwide.espacenet.com/patent/search?q=US20190202868","Espacenet")</f>
        <v>0.0</v>
      </c>
      <c r="I2604" s="2" t="n">
        <f>HYPERLINK("https://ppubs.uspto.gov/pubwebapp/external.html?q=20190202868.pn.","USPTO")</f>
        <v>0.0</v>
      </c>
      <c r="J2604" s="2" t="n">
        <f>HYPERLINK("https://image-ppubs.uspto.gov/dirsearch-public/print/downloadPdf/20190202868","USPTO PDF")</f>
        <v>0.0</v>
      </c>
      <c r="K2604" s="2" t="n">
        <f>HYPERLINK("https://sectors.patentforecast.com/pmd/US20190202868","PMD")</f>
        <v>0.0</v>
      </c>
      <c r="L2604" s="2" t="n">
        <f>HYPERLINK("https://globaldossier.uspto.gov/result/application/US/16354547/1","US20190202868")</f>
        <v>0.0</v>
      </c>
      <c r="M2604" t="s">
        <v>17651</v>
      </c>
      <c r="N2604" t="s">
        <v>17564</v>
      </c>
      <c r="O2604" t="s">
        <v>17565</v>
      </c>
      <c r="P2604" t="s">
        <v>17652</v>
      </c>
      <c r="Q2604" s="3" t="n">
        <v>43539.0</v>
      </c>
      <c r="R2604" s="3" t="n">
        <v>43650.0</v>
      </c>
      <c r="S2604" s="3" t="n">
        <v>43900.43726237269</v>
      </c>
      <c r="T2604" s="3" t="n">
        <v>43901.721563576386</v>
      </c>
      <c r="U2604" t="s">
        <v>17653</v>
      </c>
      <c r="V2604" t="s">
        <v>17654</v>
      </c>
    </row>
    <row r="2605">
      <c r="A2605" t="s">
        <v>22</v>
      </c>
      <c r="B2605" t="s">
        <v>17655</v>
      </c>
      <c r="C2605" t="s">
        <v>60</v>
      </c>
      <c r="D2605" t="s">
        <v>61</v>
      </c>
      <c r="E2605" t="s">
        <v>16995</v>
      </c>
      <c r="F2605" s="2" t="n">
        <f>HYPERLINK("https://patents.google.com/patent/US20190202852","Google")</f>
        <v>0.0</v>
      </c>
      <c r="G2605" s="2" t="n">
        <f>HYPERLINK("https://patentcenter.uspto.gov/applications/16212374","Patent Center")</f>
        <v>0.0</v>
      </c>
      <c r="H2605" s="2" t="n">
        <f>HYPERLINK("https://worldwide.espacenet.com/patent/search?q=US20190202852","Espacenet")</f>
        <v>0.0</v>
      </c>
      <c r="I2605" s="2" t="n">
        <f>HYPERLINK("https://ppubs.uspto.gov/pubwebapp/external.html?q=20190202852.pn.","USPTO")</f>
        <v>0.0</v>
      </c>
      <c r="J2605" s="2" t="n">
        <f>HYPERLINK("https://image-ppubs.uspto.gov/dirsearch-public/print/downloadPdf/20190202852","USPTO PDF")</f>
        <v>0.0</v>
      </c>
      <c r="K2605" s="2" t="n">
        <f>HYPERLINK("https://sectors.patentforecast.com/pmd/US20190202852","PMD")</f>
        <v>0.0</v>
      </c>
      <c r="L2605" s="2" t="n">
        <f>HYPERLINK("https://globaldossier.uspto.gov/result/application/US/16212374/1","US20190202852")</f>
        <v>0.0</v>
      </c>
      <c r="M2605" t="s">
        <v>17656</v>
      </c>
      <c r="N2605" t="s">
        <v>664</v>
      </c>
      <c r="O2605" t="s">
        <v>665</v>
      </c>
      <c r="P2605" t="s">
        <v>16997</v>
      </c>
      <c r="Q2605" s="3" t="n">
        <v>43440.0</v>
      </c>
      <c r="R2605" s="3" t="n">
        <v>43650.0</v>
      </c>
      <c r="S2605" s="3" t="n">
        <v>43952.459706030095</v>
      </c>
      <c r="T2605" s="3" t="n">
        <v>44638.65008547454</v>
      </c>
      <c r="U2605" t="s">
        <v>17657</v>
      </c>
      <c r="V2605" t="s">
        <v>16999</v>
      </c>
    </row>
    <row r="2606">
      <c r="A2606" t="s">
        <v>22</v>
      </c>
      <c r="B2606" t="s">
        <v>17658</v>
      </c>
      <c r="C2606" t="s">
        <v>24</v>
      </c>
      <c r="D2606" t="s">
        <v>100</v>
      </c>
      <c r="E2606" t="s">
        <v>17090</v>
      </c>
      <c r="F2606" s="2" t="n">
        <f>HYPERLINK("https://patents.google.com/patent/US20190201565","Google")</f>
        <v>0.0</v>
      </c>
      <c r="G2606" s="2" t="n">
        <f>HYPERLINK("https://patentcenter.uspto.gov/applications/16127915","Patent Center")</f>
        <v>0.0</v>
      </c>
      <c r="H2606" s="2" t="n">
        <f>HYPERLINK("https://worldwide.espacenet.com/patent/search?q=US20190201565","Espacenet")</f>
        <v>0.0</v>
      </c>
      <c r="I2606" s="2" t="n">
        <f>HYPERLINK("https://ppubs.uspto.gov/pubwebapp/external.html?q=20190201565.pn.","USPTO")</f>
        <v>0.0</v>
      </c>
      <c r="J2606" s="2" t="n">
        <f>HYPERLINK("https://image-ppubs.uspto.gov/dirsearch-public/print/downloadPdf/20190201565","USPTO PDF")</f>
        <v>0.0</v>
      </c>
      <c r="K2606" s="2" t="n">
        <f>HYPERLINK("https://sectors.patentforecast.com/pmd/US20190201565","PMD")</f>
        <v>0.0</v>
      </c>
      <c r="L2606" s="2" t="n">
        <f>HYPERLINK("https://globaldossier.uspto.gov/result/application/US/16127915/1","US20190201565")</f>
        <v>0.0</v>
      </c>
      <c r="M2606" t="s">
        <v>17659</v>
      </c>
      <c r="N2606" t="s">
        <v>15557</v>
      </c>
      <c r="O2606" t="s">
        <v>15558</v>
      </c>
      <c r="P2606" t="s">
        <v>17660</v>
      </c>
      <c r="Q2606" s="3" t="n">
        <v>43354.0</v>
      </c>
      <c r="R2606" s="3" t="n">
        <v>43650.0</v>
      </c>
      <c r="S2606" s="3" t="n">
        <v>43999.59019282407</v>
      </c>
      <c r="T2606" s="3" t="n">
        <v>43999.69838207176</v>
      </c>
      <c r="U2606" t="s">
        <v>17661</v>
      </c>
      <c r="V2606" t="s">
        <v>15561</v>
      </c>
    </row>
    <row r="2607">
      <c r="A2607" t="s">
        <v>22</v>
      </c>
      <c r="B2607" t="s">
        <v>17662</v>
      </c>
      <c r="C2607" t="s">
        <v>24</v>
      </c>
      <c r="D2607" t="s">
        <v>100</v>
      </c>
      <c r="E2607" t="s">
        <v>17090</v>
      </c>
      <c r="F2607" s="2" t="n">
        <f>HYPERLINK("https://patents.google.com/patent/US20190201564","Google")</f>
        <v>0.0</v>
      </c>
      <c r="G2607" s="2" t="n">
        <f>HYPERLINK("https://patentcenter.uspto.gov/applications/15858446","Patent Center")</f>
        <v>0.0</v>
      </c>
      <c r="H2607" s="2" t="n">
        <f>HYPERLINK("https://worldwide.espacenet.com/patent/search?q=US20190201564","Espacenet")</f>
        <v>0.0</v>
      </c>
      <c r="I2607" s="2" t="n">
        <f>HYPERLINK("https://ppubs.uspto.gov/pubwebapp/external.html?q=20190201564.pn.","USPTO")</f>
        <v>0.0</v>
      </c>
      <c r="J2607" s="2" t="n">
        <f>HYPERLINK("https://image-ppubs.uspto.gov/dirsearch-public/print/downloadPdf/20190201564","USPTO PDF")</f>
        <v>0.0</v>
      </c>
      <c r="K2607" s="2" t="n">
        <f>HYPERLINK("https://sectors.patentforecast.com/pmd/US20190201564","PMD")</f>
        <v>0.0</v>
      </c>
      <c r="L2607" s="2" t="n">
        <f>HYPERLINK("https://globaldossier.uspto.gov/result/application/US/15858446/1","US20190201564")</f>
        <v>0.0</v>
      </c>
      <c r="M2607" t="s">
        <v>17663</v>
      </c>
      <c r="N2607" t="s">
        <v>17664</v>
      </c>
      <c r="O2607" t="s">
        <v>17665</v>
      </c>
      <c r="P2607" t="s">
        <v>17660</v>
      </c>
      <c r="Q2607" s="3" t="n">
        <v>43098.0</v>
      </c>
      <c r="R2607" s="3" t="n">
        <v>43650.0</v>
      </c>
      <c r="S2607" s="3" t="n">
        <v>43999.59019282407</v>
      </c>
      <c r="T2607" s="3" t="n">
        <v>43999.69838207176</v>
      </c>
      <c r="U2607" t="s">
        <v>17666</v>
      </c>
      <c r="V2607" t="s">
        <v>15561</v>
      </c>
    </row>
    <row r="2608">
      <c r="A2608" t="s">
        <v>22</v>
      </c>
      <c r="B2608" t="s">
        <v>17667</v>
      </c>
      <c r="C2608" t="s">
        <v>60</v>
      </c>
      <c r="D2608" t="s">
        <v>77</v>
      </c>
      <c r="E2608" t="s">
        <v>15229</v>
      </c>
      <c r="F2608" s="2" t="n">
        <f>HYPERLINK("https://patents.google.com/patent/US20190194299","Google")</f>
        <v>0.0</v>
      </c>
      <c r="G2608" s="2" t="n">
        <f>HYPERLINK("https://patentcenter.uspto.gov/applications/16195116","Patent Center")</f>
        <v>0.0</v>
      </c>
      <c r="H2608" s="2" t="n">
        <f>HYPERLINK("https://worldwide.espacenet.com/patent/search?q=US20190194299","Espacenet")</f>
        <v>0.0</v>
      </c>
      <c r="I2608" s="2" t="n">
        <f>HYPERLINK("https://ppubs.uspto.gov/pubwebapp/external.html?q=20190194299.pn.","USPTO")</f>
        <v>0.0</v>
      </c>
      <c r="J2608" s="2" t="n">
        <f>HYPERLINK("https://image-ppubs.uspto.gov/dirsearch-public/print/downloadPdf/20190194299","USPTO PDF")</f>
        <v>0.0</v>
      </c>
      <c r="K2608" s="2" t="n">
        <f>HYPERLINK("https://sectors.patentforecast.com/pmd/US20190194299","PMD")</f>
        <v>0.0</v>
      </c>
      <c r="L2608" s="2" t="n">
        <f>HYPERLINK("https://globaldossier.uspto.gov/result/application/US/16195116/1","US20190194299")</f>
        <v>0.0</v>
      </c>
      <c r="M2608" t="s">
        <v>17668</v>
      </c>
      <c r="N2608" t="s">
        <v>15231</v>
      </c>
      <c r="O2608" t="s">
        <v>15232</v>
      </c>
      <c r="P2608" t="s">
        <v>17669</v>
      </c>
      <c r="Q2608" s="3" t="n">
        <v>43423.0</v>
      </c>
      <c r="R2608" s="3" t="n">
        <v>43643.0</v>
      </c>
      <c r="S2608" s="3" t="n">
        <v>43935.704047824074</v>
      </c>
      <c r="T2608" s="3" t="n">
        <v>43985.64084817129</v>
      </c>
      <c r="U2608" t="s">
        <v>17670</v>
      </c>
      <c r="V2608" t="s">
        <v>15235</v>
      </c>
    </row>
    <row r="2609">
      <c r="A2609" t="s">
        <v>22</v>
      </c>
      <c r="B2609" t="s">
        <v>17671</v>
      </c>
      <c r="C2609" t="s">
        <v>60</v>
      </c>
      <c r="D2609" t="s">
        <v>61</v>
      </c>
      <c r="E2609" t="s">
        <v>17672</v>
      </c>
      <c r="F2609" s="2" t="n">
        <f>HYPERLINK("https://patents.google.com/patent/US20190194223","Google")</f>
        <v>0.0</v>
      </c>
      <c r="G2609" s="2" t="n">
        <f>HYPERLINK("https://patentcenter.uspto.gov/applications/16203112","Patent Center")</f>
        <v>0.0</v>
      </c>
      <c r="H2609" s="2" t="n">
        <f>HYPERLINK("https://worldwide.espacenet.com/patent/search?q=US20190194223","Espacenet")</f>
        <v>0.0</v>
      </c>
      <c r="I2609" s="2" t="n">
        <f>HYPERLINK("https://ppubs.uspto.gov/pubwebapp/external.html?q=20190194223.pn.","USPTO")</f>
        <v>0.0</v>
      </c>
      <c r="J2609" s="2" t="n">
        <f>HYPERLINK("https://image-ppubs.uspto.gov/dirsearch-public/print/downloadPdf/20190194223","USPTO PDF")</f>
        <v>0.0</v>
      </c>
      <c r="K2609" s="2" t="n">
        <f>HYPERLINK("https://sectors.patentforecast.com/pmd/US20190194223","PMD")</f>
        <v>0.0</v>
      </c>
      <c r="L2609" s="2" t="n">
        <f>HYPERLINK("https://globaldossier.uspto.gov/result/application/US/16203112/1","US20190194223")</f>
        <v>0.0</v>
      </c>
      <c r="M2609" t="s">
        <v>17673</v>
      </c>
      <c r="N2609" t="s">
        <v>664</v>
      </c>
      <c r="O2609" t="s">
        <v>665</v>
      </c>
      <c r="P2609" t="s">
        <v>16997</v>
      </c>
      <c r="Q2609" s="3" t="n">
        <v>43432.0</v>
      </c>
      <c r="R2609" s="3" t="n">
        <v>43643.0</v>
      </c>
      <c r="S2609" s="3" t="n">
        <v>43952.459706030095</v>
      </c>
      <c r="T2609" s="3" t="n">
        <v>44638.65643378472</v>
      </c>
      <c r="U2609" t="s">
        <v>17674</v>
      </c>
      <c r="V2609" t="s">
        <v>17675</v>
      </c>
    </row>
    <row r="2610">
      <c r="A2610" t="s">
        <v>22</v>
      </c>
      <c r="B2610" t="s">
        <v>17676</v>
      </c>
      <c r="C2610" t="s">
        <v>24</v>
      </c>
      <c r="D2610" t="s">
        <v>34</v>
      </c>
      <c r="E2610" t="s">
        <v>17677</v>
      </c>
      <c r="F2610" s="2" t="n">
        <f>HYPERLINK("https://patents.google.com/patent/US20190192010","Google")</f>
        <v>0.0</v>
      </c>
      <c r="G2610" s="2" t="n">
        <f>HYPERLINK("https://patentcenter.uspto.gov/applications/16225793","Patent Center")</f>
        <v>0.0</v>
      </c>
      <c r="H2610" s="2" t="n">
        <f>HYPERLINK("https://worldwide.espacenet.com/patent/search?q=US20190192010","Espacenet")</f>
        <v>0.0</v>
      </c>
      <c r="I2610" s="2" t="n">
        <f>HYPERLINK("https://ppubs.uspto.gov/pubwebapp/external.html?q=20190192010.pn.","USPTO")</f>
        <v>0.0</v>
      </c>
      <c r="J2610" s="2" t="n">
        <f>HYPERLINK("https://image-ppubs.uspto.gov/dirsearch-public/print/downloadPdf/20190192010","USPTO PDF")</f>
        <v>0.0</v>
      </c>
      <c r="K2610" s="2" t="n">
        <f>HYPERLINK("https://sectors.patentforecast.com/pmd/US20190192010","PMD")</f>
        <v>0.0</v>
      </c>
      <c r="L2610" s="2" t="n">
        <f>HYPERLINK("https://globaldossier.uspto.gov/result/application/US/16225793/1","US20190192010")</f>
        <v>0.0</v>
      </c>
      <c r="M2610" t="s">
        <v>17678</v>
      </c>
      <c r="N2610" t="s">
        <v>17679</v>
      </c>
      <c r="O2610" t="s">
        <v>17680</v>
      </c>
      <c r="P2610" t="s">
        <v>17681</v>
      </c>
      <c r="Q2610" s="3" t="n">
        <v>43453.0</v>
      </c>
      <c r="R2610" s="3" t="n">
        <v>43643.0</v>
      </c>
      <c r="S2610" s="3" t="n">
        <v>44257.188689131945</v>
      </c>
      <c r="T2610" s="3" t="n">
        <v>44257.35699049768</v>
      </c>
      <c r="U2610" t="s">
        <v>17682</v>
      </c>
      <c r="V2610" t="s">
        <v>17683</v>
      </c>
    </row>
    <row r="2611">
      <c r="A2611" t="s">
        <v>22</v>
      </c>
      <c r="B2611" t="s">
        <v>17684</v>
      </c>
      <c r="C2611" t="s">
        <v>132</v>
      </c>
      <c r="D2611" t="s">
        <v>12938</v>
      </c>
      <c r="E2611" t="s">
        <v>17685</v>
      </c>
      <c r="F2611" s="2" t="n">
        <f>HYPERLINK("https://patents.google.com/patent/US20190177373","Google")</f>
        <v>0.0</v>
      </c>
      <c r="G2611" s="2" t="n">
        <f>HYPERLINK("https://patentcenter.uspto.gov/applications/16311913","Patent Center")</f>
        <v>0.0</v>
      </c>
      <c r="H2611" s="2" t="n">
        <f>HYPERLINK("https://worldwide.espacenet.com/patent/search?q=US20190177373","Espacenet")</f>
        <v>0.0</v>
      </c>
      <c r="I2611" s="2" t="n">
        <f>HYPERLINK("https://ppubs.uspto.gov/pubwebapp/external.html?q=20190177373.pn.","USPTO")</f>
        <v>0.0</v>
      </c>
      <c r="J2611" s="2" t="n">
        <f>HYPERLINK("https://image-ppubs.uspto.gov/dirsearch-public/print/downloadPdf/20190177373","USPTO PDF")</f>
        <v>0.0</v>
      </c>
      <c r="K2611" s="2" t="n">
        <f>HYPERLINK("https://sectors.patentforecast.com/pmd/US20190177373","PMD")</f>
        <v>0.0</v>
      </c>
      <c r="L2611" s="2" t="n">
        <f>HYPERLINK("https://globaldossier.uspto.gov/result/application/US/16311913/1","US20190177373")</f>
        <v>0.0</v>
      </c>
      <c r="M2611" t="s">
        <v>17686</v>
      </c>
      <c r="N2611" t="s">
        <v>17536</v>
      </c>
      <c r="O2611" t="s">
        <v>17537</v>
      </c>
      <c r="P2611" t="s">
        <v>17687</v>
      </c>
      <c r="Q2611" s="3" t="n">
        <v>42923.0</v>
      </c>
      <c r="R2611" s="3" t="n">
        <v>43629.0</v>
      </c>
      <c r="S2611" s="3" t="n">
        <v>43900.43726237269</v>
      </c>
      <c r="T2611" s="3" t="n">
        <v>43901.7215650463</v>
      </c>
      <c r="U2611" t="s">
        <v>17688</v>
      </c>
      <c r="V2611" t="s">
        <v>17689</v>
      </c>
    </row>
    <row r="2612">
      <c r="A2612" t="s">
        <v>22</v>
      </c>
      <c r="B2612" t="s">
        <v>17690</v>
      </c>
      <c r="C2612" t="s">
        <v>132</v>
      </c>
      <c r="D2612" t="s">
        <v>1265</v>
      </c>
      <c r="E2612" t="s">
        <v>17691</v>
      </c>
      <c r="F2612" s="2" t="n">
        <f>HYPERLINK("https://patents.google.com/patent/US20190175721","Google")</f>
        <v>0.0</v>
      </c>
      <c r="G2612" s="2" t="n">
        <f>HYPERLINK("https://patentcenter.uspto.gov/applications/16258094","Patent Center")</f>
        <v>0.0</v>
      </c>
      <c r="H2612" s="2" t="n">
        <f>HYPERLINK("https://worldwide.espacenet.com/patent/search?q=US20190175721","Espacenet")</f>
        <v>0.0</v>
      </c>
      <c r="I2612" s="2" t="n">
        <f>HYPERLINK("https://ppubs.uspto.gov/pubwebapp/external.html?q=20190175721.pn.","USPTO")</f>
        <v>0.0</v>
      </c>
      <c r="J2612" s="2" t="n">
        <f>HYPERLINK("https://image-ppubs.uspto.gov/dirsearch-public/print/downloadPdf/20190175721","USPTO PDF")</f>
        <v>0.0</v>
      </c>
      <c r="K2612" s="2" t="n">
        <f>HYPERLINK("https://sectors.patentforecast.com/pmd/US20190175721","PMD")</f>
        <v>0.0</v>
      </c>
      <c r="L2612" s="2" t="n">
        <f>HYPERLINK("https://globaldossier.uspto.gov/result/application/US/16258094/1","US20190175721")</f>
        <v>0.0</v>
      </c>
      <c r="M2612" t="s">
        <v>17692</v>
      </c>
      <c r="N2612" t="s">
        <v>2612</v>
      </c>
      <c r="O2612" t="s">
        <v>2613</v>
      </c>
      <c r="P2612" t="s">
        <v>17693</v>
      </c>
      <c r="Q2612" s="3" t="n">
        <v>43490.0</v>
      </c>
      <c r="R2612" s="3" t="n">
        <v>43629.0</v>
      </c>
      <c r="S2612" s="3" t="n">
        <v>43900.43726237269</v>
      </c>
      <c r="T2612" s="3" t="n">
        <v>43901.72156533565</v>
      </c>
      <c r="U2612" t="s">
        <v>17694</v>
      </c>
      <c r="V2612" t="s">
        <v>17695</v>
      </c>
    </row>
    <row r="2613">
      <c r="A2613" t="s">
        <v>22</v>
      </c>
      <c r="B2613" t="s">
        <v>17696</v>
      </c>
      <c r="C2613" t="s">
        <v>60</v>
      </c>
      <c r="D2613" t="s">
        <v>696</v>
      </c>
      <c r="E2613" t="s">
        <v>17697</v>
      </c>
      <c r="F2613" s="2" t="n">
        <f>HYPERLINK("https://patents.google.com/patent/US20190169288","Google")</f>
        <v>0.0</v>
      </c>
      <c r="G2613" s="2" t="n">
        <f>HYPERLINK("https://patentcenter.uspto.gov/applications/16131216","Patent Center")</f>
        <v>0.0</v>
      </c>
      <c r="H2613" s="2" t="n">
        <f>HYPERLINK("https://worldwide.espacenet.com/patent/search?q=US20190169288","Espacenet")</f>
        <v>0.0</v>
      </c>
      <c r="I2613" s="2" t="n">
        <f>HYPERLINK("https://ppubs.uspto.gov/pubwebapp/external.html?q=20190169288.pn.","USPTO")</f>
        <v>0.0</v>
      </c>
      <c r="J2613" s="2" t="n">
        <f>HYPERLINK("https://image-ppubs.uspto.gov/dirsearch-public/print/downloadPdf/20190169288","USPTO PDF")</f>
        <v>0.0</v>
      </c>
      <c r="K2613" s="2" t="n">
        <f>HYPERLINK("https://sectors.patentforecast.com/pmd/US20190169288","PMD")</f>
        <v>0.0</v>
      </c>
      <c r="L2613" s="2" t="n">
        <f>HYPERLINK("https://globaldossier.uspto.gov/result/application/US/16131216/1","US20190169288")</f>
        <v>0.0</v>
      </c>
      <c r="M2613" t="s">
        <v>17698</v>
      </c>
      <c r="N2613" t="s">
        <v>16927</v>
      </c>
      <c r="O2613" t="s">
        <v>16928</v>
      </c>
      <c r="P2613" t="s">
        <v>17699</v>
      </c>
      <c r="Q2613" s="3" t="n">
        <v>43357.0</v>
      </c>
      <c r="R2613" s="3" t="n">
        <v>43622.0</v>
      </c>
      <c r="S2613" s="3" t="n">
        <v>43966.47937925926</v>
      </c>
      <c r="T2613" s="3" t="n">
        <v>44643.44490069444</v>
      </c>
      <c r="U2613" t="s">
        <v>17700</v>
      </c>
      <c r="V2613" t="s">
        <v>17701</v>
      </c>
    </row>
    <row r="2614">
      <c r="A2614" t="s">
        <v>22</v>
      </c>
      <c r="B2614" t="s">
        <v>17702</v>
      </c>
      <c r="C2614" t="s">
        <v>132</v>
      </c>
      <c r="D2614" t="s">
        <v>1265</v>
      </c>
      <c r="E2614" t="s">
        <v>17703</v>
      </c>
      <c r="F2614" s="2" t="n">
        <f>HYPERLINK("https://patents.google.com/patent/US20190167780","Google")</f>
        <v>0.0</v>
      </c>
      <c r="G2614" s="2" t="n">
        <f>HYPERLINK("https://patentcenter.uspto.gov/applications/16032182","Patent Center")</f>
        <v>0.0</v>
      </c>
      <c r="H2614" s="2" t="n">
        <f>HYPERLINK("https://worldwide.espacenet.com/patent/search?q=US20190167780","Espacenet")</f>
        <v>0.0</v>
      </c>
      <c r="I2614" s="2" t="n">
        <f>HYPERLINK("https://ppubs.uspto.gov/pubwebapp/external.html?q=20190167780.pn.","USPTO")</f>
        <v>0.0</v>
      </c>
      <c r="J2614" s="2" t="n">
        <f>HYPERLINK("https://image-ppubs.uspto.gov/dirsearch-public/print/downloadPdf/20190167780","USPTO PDF")</f>
        <v>0.0</v>
      </c>
      <c r="K2614" s="2" t="n">
        <f>HYPERLINK("https://sectors.patentforecast.com/pmd/US20190167780","PMD")</f>
        <v>0.0</v>
      </c>
      <c r="L2614" s="2" t="n">
        <f>HYPERLINK("https://globaldossier.uspto.gov/result/application/US/16032182/1","US20190167780")</f>
        <v>0.0</v>
      </c>
      <c r="M2614" t="s">
        <v>17704</v>
      </c>
      <c r="N2614" t="s">
        <v>14996</v>
      </c>
      <c r="O2614" t="s">
        <v>14997</v>
      </c>
      <c r="P2614" t="s">
        <v>17705</v>
      </c>
      <c r="Q2614" s="3" t="n">
        <v>43292.0</v>
      </c>
      <c r="R2614" s="3" t="n">
        <v>43622.0</v>
      </c>
      <c r="S2614" s="3" t="n">
        <v>43900.43726237269</v>
      </c>
      <c r="T2614" s="3" t="n">
        <v>43901.72156508102</v>
      </c>
      <c r="U2614" t="s">
        <v>17706</v>
      </c>
      <c r="V2614" t="s">
        <v>17707</v>
      </c>
    </row>
    <row r="2615">
      <c r="A2615" t="s">
        <v>22</v>
      </c>
      <c r="B2615" t="s">
        <v>17708</v>
      </c>
      <c r="C2615" t="s">
        <v>60</v>
      </c>
      <c r="D2615" t="s">
        <v>696</v>
      </c>
      <c r="E2615" t="s">
        <v>7431</v>
      </c>
      <c r="F2615" s="2" t="n">
        <f>HYPERLINK("https://patents.google.com/patent/US20190161554","Google")</f>
        <v>0.0</v>
      </c>
      <c r="G2615" s="2" t="n">
        <f>HYPERLINK("https://patentcenter.uspto.gov/applications/16270761","Patent Center")</f>
        <v>0.0</v>
      </c>
      <c r="H2615" s="2" t="n">
        <f>HYPERLINK("https://worldwide.espacenet.com/patent/search?q=US20190161554","Espacenet")</f>
        <v>0.0</v>
      </c>
      <c r="I2615" s="2" t="n">
        <f>HYPERLINK("https://ppubs.uspto.gov/pubwebapp/external.html?q=20190161554.pn.","USPTO")</f>
        <v>0.0</v>
      </c>
      <c r="J2615" s="2" t="n">
        <f>HYPERLINK("https://image-ppubs.uspto.gov/dirsearch-public/print/downloadPdf/20190161554","USPTO PDF")</f>
        <v>0.0</v>
      </c>
      <c r="K2615" s="2" t="n">
        <f>HYPERLINK("https://sectors.patentforecast.com/pmd/US20190161554","PMD")</f>
        <v>0.0</v>
      </c>
      <c r="L2615" s="2" t="n">
        <f>HYPERLINK("https://globaldossier.uspto.gov/result/application/US/16270761/1","US20190161554")</f>
        <v>0.0</v>
      </c>
      <c r="M2615" t="s">
        <v>17709</v>
      </c>
      <c r="N2615" t="s">
        <v>385</v>
      </c>
      <c r="O2615" t="s">
        <v>386</v>
      </c>
      <c r="P2615" t="s">
        <v>17710</v>
      </c>
      <c r="Q2615" s="3" t="n">
        <v>43504.0</v>
      </c>
      <c r="R2615" s="3" t="n">
        <v>43615.0</v>
      </c>
      <c r="S2615" s="3" t="n">
        <v>44004.3759275</v>
      </c>
      <c r="T2615" s="3" t="n">
        <v>44678.623324849534</v>
      </c>
      <c r="U2615" t="s">
        <v>17711</v>
      </c>
      <c r="V2615" t="s">
        <v>7435</v>
      </c>
    </row>
    <row r="2616">
      <c r="A2616" t="s">
        <v>22</v>
      </c>
      <c r="B2616" t="s">
        <v>17712</v>
      </c>
      <c r="C2616" t="s">
        <v>24</v>
      </c>
      <c r="D2616" t="s">
        <v>25</v>
      </c>
      <c r="E2616" t="s">
        <v>17713</v>
      </c>
      <c r="F2616" s="2" t="n">
        <f>HYPERLINK("https://patents.google.com/patent/US20190156959","Google")</f>
        <v>0.0</v>
      </c>
      <c r="G2616" s="2" t="n">
        <f>HYPERLINK("https://patentcenter.uspto.gov/applications/16300279","Patent Center")</f>
        <v>0.0</v>
      </c>
      <c r="H2616" s="2" t="n">
        <f>HYPERLINK("https://worldwide.espacenet.com/patent/search?q=US20190156959","Espacenet")</f>
        <v>0.0</v>
      </c>
      <c r="I2616" s="2" t="n">
        <f>HYPERLINK("https://ppubs.uspto.gov/pubwebapp/external.html?q=20190156959.pn.","USPTO")</f>
        <v>0.0</v>
      </c>
      <c r="J2616" s="2" t="n">
        <f>HYPERLINK("https://image-ppubs.uspto.gov/dirsearch-public/print/downloadPdf/20190156959","USPTO PDF")</f>
        <v>0.0</v>
      </c>
      <c r="K2616" s="2" t="n">
        <f>HYPERLINK("https://sectors.patentforecast.com/pmd/US20190156959","PMD")</f>
        <v>0.0</v>
      </c>
      <c r="L2616" s="2" t="n">
        <f>HYPERLINK("https://globaldossier.uspto.gov/result/application/US/16300279/1","US20190156959")</f>
        <v>0.0</v>
      </c>
      <c r="M2616" t="s">
        <v>17714</v>
      </c>
      <c r="N2616" t="s">
        <v>17715</v>
      </c>
      <c r="O2616" t="s">
        <v>17716</v>
      </c>
      <c r="P2616" t="s">
        <v>17717</v>
      </c>
      <c r="Q2616" s="3" t="n">
        <v>42863.0</v>
      </c>
      <c r="R2616" s="3" t="n">
        <v>43608.0</v>
      </c>
      <c r="S2616" s="3" t="n">
        <v>43908.458510358796</v>
      </c>
      <c r="T2616" s="3" t="n">
        <v>44543.60999276621</v>
      </c>
      <c r="U2616" t="s">
        <v>17718</v>
      </c>
      <c r="V2616" t="s">
        <v>17719</v>
      </c>
    </row>
    <row r="2617">
      <c r="A2617" t="s">
        <v>22</v>
      </c>
      <c r="B2617" t="s">
        <v>17720</v>
      </c>
      <c r="C2617" t="s">
        <v>60</v>
      </c>
      <c r="D2617" t="s">
        <v>77</v>
      </c>
      <c r="E2617" t="s">
        <v>17721</v>
      </c>
      <c r="F2617" s="2" t="n">
        <f>HYPERLINK("https://patents.google.com/patent/US20190153076","Google")</f>
        <v>0.0</v>
      </c>
      <c r="G2617" s="2" t="n">
        <f>HYPERLINK("https://patentcenter.uspto.gov/applications/16098908","Patent Center")</f>
        <v>0.0</v>
      </c>
      <c r="H2617" s="2" t="n">
        <f>HYPERLINK("https://worldwide.espacenet.com/patent/search?q=US20190153076","Espacenet")</f>
        <v>0.0</v>
      </c>
      <c r="I2617" s="2" t="n">
        <f>HYPERLINK("https://ppubs.uspto.gov/pubwebapp/external.html?q=20190153076.pn.","USPTO")</f>
        <v>0.0</v>
      </c>
      <c r="J2617" s="2" t="n">
        <f>HYPERLINK("https://image-ppubs.uspto.gov/dirsearch-public/print/downloadPdf/20190153076","USPTO PDF")</f>
        <v>0.0</v>
      </c>
      <c r="K2617" s="2" t="n">
        <f>HYPERLINK("https://sectors.patentforecast.com/pmd/US20190153076","PMD")</f>
        <v>0.0</v>
      </c>
      <c r="L2617" s="2" t="n">
        <f>HYPERLINK("https://globaldossier.uspto.gov/result/application/US/16098908/1","US20190153076")</f>
        <v>0.0</v>
      </c>
      <c r="M2617" t="s">
        <v>17722</v>
      </c>
      <c r="N2617" t="s">
        <v>7854</v>
      </c>
      <c r="O2617" t="s">
        <v>7855</v>
      </c>
      <c r="P2617" t="s">
        <v>17723</v>
      </c>
      <c r="Q2617" s="3" t="n">
        <v>42860.0</v>
      </c>
      <c r="R2617" s="3" t="n">
        <v>43608.0</v>
      </c>
      <c r="S2617" s="3" t="n">
        <v>43936.46037263889</v>
      </c>
      <c r="T2617" s="3" t="n">
        <v>44672.437635104165</v>
      </c>
      <c r="U2617" t="s">
        <v>17724</v>
      </c>
      <c r="V2617" t="s">
        <v>17725</v>
      </c>
    </row>
    <row r="2618">
      <c r="A2618" t="s">
        <v>22</v>
      </c>
      <c r="B2618" t="s">
        <v>17726</v>
      </c>
      <c r="C2618" t="s">
        <v>132</v>
      </c>
      <c r="D2618" t="s">
        <v>8747</v>
      </c>
      <c r="E2618" t="s">
        <v>8748</v>
      </c>
      <c r="F2618" s="2" t="n">
        <f>HYPERLINK("https://patents.google.com/patent/US20190153040","Google")</f>
        <v>0.0</v>
      </c>
      <c r="G2618" s="2" t="n">
        <f>HYPERLINK("https://patentcenter.uspto.gov/applications/16098912","Patent Center")</f>
        <v>0.0</v>
      </c>
      <c r="H2618" s="2" t="n">
        <f>HYPERLINK("https://worldwide.espacenet.com/patent/search?q=US20190153040","Espacenet")</f>
        <v>0.0</v>
      </c>
      <c r="I2618" s="2" t="n">
        <f>HYPERLINK("https://ppubs.uspto.gov/pubwebapp/external.html?q=20190153040.pn.","USPTO")</f>
        <v>0.0</v>
      </c>
      <c r="J2618" s="2" t="n">
        <f>HYPERLINK("https://image-ppubs.uspto.gov/dirsearch-public/print/downloadPdf/20190153040","USPTO PDF")</f>
        <v>0.0</v>
      </c>
      <c r="K2618" s="2" t="n">
        <f>HYPERLINK("https://sectors.patentforecast.com/pmd/US20190153040","PMD")</f>
        <v>0.0</v>
      </c>
      <c r="L2618" s="2" t="n">
        <f>HYPERLINK("https://globaldossier.uspto.gov/result/application/US/16098912/1","US20190153040")</f>
        <v>0.0</v>
      </c>
      <c r="M2618" t="s">
        <v>17727</v>
      </c>
      <c r="N2618" t="s">
        <v>7854</v>
      </c>
      <c r="O2618" t="s">
        <v>7855</v>
      </c>
      <c r="P2618" t="s">
        <v>8750</v>
      </c>
      <c r="Q2618" s="3" t="n">
        <v>42860.0</v>
      </c>
      <c r="R2618" s="3" t="n">
        <v>43608.0</v>
      </c>
      <c r="S2618" s="3" t="n">
        <v>43936.46037263889</v>
      </c>
      <c r="T2618" s="3" t="n">
        <v>43950.471840625</v>
      </c>
      <c r="U2618" t="s">
        <v>17728</v>
      </c>
      <c r="V2618" t="s">
        <v>8752</v>
      </c>
    </row>
    <row r="2619">
      <c r="A2619" t="s">
        <v>22</v>
      </c>
      <c r="B2619" t="s">
        <v>17729</v>
      </c>
      <c r="C2619" t="s">
        <v>60</v>
      </c>
      <c r="D2619" t="s">
        <v>61</v>
      </c>
      <c r="E2619" t="s">
        <v>17730</v>
      </c>
      <c r="F2619" s="2" t="n">
        <f>HYPERLINK("https://patents.google.com/patent/US20190152974","Google")</f>
        <v>0.0</v>
      </c>
      <c r="G2619" s="2" t="n">
        <f>HYPERLINK("https://patentcenter.uspto.gov/applications/16162887","Patent Center")</f>
        <v>0.0</v>
      </c>
      <c r="H2619" s="2" t="n">
        <f>HYPERLINK("https://worldwide.espacenet.com/patent/search?q=US20190152974","Espacenet")</f>
        <v>0.0</v>
      </c>
      <c r="I2619" s="2" t="n">
        <f>HYPERLINK("https://ppubs.uspto.gov/pubwebapp/external.html?q=20190152974.pn.","USPTO")</f>
        <v>0.0</v>
      </c>
      <c r="J2619" s="2" t="n">
        <f>HYPERLINK("https://image-ppubs.uspto.gov/dirsearch-public/print/downloadPdf/20190152974","USPTO PDF")</f>
        <v>0.0</v>
      </c>
      <c r="K2619" s="2" t="n">
        <f>HYPERLINK("https://sectors.patentforecast.com/pmd/US20190152974","PMD")</f>
        <v>0.0</v>
      </c>
      <c r="L2619" s="2" t="n">
        <f>HYPERLINK("https://globaldossier.uspto.gov/result/application/US/16162887/1","US20190152974")</f>
        <v>0.0</v>
      </c>
      <c r="M2619" t="s">
        <v>17731</v>
      </c>
      <c r="N2619" t="s">
        <v>664</v>
      </c>
      <c r="O2619" t="s">
        <v>665</v>
      </c>
      <c r="P2619" t="s">
        <v>17732</v>
      </c>
      <c r="Q2619" s="3" t="n">
        <v>43390.0</v>
      </c>
      <c r="R2619" s="3" t="n">
        <v>43608.0</v>
      </c>
      <c r="S2619" s="3" t="n">
        <v>43952.459706030095</v>
      </c>
      <c r="T2619" s="3" t="n">
        <v>44638.65579662037</v>
      </c>
      <c r="U2619" t="s">
        <v>17733</v>
      </c>
      <c r="V2619" t="s">
        <v>17734</v>
      </c>
    </row>
    <row r="2620">
      <c r="A2620" t="s">
        <v>22</v>
      </c>
      <c r="B2620" t="s">
        <v>17735</v>
      </c>
      <c r="C2620" t="s">
        <v>132</v>
      </c>
      <c r="D2620" t="s">
        <v>142</v>
      </c>
      <c r="E2620" t="s">
        <v>17736</v>
      </c>
      <c r="F2620" s="2" t="n">
        <f>HYPERLINK("https://patents.google.com/patent/US20190151474","Google")</f>
        <v>0.0</v>
      </c>
      <c r="G2620" s="2" t="n">
        <f>HYPERLINK("https://patentcenter.uspto.gov/applications/15509258","Patent Center")</f>
        <v>0.0</v>
      </c>
      <c r="H2620" s="2" t="n">
        <f>HYPERLINK("https://worldwide.espacenet.com/patent/search?q=US20190151474","Espacenet")</f>
        <v>0.0</v>
      </c>
      <c r="I2620" s="2" t="n">
        <f>HYPERLINK("https://ppubs.uspto.gov/pubwebapp/external.html?q=20190151474.pn.","USPTO")</f>
        <v>0.0</v>
      </c>
      <c r="J2620" s="2" t="n">
        <f>HYPERLINK("https://image-ppubs.uspto.gov/dirsearch-public/print/downloadPdf/20190151474","USPTO PDF")</f>
        <v>0.0</v>
      </c>
      <c r="K2620" s="2" t="n">
        <f>HYPERLINK("https://sectors.patentforecast.com/pmd/US20190151474","PMD")</f>
        <v>0.0</v>
      </c>
      <c r="L2620" s="2" t="n">
        <f>HYPERLINK("https://globaldossier.uspto.gov/result/application/US/15509258/1","US20190151474")</f>
        <v>0.0</v>
      </c>
      <c r="M2620" t="s">
        <v>17737</v>
      </c>
      <c r="N2620" t="s">
        <v>17738</v>
      </c>
      <c r="O2620" t="s">
        <v>17738</v>
      </c>
      <c r="P2620" t="s">
        <v>17739</v>
      </c>
      <c r="Q2620" s="3" t="n">
        <v>42255.0</v>
      </c>
      <c r="R2620" s="3" t="n">
        <v>43608.0</v>
      </c>
      <c r="S2620" s="3" t="n">
        <v>43935.704047824074</v>
      </c>
      <c r="T2620" s="3" t="n">
        <v>43950.47040071759</v>
      </c>
      <c r="U2620" t="s">
        <v>17740</v>
      </c>
      <c r="V2620" t="s">
        <v>17741</v>
      </c>
    </row>
    <row r="2621">
      <c r="A2621" t="s">
        <v>22</v>
      </c>
      <c r="B2621" t="s">
        <v>17742</v>
      </c>
      <c r="C2621" t="s">
        <v>132</v>
      </c>
      <c r="D2621" t="s">
        <v>11423</v>
      </c>
      <c r="E2621" t="s">
        <v>17743</v>
      </c>
      <c r="F2621" s="2" t="n">
        <f>HYPERLINK("https://patents.google.com/patent/US20190151462","Google")</f>
        <v>0.0</v>
      </c>
      <c r="G2621" s="2" t="n">
        <f>HYPERLINK("https://patentcenter.uspto.gov/applications/16190010","Patent Center")</f>
        <v>0.0</v>
      </c>
      <c r="H2621" s="2" t="n">
        <f>HYPERLINK("https://worldwide.espacenet.com/patent/search?q=US20190151462","Espacenet")</f>
        <v>0.0</v>
      </c>
      <c r="I2621" s="2" t="n">
        <f>HYPERLINK("https://ppubs.uspto.gov/pubwebapp/external.html?q=20190151462.pn.","USPTO")</f>
        <v>0.0</v>
      </c>
      <c r="J2621" s="2" t="n">
        <f>HYPERLINK("https://image-ppubs.uspto.gov/dirsearch-public/print/downloadPdf/20190151462","USPTO PDF")</f>
        <v>0.0</v>
      </c>
      <c r="K2621" s="2" t="n">
        <f>HYPERLINK("https://sectors.patentforecast.com/pmd/US20190151462","PMD")</f>
        <v>0.0</v>
      </c>
      <c r="L2621" s="2" t="n">
        <f>HYPERLINK("https://globaldossier.uspto.gov/result/application/US/16190010/1","US20190151462")</f>
        <v>0.0</v>
      </c>
      <c r="M2621" t="s">
        <v>17744</v>
      </c>
      <c r="N2621" t="s">
        <v>7210</v>
      </c>
      <c r="O2621" t="s">
        <v>7211</v>
      </c>
      <c r="P2621" t="s">
        <v>17745</v>
      </c>
      <c r="Q2621" s="3" t="n">
        <v>43417.0</v>
      </c>
      <c r="R2621" s="3" t="n">
        <v>43608.0</v>
      </c>
      <c r="S2621" s="3" t="n">
        <v>44179.559947141206</v>
      </c>
      <c r="T2621" s="3" t="n">
        <v>44179.575714756946</v>
      </c>
      <c r="U2621" t="s">
        <v>17746</v>
      </c>
      <c r="V2621" t="s">
        <v>17747</v>
      </c>
    </row>
    <row r="2622">
      <c r="A2622" t="s">
        <v>22</v>
      </c>
      <c r="B2622" t="s">
        <v>17748</v>
      </c>
      <c r="C2622" t="s">
        <v>60</v>
      </c>
      <c r="D2622" t="s">
        <v>61</v>
      </c>
      <c r="E2622" t="s">
        <v>17749</v>
      </c>
      <c r="F2622" s="2" t="n">
        <f>HYPERLINK("https://patents.google.com/patent/US20190151400","Google")</f>
        <v>0.0</v>
      </c>
      <c r="G2622" s="2" t="n">
        <f>HYPERLINK("https://patentcenter.uspto.gov/applications/16320681","Patent Center")</f>
        <v>0.0</v>
      </c>
      <c r="H2622" s="2" t="n">
        <f>HYPERLINK("https://worldwide.espacenet.com/patent/search?q=US20190151400","Espacenet")</f>
        <v>0.0</v>
      </c>
      <c r="I2622" s="2" t="n">
        <f>HYPERLINK("https://ppubs.uspto.gov/pubwebapp/external.html?q=20190151400.pn.","USPTO")</f>
        <v>0.0</v>
      </c>
      <c r="J2622" s="2" t="n">
        <f>HYPERLINK("https://image-ppubs.uspto.gov/dirsearch-public/print/downloadPdf/20190151400","USPTO PDF")</f>
        <v>0.0</v>
      </c>
      <c r="K2622" s="2" t="n">
        <f>HYPERLINK("https://sectors.patentforecast.com/pmd/US20190151400","PMD")</f>
        <v>0.0</v>
      </c>
      <c r="L2622" s="2" t="n">
        <f>HYPERLINK("https://globaldossier.uspto.gov/result/application/US/16320681/1","US20190151400")</f>
        <v>0.0</v>
      </c>
      <c r="M2622" t="s">
        <v>17750</v>
      </c>
      <c r="N2622" t="s">
        <v>17751</v>
      </c>
      <c r="O2622" t="s">
        <v>17751</v>
      </c>
      <c r="P2622" t="s">
        <v>17752</v>
      </c>
      <c r="Q2622" s="3" t="n">
        <v>42944.0</v>
      </c>
      <c r="R2622" s="3" t="n">
        <v>43608.0</v>
      </c>
      <c r="S2622" s="3" t="n">
        <v>43935.704047824074</v>
      </c>
      <c r="T2622" s="3" t="n">
        <v>44638.6920021875</v>
      </c>
      <c r="U2622" t="s">
        <v>17753</v>
      </c>
      <c r="V2622" t="s">
        <v>17754</v>
      </c>
    </row>
    <row r="2623">
      <c r="A2623" t="s">
        <v>22</v>
      </c>
      <c r="B2623" t="s">
        <v>17755</v>
      </c>
      <c r="C2623" t="s">
        <v>60</v>
      </c>
      <c r="D2623" t="s">
        <v>61</v>
      </c>
      <c r="E2623" t="s">
        <v>17756</v>
      </c>
      <c r="F2623" s="2" t="n">
        <f>HYPERLINK("https://patents.google.com/patent/US20190151307","Google")</f>
        <v>0.0</v>
      </c>
      <c r="G2623" s="2" t="n">
        <f>HYPERLINK("https://patentcenter.uspto.gov/applications/16168472","Patent Center")</f>
        <v>0.0</v>
      </c>
      <c r="H2623" s="2" t="n">
        <f>HYPERLINK("https://worldwide.espacenet.com/patent/search?q=US20190151307","Espacenet")</f>
        <v>0.0</v>
      </c>
      <c r="I2623" s="2" t="n">
        <f>HYPERLINK("https://ppubs.uspto.gov/pubwebapp/external.html?q=20190151307.pn.","USPTO")</f>
        <v>0.0</v>
      </c>
      <c r="J2623" s="2" t="n">
        <f>HYPERLINK("https://image-ppubs.uspto.gov/dirsearch-public/print/downloadPdf/20190151307","USPTO PDF")</f>
        <v>0.0</v>
      </c>
      <c r="K2623" s="2" t="n">
        <f>HYPERLINK("https://sectors.patentforecast.com/pmd/US20190151307","PMD")</f>
        <v>0.0</v>
      </c>
      <c r="L2623" s="2" t="n">
        <f>HYPERLINK("https://globaldossier.uspto.gov/result/application/US/16168472/1","US20190151307")</f>
        <v>0.0</v>
      </c>
      <c r="M2623" t="s">
        <v>17757</v>
      </c>
      <c r="N2623" t="s">
        <v>664</v>
      </c>
      <c r="O2623" t="s">
        <v>665</v>
      </c>
      <c r="P2623" t="s">
        <v>17758</v>
      </c>
      <c r="Q2623" s="3" t="n">
        <v>43396.0</v>
      </c>
      <c r="R2623" s="3" t="n">
        <v>43608.0</v>
      </c>
      <c r="S2623" s="3" t="n">
        <v>43952.459706030095</v>
      </c>
      <c r="T2623" s="3" t="n">
        <v>44638.65643378472</v>
      </c>
      <c r="U2623" t="s">
        <v>17759</v>
      </c>
      <c r="V2623" t="s">
        <v>17760</v>
      </c>
    </row>
    <row r="2624">
      <c r="A2624" t="s">
        <v>22</v>
      </c>
      <c r="B2624" t="s">
        <v>17761</v>
      </c>
      <c r="C2624" t="s">
        <v>24</v>
      </c>
      <c r="D2624" t="s">
        <v>1356</v>
      </c>
      <c r="E2624" t="s">
        <v>17762</v>
      </c>
      <c r="F2624" s="2" t="n">
        <f>HYPERLINK("https://patents.google.com/patent/US20190148023","Google")</f>
        <v>0.0</v>
      </c>
      <c r="G2624" s="2" t="n">
        <f>HYPERLINK("https://patentcenter.uspto.gov/applications/15869215","Patent Center")</f>
        <v>0.0</v>
      </c>
      <c r="H2624" s="2" t="n">
        <f>HYPERLINK("https://worldwide.espacenet.com/patent/search?q=US20190148023","Espacenet")</f>
        <v>0.0</v>
      </c>
      <c r="I2624" s="2" t="n">
        <f>HYPERLINK("https://ppubs.uspto.gov/pubwebapp/external.html?q=20190148023.pn.","USPTO")</f>
        <v>0.0</v>
      </c>
      <c r="J2624" s="2" t="n">
        <f>HYPERLINK("https://image-ppubs.uspto.gov/dirsearch-public/print/downloadPdf/20190148023","USPTO PDF")</f>
        <v>0.0</v>
      </c>
      <c r="K2624" s="2" t="n">
        <f>HYPERLINK("https://sectors.patentforecast.com/pmd/US20190148023","PMD")</f>
        <v>0.0</v>
      </c>
      <c r="L2624" s="2" t="n">
        <f>HYPERLINK("https://globaldossier.uspto.gov/result/application/US/15869215/1","US20190148023")</f>
        <v>0.0</v>
      </c>
      <c r="M2624" t="s">
        <v>17763</v>
      </c>
      <c r="N2624" t="s">
        <v>17764</v>
      </c>
      <c r="O2624" t="s">
        <v>17765</v>
      </c>
      <c r="P2624" t="s">
        <v>17766</v>
      </c>
      <c r="Q2624" s="3" t="n">
        <v>43112.0</v>
      </c>
      <c r="R2624" s="3" t="n">
        <v>43601.0</v>
      </c>
      <c r="S2624" s="3" t="n">
        <v>43908.45839342593</v>
      </c>
      <c r="T2624" s="3" t="n">
        <v>43965.50727327546</v>
      </c>
      <c r="U2624" t="s">
        <v>17767</v>
      </c>
      <c r="V2624" t="s">
        <v>17768</v>
      </c>
    </row>
    <row r="2625">
      <c r="A2625" t="s">
        <v>22</v>
      </c>
      <c r="B2625" t="s">
        <v>17769</v>
      </c>
      <c r="C2625" t="s">
        <v>132</v>
      </c>
      <c r="D2625" t="s">
        <v>1265</v>
      </c>
      <c r="E2625" t="s">
        <v>17770</v>
      </c>
      <c r="F2625" s="2" t="n">
        <f>HYPERLINK("https://patents.google.com/patent/US20190142930","Google")</f>
        <v>0.0</v>
      </c>
      <c r="G2625" s="2" t="n">
        <f>HYPERLINK("https://patentcenter.uspto.gov/applications/16246876","Patent Center")</f>
        <v>0.0</v>
      </c>
      <c r="H2625" s="2" t="n">
        <f>HYPERLINK("https://worldwide.espacenet.com/patent/search?q=US20190142930","Espacenet")</f>
        <v>0.0</v>
      </c>
      <c r="I2625" s="2" t="n">
        <f>HYPERLINK("https://ppubs.uspto.gov/pubwebapp/external.html?q=20190142930.pn.","USPTO")</f>
        <v>0.0</v>
      </c>
      <c r="J2625" s="2" t="n">
        <f>HYPERLINK("https://image-ppubs.uspto.gov/dirsearch-public/print/downloadPdf/20190142930","USPTO PDF")</f>
        <v>0.0</v>
      </c>
      <c r="K2625" s="2" t="n">
        <f>HYPERLINK("https://sectors.patentforecast.com/pmd/US20190142930","PMD")</f>
        <v>0.0</v>
      </c>
      <c r="L2625" s="2" t="n">
        <f>HYPERLINK("https://globaldossier.uspto.gov/result/application/US/16246876/1","US20190142930")</f>
        <v>0.0</v>
      </c>
      <c r="M2625" t="s">
        <v>17771</v>
      </c>
      <c r="N2625" t="s">
        <v>17772</v>
      </c>
      <c r="O2625" t="s">
        <v>17773</v>
      </c>
      <c r="P2625" t="s">
        <v>17774</v>
      </c>
      <c r="Q2625" s="3" t="n">
        <v>43479.0</v>
      </c>
      <c r="R2625" s="3" t="n">
        <v>43601.0</v>
      </c>
      <c r="S2625" s="3" t="n">
        <v>43900.43726237269</v>
      </c>
      <c r="T2625" s="3" t="n">
        <v>43901.72156384259</v>
      </c>
      <c r="U2625" t="s">
        <v>17775</v>
      </c>
      <c r="V2625" t="s">
        <v>17776</v>
      </c>
    </row>
    <row r="2626">
      <c r="A2626" t="s">
        <v>22</v>
      </c>
      <c r="B2626" t="s">
        <v>17777</v>
      </c>
      <c r="C2626" t="s">
        <v>132</v>
      </c>
      <c r="D2626" t="s">
        <v>1265</v>
      </c>
      <c r="E2626" t="s">
        <v>17778</v>
      </c>
      <c r="F2626" s="2" t="n">
        <f>HYPERLINK("https://patents.google.com/patent/US20190142929","Google")</f>
        <v>0.0</v>
      </c>
      <c r="G2626" s="2" t="n">
        <f>HYPERLINK("https://patentcenter.uspto.gov/applications/16160041","Patent Center")</f>
        <v>0.0</v>
      </c>
      <c r="H2626" s="2" t="n">
        <f>HYPERLINK("https://worldwide.espacenet.com/patent/search?q=US20190142929","Espacenet")</f>
        <v>0.0</v>
      </c>
      <c r="I2626" s="2" t="n">
        <f>HYPERLINK("https://ppubs.uspto.gov/pubwebapp/external.html?q=20190142929.pn.","USPTO")</f>
        <v>0.0</v>
      </c>
      <c r="J2626" s="2" t="n">
        <f>HYPERLINK("https://image-ppubs.uspto.gov/dirsearch-public/print/downloadPdf/20190142929","USPTO PDF")</f>
        <v>0.0</v>
      </c>
      <c r="K2626" s="2" t="n">
        <f>HYPERLINK("https://sectors.patentforecast.com/pmd/US20190142929","PMD")</f>
        <v>0.0</v>
      </c>
      <c r="L2626" s="2" t="n">
        <f>HYPERLINK("https://globaldossier.uspto.gov/result/application/US/16160041/1","US20190142929")</f>
        <v>0.0</v>
      </c>
      <c r="M2626" t="s">
        <v>17779</v>
      </c>
      <c r="N2626" t="s">
        <v>14996</v>
      </c>
      <c r="O2626" t="s">
        <v>14997</v>
      </c>
      <c r="P2626" t="s">
        <v>17780</v>
      </c>
      <c r="Q2626" s="3" t="n">
        <v>43388.0</v>
      </c>
      <c r="R2626" s="3" t="n">
        <v>43601.0</v>
      </c>
      <c r="S2626" s="3" t="n">
        <v>43900.43726237269</v>
      </c>
      <c r="T2626" s="3" t="n">
        <v>43901.72156466435</v>
      </c>
      <c r="U2626" t="s">
        <v>17781</v>
      </c>
      <c r="V2626" t="s">
        <v>17782</v>
      </c>
    </row>
    <row r="2627">
      <c r="A2627" t="s">
        <v>22</v>
      </c>
      <c r="B2627" t="s">
        <v>17783</v>
      </c>
      <c r="C2627" t="s">
        <v>132</v>
      </c>
      <c r="D2627" t="s">
        <v>2629</v>
      </c>
      <c r="E2627" t="s">
        <v>17784</v>
      </c>
      <c r="F2627" s="2" t="n">
        <f>HYPERLINK("https://patents.google.com/patent/US20190142920","Google")</f>
        <v>0.0</v>
      </c>
      <c r="G2627" s="2" t="n">
        <f>HYPERLINK("https://patentcenter.uspto.gov/applications/16098925","Patent Center")</f>
        <v>0.0</v>
      </c>
      <c r="H2627" s="2" t="n">
        <f>HYPERLINK("https://worldwide.espacenet.com/patent/search?q=US20190142920","Espacenet")</f>
        <v>0.0</v>
      </c>
      <c r="I2627" s="2" t="n">
        <f>HYPERLINK("https://ppubs.uspto.gov/pubwebapp/external.html?q=20190142920.pn.","USPTO")</f>
        <v>0.0</v>
      </c>
      <c r="J2627" s="2" t="n">
        <f>HYPERLINK("https://image-ppubs.uspto.gov/dirsearch-public/print/downloadPdf/20190142920","USPTO PDF")</f>
        <v>0.0</v>
      </c>
      <c r="K2627" s="2" t="n">
        <f>HYPERLINK("https://sectors.patentforecast.com/pmd/US20190142920","PMD")</f>
        <v>0.0</v>
      </c>
      <c r="L2627" s="2" t="n">
        <f>HYPERLINK("https://globaldossier.uspto.gov/result/application/US/16098925/1","US20190142920")</f>
        <v>0.0</v>
      </c>
      <c r="M2627" t="s">
        <v>17785</v>
      </c>
      <c r="N2627" t="s">
        <v>7854</v>
      </c>
      <c r="O2627" t="s">
        <v>7855</v>
      </c>
      <c r="P2627" t="s">
        <v>17786</v>
      </c>
      <c r="Q2627" s="3" t="n">
        <v>42860.0</v>
      </c>
      <c r="R2627" s="3" t="n">
        <v>43601.0</v>
      </c>
      <c r="S2627" s="3" t="n">
        <v>43936.46037263889</v>
      </c>
      <c r="T2627" s="3" t="n">
        <v>44543.66282164352</v>
      </c>
      <c r="U2627" t="s">
        <v>17787</v>
      </c>
      <c r="V2627" t="s">
        <v>17788</v>
      </c>
    </row>
    <row r="2628">
      <c r="A2628" t="s">
        <v>22</v>
      </c>
      <c r="B2628" t="s">
        <v>17789</v>
      </c>
      <c r="C2628" t="s">
        <v>24</v>
      </c>
      <c r="D2628" t="s">
        <v>25</v>
      </c>
      <c r="E2628" t="s">
        <v>17790</v>
      </c>
      <c r="F2628" s="2" t="n">
        <f>HYPERLINK("https://patents.google.com/patent/US20190141914","Google")</f>
        <v>0.0</v>
      </c>
      <c r="G2628" s="2" t="n">
        <f>HYPERLINK("https://patentcenter.uspto.gov/applications/16241281","Patent Center")</f>
        <v>0.0</v>
      </c>
      <c r="H2628" s="2" t="n">
        <f>HYPERLINK("https://worldwide.espacenet.com/patent/search?q=US20190141914","Espacenet")</f>
        <v>0.0</v>
      </c>
      <c r="I2628" s="2" t="n">
        <f>HYPERLINK("https://ppubs.uspto.gov/pubwebapp/external.html?q=20190141914.pn.","USPTO")</f>
        <v>0.0</v>
      </c>
      <c r="J2628" s="2" t="n">
        <f>HYPERLINK("https://image-ppubs.uspto.gov/dirsearch-public/print/downloadPdf/20190141914","USPTO PDF")</f>
        <v>0.0</v>
      </c>
      <c r="K2628" s="2" t="n">
        <f>HYPERLINK("https://sectors.patentforecast.com/pmd/US20190141914","PMD")</f>
        <v>0.0</v>
      </c>
      <c r="L2628" s="2" t="n">
        <f>HYPERLINK("https://globaldossier.uspto.gov/result/application/US/16241281/1","US20190141914")</f>
        <v>0.0</v>
      </c>
      <c r="M2628" t="s">
        <v>17791</v>
      </c>
      <c r="N2628" t="s">
        <v>17792</v>
      </c>
      <c r="O2628" t="s">
        <v>17793</v>
      </c>
      <c r="P2628" t="s">
        <v>17794</v>
      </c>
      <c r="Q2628" s="3" t="n">
        <v>43472.0</v>
      </c>
      <c r="R2628" s="3" t="n">
        <v>43601.0</v>
      </c>
      <c r="S2628" s="3" t="n">
        <v>43908.458510358796</v>
      </c>
      <c r="T2628" s="3" t="n">
        <v>43950.60657668982</v>
      </c>
      <c r="U2628" t="s">
        <v>17795</v>
      </c>
      <c r="V2628" t="s">
        <v>17796</v>
      </c>
    </row>
    <row r="2629">
      <c r="A2629" t="s">
        <v>22</v>
      </c>
      <c r="B2629" t="s">
        <v>17797</v>
      </c>
      <c r="C2629" t="s">
        <v>132</v>
      </c>
      <c r="D2629" t="s">
        <v>2629</v>
      </c>
      <c r="E2629" t="s">
        <v>17132</v>
      </c>
      <c r="F2629" s="2" t="n">
        <f>HYPERLINK("https://patents.google.com/patent/US20190134187","Google")</f>
        <v>0.0</v>
      </c>
      <c r="G2629" s="2" t="n">
        <f>HYPERLINK("https://patentcenter.uspto.gov/applications/16009257","Patent Center")</f>
        <v>0.0</v>
      </c>
      <c r="H2629" s="2" t="n">
        <f>HYPERLINK("https://worldwide.espacenet.com/patent/search?q=US20190134187","Espacenet")</f>
        <v>0.0</v>
      </c>
      <c r="I2629" s="2" t="n">
        <f>HYPERLINK("https://ppubs.uspto.gov/pubwebapp/external.html?q=20190134187.pn.","USPTO")</f>
        <v>0.0</v>
      </c>
      <c r="J2629" s="2" t="n">
        <f>HYPERLINK("https://image-ppubs.uspto.gov/dirsearch-public/print/downloadPdf/20190134187","USPTO PDF")</f>
        <v>0.0</v>
      </c>
      <c r="K2629" s="2" t="n">
        <f>HYPERLINK("https://sectors.patentforecast.com/pmd/US20190134187","PMD")</f>
        <v>0.0</v>
      </c>
      <c r="L2629" s="2" t="n">
        <f>HYPERLINK("https://globaldossier.uspto.gov/result/application/US/16009257/1","US20190134187")</f>
        <v>0.0</v>
      </c>
      <c r="M2629" t="s">
        <v>17798</v>
      </c>
      <c r="N2629" t="s">
        <v>1275</v>
      </c>
      <c r="O2629" t="s">
        <v>1275</v>
      </c>
      <c r="P2629" t="s">
        <v>17134</v>
      </c>
      <c r="Q2629" s="3" t="n">
        <v>43266.0</v>
      </c>
      <c r="R2629" s="3" t="n">
        <v>43594.0</v>
      </c>
      <c r="S2629" s="3" t="n">
        <v>43966.47937925926</v>
      </c>
      <c r="T2629" s="3" t="n">
        <v>44020.62389086805</v>
      </c>
      <c r="U2629" t="s">
        <v>17799</v>
      </c>
      <c r="V2629" t="s">
        <v>17136</v>
      </c>
    </row>
    <row r="2630">
      <c r="A2630" t="s">
        <v>22</v>
      </c>
      <c r="B2630" t="s">
        <v>17800</v>
      </c>
      <c r="C2630" t="s">
        <v>24</v>
      </c>
      <c r="D2630" t="s">
        <v>187</v>
      </c>
      <c r="E2630" t="s">
        <v>17801</v>
      </c>
      <c r="F2630" s="2" t="n">
        <f>HYPERLINK("https://patents.google.com/patent/US20190131018","Google")</f>
        <v>0.0</v>
      </c>
      <c r="G2630" s="2" t="n">
        <f>HYPERLINK("https://patentcenter.uspto.gov/applications/16172351","Patent Center")</f>
        <v>0.0</v>
      </c>
      <c r="H2630" s="2" t="n">
        <f>HYPERLINK("https://worldwide.espacenet.com/patent/search?q=US20190131018","Espacenet")</f>
        <v>0.0</v>
      </c>
      <c r="I2630" s="2" t="n">
        <f>HYPERLINK("https://ppubs.uspto.gov/pubwebapp/external.html?q=20190131018.pn.","USPTO")</f>
        <v>0.0</v>
      </c>
      <c r="J2630" s="2" t="n">
        <f>HYPERLINK("https://image-ppubs.uspto.gov/dirsearch-public/print/downloadPdf/20190131018","USPTO PDF")</f>
        <v>0.0</v>
      </c>
      <c r="K2630" s="2" t="n">
        <f>HYPERLINK("https://sectors.patentforecast.com/pmd/US20190131018","PMD")</f>
        <v>0.0</v>
      </c>
      <c r="L2630" s="2" t="n">
        <f>HYPERLINK("https://globaldossier.uspto.gov/result/application/US/16172351/1","US20190131018")</f>
        <v>0.0</v>
      </c>
      <c r="M2630" t="s">
        <v>17802</v>
      </c>
      <c r="N2630" t="s">
        <v>17803</v>
      </c>
      <c r="O2630" t="s">
        <v>17804</v>
      </c>
      <c r="P2630" t="s">
        <v>17805</v>
      </c>
      <c r="Q2630" s="3" t="n">
        <v>43399.0</v>
      </c>
      <c r="R2630" s="3" t="n">
        <v>43587.0</v>
      </c>
      <c r="S2630" s="3" t="n">
        <v>43908.45839342593</v>
      </c>
      <c r="T2630" s="3" t="n">
        <v>44543.613568900466</v>
      </c>
      <c r="U2630" t="s">
        <v>17806</v>
      </c>
      <c r="V2630" t="s">
        <v>17807</v>
      </c>
    </row>
    <row r="2631">
      <c r="A2631" t="s">
        <v>22</v>
      </c>
      <c r="B2631" t="s">
        <v>17808</v>
      </c>
      <c r="C2631" t="s">
        <v>312</v>
      </c>
      <c r="D2631" t="s">
        <v>976</v>
      </c>
      <c r="E2631" t="s">
        <v>17809</v>
      </c>
      <c r="F2631" s="2" t="n">
        <f>HYPERLINK("https://patents.google.com/patent/US20190122759","Google")</f>
        <v>0.0</v>
      </c>
      <c r="G2631" s="2" t="n">
        <f>HYPERLINK("https://patentcenter.uspto.gov/applications/16160232","Patent Center")</f>
        <v>0.0</v>
      </c>
      <c r="H2631" s="2" t="n">
        <f>HYPERLINK("https://worldwide.espacenet.com/patent/search?q=US20190122759","Espacenet")</f>
        <v>0.0</v>
      </c>
      <c r="I2631" s="2" t="n">
        <f>HYPERLINK("https://ppubs.uspto.gov/pubwebapp/external.html?q=20190122759.pn.","USPTO")</f>
        <v>0.0</v>
      </c>
      <c r="J2631" s="2" t="n">
        <f>HYPERLINK("https://image-ppubs.uspto.gov/dirsearch-public/print/downloadPdf/20190122759","USPTO PDF")</f>
        <v>0.0</v>
      </c>
      <c r="K2631" s="2" t="n">
        <f>HYPERLINK("https://sectors.patentforecast.com/pmd/US20190122759","PMD")</f>
        <v>0.0</v>
      </c>
      <c r="L2631" s="2" t="n">
        <f>HYPERLINK("https://globaldossier.uspto.gov/result/application/US/16160232/1","US20190122759")</f>
        <v>0.0</v>
      </c>
      <c r="M2631" t="s">
        <v>17810</v>
      </c>
      <c r="N2631" t="s">
        <v>1577</v>
      </c>
      <c r="O2631" t="s">
        <v>1578</v>
      </c>
      <c r="P2631" t="s">
        <v>17811</v>
      </c>
      <c r="Q2631" s="3" t="n">
        <v>43388.0</v>
      </c>
      <c r="R2631" s="3" t="n">
        <v>43580.0</v>
      </c>
      <c r="S2631" s="3" t="n">
        <v>43908.458510358796</v>
      </c>
      <c r="T2631" s="3" t="n">
        <v>43950.60784668982</v>
      </c>
      <c r="U2631" t="s">
        <v>17812</v>
      </c>
      <c r="V2631" t="s">
        <v>17813</v>
      </c>
    </row>
    <row r="2632">
      <c r="A2632" t="s">
        <v>22</v>
      </c>
      <c r="B2632" t="s">
        <v>17814</v>
      </c>
      <c r="C2632" t="s">
        <v>60</v>
      </c>
      <c r="D2632" t="s">
        <v>61</v>
      </c>
      <c r="E2632" t="s">
        <v>17815</v>
      </c>
      <c r="F2632" s="2" t="n">
        <f>HYPERLINK("https://patents.google.com/patent/US20190112285","Google")</f>
        <v>0.0</v>
      </c>
      <c r="G2632" s="2" t="n">
        <f>HYPERLINK("https://patentcenter.uspto.gov/applications/16088852","Patent Center")</f>
        <v>0.0</v>
      </c>
      <c r="H2632" s="2" t="n">
        <f>HYPERLINK("https://worldwide.espacenet.com/patent/search?q=US20190112285","Espacenet")</f>
        <v>0.0</v>
      </c>
      <c r="I2632" s="2" t="n">
        <f>HYPERLINK("https://ppubs.uspto.gov/pubwebapp/external.html?q=20190112285.pn.","USPTO")</f>
        <v>0.0</v>
      </c>
      <c r="J2632" s="2" t="n">
        <f>HYPERLINK("https://image-ppubs.uspto.gov/dirsearch-public/print/downloadPdf/20190112285","USPTO PDF")</f>
        <v>0.0</v>
      </c>
      <c r="K2632" s="2" t="n">
        <f>HYPERLINK("https://sectors.patentforecast.com/pmd/US20190112285","PMD")</f>
        <v>0.0</v>
      </c>
      <c r="L2632" s="2" t="n">
        <f>HYPERLINK("https://globaldossier.uspto.gov/result/application/US/16088852/1","US20190112285")</f>
        <v>0.0</v>
      </c>
      <c r="M2632" t="s">
        <v>17816</v>
      </c>
      <c r="N2632" t="s">
        <v>17817</v>
      </c>
      <c r="O2632" t="s">
        <v>17818</v>
      </c>
      <c r="P2632" t="s">
        <v>17819</v>
      </c>
      <c r="Q2632" s="3" t="n">
        <v>42830.0</v>
      </c>
      <c r="R2632" s="3" t="n">
        <v>43573.0</v>
      </c>
      <c r="S2632" s="3" t="n">
        <v>43966.479377233794</v>
      </c>
      <c r="T2632" s="3" t="n">
        <v>44757.76070121528</v>
      </c>
      <c r="U2632" t="s">
        <v>17820</v>
      </c>
      <c r="V2632" t="s">
        <v>17821</v>
      </c>
    </row>
    <row r="2633">
      <c r="A2633" t="s">
        <v>22</v>
      </c>
      <c r="B2633" t="s">
        <v>17822</v>
      </c>
      <c r="C2633" t="s">
        <v>60</v>
      </c>
      <c r="D2633" t="s">
        <v>61</v>
      </c>
      <c r="E2633" t="s">
        <v>17574</v>
      </c>
      <c r="F2633" s="2" t="n">
        <f>HYPERLINK("https://patents.google.com/patent/US20190111068","Google")</f>
        <v>0.0</v>
      </c>
      <c r="G2633" s="2" t="n">
        <f>HYPERLINK("https://patentcenter.uspto.gov/applications/16040959","Patent Center")</f>
        <v>0.0</v>
      </c>
      <c r="H2633" s="2" t="n">
        <f>HYPERLINK("https://worldwide.espacenet.com/patent/search?q=US20190111068","Espacenet")</f>
        <v>0.0</v>
      </c>
      <c r="I2633" s="2" t="n">
        <f>HYPERLINK("https://ppubs.uspto.gov/pubwebapp/external.html?q=20190111068.pn.","USPTO")</f>
        <v>0.0</v>
      </c>
      <c r="J2633" s="2" t="n">
        <f>HYPERLINK("https://image-ppubs.uspto.gov/dirsearch-public/print/downloadPdf/20190111068","USPTO PDF")</f>
        <v>0.0</v>
      </c>
      <c r="K2633" s="2" t="n">
        <f>HYPERLINK("https://sectors.patentforecast.com/pmd/US20190111068","PMD")</f>
        <v>0.0</v>
      </c>
      <c r="L2633" s="2" t="n">
        <f>HYPERLINK("https://globaldossier.uspto.gov/result/application/US/16040959/1","US20190111068")</f>
        <v>0.0</v>
      </c>
      <c r="M2633" t="s">
        <v>17823</v>
      </c>
      <c r="N2633" t="s">
        <v>664</v>
      </c>
      <c r="O2633" t="s">
        <v>665</v>
      </c>
      <c r="P2633" t="s">
        <v>17824</v>
      </c>
      <c r="Q2633" s="3" t="n">
        <v>43301.0</v>
      </c>
      <c r="R2633" s="3" t="n">
        <v>43573.0</v>
      </c>
      <c r="S2633" s="3" t="n">
        <v>43952.459706030095</v>
      </c>
      <c r="T2633" s="3" t="n">
        <v>44638.65271974537</v>
      </c>
      <c r="U2633" t="s">
        <v>17825</v>
      </c>
      <c r="V2633" t="s">
        <v>17826</v>
      </c>
    </row>
    <row r="2634">
      <c r="A2634" t="s">
        <v>22</v>
      </c>
      <c r="B2634" t="s">
        <v>17827</v>
      </c>
      <c r="C2634" t="s">
        <v>24</v>
      </c>
      <c r="D2634" t="s">
        <v>25</v>
      </c>
      <c r="E2634" t="s">
        <v>17828</v>
      </c>
      <c r="F2634" s="2" t="n">
        <f>HYPERLINK("https://patents.google.com/patent/US20190102721","Google")</f>
        <v>0.0</v>
      </c>
      <c r="G2634" s="2" t="n">
        <f>HYPERLINK("https://patentcenter.uspto.gov/applications/15720275","Patent Center")</f>
        <v>0.0</v>
      </c>
      <c r="H2634" s="2" t="n">
        <f>HYPERLINK("https://worldwide.espacenet.com/patent/search?q=US20190102721","Espacenet")</f>
        <v>0.0</v>
      </c>
      <c r="I2634" s="2" t="n">
        <f>HYPERLINK("https://ppubs.uspto.gov/pubwebapp/external.html?q=20190102721.pn.","USPTO")</f>
        <v>0.0</v>
      </c>
      <c r="J2634" s="2" t="n">
        <f>HYPERLINK("https://image-ppubs.uspto.gov/dirsearch-public/print/downloadPdf/20190102721","USPTO PDF")</f>
        <v>0.0</v>
      </c>
      <c r="K2634" s="2" t="n">
        <f>HYPERLINK("https://sectors.patentforecast.com/pmd/US20190102721","PMD")</f>
        <v>0.0</v>
      </c>
      <c r="L2634" s="2" t="n">
        <f>HYPERLINK("https://globaldossier.uspto.gov/result/application/US/15720275/1","US20190102721")</f>
        <v>0.0</v>
      </c>
      <c r="M2634" t="s">
        <v>17829</v>
      </c>
      <c r="N2634" t="s">
        <v>947</v>
      </c>
      <c r="O2634" t="s">
        <v>948</v>
      </c>
      <c r="P2634" t="s">
        <v>17510</v>
      </c>
      <c r="Q2634" s="3" t="n">
        <v>43007.0</v>
      </c>
      <c r="R2634" s="3" t="n">
        <v>43559.0</v>
      </c>
      <c r="S2634" s="3" t="n">
        <v>43936.458751631944</v>
      </c>
      <c r="T2634" s="3" t="n">
        <v>43950.58863327546</v>
      </c>
      <c r="U2634" t="s">
        <v>17830</v>
      </c>
      <c r="V2634" t="s">
        <v>17512</v>
      </c>
    </row>
    <row r="2635">
      <c r="A2635" t="s">
        <v>22</v>
      </c>
      <c r="B2635" t="s">
        <v>17831</v>
      </c>
      <c r="C2635" t="s">
        <v>24</v>
      </c>
      <c r="D2635" t="s">
        <v>25</v>
      </c>
      <c r="E2635" t="s">
        <v>17832</v>
      </c>
      <c r="F2635" s="2" t="n">
        <f>HYPERLINK("https://patents.google.com/patent/US20190096532","Google")</f>
        <v>0.0</v>
      </c>
      <c r="G2635" s="2" t="n">
        <f>HYPERLINK("https://patentcenter.uspto.gov/applications/16143005","Patent Center")</f>
        <v>0.0</v>
      </c>
      <c r="H2635" s="2" t="n">
        <f>HYPERLINK("https://worldwide.espacenet.com/patent/search?q=US20190096532","Espacenet")</f>
        <v>0.0</v>
      </c>
      <c r="I2635" s="2" t="n">
        <f>HYPERLINK("https://ppubs.uspto.gov/pubwebapp/external.html?q=20190096532.pn.","USPTO")</f>
        <v>0.0</v>
      </c>
      <c r="J2635" s="2" t="n">
        <f>HYPERLINK("https://image-ppubs.uspto.gov/dirsearch-public/print/downloadPdf/20190096532","USPTO PDF")</f>
        <v>0.0</v>
      </c>
      <c r="K2635" s="2" t="n">
        <f>HYPERLINK("https://sectors.patentforecast.com/pmd/US20190096532","PMD")</f>
        <v>0.0</v>
      </c>
      <c r="L2635" s="2" t="n">
        <f>HYPERLINK("https://globaldossier.uspto.gov/result/application/US/16143005/1","US20190096532")</f>
        <v>0.0</v>
      </c>
      <c r="M2635" t="s">
        <v>17833</v>
      </c>
      <c r="N2635" t="s">
        <v>17834</v>
      </c>
      <c r="O2635" t="s">
        <v>17835</v>
      </c>
      <c r="P2635" t="s">
        <v>17836</v>
      </c>
      <c r="Q2635" s="3" t="n">
        <v>43369.0</v>
      </c>
      <c r="R2635" s="3" t="n">
        <v>43552.0</v>
      </c>
      <c r="S2635" s="3" t="n">
        <v>43908.458510358796</v>
      </c>
      <c r="T2635" s="3" t="n">
        <v>43950.58874571759</v>
      </c>
      <c r="U2635" t="s">
        <v>17837</v>
      </c>
      <c r="V2635" t="s">
        <v>17838</v>
      </c>
    </row>
    <row r="2636">
      <c r="A2636" t="s">
        <v>22</v>
      </c>
      <c r="B2636" t="s">
        <v>17839</v>
      </c>
      <c r="C2636" t="s">
        <v>60</v>
      </c>
      <c r="D2636" t="s">
        <v>61</v>
      </c>
      <c r="E2636" t="s">
        <v>17840</v>
      </c>
      <c r="F2636" s="2" t="n">
        <f>HYPERLINK("https://patents.google.com/patent/US20190092787","Google")</f>
        <v>0.0</v>
      </c>
      <c r="G2636" s="2" t="n">
        <f>HYPERLINK("https://patentcenter.uspto.gov/applications/16017371","Patent Center")</f>
        <v>0.0</v>
      </c>
      <c r="H2636" s="2" t="n">
        <f>HYPERLINK("https://worldwide.espacenet.com/patent/search?q=US20190092787","Espacenet")</f>
        <v>0.0</v>
      </c>
      <c r="I2636" s="2" t="n">
        <f>HYPERLINK("https://ppubs.uspto.gov/pubwebapp/external.html?q=20190092787.pn.","USPTO")</f>
        <v>0.0</v>
      </c>
      <c r="J2636" s="2" t="n">
        <f>HYPERLINK("https://image-ppubs.uspto.gov/dirsearch-public/print/downloadPdf/20190092787","USPTO PDF")</f>
        <v>0.0</v>
      </c>
      <c r="K2636" s="2" t="n">
        <f>HYPERLINK("https://sectors.patentforecast.com/pmd/US20190092787","PMD")</f>
        <v>0.0</v>
      </c>
      <c r="L2636" s="2" t="n">
        <f>HYPERLINK("https://globaldossier.uspto.gov/result/application/US/16017371/1","US20190092787")</f>
        <v>0.0</v>
      </c>
      <c r="M2636" t="s">
        <v>17841</v>
      </c>
      <c r="N2636" t="s">
        <v>664</v>
      </c>
      <c r="O2636" t="s">
        <v>665</v>
      </c>
      <c r="P2636" t="s">
        <v>17842</v>
      </c>
      <c r="Q2636" s="3" t="n">
        <v>43276.0</v>
      </c>
      <c r="R2636" s="3" t="n">
        <v>43552.0</v>
      </c>
      <c r="S2636" s="3" t="n">
        <v>43952.459706030095</v>
      </c>
      <c r="T2636" s="3" t="n">
        <v>44638.65579662037</v>
      </c>
      <c r="U2636" t="s">
        <v>17843</v>
      </c>
      <c r="V2636" t="s">
        <v>17844</v>
      </c>
    </row>
    <row r="2637">
      <c r="A2637" t="s">
        <v>22</v>
      </c>
      <c r="B2637" t="s">
        <v>17845</v>
      </c>
      <c r="C2637" t="s">
        <v>60</v>
      </c>
      <c r="D2637" t="s">
        <v>61</v>
      </c>
      <c r="E2637" t="s">
        <v>17846</v>
      </c>
      <c r="F2637" s="2" t="n">
        <f>HYPERLINK("https://patents.google.com/patent/US20190091334","Google")</f>
        <v>0.0</v>
      </c>
      <c r="G2637" s="2" t="n">
        <f>HYPERLINK("https://patentcenter.uspto.gov/applications/16206789","Patent Center")</f>
        <v>0.0</v>
      </c>
      <c r="H2637" s="2" t="n">
        <f>HYPERLINK("https://worldwide.espacenet.com/patent/search?q=US20190091334","Espacenet")</f>
        <v>0.0</v>
      </c>
      <c r="I2637" s="2" t="n">
        <f>HYPERLINK("https://ppubs.uspto.gov/pubwebapp/external.html?q=20190091334.pn.","USPTO")</f>
        <v>0.0</v>
      </c>
      <c r="J2637" s="2" t="n">
        <f>HYPERLINK("https://image-ppubs.uspto.gov/dirsearch-public/print/downloadPdf/20190091334","USPTO PDF")</f>
        <v>0.0</v>
      </c>
      <c r="K2637" s="2" t="n">
        <f>HYPERLINK("https://sectors.patentforecast.com/pmd/US20190091334","PMD")</f>
        <v>0.0</v>
      </c>
      <c r="L2637" s="2" t="n">
        <f>HYPERLINK("https://globaldossier.uspto.gov/result/application/US/16206789/1","US20190091334")</f>
        <v>0.0</v>
      </c>
      <c r="M2637" t="s">
        <v>17847</v>
      </c>
      <c r="N2637" t="s">
        <v>17848</v>
      </c>
      <c r="O2637" t="s">
        <v>17849</v>
      </c>
      <c r="P2637" t="s">
        <v>17850</v>
      </c>
      <c r="Q2637" s="3" t="n">
        <v>43434.0</v>
      </c>
      <c r="R2637" s="3" t="n">
        <v>43552.0</v>
      </c>
      <c r="S2637" s="3" t="n">
        <v>43952.46927799768</v>
      </c>
      <c r="T2637" s="3" t="n">
        <v>44755.677183912034</v>
      </c>
      <c r="U2637" t="s">
        <v>17851</v>
      </c>
      <c r="V2637" t="s">
        <v>17852</v>
      </c>
    </row>
    <row r="2638">
      <c r="A2638" t="s">
        <v>22</v>
      </c>
      <c r="B2638" t="s">
        <v>17853</v>
      </c>
      <c r="C2638" t="s">
        <v>60</v>
      </c>
      <c r="D2638" t="s">
        <v>696</v>
      </c>
      <c r="E2638" t="s">
        <v>17854</v>
      </c>
      <c r="F2638" s="2" t="n">
        <f>HYPERLINK("https://patents.google.com/patent/US20190085071","Google")</f>
        <v>0.0</v>
      </c>
      <c r="G2638" s="2" t="n">
        <f>HYPERLINK("https://patentcenter.uspto.gov/applications/16015431","Patent Center")</f>
        <v>0.0</v>
      </c>
      <c r="H2638" s="2" t="n">
        <f>HYPERLINK("https://worldwide.espacenet.com/patent/search?q=US20190085071","Espacenet")</f>
        <v>0.0</v>
      </c>
      <c r="I2638" s="2" t="n">
        <f>HYPERLINK("https://ppubs.uspto.gov/pubwebapp/external.html?q=20190085071.pn.","USPTO")</f>
        <v>0.0</v>
      </c>
      <c r="J2638" s="2" t="n">
        <f>HYPERLINK("https://image-ppubs.uspto.gov/dirsearch-public/print/downloadPdf/20190085071","USPTO PDF")</f>
        <v>0.0</v>
      </c>
      <c r="K2638" s="2" t="n">
        <f>HYPERLINK("https://sectors.patentforecast.com/pmd/US20190085071","PMD")</f>
        <v>0.0</v>
      </c>
      <c r="L2638" s="2" t="n">
        <f>HYPERLINK("https://globaldossier.uspto.gov/result/application/US/16015431/1","US20190085071")</f>
        <v>0.0</v>
      </c>
      <c r="M2638" t="s">
        <v>17855</v>
      </c>
      <c r="N2638" t="s">
        <v>16927</v>
      </c>
      <c r="O2638" t="s">
        <v>16928</v>
      </c>
      <c r="P2638" t="s">
        <v>16959</v>
      </c>
      <c r="Q2638" s="3" t="n">
        <v>43273.0</v>
      </c>
      <c r="R2638" s="3" t="n">
        <v>43545.0</v>
      </c>
      <c r="S2638" s="3" t="n">
        <v>43966.479377233794</v>
      </c>
      <c r="T2638" s="3" t="n">
        <v>44643.44490069444</v>
      </c>
      <c r="U2638" t="s">
        <v>17856</v>
      </c>
      <c r="V2638" t="s">
        <v>17130</v>
      </c>
    </row>
    <row r="2639">
      <c r="A2639" t="s">
        <v>22</v>
      </c>
      <c r="B2639" t="s">
        <v>17857</v>
      </c>
      <c r="C2639" t="s">
        <v>60</v>
      </c>
      <c r="D2639" t="s">
        <v>696</v>
      </c>
      <c r="E2639" t="s">
        <v>17858</v>
      </c>
      <c r="F2639" s="2" t="n">
        <f>HYPERLINK("https://patents.google.com/patent/US20190085070","Google")</f>
        <v>0.0</v>
      </c>
      <c r="G2639" s="2" t="n">
        <f>HYPERLINK("https://patentcenter.uspto.gov/applications/15987415","Patent Center")</f>
        <v>0.0</v>
      </c>
      <c r="H2639" s="2" t="n">
        <f>HYPERLINK("https://worldwide.espacenet.com/patent/search?q=US20190085070","Espacenet")</f>
        <v>0.0</v>
      </c>
      <c r="I2639" s="2" t="n">
        <f>HYPERLINK("https://ppubs.uspto.gov/pubwebapp/external.html?q=20190085070.pn.","USPTO")</f>
        <v>0.0</v>
      </c>
      <c r="J2639" s="2" t="n">
        <f>HYPERLINK("https://image-ppubs.uspto.gov/dirsearch-public/print/downloadPdf/20190085070","USPTO PDF")</f>
        <v>0.0</v>
      </c>
      <c r="K2639" s="2" t="n">
        <f>HYPERLINK("https://sectors.patentforecast.com/pmd/US20190085070","PMD")</f>
        <v>0.0</v>
      </c>
      <c r="L2639" s="2" t="n">
        <f>HYPERLINK("https://globaldossier.uspto.gov/result/application/US/15987415/1","US20190085070")</f>
        <v>0.0</v>
      </c>
      <c r="M2639" t="s">
        <v>17859</v>
      </c>
      <c r="N2639" t="s">
        <v>16989</v>
      </c>
      <c r="O2639" t="s">
        <v>16990</v>
      </c>
      <c r="P2639" t="s">
        <v>17860</v>
      </c>
      <c r="Q2639" s="3" t="n">
        <v>43243.0</v>
      </c>
      <c r="R2639" s="3" t="n">
        <v>43545.0</v>
      </c>
      <c r="S2639" s="3" t="n">
        <v>43931.461264861115</v>
      </c>
      <c r="T2639" s="3" t="n">
        <v>44638.640141793985</v>
      </c>
      <c r="U2639" t="s">
        <v>17861</v>
      </c>
      <c r="V2639" t="s">
        <v>17862</v>
      </c>
    </row>
    <row r="2640">
      <c r="A2640" t="s">
        <v>22</v>
      </c>
      <c r="B2640" t="s">
        <v>17863</v>
      </c>
      <c r="C2640" t="s">
        <v>60</v>
      </c>
      <c r="D2640" t="s">
        <v>77</v>
      </c>
      <c r="E2640" t="s">
        <v>2539</v>
      </c>
      <c r="F2640" s="2" t="n">
        <f>HYPERLINK("https://patents.google.com/patent/US20190085058","Google")</f>
        <v>0.0</v>
      </c>
      <c r="G2640" s="2" t="n">
        <f>HYPERLINK("https://patentcenter.uspto.gov/applications/16142457","Patent Center")</f>
        <v>0.0</v>
      </c>
      <c r="H2640" s="2" t="n">
        <f>HYPERLINK("https://worldwide.espacenet.com/patent/search?q=US20190085058","Espacenet")</f>
        <v>0.0</v>
      </c>
      <c r="I2640" s="2" t="n">
        <f>HYPERLINK("https://ppubs.uspto.gov/pubwebapp/external.html?q=20190085058.pn.","USPTO")</f>
        <v>0.0</v>
      </c>
      <c r="J2640" s="2" t="n">
        <f>HYPERLINK("https://image-ppubs.uspto.gov/dirsearch-public/print/downloadPdf/20190085058","USPTO PDF")</f>
        <v>0.0</v>
      </c>
      <c r="K2640" s="2" t="n">
        <f>HYPERLINK("https://sectors.patentforecast.com/pmd/US20190085058","PMD")</f>
        <v>0.0</v>
      </c>
      <c r="L2640" s="2" t="n">
        <f>HYPERLINK("https://globaldossier.uspto.gov/result/application/US/16142457/1","US20190085058")</f>
        <v>0.0</v>
      </c>
      <c r="M2640" t="s">
        <v>17864</v>
      </c>
      <c r="N2640" t="s">
        <v>2541</v>
      </c>
      <c r="O2640" t="s">
        <v>2542</v>
      </c>
      <c r="P2640" t="s">
        <v>2543</v>
      </c>
      <c r="Q2640" s="3" t="n">
        <v>43369.0</v>
      </c>
      <c r="R2640" s="3" t="n">
        <v>43545.0</v>
      </c>
      <c r="S2640" s="3" t="n">
        <v>43936.46037263889</v>
      </c>
      <c r="T2640" s="3" t="n">
        <v>44672.43610230324</v>
      </c>
      <c r="U2640" t="s">
        <v>17865</v>
      </c>
      <c r="V2640" t="s">
        <v>2544</v>
      </c>
    </row>
    <row r="2641">
      <c r="A2641" t="s">
        <v>22</v>
      </c>
      <c r="B2641" t="s">
        <v>17866</v>
      </c>
      <c r="C2641" t="s">
        <v>60</v>
      </c>
      <c r="D2641" t="s">
        <v>61</v>
      </c>
      <c r="E2641" t="s">
        <v>17867</v>
      </c>
      <c r="F2641" s="2" t="n">
        <f>HYPERLINK("https://patents.google.com/patent/US20190084963","Google")</f>
        <v>0.0</v>
      </c>
      <c r="G2641" s="2" t="n">
        <f>HYPERLINK("https://patentcenter.uspto.gov/applications/15998786","Patent Center")</f>
        <v>0.0</v>
      </c>
      <c r="H2641" s="2" t="n">
        <f>HYPERLINK("https://worldwide.espacenet.com/patent/search?q=US20190084963","Espacenet")</f>
        <v>0.0</v>
      </c>
      <c r="I2641" s="2" t="n">
        <f>HYPERLINK("https://ppubs.uspto.gov/pubwebapp/external.html?q=20190084963.pn.","USPTO")</f>
        <v>0.0</v>
      </c>
      <c r="J2641" s="2" t="n">
        <f>HYPERLINK("https://image-ppubs.uspto.gov/dirsearch-public/print/downloadPdf/20190084963","USPTO PDF")</f>
        <v>0.0</v>
      </c>
      <c r="K2641" s="2" t="n">
        <f>HYPERLINK("https://sectors.patentforecast.com/pmd/US20190084963","PMD")</f>
        <v>0.0</v>
      </c>
      <c r="L2641" s="2" t="n">
        <f>HYPERLINK("https://globaldossier.uspto.gov/result/application/US/15998786/1","US20190084963")</f>
        <v>0.0</v>
      </c>
      <c r="M2641" t="s">
        <v>17868</v>
      </c>
      <c r="N2641" t="s">
        <v>664</v>
      </c>
      <c r="O2641" t="s">
        <v>665</v>
      </c>
      <c r="P2641" t="s">
        <v>17869</v>
      </c>
      <c r="Q2641" s="3" t="n">
        <v>43328.0</v>
      </c>
      <c r="R2641" s="3" t="n">
        <v>43545.0</v>
      </c>
      <c r="S2641" s="3" t="n">
        <v>43952.459706030095</v>
      </c>
      <c r="T2641" s="3" t="n">
        <v>44638.662781747684</v>
      </c>
      <c r="U2641" t="s">
        <v>17870</v>
      </c>
      <c r="V2641" t="s">
        <v>17871</v>
      </c>
    </row>
    <row r="2642">
      <c r="A2642" t="s">
        <v>22</v>
      </c>
      <c r="B2642" t="s">
        <v>17872</v>
      </c>
      <c r="C2642" t="s">
        <v>60</v>
      </c>
      <c r="D2642" t="s">
        <v>696</v>
      </c>
      <c r="E2642" t="s">
        <v>16925</v>
      </c>
      <c r="F2642" s="2" t="n">
        <f>HYPERLINK("https://patents.google.com/patent/US20190083665","Google")</f>
        <v>0.0</v>
      </c>
      <c r="G2642" s="2" t="n">
        <f>HYPERLINK("https://patentcenter.uspto.gov/applications/16148073","Patent Center")</f>
        <v>0.0</v>
      </c>
      <c r="H2642" s="2" t="n">
        <f>HYPERLINK("https://worldwide.espacenet.com/patent/search?q=US20190083665","Espacenet")</f>
        <v>0.0</v>
      </c>
      <c r="I2642" s="2" t="n">
        <f>HYPERLINK("https://ppubs.uspto.gov/pubwebapp/external.html?q=20190083665.pn.","USPTO")</f>
        <v>0.0</v>
      </c>
      <c r="J2642" s="2" t="n">
        <f>HYPERLINK("https://image-ppubs.uspto.gov/dirsearch-public/print/downloadPdf/20190083665","USPTO PDF")</f>
        <v>0.0</v>
      </c>
      <c r="K2642" s="2" t="n">
        <f>HYPERLINK("https://sectors.patentforecast.com/pmd/US20190083665","PMD")</f>
        <v>0.0</v>
      </c>
      <c r="L2642" s="2" t="n">
        <f>HYPERLINK("https://globaldossier.uspto.gov/result/application/US/16148073/1","US20190083665")</f>
        <v>0.0</v>
      </c>
      <c r="M2642" t="s">
        <v>17873</v>
      </c>
      <c r="N2642" t="s">
        <v>16927</v>
      </c>
      <c r="O2642" t="s">
        <v>16928</v>
      </c>
      <c r="P2642" t="s">
        <v>17874</v>
      </c>
      <c r="Q2642" s="3" t="n">
        <v>43374.0</v>
      </c>
      <c r="R2642" s="3" t="n">
        <v>43545.0</v>
      </c>
      <c r="S2642" s="3" t="n">
        <v>43931.461264861115</v>
      </c>
      <c r="T2642" s="3" t="n">
        <v>43950.54056642361</v>
      </c>
      <c r="U2642" t="s">
        <v>17875</v>
      </c>
      <c r="V2642" t="s">
        <v>17876</v>
      </c>
    </row>
    <row r="2643">
      <c r="A2643" t="s">
        <v>22</v>
      </c>
      <c r="B2643" t="s">
        <v>17877</v>
      </c>
      <c r="C2643" t="s">
        <v>60</v>
      </c>
      <c r="D2643" t="s">
        <v>61</v>
      </c>
      <c r="E2643" t="s">
        <v>17878</v>
      </c>
      <c r="F2643" s="2" t="n">
        <f>HYPERLINK("https://patents.google.com/patent/US20190083525","Google")</f>
        <v>0.0</v>
      </c>
      <c r="G2643" s="2" t="n">
        <f>HYPERLINK("https://patentcenter.uspto.gov/applications/16031620","Patent Center")</f>
        <v>0.0</v>
      </c>
      <c r="H2643" s="2" t="n">
        <f>HYPERLINK("https://worldwide.espacenet.com/patent/search?q=US20190083525","Espacenet")</f>
        <v>0.0</v>
      </c>
      <c r="I2643" s="2" t="n">
        <f>HYPERLINK("https://ppubs.uspto.gov/pubwebapp/external.html?q=20190083525.pn.","USPTO")</f>
        <v>0.0</v>
      </c>
      <c r="J2643" s="2" t="n">
        <f>HYPERLINK("https://image-ppubs.uspto.gov/dirsearch-public/print/downloadPdf/20190083525","USPTO PDF")</f>
        <v>0.0</v>
      </c>
      <c r="K2643" s="2" t="n">
        <f>HYPERLINK("https://sectors.patentforecast.com/pmd/US20190083525","PMD")</f>
        <v>0.0</v>
      </c>
      <c r="L2643" s="2" t="n">
        <f>HYPERLINK("https://globaldossier.uspto.gov/result/application/US/16031620/1","US20190083525")</f>
        <v>0.0</v>
      </c>
      <c r="M2643" t="s">
        <v>17879</v>
      </c>
      <c r="N2643" t="s">
        <v>664</v>
      </c>
      <c r="O2643" t="s">
        <v>665</v>
      </c>
      <c r="P2643" t="s">
        <v>17880</v>
      </c>
      <c r="Q2643" s="3" t="n">
        <v>43291.0</v>
      </c>
      <c r="R2643" s="3" t="n">
        <v>43545.0</v>
      </c>
      <c r="S2643" s="3" t="n">
        <v>43952.459706030095</v>
      </c>
      <c r="T2643" s="3" t="n">
        <v>44638.65579662037</v>
      </c>
      <c r="U2643" t="s">
        <v>17881</v>
      </c>
      <c r="V2643" t="s">
        <v>17882</v>
      </c>
    </row>
    <row r="2644">
      <c r="A2644" t="s">
        <v>22</v>
      </c>
      <c r="B2644" t="s">
        <v>17883</v>
      </c>
      <c r="C2644" t="s">
        <v>60</v>
      </c>
      <c r="D2644" t="s">
        <v>61</v>
      </c>
      <c r="E2644" t="s">
        <v>17884</v>
      </c>
      <c r="F2644" s="2" t="n">
        <f>HYPERLINK("https://patents.google.com/patent/US20190083478","Google")</f>
        <v>0.0</v>
      </c>
      <c r="G2644" s="2" t="n">
        <f>HYPERLINK("https://patentcenter.uspto.gov/applications/15998717","Patent Center")</f>
        <v>0.0</v>
      </c>
      <c r="H2644" s="2" t="n">
        <f>HYPERLINK("https://worldwide.espacenet.com/patent/search?q=US20190083478","Espacenet")</f>
        <v>0.0</v>
      </c>
      <c r="I2644" s="2" t="n">
        <f>HYPERLINK("https://ppubs.uspto.gov/pubwebapp/external.html?q=20190083478.pn.","USPTO")</f>
        <v>0.0</v>
      </c>
      <c r="J2644" s="2" t="n">
        <f>HYPERLINK("https://image-ppubs.uspto.gov/dirsearch-public/print/downloadPdf/20190083478","USPTO PDF")</f>
        <v>0.0</v>
      </c>
      <c r="K2644" s="2" t="n">
        <f>HYPERLINK("https://sectors.patentforecast.com/pmd/US20190083478","PMD")</f>
        <v>0.0</v>
      </c>
      <c r="L2644" s="2" t="n">
        <f>HYPERLINK("https://globaldossier.uspto.gov/result/application/US/15998717/1","US20190083478")</f>
        <v>0.0</v>
      </c>
      <c r="M2644" t="s">
        <v>17885</v>
      </c>
      <c r="N2644" t="s">
        <v>664</v>
      </c>
      <c r="O2644" t="s">
        <v>665</v>
      </c>
      <c r="P2644" t="s">
        <v>17886</v>
      </c>
      <c r="Q2644" s="3" t="n">
        <v>43328.0</v>
      </c>
      <c r="R2644" s="3" t="n">
        <v>43545.0</v>
      </c>
      <c r="S2644" s="3" t="n">
        <v>43952.459706030095</v>
      </c>
      <c r="T2644" s="3" t="n">
        <v>44638.662781747684</v>
      </c>
      <c r="U2644" t="s">
        <v>17887</v>
      </c>
      <c r="V2644" t="s">
        <v>17888</v>
      </c>
    </row>
    <row r="2645">
      <c r="A2645" t="s">
        <v>22</v>
      </c>
      <c r="B2645" t="s">
        <v>17889</v>
      </c>
      <c r="C2645" t="s">
        <v>132</v>
      </c>
      <c r="D2645" t="s">
        <v>133</v>
      </c>
      <c r="E2645" t="s">
        <v>17890</v>
      </c>
      <c r="F2645" s="2" t="n">
        <f>HYPERLINK("https://patents.google.com/patent/US20190062785","Google")</f>
        <v>0.0</v>
      </c>
      <c r="G2645" s="2" t="n">
        <f>HYPERLINK("https://patentcenter.uspto.gov/applications/16091005","Patent Center")</f>
        <v>0.0</v>
      </c>
      <c r="H2645" s="2" t="n">
        <f>HYPERLINK("https://worldwide.espacenet.com/patent/search?q=US20190062785","Espacenet")</f>
        <v>0.0</v>
      </c>
      <c r="I2645" s="2" t="n">
        <f>HYPERLINK("https://ppubs.uspto.gov/pubwebapp/external.html?q=20190062785.pn.","USPTO")</f>
        <v>0.0</v>
      </c>
      <c r="J2645" s="2" t="n">
        <f>HYPERLINK("https://image-ppubs.uspto.gov/dirsearch-public/print/downloadPdf/20190062785","USPTO PDF")</f>
        <v>0.0</v>
      </c>
      <c r="K2645" s="2" t="n">
        <f>HYPERLINK("https://sectors.patentforecast.com/pmd/US20190062785","PMD")</f>
        <v>0.0</v>
      </c>
      <c r="L2645" s="2" t="n">
        <f>HYPERLINK("https://globaldossier.uspto.gov/result/application/US/16091005/1","US20190062785")</f>
        <v>0.0</v>
      </c>
      <c r="M2645" t="s">
        <v>17891</v>
      </c>
      <c r="N2645" t="s">
        <v>3334</v>
      </c>
      <c r="O2645" t="s">
        <v>3335</v>
      </c>
      <c r="P2645" t="s">
        <v>17892</v>
      </c>
      <c r="Q2645" s="3" t="n">
        <v>42825.0</v>
      </c>
      <c r="R2645" s="3" t="n">
        <v>43524.0</v>
      </c>
      <c r="S2645" s="3" t="n">
        <v>43935.704047824074</v>
      </c>
      <c r="T2645" s="3" t="n">
        <v>44638.68962553241</v>
      </c>
      <c r="U2645" t="s">
        <v>17893</v>
      </c>
      <c r="V2645" t="s">
        <v>4809</v>
      </c>
    </row>
    <row r="2646">
      <c r="A2646" t="s">
        <v>22</v>
      </c>
      <c r="B2646" t="s">
        <v>17894</v>
      </c>
      <c r="C2646" t="s">
        <v>60</v>
      </c>
      <c r="D2646" t="s">
        <v>77</v>
      </c>
      <c r="E2646" t="s">
        <v>17895</v>
      </c>
      <c r="F2646" s="2" t="n">
        <f>HYPERLINK("https://patents.google.com/patent/US20190062408","Google")</f>
        <v>0.0</v>
      </c>
      <c r="G2646" s="2" t="n">
        <f>HYPERLINK("https://patentcenter.uspto.gov/applications/16013085","Patent Center")</f>
        <v>0.0</v>
      </c>
      <c r="H2646" s="2" t="n">
        <f>HYPERLINK("https://worldwide.espacenet.com/patent/search?q=US20190062408","Espacenet")</f>
        <v>0.0</v>
      </c>
      <c r="I2646" s="2" t="n">
        <f>HYPERLINK("https://ppubs.uspto.gov/pubwebapp/external.html?q=20190062408.pn.","USPTO")</f>
        <v>0.0</v>
      </c>
      <c r="J2646" s="2" t="n">
        <f>HYPERLINK("https://image-ppubs.uspto.gov/dirsearch-public/print/downloadPdf/20190062408","USPTO PDF")</f>
        <v>0.0</v>
      </c>
      <c r="K2646" s="2" t="n">
        <f>HYPERLINK("https://sectors.patentforecast.com/pmd/US20190062408","PMD")</f>
        <v>0.0</v>
      </c>
      <c r="L2646" s="2" t="n">
        <f>HYPERLINK("https://globaldossier.uspto.gov/result/application/US/16013085/1","US20190062408")</f>
        <v>0.0</v>
      </c>
      <c r="M2646" t="s">
        <v>17896</v>
      </c>
      <c r="N2646" t="s">
        <v>15231</v>
      </c>
      <c r="O2646" t="s">
        <v>15232</v>
      </c>
      <c r="P2646" t="s">
        <v>17897</v>
      </c>
      <c r="Q2646" s="3" t="n">
        <v>43271.0</v>
      </c>
      <c r="R2646" s="3" t="n">
        <v>43524.0</v>
      </c>
      <c r="S2646" s="3" t="n">
        <v>43966.479377233794</v>
      </c>
      <c r="T2646" s="3" t="n">
        <v>43985.64084817129</v>
      </c>
      <c r="U2646" t="s">
        <v>17898</v>
      </c>
      <c r="V2646" t="s">
        <v>17899</v>
      </c>
    </row>
    <row r="2647">
      <c r="A2647" t="s">
        <v>22</v>
      </c>
      <c r="B2647" t="s">
        <v>17900</v>
      </c>
      <c r="C2647" t="s">
        <v>132</v>
      </c>
      <c r="D2647" t="s">
        <v>142</v>
      </c>
      <c r="E2647" t="s">
        <v>17901</v>
      </c>
      <c r="F2647" s="2" t="n">
        <f>HYPERLINK("https://patents.google.com/patent/US20190060447","Google")</f>
        <v>0.0</v>
      </c>
      <c r="G2647" s="2" t="n">
        <f>HYPERLINK("https://patentcenter.uspto.gov/applications/16181594","Patent Center")</f>
        <v>0.0</v>
      </c>
      <c r="H2647" s="2" t="n">
        <f>HYPERLINK("https://worldwide.espacenet.com/patent/search?q=US20190060447","Espacenet")</f>
        <v>0.0</v>
      </c>
      <c r="I2647" s="2" t="n">
        <f>HYPERLINK("https://ppubs.uspto.gov/pubwebapp/external.html?q=20190060447.pn.","USPTO")</f>
        <v>0.0</v>
      </c>
      <c r="J2647" s="2" t="n">
        <f>HYPERLINK("https://image-ppubs.uspto.gov/dirsearch-public/print/downloadPdf/20190060447","USPTO PDF")</f>
        <v>0.0</v>
      </c>
      <c r="K2647" s="2" t="n">
        <f>HYPERLINK("https://sectors.patentforecast.com/pmd/US20190060447","PMD")</f>
        <v>0.0</v>
      </c>
      <c r="L2647" s="2" t="n">
        <f>HYPERLINK("https://globaldossier.uspto.gov/result/application/US/16181594/1","US20190060447")</f>
        <v>0.0</v>
      </c>
      <c r="M2647" t="s">
        <v>17902</v>
      </c>
      <c r="N2647" t="s">
        <v>2541</v>
      </c>
      <c r="O2647" t="s">
        <v>2542</v>
      </c>
      <c r="P2647" t="s">
        <v>17903</v>
      </c>
      <c r="Q2647" s="3" t="n">
        <v>43410.0</v>
      </c>
      <c r="R2647" s="3" t="n">
        <v>43524.0</v>
      </c>
      <c r="S2647" s="3" t="n">
        <v>43936.46037263889</v>
      </c>
      <c r="T2647" s="3" t="n">
        <v>43950.42052806713</v>
      </c>
      <c r="U2647" t="s">
        <v>17904</v>
      </c>
      <c r="V2647" t="s">
        <v>17905</v>
      </c>
    </row>
    <row r="2648">
      <c r="A2648" t="s">
        <v>22</v>
      </c>
      <c r="B2648" t="s">
        <v>17906</v>
      </c>
      <c r="C2648" t="s">
        <v>24</v>
      </c>
      <c r="D2648" t="s">
        <v>25</v>
      </c>
      <c r="E2648" t="s">
        <v>17907</v>
      </c>
      <c r="F2648" s="2" t="n">
        <f>HYPERLINK("https://patents.google.com/patent/US20190059724","Google")</f>
        <v>0.0</v>
      </c>
      <c r="G2648" s="2" t="n">
        <f>HYPERLINK("https://patentcenter.uspto.gov/applications/15688915","Patent Center")</f>
        <v>0.0</v>
      </c>
      <c r="H2648" s="2" t="n">
        <f>HYPERLINK("https://worldwide.espacenet.com/patent/search?q=US20190059724","Espacenet")</f>
        <v>0.0</v>
      </c>
      <c r="I2648" s="2" t="n">
        <f>HYPERLINK("https://ppubs.uspto.gov/pubwebapp/external.html?q=20190059724.pn.","USPTO")</f>
        <v>0.0</v>
      </c>
      <c r="J2648" s="2" t="n">
        <f>HYPERLINK("https://image-ppubs.uspto.gov/dirsearch-public/print/downloadPdf/20190059724","USPTO PDF")</f>
        <v>0.0</v>
      </c>
      <c r="K2648" s="2" t="n">
        <f>HYPERLINK("https://sectors.patentforecast.com/pmd/US20190059724","PMD")</f>
        <v>0.0</v>
      </c>
      <c r="L2648" s="2" t="n">
        <f>HYPERLINK("https://globaldossier.uspto.gov/result/application/US/15688915/1","US20190059724")</f>
        <v>0.0</v>
      </c>
      <c r="M2648" t="s">
        <v>17908</v>
      </c>
      <c r="N2648" t="s">
        <v>17909</v>
      </c>
      <c r="O2648" t="s">
        <v>17910</v>
      </c>
      <c r="P2648" t="s">
        <v>17911</v>
      </c>
      <c r="Q2648" s="3" t="n">
        <v>42976.0</v>
      </c>
      <c r="R2648" s="3" t="n">
        <v>43524.0</v>
      </c>
      <c r="S2648" s="3" t="n">
        <v>43908.45839342593</v>
      </c>
      <c r="T2648" s="3" t="n">
        <v>43979.49267857639</v>
      </c>
      <c r="U2648" t="s">
        <v>17912</v>
      </c>
      <c r="V2648" t="s">
        <v>17913</v>
      </c>
    </row>
    <row r="2649">
      <c r="A2649" t="s">
        <v>22</v>
      </c>
      <c r="B2649" t="s">
        <v>17914</v>
      </c>
      <c r="C2649" t="s">
        <v>60</v>
      </c>
      <c r="D2649" t="s">
        <v>61</v>
      </c>
      <c r="E2649" t="s">
        <v>17915</v>
      </c>
      <c r="F2649" s="2" t="n">
        <f>HYPERLINK("https://patents.google.com/patent/US20190055253","Google")</f>
        <v>0.0</v>
      </c>
      <c r="G2649" s="2" t="n">
        <f>HYPERLINK("https://patentcenter.uspto.gov/applications/16045371","Patent Center")</f>
        <v>0.0</v>
      </c>
      <c r="H2649" s="2" t="n">
        <f>HYPERLINK("https://worldwide.espacenet.com/patent/search?q=US20190055253","Espacenet")</f>
        <v>0.0</v>
      </c>
      <c r="I2649" s="2" t="n">
        <f>HYPERLINK("https://ppubs.uspto.gov/pubwebapp/external.html?q=20190055253.pn.","USPTO")</f>
        <v>0.0</v>
      </c>
      <c r="J2649" s="2" t="n">
        <f>HYPERLINK("https://image-ppubs.uspto.gov/dirsearch-public/print/downloadPdf/20190055253","USPTO PDF")</f>
        <v>0.0</v>
      </c>
      <c r="K2649" s="2" t="n">
        <f>HYPERLINK("https://sectors.patentforecast.com/pmd/US20190055253","PMD")</f>
        <v>0.0</v>
      </c>
      <c r="L2649" s="2" t="n">
        <f>HYPERLINK("https://globaldossier.uspto.gov/result/application/US/16045371/1","US20190055253")</f>
        <v>0.0</v>
      </c>
      <c r="M2649" t="s">
        <v>17916</v>
      </c>
      <c r="N2649" t="s">
        <v>664</v>
      </c>
      <c r="O2649" t="s">
        <v>665</v>
      </c>
      <c r="P2649" t="s">
        <v>17917</v>
      </c>
      <c r="Q2649" s="3" t="n">
        <v>43306.0</v>
      </c>
      <c r="R2649" s="3" t="n">
        <v>43517.0</v>
      </c>
      <c r="S2649" s="3" t="n">
        <v>43952.459706030095</v>
      </c>
      <c r="T2649" s="3" t="n">
        <v>44638.65643378472</v>
      </c>
      <c r="U2649" t="s">
        <v>17918</v>
      </c>
      <c r="V2649" t="s">
        <v>17919</v>
      </c>
    </row>
    <row r="2650">
      <c r="A2650" t="s">
        <v>22</v>
      </c>
      <c r="B2650" t="s">
        <v>17920</v>
      </c>
      <c r="C2650" t="s">
        <v>60</v>
      </c>
      <c r="D2650" t="s">
        <v>61</v>
      </c>
      <c r="E2650" t="s">
        <v>17921</v>
      </c>
      <c r="F2650" s="2" t="n">
        <f>HYPERLINK("https://patents.google.com/patent/US20190055251","Google")</f>
        <v>0.0</v>
      </c>
      <c r="G2650" s="2" t="n">
        <f>HYPERLINK("https://patentcenter.uspto.gov/applications/16042085","Patent Center")</f>
        <v>0.0</v>
      </c>
      <c r="H2650" s="2" t="n">
        <f>HYPERLINK("https://worldwide.espacenet.com/patent/search?q=US20190055251","Espacenet")</f>
        <v>0.0</v>
      </c>
      <c r="I2650" s="2" t="n">
        <f>HYPERLINK("https://ppubs.uspto.gov/pubwebapp/external.html?q=20190055251.pn.","USPTO")</f>
        <v>0.0</v>
      </c>
      <c r="J2650" s="2" t="n">
        <f>HYPERLINK("https://image-ppubs.uspto.gov/dirsearch-public/print/downloadPdf/20190055251","USPTO PDF")</f>
        <v>0.0</v>
      </c>
      <c r="K2650" s="2" t="n">
        <f>HYPERLINK("https://sectors.patentforecast.com/pmd/US20190055251","PMD")</f>
        <v>0.0</v>
      </c>
      <c r="L2650" s="2" t="n">
        <f>HYPERLINK("https://globaldossier.uspto.gov/result/application/US/16042085/1","US20190055251")</f>
        <v>0.0</v>
      </c>
      <c r="M2650" t="s">
        <v>17922</v>
      </c>
      <c r="N2650" t="s">
        <v>664</v>
      </c>
      <c r="O2650" t="s">
        <v>665</v>
      </c>
      <c r="P2650" t="s">
        <v>17923</v>
      </c>
      <c r="Q2650" s="3" t="n">
        <v>43304.0</v>
      </c>
      <c r="R2650" s="3" t="n">
        <v>43517.0</v>
      </c>
      <c r="S2650" s="3" t="n">
        <v>43952.459706030095</v>
      </c>
      <c r="T2650" s="3" t="n">
        <v>44638.65643378472</v>
      </c>
      <c r="U2650" t="s">
        <v>17924</v>
      </c>
      <c r="V2650" t="s">
        <v>17925</v>
      </c>
    </row>
    <row r="2651">
      <c r="A2651" t="s">
        <v>22</v>
      </c>
      <c r="B2651" t="s">
        <v>17926</v>
      </c>
      <c r="C2651" t="s">
        <v>132</v>
      </c>
      <c r="D2651" t="s">
        <v>1265</v>
      </c>
      <c r="E2651" t="s">
        <v>16152</v>
      </c>
      <c r="F2651" s="2" t="n">
        <f>HYPERLINK("https://patents.google.com/patent/US20190054162","Google")</f>
        <v>0.0</v>
      </c>
      <c r="G2651" s="2" t="n">
        <f>HYPERLINK("https://patentcenter.uspto.gov/applications/15920519","Patent Center")</f>
        <v>0.0</v>
      </c>
      <c r="H2651" s="2" t="n">
        <f>HYPERLINK("https://worldwide.espacenet.com/patent/search?q=US20190054162","Espacenet")</f>
        <v>0.0</v>
      </c>
      <c r="I2651" s="2" t="n">
        <f>HYPERLINK("https://ppubs.uspto.gov/pubwebapp/external.html?q=20190054162.pn.","USPTO")</f>
        <v>0.0</v>
      </c>
      <c r="J2651" s="2" t="n">
        <f>HYPERLINK("https://image-ppubs.uspto.gov/dirsearch-public/print/downloadPdf/20190054162","USPTO PDF")</f>
        <v>0.0</v>
      </c>
      <c r="K2651" s="2" t="n">
        <f>HYPERLINK("https://sectors.patentforecast.com/pmd/US20190054162","PMD")</f>
        <v>0.0</v>
      </c>
      <c r="L2651" s="2" t="n">
        <f>HYPERLINK("https://globaldossier.uspto.gov/result/application/US/15920519/1","US20190054162")</f>
        <v>0.0</v>
      </c>
      <c r="M2651" t="s">
        <v>17927</v>
      </c>
      <c r="N2651" t="s">
        <v>15147</v>
      </c>
      <c r="O2651" t="s">
        <v>15148</v>
      </c>
      <c r="P2651" t="s">
        <v>16154</v>
      </c>
      <c r="Q2651" s="3" t="n">
        <v>43173.0</v>
      </c>
      <c r="R2651" s="3" t="n">
        <v>43517.0</v>
      </c>
      <c r="S2651" s="3" t="n">
        <v>43900.43726237269</v>
      </c>
      <c r="T2651" s="3" t="n">
        <v>43903.48463269676</v>
      </c>
      <c r="U2651" t="s">
        <v>17928</v>
      </c>
      <c r="V2651" t="s">
        <v>16156</v>
      </c>
    </row>
    <row r="2652">
      <c r="A2652" t="s">
        <v>22</v>
      </c>
      <c r="B2652" t="s">
        <v>17929</v>
      </c>
      <c r="C2652" t="s">
        <v>132</v>
      </c>
      <c r="D2652" t="s">
        <v>1265</v>
      </c>
      <c r="E2652" t="s">
        <v>17930</v>
      </c>
      <c r="F2652" s="2" t="n">
        <f>HYPERLINK("https://patents.google.com/patent/US20190038738","Google")</f>
        <v>0.0</v>
      </c>
      <c r="G2652" s="2" t="n">
        <f>HYPERLINK("https://patentcenter.uspto.gov/applications/15901000","Patent Center")</f>
        <v>0.0</v>
      </c>
      <c r="H2652" s="2" t="n">
        <f>HYPERLINK("https://worldwide.espacenet.com/patent/search?q=US20190038738","Espacenet")</f>
        <v>0.0</v>
      </c>
      <c r="I2652" s="2" t="n">
        <f>HYPERLINK("https://ppubs.uspto.gov/pubwebapp/external.html?q=20190038738.pn.","USPTO")</f>
        <v>0.0</v>
      </c>
      <c r="J2652" s="2" t="n">
        <f>HYPERLINK("https://image-ppubs.uspto.gov/dirsearch-public/print/downloadPdf/20190038738","USPTO PDF")</f>
        <v>0.0</v>
      </c>
      <c r="K2652" s="2" t="n">
        <f>HYPERLINK("https://sectors.patentforecast.com/pmd/US20190038738","PMD")</f>
        <v>0.0</v>
      </c>
      <c r="L2652" s="2" t="n">
        <f>HYPERLINK("https://globaldossier.uspto.gov/result/application/US/15901000/1","US20190038738")</f>
        <v>0.0</v>
      </c>
      <c r="M2652" t="s">
        <v>17931</v>
      </c>
      <c r="N2652" t="s">
        <v>1275</v>
      </c>
      <c r="O2652" t="s">
        <v>1275</v>
      </c>
      <c r="P2652" t="s">
        <v>17932</v>
      </c>
      <c r="Q2652" s="3" t="n">
        <v>43152.0</v>
      </c>
      <c r="R2652" s="3" t="n">
        <v>43503.0</v>
      </c>
      <c r="S2652" s="3" t="n">
        <v>43900.43726237269</v>
      </c>
      <c r="T2652" s="3" t="n">
        <v>43903.48463240741</v>
      </c>
      <c r="U2652" t="s">
        <v>17933</v>
      </c>
      <c r="V2652" t="s">
        <v>17402</v>
      </c>
    </row>
    <row r="2653">
      <c r="A2653" t="s">
        <v>22</v>
      </c>
      <c r="B2653" t="s">
        <v>17934</v>
      </c>
      <c r="C2653" t="s">
        <v>60</v>
      </c>
      <c r="D2653" t="s">
        <v>61</v>
      </c>
      <c r="E2653" t="s">
        <v>17935</v>
      </c>
      <c r="F2653" s="2" t="n">
        <f>HYPERLINK("https://patents.google.com/patent/US20190032064","Google")</f>
        <v>0.0</v>
      </c>
      <c r="G2653" s="2" t="n">
        <f>HYPERLINK("https://patentcenter.uspto.gov/applications/16073194","Patent Center")</f>
        <v>0.0</v>
      </c>
      <c r="H2653" s="2" t="n">
        <f>HYPERLINK("https://worldwide.espacenet.com/patent/search?q=US20190032064","Espacenet")</f>
        <v>0.0</v>
      </c>
      <c r="I2653" s="2" t="n">
        <f>HYPERLINK("https://ppubs.uspto.gov/pubwebapp/external.html?q=20190032064.pn.","USPTO")</f>
        <v>0.0</v>
      </c>
      <c r="J2653" s="2" t="n">
        <f>HYPERLINK("https://image-ppubs.uspto.gov/dirsearch-public/print/downloadPdf/20190032064","USPTO PDF")</f>
        <v>0.0</v>
      </c>
      <c r="K2653" s="2" t="n">
        <f>HYPERLINK("https://sectors.patentforecast.com/pmd/US20190032064","PMD")</f>
        <v>0.0</v>
      </c>
      <c r="L2653" s="2" t="n">
        <f>HYPERLINK("https://globaldossier.uspto.gov/result/application/US/16073194/1","US20190032064")</f>
        <v>0.0</v>
      </c>
      <c r="M2653" t="s">
        <v>17936</v>
      </c>
      <c r="N2653" t="s">
        <v>17937</v>
      </c>
      <c r="O2653" t="s">
        <v>17938</v>
      </c>
      <c r="P2653" t="s">
        <v>17939</v>
      </c>
      <c r="Q2653" s="3" t="n">
        <v>42762.0</v>
      </c>
      <c r="R2653" s="3" t="n">
        <v>43496.0</v>
      </c>
      <c r="S2653" s="3" t="n">
        <v>43931.461264861115</v>
      </c>
      <c r="T2653" s="3" t="n">
        <v>44543.6242690625</v>
      </c>
      <c r="U2653" t="s">
        <v>17940</v>
      </c>
      <c r="V2653" t="s">
        <v>17941</v>
      </c>
    </row>
    <row r="2654">
      <c r="A2654" t="s">
        <v>22</v>
      </c>
      <c r="B2654" t="s">
        <v>17942</v>
      </c>
      <c r="C2654" t="s">
        <v>60</v>
      </c>
      <c r="D2654" t="s">
        <v>61</v>
      </c>
      <c r="E2654" t="s">
        <v>17943</v>
      </c>
      <c r="F2654" s="2" t="n">
        <f>HYPERLINK("https://patents.google.com/patent/US20190030187","Google")</f>
        <v>0.0</v>
      </c>
      <c r="G2654" s="2" t="n">
        <f>HYPERLINK("https://patentcenter.uspto.gov/applications/15758312","Patent Center")</f>
        <v>0.0</v>
      </c>
      <c r="H2654" s="2" t="n">
        <f>HYPERLINK("https://worldwide.espacenet.com/patent/search?q=US20190030187","Espacenet")</f>
        <v>0.0</v>
      </c>
      <c r="I2654" s="2" t="n">
        <f>HYPERLINK("https://ppubs.uspto.gov/pubwebapp/external.html?q=20190030187.pn.","USPTO")</f>
        <v>0.0</v>
      </c>
      <c r="J2654" s="2" t="n">
        <f>HYPERLINK("https://image-ppubs.uspto.gov/dirsearch-public/print/downloadPdf/20190030187","USPTO PDF")</f>
        <v>0.0</v>
      </c>
      <c r="K2654" s="2" t="n">
        <f>HYPERLINK("https://sectors.patentforecast.com/pmd/US20190030187","PMD")</f>
        <v>0.0</v>
      </c>
      <c r="L2654" s="2" t="n">
        <f>HYPERLINK("https://globaldossier.uspto.gov/result/application/US/15758312/1","US20190030187")</f>
        <v>0.0</v>
      </c>
      <c r="M2654" t="s">
        <v>17944</v>
      </c>
      <c r="N2654" t="s">
        <v>403</v>
      </c>
      <c r="O2654" t="s">
        <v>404</v>
      </c>
      <c r="P2654" t="s">
        <v>17945</v>
      </c>
      <c r="Q2654" s="3" t="n">
        <v>42620.0</v>
      </c>
      <c r="R2654" s="3" t="n">
        <v>43496.0</v>
      </c>
      <c r="S2654" s="3" t="n">
        <v>43935.704047824074</v>
      </c>
      <c r="T2654" s="3" t="n">
        <v>43950.46735236111</v>
      </c>
      <c r="U2654" t="s">
        <v>17946</v>
      </c>
      <c r="V2654" t="s">
        <v>17947</v>
      </c>
    </row>
    <row r="2655">
      <c r="A2655" t="s">
        <v>22</v>
      </c>
      <c r="B2655" t="s">
        <v>17948</v>
      </c>
      <c r="C2655" t="s">
        <v>132</v>
      </c>
      <c r="D2655" t="s">
        <v>133</v>
      </c>
      <c r="E2655" t="s">
        <v>17949</v>
      </c>
      <c r="F2655" s="2" t="n">
        <f>HYPERLINK("https://patents.google.com/patent/US20190022214","Google")</f>
        <v>0.0</v>
      </c>
      <c r="G2655" s="2" t="n">
        <f>HYPERLINK("https://patentcenter.uspto.gov/applications/16071938","Patent Center")</f>
        <v>0.0</v>
      </c>
      <c r="H2655" s="2" t="n">
        <f>HYPERLINK("https://worldwide.espacenet.com/patent/search?q=US20190022214","Espacenet")</f>
        <v>0.0</v>
      </c>
      <c r="I2655" s="2" t="n">
        <f>HYPERLINK("https://ppubs.uspto.gov/pubwebapp/external.html?q=20190022214.pn.","USPTO")</f>
        <v>0.0</v>
      </c>
      <c r="J2655" s="2" t="n">
        <f>HYPERLINK("https://image-ppubs.uspto.gov/dirsearch-public/print/downloadPdf/20190022214","USPTO PDF")</f>
        <v>0.0</v>
      </c>
      <c r="K2655" s="2" t="n">
        <f>HYPERLINK("https://sectors.patentforecast.com/pmd/US20190022214","PMD")</f>
        <v>0.0</v>
      </c>
      <c r="L2655" s="2" t="n">
        <f>HYPERLINK("https://globaldossier.uspto.gov/result/application/US/16071938/1","US20190022214")</f>
        <v>0.0</v>
      </c>
      <c r="M2655" t="s">
        <v>17950</v>
      </c>
      <c r="N2655" t="s">
        <v>17951</v>
      </c>
      <c r="O2655" t="s">
        <v>17951</v>
      </c>
      <c r="P2655" t="s">
        <v>17952</v>
      </c>
      <c r="Q2655" s="3" t="n">
        <v>42761.0</v>
      </c>
      <c r="R2655" s="3" t="n">
        <v>43489.0</v>
      </c>
      <c r="S2655" s="3" t="n">
        <v>43935.704047824074</v>
      </c>
      <c r="T2655" s="3" t="n">
        <v>44638.69444006944</v>
      </c>
      <c r="U2655" t="s">
        <v>17953</v>
      </c>
      <c r="V2655" t="s">
        <v>17954</v>
      </c>
    </row>
    <row r="2656">
      <c r="A2656" t="s">
        <v>22</v>
      </c>
      <c r="B2656" t="s">
        <v>17955</v>
      </c>
      <c r="C2656" t="s">
        <v>132</v>
      </c>
      <c r="D2656" t="s">
        <v>133</v>
      </c>
      <c r="E2656" t="s">
        <v>8399</v>
      </c>
      <c r="F2656" s="2" t="n">
        <f>HYPERLINK("https://patents.google.com/patent/US20190022213","Google")</f>
        <v>0.0</v>
      </c>
      <c r="G2656" s="2" t="n">
        <f>HYPERLINK("https://patentcenter.uspto.gov/applications/16022839","Patent Center")</f>
        <v>0.0</v>
      </c>
      <c r="H2656" s="2" t="n">
        <f>HYPERLINK("https://worldwide.espacenet.com/patent/search?q=US20190022213","Espacenet")</f>
        <v>0.0</v>
      </c>
      <c r="I2656" s="2" t="n">
        <f>HYPERLINK("https://ppubs.uspto.gov/pubwebapp/external.html?q=20190022213.pn.","USPTO")</f>
        <v>0.0</v>
      </c>
      <c r="J2656" s="2" t="n">
        <f>HYPERLINK("https://image-ppubs.uspto.gov/dirsearch-public/print/downloadPdf/20190022213","USPTO PDF")</f>
        <v>0.0</v>
      </c>
      <c r="K2656" s="2" t="n">
        <f>HYPERLINK("https://sectors.patentforecast.com/pmd/US20190022213","PMD")</f>
        <v>0.0</v>
      </c>
      <c r="L2656" s="2" t="n">
        <f>HYPERLINK("https://globaldossier.uspto.gov/result/application/US/16022839/1","US20190022213")</f>
        <v>0.0</v>
      </c>
      <c r="M2656" t="s">
        <v>17956</v>
      </c>
      <c r="N2656" t="s">
        <v>2541</v>
      </c>
      <c r="O2656" t="s">
        <v>2542</v>
      </c>
      <c r="P2656" t="s">
        <v>8401</v>
      </c>
      <c r="Q2656" s="3" t="n">
        <v>43280.0</v>
      </c>
      <c r="R2656" s="3" t="n">
        <v>43489.0</v>
      </c>
      <c r="S2656" s="3" t="n">
        <v>43935.60148506944</v>
      </c>
      <c r="T2656" s="3" t="n">
        <v>43950.420734189815</v>
      </c>
      <c r="U2656" t="s">
        <v>17957</v>
      </c>
      <c r="V2656" t="s">
        <v>8403</v>
      </c>
    </row>
    <row r="2657">
      <c r="A2657" t="s">
        <v>22</v>
      </c>
      <c r="B2657" t="s">
        <v>17958</v>
      </c>
      <c r="C2657" t="s">
        <v>60</v>
      </c>
      <c r="D2657" t="s">
        <v>61</v>
      </c>
      <c r="E2657" t="s">
        <v>17959</v>
      </c>
      <c r="F2657" s="2" t="n">
        <f>HYPERLINK("https://patents.google.com/patent/US20190022113","Google")</f>
        <v>0.0</v>
      </c>
      <c r="G2657" s="2" t="n">
        <f>HYPERLINK("https://patentcenter.uspto.gov/applications/16040324","Patent Center")</f>
        <v>0.0</v>
      </c>
      <c r="H2657" s="2" t="n">
        <f>HYPERLINK("https://worldwide.espacenet.com/patent/search?q=US20190022113","Espacenet")</f>
        <v>0.0</v>
      </c>
      <c r="I2657" s="2" t="n">
        <f>HYPERLINK("https://ppubs.uspto.gov/pubwebapp/external.html?q=20190022113.pn.","USPTO")</f>
        <v>0.0</v>
      </c>
      <c r="J2657" s="2" t="n">
        <f>HYPERLINK("https://image-ppubs.uspto.gov/dirsearch-public/print/downloadPdf/20190022113","USPTO PDF")</f>
        <v>0.0</v>
      </c>
      <c r="K2657" s="2" t="n">
        <f>HYPERLINK("https://sectors.patentforecast.com/pmd/US20190022113","PMD")</f>
        <v>0.0</v>
      </c>
      <c r="L2657" s="2" t="n">
        <f>HYPERLINK("https://globaldossier.uspto.gov/result/application/US/16040324/1","US20190022113")</f>
        <v>0.0</v>
      </c>
      <c r="M2657" t="s">
        <v>17960</v>
      </c>
      <c r="N2657" t="s">
        <v>17961</v>
      </c>
      <c r="O2657" t="s">
        <v>17962</v>
      </c>
      <c r="P2657" t="s">
        <v>17963</v>
      </c>
      <c r="Q2657" s="3" t="n">
        <v>43300.0</v>
      </c>
      <c r="R2657" s="3" t="n">
        <v>43489.0</v>
      </c>
      <c r="S2657" s="3" t="n">
        <v>43952.459706030095</v>
      </c>
      <c r="T2657" s="3" t="n">
        <v>44638.66086005787</v>
      </c>
      <c r="U2657" t="s">
        <v>17964</v>
      </c>
      <c r="V2657" t="s">
        <v>17965</v>
      </c>
    </row>
    <row r="2658">
      <c r="A2658" t="s">
        <v>22</v>
      </c>
      <c r="B2658" t="s">
        <v>17966</v>
      </c>
      <c r="C2658" t="s">
        <v>132</v>
      </c>
      <c r="D2658" t="s">
        <v>142</v>
      </c>
      <c r="E2658" t="s">
        <v>17967</v>
      </c>
      <c r="F2658" s="2" t="n">
        <f>HYPERLINK("https://patents.google.com/patent/US20190017068","Google")</f>
        <v>0.0</v>
      </c>
      <c r="G2658" s="2" t="n">
        <f>HYPERLINK("https://patentcenter.uspto.gov/applications/16142921","Patent Center")</f>
        <v>0.0</v>
      </c>
      <c r="H2658" s="2" t="n">
        <f>HYPERLINK("https://worldwide.espacenet.com/patent/search?q=US20190017068","Espacenet")</f>
        <v>0.0</v>
      </c>
      <c r="I2658" s="2" t="n">
        <f>HYPERLINK("https://ppubs.uspto.gov/pubwebapp/external.html?q=20190017068.pn.","USPTO")</f>
        <v>0.0</v>
      </c>
      <c r="J2658" s="2" t="n">
        <f>HYPERLINK("https://image-ppubs.uspto.gov/dirsearch-public/print/downloadPdf/20190017068","USPTO PDF")</f>
        <v>0.0</v>
      </c>
      <c r="K2658" s="2" t="n">
        <f>HYPERLINK("https://sectors.patentforecast.com/pmd/US20190017068","PMD")</f>
        <v>0.0</v>
      </c>
      <c r="L2658" s="2" t="n">
        <f>HYPERLINK("https://globaldossier.uspto.gov/result/application/US/16142921/1","US20190017068")</f>
        <v>0.0</v>
      </c>
      <c r="M2658" t="s">
        <v>17968</v>
      </c>
      <c r="N2658" t="s">
        <v>14432</v>
      </c>
      <c r="O2658" t="s">
        <v>14432</v>
      </c>
      <c r="P2658" t="s">
        <v>16984</v>
      </c>
      <c r="Q2658" s="3" t="n">
        <v>43369.0</v>
      </c>
      <c r="R2658" s="3" t="n">
        <v>43482.0</v>
      </c>
      <c r="S2658" s="3" t="n">
        <v>43936.46199497685</v>
      </c>
      <c r="T2658" s="3" t="n">
        <v>43950.42087113426</v>
      </c>
      <c r="U2658" t="s">
        <v>17969</v>
      </c>
      <c r="V2658" t="s">
        <v>17970</v>
      </c>
    </row>
    <row r="2659">
      <c r="A2659" t="s">
        <v>22</v>
      </c>
      <c r="B2659" t="s">
        <v>17971</v>
      </c>
      <c r="C2659" t="s">
        <v>60</v>
      </c>
      <c r="D2659" t="s">
        <v>61</v>
      </c>
      <c r="E2659" t="s">
        <v>17972</v>
      </c>
      <c r="F2659" s="2" t="n">
        <f>HYPERLINK("https://patents.google.com/patent/US20190016749","Google")</f>
        <v>0.0</v>
      </c>
      <c r="G2659" s="2" t="n">
        <f>HYPERLINK("https://patentcenter.uspto.gov/applications/16016369","Patent Center")</f>
        <v>0.0</v>
      </c>
      <c r="H2659" s="2" t="n">
        <f>HYPERLINK("https://worldwide.espacenet.com/patent/search?q=US20190016749","Espacenet")</f>
        <v>0.0</v>
      </c>
      <c r="I2659" s="2" t="n">
        <f>HYPERLINK("https://ppubs.uspto.gov/pubwebapp/external.html?q=20190016749.pn.","USPTO")</f>
        <v>0.0</v>
      </c>
      <c r="J2659" s="2" t="n">
        <f>HYPERLINK("https://image-ppubs.uspto.gov/dirsearch-public/print/downloadPdf/20190016749","USPTO PDF")</f>
        <v>0.0</v>
      </c>
      <c r="K2659" s="2" t="n">
        <f>HYPERLINK("https://sectors.patentforecast.com/pmd/US20190016749","PMD")</f>
        <v>0.0</v>
      </c>
      <c r="L2659" s="2" t="n">
        <f>HYPERLINK("https://globaldossier.uspto.gov/result/application/US/16016369/1","US20190016749")</f>
        <v>0.0</v>
      </c>
      <c r="M2659" t="s">
        <v>17973</v>
      </c>
      <c r="N2659" t="s">
        <v>664</v>
      </c>
      <c r="O2659" t="s">
        <v>665</v>
      </c>
      <c r="P2659" t="s">
        <v>17974</v>
      </c>
      <c r="Q2659" s="3" t="n">
        <v>43273.0</v>
      </c>
      <c r="R2659" s="3" t="n">
        <v>43482.0</v>
      </c>
      <c r="S2659" s="3" t="n">
        <v>43952.459706030095</v>
      </c>
      <c r="T2659" s="3" t="n">
        <v>44638.65271974537</v>
      </c>
      <c r="U2659" t="s">
        <v>17975</v>
      </c>
      <c r="V2659" t="s">
        <v>17976</v>
      </c>
    </row>
    <row r="2660">
      <c r="A2660" t="s">
        <v>22</v>
      </c>
      <c r="B2660" t="s">
        <v>17977</v>
      </c>
      <c r="C2660" t="s">
        <v>132</v>
      </c>
      <c r="D2660" t="s">
        <v>142</v>
      </c>
      <c r="E2660" t="s">
        <v>143</v>
      </c>
      <c r="F2660" s="2" t="n">
        <f>HYPERLINK("https://patents.google.com/patent/US20190015501","Google")</f>
        <v>0.0</v>
      </c>
      <c r="G2660" s="2" t="n">
        <f>HYPERLINK("https://patentcenter.uspto.gov/applications/16144394","Patent Center")</f>
        <v>0.0</v>
      </c>
      <c r="H2660" s="2" t="n">
        <f>HYPERLINK("https://worldwide.espacenet.com/patent/search?q=US20190015501","Espacenet")</f>
        <v>0.0</v>
      </c>
      <c r="I2660" s="2" t="n">
        <f>HYPERLINK("https://ppubs.uspto.gov/pubwebapp/external.html?q=20190015501.pn.","USPTO")</f>
        <v>0.0</v>
      </c>
      <c r="J2660" s="2" t="n">
        <f>HYPERLINK("https://image-ppubs.uspto.gov/dirsearch-public/print/downloadPdf/20190015501","USPTO PDF")</f>
        <v>0.0</v>
      </c>
      <c r="K2660" s="2" t="n">
        <f>HYPERLINK("https://sectors.patentforecast.com/pmd/US20190015501","PMD")</f>
        <v>0.0</v>
      </c>
      <c r="L2660" s="2" t="n">
        <f>HYPERLINK("https://globaldossier.uspto.gov/result/application/US/16144394/1","US20190015501")</f>
        <v>0.0</v>
      </c>
      <c r="M2660" t="s">
        <v>17978</v>
      </c>
      <c r="N2660" t="s">
        <v>145</v>
      </c>
      <c r="O2660" t="s">
        <v>146</v>
      </c>
      <c r="P2660" t="s">
        <v>147</v>
      </c>
      <c r="Q2660" s="3" t="n">
        <v>43370.0</v>
      </c>
      <c r="R2660" s="3" t="n">
        <v>43482.0</v>
      </c>
      <c r="S2660" s="3" t="n">
        <v>43931.461264861115</v>
      </c>
      <c r="T2660" s="3" t="n">
        <v>43950.49997215278</v>
      </c>
      <c r="U2660" t="s">
        <v>17979</v>
      </c>
      <c r="V2660" t="s">
        <v>17980</v>
      </c>
    </row>
    <row r="2661">
      <c r="A2661" t="s">
        <v>22</v>
      </c>
      <c r="B2661" t="s">
        <v>17981</v>
      </c>
      <c r="C2661" t="s">
        <v>60</v>
      </c>
      <c r="D2661" t="s">
        <v>696</v>
      </c>
      <c r="E2661" t="s">
        <v>16957</v>
      </c>
      <c r="F2661" s="2" t="n">
        <f>HYPERLINK("https://patents.google.com/patent/US20190010225","Google")</f>
        <v>0.0</v>
      </c>
      <c r="G2661" s="2" t="n">
        <f>HYPERLINK("https://patentcenter.uspto.gov/applications/15942836","Patent Center")</f>
        <v>0.0</v>
      </c>
      <c r="H2661" s="2" t="n">
        <f>HYPERLINK("https://worldwide.espacenet.com/patent/search?q=US20190010225","Espacenet")</f>
        <v>0.0</v>
      </c>
      <c r="I2661" s="2" t="n">
        <f>HYPERLINK("https://ppubs.uspto.gov/pubwebapp/external.html?q=20190010225.pn.","USPTO")</f>
        <v>0.0</v>
      </c>
      <c r="J2661" s="2" t="n">
        <f>HYPERLINK("https://image-ppubs.uspto.gov/dirsearch-public/print/downloadPdf/20190010225","USPTO PDF")</f>
        <v>0.0</v>
      </c>
      <c r="K2661" s="2" t="n">
        <f>HYPERLINK("https://sectors.patentforecast.com/pmd/US20190010225","PMD")</f>
        <v>0.0</v>
      </c>
      <c r="L2661" s="2" t="n">
        <f>HYPERLINK("https://globaldossier.uspto.gov/result/application/US/15942836/1","US20190010225")</f>
        <v>0.0</v>
      </c>
      <c r="M2661" t="s">
        <v>17982</v>
      </c>
      <c r="N2661" t="s">
        <v>16927</v>
      </c>
      <c r="O2661" t="s">
        <v>16928</v>
      </c>
      <c r="P2661" t="s">
        <v>17699</v>
      </c>
      <c r="Q2661" s="3" t="n">
        <v>43192.0</v>
      </c>
      <c r="R2661" s="3" t="n">
        <v>43475.0</v>
      </c>
      <c r="S2661" s="3" t="n">
        <v>43966.47961565972</v>
      </c>
      <c r="T2661" s="3" t="n">
        <v>44643.44490069444</v>
      </c>
      <c r="U2661" t="s">
        <v>17983</v>
      </c>
      <c r="V2661" t="s">
        <v>16961</v>
      </c>
    </row>
    <row r="2662">
      <c r="A2662" t="s">
        <v>22</v>
      </c>
      <c r="B2662" t="s">
        <v>17984</v>
      </c>
      <c r="C2662" t="s">
        <v>60</v>
      </c>
      <c r="D2662" t="s">
        <v>696</v>
      </c>
      <c r="E2662" t="s">
        <v>17697</v>
      </c>
      <c r="F2662" s="2" t="n">
        <f>HYPERLINK("https://patents.google.com/patent/US20190010223","Google")</f>
        <v>0.0</v>
      </c>
      <c r="G2662" s="2" t="n">
        <f>HYPERLINK("https://patentcenter.uspto.gov/applications/15902041","Patent Center")</f>
        <v>0.0</v>
      </c>
      <c r="H2662" s="2" t="n">
        <f>HYPERLINK("https://worldwide.espacenet.com/patent/search?q=US20190010223","Espacenet")</f>
        <v>0.0</v>
      </c>
      <c r="I2662" s="2" t="n">
        <f>HYPERLINK("https://ppubs.uspto.gov/pubwebapp/external.html?q=20190010223.pn.","USPTO")</f>
        <v>0.0</v>
      </c>
      <c r="J2662" s="2" t="n">
        <f>HYPERLINK("https://image-ppubs.uspto.gov/dirsearch-public/print/downloadPdf/20190010223","USPTO PDF")</f>
        <v>0.0</v>
      </c>
      <c r="K2662" s="2" t="n">
        <f>HYPERLINK("https://sectors.patentforecast.com/pmd/US20190010223","PMD")</f>
        <v>0.0</v>
      </c>
      <c r="L2662" s="2" t="n">
        <f>HYPERLINK("https://globaldossier.uspto.gov/result/application/US/15902041/1","US20190010223")</f>
        <v>0.0</v>
      </c>
      <c r="M2662" t="s">
        <v>17985</v>
      </c>
      <c r="N2662" t="s">
        <v>16927</v>
      </c>
      <c r="O2662" t="s">
        <v>16928</v>
      </c>
      <c r="P2662" t="s">
        <v>17986</v>
      </c>
      <c r="Q2662" s="3" t="n">
        <v>43153.0</v>
      </c>
      <c r="R2662" s="3" t="n">
        <v>43475.0</v>
      </c>
      <c r="S2662" s="3" t="n">
        <v>43966.47961565972</v>
      </c>
      <c r="T2662" s="3" t="n">
        <v>44643.44490069444</v>
      </c>
      <c r="U2662" t="s">
        <v>17987</v>
      </c>
      <c r="V2662" t="s">
        <v>17988</v>
      </c>
    </row>
    <row r="2663">
      <c r="A2663" t="s">
        <v>22</v>
      </c>
      <c r="B2663" t="s">
        <v>17989</v>
      </c>
      <c r="C2663" t="s">
        <v>132</v>
      </c>
      <c r="D2663" t="s">
        <v>142</v>
      </c>
      <c r="E2663" t="s">
        <v>143</v>
      </c>
      <c r="F2663" s="2" t="n">
        <f>HYPERLINK("https://patents.google.com/patent/US20190008948","Google")</f>
        <v>0.0</v>
      </c>
      <c r="G2663" s="2" t="n">
        <f>HYPERLINK("https://patentcenter.uspto.gov/applications/16036318","Patent Center")</f>
        <v>0.0</v>
      </c>
      <c r="H2663" s="2" t="n">
        <f>HYPERLINK("https://worldwide.espacenet.com/patent/search?q=US20190008948","Espacenet")</f>
        <v>0.0</v>
      </c>
      <c r="I2663" s="2" t="n">
        <f>HYPERLINK("https://ppubs.uspto.gov/pubwebapp/external.html?q=20190008948.pn.","USPTO")</f>
        <v>0.0</v>
      </c>
      <c r="J2663" s="2" t="n">
        <f>HYPERLINK("https://image-ppubs.uspto.gov/dirsearch-public/print/downloadPdf/20190008948","USPTO PDF")</f>
        <v>0.0</v>
      </c>
      <c r="K2663" s="2" t="n">
        <f>HYPERLINK("https://sectors.patentforecast.com/pmd/US20190008948","PMD")</f>
        <v>0.0</v>
      </c>
      <c r="L2663" s="2" t="n">
        <f>HYPERLINK("https://globaldossier.uspto.gov/result/application/US/16036318/1","US20190008948")</f>
        <v>0.0</v>
      </c>
      <c r="M2663" t="s">
        <v>17990</v>
      </c>
      <c r="N2663" t="s">
        <v>145</v>
      </c>
      <c r="O2663" t="s">
        <v>146</v>
      </c>
      <c r="P2663" t="s">
        <v>147</v>
      </c>
      <c r="Q2663" s="3" t="n">
        <v>43297.0</v>
      </c>
      <c r="R2663" s="3" t="n">
        <v>43475.0</v>
      </c>
      <c r="S2663" s="3" t="n">
        <v>43935.704047824074</v>
      </c>
      <c r="T2663" s="3" t="n">
        <v>43950.49997215278</v>
      </c>
      <c r="U2663" t="s">
        <v>17991</v>
      </c>
      <c r="V2663" t="s">
        <v>149</v>
      </c>
    </row>
    <row r="2664">
      <c r="A2664" t="s">
        <v>22</v>
      </c>
      <c r="B2664" t="s">
        <v>17992</v>
      </c>
      <c r="C2664" t="s">
        <v>60</v>
      </c>
      <c r="D2664" t="s">
        <v>61</v>
      </c>
      <c r="E2664" t="s">
        <v>17993</v>
      </c>
      <c r="F2664" s="2" t="n">
        <f>HYPERLINK("https://patents.google.com/patent/US20190008882","Google")</f>
        <v>0.0</v>
      </c>
      <c r="G2664" s="2" t="n">
        <f>HYPERLINK("https://patentcenter.uspto.gov/applications/16130015","Patent Center")</f>
        <v>0.0</v>
      </c>
      <c r="H2664" s="2" t="n">
        <f>HYPERLINK("https://worldwide.espacenet.com/patent/search?q=US20190008882","Espacenet")</f>
        <v>0.0</v>
      </c>
      <c r="I2664" s="2" t="n">
        <f>HYPERLINK("https://ppubs.uspto.gov/pubwebapp/external.html?q=20190008882.pn.","USPTO")</f>
        <v>0.0</v>
      </c>
      <c r="J2664" s="2" t="n">
        <f>HYPERLINK("https://image-ppubs.uspto.gov/dirsearch-public/print/downloadPdf/20190008882","USPTO PDF")</f>
        <v>0.0</v>
      </c>
      <c r="K2664" s="2" t="n">
        <f>HYPERLINK("https://sectors.patentforecast.com/pmd/US20190008882","PMD")</f>
        <v>0.0</v>
      </c>
      <c r="L2664" s="2" t="n">
        <f>HYPERLINK("https://globaldossier.uspto.gov/result/application/US/16130015/1","US20190008882")</f>
        <v>0.0</v>
      </c>
      <c r="M2664" t="s">
        <v>17994</v>
      </c>
      <c r="N2664" t="s">
        <v>17995</v>
      </c>
      <c r="O2664" t="s">
        <v>17996</v>
      </c>
      <c r="P2664" t="s">
        <v>17997</v>
      </c>
      <c r="Q2664" s="3" t="n">
        <v>43356.0</v>
      </c>
      <c r="R2664" s="3" t="n">
        <v>43475.0</v>
      </c>
      <c r="S2664" s="3" t="n">
        <v>43929.461070046294</v>
      </c>
      <c r="T2664" s="3" t="n">
        <v>43986.4200996875</v>
      </c>
      <c r="U2664" t="s">
        <v>17998</v>
      </c>
      <c r="V2664" t="s">
        <v>17999</v>
      </c>
    </row>
    <row r="2665">
      <c r="A2665" t="s">
        <v>22</v>
      </c>
      <c r="B2665" t="s">
        <v>18000</v>
      </c>
      <c r="C2665" t="s">
        <v>60</v>
      </c>
      <c r="D2665" t="s">
        <v>61</v>
      </c>
      <c r="E2665" t="s">
        <v>17306</v>
      </c>
      <c r="F2665" s="2" t="n">
        <f>HYPERLINK("https://patents.google.com/patent/US20190008858","Google")</f>
        <v>0.0</v>
      </c>
      <c r="G2665" s="2" t="n">
        <f>HYPERLINK("https://patentcenter.uspto.gov/applications/16005111","Patent Center")</f>
        <v>0.0</v>
      </c>
      <c r="H2665" s="2" t="n">
        <f>HYPERLINK("https://worldwide.espacenet.com/patent/search?q=US20190008858","Espacenet")</f>
        <v>0.0</v>
      </c>
      <c r="I2665" s="2" t="n">
        <f>HYPERLINK("https://ppubs.uspto.gov/pubwebapp/external.html?q=20190008858.pn.","USPTO")</f>
        <v>0.0</v>
      </c>
      <c r="J2665" s="2" t="n">
        <f>HYPERLINK("https://image-ppubs.uspto.gov/dirsearch-public/print/downloadPdf/20190008858","USPTO PDF")</f>
        <v>0.0</v>
      </c>
      <c r="K2665" s="2" t="n">
        <f>HYPERLINK("https://sectors.patentforecast.com/pmd/US20190008858","PMD")</f>
        <v>0.0</v>
      </c>
      <c r="L2665" s="2" t="n">
        <f>HYPERLINK("https://globaldossier.uspto.gov/result/application/US/16005111/1","US20190008858")</f>
        <v>0.0</v>
      </c>
      <c r="M2665" t="s">
        <v>18001</v>
      </c>
      <c r="N2665" t="s">
        <v>664</v>
      </c>
      <c r="O2665" t="s">
        <v>665</v>
      </c>
      <c r="P2665" t="s">
        <v>18002</v>
      </c>
      <c r="Q2665" s="3" t="n">
        <v>43262.0</v>
      </c>
      <c r="R2665" s="3" t="n">
        <v>43475.0</v>
      </c>
      <c r="S2665" s="3" t="n">
        <v>43952.459706030095</v>
      </c>
      <c r="T2665" s="3" t="n">
        <v>44638.65643378472</v>
      </c>
      <c r="U2665" t="s">
        <v>18003</v>
      </c>
      <c r="V2665" t="s">
        <v>17310</v>
      </c>
    </row>
    <row r="2666">
      <c r="A2666" t="s">
        <v>22</v>
      </c>
      <c r="B2666" t="s">
        <v>18004</v>
      </c>
      <c r="C2666" t="s">
        <v>60</v>
      </c>
      <c r="D2666" t="s">
        <v>61</v>
      </c>
      <c r="E2666" t="s">
        <v>18005</v>
      </c>
      <c r="F2666" s="2" t="n">
        <f>HYPERLINK("https://patents.google.com/patent/US20190008811","Google")</f>
        <v>0.0</v>
      </c>
      <c r="G2666" s="2" t="n">
        <f>HYPERLINK("https://patentcenter.uspto.gov/applications/15794197","Patent Center")</f>
        <v>0.0</v>
      </c>
      <c r="H2666" s="2" t="n">
        <f>HYPERLINK("https://worldwide.espacenet.com/patent/search?q=US20190008811","Espacenet")</f>
        <v>0.0</v>
      </c>
      <c r="I2666" s="2" t="n">
        <f>HYPERLINK("https://ppubs.uspto.gov/pubwebapp/external.html?q=20190008811.pn.","USPTO")</f>
        <v>0.0</v>
      </c>
      <c r="J2666" s="2" t="n">
        <f>HYPERLINK("https://image-ppubs.uspto.gov/dirsearch-public/print/downloadPdf/20190008811","USPTO PDF")</f>
        <v>0.0</v>
      </c>
      <c r="K2666" s="2" t="n">
        <f>HYPERLINK("https://sectors.patentforecast.com/pmd/US20190008811","PMD")</f>
        <v>0.0</v>
      </c>
      <c r="L2666" s="2" t="n">
        <f>HYPERLINK("https://globaldossier.uspto.gov/result/application/US/15794197/1","US20190008811")</f>
        <v>0.0</v>
      </c>
      <c r="M2666" t="s">
        <v>18006</v>
      </c>
      <c r="N2666" t="s">
        <v>17848</v>
      </c>
      <c r="O2666" t="s">
        <v>17849</v>
      </c>
      <c r="P2666" t="s">
        <v>18007</v>
      </c>
      <c r="Q2666" s="3" t="n">
        <v>43034.0</v>
      </c>
      <c r="R2666" s="3" t="n">
        <v>43475.0</v>
      </c>
      <c r="S2666" s="3" t="n">
        <v>43929.461070046294</v>
      </c>
      <c r="T2666" s="3" t="n">
        <v>43986.46475625</v>
      </c>
      <c r="U2666" t="s">
        <v>18008</v>
      </c>
      <c r="V2666" t="s">
        <v>17852</v>
      </c>
    </row>
    <row r="2667">
      <c r="A2667" t="s">
        <v>22</v>
      </c>
      <c r="B2667" t="s">
        <v>18009</v>
      </c>
      <c r="C2667" t="s">
        <v>24</v>
      </c>
      <c r="D2667" t="s">
        <v>100</v>
      </c>
      <c r="E2667" t="s">
        <v>7926</v>
      </c>
      <c r="F2667" s="2" t="n">
        <f>HYPERLINK("https://patents.google.com/patent/US20190001010","Google")</f>
        <v>0.0</v>
      </c>
      <c r="G2667" s="2" t="n">
        <f>HYPERLINK("https://patentcenter.uspto.gov/applications/16035179","Patent Center")</f>
        <v>0.0</v>
      </c>
      <c r="H2667" s="2" t="n">
        <f>HYPERLINK("https://worldwide.espacenet.com/patent/search?q=US20190001010","Espacenet")</f>
        <v>0.0</v>
      </c>
      <c r="I2667" s="2" t="n">
        <f>HYPERLINK("https://ppubs.uspto.gov/pubwebapp/external.html?q=20190001010.pn.","USPTO")</f>
        <v>0.0</v>
      </c>
      <c r="J2667" s="2" t="n">
        <f>HYPERLINK("https://image-ppubs.uspto.gov/dirsearch-public/print/downloadPdf/20190001010","USPTO PDF")</f>
        <v>0.0</v>
      </c>
      <c r="K2667" s="2" t="n">
        <f>HYPERLINK("https://sectors.patentforecast.com/pmd/US20190001010","PMD")</f>
        <v>0.0</v>
      </c>
      <c r="L2667" s="2" t="n">
        <f>HYPERLINK("https://globaldossier.uspto.gov/result/application/US/16035179/1","US20190001010")</f>
        <v>0.0</v>
      </c>
      <c r="M2667" t="s">
        <v>18010</v>
      </c>
      <c r="N2667" t="s">
        <v>7928</v>
      </c>
      <c r="O2667" t="s">
        <v>7929</v>
      </c>
      <c r="P2667" t="s">
        <v>18011</v>
      </c>
      <c r="Q2667" s="3" t="n">
        <v>43294.0</v>
      </c>
      <c r="R2667" s="3" t="n">
        <v>43468.0</v>
      </c>
      <c r="S2667" s="3" t="n">
        <v>43999.59019282407</v>
      </c>
      <c r="T2667" s="3" t="n">
        <v>43999.65990641204</v>
      </c>
      <c r="U2667" t="s">
        <v>18012</v>
      </c>
      <c r="V2667" t="s">
        <v>7931</v>
      </c>
    </row>
    <row r="2668">
      <c r="A2668" t="s">
        <v>22</v>
      </c>
      <c r="B2668" t="s">
        <v>18013</v>
      </c>
      <c r="C2668" t="s">
        <v>132</v>
      </c>
      <c r="D2668" t="s">
        <v>142</v>
      </c>
      <c r="E2668" t="s">
        <v>143</v>
      </c>
      <c r="F2668" s="2" t="n">
        <f>HYPERLINK("https://patents.google.com/patent/US20190000959","Google")</f>
        <v>0.0</v>
      </c>
      <c r="G2668" s="2" t="n">
        <f>HYPERLINK("https://patentcenter.uspto.gov/applications/16048154","Patent Center")</f>
        <v>0.0</v>
      </c>
      <c r="H2668" s="2" t="n">
        <f>HYPERLINK("https://worldwide.espacenet.com/patent/search?q=US20190000959","Espacenet")</f>
        <v>0.0</v>
      </c>
      <c r="I2668" s="2" t="n">
        <f>HYPERLINK("https://ppubs.uspto.gov/pubwebapp/external.html?q=20190000959.pn.","USPTO")</f>
        <v>0.0</v>
      </c>
      <c r="J2668" s="2" t="n">
        <f>HYPERLINK("https://image-ppubs.uspto.gov/dirsearch-public/print/downloadPdf/20190000959","USPTO PDF")</f>
        <v>0.0</v>
      </c>
      <c r="K2668" s="2" t="n">
        <f>HYPERLINK("https://sectors.patentforecast.com/pmd/US20190000959","PMD")</f>
        <v>0.0</v>
      </c>
      <c r="L2668" s="2" t="n">
        <f>HYPERLINK("https://globaldossier.uspto.gov/result/application/US/16048154/1","US20190000959")</f>
        <v>0.0</v>
      </c>
      <c r="M2668" t="s">
        <v>18014</v>
      </c>
      <c r="N2668" t="s">
        <v>145</v>
      </c>
      <c r="O2668" t="s">
        <v>146</v>
      </c>
      <c r="P2668" t="s">
        <v>147</v>
      </c>
      <c r="Q2668" s="3" t="n">
        <v>43308.0</v>
      </c>
      <c r="R2668" s="3" t="n">
        <v>43468.0</v>
      </c>
      <c r="S2668" s="3" t="n">
        <v>43935.704047824074</v>
      </c>
      <c r="T2668" s="3" t="n">
        <v>43950.49997215278</v>
      </c>
      <c r="U2668" t="s">
        <v>18015</v>
      </c>
      <c r="V2668" t="s">
        <v>149</v>
      </c>
    </row>
    <row r="2669">
      <c r="A2669" t="s">
        <v>22</v>
      </c>
      <c r="B2669" t="s">
        <v>18016</v>
      </c>
      <c r="C2669" t="s">
        <v>60</v>
      </c>
      <c r="D2669" t="s">
        <v>61</v>
      </c>
      <c r="E2669" t="s">
        <v>18017</v>
      </c>
      <c r="F2669" s="2" t="n">
        <f>HYPERLINK("https://patents.google.com/patent/US20190000785","Google")</f>
        <v>0.0</v>
      </c>
      <c r="G2669" s="2" t="n">
        <f>HYPERLINK("https://patentcenter.uspto.gov/applications/15794178","Patent Center")</f>
        <v>0.0</v>
      </c>
      <c r="H2669" s="2" t="n">
        <f>HYPERLINK("https://worldwide.espacenet.com/patent/search?q=US20190000785","Espacenet")</f>
        <v>0.0</v>
      </c>
      <c r="I2669" s="2" t="n">
        <f>HYPERLINK("https://ppubs.uspto.gov/pubwebapp/external.html?q=20190000785.pn.","USPTO")</f>
        <v>0.0</v>
      </c>
      <c r="J2669" s="2" t="n">
        <f>HYPERLINK("https://image-ppubs.uspto.gov/dirsearch-public/print/downloadPdf/20190000785","USPTO PDF")</f>
        <v>0.0</v>
      </c>
      <c r="K2669" s="2" t="n">
        <f>HYPERLINK("https://sectors.patentforecast.com/pmd/US20190000785","PMD")</f>
        <v>0.0</v>
      </c>
      <c r="L2669" s="2" t="n">
        <f>HYPERLINK("https://globaldossier.uspto.gov/result/application/US/15794178/1","US20190000785")</f>
        <v>0.0</v>
      </c>
      <c r="M2669" t="s">
        <v>18018</v>
      </c>
      <c r="N2669" t="s">
        <v>17848</v>
      </c>
      <c r="O2669" t="s">
        <v>17849</v>
      </c>
      <c r="P2669" t="s">
        <v>18007</v>
      </c>
      <c r="Q2669" s="3" t="n">
        <v>43034.0</v>
      </c>
      <c r="R2669" s="3" t="n">
        <v>43468.0</v>
      </c>
      <c r="S2669" s="3" t="n">
        <v>43929.461070046294</v>
      </c>
      <c r="T2669" s="3" t="n">
        <v>43986.4647941088</v>
      </c>
      <c r="U2669" t="s">
        <v>18008</v>
      </c>
      <c r="V2669" t="s">
        <v>17852</v>
      </c>
    </row>
    <row r="2670">
      <c r="A2670" t="s">
        <v>22</v>
      </c>
      <c r="B2670" t="s">
        <v>18019</v>
      </c>
      <c r="C2670" t="s">
        <v>24</v>
      </c>
      <c r="D2670" t="s">
        <v>25</v>
      </c>
      <c r="E2670" t="s">
        <v>3619</v>
      </c>
      <c r="F2670" s="2" t="n">
        <f>HYPERLINK("https://patents.google.com/patent/US20180374582","Google")</f>
        <v>0.0</v>
      </c>
      <c r="G2670" s="2" t="n">
        <f>HYPERLINK("https://patentcenter.uspto.gov/applications/15952983","Patent Center")</f>
        <v>0.0</v>
      </c>
      <c r="H2670" s="2" t="n">
        <f>HYPERLINK("https://worldwide.espacenet.com/patent/search?q=US20180374582","Espacenet")</f>
        <v>0.0</v>
      </c>
      <c r="I2670" s="2" t="n">
        <f>HYPERLINK("https://ppubs.uspto.gov/pubwebapp/external.html?q=20180374582.pn.","USPTO")</f>
        <v>0.0</v>
      </c>
      <c r="J2670" s="2" t="n">
        <f>HYPERLINK("https://image-ppubs.uspto.gov/dirsearch-public/print/downloadPdf/20180374582","USPTO PDF")</f>
        <v>0.0</v>
      </c>
      <c r="K2670" s="2" t="n">
        <f>HYPERLINK("https://sectors.patentforecast.com/pmd/US20180374582","PMD")</f>
        <v>0.0</v>
      </c>
      <c r="L2670" s="2" t="n">
        <f>HYPERLINK("https://globaldossier.uspto.gov/result/application/US/15952983/1","US20180374582")</f>
        <v>0.0</v>
      </c>
      <c r="M2670" t="s">
        <v>18020</v>
      </c>
      <c r="N2670" t="s">
        <v>3621</v>
      </c>
      <c r="O2670" t="s">
        <v>3622</v>
      </c>
      <c r="P2670" t="s">
        <v>3623</v>
      </c>
      <c r="Q2670" s="3" t="n">
        <v>43203.0</v>
      </c>
      <c r="R2670" s="3" t="n">
        <v>43461.0</v>
      </c>
      <c r="S2670" s="3" t="n">
        <v>43906.37277822917</v>
      </c>
      <c r="T2670" s="3" t="n">
        <v>43937.51734210648</v>
      </c>
      <c r="U2670" t="s">
        <v>18021</v>
      </c>
      <c r="V2670" t="s">
        <v>18022</v>
      </c>
    </row>
    <row r="2671">
      <c r="A2671" t="s">
        <v>22</v>
      </c>
      <c r="B2671" t="s">
        <v>18023</v>
      </c>
      <c r="C2671" t="s">
        <v>312</v>
      </c>
      <c r="D2671" t="s">
        <v>976</v>
      </c>
      <c r="E2671" t="s">
        <v>18024</v>
      </c>
      <c r="F2671" s="2" t="n">
        <f>HYPERLINK("https://patents.google.com/patent/US20180374580","Google")</f>
        <v>0.0</v>
      </c>
      <c r="G2671" s="2" t="n">
        <f>HYPERLINK("https://patentcenter.uspto.gov/applications/16024387","Patent Center")</f>
        <v>0.0</v>
      </c>
      <c r="H2671" s="2" t="n">
        <f>HYPERLINK("https://worldwide.espacenet.com/patent/search?q=US20180374580","Espacenet")</f>
        <v>0.0</v>
      </c>
      <c r="I2671" s="2" t="n">
        <f>HYPERLINK("https://ppubs.uspto.gov/pubwebapp/external.html?q=20180374580.pn.","USPTO")</f>
        <v>0.0</v>
      </c>
      <c r="J2671" s="2" t="n">
        <f>HYPERLINK("https://image-ppubs.uspto.gov/dirsearch-public/print/downloadPdf/20180374580","USPTO PDF")</f>
        <v>0.0</v>
      </c>
      <c r="K2671" s="2" t="n">
        <f>HYPERLINK("https://sectors.patentforecast.com/pmd/US20180374580","PMD")</f>
        <v>0.0</v>
      </c>
      <c r="L2671" s="2" t="n">
        <f>HYPERLINK("https://globaldossier.uspto.gov/result/application/US/16024387/1","US20180374580")</f>
        <v>0.0</v>
      </c>
      <c r="M2671" t="s">
        <v>18025</v>
      </c>
      <c r="N2671" t="s">
        <v>11831</v>
      </c>
      <c r="O2671" t="s">
        <v>11832</v>
      </c>
      <c r="P2671" t="s">
        <v>15141</v>
      </c>
      <c r="Q2671" s="3" t="n">
        <v>43280.0</v>
      </c>
      <c r="R2671" s="3" t="n">
        <v>43461.0</v>
      </c>
      <c r="S2671" s="3" t="n">
        <v>43908.45839342593</v>
      </c>
      <c r="T2671" s="3" t="n">
        <v>43950.57920032407</v>
      </c>
      <c r="U2671" t="s">
        <v>18026</v>
      </c>
      <c r="V2671" t="s">
        <v>18027</v>
      </c>
    </row>
    <row r="2672">
      <c r="A2672" t="s">
        <v>22</v>
      </c>
      <c r="B2672" t="s">
        <v>18028</v>
      </c>
      <c r="C2672" t="s">
        <v>132</v>
      </c>
      <c r="D2672" t="s">
        <v>18029</v>
      </c>
      <c r="E2672" t="s">
        <v>18030</v>
      </c>
      <c r="F2672" s="2" t="n">
        <f>HYPERLINK("https://patents.google.com/patent/US20180371424","Google")</f>
        <v>0.0</v>
      </c>
      <c r="G2672" s="2" t="n">
        <f>HYPERLINK("https://patentcenter.uspto.gov/applications/14917010","Patent Center")</f>
        <v>0.0</v>
      </c>
      <c r="H2672" s="2" t="n">
        <f>HYPERLINK("https://worldwide.espacenet.com/patent/search?q=US20180371424","Espacenet")</f>
        <v>0.0</v>
      </c>
      <c r="I2672" s="2" t="n">
        <f>HYPERLINK("https://ppubs.uspto.gov/pubwebapp/external.html?q=20180371424.pn.","USPTO")</f>
        <v>0.0</v>
      </c>
      <c r="J2672" s="2" t="n">
        <f>HYPERLINK("https://image-ppubs.uspto.gov/dirsearch-public/print/downloadPdf/20180371424","USPTO PDF")</f>
        <v>0.0</v>
      </c>
      <c r="K2672" s="2" t="n">
        <f>HYPERLINK("https://sectors.patentforecast.com/pmd/US20180371424","PMD")</f>
        <v>0.0</v>
      </c>
      <c r="L2672" s="2" t="n">
        <f>HYPERLINK("https://globaldossier.uspto.gov/result/application/US/14917010/1","US20180371424")</f>
        <v>0.0</v>
      </c>
      <c r="M2672" t="s">
        <v>18031</v>
      </c>
      <c r="N2672" t="s">
        <v>18032</v>
      </c>
      <c r="O2672" t="s">
        <v>18033</v>
      </c>
      <c r="P2672" t="s">
        <v>18034</v>
      </c>
      <c r="Q2672" s="3" t="n">
        <v>42033.0</v>
      </c>
      <c r="R2672" s="3" t="n">
        <v>43461.0</v>
      </c>
      <c r="S2672" s="3" t="n">
        <v>43900.43726237269</v>
      </c>
      <c r="T2672" s="3" t="n">
        <v>43901.72156525463</v>
      </c>
      <c r="U2672" t="s">
        <v>18035</v>
      </c>
      <c r="V2672" t="s">
        <v>18036</v>
      </c>
    </row>
    <row r="2673">
      <c r="A2673" t="s">
        <v>22</v>
      </c>
      <c r="B2673" t="s">
        <v>18037</v>
      </c>
      <c r="C2673" t="s">
        <v>60</v>
      </c>
      <c r="D2673" t="s">
        <v>61</v>
      </c>
      <c r="E2673" t="s">
        <v>18038</v>
      </c>
      <c r="F2673" s="2" t="n">
        <f>HYPERLINK("https://patents.google.com/patent/US20180371086","Google")</f>
        <v>0.0</v>
      </c>
      <c r="G2673" s="2" t="n">
        <f>HYPERLINK("https://patentcenter.uspto.gov/applications/16014153","Patent Center")</f>
        <v>0.0</v>
      </c>
      <c r="H2673" s="2" t="n">
        <f>HYPERLINK("https://worldwide.espacenet.com/patent/search?q=US20180371086","Espacenet")</f>
        <v>0.0</v>
      </c>
      <c r="I2673" s="2" t="n">
        <f>HYPERLINK("https://ppubs.uspto.gov/pubwebapp/external.html?q=20180371086.pn.","USPTO")</f>
        <v>0.0</v>
      </c>
      <c r="J2673" s="2" t="n">
        <f>HYPERLINK("https://image-ppubs.uspto.gov/dirsearch-public/print/downloadPdf/20180371086","USPTO PDF")</f>
        <v>0.0</v>
      </c>
      <c r="K2673" s="2" t="n">
        <f>HYPERLINK("https://sectors.patentforecast.com/pmd/US20180371086","PMD")</f>
        <v>0.0</v>
      </c>
      <c r="L2673" s="2" t="n">
        <f>HYPERLINK("https://globaldossier.uspto.gov/result/application/US/16014153/1","US20180371086")</f>
        <v>0.0</v>
      </c>
      <c r="M2673" t="s">
        <v>18039</v>
      </c>
      <c r="N2673" t="s">
        <v>664</v>
      </c>
      <c r="O2673" t="s">
        <v>665</v>
      </c>
      <c r="P2673" t="s">
        <v>18040</v>
      </c>
      <c r="Q2673" s="3" t="n">
        <v>43272.0</v>
      </c>
      <c r="R2673" s="3" t="n">
        <v>43461.0</v>
      </c>
      <c r="S2673" s="3" t="n">
        <v>43952.459706030095</v>
      </c>
      <c r="T2673" s="3" t="n">
        <v>44638.657763564814</v>
      </c>
      <c r="U2673" t="s">
        <v>18041</v>
      </c>
      <c r="V2673" t="s">
        <v>18042</v>
      </c>
    </row>
    <row r="2674">
      <c r="A2674" t="s">
        <v>22</v>
      </c>
      <c r="B2674" t="s">
        <v>18043</v>
      </c>
      <c r="C2674" t="s">
        <v>60</v>
      </c>
      <c r="D2674" t="s">
        <v>696</v>
      </c>
      <c r="E2674" t="s">
        <v>16925</v>
      </c>
      <c r="F2674" s="2" t="n">
        <f>HYPERLINK("https://patents.google.com/patent/US20180371079","Google")</f>
        <v>0.0</v>
      </c>
      <c r="G2674" s="2" t="n">
        <f>HYPERLINK("https://patentcenter.uspto.gov/applications/15849720","Patent Center")</f>
        <v>0.0</v>
      </c>
      <c r="H2674" s="2" t="n">
        <f>HYPERLINK("https://worldwide.espacenet.com/patent/search?q=US20180371079","Espacenet")</f>
        <v>0.0</v>
      </c>
      <c r="I2674" s="2" t="n">
        <f>HYPERLINK("https://ppubs.uspto.gov/pubwebapp/external.html?q=20180371079.pn.","USPTO")</f>
        <v>0.0</v>
      </c>
      <c r="J2674" s="2" t="n">
        <f>HYPERLINK("https://image-ppubs.uspto.gov/dirsearch-public/print/downloadPdf/20180371079","USPTO PDF")</f>
        <v>0.0</v>
      </c>
      <c r="K2674" s="2" t="n">
        <f>HYPERLINK("https://sectors.patentforecast.com/pmd/US20180371079","PMD")</f>
        <v>0.0</v>
      </c>
      <c r="L2674" s="2" t="n">
        <f>HYPERLINK("https://globaldossier.uspto.gov/result/application/US/15849720/1","US20180371079")</f>
        <v>0.0</v>
      </c>
      <c r="M2674" t="s">
        <v>18044</v>
      </c>
      <c r="N2674" t="s">
        <v>16927</v>
      </c>
      <c r="O2674" t="s">
        <v>16928</v>
      </c>
      <c r="P2674" t="s">
        <v>18045</v>
      </c>
      <c r="Q2674" s="3" t="n">
        <v>43090.0</v>
      </c>
      <c r="R2674" s="3" t="n">
        <v>43461.0</v>
      </c>
      <c r="S2674" s="3" t="n">
        <v>43966.47961565972</v>
      </c>
      <c r="T2674" s="3" t="n">
        <v>44643.44490069444</v>
      </c>
      <c r="U2674" t="s">
        <v>18046</v>
      </c>
      <c r="V2674" t="s">
        <v>16993</v>
      </c>
    </row>
    <row r="2675">
      <c r="A2675" t="s">
        <v>22</v>
      </c>
      <c r="B2675" t="s">
        <v>18047</v>
      </c>
      <c r="C2675" t="s">
        <v>132</v>
      </c>
      <c r="D2675" t="s">
        <v>11423</v>
      </c>
      <c r="E2675" t="s">
        <v>16322</v>
      </c>
      <c r="F2675" s="2" t="n">
        <f>HYPERLINK("https://patents.google.com/patent/US20180369369","Google")</f>
        <v>0.0</v>
      </c>
      <c r="G2675" s="2" t="n">
        <f>HYPERLINK("https://patentcenter.uspto.gov/applications/15876630","Patent Center")</f>
        <v>0.0</v>
      </c>
      <c r="H2675" s="2" t="n">
        <f>HYPERLINK("https://worldwide.espacenet.com/patent/search?q=US20180369369","Espacenet")</f>
        <v>0.0</v>
      </c>
      <c r="I2675" s="2" t="n">
        <f>HYPERLINK("https://ppubs.uspto.gov/pubwebapp/external.html?q=20180369369.pn.","USPTO")</f>
        <v>0.0</v>
      </c>
      <c r="J2675" s="2" t="n">
        <f>HYPERLINK("https://image-ppubs.uspto.gov/dirsearch-public/print/downloadPdf/20180369369","USPTO PDF")</f>
        <v>0.0</v>
      </c>
      <c r="K2675" s="2" t="n">
        <f>HYPERLINK("https://sectors.patentforecast.com/pmd/US20180369369","PMD")</f>
        <v>0.0</v>
      </c>
      <c r="L2675" s="2" t="n">
        <f>HYPERLINK("https://globaldossier.uspto.gov/result/application/US/15876630/1","US20180369369")</f>
        <v>0.0</v>
      </c>
      <c r="M2675" t="s">
        <v>16323</v>
      </c>
      <c r="N2675" t="s">
        <v>1275</v>
      </c>
      <c r="O2675" t="s">
        <v>1275</v>
      </c>
      <c r="P2675" t="s">
        <v>16324</v>
      </c>
      <c r="Q2675" s="3" t="n">
        <v>43122.0</v>
      </c>
      <c r="R2675" s="3" t="n">
        <v>43461.0</v>
      </c>
      <c r="S2675" s="3" t="n">
        <v>44019.68541525463</v>
      </c>
      <c r="T2675" s="3" t="n">
        <v>44020.62008091435</v>
      </c>
      <c r="U2675" t="s">
        <v>18048</v>
      </c>
      <c r="V2675" t="s">
        <v>16326</v>
      </c>
    </row>
    <row r="2676">
      <c r="A2676" t="s">
        <v>22</v>
      </c>
      <c r="B2676" t="s">
        <v>18049</v>
      </c>
      <c r="C2676" t="s">
        <v>132</v>
      </c>
      <c r="D2676" t="s">
        <v>1265</v>
      </c>
      <c r="E2676" t="s">
        <v>18050</v>
      </c>
      <c r="F2676" s="2" t="n">
        <f>HYPERLINK("https://patents.google.com/patent/US20180369363","Google")</f>
        <v>0.0</v>
      </c>
      <c r="G2676" s="2" t="n">
        <f>HYPERLINK("https://patentcenter.uspto.gov/applications/16126791","Patent Center")</f>
        <v>0.0</v>
      </c>
      <c r="H2676" s="2" t="n">
        <f>HYPERLINK("https://worldwide.espacenet.com/patent/search?q=US20180369363","Espacenet")</f>
        <v>0.0</v>
      </c>
      <c r="I2676" s="2" t="n">
        <f>HYPERLINK("https://ppubs.uspto.gov/pubwebapp/external.html?q=20180369363.pn.","USPTO")</f>
        <v>0.0</v>
      </c>
      <c r="J2676" s="2" t="n">
        <f>HYPERLINK("https://image-ppubs.uspto.gov/dirsearch-public/print/downloadPdf/20180369363","USPTO PDF")</f>
        <v>0.0</v>
      </c>
      <c r="K2676" s="2" t="n">
        <f>HYPERLINK("https://sectors.patentforecast.com/pmd/US20180369363","PMD")</f>
        <v>0.0</v>
      </c>
      <c r="L2676" s="2" t="n">
        <f>HYPERLINK("https://globaldossier.uspto.gov/result/application/US/16126791/1","US20180369363")</f>
        <v>0.0</v>
      </c>
      <c r="M2676" t="s">
        <v>18051</v>
      </c>
      <c r="N2676" t="s">
        <v>1792</v>
      </c>
      <c r="O2676" t="s">
        <v>1793</v>
      </c>
      <c r="P2676" t="s">
        <v>18052</v>
      </c>
      <c r="Q2676" s="3" t="n">
        <v>43353.0</v>
      </c>
      <c r="R2676" s="3" t="n">
        <v>43461.0</v>
      </c>
      <c r="S2676" s="3" t="n">
        <v>43936.46199497685</v>
      </c>
      <c r="T2676" s="3" t="n">
        <v>44543.67009940972</v>
      </c>
      <c r="U2676" t="s">
        <v>18053</v>
      </c>
      <c r="V2676" t="s">
        <v>18054</v>
      </c>
    </row>
    <row r="2677">
      <c r="A2677" t="s">
        <v>22</v>
      </c>
      <c r="B2677" t="s">
        <v>18055</v>
      </c>
      <c r="C2677" t="s">
        <v>24</v>
      </c>
      <c r="D2677" t="s">
        <v>1356</v>
      </c>
      <c r="E2677" t="s">
        <v>18056</v>
      </c>
      <c r="F2677" s="2" t="n">
        <f>HYPERLINK("https://patents.google.com/patent/US20180366230","Google")</f>
        <v>0.0</v>
      </c>
      <c r="G2677" s="2" t="n">
        <f>HYPERLINK("https://patentcenter.uspto.gov/applications/15842735","Patent Center")</f>
        <v>0.0</v>
      </c>
      <c r="H2677" s="2" t="n">
        <f>HYPERLINK("https://worldwide.espacenet.com/patent/search?q=US20180366230","Espacenet")</f>
        <v>0.0</v>
      </c>
      <c r="I2677" s="2" t="n">
        <f>HYPERLINK("https://ppubs.uspto.gov/pubwebapp/external.html?q=20180366230.pn.","USPTO")</f>
        <v>0.0</v>
      </c>
      <c r="J2677" s="2" t="n">
        <f>HYPERLINK("https://image-ppubs.uspto.gov/dirsearch-public/print/downloadPdf/20180366230","USPTO PDF")</f>
        <v>0.0</v>
      </c>
      <c r="K2677" s="2" t="n">
        <f>HYPERLINK("https://sectors.patentforecast.com/pmd/US20180366230","PMD")</f>
        <v>0.0</v>
      </c>
      <c r="L2677" s="2" t="n">
        <f>HYPERLINK("https://globaldossier.uspto.gov/result/application/US/15842735/1","US20180366230")</f>
        <v>0.0</v>
      </c>
      <c r="M2677" t="s">
        <v>18057</v>
      </c>
      <c r="N2677" t="s">
        <v>18058</v>
      </c>
      <c r="O2677" t="s">
        <v>18059</v>
      </c>
      <c r="P2677" t="s">
        <v>18060</v>
      </c>
      <c r="Q2677" s="3" t="n">
        <v>43083.0</v>
      </c>
      <c r="R2677" s="3" t="n">
        <v>43454.0</v>
      </c>
      <c r="S2677" s="3" t="n">
        <v>43900.43726237269</v>
      </c>
      <c r="T2677" s="3" t="n">
        <v>43903.49497356481</v>
      </c>
      <c r="U2677" t="s">
        <v>18061</v>
      </c>
      <c r="V2677" t="s">
        <v>18062</v>
      </c>
    </row>
    <row r="2678">
      <c r="A2678" t="s">
        <v>22</v>
      </c>
      <c r="B2678" t="s">
        <v>18063</v>
      </c>
      <c r="C2678" t="s">
        <v>24</v>
      </c>
      <c r="D2678" t="s">
        <v>25</v>
      </c>
      <c r="E2678" t="s">
        <v>18064</v>
      </c>
      <c r="F2678" s="2" t="n">
        <f>HYPERLINK("https://patents.google.com/patent/US20180366221","Google")</f>
        <v>0.0</v>
      </c>
      <c r="G2678" s="2" t="n">
        <f>HYPERLINK("https://patentcenter.uspto.gov/applications/16007839","Patent Center")</f>
        <v>0.0</v>
      </c>
      <c r="H2678" s="2" t="n">
        <f>HYPERLINK("https://worldwide.espacenet.com/patent/search?q=US20180366221","Espacenet")</f>
        <v>0.0</v>
      </c>
      <c r="I2678" s="2" t="n">
        <f>HYPERLINK("https://ppubs.uspto.gov/pubwebapp/external.html?q=20180366221.pn.","USPTO")</f>
        <v>0.0</v>
      </c>
      <c r="J2678" s="2" t="n">
        <f>HYPERLINK("https://image-ppubs.uspto.gov/dirsearch-public/print/downloadPdf/20180366221","USPTO PDF")</f>
        <v>0.0</v>
      </c>
      <c r="K2678" s="2" t="n">
        <f>HYPERLINK("https://sectors.patentforecast.com/pmd/US20180366221","PMD")</f>
        <v>0.0</v>
      </c>
      <c r="L2678" s="2" t="n">
        <f>HYPERLINK("https://globaldossier.uspto.gov/result/application/US/16007839/1","US20180366221")</f>
        <v>0.0</v>
      </c>
      <c r="M2678" t="s">
        <v>18065</v>
      </c>
      <c r="N2678" t="s">
        <v>18066</v>
      </c>
      <c r="O2678" t="s">
        <v>18067</v>
      </c>
      <c r="P2678" t="s">
        <v>18068</v>
      </c>
      <c r="Q2678" s="3" t="n">
        <v>43264.0</v>
      </c>
      <c r="R2678" s="3" t="n">
        <v>43454.0</v>
      </c>
      <c r="S2678" s="3" t="n">
        <v>43929.461070046294</v>
      </c>
      <c r="T2678" s="3" t="n">
        <v>43977.561125011576</v>
      </c>
      <c r="U2678" t="s">
        <v>18069</v>
      </c>
      <c r="V2678" t="s">
        <v>18070</v>
      </c>
    </row>
    <row r="2679">
      <c r="A2679" t="s">
        <v>22</v>
      </c>
      <c r="B2679" t="s">
        <v>18071</v>
      </c>
      <c r="C2679" t="s">
        <v>24</v>
      </c>
      <c r="D2679" t="s">
        <v>25</v>
      </c>
      <c r="E2679" t="s">
        <v>18072</v>
      </c>
      <c r="F2679" s="2" t="n">
        <f>HYPERLINK("https://patents.google.com/patent/US20180365382","Google")</f>
        <v>0.0</v>
      </c>
      <c r="G2679" s="2" t="n">
        <f>HYPERLINK("https://patentcenter.uspto.gov/applications/15627801","Patent Center")</f>
        <v>0.0</v>
      </c>
      <c r="H2679" s="2" t="n">
        <f>HYPERLINK("https://worldwide.espacenet.com/patent/search?q=US20180365382","Espacenet")</f>
        <v>0.0</v>
      </c>
      <c r="I2679" s="2" t="n">
        <f>HYPERLINK("https://ppubs.uspto.gov/pubwebapp/external.html?q=20180365382.pn.","USPTO")</f>
        <v>0.0</v>
      </c>
      <c r="J2679" s="2" t="n">
        <f>HYPERLINK("https://image-ppubs.uspto.gov/dirsearch-public/print/downloadPdf/20180365382","USPTO PDF")</f>
        <v>0.0</v>
      </c>
      <c r="K2679" s="2" t="n">
        <f>HYPERLINK("https://sectors.patentforecast.com/pmd/US20180365382","PMD")</f>
        <v>0.0</v>
      </c>
      <c r="L2679" s="2" t="n">
        <f>HYPERLINK("https://globaldossier.uspto.gov/result/application/US/15627801/1","US20180365382")</f>
        <v>0.0</v>
      </c>
      <c r="M2679" t="s">
        <v>18073</v>
      </c>
      <c r="N2679" t="s">
        <v>947</v>
      </c>
      <c r="O2679" t="s">
        <v>948</v>
      </c>
      <c r="P2679" t="s">
        <v>18074</v>
      </c>
      <c r="Q2679" s="3" t="n">
        <v>42906.0</v>
      </c>
      <c r="R2679" s="3" t="n">
        <v>43454.0</v>
      </c>
      <c r="S2679" s="3" t="n">
        <v>43977.50186493056</v>
      </c>
      <c r="T2679" s="3" t="n">
        <v>43991.46539050926</v>
      </c>
      <c r="U2679" t="s">
        <v>18075</v>
      </c>
      <c r="V2679" t="s">
        <v>18076</v>
      </c>
    </row>
    <row r="2680">
      <c r="A2680" t="s">
        <v>22</v>
      </c>
      <c r="B2680" t="s">
        <v>18077</v>
      </c>
      <c r="C2680" t="s">
        <v>132</v>
      </c>
      <c r="D2680" t="s">
        <v>142</v>
      </c>
      <c r="E2680" t="s">
        <v>15029</v>
      </c>
      <c r="F2680" s="2" t="n">
        <f>HYPERLINK("https://patents.google.com/patent/US20180360958","Google")</f>
        <v>0.0</v>
      </c>
      <c r="G2680" s="2" t="n">
        <f>HYPERLINK("https://patentcenter.uspto.gov/applications/16117320","Patent Center")</f>
        <v>0.0</v>
      </c>
      <c r="H2680" s="2" t="n">
        <f>HYPERLINK("https://worldwide.espacenet.com/patent/search?q=US20180360958","Espacenet")</f>
        <v>0.0</v>
      </c>
      <c r="I2680" s="2" t="n">
        <f>HYPERLINK("https://ppubs.uspto.gov/pubwebapp/external.html?q=20180360958.pn.","USPTO")</f>
        <v>0.0</v>
      </c>
      <c r="J2680" s="2" t="n">
        <f>HYPERLINK("https://image-ppubs.uspto.gov/dirsearch-public/print/downloadPdf/20180360958","USPTO PDF")</f>
        <v>0.0</v>
      </c>
      <c r="K2680" s="2" t="n">
        <f>HYPERLINK("https://sectors.patentforecast.com/pmd/US20180360958","PMD")</f>
        <v>0.0</v>
      </c>
      <c r="L2680" s="2" t="n">
        <f>HYPERLINK("https://globaldossier.uspto.gov/result/application/US/16117320/1","US20180360958")</f>
        <v>0.0</v>
      </c>
      <c r="M2680" t="s">
        <v>18078</v>
      </c>
      <c r="N2680" t="s">
        <v>2541</v>
      </c>
      <c r="O2680" t="s">
        <v>2542</v>
      </c>
      <c r="P2680" t="s">
        <v>15031</v>
      </c>
      <c r="Q2680" s="3" t="n">
        <v>43342.0</v>
      </c>
      <c r="R2680" s="3" t="n">
        <v>43454.0</v>
      </c>
      <c r="S2680" s="3" t="n">
        <v>43936.46037263889</v>
      </c>
      <c r="T2680" s="3" t="n">
        <v>43950.42095006944</v>
      </c>
      <c r="U2680" t="s">
        <v>18079</v>
      </c>
      <c r="V2680" t="s">
        <v>15033</v>
      </c>
    </row>
    <row r="2681">
      <c r="A2681" t="s">
        <v>22</v>
      </c>
      <c r="B2681" t="s">
        <v>18080</v>
      </c>
      <c r="C2681" t="s">
        <v>24</v>
      </c>
      <c r="D2681" t="s">
        <v>8459</v>
      </c>
      <c r="E2681" t="s">
        <v>18081</v>
      </c>
      <c r="F2681" s="2" t="n">
        <f>HYPERLINK("https://patents.google.com/patent/US20180358131","Google")</f>
        <v>0.0</v>
      </c>
      <c r="G2681" s="2" t="n">
        <f>HYPERLINK("https://patentcenter.uspto.gov/applications/15775066","Patent Center")</f>
        <v>0.0</v>
      </c>
      <c r="H2681" s="2" t="n">
        <f>HYPERLINK("https://worldwide.espacenet.com/patent/search?q=US20180358131","Espacenet")</f>
        <v>0.0</v>
      </c>
      <c r="I2681" s="2" t="n">
        <f>HYPERLINK("https://ppubs.uspto.gov/pubwebapp/external.html?q=20180358131.pn.","USPTO")</f>
        <v>0.0</v>
      </c>
      <c r="J2681" s="2" t="n">
        <f>HYPERLINK("https://image-ppubs.uspto.gov/dirsearch-public/print/downloadPdf/20180358131","USPTO PDF")</f>
        <v>0.0</v>
      </c>
      <c r="K2681" s="2" t="n">
        <f>HYPERLINK("https://sectors.patentforecast.com/pmd/US20180358131","PMD")</f>
        <v>0.0</v>
      </c>
      <c r="L2681" s="2" t="n">
        <f>HYPERLINK("https://globaldossier.uspto.gov/result/application/US/15775066/1","US20180358131")</f>
        <v>0.0</v>
      </c>
      <c r="M2681" t="s">
        <v>18082</v>
      </c>
      <c r="N2681" t="s">
        <v>9610</v>
      </c>
      <c r="O2681" t="s">
        <v>9611</v>
      </c>
      <c r="P2681" t="s">
        <v>18083</v>
      </c>
      <c r="Q2681" s="3" t="n">
        <v>42703.0</v>
      </c>
      <c r="R2681" s="3" t="n">
        <v>43447.0</v>
      </c>
      <c r="S2681" s="3" t="n">
        <v>43908.458510358796</v>
      </c>
      <c r="T2681" s="3" t="n">
        <v>43948.6948444213</v>
      </c>
      <c r="U2681" t="s">
        <v>18084</v>
      </c>
      <c r="V2681" t="s">
        <v>18085</v>
      </c>
    </row>
    <row r="2682">
      <c r="A2682" t="s">
        <v>22</v>
      </c>
      <c r="B2682" t="s">
        <v>18086</v>
      </c>
      <c r="C2682" t="s">
        <v>24</v>
      </c>
      <c r="D2682" t="s">
        <v>13922</v>
      </c>
      <c r="E2682" t="s">
        <v>18087</v>
      </c>
      <c r="F2682" s="2" t="n">
        <f>HYPERLINK("https://patents.google.com/patent/US20180340202","Google")</f>
        <v>0.0</v>
      </c>
      <c r="G2682" s="2" t="n">
        <f>HYPERLINK("https://patentcenter.uspto.gov/applications/15719322","Patent Center")</f>
        <v>0.0</v>
      </c>
      <c r="H2682" s="2" t="n">
        <f>HYPERLINK("https://worldwide.espacenet.com/patent/search?q=US20180340202","Espacenet")</f>
        <v>0.0</v>
      </c>
      <c r="I2682" s="2" t="n">
        <f>HYPERLINK("https://ppubs.uspto.gov/pubwebapp/external.html?q=20180340202.pn.","USPTO")</f>
        <v>0.0</v>
      </c>
      <c r="J2682" s="2" t="n">
        <f>HYPERLINK("https://image-ppubs.uspto.gov/dirsearch-public/print/downloadPdf/20180340202","USPTO PDF")</f>
        <v>0.0</v>
      </c>
      <c r="K2682" s="2" t="n">
        <f>HYPERLINK("https://sectors.patentforecast.com/pmd/US20180340202","PMD")</f>
        <v>0.0</v>
      </c>
      <c r="L2682" s="2" t="n">
        <f>HYPERLINK("https://globaldossier.uspto.gov/result/application/US/15719322/1","US20180340202")</f>
        <v>0.0</v>
      </c>
      <c r="M2682" t="s">
        <v>18088</v>
      </c>
      <c r="N2682" t="s">
        <v>6347</v>
      </c>
      <c r="O2682" t="s">
        <v>6347</v>
      </c>
      <c r="P2682" t="s">
        <v>6348</v>
      </c>
      <c r="Q2682" s="3" t="n">
        <v>43006.0</v>
      </c>
      <c r="R2682" s="3" t="n">
        <v>43433.0</v>
      </c>
      <c r="S2682" s="3" t="n">
        <v>43900.437144675925</v>
      </c>
      <c r="T2682" s="3" t="n">
        <v>43901.721565405096</v>
      </c>
      <c r="U2682" t="s">
        <v>18089</v>
      </c>
      <c r="V2682" t="s">
        <v>18090</v>
      </c>
    </row>
    <row r="2683">
      <c r="A2683" t="s">
        <v>22</v>
      </c>
      <c r="B2683" t="s">
        <v>18091</v>
      </c>
      <c r="C2683" t="s">
        <v>60</v>
      </c>
      <c r="D2683" t="s">
        <v>61</v>
      </c>
      <c r="E2683" t="s">
        <v>16995</v>
      </c>
      <c r="F2683" s="2" t="n">
        <f>HYPERLINK("https://patents.google.com/patent/US20180340004","Google")</f>
        <v>0.0</v>
      </c>
      <c r="G2683" s="2" t="n">
        <f>HYPERLINK("https://patentcenter.uspto.gov/applications/15950442","Patent Center")</f>
        <v>0.0</v>
      </c>
      <c r="H2683" s="2" t="n">
        <f>HYPERLINK("https://worldwide.espacenet.com/patent/search?q=US20180340004","Espacenet")</f>
        <v>0.0</v>
      </c>
      <c r="I2683" s="2" t="n">
        <f>HYPERLINK("https://ppubs.uspto.gov/pubwebapp/external.html?q=20180340004.pn.","USPTO")</f>
        <v>0.0</v>
      </c>
      <c r="J2683" s="2" t="n">
        <f>HYPERLINK("https://image-ppubs.uspto.gov/dirsearch-public/print/downloadPdf/20180340004","USPTO PDF")</f>
        <v>0.0</v>
      </c>
      <c r="K2683" s="2" t="n">
        <f>HYPERLINK("https://sectors.patentforecast.com/pmd/US20180340004","PMD")</f>
        <v>0.0</v>
      </c>
      <c r="L2683" s="2" t="n">
        <f>HYPERLINK("https://globaldossier.uspto.gov/result/application/US/15950442/1","US20180340004")</f>
        <v>0.0</v>
      </c>
      <c r="M2683" t="s">
        <v>18092</v>
      </c>
      <c r="N2683" t="s">
        <v>664</v>
      </c>
      <c r="O2683" t="s">
        <v>665</v>
      </c>
      <c r="P2683" t="s">
        <v>16997</v>
      </c>
      <c r="Q2683" s="3" t="n">
        <v>43201.0</v>
      </c>
      <c r="R2683" s="3" t="n">
        <v>43433.0</v>
      </c>
      <c r="S2683" s="3" t="n">
        <v>43952.46395268518</v>
      </c>
      <c r="T2683" s="3" t="n">
        <v>44638.65008547454</v>
      </c>
      <c r="U2683" t="s">
        <v>18093</v>
      </c>
      <c r="V2683" t="s">
        <v>16999</v>
      </c>
    </row>
    <row r="2684">
      <c r="A2684" t="s">
        <v>22</v>
      </c>
      <c r="B2684" t="s">
        <v>18094</v>
      </c>
      <c r="C2684" t="s">
        <v>132</v>
      </c>
      <c r="D2684" t="s">
        <v>133</v>
      </c>
      <c r="E2684" t="s">
        <v>14547</v>
      </c>
      <c r="F2684" s="2" t="n">
        <f>HYPERLINK("https://patents.google.com/patent/US20180334480","Google")</f>
        <v>0.0</v>
      </c>
      <c r="G2684" s="2" t="n">
        <f>HYPERLINK("https://patentcenter.uspto.gov/applications/15760878","Patent Center")</f>
        <v>0.0</v>
      </c>
      <c r="H2684" s="2" t="n">
        <f>HYPERLINK("https://worldwide.espacenet.com/patent/search?q=US20180334480","Espacenet")</f>
        <v>0.0</v>
      </c>
      <c r="I2684" s="2" t="n">
        <f>HYPERLINK("https://ppubs.uspto.gov/pubwebapp/external.html?q=20180334480.pn.","USPTO")</f>
        <v>0.0</v>
      </c>
      <c r="J2684" s="2" t="n">
        <f>HYPERLINK("https://image-ppubs.uspto.gov/dirsearch-public/print/downloadPdf/20180334480","USPTO PDF")</f>
        <v>0.0</v>
      </c>
      <c r="K2684" s="2" t="n">
        <f>HYPERLINK("https://sectors.patentforecast.com/pmd/US20180334480","PMD")</f>
        <v>0.0</v>
      </c>
      <c r="L2684" s="2" t="n">
        <f>HYPERLINK("https://globaldossier.uspto.gov/result/application/US/15760878/1","US20180334480")</f>
        <v>0.0</v>
      </c>
      <c r="M2684" t="s">
        <v>18095</v>
      </c>
      <c r="N2684" t="s">
        <v>2038</v>
      </c>
      <c r="O2684" t="s">
        <v>2039</v>
      </c>
      <c r="P2684" t="s">
        <v>18096</v>
      </c>
      <c r="Q2684" s="3" t="n">
        <v>42628.0</v>
      </c>
      <c r="R2684" s="3" t="n">
        <v>43426.0</v>
      </c>
      <c r="S2684" s="3" t="n">
        <v>43935.704047824074</v>
      </c>
      <c r="T2684" s="3" t="n">
        <v>43950.46202774306</v>
      </c>
      <c r="U2684" t="s">
        <v>18097</v>
      </c>
      <c r="V2684" t="s">
        <v>16361</v>
      </c>
    </row>
    <row r="2685">
      <c r="A2685" t="s">
        <v>22</v>
      </c>
      <c r="B2685" t="s">
        <v>18098</v>
      </c>
      <c r="C2685" t="s">
        <v>132</v>
      </c>
      <c r="D2685" t="s">
        <v>133</v>
      </c>
      <c r="E2685" t="s">
        <v>18099</v>
      </c>
      <c r="F2685" s="2" t="n">
        <f>HYPERLINK("https://patents.google.com/patent/US20180333482","Google")</f>
        <v>0.0</v>
      </c>
      <c r="G2685" s="2" t="n">
        <f>HYPERLINK("https://patentcenter.uspto.gov/applications/15910617","Patent Center")</f>
        <v>0.0</v>
      </c>
      <c r="H2685" s="2" t="n">
        <f>HYPERLINK("https://worldwide.espacenet.com/patent/search?q=US20180333482","Espacenet")</f>
        <v>0.0</v>
      </c>
      <c r="I2685" s="2" t="n">
        <f>HYPERLINK("https://ppubs.uspto.gov/pubwebapp/external.html?q=20180333482.pn.","USPTO")</f>
        <v>0.0</v>
      </c>
      <c r="J2685" s="2" t="n">
        <f>HYPERLINK("https://image-ppubs.uspto.gov/dirsearch-public/print/downloadPdf/20180333482","USPTO PDF")</f>
        <v>0.0</v>
      </c>
      <c r="K2685" s="2" t="n">
        <f>HYPERLINK("https://sectors.patentforecast.com/pmd/US20180333482","PMD")</f>
        <v>0.0</v>
      </c>
      <c r="L2685" s="2" t="n">
        <f>HYPERLINK("https://globaldossier.uspto.gov/result/application/US/15910617/1","US20180333482")</f>
        <v>0.0</v>
      </c>
      <c r="M2685" t="s">
        <v>18100</v>
      </c>
      <c r="N2685" t="s">
        <v>1792</v>
      </c>
      <c r="O2685" t="s">
        <v>1793</v>
      </c>
      <c r="P2685" t="s">
        <v>18101</v>
      </c>
      <c r="Q2685" s="3" t="n">
        <v>43161.0</v>
      </c>
      <c r="R2685" s="3" t="n">
        <v>43426.0</v>
      </c>
      <c r="S2685" s="3" t="n">
        <v>43935.704047824074</v>
      </c>
      <c r="T2685" s="3" t="n">
        <v>43950.46202774306</v>
      </c>
      <c r="U2685" t="s">
        <v>18102</v>
      </c>
      <c r="V2685" t="s">
        <v>18103</v>
      </c>
    </row>
    <row r="2686">
      <c r="A2686" t="s">
        <v>22</v>
      </c>
      <c r="B2686" t="s">
        <v>18104</v>
      </c>
      <c r="C2686" t="s">
        <v>60</v>
      </c>
      <c r="D2686" t="s">
        <v>845</v>
      </c>
      <c r="E2686" t="s">
        <v>18105</v>
      </c>
      <c r="F2686" s="2" t="n">
        <f>HYPERLINK("https://patents.google.com/patent/US20180330806","Google")</f>
        <v>0.0</v>
      </c>
      <c r="G2686" s="2" t="n">
        <f>HYPERLINK("https://patentcenter.uspto.gov/applications/15977664","Patent Center")</f>
        <v>0.0</v>
      </c>
      <c r="H2686" s="2" t="n">
        <f>HYPERLINK("https://worldwide.espacenet.com/patent/search?q=US20180330806","Espacenet")</f>
        <v>0.0</v>
      </c>
      <c r="I2686" s="2" t="n">
        <f>HYPERLINK("https://ppubs.uspto.gov/pubwebapp/external.html?q=20180330806.pn.","USPTO")</f>
        <v>0.0</v>
      </c>
      <c r="J2686" s="2" t="n">
        <f>HYPERLINK("https://image-ppubs.uspto.gov/dirsearch-public/print/downloadPdf/20180330806","USPTO PDF")</f>
        <v>0.0</v>
      </c>
      <c r="K2686" s="2" t="n">
        <f>HYPERLINK("https://sectors.patentforecast.com/pmd/US20180330806","PMD")</f>
        <v>0.0</v>
      </c>
      <c r="L2686" s="2" t="n">
        <f>HYPERLINK("https://globaldossier.uspto.gov/result/application/US/15977664/1","US20180330806")</f>
        <v>0.0</v>
      </c>
      <c r="M2686" t="s">
        <v>18106</v>
      </c>
      <c r="N2686" t="s">
        <v>299</v>
      </c>
      <c r="O2686" t="s">
        <v>300</v>
      </c>
      <c r="P2686" t="s">
        <v>18107</v>
      </c>
      <c r="Q2686" s="3" t="n">
        <v>43231.0</v>
      </c>
      <c r="R2686" s="3" t="n">
        <v>43419.0</v>
      </c>
      <c r="S2686" s="3" t="n">
        <v>43900.43726237269</v>
      </c>
      <c r="T2686" s="3" t="n">
        <v>43901.721564467596</v>
      </c>
      <c r="U2686" t="s">
        <v>18108</v>
      </c>
      <c r="V2686" t="s">
        <v>18109</v>
      </c>
    </row>
    <row r="2687">
      <c r="A2687" t="s">
        <v>22</v>
      </c>
      <c r="B2687" t="s">
        <v>18110</v>
      </c>
      <c r="C2687" t="s">
        <v>132</v>
      </c>
      <c r="D2687" t="s">
        <v>133</v>
      </c>
      <c r="E2687" t="s">
        <v>18111</v>
      </c>
      <c r="F2687" s="2" t="n">
        <f>HYPERLINK("https://patents.google.com/patent/US20180326047","Google")</f>
        <v>0.0</v>
      </c>
      <c r="G2687" s="2" t="n">
        <f>HYPERLINK("https://patentcenter.uspto.gov/applications/16020648","Patent Center")</f>
        <v>0.0</v>
      </c>
      <c r="H2687" s="2" t="n">
        <f>HYPERLINK("https://worldwide.espacenet.com/patent/search?q=US20180326047","Espacenet")</f>
        <v>0.0</v>
      </c>
      <c r="I2687" s="2" t="n">
        <f>HYPERLINK("https://ppubs.uspto.gov/pubwebapp/external.html?q=20180326047.pn.","USPTO")</f>
        <v>0.0</v>
      </c>
      <c r="J2687" s="2" t="n">
        <f>HYPERLINK("https://image-ppubs.uspto.gov/dirsearch-public/print/downloadPdf/20180326047","USPTO PDF")</f>
        <v>0.0</v>
      </c>
      <c r="K2687" s="2" t="n">
        <f>HYPERLINK("https://sectors.patentforecast.com/pmd/US20180326047","PMD")</f>
        <v>0.0</v>
      </c>
      <c r="L2687" s="2" t="n">
        <f>HYPERLINK("https://globaldossier.uspto.gov/result/application/US/16020648/1","US20180326047")</f>
        <v>0.0</v>
      </c>
      <c r="M2687" t="s">
        <v>18112</v>
      </c>
      <c r="N2687" t="s">
        <v>10979</v>
      </c>
      <c r="O2687" t="s">
        <v>10980</v>
      </c>
      <c r="P2687" t="s">
        <v>18113</v>
      </c>
      <c r="Q2687" s="3" t="n">
        <v>43278.0</v>
      </c>
      <c r="R2687" s="3" t="n">
        <v>43419.0</v>
      </c>
      <c r="S2687" s="3" t="n">
        <v>43900.43726237269</v>
      </c>
      <c r="T2687" s="3" t="n">
        <v>43901.72156417824</v>
      </c>
      <c r="U2687" t="s">
        <v>18114</v>
      </c>
      <c r="V2687" t="s">
        <v>18115</v>
      </c>
    </row>
    <row r="2688">
      <c r="A2688" t="s">
        <v>22</v>
      </c>
      <c r="B2688" t="s">
        <v>18116</v>
      </c>
      <c r="C2688" t="s">
        <v>132</v>
      </c>
      <c r="D2688" t="s">
        <v>2629</v>
      </c>
      <c r="E2688" t="s">
        <v>18117</v>
      </c>
      <c r="F2688" s="2" t="n">
        <f>HYPERLINK("https://patents.google.com/patent/US20180326045","Google")</f>
        <v>0.0</v>
      </c>
      <c r="G2688" s="2" t="n">
        <f>HYPERLINK("https://patentcenter.uspto.gov/applications/16040981","Patent Center")</f>
        <v>0.0</v>
      </c>
      <c r="H2688" s="2" t="n">
        <f>HYPERLINK("https://worldwide.espacenet.com/patent/search?q=US20180326045","Espacenet")</f>
        <v>0.0</v>
      </c>
      <c r="I2688" s="2" t="n">
        <f>HYPERLINK("https://ppubs.uspto.gov/pubwebapp/external.html?q=20180326045.pn.","USPTO")</f>
        <v>0.0</v>
      </c>
      <c r="J2688" s="2" t="n">
        <f>HYPERLINK("https://image-ppubs.uspto.gov/dirsearch-public/print/downloadPdf/20180326045","USPTO PDF")</f>
        <v>0.0</v>
      </c>
      <c r="K2688" s="2" t="n">
        <f>HYPERLINK("https://sectors.patentforecast.com/pmd/US20180326045","PMD")</f>
        <v>0.0</v>
      </c>
      <c r="L2688" s="2" t="n">
        <f>HYPERLINK("https://globaldossier.uspto.gov/result/application/US/16040981/1","US20180326045")</f>
        <v>0.0</v>
      </c>
      <c r="M2688" t="s">
        <v>18118</v>
      </c>
      <c r="N2688" t="s">
        <v>145</v>
      </c>
      <c r="O2688" t="s">
        <v>146</v>
      </c>
      <c r="P2688" t="s">
        <v>15865</v>
      </c>
      <c r="Q2688" s="3" t="n">
        <v>43301.0</v>
      </c>
      <c r="R2688" s="3" t="n">
        <v>43419.0</v>
      </c>
      <c r="S2688" s="3" t="n">
        <v>43935.704047824074</v>
      </c>
      <c r="T2688" s="3" t="n">
        <v>43950.473868113426</v>
      </c>
      <c r="U2688" t="s">
        <v>18119</v>
      </c>
      <c r="V2688" t="s">
        <v>15867</v>
      </c>
    </row>
    <row r="2689">
      <c r="A2689" t="s">
        <v>22</v>
      </c>
      <c r="B2689" t="s">
        <v>18120</v>
      </c>
      <c r="C2689" t="s">
        <v>132</v>
      </c>
      <c r="D2689" t="s">
        <v>2629</v>
      </c>
      <c r="E2689" t="s">
        <v>18121</v>
      </c>
      <c r="F2689" s="2" t="n">
        <f>HYPERLINK("https://patents.google.com/patent/US20180326037","Google")</f>
        <v>0.0</v>
      </c>
      <c r="G2689" s="2" t="n">
        <f>HYPERLINK("https://patentcenter.uspto.gov/applications/15981962","Patent Center")</f>
        <v>0.0</v>
      </c>
      <c r="H2689" s="2" t="n">
        <f>HYPERLINK("https://worldwide.espacenet.com/patent/search?q=US20180326037","Espacenet")</f>
        <v>0.0</v>
      </c>
      <c r="I2689" s="2" t="n">
        <f>HYPERLINK("https://ppubs.uspto.gov/pubwebapp/external.html?q=20180326037.pn.","USPTO")</f>
        <v>0.0</v>
      </c>
      <c r="J2689" s="2" t="n">
        <f>HYPERLINK("https://image-ppubs.uspto.gov/dirsearch-public/print/downloadPdf/20180326037","USPTO PDF")</f>
        <v>0.0</v>
      </c>
      <c r="K2689" s="2" t="n">
        <f>HYPERLINK("https://sectors.patentforecast.com/pmd/US20180326037","PMD")</f>
        <v>0.0</v>
      </c>
      <c r="L2689" s="2" t="n">
        <f>HYPERLINK("https://globaldossier.uspto.gov/result/application/US/15981962/1","US20180326037")</f>
        <v>0.0</v>
      </c>
      <c r="M2689" t="s">
        <v>18122</v>
      </c>
      <c r="N2689" t="s">
        <v>2541</v>
      </c>
      <c r="O2689" t="s">
        <v>2542</v>
      </c>
      <c r="P2689" t="s">
        <v>18123</v>
      </c>
      <c r="Q2689" s="3" t="n">
        <v>43237.0</v>
      </c>
      <c r="R2689" s="3" t="n">
        <v>43419.0</v>
      </c>
      <c r="S2689" s="3" t="n">
        <v>43936.46037263889</v>
      </c>
      <c r="T2689" s="3" t="n">
        <v>43950.42222684028</v>
      </c>
      <c r="U2689" t="s">
        <v>18124</v>
      </c>
      <c r="V2689" t="s">
        <v>18125</v>
      </c>
    </row>
    <row r="2690">
      <c r="A2690" t="s">
        <v>22</v>
      </c>
      <c r="B2690" t="s">
        <v>18126</v>
      </c>
      <c r="C2690" t="s">
        <v>24</v>
      </c>
      <c r="D2690" t="s">
        <v>100</v>
      </c>
      <c r="E2690" t="s">
        <v>18127</v>
      </c>
      <c r="F2690" s="2" t="n">
        <f>HYPERLINK("https://patents.google.com/patent/US20180325076","Google")</f>
        <v>0.0</v>
      </c>
      <c r="G2690" s="2" t="n">
        <f>HYPERLINK("https://patentcenter.uspto.gov/applications/16043469","Patent Center")</f>
        <v>0.0</v>
      </c>
      <c r="H2690" s="2" t="n">
        <f>HYPERLINK("https://worldwide.espacenet.com/patent/search?q=US20180325076","Espacenet")</f>
        <v>0.0</v>
      </c>
      <c r="I2690" s="2" t="n">
        <f>HYPERLINK("https://ppubs.uspto.gov/pubwebapp/external.html?q=20180325076.pn.","USPTO")</f>
        <v>0.0</v>
      </c>
      <c r="J2690" s="2" t="n">
        <f>HYPERLINK("https://image-ppubs.uspto.gov/dirsearch-public/print/downloadPdf/20180325076","USPTO PDF")</f>
        <v>0.0</v>
      </c>
      <c r="K2690" s="2" t="n">
        <f>HYPERLINK("https://sectors.patentforecast.com/pmd/US20180325076","PMD")</f>
        <v>0.0</v>
      </c>
      <c r="L2690" s="2" t="n">
        <f>HYPERLINK("https://globaldossier.uspto.gov/result/application/US/16043469/1","US20180325076")</f>
        <v>0.0</v>
      </c>
      <c r="M2690" t="s">
        <v>18128</v>
      </c>
      <c r="N2690" t="s">
        <v>18129</v>
      </c>
      <c r="O2690" t="s">
        <v>18130</v>
      </c>
      <c r="P2690" t="s">
        <v>18131</v>
      </c>
      <c r="Q2690" s="3" t="n">
        <v>43305.0</v>
      </c>
      <c r="R2690" s="3" t="n">
        <v>43419.0</v>
      </c>
      <c r="S2690" s="3" t="n">
        <v>43936.46199497685</v>
      </c>
      <c r="T2690" s="3" t="n">
        <v>43950.54191467592</v>
      </c>
      <c r="U2690" t="s">
        <v>18132</v>
      </c>
      <c r="V2690" t="s">
        <v>18133</v>
      </c>
    </row>
    <row r="2691">
      <c r="A2691" t="s">
        <v>22</v>
      </c>
      <c r="B2691" t="s">
        <v>18134</v>
      </c>
      <c r="C2691" t="s">
        <v>24</v>
      </c>
      <c r="D2691" t="s">
        <v>204</v>
      </c>
      <c r="E2691" t="s">
        <v>18135</v>
      </c>
      <c r="F2691" s="2" t="n">
        <f>HYPERLINK("https://patents.google.com/patent/US20180322959","Google")</f>
        <v>0.0</v>
      </c>
      <c r="G2691" s="2" t="n">
        <f>HYPERLINK("https://patentcenter.uspto.gov/applications/15773207","Patent Center")</f>
        <v>0.0</v>
      </c>
      <c r="H2691" s="2" t="n">
        <f>HYPERLINK("https://worldwide.espacenet.com/patent/search?q=US20180322959","Espacenet")</f>
        <v>0.0</v>
      </c>
      <c r="I2691" s="2" t="n">
        <f>HYPERLINK("https://ppubs.uspto.gov/pubwebapp/external.html?q=20180322959.pn.","USPTO")</f>
        <v>0.0</v>
      </c>
      <c r="J2691" s="2" t="n">
        <f>HYPERLINK("https://image-ppubs.uspto.gov/dirsearch-public/print/downloadPdf/20180322959","USPTO PDF")</f>
        <v>0.0</v>
      </c>
      <c r="K2691" s="2" t="n">
        <f>HYPERLINK("https://sectors.patentforecast.com/pmd/US20180322959","PMD")</f>
        <v>0.0</v>
      </c>
      <c r="L2691" s="2" t="n">
        <f>HYPERLINK("https://globaldossier.uspto.gov/result/application/US/15773207/1","US20180322959")</f>
        <v>0.0</v>
      </c>
      <c r="M2691" t="s">
        <v>18136</v>
      </c>
      <c r="N2691" t="s">
        <v>18137</v>
      </c>
      <c r="O2691" t="s">
        <v>18137</v>
      </c>
      <c r="P2691" t="s">
        <v>18138</v>
      </c>
      <c r="Q2691" s="3" t="n">
        <v>42671.0</v>
      </c>
      <c r="R2691" s="3" t="n">
        <v>43412.0</v>
      </c>
      <c r="S2691" s="3" t="n">
        <v>44019.229816377316</v>
      </c>
      <c r="T2691" s="3" t="n">
        <v>44019.67583049768</v>
      </c>
      <c r="U2691" t="s">
        <v>18139</v>
      </c>
      <c r="V2691" t="s">
        <v>18140</v>
      </c>
    </row>
    <row r="2692">
      <c r="A2692" t="s">
        <v>22</v>
      </c>
      <c r="B2692" t="s">
        <v>18141</v>
      </c>
      <c r="C2692" t="s">
        <v>60</v>
      </c>
      <c r="D2692" t="s">
        <v>77</v>
      </c>
      <c r="E2692" t="s">
        <v>18142</v>
      </c>
      <c r="F2692" s="2" t="n">
        <f>HYPERLINK("https://patents.google.com/patent/US20180312575","Google")</f>
        <v>0.0</v>
      </c>
      <c r="G2692" s="2" t="n">
        <f>HYPERLINK("https://patentcenter.uspto.gov/applications/15926295","Patent Center")</f>
        <v>0.0</v>
      </c>
      <c r="H2692" s="2" t="n">
        <f>HYPERLINK("https://worldwide.espacenet.com/patent/search?q=US20180312575","Espacenet")</f>
        <v>0.0</v>
      </c>
      <c r="I2692" s="2" t="n">
        <f>HYPERLINK("https://ppubs.uspto.gov/pubwebapp/external.html?q=20180312575.pn.","USPTO")</f>
        <v>0.0</v>
      </c>
      <c r="J2692" s="2" t="n">
        <f>HYPERLINK("https://image-ppubs.uspto.gov/dirsearch-public/print/downloadPdf/20180312575","USPTO PDF")</f>
        <v>0.0</v>
      </c>
      <c r="K2692" s="2" t="n">
        <f>HYPERLINK("https://sectors.patentforecast.com/pmd/US20180312575","PMD")</f>
        <v>0.0</v>
      </c>
      <c r="L2692" s="2" t="n">
        <f>HYPERLINK("https://globaldossier.uspto.gov/result/application/US/15926295/1","US20180312575")</f>
        <v>0.0</v>
      </c>
      <c r="M2692" t="s">
        <v>18143</v>
      </c>
      <c r="N2692" t="s">
        <v>18144</v>
      </c>
      <c r="O2692" t="s">
        <v>18144</v>
      </c>
      <c r="P2692" t="s">
        <v>18145</v>
      </c>
      <c r="Q2692" s="3" t="n">
        <v>43179.0</v>
      </c>
      <c r="R2692" s="3" t="n">
        <v>43405.0</v>
      </c>
      <c r="S2692" s="3" t="n">
        <v>43966.48180039352</v>
      </c>
      <c r="T2692" s="3" t="n">
        <v>44638.638650092595</v>
      </c>
      <c r="U2692" t="s">
        <v>18146</v>
      </c>
      <c r="V2692" t="s">
        <v>18147</v>
      </c>
    </row>
    <row r="2693">
      <c r="A2693" t="s">
        <v>22</v>
      </c>
      <c r="B2693" t="s">
        <v>18148</v>
      </c>
      <c r="C2693" t="s">
        <v>132</v>
      </c>
      <c r="D2693" t="s">
        <v>142</v>
      </c>
      <c r="E2693" t="s">
        <v>17633</v>
      </c>
      <c r="F2693" s="2" t="n">
        <f>HYPERLINK("https://patents.google.com/patent/US20180312549","Google")</f>
        <v>0.0</v>
      </c>
      <c r="G2693" s="2" t="n">
        <f>HYPERLINK("https://patentcenter.uspto.gov/applications/16031951","Patent Center")</f>
        <v>0.0</v>
      </c>
      <c r="H2693" s="2" t="n">
        <f>HYPERLINK("https://worldwide.espacenet.com/patent/search?q=US20180312549","Espacenet")</f>
        <v>0.0</v>
      </c>
      <c r="I2693" s="2" t="n">
        <f>HYPERLINK("https://ppubs.uspto.gov/pubwebapp/external.html?q=20180312549.pn.","USPTO")</f>
        <v>0.0</v>
      </c>
      <c r="J2693" s="2" t="n">
        <f>HYPERLINK("https://image-ppubs.uspto.gov/dirsearch-public/print/downloadPdf/20180312549","USPTO PDF")</f>
        <v>0.0</v>
      </c>
      <c r="K2693" s="2" t="n">
        <f>HYPERLINK("https://sectors.patentforecast.com/pmd/US20180312549","PMD")</f>
        <v>0.0</v>
      </c>
      <c r="L2693" s="2" t="n">
        <f>HYPERLINK("https://globaldossier.uspto.gov/result/application/US/16031951/1","US20180312549")</f>
        <v>0.0</v>
      </c>
      <c r="M2693" t="s">
        <v>18149</v>
      </c>
      <c r="N2693" t="s">
        <v>145</v>
      </c>
      <c r="O2693" t="s">
        <v>146</v>
      </c>
      <c r="P2693" t="s">
        <v>17635</v>
      </c>
      <c r="Q2693" s="3" t="n">
        <v>43291.0</v>
      </c>
      <c r="R2693" s="3" t="n">
        <v>43405.0</v>
      </c>
      <c r="S2693" s="3" t="n">
        <v>43935.704047824074</v>
      </c>
      <c r="T2693" s="3" t="n">
        <v>43958.41369523148</v>
      </c>
      <c r="U2693" t="s">
        <v>18150</v>
      </c>
      <c r="V2693" t="s">
        <v>17637</v>
      </c>
    </row>
    <row r="2694">
      <c r="A2694" t="s">
        <v>22</v>
      </c>
      <c r="B2694" t="s">
        <v>18151</v>
      </c>
      <c r="C2694" t="s">
        <v>132</v>
      </c>
      <c r="D2694" t="s">
        <v>1265</v>
      </c>
      <c r="E2694" t="s">
        <v>18152</v>
      </c>
      <c r="F2694" s="2" t="n">
        <f>HYPERLINK("https://patents.google.com/patent/US20180311336","Google")</f>
        <v>0.0</v>
      </c>
      <c r="G2694" s="2" t="n">
        <f>HYPERLINK("https://patentcenter.uspto.gov/applications/15767609","Patent Center")</f>
        <v>0.0</v>
      </c>
      <c r="H2694" s="2" t="n">
        <f>HYPERLINK("https://worldwide.espacenet.com/patent/search?q=US20180311336","Espacenet")</f>
        <v>0.0</v>
      </c>
      <c r="I2694" s="2" t="n">
        <f>HYPERLINK("https://ppubs.uspto.gov/pubwebapp/external.html?q=20180311336.pn.","USPTO")</f>
        <v>0.0</v>
      </c>
      <c r="J2694" s="2" t="n">
        <f>HYPERLINK("https://image-ppubs.uspto.gov/dirsearch-public/print/downloadPdf/20180311336","USPTO PDF")</f>
        <v>0.0</v>
      </c>
      <c r="K2694" s="2" t="n">
        <f>HYPERLINK("https://sectors.patentforecast.com/pmd/US20180311336","PMD")</f>
        <v>0.0</v>
      </c>
      <c r="L2694" s="2" t="n">
        <f>HYPERLINK("https://globaldossier.uspto.gov/result/application/US/15767609/1","US20180311336")</f>
        <v>0.0</v>
      </c>
      <c r="M2694" t="s">
        <v>18153</v>
      </c>
      <c r="N2694" t="s">
        <v>145</v>
      </c>
      <c r="O2694" t="s">
        <v>146</v>
      </c>
      <c r="P2694" t="s">
        <v>18154</v>
      </c>
      <c r="Q2694" s="3" t="n">
        <v>42664.0</v>
      </c>
      <c r="R2694" s="3" t="n">
        <v>43405.0</v>
      </c>
      <c r="S2694" s="3" t="n">
        <v>43909.45392584491</v>
      </c>
      <c r="T2694" s="3" t="n">
        <v>43909.469545023145</v>
      </c>
      <c r="U2694" t="s">
        <v>18155</v>
      </c>
      <c r="V2694" t="s">
        <v>18156</v>
      </c>
    </row>
    <row r="2695">
      <c r="A2695" t="s">
        <v>22</v>
      </c>
      <c r="B2695" t="s">
        <v>18157</v>
      </c>
      <c r="C2695" t="s">
        <v>60</v>
      </c>
      <c r="D2695" t="s">
        <v>61</v>
      </c>
      <c r="E2695" t="s">
        <v>17474</v>
      </c>
      <c r="F2695" s="2" t="n">
        <f>HYPERLINK("https://patents.google.com/patent/US20180311263","Google")</f>
        <v>0.0</v>
      </c>
      <c r="G2695" s="2" t="n">
        <f>HYPERLINK("https://patentcenter.uspto.gov/applications/15902690","Patent Center")</f>
        <v>0.0</v>
      </c>
      <c r="H2695" s="2" t="n">
        <f>HYPERLINK("https://worldwide.espacenet.com/patent/search?q=US20180311263","Espacenet")</f>
        <v>0.0</v>
      </c>
      <c r="I2695" s="2" t="n">
        <f>HYPERLINK("https://ppubs.uspto.gov/pubwebapp/external.html?q=20180311263.pn.","USPTO")</f>
        <v>0.0</v>
      </c>
      <c r="J2695" s="2" t="n">
        <f>HYPERLINK("https://image-ppubs.uspto.gov/dirsearch-public/print/downloadPdf/20180311263","USPTO PDF")</f>
        <v>0.0</v>
      </c>
      <c r="K2695" s="2" t="n">
        <f>HYPERLINK("https://sectors.patentforecast.com/pmd/US20180311263","PMD")</f>
        <v>0.0</v>
      </c>
      <c r="L2695" s="2" t="n">
        <f>HYPERLINK("https://globaldossier.uspto.gov/result/application/US/15902690/1","US20180311263")</f>
        <v>0.0</v>
      </c>
      <c r="M2695" t="s">
        <v>18158</v>
      </c>
      <c r="N2695" t="s">
        <v>664</v>
      </c>
      <c r="O2695" t="s">
        <v>665</v>
      </c>
      <c r="P2695" t="s">
        <v>18159</v>
      </c>
      <c r="Q2695" s="3" t="n">
        <v>43153.0</v>
      </c>
      <c r="R2695" s="3" t="n">
        <v>43405.0</v>
      </c>
      <c r="S2695" s="3" t="n">
        <v>43952.46395268518</v>
      </c>
      <c r="T2695" s="3" t="n">
        <v>44638.65643378472</v>
      </c>
      <c r="U2695" t="s">
        <v>18160</v>
      </c>
      <c r="V2695" t="s">
        <v>17478</v>
      </c>
    </row>
    <row r="2696">
      <c r="A2696" t="s">
        <v>22</v>
      </c>
      <c r="B2696" t="s">
        <v>18161</v>
      </c>
      <c r="C2696" t="s">
        <v>24</v>
      </c>
      <c r="D2696" t="s">
        <v>25</v>
      </c>
      <c r="E2696" t="s">
        <v>18162</v>
      </c>
      <c r="F2696" s="2" t="n">
        <f>HYPERLINK("https://patents.google.com/patent/US20180310890","Google")</f>
        <v>0.0</v>
      </c>
      <c r="G2696" s="2" t="n">
        <f>HYPERLINK("https://patentcenter.uspto.gov/applications/15947641","Patent Center")</f>
        <v>0.0</v>
      </c>
      <c r="H2696" s="2" t="n">
        <f>HYPERLINK("https://worldwide.espacenet.com/patent/search?q=US20180310890","Espacenet")</f>
        <v>0.0</v>
      </c>
      <c r="I2696" s="2" t="n">
        <f>HYPERLINK("https://ppubs.uspto.gov/pubwebapp/external.html?q=20180310890.pn.","USPTO")</f>
        <v>0.0</v>
      </c>
      <c r="J2696" s="2" t="n">
        <f>HYPERLINK("https://image-ppubs.uspto.gov/dirsearch-public/print/downloadPdf/20180310890","USPTO PDF")</f>
        <v>0.0</v>
      </c>
      <c r="K2696" s="2" t="n">
        <f>HYPERLINK("https://sectors.patentforecast.com/pmd/US20180310890","PMD")</f>
        <v>0.0</v>
      </c>
      <c r="L2696" s="2" t="n">
        <f>HYPERLINK("https://globaldossier.uspto.gov/result/application/US/15947641/1","US20180310890")</f>
        <v>0.0</v>
      </c>
      <c r="M2696" t="s">
        <v>18163</v>
      </c>
      <c r="N2696" t="s">
        <v>18164</v>
      </c>
      <c r="O2696" t="s">
        <v>18165</v>
      </c>
      <c r="P2696" t="s">
        <v>18166</v>
      </c>
      <c r="Q2696" s="3" t="n">
        <v>43196.0</v>
      </c>
      <c r="R2696" s="3" t="n">
        <v>43405.0</v>
      </c>
      <c r="S2696" s="3" t="n">
        <v>43906.37277822917</v>
      </c>
      <c r="T2696" s="3" t="n">
        <v>43950.60713842593</v>
      </c>
      <c r="U2696" t="s">
        <v>18167</v>
      </c>
      <c r="V2696" t="s">
        <v>18168</v>
      </c>
    </row>
    <row r="2697">
      <c r="A2697" t="s">
        <v>22</v>
      </c>
      <c r="B2697" t="s">
        <v>18169</v>
      </c>
      <c r="C2697" t="s">
        <v>24</v>
      </c>
      <c r="D2697" t="s">
        <v>25</v>
      </c>
      <c r="E2697" t="s">
        <v>3619</v>
      </c>
      <c r="F2697" s="2" t="n">
        <f>HYPERLINK("https://patents.google.com/patent/US20180308585","Google")</f>
        <v>0.0</v>
      </c>
      <c r="G2697" s="2" t="n">
        <f>HYPERLINK("https://patentcenter.uspto.gov/applications/15952957","Patent Center")</f>
        <v>0.0</v>
      </c>
      <c r="H2697" s="2" t="n">
        <f>HYPERLINK("https://worldwide.espacenet.com/patent/search?q=US20180308585","Espacenet")</f>
        <v>0.0</v>
      </c>
      <c r="I2697" s="2" t="n">
        <f>HYPERLINK("https://ppubs.uspto.gov/pubwebapp/external.html?q=20180308585.pn.","USPTO")</f>
        <v>0.0</v>
      </c>
      <c r="J2697" s="2" t="n">
        <f>HYPERLINK("https://image-ppubs.uspto.gov/dirsearch-public/print/downloadPdf/20180308585","USPTO PDF")</f>
        <v>0.0</v>
      </c>
      <c r="K2697" s="2" t="n">
        <f>HYPERLINK("https://sectors.patentforecast.com/pmd/US20180308585","PMD")</f>
        <v>0.0</v>
      </c>
      <c r="L2697" s="2" t="n">
        <f>HYPERLINK("https://globaldossier.uspto.gov/result/application/US/15952957/1","US20180308585")</f>
        <v>0.0</v>
      </c>
      <c r="M2697" t="s">
        <v>18170</v>
      </c>
      <c r="N2697" t="s">
        <v>3621</v>
      </c>
      <c r="O2697" t="s">
        <v>3622</v>
      </c>
      <c r="P2697" t="s">
        <v>18171</v>
      </c>
      <c r="Q2697" s="3" t="n">
        <v>43203.0</v>
      </c>
      <c r="R2697" s="3" t="n">
        <v>43398.0</v>
      </c>
      <c r="S2697" s="3" t="n">
        <v>43906.37277822917</v>
      </c>
      <c r="T2697" s="3" t="n">
        <v>43958.40972224537</v>
      </c>
      <c r="U2697" t="s">
        <v>18172</v>
      </c>
      <c r="V2697" t="s">
        <v>18022</v>
      </c>
    </row>
    <row r="2698">
      <c r="A2698" t="s">
        <v>22</v>
      </c>
      <c r="B2698" t="s">
        <v>18173</v>
      </c>
      <c r="C2698" t="s">
        <v>132</v>
      </c>
      <c r="D2698" t="s">
        <v>2629</v>
      </c>
      <c r="E2698" t="s">
        <v>18174</v>
      </c>
      <c r="F2698" s="2" t="n">
        <f>HYPERLINK("https://patents.google.com/patent/US20180303929","Google")</f>
        <v>0.0</v>
      </c>
      <c r="G2698" s="2" t="n">
        <f>HYPERLINK("https://patentcenter.uspto.gov/applications/15767618","Patent Center")</f>
        <v>0.0</v>
      </c>
      <c r="H2698" s="2" t="n">
        <f>HYPERLINK("https://worldwide.espacenet.com/patent/search?q=US20180303929","Espacenet")</f>
        <v>0.0</v>
      </c>
      <c r="I2698" s="2" t="n">
        <f>HYPERLINK("https://ppubs.uspto.gov/pubwebapp/external.html?q=20180303929.pn.","USPTO")</f>
        <v>0.0</v>
      </c>
      <c r="J2698" s="2" t="n">
        <f>HYPERLINK("https://image-ppubs.uspto.gov/dirsearch-public/print/downloadPdf/20180303929","USPTO PDF")</f>
        <v>0.0</v>
      </c>
      <c r="K2698" s="2" t="n">
        <f>HYPERLINK("https://sectors.patentforecast.com/pmd/US20180303929","PMD")</f>
        <v>0.0</v>
      </c>
      <c r="L2698" s="2" t="n">
        <f>HYPERLINK("https://globaldossier.uspto.gov/result/application/US/15767618/1","US20180303929")</f>
        <v>0.0</v>
      </c>
      <c r="M2698" t="s">
        <v>18175</v>
      </c>
      <c r="N2698" t="s">
        <v>145</v>
      </c>
      <c r="O2698" t="s">
        <v>146</v>
      </c>
      <c r="P2698" t="s">
        <v>18176</v>
      </c>
      <c r="Q2698" s="3" t="n">
        <v>42664.0</v>
      </c>
      <c r="R2698" s="3" t="n">
        <v>43398.0</v>
      </c>
      <c r="S2698" s="3" t="n">
        <v>43909.45392584491</v>
      </c>
      <c r="T2698" s="3" t="n">
        <v>43950.49593056713</v>
      </c>
      <c r="U2698" t="s">
        <v>18177</v>
      </c>
      <c r="V2698" t="s">
        <v>18178</v>
      </c>
    </row>
    <row r="2699">
      <c r="A2699" t="s">
        <v>22</v>
      </c>
      <c r="B2699" t="s">
        <v>18179</v>
      </c>
      <c r="C2699" t="s">
        <v>24</v>
      </c>
      <c r="D2699" t="s">
        <v>34</v>
      </c>
      <c r="E2699" t="s">
        <v>18180</v>
      </c>
      <c r="F2699" s="2" t="n">
        <f>HYPERLINK("https://patents.google.com/patent/US20180301228","Google")</f>
        <v>0.0</v>
      </c>
      <c r="G2699" s="2" t="n">
        <f>HYPERLINK("https://patentcenter.uspto.gov/applications/16010215","Patent Center")</f>
        <v>0.0</v>
      </c>
      <c r="H2699" s="2" t="n">
        <f>HYPERLINK("https://worldwide.espacenet.com/patent/search?q=US20180301228","Espacenet")</f>
        <v>0.0</v>
      </c>
      <c r="I2699" s="2" t="n">
        <f>HYPERLINK("https://ppubs.uspto.gov/pubwebapp/external.html?q=20180301228.pn.","USPTO")</f>
        <v>0.0</v>
      </c>
      <c r="J2699" s="2" t="n">
        <f>HYPERLINK("https://image-ppubs.uspto.gov/dirsearch-public/print/downloadPdf/20180301228","USPTO PDF")</f>
        <v>0.0</v>
      </c>
      <c r="K2699" s="2" t="n">
        <f>HYPERLINK("https://sectors.patentforecast.com/pmd/US20180301228","PMD")</f>
        <v>0.0</v>
      </c>
      <c r="L2699" s="2" t="n">
        <f>HYPERLINK("https://globaldossier.uspto.gov/result/application/US/16010215/1","US20180301228")</f>
        <v>0.0</v>
      </c>
      <c r="M2699" t="s">
        <v>18181</v>
      </c>
      <c r="N2699" t="s">
        <v>11982</v>
      </c>
      <c r="O2699" t="s">
        <v>11982</v>
      </c>
      <c r="P2699" t="s">
        <v>18182</v>
      </c>
      <c r="Q2699" s="3" t="n">
        <v>43266.0</v>
      </c>
      <c r="R2699" s="3" t="n">
        <v>43391.0</v>
      </c>
      <c r="S2699" s="3" t="n">
        <v>43906.37277822917</v>
      </c>
      <c r="T2699" s="3" t="n">
        <v>44643.3852433912</v>
      </c>
      <c r="U2699" t="s">
        <v>18183</v>
      </c>
      <c r="V2699" t="s">
        <v>18184</v>
      </c>
    </row>
    <row r="2700">
      <c r="A2700" t="s">
        <v>22</v>
      </c>
      <c r="B2700" t="s">
        <v>18185</v>
      </c>
      <c r="C2700" t="s">
        <v>60</v>
      </c>
      <c r="D2700" t="s">
        <v>61</v>
      </c>
      <c r="E2700" t="s">
        <v>18186</v>
      </c>
      <c r="F2700" s="2" t="n">
        <f>HYPERLINK("https://patents.google.com/patent/US20180298011","Google")</f>
        <v>0.0</v>
      </c>
      <c r="G2700" s="2" t="n">
        <f>HYPERLINK("https://patentcenter.uspto.gov/applications/15923726","Patent Center")</f>
        <v>0.0</v>
      </c>
      <c r="H2700" s="2" t="n">
        <f>HYPERLINK("https://worldwide.espacenet.com/patent/search?q=US20180298011","Espacenet")</f>
        <v>0.0</v>
      </c>
      <c r="I2700" s="2" t="n">
        <f>HYPERLINK("https://ppubs.uspto.gov/pubwebapp/external.html?q=20180298011.pn.","USPTO")</f>
        <v>0.0</v>
      </c>
      <c r="J2700" s="2" t="n">
        <f>HYPERLINK("https://image-ppubs.uspto.gov/dirsearch-public/print/downloadPdf/20180298011","USPTO PDF")</f>
        <v>0.0</v>
      </c>
      <c r="K2700" s="2" t="n">
        <f>HYPERLINK("https://sectors.patentforecast.com/pmd/US20180298011","PMD")</f>
        <v>0.0</v>
      </c>
      <c r="L2700" s="2" t="n">
        <f>HYPERLINK("https://globaldossier.uspto.gov/result/application/US/15923726/1","US20180298011")</f>
        <v>0.0</v>
      </c>
      <c r="M2700" t="s">
        <v>18187</v>
      </c>
      <c r="N2700" t="s">
        <v>664</v>
      </c>
      <c r="O2700" t="s">
        <v>665</v>
      </c>
      <c r="P2700" t="s">
        <v>18188</v>
      </c>
      <c r="Q2700" s="3" t="n">
        <v>43175.0</v>
      </c>
      <c r="R2700" s="3" t="n">
        <v>43391.0</v>
      </c>
      <c r="S2700" s="3" t="n">
        <v>43952.46395268518</v>
      </c>
      <c r="T2700" s="3" t="n">
        <v>44638.65271974537</v>
      </c>
      <c r="U2700" t="s">
        <v>18189</v>
      </c>
      <c r="V2700" t="s">
        <v>18190</v>
      </c>
    </row>
    <row r="2701">
      <c r="A2701" t="s">
        <v>22</v>
      </c>
      <c r="B2701" t="s">
        <v>18191</v>
      </c>
      <c r="C2701" t="s">
        <v>132</v>
      </c>
      <c r="D2701" t="s">
        <v>142</v>
      </c>
      <c r="E2701" t="s">
        <v>17736</v>
      </c>
      <c r="F2701" s="2" t="n">
        <f>HYPERLINK("https://patents.google.com/patent/US20180296702","Google")</f>
        <v>0.0</v>
      </c>
      <c r="G2701" s="2" t="n">
        <f>HYPERLINK("https://patentcenter.uspto.gov/applications/15509258","Patent Center")</f>
        <v>0.0</v>
      </c>
      <c r="H2701" s="2" t="n">
        <f>HYPERLINK("https://worldwide.espacenet.com/patent/search?q=US20180296702","Espacenet")</f>
        <v>0.0</v>
      </c>
      <c r="I2701" s="2" t="n">
        <f>HYPERLINK("https://ppubs.uspto.gov/pubwebapp/external.html?q=20180296702.pn.","USPTO")</f>
        <v>0.0</v>
      </c>
      <c r="J2701" s="2" t="n">
        <f>HYPERLINK("https://image-ppubs.uspto.gov/dirsearch-public/print/downloadPdf/20180296702","USPTO PDF")</f>
        <v>0.0</v>
      </c>
      <c r="K2701" s="2" t="n">
        <f>HYPERLINK("https://sectors.patentforecast.com/pmd/US20180296702","PMD")</f>
        <v>0.0</v>
      </c>
      <c r="L2701" s="2" t="n">
        <f>HYPERLINK("https://globaldossier.uspto.gov/result/application/US/15509258/1","US20180296702")</f>
        <v>0.0</v>
      </c>
      <c r="M2701" t="s">
        <v>17737</v>
      </c>
      <c r="N2701" t="s">
        <v>17738</v>
      </c>
      <c r="O2701" t="s">
        <v>17738</v>
      </c>
      <c r="P2701" t="s">
        <v>18192</v>
      </c>
      <c r="Q2701" s="3" t="n">
        <v>42255.0</v>
      </c>
      <c r="R2701" s="3" t="n">
        <v>43391.0</v>
      </c>
      <c r="S2701" s="3" t="n">
        <v>43935.704047824074</v>
      </c>
      <c r="T2701" s="3" t="n">
        <v>43950.47006921296</v>
      </c>
      <c r="U2701" t="s">
        <v>18193</v>
      </c>
      <c r="V2701" t="s">
        <v>17741</v>
      </c>
    </row>
    <row r="2702">
      <c r="A2702" t="s">
        <v>22</v>
      </c>
      <c r="B2702" t="s">
        <v>18194</v>
      </c>
      <c r="C2702" t="s">
        <v>60</v>
      </c>
      <c r="D2702" t="s">
        <v>61</v>
      </c>
      <c r="E2702" t="s">
        <v>16067</v>
      </c>
      <c r="F2702" s="2" t="n">
        <f>HYPERLINK("https://patents.google.com/patent/US20180296584","Google")</f>
        <v>0.0</v>
      </c>
      <c r="G2702" s="2" t="n">
        <f>HYPERLINK("https://patentcenter.uspto.gov/applications/15919750","Patent Center")</f>
        <v>0.0</v>
      </c>
      <c r="H2702" s="2" t="n">
        <f>HYPERLINK("https://worldwide.espacenet.com/patent/search?q=US20180296584","Espacenet")</f>
        <v>0.0</v>
      </c>
      <c r="I2702" s="2" t="n">
        <f>HYPERLINK("https://ppubs.uspto.gov/pubwebapp/external.html?q=20180296584.pn.","USPTO")</f>
        <v>0.0</v>
      </c>
      <c r="J2702" s="2" t="n">
        <f>HYPERLINK("https://image-ppubs.uspto.gov/dirsearch-public/print/downloadPdf/20180296584","USPTO PDF")</f>
        <v>0.0</v>
      </c>
      <c r="K2702" s="2" t="n">
        <f>HYPERLINK("https://sectors.patentforecast.com/pmd/US20180296584","PMD")</f>
        <v>0.0</v>
      </c>
      <c r="L2702" s="2" t="n">
        <f>HYPERLINK("https://globaldossier.uspto.gov/result/application/US/15919750/1","US20180296584")</f>
        <v>0.0</v>
      </c>
      <c r="M2702" t="s">
        <v>18195</v>
      </c>
      <c r="N2702" t="s">
        <v>2354</v>
      </c>
      <c r="O2702" t="s">
        <v>2355</v>
      </c>
      <c r="P2702" t="s">
        <v>18196</v>
      </c>
      <c r="Q2702" s="3" t="n">
        <v>43172.0</v>
      </c>
      <c r="R2702" s="3" t="n">
        <v>43391.0</v>
      </c>
      <c r="S2702" s="3" t="n">
        <v>43950.648291516205</v>
      </c>
      <c r="T2702" s="3" t="n">
        <v>43950.648568958335</v>
      </c>
      <c r="U2702" t="s">
        <v>18197</v>
      </c>
      <c r="V2702" t="s">
        <v>18198</v>
      </c>
    </row>
    <row r="2703">
      <c r="A2703" t="s">
        <v>22</v>
      </c>
      <c r="B2703" t="s">
        <v>18199</v>
      </c>
      <c r="C2703" t="s">
        <v>60</v>
      </c>
      <c r="D2703" t="s">
        <v>61</v>
      </c>
      <c r="E2703" t="s">
        <v>17846</v>
      </c>
      <c r="F2703" s="2" t="n">
        <f>HYPERLINK("https://patents.google.com/patent/US20180296511","Google")</f>
        <v>0.0</v>
      </c>
      <c r="G2703" s="2" t="n">
        <f>HYPERLINK("https://patentcenter.uspto.gov/applications/16012036","Patent Center")</f>
        <v>0.0</v>
      </c>
      <c r="H2703" s="2" t="n">
        <f>HYPERLINK("https://worldwide.espacenet.com/patent/search?q=US20180296511","Espacenet")</f>
        <v>0.0</v>
      </c>
      <c r="I2703" s="2" t="n">
        <f>HYPERLINK("https://ppubs.uspto.gov/pubwebapp/external.html?q=20180296511.pn.","USPTO")</f>
        <v>0.0</v>
      </c>
      <c r="J2703" s="2" t="n">
        <f>HYPERLINK("https://image-ppubs.uspto.gov/dirsearch-public/print/downloadPdf/20180296511","USPTO PDF")</f>
        <v>0.0</v>
      </c>
      <c r="K2703" s="2" t="n">
        <f>HYPERLINK("https://sectors.patentforecast.com/pmd/US20180296511","PMD")</f>
        <v>0.0</v>
      </c>
      <c r="L2703" s="2" t="n">
        <f>HYPERLINK("https://globaldossier.uspto.gov/result/application/US/16012036/1","US20180296511")</f>
        <v>0.0</v>
      </c>
      <c r="M2703" t="s">
        <v>18200</v>
      </c>
      <c r="N2703" t="s">
        <v>18201</v>
      </c>
      <c r="O2703" t="s">
        <v>18202</v>
      </c>
      <c r="P2703" t="s">
        <v>18203</v>
      </c>
      <c r="Q2703" s="3" t="n">
        <v>43270.0</v>
      </c>
      <c r="R2703" s="3" t="n">
        <v>43391.0</v>
      </c>
      <c r="S2703" s="3" t="n">
        <v>43929.461070046294</v>
      </c>
      <c r="T2703" s="3" t="n">
        <v>43986.469985682874</v>
      </c>
      <c r="U2703" t="s">
        <v>18204</v>
      </c>
      <c r="V2703" t="s">
        <v>17852</v>
      </c>
    </row>
    <row r="2704">
      <c r="A2704" t="s">
        <v>22</v>
      </c>
      <c r="B2704" t="s">
        <v>18205</v>
      </c>
      <c r="C2704" t="s">
        <v>24</v>
      </c>
      <c r="D2704" t="s">
        <v>25</v>
      </c>
      <c r="E2704" t="s">
        <v>18206</v>
      </c>
      <c r="F2704" s="2" t="n">
        <f>HYPERLINK("https://patents.google.com/patent/US20180291473","Google")</f>
        <v>0.0</v>
      </c>
      <c r="G2704" s="2" t="n">
        <f>HYPERLINK("https://patentcenter.uspto.gov/applications/15567612","Patent Center")</f>
        <v>0.0</v>
      </c>
      <c r="H2704" s="2" t="n">
        <f>HYPERLINK("https://worldwide.espacenet.com/patent/search?q=US20180291473","Espacenet")</f>
        <v>0.0</v>
      </c>
      <c r="I2704" s="2" t="n">
        <f>HYPERLINK("https://ppubs.uspto.gov/pubwebapp/external.html?q=20180291473.pn.","USPTO")</f>
        <v>0.0</v>
      </c>
      <c r="J2704" s="2" t="n">
        <f>HYPERLINK("https://image-ppubs.uspto.gov/dirsearch-public/print/downloadPdf/20180291473","USPTO PDF")</f>
        <v>0.0</v>
      </c>
      <c r="K2704" s="2" t="n">
        <f>HYPERLINK("https://sectors.patentforecast.com/pmd/US20180291473","PMD")</f>
        <v>0.0</v>
      </c>
      <c r="L2704" s="2" t="n">
        <f>HYPERLINK("https://globaldossier.uspto.gov/result/application/US/15567612/1","US20180291473")</f>
        <v>0.0</v>
      </c>
      <c r="M2704" t="s">
        <v>18207</v>
      </c>
      <c r="N2704" t="s">
        <v>18208</v>
      </c>
      <c r="O2704" t="s">
        <v>18208</v>
      </c>
      <c r="P2704" t="s">
        <v>18209</v>
      </c>
      <c r="Q2704" s="3" t="n">
        <v>42844.0</v>
      </c>
      <c r="R2704" s="3" t="n">
        <v>43384.0</v>
      </c>
      <c r="S2704" s="3" t="n">
        <v>43900.43726237269</v>
      </c>
      <c r="T2704" s="3" t="n">
        <v>43901.72156532407</v>
      </c>
      <c r="U2704" t="s">
        <v>18210</v>
      </c>
      <c r="V2704" t="s">
        <v>18211</v>
      </c>
    </row>
    <row r="2705">
      <c r="A2705" t="s">
        <v>22</v>
      </c>
      <c r="B2705" t="s">
        <v>18212</v>
      </c>
      <c r="C2705" t="s">
        <v>60</v>
      </c>
      <c r="D2705" t="s">
        <v>4942</v>
      </c>
      <c r="E2705" t="s">
        <v>16103</v>
      </c>
      <c r="F2705" s="2" t="n">
        <f>HYPERLINK("https://patents.google.com/patent/US20180289648","Google")</f>
        <v>0.0</v>
      </c>
      <c r="G2705" s="2" t="n">
        <f>HYPERLINK("https://patentcenter.uspto.gov/applications/16000792","Patent Center")</f>
        <v>0.0</v>
      </c>
      <c r="H2705" s="2" t="n">
        <f>HYPERLINK("https://worldwide.espacenet.com/patent/search?q=US20180289648","Espacenet")</f>
        <v>0.0</v>
      </c>
      <c r="I2705" s="2" t="n">
        <f>HYPERLINK("https://ppubs.uspto.gov/pubwebapp/external.html?q=20180289648.pn.","USPTO")</f>
        <v>0.0</v>
      </c>
      <c r="J2705" s="2" t="n">
        <f>HYPERLINK("https://image-ppubs.uspto.gov/dirsearch-public/print/downloadPdf/20180289648","USPTO PDF")</f>
        <v>0.0</v>
      </c>
      <c r="K2705" s="2" t="n">
        <f>HYPERLINK("https://sectors.patentforecast.com/pmd/US20180289648","PMD")</f>
        <v>0.0</v>
      </c>
      <c r="L2705" s="2" t="n">
        <f>HYPERLINK("https://globaldossier.uspto.gov/result/application/US/16000792/1","US20180289648")</f>
        <v>0.0</v>
      </c>
      <c r="M2705" t="s">
        <v>18213</v>
      </c>
      <c r="N2705" t="s">
        <v>16105</v>
      </c>
      <c r="O2705" t="s">
        <v>16106</v>
      </c>
      <c r="P2705" t="s">
        <v>18214</v>
      </c>
      <c r="Q2705" s="3" t="n">
        <v>43256.0</v>
      </c>
      <c r="R2705" s="3" t="n">
        <v>43384.0</v>
      </c>
      <c r="S2705" s="3" t="n">
        <v>43900.43726237269</v>
      </c>
      <c r="T2705" s="3" t="n">
        <v>43901.7215653588</v>
      </c>
      <c r="U2705" t="s">
        <v>18215</v>
      </c>
      <c r="V2705" t="s">
        <v>16109</v>
      </c>
    </row>
    <row r="2706">
      <c r="A2706" t="s">
        <v>22</v>
      </c>
      <c r="B2706" t="s">
        <v>18216</v>
      </c>
      <c r="C2706" t="s">
        <v>132</v>
      </c>
      <c r="D2706" t="s">
        <v>18217</v>
      </c>
      <c r="E2706" t="s">
        <v>18218</v>
      </c>
      <c r="F2706" s="2" t="n">
        <f>HYPERLINK("https://patents.google.com/patent/US20180282704","Google")</f>
        <v>0.0</v>
      </c>
      <c r="G2706" s="2" t="n">
        <f>HYPERLINK("https://patentcenter.uspto.gov/applications/15763695","Patent Center")</f>
        <v>0.0</v>
      </c>
      <c r="H2706" s="2" t="n">
        <f>HYPERLINK("https://worldwide.espacenet.com/patent/search?q=US20180282704","Espacenet")</f>
        <v>0.0</v>
      </c>
      <c r="I2706" s="2" t="n">
        <f>HYPERLINK("https://ppubs.uspto.gov/pubwebapp/external.html?q=20180282704.pn.","USPTO")</f>
        <v>0.0</v>
      </c>
      <c r="J2706" s="2" t="n">
        <f>HYPERLINK("https://image-ppubs.uspto.gov/dirsearch-public/print/downloadPdf/20180282704","USPTO PDF")</f>
        <v>0.0</v>
      </c>
      <c r="K2706" s="2" t="n">
        <f>HYPERLINK("https://sectors.patentforecast.com/pmd/US20180282704","PMD")</f>
        <v>0.0</v>
      </c>
      <c r="L2706" s="2" t="n">
        <f>HYPERLINK("https://globaldossier.uspto.gov/result/application/US/15763695/1","US20180282704")</f>
        <v>0.0</v>
      </c>
      <c r="M2706" t="s">
        <v>18219</v>
      </c>
      <c r="N2706" t="s">
        <v>18220</v>
      </c>
      <c r="O2706" t="s">
        <v>18221</v>
      </c>
      <c r="P2706" t="s">
        <v>18222</v>
      </c>
      <c r="Q2706" s="3" t="n">
        <v>42646.0</v>
      </c>
      <c r="R2706" s="3" t="n">
        <v>43377.0</v>
      </c>
      <c r="S2706" s="3" t="n">
        <v>43929.461070046294</v>
      </c>
      <c r="T2706" s="3" t="n">
        <v>43986.46224247685</v>
      </c>
      <c r="U2706" t="s">
        <v>18223</v>
      </c>
      <c r="V2706" t="s">
        <v>18224</v>
      </c>
    </row>
    <row r="2707">
      <c r="A2707" t="s">
        <v>22</v>
      </c>
      <c r="B2707" t="s">
        <v>18225</v>
      </c>
      <c r="C2707" t="s">
        <v>60</v>
      </c>
      <c r="D2707" t="s">
        <v>61</v>
      </c>
      <c r="E2707" t="s">
        <v>18226</v>
      </c>
      <c r="F2707" s="2" t="n">
        <f>HYPERLINK("https://patents.google.com/patent/US20180263985","Google")</f>
        <v>0.0</v>
      </c>
      <c r="G2707" s="2" t="n">
        <f>HYPERLINK("https://patentcenter.uspto.gov/applications/15759177","Patent Center")</f>
        <v>0.0</v>
      </c>
      <c r="H2707" s="2" t="n">
        <f>HYPERLINK("https://worldwide.espacenet.com/patent/search?q=US20180263985","Espacenet")</f>
        <v>0.0</v>
      </c>
      <c r="I2707" s="2" t="n">
        <f>HYPERLINK("https://ppubs.uspto.gov/pubwebapp/external.html?q=20180263985.pn.","USPTO")</f>
        <v>0.0</v>
      </c>
      <c r="J2707" s="2" t="n">
        <f>HYPERLINK("https://image-ppubs.uspto.gov/dirsearch-public/print/downloadPdf/20180263985","USPTO PDF")</f>
        <v>0.0</v>
      </c>
      <c r="K2707" s="2" t="n">
        <f>HYPERLINK("https://sectors.patentforecast.com/pmd/US20180263985","PMD")</f>
        <v>0.0</v>
      </c>
      <c r="L2707" s="2" t="n">
        <f>HYPERLINK("https://globaldossier.uspto.gov/result/application/US/15759177/1","US20180263985")</f>
        <v>0.0</v>
      </c>
      <c r="M2707" t="s">
        <v>18227</v>
      </c>
      <c r="N2707" t="s">
        <v>664</v>
      </c>
      <c r="O2707" t="s">
        <v>665</v>
      </c>
      <c r="P2707" t="s">
        <v>18228</v>
      </c>
      <c r="Q2707" s="3" t="n">
        <v>42626.0</v>
      </c>
      <c r="R2707" s="3" t="n">
        <v>43363.0</v>
      </c>
      <c r="S2707" s="3" t="n">
        <v>43952.46395268518</v>
      </c>
      <c r="T2707" s="3" t="n">
        <v>44638.662781747684</v>
      </c>
      <c r="U2707" t="s">
        <v>18229</v>
      </c>
      <c r="V2707" t="s">
        <v>18230</v>
      </c>
    </row>
    <row r="2708">
      <c r="A2708" t="s">
        <v>22</v>
      </c>
      <c r="B2708" t="s">
        <v>18231</v>
      </c>
      <c r="C2708" t="s">
        <v>132</v>
      </c>
      <c r="D2708" t="s">
        <v>2629</v>
      </c>
      <c r="E2708" t="s">
        <v>18232</v>
      </c>
      <c r="F2708" s="2" t="n">
        <f>HYPERLINK("https://patents.google.com/patent/US20180258160","Google")</f>
        <v>0.0</v>
      </c>
      <c r="G2708" s="2" t="n">
        <f>HYPERLINK("https://patentcenter.uspto.gov/applications/15977432","Patent Center")</f>
        <v>0.0</v>
      </c>
      <c r="H2708" s="2" t="n">
        <f>HYPERLINK("https://worldwide.espacenet.com/patent/search?q=US20180258160","Espacenet")</f>
        <v>0.0</v>
      </c>
      <c r="I2708" s="2" t="n">
        <f>HYPERLINK("https://ppubs.uspto.gov/pubwebapp/external.html?q=20180258160.pn.","USPTO")</f>
        <v>0.0</v>
      </c>
      <c r="J2708" s="2" t="n">
        <f>HYPERLINK("https://image-ppubs.uspto.gov/dirsearch-public/print/downloadPdf/20180258160","USPTO PDF")</f>
        <v>0.0</v>
      </c>
      <c r="K2708" s="2" t="n">
        <f>HYPERLINK("https://sectors.patentforecast.com/pmd/US20180258160","PMD")</f>
        <v>0.0</v>
      </c>
      <c r="L2708" s="2" t="n">
        <f>HYPERLINK("https://globaldossier.uspto.gov/result/application/US/15977432/1","US20180258160")</f>
        <v>0.0</v>
      </c>
      <c r="M2708" t="s">
        <v>18233</v>
      </c>
      <c r="N2708" t="s">
        <v>12054</v>
      </c>
      <c r="O2708" t="s">
        <v>12055</v>
      </c>
      <c r="P2708" t="s">
        <v>18234</v>
      </c>
      <c r="Q2708" s="3" t="n">
        <v>43231.0</v>
      </c>
      <c r="R2708" s="3" t="n">
        <v>43356.0</v>
      </c>
      <c r="S2708" s="3" t="n">
        <v>43936.461661469904</v>
      </c>
      <c r="T2708" s="3" t="n">
        <v>44543.67910113426</v>
      </c>
      <c r="U2708" t="s">
        <v>18235</v>
      </c>
      <c r="V2708" t="s">
        <v>18236</v>
      </c>
    </row>
    <row r="2709">
      <c r="A2709" t="s">
        <v>22</v>
      </c>
      <c r="B2709" t="s">
        <v>18237</v>
      </c>
      <c r="C2709" t="s">
        <v>60</v>
      </c>
      <c r="D2709" t="s">
        <v>61</v>
      </c>
      <c r="E2709" t="s">
        <v>17410</v>
      </c>
      <c r="F2709" s="2" t="n">
        <f>HYPERLINK("https://patents.google.com/patent/US20180258097","Google")</f>
        <v>0.0</v>
      </c>
      <c r="G2709" s="2" t="n">
        <f>HYPERLINK("https://patentcenter.uspto.gov/applications/15888749","Patent Center")</f>
        <v>0.0</v>
      </c>
      <c r="H2709" s="2" t="n">
        <f>HYPERLINK("https://worldwide.espacenet.com/patent/search?q=US20180258097","Espacenet")</f>
        <v>0.0</v>
      </c>
      <c r="I2709" s="2" t="n">
        <f>HYPERLINK("https://ppubs.uspto.gov/pubwebapp/external.html?q=20180258097.pn.","USPTO")</f>
        <v>0.0</v>
      </c>
      <c r="J2709" s="2" t="n">
        <f>HYPERLINK("https://image-ppubs.uspto.gov/dirsearch-public/print/downloadPdf/20180258097","USPTO PDF")</f>
        <v>0.0</v>
      </c>
      <c r="K2709" s="2" t="n">
        <f>HYPERLINK("https://sectors.patentforecast.com/pmd/US20180258097","PMD")</f>
        <v>0.0</v>
      </c>
      <c r="L2709" s="2" t="n">
        <f>HYPERLINK("https://globaldossier.uspto.gov/result/application/US/15888749/1","US20180258097")</f>
        <v>0.0</v>
      </c>
      <c r="M2709" t="s">
        <v>18238</v>
      </c>
      <c r="N2709" t="s">
        <v>664</v>
      </c>
      <c r="O2709" t="s">
        <v>665</v>
      </c>
      <c r="P2709" t="s">
        <v>17412</v>
      </c>
      <c r="Q2709" s="3" t="n">
        <v>43136.0</v>
      </c>
      <c r="R2709" s="3" t="n">
        <v>43356.0</v>
      </c>
      <c r="S2709" s="3" t="n">
        <v>43952.46395268518</v>
      </c>
      <c r="T2709" s="3" t="n">
        <v>44638.662781747684</v>
      </c>
      <c r="U2709" t="s">
        <v>18239</v>
      </c>
      <c r="V2709" t="s">
        <v>18240</v>
      </c>
    </row>
    <row r="2710">
      <c r="A2710" t="s">
        <v>22</v>
      </c>
      <c r="B2710" t="s">
        <v>18241</v>
      </c>
      <c r="C2710" t="s">
        <v>24</v>
      </c>
      <c r="D2710" t="s">
        <v>34</v>
      </c>
      <c r="E2710" t="s">
        <v>18242</v>
      </c>
      <c r="F2710" s="2" t="n">
        <f>HYPERLINK("https://patents.google.com/patent/US20180256106","Google")</f>
        <v>0.0</v>
      </c>
      <c r="G2710" s="2" t="n">
        <f>HYPERLINK("https://patentcenter.uspto.gov/applications/15976518","Patent Center")</f>
        <v>0.0</v>
      </c>
      <c r="H2710" s="2" t="n">
        <f>HYPERLINK("https://worldwide.espacenet.com/patent/search?q=US20180256106","Espacenet")</f>
        <v>0.0</v>
      </c>
      <c r="I2710" s="2" t="n">
        <f>HYPERLINK("https://ppubs.uspto.gov/pubwebapp/external.html?q=20180256106.pn.","USPTO")</f>
        <v>0.0</v>
      </c>
      <c r="J2710" s="2" t="n">
        <f>HYPERLINK("https://image-ppubs.uspto.gov/dirsearch-public/print/downloadPdf/20180256106","USPTO PDF")</f>
        <v>0.0</v>
      </c>
      <c r="K2710" s="2" t="n">
        <f>HYPERLINK("https://sectors.patentforecast.com/pmd/US20180256106","PMD")</f>
        <v>0.0</v>
      </c>
      <c r="L2710" s="2" t="n">
        <f>HYPERLINK("https://globaldossier.uspto.gov/result/application/US/15976518/1","US20180256106")</f>
        <v>0.0</v>
      </c>
      <c r="M2710" t="s">
        <v>18243</v>
      </c>
      <c r="N2710" t="s">
        <v>17764</v>
      </c>
      <c r="O2710" t="s">
        <v>17765</v>
      </c>
      <c r="P2710" t="s">
        <v>18244</v>
      </c>
      <c r="Q2710" s="3" t="n">
        <v>43230.0</v>
      </c>
      <c r="R2710" s="3" t="n">
        <v>43356.0</v>
      </c>
      <c r="S2710" s="3" t="n">
        <v>44145.18834274306</v>
      </c>
      <c r="T2710" s="3" t="n">
        <v>44145.40513612269</v>
      </c>
      <c r="U2710" t="s">
        <v>18245</v>
      </c>
      <c r="V2710" t="s">
        <v>18246</v>
      </c>
    </row>
    <row r="2711">
      <c r="A2711" t="s">
        <v>22</v>
      </c>
      <c r="B2711" t="s">
        <v>18247</v>
      </c>
      <c r="C2711" t="s">
        <v>60</v>
      </c>
      <c r="D2711" t="s">
        <v>61</v>
      </c>
      <c r="E2711" t="s">
        <v>18248</v>
      </c>
      <c r="F2711" s="2" t="n">
        <f>HYPERLINK("https://patents.google.com/patent/US20180251460","Google")</f>
        <v>0.0</v>
      </c>
      <c r="G2711" s="2" t="n">
        <f>HYPERLINK("https://patentcenter.uspto.gov/applications/15885390","Patent Center")</f>
        <v>0.0</v>
      </c>
      <c r="H2711" s="2" t="n">
        <f>HYPERLINK("https://worldwide.espacenet.com/patent/search?q=US20180251460","Espacenet")</f>
        <v>0.0</v>
      </c>
      <c r="I2711" s="2" t="n">
        <f>HYPERLINK("https://ppubs.uspto.gov/pubwebapp/external.html?q=20180251460.pn.","USPTO")</f>
        <v>0.0</v>
      </c>
      <c r="J2711" s="2" t="n">
        <f>HYPERLINK("https://image-ppubs.uspto.gov/dirsearch-public/print/downloadPdf/20180251460","USPTO PDF")</f>
        <v>0.0</v>
      </c>
      <c r="K2711" s="2" t="n">
        <f>HYPERLINK("https://sectors.patentforecast.com/pmd/US20180251460","PMD")</f>
        <v>0.0</v>
      </c>
      <c r="L2711" s="2" t="n">
        <f>HYPERLINK("https://globaldossier.uspto.gov/result/application/US/15885390/1","US20180251460")</f>
        <v>0.0</v>
      </c>
      <c r="M2711" t="s">
        <v>18249</v>
      </c>
      <c r="N2711" t="s">
        <v>664</v>
      </c>
      <c r="O2711" t="s">
        <v>665</v>
      </c>
      <c r="P2711" t="s">
        <v>18250</v>
      </c>
      <c r="Q2711" s="3" t="n">
        <v>43131.0</v>
      </c>
      <c r="R2711" s="3" t="n">
        <v>43349.0</v>
      </c>
      <c r="S2711" s="3" t="n">
        <v>43952.46395268518</v>
      </c>
      <c r="T2711" s="3" t="n">
        <v>44638.65643378472</v>
      </c>
      <c r="U2711" t="s">
        <v>18251</v>
      </c>
      <c r="V2711" t="s">
        <v>18252</v>
      </c>
    </row>
    <row r="2712">
      <c r="A2712" t="s">
        <v>22</v>
      </c>
      <c r="B2712" t="s">
        <v>18253</v>
      </c>
      <c r="C2712" t="s">
        <v>132</v>
      </c>
      <c r="D2712" t="s">
        <v>1265</v>
      </c>
      <c r="E2712" t="s">
        <v>18254</v>
      </c>
      <c r="F2712" s="2" t="n">
        <f>HYPERLINK("https://patents.google.com/patent/US20180250381","Google")</f>
        <v>0.0</v>
      </c>
      <c r="G2712" s="2" t="n">
        <f>HYPERLINK("https://patentcenter.uspto.gov/applications/15730833","Patent Center")</f>
        <v>0.0</v>
      </c>
      <c r="H2712" s="2" t="n">
        <f>HYPERLINK("https://worldwide.espacenet.com/patent/search?q=US20180250381","Espacenet")</f>
        <v>0.0</v>
      </c>
      <c r="I2712" s="2" t="n">
        <f>HYPERLINK("https://ppubs.uspto.gov/pubwebapp/external.html?q=20180250381.pn.","USPTO")</f>
        <v>0.0</v>
      </c>
      <c r="J2712" s="2" t="n">
        <f>HYPERLINK("https://image-ppubs.uspto.gov/dirsearch-public/print/downloadPdf/20180250381","USPTO PDF")</f>
        <v>0.0</v>
      </c>
      <c r="K2712" s="2" t="n">
        <f>HYPERLINK("https://sectors.patentforecast.com/pmd/US20180250381","PMD")</f>
        <v>0.0</v>
      </c>
      <c r="L2712" s="2" t="n">
        <f>HYPERLINK("https://globaldossier.uspto.gov/result/application/US/15730833/1","US20180250381")</f>
        <v>0.0</v>
      </c>
      <c r="M2712" t="s">
        <v>18255</v>
      </c>
      <c r="N2712" t="s">
        <v>14996</v>
      </c>
      <c r="O2712" t="s">
        <v>14997</v>
      </c>
      <c r="P2712" t="s">
        <v>18256</v>
      </c>
      <c r="Q2712" s="3" t="n">
        <v>43020.0</v>
      </c>
      <c r="R2712" s="3" t="n">
        <v>43349.0</v>
      </c>
      <c r="S2712" s="3" t="n">
        <v>43900.43726237269</v>
      </c>
      <c r="T2712" s="3" t="n">
        <v>43901.72156496528</v>
      </c>
      <c r="U2712" t="s">
        <v>18257</v>
      </c>
      <c r="V2712" t="s">
        <v>18258</v>
      </c>
    </row>
    <row r="2713">
      <c r="A2713" t="s">
        <v>22</v>
      </c>
      <c r="B2713" t="s">
        <v>18259</v>
      </c>
      <c r="C2713" t="s">
        <v>24</v>
      </c>
      <c r="D2713" t="s">
        <v>25</v>
      </c>
      <c r="E2713" t="s">
        <v>17580</v>
      </c>
      <c r="F2713" s="2" t="n">
        <f>HYPERLINK("https://patents.google.com/patent/US20180247716","Google")</f>
        <v>0.0</v>
      </c>
      <c r="G2713" s="2" t="n">
        <f>HYPERLINK("https://patentcenter.uspto.gov/applications/15962128","Patent Center")</f>
        <v>0.0</v>
      </c>
      <c r="H2713" s="2" t="n">
        <f>HYPERLINK("https://worldwide.espacenet.com/patent/search?q=US20180247716","Espacenet")</f>
        <v>0.0</v>
      </c>
      <c r="I2713" s="2" t="n">
        <f>HYPERLINK("https://ppubs.uspto.gov/pubwebapp/external.html?q=20180247716.pn.","USPTO")</f>
        <v>0.0</v>
      </c>
      <c r="J2713" s="2" t="n">
        <f>HYPERLINK("https://image-ppubs.uspto.gov/dirsearch-public/print/downloadPdf/20180247716","USPTO PDF")</f>
        <v>0.0</v>
      </c>
      <c r="K2713" s="2" t="n">
        <f>HYPERLINK("https://sectors.patentforecast.com/pmd/US20180247716","PMD")</f>
        <v>0.0</v>
      </c>
      <c r="L2713" s="2" t="n">
        <f>HYPERLINK("https://globaldossier.uspto.gov/result/application/US/15962128/1","US20180247716")</f>
        <v>0.0</v>
      </c>
      <c r="M2713" t="s">
        <v>18260</v>
      </c>
      <c r="N2713" t="s">
        <v>17334</v>
      </c>
      <c r="O2713" t="s">
        <v>17335</v>
      </c>
      <c r="P2713" t="s">
        <v>17582</v>
      </c>
      <c r="Q2713" s="3" t="n">
        <v>43215.0</v>
      </c>
      <c r="R2713" s="3" t="n">
        <v>43342.0</v>
      </c>
      <c r="S2713" s="3" t="n">
        <v>43908.458510358796</v>
      </c>
      <c r="T2713" s="3" t="n">
        <v>43984.72531674769</v>
      </c>
      <c r="U2713" t="s">
        <v>17583</v>
      </c>
      <c r="V2713" t="s">
        <v>17584</v>
      </c>
    </row>
    <row r="2714">
      <c r="A2714" t="s">
        <v>22</v>
      </c>
      <c r="B2714" t="s">
        <v>18261</v>
      </c>
      <c r="C2714" t="s">
        <v>132</v>
      </c>
      <c r="D2714" t="s">
        <v>133</v>
      </c>
      <c r="E2714" t="s">
        <v>17528</v>
      </c>
      <c r="F2714" s="2" t="n">
        <f>HYPERLINK("https://patents.google.com/patent/US20180244756","Google")</f>
        <v>0.0</v>
      </c>
      <c r="G2714" s="2" t="n">
        <f>HYPERLINK("https://patentcenter.uspto.gov/applications/15553466","Patent Center")</f>
        <v>0.0</v>
      </c>
      <c r="H2714" s="2" t="n">
        <f>HYPERLINK("https://worldwide.espacenet.com/patent/search?q=US20180244756","Espacenet")</f>
        <v>0.0</v>
      </c>
      <c r="I2714" s="2" t="n">
        <f>HYPERLINK("https://ppubs.uspto.gov/pubwebapp/external.html?q=20180244756.pn.","USPTO")</f>
        <v>0.0</v>
      </c>
      <c r="J2714" s="2" t="n">
        <f>HYPERLINK("https://image-ppubs.uspto.gov/dirsearch-public/print/downloadPdf/20180244756","USPTO PDF")</f>
        <v>0.0</v>
      </c>
      <c r="K2714" s="2" t="n">
        <f>HYPERLINK("https://sectors.patentforecast.com/pmd/US20180244756","PMD")</f>
        <v>0.0</v>
      </c>
      <c r="L2714" s="2" t="n">
        <f>HYPERLINK("https://globaldossier.uspto.gov/result/application/US/15553466/1","US20180244756")</f>
        <v>0.0</v>
      </c>
      <c r="M2714" t="s">
        <v>18262</v>
      </c>
      <c r="N2714" t="s">
        <v>1792</v>
      </c>
      <c r="O2714" t="s">
        <v>1793</v>
      </c>
      <c r="P2714" t="s">
        <v>17530</v>
      </c>
      <c r="Q2714" s="3" t="n">
        <v>42424.0</v>
      </c>
      <c r="R2714" s="3" t="n">
        <v>43342.0</v>
      </c>
      <c r="S2714" s="3" t="n">
        <v>43935.7041706713</v>
      </c>
      <c r="T2714" s="3" t="n">
        <v>43950.46202774306</v>
      </c>
      <c r="U2714" t="s">
        <v>18263</v>
      </c>
      <c r="V2714" t="s">
        <v>17532</v>
      </c>
    </row>
    <row r="2715">
      <c r="A2715" t="s">
        <v>22</v>
      </c>
      <c r="B2715" t="s">
        <v>18264</v>
      </c>
      <c r="C2715" t="s">
        <v>60</v>
      </c>
      <c r="D2715" t="s">
        <v>61</v>
      </c>
      <c r="E2715" t="s">
        <v>16903</v>
      </c>
      <c r="F2715" s="2" t="n">
        <f>HYPERLINK("https://patents.google.com/patent/US20180244684","Google")</f>
        <v>0.0</v>
      </c>
      <c r="G2715" s="2" t="n">
        <f>HYPERLINK("https://patentcenter.uspto.gov/applications/15876909","Patent Center")</f>
        <v>0.0</v>
      </c>
      <c r="H2715" s="2" t="n">
        <f>HYPERLINK("https://worldwide.espacenet.com/patent/search?q=US20180244684","Espacenet")</f>
        <v>0.0</v>
      </c>
      <c r="I2715" s="2" t="n">
        <f>HYPERLINK("https://ppubs.uspto.gov/pubwebapp/external.html?q=20180244684.pn.","USPTO")</f>
        <v>0.0</v>
      </c>
      <c r="J2715" s="2" t="n">
        <f>HYPERLINK("https://image-ppubs.uspto.gov/dirsearch-public/print/downloadPdf/20180244684","USPTO PDF")</f>
        <v>0.0</v>
      </c>
      <c r="K2715" s="2" t="n">
        <f>HYPERLINK("https://sectors.patentforecast.com/pmd/US20180244684","PMD")</f>
        <v>0.0</v>
      </c>
      <c r="L2715" s="2" t="n">
        <f>HYPERLINK("https://globaldossier.uspto.gov/result/application/US/15876909/1","US20180244684")</f>
        <v>0.0</v>
      </c>
      <c r="M2715" t="s">
        <v>18265</v>
      </c>
      <c r="N2715" t="s">
        <v>664</v>
      </c>
      <c r="O2715" t="s">
        <v>665</v>
      </c>
      <c r="P2715" t="s">
        <v>18266</v>
      </c>
      <c r="Q2715" s="3" t="n">
        <v>43122.0</v>
      </c>
      <c r="R2715" s="3" t="n">
        <v>43342.0</v>
      </c>
      <c r="S2715" s="3" t="n">
        <v>43952.46395268518</v>
      </c>
      <c r="T2715" s="3" t="n">
        <v>44638.65271974537</v>
      </c>
      <c r="U2715" t="s">
        <v>18267</v>
      </c>
      <c r="V2715" t="s">
        <v>17072</v>
      </c>
    </row>
    <row r="2716">
      <c r="A2716" t="s">
        <v>22</v>
      </c>
      <c r="B2716" t="s">
        <v>18268</v>
      </c>
      <c r="C2716" t="s">
        <v>60</v>
      </c>
      <c r="D2716" t="s">
        <v>61</v>
      </c>
      <c r="E2716" t="s">
        <v>16903</v>
      </c>
      <c r="F2716" s="2" t="n">
        <f>HYPERLINK("https://patents.google.com/patent/US20180244683","Google")</f>
        <v>0.0</v>
      </c>
      <c r="G2716" s="2" t="n">
        <f>HYPERLINK("https://patentcenter.uspto.gov/applications/15725193","Patent Center")</f>
        <v>0.0</v>
      </c>
      <c r="H2716" s="2" t="n">
        <f>HYPERLINK("https://worldwide.espacenet.com/patent/search?q=US20180244683","Espacenet")</f>
        <v>0.0</v>
      </c>
      <c r="I2716" s="2" t="n">
        <f>HYPERLINK("https://ppubs.uspto.gov/pubwebapp/external.html?q=20180244683.pn.","USPTO")</f>
        <v>0.0</v>
      </c>
      <c r="J2716" s="2" t="n">
        <f>HYPERLINK("https://image-ppubs.uspto.gov/dirsearch-public/print/downloadPdf/20180244683","USPTO PDF")</f>
        <v>0.0</v>
      </c>
      <c r="K2716" s="2" t="n">
        <f>HYPERLINK("https://sectors.patentforecast.com/pmd/US20180244683","PMD")</f>
        <v>0.0</v>
      </c>
      <c r="L2716" s="2" t="n">
        <f>HYPERLINK("https://globaldossier.uspto.gov/result/application/US/15725193/1","US20180244683")</f>
        <v>0.0</v>
      </c>
      <c r="M2716" t="s">
        <v>18269</v>
      </c>
      <c r="N2716" t="s">
        <v>664</v>
      </c>
      <c r="O2716" t="s">
        <v>665</v>
      </c>
      <c r="P2716" t="s">
        <v>17471</v>
      </c>
      <c r="Q2716" s="3" t="n">
        <v>43012.0</v>
      </c>
      <c r="R2716" s="3" t="n">
        <v>43342.0</v>
      </c>
      <c r="S2716" s="3" t="n">
        <v>43952.46395268518</v>
      </c>
      <c r="T2716" s="3" t="n">
        <v>44638.65271974537</v>
      </c>
      <c r="U2716" t="s">
        <v>18270</v>
      </c>
      <c r="V2716" t="s">
        <v>17072</v>
      </c>
    </row>
    <row r="2717">
      <c r="A2717" t="s">
        <v>22</v>
      </c>
      <c r="B2717" t="s">
        <v>18271</v>
      </c>
      <c r="C2717" t="s">
        <v>132</v>
      </c>
      <c r="D2717" t="s">
        <v>1265</v>
      </c>
      <c r="E2717" t="s">
        <v>18272</v>
      </c>
      <c r="F2717" s="2" t="n">
        <f>HYPERLINK("https://patents.google.com/patent/US20180230201","Google")</f>
        <v>0.0</v>
      </c>
      <c r="G2717" s="2" t="n">
        <f>HYPERLINK("https://patentcenter.uspto.gov/applications/15628544","Patent Center")</f>
        <v>0.0</v>
      </c>
      <c r="H2717" s="2" t="n">
        <f>HYPERLINK("https://worldwide.espacenet.com/patent/search?q=US20180230201","Espacenet")</f>
        <v>0.0</v>
      </c>
      <c r="I2717" s="2" t="n">
        <f>HYPERLINK("https://ppubs.uspto.gov/pubwebapp/external.html?q=20180230201.pn.","USPTO")</f>
        <v>0.0</v>
      </c>
      <c r="J2717" s="2" t="n">
        <f>HYPERLINK("https://image-ppubs.uspto.gov/dirsearch-public/print/downloadPdf/20180230201","USPTO PDF")</f>
        <v>0.0</v>
      </c>
      <c r="K2717" s="2" t="n">
        <f>HYPERLINK("https://sectors.patentforecast.com/pmd/US20180230201","PMD")</f>
        <v>0.0</v>
      </c>
      <c r="L2717" s="2" t="n">
        <f>HYPERLINK("https://globaldossier.uspto.gov/result/application/US/15628544/1","US20180230201")</f>
        <v>0.0</v>
      </c>
      <c r="M2717" t="s">
        <v>18273</v>
      </c>
      <c r="N2717" t="s">
        <v>18274</v>
      </c>
      <c r="O2717" t="s">
        <v>18275</v>
      </c>
      <c r="P2717" t="s">
        <v>18276</v>
      </c>
      <c r="Q2717" s="3" t="n">
        <v>42906.0</v>
      </c>
      <c r="R2717" s="3" t="n">
        <v>43328.0</v>
      </c>
      <c r="S2717" s="3" t="n">
        <v>43957.46389167824</v>
      </c>
      <c r="T2717" s="3" t="n">
        <v>44544.499392094905</v>
      </c>
      <c r="U2717" t="s">
        <v>18277</v>
      </c>
      <c r="V2717" t="s">
        <v>18278</v>
      </c>
    </row>
    <row r="2718">
      <c r="A2718" t="s">
        <v>22</v>
      </c>
      <c r="B2718" t="s">
        <v>18279</v>
      </c>
      <c r="C2718" t="s">
        <v>132</v>
      </c>
      <c r="D2718" t="s">
        <v>1265</v>
      </c>
      <c r="E2718" t="s">
        <v>18280</v>
      </c>
      <c r="F2718" s="2" t="n">
        <f>HYPERLINK("https://patents.google.com/patent/US20180228888","Google")</f>
        <v>0.0</v>
      </c>
      <c r="G2718" s="2" t="n">
        <f>HYPERLINK("https://patentcenter.uspto.gov/applications/15580764","Patent Center")</f>
        <v>0.0</v>
      </c>
      <c r="H2718" s="2" t="n">
        <f>HYPERLINK("https://worldwide.espacenet.com/patent/search?q=US20180228888","Espacenet")</f>
        <v>0.0</v>
      </c>
      <c r="I2718" s="2" t="n">
        <f>HYPERLINK("https://ppubs.uspto.gov/pubwebapp/external.html?q=20180228888.pn.","USPTO")</f>
        <v>0.0</v>
      </c>
      <c r="J2718" s="2" t="n">
        <f>HYPERLINK("https://image-ppubs.uspto.gov/dirsearch-public/print/downloadPdf/20180228888","USPTO PDF")</f>
        <v>0.0</v>
      </c>
      <c r="K2718" s="2" t="n">
        <f>HYPERLINK("https://sectors.patentforecast.com/pmd/US20180228888","PMD")</f>
        <v>0.0</v>
      </c>
      <c r="L2718" s="2" t="n">
        <f>HYPERLINK("https://globaldossier.uspto.gov/result/application/US/15580764/1","US20180228888")</f>
        <v>0.0</v>
      </c>
      <c r="M2718" t="s">
        <v>18281</v>
      </c>
      <c r="N2718" t="s">
        <v>6864</v>
      </c>
      <c r="O2718" t="s">
        <v>6864</v>
      </c>
      <c r="P2718" t="s">
        <v>18282</v>
      </c>
      <c r="Q2718" s="3" t="n">
        <v>42531.0</v>
      </c>
      <c r="R2718" s="3" t="n">
        <v>43328.0</v>
      </c>
      <c r="S2718" s="3" t="n">
        <v>43900.437144675925</v>
      </c>
      <c r="T2718" s="3" t="n">
        <v>43901.72156409722</v>
      </c>
      <c r="U2718" t="s">
        <v>18283</v>
      </c>
      <c r="V2718" t="s">
        <v>18284</v>
      </c>
    </row>
    <row r="2719">
      <c r="A2719" t="s">
        <v>22</v>
      </c>
      <c r="B2719" t="s">
        <v>18285</v>
      </c>
      <c r="C2719" t="s">
        <v>24</v>
      </c>
      <c r="D2719" t="s">
        <v>69</v>
      </c>
      <c r="E2719" t="s">
        <v>18286</v>
      </c>
      <c r="F2719" s="2" t="n">
        <f>HYPERLINK("https://patents.google.com/patent/US20180225421","Google")</f>
        <v>0.0</v>
      </c>
      <c r="G2719" s="2" t="n">
        <f>HYPERLINK("https://patentcenter.uspto.gov/applications/15427871","Patent Center")</f>
        <v>0.0</v>
      </c>
      <c r="H2719" s="2" t="n">
        <f>HYPERLINK("https://worldwide.espacenet.com/patent/search?q=US20180225421","Espacenet")</f>
        <v>0.0</v>
      </c>
      <c r="I2719" s="2" t="n">
        <f>HYPERLINK("https://ppubs.uspto.gov/pubwebapp/external.html?q=20180225421.pn.","USPTO")</f>
        <v>0.0</v>
      </c>
      <c r="J2719" s="2" t="n">
        <f>HYPERLINK("https://image-ppubs.uspto.gov/dirsearch-public/print/downloadPdf/20180225421","USPTO PDF")</f>
        <v>0.0</v>
      </c>
      <c r="K2719" s="2" t="n">
        <f>HYPERLINK("https://sectors.patentforecast.com/pmd/US20180225421","PMD")</f>
        <v>0.0</v>
      </c>
      <c r="L2719" s="2" t="n">
        <f>HYPERLINK("https://globaldossier.uspto.gov/result/application/US/15427871/1","US20180225421")</f>
        <v>0.0</v>
      </c>
      <c r="M2719" t="s">
        <v>18287</v>
      </c>
      <c r="N2719" t="s">
        <v>947</v>
      </c>
      <c r="O2719" t="s">
        <v>948</v>
      </c>
      <c r="P2719" t="s">
        <v>18288</v>
      </c>
      <c r="Q2719" s="3" t="n">
        <v>42774.0</v>
      </c>
      <c r="R2719" s="3" t="n">
        <v>43321.0</v>
      </c>
      <c r="S2719" s="3" t="n">
        <v>44327.23013931713</v>
      </c>
      <c r="T2719" s="3" t="n">
        <v>44327.67161196759</v>
      </c>
      <c r="U2719" t="s">
        <v>18289</v>
      </c>
      <c r="V2719" t="s">
        <v>18290</v>
      </c>
    </row>
    <row r="2720">
      <c r="A2720" t="s">
        <v>22</v>
      </c>
      <c r="B2720" t="s">
        <v>18291</v>
      </c>
      <c r="C2720" t="s">
        <v>60</v>
      </c>
      <c r="D2720" t="s">
        <v>61</v>
      </c>
      <c r="E2720" t="s">
        <v>18292</v>
      </c>
      <c r="F2720" s="2" t="n">
        <f>HYPERLINK("https://patents.google.com/patent/US20180208659","Google")</f>
        <v>0.0</v>
      </c>
      <c r="G2720" s="2" t="n">
        <f>HYPERLINK("https://patentcenter.uspto.gov/applications/15744737","Patent Center")</f>
        <v>0.0</v>
      </c>
      <c r="H2720" s="2" t="n">
        <f>HYPERLINK("https://worldwide.espacenet.com/patent/search?q=US20180208659","Espacenet")</f>
        <v>0.0</v>
      </c>
      <c r="I2720" s="2" t="n">
        <f>HYPERLINK("https://ppubs.uspto.gov/pubwebapp/external.html?q=20180208659.pn.","USPTO")</f>
        <v>0.0</v>
      </c>
      <c r="J2720" s="2" t="n">
        <f>HYPERLINK("https://image-ppubs.uspto.gov/dirsearch-public/print/downloadPdf/20180208659","USPTO PDF")</f>
        <v>0.0</v>
      </c>
      <c r="K2720" s="2" t="n">
        <f>HYPERLINK("https://sectors.patentforecast.com/pmd/US20180208659","PMD")</f>
        <v>0.0</v>
      </c>
      <c r="L2720" s="2" t="n">
        <f>HYPERLINK("https://globaldossier.uspto.gov/result/application/US/15744737/1","US20180208659")</f>
        <v>0.0</v>
      </c>
      <c r="M2720" t="s">
        <v>18293</v>
      </c>
      <c r="N2720" t="s">
        <v>18294</v>
      </c>
      <c r="O2720" t="s">
        <v>18295</v>
      </c>
      <c r="P2720" t="s">
        <v>18296</v>
      </c>
      <c r="Q2720" s="3" t="n">
        <v>42899.0</v>
      </c>
      <c r="R2720" s="3" t="n">
        <v>43307.0</v>
      </c>
      <c r="S2720" s="3" t="n">
        <v>43936.461661469904</v>
      </c>
      <c r="T2720" s="3" t="n">
        <v>43950.536310069445</v>
      </c>
      <c r="U2720" t="s">
        <v>18297</v>
      </c>
      <c r="V2720" t="s">
        <v>18298</v>
      </c>
    </row>
    <row r="2721">
      <c r="A2721" t="s">
        <v>22</v>
      </c>
      <c r="B2721" t="s">
        <v>18299</v>
      </c>
      <c r="C2721" t="s">
        <v>132</v>
      </c>
      <c r="D2721" t="s">
        <v>133</v>
      </c>
      <c r="E2721" t="s">
        <v>18300</v>
      </c>
      <c r="F2721" s="2" t="n">
        <f>HYPERLINK("https://patents.google.com/patent/US20180207260","Google")</f>
        <v>0.0</v>
      </c>
      <c r="G2721" s="2" t="n">
        <f>HYPERLINK("https://patentcenter.uspto.gov/applications/15920565","Patent Center")</f>
        <v>0.0</v>
      </c>
      <c r="H2721" s="2" t="n">
        <f>HYPERLINK("https://worldwide.espacenet.com/patent/search?q=US20180207260","Espacenet")</f>
        <v>0.0</v>
      </c>
      <c r="I2721" s="2" t="n">
        <f>HYPERLINK("https://ppubs.uspto.gov/pubwebapp/external.html?q=20180207260.pn.","USPTO")</f>
        <v>0.0</v>
      </c>
      <c r="J2721" s="2" t="n">
        <f>HYPERLINK("https://image-ppubs.uspto.gov/dirsearch-public/print/downloadPdf/20180207260","USPTO PDF")</f>
        <v>0.0</v>
      </c>
      <c r="K2721" s="2" t="n">
        <f>HYPERLINK("https://sectors.patentforecast.com/pmd/US20180207260","PMD")</f>
        <v>0.0</v>
      </c>
      <c r="L2721" s="2" t="n">
        <f>HYPERLINK("https://globaldossier.uspto.gov/result/application/US/15920565/1","US20180207260")</f>
        <v>0.0</v>
      </c>
      <c r="M2721" t="s">
        <v>18301</v>
      </c>
      <c r="N2721" t="s">
        <v>16179</v>
      </c>
      <c r="O2721" t="s">
        <v>16180</v>
      </c>
      <c r="P2721" t="s">
        <v>18302</v>
      </c>
      <c r="Q2721" s="3" t="n">
        <v>43173.0</v>
      </c>
      <c r="R2721" s="3" t="n">
        <v>43307.0</v>
      </c>
      <c r="S2721" s="3" t="n">
        <v>43900.437144675925</v>
      </c>
      <c r="T2721" s="3" t="n">
        <v>43901.721563506944</v>
      </c>
      <c r="U2721" t="s">
        <v>18303</v>
      </c>
      <c r="V2721" t="s">
        <v>18304</v>
      </c>
    </row>
    <row r="2722">
      <c r="A2722" t="s">
        <v>22</v>
      </c>
      <c r="B2722" t="s">
        <v>18305</v>
      </c>
      <c r="C2722" t="s">
        <v>132</v>
      </c>
      <c r="D2722" t="s">
        <v>1265</v>
      </c>
      <c r="E2722" t="s">
        <v>18306</v>
      </c>
      <c r="F2722" s="2" t="n">
        <f>HYPERLINK("https://patents.google.com/patent/US20180207258","Google")</f>
        <v>0.0</v>
      </c>
      <c r="G2722" s="2" t="n">
        <f>HYPERLINK("https://patentcenter.uspto.gov/applications/15911362","Patent Center")</f>
        <v>0.0</v>
      </c>
      <c r="H2722" s="2" t="n">
        <f>HYPERLINK("https://worldwide.espacenet.com/patent/search?q=US20180207258","Espacenet")</f>
        <v>0.0</v>
      </c>
      <c r="I2722" s="2" t="n">
        <f>HYPERLINK("https://ppubs.uspto.gov/pubwebapp/external.html?q=20180207258.pn.","USPTO")</f>
        <v>0.0</v>
      </c>
      <c r="J2722" s="2" t="n">
        <f>HYPERLINK("https://image-ppubs.uspto.gov/dirsearch-public/print/downloadPdf/20180207258","USPTO PDF")</f>
        <v>0.0</v>
      </c>
      <c r="K2722" s="2" t="n">
        <f>HYPERLINK("https://sectors.patentforecast.com/pmd/US20180207258","PMD")</f>
        <v>0.0</v>
      </c>
      <c r="L2722" s="2" t="n">
        <f>HYPERLINK("https://globaldossier.uspto.gov/result/application/US/15911362/1","US20180207258")</f>
        <v>0.0</v>
      </c>
      <c r="M2722" t="s">
        <v>18307</v>
      </c>
      <c r="N2722" t="s">
        <v>14996</v>
      </c>
      <c r="O2722" t="s">
        <v>14997</v>
      </c>
      <c r="P2722" t="s">
        <v>18308</v>
      </c>
      <c r="Q2722" s="3" t="n">
        <v>43164.0</v>
      </c>
      <c r="R2722" s="3" t="n">
        <v>43307.0</v>
      </c>
      <c r="S2722" s="3" t="n">
        <v>43936.461661469904</v>
      </c>
      <c r="T2722" s="3" t="n">
        <v>44543.626749386574</v>
      </c>
      <c r="U2722" t="s">
        <v>18309</v>
      </c>
      <c r="V2722" t="s">
        <v>18310</v>
      </c>
    </row>
    <row r="2723">
      <c r="A2723" t="s">
        <v>22</v>
      </c>
      <c r="B2723" t="s">
        <v>18311</v>
      </c>
      <c r="C2723" t="s">
        <v>132</v>
      </c>
      <c r="D2723" t="s">
        <v>2629</v>
      </c>
      <c r="E2723" t="s">
        <v>18312</v>
      </c>
      <c r="F2723" s="2" t="n">
        <f>HYPERLINK("https://patents.google.com/patent/US20180201906","Google")</f>
        <v>0.0</v>
      </c>
      <c r="G2723" s="2" t="n">
        <f>HYPERLINK("https://patentcenter.uspto.gov/applications/15914420","Patent Center")</f>
        <v>0.0</v>
      </c>
      <c r="H2723" s="2" t="n">
        <f>HYPERLINK("https://worldwide.espacenet.com/patent/search?q=US20180201906","Espacenet")</f>
        <v>0.0</v>
      </c>
      <c r="I2723" s="2" t="n">
        <f>HYPERLINK("https://ppubs.uspto.gov/pubwebapp/external.html?q=20180201906.pn.","USPTO")</f>
        <v>0.0</v>
      </c>
      <c r="J2723" s="2" t="n">
        <f>HYPERLINK("https://image-ppubs.uspto.gov/dirsearch-public/print/downloadPdf/20180201906","USPTO PDF")</f>
        <v>0.0</v>
      </c>
      <c r="K2723" s="2" t="n">
        <f>HYPERLINK("https://sectors.patentforecast.com/pmd/US20180201906","PMD")</f>
        <v>0.0</v>
      </c>
      <c r="L2723" s="2" t="n">
        <f>HYPERLINK("https://globaldossier.uspto.gov/result/application/US/15914420/1","US20180201906")</f>
        <v>0.0</v>
      </c>
      <c r="M2723" t="s">
        <v>18313</v>
      </c>
      <c r="N2723" t="s">
        <v>16179</v>
      </c>
      <c r="O2723" t="s">
        <v>16180</v>
      </c>
      <c r="P2723" t="s">
        <v>18314</v>
      </c>
      <c r="Q2723" s="3" t="n">
        <v>43166.0</v>
      </c>
      <c r="R2723" s="3" t="n">
        <v>43300.0</v>
      </c>
      <c r="S2723" s="3" t="n">
        <v>43936.461661469904</v>
      </c>
      <c r="T2723" s="3" t="n">
        <v>44543.67431097222</v>
      </c>
      <c r="U2723" t="s">
        <v>18315</v>
      </c>
      <c r="V2723" t="s">
        <v>18316</v>
      </c>
    </row>
    <row r="2724">
      <c r="A2724" t="s">
        <v>22</v>
      </c>
      <c r="B2724" t="s">
        <v>18317</v>
      </c>
      <c r="C2724" t="s">
        <v>60</v>
      </c>
      <c r="D2724" t="s">
        <v>696</v>
      </c>
      <c r="E2724" t="s">
        <v>16925</v>
      </c>
      <c r="F2724" s="2" t="n">
        <f>HYPERLINK("https://patents.google.com/patent/US20180201675","Google")</f>
        <v>0.0</v>
      </c>
      <c r="G2724" s="2" t="n">
        <f>HYPERLINK("https://patentcenter.uspto.gov/applications/15816063","Patent Center")</f>
        <v>0.0</v>
      </c>
      <c r="H2724" s="2" t="n">
        <f>HYPERLINK("https://worldwide.espacenet.com/patent/search?q=US20180201675","Espacenet")</f>
        <v>0.0</v>
      </c>
      <c r="I2724" s="2" t="n">
        <f>HYPERLINK("https://ppubs.uspto.gov/pubwebapp/external.html?q=20180201675.pn.","USPTO")</f>
        <v>0.0</v>
      </c>
      <c r="J2724" s="2" t="n">
        <f>HYPERLINK("https://image-ppubs.uspto.gov/dirsearch-public/print/downloadPdf/20180201675","USPTO PDF")</f>
        <v>0.0</v>
      </c>
      <c r="K2724" s="2" t="n">
        <f>HYPERLINK("https://sectors.patentforecast.com/pmd/US20180201675","PMD")</f>
        <v>0.0</v>
      </c>
      <c r="L2724" s="2" t="n">
        <f>HYPERLINK("https://globaldossier.uspto.gov/result/application/US/15816063/1","US20180201675")</f>
        <v>0.0</v>
      </c>
      <c r="M2724" t="s">
        <v>18318</v>
      </c>
      <c r="N2724" t="s">
        <v>16927</v>
      </c>
      <c r="O2724" t="s">
        <v>16928</v>
      </c>
      <c r="P2724" t="s">
        <v>18319</v>
      </c>
      <c r="Q2724" s="3" t="n">
        <v>43056.0</v>
      </c>
      <c r="R2724" s="3" t="n">
        <v>43300.0</v>
      </c>
      <c r="S2724" s="3" t="n">
        <v>43957.46389167824</v>
      </c>
      <c r="T2724" s="3" t="n">
        <v>44643.44490069444</v>
      </c>
      <c r="U2724" t="s">
        <v>18320</v>
      </c>
      <c r="V2724" t="s">
        <v>18321</v>
      </c>
    </row>
    <row r="2725">
      <c r="A2725" t="s">
        <v>22</v>
      </c>
      <c r="B2725" t="s">
        <v>18322</v>
      </c>
      <c r="C2725" t="s">
        <v>60</v>
      </c>
      <c r="D2725" t="s">
        <v>2262</v>
      </c>
      <c r="E2725" t="s">
        <v>18323</v>
      </c>
      <c r="F2725" s="2" t="n">
        <f>HYPERLINK("https://patents.google.com/patent/US20180200224","Google")</f>
        <v>0.0</v>
      </c>
      <c r="G2725" s="2" t="n">
        <f>HYPERLINK("https://patentcenter.uspto.gov/applications/15918082","Patent Center")</f>
        <v>0.0</v>
      </c>
      <c r="H2725" s="2" t="n">
        <f>HYPERLINK("https://worldwide.espacenet.com/patent/search?q=US20180200224","Espacenet")</f>
        <v>0.0</v>
      </c>
      <c r="I2725" s="2" t="n">
        <f>HYPERLINK("https://ppubs.uspto.gov/pubwebapp/external.html?q=20180200224.pn.","USPTO")</f>
        <v>0.0</v>
      </c>
      <c r="J2725" s="2" t="n">
        <f>HYPERLINK("https://image-ppubs.uspto.gov/dirsearch-public/print/downloadPdf/20180200224","USPTO PDF")</f>
        <v>0.0</v>
      </c>
      <c r="K2725" s="2" t="n">
        <f>HYPERLINK("https://sectors.patentforecast.com/pmd/US20180200224","PMD")</f>
        <v>0.0</v>
      </c>
      <c r="L2725" s="2" t="n">
        <f>HYPERLINK("https://globaldossier.uspto.gov/result/application/US/15918082/1","US20180200224")</f>
        <v>0.0</v>
      </c>
      <c r="M2725" t="s">
        <v>18324</v>
      </c>
      <c r="N2725" t="s">
        <v>18325</v>
      </c>
      <c r="O2725" t="s">
        <v>18325</v>
      </c>
      <c r="P2725" t="s">
        <v>18326</v>
      </c>
      <c r="Q2725" s="3" t="n">
        <v>43171.0</v>
      </c>
      <c r="R2725" s="3" t="n">
        <v>43300.0</v>
      </c>
      <c r="S2725" s="3" t="n">
        <v>43957.46389167824</v>
      </c>
      <c r="T2725" s="3" t="n">
        <v>44544.45525685185</v>
      </c>
      <c r="U2725" t="s">
        <v>18327</v>
      </c>
      <c r="V2725" t="s">
        <v>18328</v>
      </c>
    </row>
    <row r="2726">
      <c r="A2726" t="s">
        <v>22</v>
      </c>
      <c r="B2726" t="s">
        <v>18329</v>
      </c>
      <c r="C2726" t="s">
        <v>24</v>
      </c>
      <c r="D2726" t="s">
        <v>25</v>
      </c>
      <c r="E2726" t="s">
        <v>18330</v>
      </c>
      <c r="F2726" s="2" t="n">
        <f>HYPERLINK("https://patents.google.com/patent/US20180197637","Google")</f>
        <v>0.0</v>
      </c>
      <c r="G2726" s="2" t="n">
        <f>HYPERLINK("https://patentcenter.uspto.gov/applications/15740725","Patent Center")</f>
        <v>0.0</v>
      </c>
      <c r="H2726" s="2" t="n">
        <f>HYPERLINK("https://worldwide.espacenet.com/patent/search?q=US20180197637","Espacenet")</f>
        <v>0.0</v>
      </c>
      <c r="I2726" s="2" t="n">
        <f>HYPERLINK("https://ppubs.uspto.gov/pubwebapp/external.html?q=20180197637.pn.","USPTO")</f>
        <v>0.0</v>
      </c>
      <c r="J2726" s="2" t="n">
        <f>HYPERLINK("https://image-ppubs.uspto.gov/dirsearch-public/print/downloadPdf/20180197637","USPTO PDF")</f>
        <v>0.0</v>
      </c>
      <c r="K2726" s="2" t="n">
        <f>HYPERLINK("https://sectors.patentforecast.com/pmd/US20180197637","PMD")</f>
        <v>0.0</v>
      </c>
      <c r="L2726" s="2" t="n">
        <f>HYPERLINK("https://globaldossier.uspto.gov/result/application/US/15740725/1","US20180197637")</f>
        <v>0.0</v>
      </c>
      <c r="M2726" t="s">
        <v>18331</v>
      </c>
      <c r="N2726" t="s">
        <v>18332</v>
      </c>
      <c r="O2726" t="s">
        <v>18333</v>
      </c>
      <c r="P2726" t="s">
        <v>18334</v>
      </c>
      <c r="Q2726" s="3" t="n">
        <v>42471.0</v>
      </c>
      <c r="R2726" s="3" t="n">
        <v>43293.0</v>
      </c>
      <c r="S2726" s="3" t="n">
        <v>43908.45851130787</v>
      </c>
      <c r="T2726" s="3" t="n">
        <v>43979.49199703704</v>
      </c>
      <c r="U2726" t="s">
        <v>18335</v>
      </c>
      <c r="V2726" t="s">
        <v>18336</v>
      </c>
    </row>
    <row r="2727">
      <c r="A2727" t="s">
        <v>22</v>
      </c>
      <c r="B2727" t="s">
        <v>18337</v>
      </c>
      <c r="C2727" t="s">
        <v>60</v>
      </c>
      <c r="D2727" t="s">
        <v>61</v>
      </c>
      <c r="E2727" t="s">
        <v>18338</v>
      </c>
      <c r="F2727" s="2" t="n">
        <f>HYPERLINK("https://patents.google.com/patent/US20180194746","Google")</f>
        <v>0.0</v>
      </c>
      <c r="G2727" s="2" t="n">
        <f>HYPERLINK("https://patentcenter.uspto.gov/applications/15902883","Patent Center")</f>
        <v>0.0</v>
      </c>
      <c r="H2727" s="2" t="n">
        <f>HYPERLINK("https://worldwide.espacenet.com/patent/search?q=US20180194746","Espacenet")</f>
        <v>0.0</v>
      </c>
      <c r="I2727" s="2" t="n">
        <f>HYPERLINK("https://ppubs.uspto.gov/pubwebapp/external.html?q=20180194746.pn.","USPTO")</f>
        <v>0.0</v>
      </c>
      <c r="J2727" s="2" t="n">
        <f>HYPERLINK("https://image-ppubs.uspto.gov/dirsearch-public/print/downloadPdf/20180194746","USPTO PDF")</f>
        <v>0.0</v>
      </c>
      <c r="K2727" s="2" t="n">
        <f>HYPERLINK("https://sectors.patentforecast.com/pmd/US20180194746","PMD")</f>
        <v>0.0</v>
      </c>
      <c r="L2727" s="2" t="n">
        <f>HYPERLINK("https://globaldossier.uspto.gov/result/application/US/15902883/1","US20180194746")</f>
        <v>0.0</v>
      </c>
      <c r="M2727" t="s">
        <v>18339</v>
      </c>
      <c r="N2727" t="s">
        <v>664</v>
      </c>
      <c r="O2727" t="s">
        <v>665</v>
      </c>
      <c r="P2727" t="s">
        <v>18340</v>
      </c>
      <c r="Q2727" s="3" t="n">
        <v>43153.0</v>
      </c>
      <c r="R2727" s="3" t="n">
        <v>43293.0</v>
      </c>
      <c r="S2727" s="3" t="n">
        <v>43952.45945162037</v>
      </c>
      <c r="T2727" s="3" t="n">
        <v>44638.662781747684</v>
      </c>
      <c r="U2727" t="s">
        <v>18341</v>
      </c>
      <c r="V2727" t="s">
        <v>18342</v>
      </c>
    </row>
    <row r="2728">
      <c r="A2728" t="s">
        <v>22</v>
      </c>
      <c r="B2728" t="s">
        <v>18343</v>
      </c>
      <c r="C2728" t="s">
        <v>24</v>
      </c>
      <c r="D2728" t="s">
        <v>100</v>
      </c>
      <c r="E2728" t="s">
        <v>18344</v>
      </c>
      <c r="F2728" s="2" t="n">
        <f>HYPERLINK("https://patents.google.com/patent/US20180192620","Google")</f>
        <v>0.0</v>
      </c>
      <c r="G2728" s="2" t="n">
        <f>HYPERLINK("https://patentcenter.uspto.gov/applications/15866198","Patent Center")</f>
        <v>0.0</v>
      </c>
      <c r="H2728" s="2" t="n">
        <f>HYPERLINK("https://worldwide.espacenet.com/patent/search?q=US20180192620","Espacenet")</f>
        <v>0.0</v>
      </c>
      <c r="I2728" s="2" t="n">
        <f>HYPERLINK("https://ppubs.uspto.gov/pubwebapp/external.html?q=20180192620.pn.","USPTO")</f>
        <v>0.0</v>
      </c>
      <c r="J2728" s="2" t="n">
        <f>HYPERLINK("https://image-ppubs.uspto.gov/dirsearch-public/print/downloadPdf/20180192620","USPTO PDF")</f>
        <v>0.0</v>
      </c>
      <c r="K2728" s="2" t="n">
        <f>HYPERLINK("https://sectors.patentforecast.com/pmd/US20180192620","PMD")</f>
        <v>0.0</v>
      </c>
      <c r="L2728" s="2" t="n">
        <f>HYPERLINK("https://globaldossier.uspto.gov/result/application/US/15866198/1","US20180192620")</f>
        <v>0.0</v>
      </c>
      <c r="M2728" t="s">
        <v>18345</v>
      </c>
      <c r="N2728" t="s">
        <v>18346</v>
      </c>
      <c r="O2728" t="s">
        <v>18347</v>
      </c>
      <c r="P2728" t="s">
        <v>18348</v>
      </c>
      <c r="Q2728" s="3" t="n">
        <v>43109.0</v>
      </c>
      <c r="R2728" s="3" t="n">
        <v>43293.0</v>
      </c>
      <c r="S2728" s="3" t="n">
        <v>43936.461661469904</v>
      </c>
      <c r="T2728" s="3" t="n">
        <v>43950.54576006944</v>
      </c>
      <c r="U2728" t="s">
        <v>18349</v>
      </c>
      <c r="V2728" t="s">
        <v>18350</v>
      </c>
    </row>
    <row r="2729">
      <c r="A2729" t="s">
        <v>22</v>
      </c>
      <c r="B2729" t="s">
        <v>18351</v>
      </c>
      <c r="C2729" t="s">
        <v>24</v>
      </c>
      <c r="D2729" t="s">
        <v>100</v>
      </c>
      <c r="E2729" t="s">
        <v>18344</v>
      </c>
      <c r="F2729" s="2" t="n">
        <f>HYPERLINK("https://patents.google.com/patent/US20180192619","Google")</f>
        <v>0.0</v>
      </c>
      <c r="G2729" s="2" t="n">
        <f>HYPERLINK("https://patentcenter.uspto.gov/applications/15866208","Patent Center")</f>
        <v>0.0</v>
      </c>
      <c r="H2729" s="2" t="n">
        <f>HYPERLINK("https://worldwide.espacenet.com/patent/search?q=US20180192619","Espacenet")</f>
        <v>0.0</v>
      </c>
      <c r="I2729" s="2" t="n">
        <f>HYPERLINK("https://ppubs.uspto.gov/pubwebapp/external.html?q=20180192619.pn.","USPTO")</f>
        <v>0.0</v>
      </c>
      <c r="J2729" s="2" t="n">
        <f>HYPERLINK("https://image-ppubs.uspto.gov/dirsearch-public/print/downloadPdf/20180192619","USPTO PDF")</f>
        <v>0.0</v>
      </c>
      <c r="K2729" s="2" t="n">
        <f>HYPERLINK("https://sectors.patentforecast.com/pmd/US20180192619","PMD")</f>
        <v>0.0</v>
      </c>
      <c r="L2729" s="2" t="n">
        <f>HYPERLINK("https://globaldossier.uspto.gov/result/application/US/15866208/1","US20180192619")</f>
        <v>0.0</v>
      </c>
      <c r="M2729" t="s">
        <v>18352</v>
      </c>
      <c r="N2729" t="s">
        <v>18346</v>
      </c>
      <c r="O2729" t="s">
        <v>18347</v>
      </c>
      <c r="P2729" t="s">
        <v>18348</v>
      </c>
      <c r="Q2729" s="3" t="n">
        <v>43109.0</v>
      </c>
      <c r="R2729" s="3" t="n">
        <v>43293.0</v>
      </c>
      <c r="S2729" s="3" t="n">
        <v>43936.461661469904</v>
      </c>
      <c r="T2729" s="3" t="n">
        <v>43950.54576006944</v>
      </c>
      <c r="U2729" t="s">
        <v>18353</v>
      </c>
      <c r="V2729" t="s">
        <v>18350</v>
      </c>
    </row>
    <row r="2730">
      <c r="A2730" t="s">
        <v>22</v>
      </c>
      <c r="B2730" t="s">
        <v>18354</v>
      </c>
      <c r="C2730" t="s">
        <v>24</v>
      </c>
      <c r="D2730" t="s">
        <v>3193</v>
      </c>
      <c r="E2730" t="s">
        <v>18355</v>
      </c>
      <c r="F2730" s="2" t="n">
        <f>HYPERLINK("https://patents.google.com/patent/US20180190379","Google")</f>
        <v>0.0</v>
      </c>
      <c r="G2730" s="2" t="n">
        <f>HYPERLINK("https://patentcenter.uspto.gov/applications/15903804","Patent Center")</f>
        <v>0.0</v>
      </c>
      <c r="H2730" s="2" t="n">
        <f>HYPERLINK("https://worldwide.espacenet.com/patent/search?q=US20180190379","Espacenet")</f>
        <v>0.0</v>
      </c>
      <c r="I2730" s="2" t="n">
        <f>HYPERLINK("https://ppubs.uspto.gov/pubwebapp/external.html?q=20180190379.pn.","USPTO")</f>
        <v>0.0</v>
      </c>
      <c r="J2730" s="2" t="n">
        <f>HYPERLINK("https://image-ppubs.uspto.gov/dirsearch-public/print/downloadPdf/20180190379","USPTO PDF")</f>
        <v>0.0</v>
      </c>
      <c r="K2730" s="2" t="n">
        <f>HYPERLINK("https://sectors.patentforecast.com/pmd/US20180190379","PMD")</f>
        <v>0.0</v>
      </c>
      <c r="L2730" s="2" t="n">
        <f>HYPERLINK("https://globaldossier.uspto.gov/result/application/US/15903804/1","US20180190379")</f>
        <v>0.0</v>
      </c>
      <c r="M2730" t="s">
        <v>18356</v>
      </c>
      <c r="N2730" t="s">
        <v>926</v>
      </c>
      <c r="O2730" t="s">
        <v>927</v>
      </c>
      <c r="P2730" t="s">
        <v>18357</v>
      </c>
      <c r="Q2730" s="3" t="n">
        <v>43154.0</v>
      </c>
      <c r="R2730" s="3" t="n">
        <v>43286.0</v>
      </c>
      <c r="S2730" s="3" t="n">
        <v>43908.45851130787</v>
      </c>
      <c r="T2730" s="3" t="n">
        <v>44543.60871915509</v>
      </c>
      <c r="U2730" t="s">
        <v>18358</v>
      </c>
      <c r="V2730" t="s">
        <v>18359</v>
      </c>
    </row>
    <row r="2731">
      <c r="A2731" t="s">
        <v>22</v>
      </c>
      <c r="B2731" t="s">
        <v>18360</v>
      </c>
      <c r="C2731" t="s">
        <v>60</v>
      </c>
      <c r="D2731" t="s">
        <v>696</v>
      </c>
      <c r="E2731" t="s">
        <v>16925</v>
      </c>
      <c r="F2731" s="2" t="n">
        <f>HYPERLINK("https://patents.google.com/patent/US20180186874","Google")</f>
        <v>0.0</v>
      </c>
      <c r="G2731" s="2" t="n">
        <f>HYPERLINK("https://patentcenter.uspto.gov/applications/15700374","Patent Center")</f>
        <v>0.0</v>
      </c>
      <c r="H2731" s="2" t="n">
        <f>HYPERLINK("https://worldwide.espacenet.com/patent/search?q=US20180186874","Espacenet")</f>
        <v>0.0</v>
      </c>
      <c r="I2731" s="2" t="n">
        <f>HYPERLINK("https://ppubs.uspto.gov/pubwebapp/external.html?q=20180186874.pn.","USPTO")</f>
        <v>0.0</v>
      </c>
      <c r="J2731" s="2" t="n">
        <f>HYPERLINK("https://image-ppubs.uspto.gov/dirsearch-public/print/downloadPdf/20180186874","USPTO PDF")</f>
        <v>0.0</v>
      </c>
      <c r="K2731" s="2" t="n">
        <f>HYPERLINK("https://sectors.patentforecast.com/pmd/US20180186874","PMD")</f>
        <v>0.0</v>
      </c>
      <c r="L2731" s="2" t="n">
        <f>HYPERLINK("https://globaldossier.uspto.gov/result/application/US/15700374/1","US20180186874")</f>
        <v>0.0</v>
      </c>
      <c r="M2731" t="s">
        <v>18361</v>
      </c>
      <c r="N2731" t="s">
        <v>16927</v>
      </c>
      <c r="O2731" t="s">
        <v>16928</v>
      </c>
      <c r="P2731" t="s">
        <v>16991</v>
      </c>
      <c r="Q2731" s="3" t="n">
        <v>42989.0</v>
      </c>
      <c r="R2731" s="3" t="n">
        <v>43286.0</v>
      </c>
      <c r="S2731" s="3" t="n">
        <v>43957.46389167824</v>
      </c>
      <c r="T2731" s="3" t="n">
        <v>44643.44490069444</v>
      </c>
      <c r="U2731" t="s">
        <v>18362</v>
      </c>
      <c r="V2731" t="s">
        <v>18321</v>
      </c>
    </row>
    <row r="2732">
      <c r="A2732" t="s">
        <v>22</v>
      </c>
      <c r="B2732" t="s">
        <v>18363</v>
      </c>
      <c r="C2732" t="s">
        <v>60</v>
      </c>
      <c r="D2732" t="s">
        <v>61</v>
      </c>
      <c r="E2732" t="s">
        <v>16903</v>
      </c>
      <c r="F2732" s="2" t="n">
        <f>HYPERLINK("https://patents.google.com/patent/US20180186806","Google")</f>
        <v>0.0</v>
      </c>
      <c r="G2732" s="2" t="n">
        <f>HYPERLINK("https://patentcenter.uspto.gov/applications/15828377","Patent Center")</f>
        <v>0.0</v>
      </c>
      <c r="H2732" s="2" t="n">
        <f>HYPERLINK("https://worldwide.espacenet.com/patent/search?q=US20180186806","Espacenet")</f>
        <v>0.0</v>
      </c>
      <c r="I2732" s="2" t="n">
        <f>HYPERLINK("https://ppubs.uspto.gov/pubwebapp/external.html?q=20180186806.pn.","USPTO")</f>
        <v>0.0</v>
      </c>
      <c r="J2732" s="2" t="n">
        <f>HYPERLINK("https://image-ppubs.uspto.gov/dirsearch-public/print/downloadPdf/20180186806","USPTO PDF")</f>
        <v>0.0</v>
      </c>
      <c r="K2732" s="2" t="n">
        <f>HYPERLINK("https://sectors.patentforecast.com/pmd/US20180186806","PMD")</f>
        <v>0.0</v>
      </c>
      <c r="L2732" s="2" t="n">
        <f>HYPERLINK("https://globaldossier.uspto.gov/result/application/US/15828377/1","US20180186806")</f>
        <v>0.0</v>
      </c>
      <c r="M2732" t="s">
        <v>18364</v>
      </c>
      <c r="N2732" t="s">
        <v>664</v>
      </c>
      <c r="O2732" t="s">
        <v>665</v>
      </c>
      <c r="P2732" t="s">
        <v>18365</v>
      </c>
      <c r="Q2732" s="3" t="n">
        <v>43069.0</v>
      </c>
      <c r="R2732" s="3" t="n">
        <v>43286.0</v>
      </c>
      <c r="S2732" s="3" t="n">
        <v>43952.45945162037</v>
      </c>
      <c r="T2732" s="3" t="n">
        <v>44638.65271974537</v>
      </c>
      <c r="U2732" t="s">
        <v>18366</v>
      </c>
      <c r="V2732" t="s">
        <v>18367</v>
      </c>
    </row>
    <row r="2733">
      <c r="A2733" t="s">
        <v>22</v>
      </c>
      <c r="B2733" t="s">
        <v>18368</v>
      </c>
      <c r="C2733" t="s">
        <v>60</v>
      </c>
      <c r="D2733" t="s">
        <v>61</v>
      </c>
      <c r="E2733" t="s">
        <v>18369</v>
      </c>
      <c r="F2733" s="2" t="n">
        <f>HYPERLINK("https://patents.google.com/patent/US20180185392","Google")</f>
        <v>0.0</v>
      </c>
      <c r="G2733" s="2" t="n">
        <f>HYPERLINK("https://patentcenter.uspto.gov/applications/15825982","Patent Center")</f>
        <v>0.0</v>
      </c>
      <c r="H2733" s="2" t="n">
        <f>HYPERLINK("https://worldwide.espacenet.com/patent/search?q=US20180185392","Espacenet")</f>
        <v>0.0</v>
      </c>
      <c r="I2733" s="2" t="n">
        <f>HYPERLINK("https://ppubs.uspto.gov/pubwebapp/external.html?q=20180185392.pn.","USPTO")</f>
        <v>0.0</v>
      </c>
      <c r="J2733" s="2" t="n">
        <f>HYPERLINK("https://image-ppubs.uspto.gov/dirsearch-public/print/downloadPdf/20180185392","USPTO PDF")</f>
        <v>0.0</v>
      </c>
      <c r="K2733" s="2" t="n">
        <f>HYPERLINK("https://sectors.patentforecast.com/pmd/US20180185392","PMD")</f>
        <v>0.0</v>
      </c>
      <c r="L2733" s="2" t="n">
        <f>HYPERLINK("https://globaldossier.uspto.gov/result/application/US/15825982/1","US20180185392")</f>
        <v>0.0</v>
      </c>
      <c r="M2733" t="s">
        <v>18370</v>
      </c>
      <c r="N2733" t="s">
        <v>16951</v>
      </c>
      <c r="O2733" t="s">
        <v>16952</v>
      </c>
      <c r="P2733" t="s">
        <v>18371</v>
      </c>
      <c r="Q2733" s="3" t="n">
        <v>43068.0</v>
      </c>
      <c r="R2733" s="3" t="n">
        <v>43286.0</v>
      </c>
      <c r="S2733" s="3" t="n">
        <v>43936.461661469904</v>
      </c>
      <c r="T2733" s="3" t="n">
        <v>43950.41362709491</v>
      </c>
      <c r="U2733" t="s">
        <v>18372</v>
      </c>
      <c r="V2733" t="s">
        <v>18373</v>
      </c>
    </row>
    <row r="2734">
      <c r="A2734" t="s">
        <v>22</v>
      </c>
      <c r="B2734" t="s">
        <v>18374</v>
      </c>
      <c r="C2734" t="s">
        <v>132</v>
      </c>
      <c r="D2734" t="s">
        <v>2629</v>
      </c>
      <c r="E2734" t="s">
        <v>18375</v>
      </c>
      <c r="F2734" s="2" t="n">
        <f>HYPERLINK("https://patents.google.com/patent/US20180185345","Google")</f>
        <v>0.0</v>
      </c>
      <c r="G2734" s="2" t="n">
        <f>HYPERLINK("https://patentcenter.uspto.gov/applications/15737701","Patent Center")</f>
        <v>0.0</v>
      </c>
      <c r="H2734" s="2" t="n">
        <f>HYPERLINK("https://worldwide.espacenet.com/patent/search?q=US20180185345","Espacenet")</f>
        <v>0.0</v>
      </c>
      <c r="I2734" s="2" t="n">
        <f>HYPERLINK("https://ppubs.uspto.gov/pubwebapp/external.html?q=20180185345.pn.","USPTO")</f>
        <v>0.0</v>
      </c>
      <c r="J2734" s="2" t="n">
        <f>HYPERLINK("https://image-ppubs.uspto.gov/dirsearch-public/print/downloadPdf/20180185345","USPTO PDF")</f>
        <v>0.0</v>
      </c>
      <c r="K2734" s="2" t="n">
        <f>HYPERLINK("https://sectors.patentforecast.com/pmd/US20180185345","PMD")</f>
        <v>0.0</v>
      </c>
      <c r="L2734" s="2" t="n">
        <f>HYPERLINK("https://globaldossier.uspto.gov/result/application/US/15737701/1","US20180185345")</f>
        <v>0.0</v>
      </c>
      <c r="M2734" t="s">
        <v>18376</v>
      </c>
      <c r="N2734" t="s">
        <v>441</v>
      </c>
      <c r="O2734" t="s">
        <v>442</v>
      </c>
      <c r="P2734" t="s">
        <v>18377</v>
      </c>
      <c r="Q2734" s="3" t="n">
        <v>42538.0</v>
      </c>
      <c r="R2734" s="3" t="n">
        <v>43286.0</v>
      </c>
      <c r="S2734" s="3" t="n">
        <v>43936.461661469904</v>
      </c>
      <c r="T2734" s="3" t="n">
        <v>44543.67615177084</v>
      </c>
      <c r="U2734" t="s">
        <v>18378</v>
      </c>
      <c r="V2734" t="s">
        <v>18379</v>
      </c>
    </row>
    <row r="2735">
      <c r="A2735" t="s">
        <v>22</v>
      </c>
      <c r="B2735" t="s">
        <v>18380</v>
      </c>
      <c r="C2735" t="s">
        <v>24</v>
      </c>
      <c r="D2735" t="s">
        <v>25</v>
      </c>
      <c r="E2735" t="s">
        <v>18381</v>
      </c>
      <c r="F2735" s="2" t="n">
        <f>HYPERLINK("https://patents.google.com/patent/US20180181714","Google")</f>
        <v>0.0</v>
      </c>
      <c r="G2735" s="2" t="n">
        <f>HYPERLINK("https://patentcenter.uspto.gov/applications/15392720","Patent Center")</f>
        <v>0.0</v>
      </c>
      <c r="H2735" s="2" t="n">
        <f>HYPERLINK("https://worldwide.espacenet.com/patent/search?q=US20180181714","Espacenet")</f>
        <v>0.0</v>
      </c>
      <c r="I2735" s="2" t="n">
        <f>HYPERLINK("https://ppubs.uspto.gov/pubwebapp/external.html?q=20180181714.pn.","USPTO")</f>
        <v>0.0</v>
      </c>
      <c r="J2735" s="2" t="n">
        <f>HYPERLINK("https://image-ppubs.uspto.gov/dirsearch-public/print/downloadPdf/20180181714","USPTO PDF")</f>
        <v>0.0</v>
      </c>
      <c r="K2735" s="2" t="n">
        <f>HYPERLINK("https://sectors.patentforecast.com/pmd/US20180181714","PMD")</f>
        <v>0.0</v>
      </c>
      <c r="L2735" s="2" t="n">
        <f>HYPERLINK("https://globaldossier.uspto.gov/result/application/US/15392720/1","US20180181714")</f>
        <v>0.0</v>
      </c>
      <c r="M2735" t="s">
        <v>18382</v>
      </c>
      <c r="N2735" t="s">
        <v>6786</v>
      </c>
      <c r="O2735" t="s">
        <v>6787</v>
      </c>
      <c r="P2735" t="s">
        <v>6788</v>
      </c>
      <c r="Q2735" s="3" t="n">
        <v>42732.0</v>
      </c>
      <c r="R2735" s="3" t="n">
        <v>43279.0</v>
      </c>
      <c r="S2735" s="3" t="n">
        <v>43900.437144675925</v>
      </c>
      <c r="T2735" s="3" t="n">
        <v>43901.72156416667</v>
      </c>
      <c r="U2735" t="s">
        <v>18383</v>
      </c>
      <c r="V2735" t="s">
        <v>18384</v>
      </c>
    </row>
    <row r="2736">
      <c r="A2736" t="s">
        <v>22</v>
      </c>
      <c r="B2736" t="s">
        <v>18385</v>
      </c>
      <c r="C2736" t="s">
        <v>24</v>
      </c>
      <c r="D2736" t="s">
        <v>25</v>
      </c>
      <c r="E2736" t="s">
        <v>18386</v>
      </c>
      <c r="F2736" s="2" t="n">
        <f>HYPERLINK("https://patents.google.com/patent/US20180181713","Google")</f>
        <v>0.0</v>
      </c>
      <c r="G2736" s="2" t="n">
        <f>HYPERLINK("https://patentcenter.uspto.gov/applications/15391552","Patent Center")</f>
        <v>0.0</v>
      </c>
      <c r="H2736" s="2" t="n">
        <f>HYPERLINK("https://worldwide.espacenet.com/patent/search?q=US20180181713","Espacenet")</f>
        <v>0.0</v>
      </c>
      <c r="I2736" s="2" t="n">
        <f>HYPERLINK("https://ppubs.uspto.gov/pubwebapp/external.html?q=20180181713.pn.","USPTO")</f>
        <v>0.0</v>
      </c>
      <c r="J2736" s="2" t="n">
        <f>HYPERLINK("https://image-ppubs.uspto.gov/dirsearch-public/print/downloadPdf/20180181713","USPTO PDF")</f>
        <v>0.0</v>
      </c>
      <c r="K2736" s="2" t="n">
        <f>HYPERLINK("https://sectors.patentforecast.com/pmd/US20180181713","PMD")</f>
        <v>0.0</v>
      </c>
      <c r="L2736" s="2" t="n">
        <f>HYPERLINK("https://globaldossier.uspto.gov/result/application/US/15391552/1","US20180181713")</f>
        <v>0.0</v>
      </c>
      <c r="M2736" t="s">
        <v>18387</v>
      </c>
      <c r="N2736" t="s">
        <v>6786</v>
      </c>
      <c r="O2736" t="s">
        <v>6787</v>
      </c>
      <c r="P2736" t="s">
        <v>6788</v>
      </c>
      <c r="Q2736" s="3" t="n">
        <v>42731.0</v>
      </c>
      <c r="R2736" s="3" t="n">
        <v>43279.0</v>
      </c>
      <c r="S2736" s="3" t="n">
        <v>43908.45851130787</v>
      </c>
      <c r="T2736" s="3" t="n">
        <v>43990.70907528935</v>
      </c>
      <c r="U2736" t="s">
        <v>18388</v>
      </c>
      <c r="V2736" t="s">
        <v>18389</v>
      </c>
    </row>
    <row r="2737">
      <c r="A2737" t="s">
        <v>22</v>
      </c>
      <c r="B2737" t="s">
        <v>18390</v>
      </c>
      <c r="C2737" t="s">
        <v>132</v>
      </c>
      <c r="D2737" t="s">
        <v>2629</v>
      </c>
      <c r="E2737" t="s">
        <v>18391</v>
      </c>
      <c r="F2737" s="2" t="n">
        <f>HYPERLINK("https://patents.google.com/patent/US20180179555","Google")</f>
        <v>0.0</v>
      </c>
      <c r="G2737" s="2" t="n">
        <f>HYPERLINK("https://patentcenter.uspto.gov/applications/15820741","Patent Center")</f>
        <v>0.0</v>
      </c>
      <c r="H2737" s="2" t="n">
        <f>HYPERLINK("https://worldwide.espacenet.com/patent/search?q=US20180179555","Espacenet")</f>
        <v>0.0</v>
      </c>
      <c r="I2737" s="2" t="n">
        <f>HYPERLINK("https://ppubs.uspto.gov/pubwebapp/external.html?q=20180179555.pn.","USPTO")</f>
        <v>0.0</v>
      </c>
      <c r="J2737" s="2" t="n">
        <f>HYPERLINK("https://image-ppubs.uspto.gov/dirsearch-public/print/downloadPdf/20180179555","USPTO PDF")</f>
        <v>0.0</v>
      </c>
      <c r="K2737" s="2" t="n">
        <f>HYPERLINK("https://sectors.patentforecast.com/pmd/US20180179555","PMD")</f>
        <v>0.0</v>
      </c>
      <c r="L2737" s="2" t="n">
        <f>HYPERLINK("https://globaldossier.uspto.gov/result/application/US/15820741/1","US20180179555")</f>
        <v>0.0</v>
      </c>
      <c r="M2737" t="s">
        <v>18392</v>
      </c>
      <c r="N2737" t="s">
        <v>5190</v>
      </c>
      <c r="O2737" t="s">
        <v>5191</v>
      </c>
      <c r="P2737" t="s">
        <v>18393</v>
      </c>
      <c r="Q2737" s="3" t="n">
        <v>43061.0</v>
      </c>
      <c r="R2737" s="3" t="n">
        <v>43279.0</v>
      </c>
      <c r="S2737" s="3" t="n">
        <v>43936.461661469904</v>
      </c>
      <c r="T2737" s="3" t="n">
        <v>44543.68291988426</v>
      </c>
      <c r="U2737" t="s">
        <v>18394</v>
      </c>
      <c r="V2737" t="s">
        <v>18395</v>
      </c>
    </row>
    <row r="2738">
      <c r="A2738" t="s">
        <v>22</v>
      </c>
      <c r="B2738" t="s">
        <v>18396</v>
      </c>
      <c r="C2738" t="s">
        <v>60</v>
      </c>
      <c r="D2738" t="s">
        <v>61</v>
      </c>
      <c r="E2738" t="s">
        <v>17514</v>
      </c>
      <c r="F2738" s="2" t="n">
        <f>HYPERLINK("https://patents.google.com/patent/US20180179175","Google")</f>
        <v>0.0</v>
      </c>
      <c r="G2738" s="2" t="n">
        <f>HYPERLINK("https://patentcenter.uspto.gov/applications/15847803","Patent Center")</f>
        <v>0.0</v>
      </c>
      <c r="H2738" s="2" t="n">
        <f>HYPERLINK("https://worldwide.espacenet.com/patent/search?q=US20180179175","Espacenet")</f>
        <v>0.0</v>
      </c>
      <c r="I2738" s="2" t="n">
        <f>HYPERLINK("https://ppubs.uspto.gov/pubwebapp/external.html?q=20180179175.pn.","USPTO")</f>
        <v>0.0</v>
      </c>
      <c r="J2738" s="2" t="n">
        <f>HYPERLINK("https://image-ppubs.uspto.gov/dirsearch-public/print/downloadPdf/20180179175","USPTO PDF")</f>
        <v>0.0</v>
      </c>
      <c r="K2738" s="2" t="n">
        <f>HYPERLINK("https://sectors.patentforecast.com/pmd/US20180179175","PMD")</f>
        <v>0.0</v>
      </c>
      <c r="L2738" s="2" t="n">
        <f>HYPERLINK("https://globaldossier.uspto.gov/result/application/US/15847803/1","US20180179175")</f>
        <v>0.0</v>
      </c>
      <c r="M2738" t="s">
        <v>18397</v>
      </c>
      <c r="N2738" t="s">
        <v>664</v>
      </c>
      <c r="O2738" t="s">
        <v>665</v>
      </c>
      <c r="P2738" t="s">
        <v>18398</v>
      </c>
      <c r="Q2738" s="3" t="n">
        <v>43088.0</v>
      </c>
      <c r="R2738" s="3" t="n">
        <v>43279.0</v>
      </c>
      <c r="S2738" s="3" t="n">
        <v>43950.64725045139</v>
      </c>
      <c r="T2738" s="3" t="n">
        <v>44638.65271974537</v>
      </c>
      <c r="U2738" t="s">
        <v>18399</v>
      </c>
      <c r="V2738" t="s">
        <v>18400</v>
      </c>
    </row>
    <row r="2739">
      <c r="A2739" t="s">
        <v>22</v>
      </c>
      <c r="B2739" t="s">
        <v>18401</v>
      </c>
      <c r="C2739" t="s">
        <v>132</v>
      </c>
      <c r="D2739" t="s">
        <v>1265</v>
      </c>
      <c r="E2739" t="s">
        <v>18402</v>
      </c>
      <c r="F2739" s="2" t="n">
        <f>HYPERLINK("https://patents.google.com/patent/US20180177862","Google")</f>
        <v>0.0</v>
      </c>
      <c r="G2739" s="2" t="n">
        <f>HYPERLINK("https://patentcenter.uspto.gov/applications/15739222","Patent Center")</f>
        <v>0.0</v>
      </c>
      <c r="H2739" s="2" t="n">
        <f>HYPERLINK("https://worldwide.espacenet.com/patent/search?q=US20180177862","Espacenet")</f>
        <v>0.0</v>
      </c>
      <c r="I2739" s="2" t="n">
        <f>HYPERLINK("https://ppubs.uspto.gov/pubwebapp/external.html?q=20180177862.pn.","USPTO")</f>
        <v>0.0</v>
      </c>
      <c r="J2739" s="2" t="n">
        <f>HYPERLINK("https://image-ppubs.uspto.gov/dirsearch-public/print/downloadPdf/20180177862","USPTO PDF")</f>
        <v>0.0</v>
      </c>
      <c r="K2739" s="2" t="n">
        <f>HYPERLINK("https://sectors.patentforecast.com/pmd/US20180177862","PMD")</f>
        <v>0.0</v>
      </c>
      <c r="L2739" s="2" t="n">
        <f>HYPERLINK("https://globaldossier.uspto.gov/result/application/US/15739222/1","US20180177862")</f>
        <v>0.0</v>
      </c>
      <c r="M2739" t="s">
        <v>18403</v>
      </c>
      <c r="N2739" t="s">
        <v>14996</v>
      </c>
      <c r="O2739" t="s">
        <v>14997</v>
      </c>
      <c r="P2739" t="s">
        <v>18404</v>
      </c>
      <c r="Q2739" s="3" t="n">
        <v>42545.0</v>
      </c>
      <c r="R2739" s="3" t="n">
        <v>43279.0</v>
      </c>
      <c r="S2739" s="3" t="n">
        <v>43957.46389167824</v>
      </c>
      <c r="T2739" s="3" t="n">
        <v>44544.45497064815</v>
      </c>
      <c r="U2739" t="s">
        <v>18405</v>
      </c>
      <c r="V2739" t="s">
        <v>18406</v>
      </c>
    </row>
    <row r="2740">
      <c r="A2740" t="s">
        <v>22</v>
      </c>
      <c r="B2740" t="s">
        <v>18407</v>
      </c>
      <c r="C2740" t="s">
        <v>24</v>
      </c>
      <c r="D2740" t="s">
        <v>100</v>
      </c>
      <c r="E2740" t="s">
        <v>18408</v>
      </c>
      <c r="F2740" s="2" t="n">
        <f>HYPERLINK("https://patents.google.com/patent/US20180169279","Google")</f>
        <v>0.0</v>
      </c>
      <c r="G2740" s="2" t="n">
        <f>HYPERLINK("https://patentcenter.uspto.gov/applications/15579093","Patent Center")</f>
        <v>0.0</v>
      </c>
      <c r="H2740" s="2" t="n">
        <f>HYPERLINK("https://worldwide.espacenet.com/patent/search?q=US20180169279","Espacenet")</f>
        <v>0.0</v>
      </c>
      <c r="I2740" s="2" t="n">
        <f>HYPERLINK("https://ppubs.uspto.gov/pubwebapp/external.html?q=20180169279.pn.","USPTO")</f>
        <v>0.0</v>
      </c>
      <c r="J2740" s="2" t="n">
        <f>HYPERLINK("https://image-ppubs.uspto.gov/dirsearch-public/print/downloadPdf/20180169279","USPTO PDF")</f>
        <v>0.0</v>
      </c>
      <c r="K2740" s="2" t="n">
        <f>HYPERLINK("https://sectors.patentforecast.com/pmd/US20180169279","PMD")</f>
        <v>0.0</v>
      </c>
      <c r="L2740" s="2" t="n">
        <f>HYPERLINK("https://globaldossier.uspto.gov/result/application/US/15579093/1","US20180169279")</f>
        <v>0.0</v>
      </c>
      <c r="M2740" t="s">
        <v>18409</v>
      </c>
      <c r="N2740" t="s">
        <v>2928</v>
      </c>
      <c r="O2740" t="s">
        <v>2929</v>
      </c>
      <c r="P2740" t="s">
        <v>18410</v>
      </c>
      <c r="Q2740" s="3" t="n">
        <v>42524.0</v>
      </c>
      <c r="R2740" s="3" t="n">
        <v>43272.0</v>
      </c>
      <c r="S2740" s="3" t="n">
        <v>43957.46389167824</v>
      </c>
      <c r="T2740" s="3" t="n">
        <v>44544.45646105324</v>
      </c>
      <c r="U2740" t="s">
        <v>18411</v>
      </c>
      <c r="V2740" t="s">
        <v>18412</v>
      </c>
    </row>
    <row r="2741">
      <c r="A2741" t="s">
        <v>22</v>
      </c>
      <c r="B2741" t="s">
        <v>18413</v>
      </c>
      <c r="C2741" t="s">
        <v>132</v>
      </c>
      <c r="D2741" t="s">
        <v>142</v>
      </c>
      <c r="E2741" t="s">
        <v>18414</v>
      </c>
      <c r="F2741" s="2" t="n">
        <f>HYPERLINK("https://patents.google.com/patent/US20180169218","Google")</f>
        <v>0.0</v>
      </c>
      <c r="G2741" s="2" t="n">
        <f>HYPERLINK("https://patentcenter.uspto.gov/applications/15892330","Patent Center")</f>
        <v>0.0</v>
      </c>
      <c r="H2741" s="2" t="n">
        <f>HYPERLINK("https://worldwide.espacenet.com/patent/search?q=US20180169218","Espacenet")</f>
        <v>0.0</v>
      </c>
      <c r="I2741" s="2" t="n">
        <f>HYPERLINK("https://ppubs.uspto.gov/pubwebapp/external.html?q=20180169218.pn.","USPTO")</f>
        <v>0.0</v>
      </c>
      <c r="J2741" s="2" t="n">
        <f>HYPERLINK("https://image-ppubs.uspto.gov/dirsearch-public/print/downloadPdf/20180169218","USPTO PDF")</f>
        <v>0.0</v>
      </c>
      <c r="K2741" s="2" t="n">
        <f>HYPERLINK("https://sectors.patentforecast.com/pmd/US20180169218","PMD")</f>
        <v>0.0</v>
      </c>
      <c r="L2741" s="2" t="n">
        <f>HYPERLINK("https://globaldossier.uspto.gov/result/application/US/15892330/1","US20180169218")</f>
        <v>0.0</v>
      </c>
      <c r="M2741" t="s">
        <v>18415</v>
      </c>
      <c r="N2741" t="s">
        <v>136</v>
      </c>
      <c r="O2741" t="s">
        <v>137</v>
      </c>
      <c r="P2741" t="s">
        <v>18416</v>
      </c>
      <c r="Q2741" s="3" t="n">
        <v>43139.0</v>
      </c>
      <c r="R2741" s="3" t="n">
        <v>43272.0</v>
      </c>
      <c r="S2741" s="3" t="n">
        <v>43936.461661469904</v>
      </c>
      <c r="T2741" s="3" t="n">
        <v>43950.457195219904</v>
      </c>
      <c r="U2741" t="s">
        <v>18417</v>
      </c>
      <c r="V2741" t="s">
        <v>18418</v>
      </c>
    </row>
    <row r="2742">
      <c r="A2742" t="s">
        <v>22</v>
      </c>
      <c r="B2742" t="s">
        <v>18419</v>
      </c>
      <c r="C2742" t="s">
        <v>132</v>
      </c>
      <c r="D2742" t="s">
        <v>142</v>
      </c>
      <c r="E2742" t="s">
        <v>17255</v>
      </c>
      <c r="F2742" s="2" t="n">
        <f>HYPERLINK("https://patents.google.com/patent/US20180169202","Google")</f>
        <v>0.0</v>
      </c>
      <c r="G2742" s="2" t="n">
        <f>HYPERLINK("https://patentcenter.uspto.gov/applications/15890736","Patent Center")</f>
        <v>0.0</v>
      </c>
      <c r="H2742" s="2" t="n">
        <f>HYPERLINK("https://worldwide.espacenet.com/patent/search?q=US20180169202","Espacenet")</f>
        <v>0.0</v>
      </c>
      <c r="I2742" s="2" t="n">
        <f>HYPERLINK("https://ppubs.uspto.gov/pubwebapp/external.html?q=20180169202.pn.","USPTO")</f>
        <v>0.0</v>
      </c>
      <c r="J2742" s="2" t="n">
        <f>HYPERLINK("https://image-ppubs.uspto.gov/dirsearch-public/print/downloadPdf/20180169202","USPTO PDF")</f>
        <v>0.0</v>
      </c>
      <c r="K2742" s="2" t="n">
        <f>HYPERLINK("https://sectors.patentforecast.com/pmd/US20180169202","PMD")</f>
        <v>0.0</v>
      </c>
      <c r="L2742" s="2" t="n">
        <f>HYPERLINK("https://globaldossier.uspto.gov/result/application/US/15890736/1","US20180169202")</f>
        <v>0.0</v>
      </c>
      <c r="M2742" t="s">
        <v>18420</v>
      </c>
      <c r="N2742" t="s">
        <v>136</v>
      </c>
      <c r="O2742" t="s">
        <v>137</v>
      </c>
      <c r="P2742" t="s">
        <v>17257</v>
      </c>
      <c r="Q2742" s="3" t="n">
        <v>43138.0</v>
      </c>
      <c r="R2742" s="3" t="n">
        <v>43272.0</v>
      </c>
      <c r="S2742" s="3" t="n">
        <v>43936.461661469904</v>
      </c>
      <c r="T2742" s="3" t="n">
        <v>43950.4570853125</v>
      </c>
      <c r="U2742" t="s">
        <v>18421</v>
      </c>
      <c r="V2742" t="s">
        <v>18422</v>
      </c>
    </row>
    <row r="2743">
      <c r="A2743" t="s">
        <v>22</v>
      </c>
      <c r="B2743" t="s">
        <v>18423</v>
      </c>
      <c r="C2743" t="s">
        <v>132</v>
      </c>
      <c r="D2743" t="s">
        <v>142</v>
      </c>
      <c r="E2743" t="s">
        <v>17255</v>
      </c>
      <c r="F2743" s="2" t="n">
        <f>HYPERLINK("https://patents.google.com/patent/US20180169201","Google")</f>
        <v>0.0</v>
      </c>
      <c r="G2743" s="2" t="n">
        <f>HYPERLINK("https://patentcenter.uspto.gov/applications/15890413","Patent Center")</f>
        <v>0.0</v>
      </c>
      <c r="H2743" s="2" t="n">
        <f>HYPERLINK("https://worldwide.espacenet.com/patent/search?q=US20180169201","Espacenet")</f>
        <v>0.0</v>
      </c>
      <c r="I2743" s="2" t="n">
        <f>HYPERLINK("https://ppubs.uspto.gov/pubwebapp/external.html?q=20180169201.pn.","USPTO")</f>
        <v>0.0</v>
      </c>
      <c r="J2743" s="2" t="n">
        <f>HYPERLINK("https://image-ppubs.uspto.gov/dirsearch-public/print/downloadPdf/20180169201","USPTO PDF")</f>
        <v>0.0</v>
      </c>
      <c r="K2743" s="2" t="n">
        <f>HYPERLINK("https://sectors.patentforecast.com/pmd/US20180169201","PMD")</f>
        <v>0.0</v>
      </c>
      <c r="L2743" s="2" t="n">
        <f>HYPERLINK("https://globaldossier.uspto.gov/result/application/US/15890413/1","US20180169201")</f>
        <v>0.0</v>
      </c>
      <c r="M2743" t="s">
        <v>18424</v>
      </c>
      <c r="N2743" t="s">
        <v>136</v>
      </c>
      <c r="O2743" t="s">
        <v>137</v>
      </c>
      <c r="P2743" t="s">
        <v>17257</v>
      </c>
      <c r="Q2743" s="3" t="n">
        <v>43138.0</v>
      </c>
      <c r="R2743" s="3" t="n">
        <v>43272.0</v>
      </c>
      <c r="S2743" s="3" t="n">
        <v>43936.461661469904</v>
      </c>
      <c r="T2743" s="3" t="n">
        <v>43950.4570853125</v>
      </c>
      <c r="U2743" t="s">
        <v>18421</v>
      </c>
      <c r="V2743" t="s">
        <v>18422</v>
      </c>
    </row>
    <row r="2744">
      <c r="A2744" t="s">
        <v>22</v>
      </c>
      <c r="B2744" t="s">
        <v>18425</v>
      </c>
      <c r="C2744" t="s">
        <v>24</v>
      </c>
      <c r="D2744" t="s">
        <v>3193</v>
      </c>
      <c r="E2744" t="s">
        <v>18426</v>
      </c>
      <c r="F2744" s="2" t="n">
        <f>HYPERLINK("https://patents.google.com/patent/US20180165419","Google")</f>
        <v>0.0</v>
      </c>
      <c r="G2744" s="2" t="n">
        <f>HYPERLINK("https://patentcenter.uspto.gov/applications/15372815","Patent Center")</f>
        <v>0.0</v>
      </c>
      <c r="H2744" s="2" t="n">
        <f>HYPERLINK("https://worldwide.espacenet.com/patent/search?q=US20180165419","Espacenet")</f>
        <v>0.0</v>
      </c>
      <c r="I2744" s="2" t="n">
        <f>HYPERLINK("https://ppubs.uspto.gov/pubwebapp/external.html?q=20180165419.pn.","USPTO")</f>
        <v>0.0</v>
      </c>
      <c r="J2744" s="2" t="n">
        <f>HYPERLINK("https://image-ppubs.uspto.gov/dirsearch-public/print/downloadPdf/20180165419","USPTO PDF")</f>
        <v>0.0</v>
      </c>
      <c r="K2744" s="2" t="n">
        <f>HYPERLINK("https://sectors.patentforecast.com/pmd/US20180165419","PMD")</f>
        <v>0.0</v>
      </c>
      <c r="L2744" s="2" t="n">
        <f>HYPERLINK("https://globaldossier.uspto.gov/result/application/US/15372815/1","US20180165419")</f>
        <v>0.0</v>
      </c>
      <c r="M2744" t="s">
        <v>18427</v>
      </c>
      <c r="N2744" t="s">
        <v>947</v>
      </c>
      <c r="O2744" t="s">
        <v>948</v>
      </c>
      <c r="P2744" t="s">
        <v>18428</v>
      </c>
      <c r="Q2744" s="3" t="n">
        <v>42712.0</v>
      </c>
      <c r="R2744" s="3" t="n">
        <v>43265.0</v>
      </c>
      <c r="S2744" s="3" t="n">
        <v>43908.45851130787</v>
      </c>
      <c r="T2744" s="3" t="n">
        <v>43950.553481944444</v>
      </c>
      <c r="U2744" t="s">
        <v>18429</v>
      </c>
      <c r="V2744" t="s">
        <v>18430</v>
      </c>
    </row>
    <row r="2745">
      <c r="A2745" t="s">
        <v>22</v>
      </c>
      <c r="B2745" t="s">
        <v>18431</v>
      </c>
      <c r="C2745" t="s">
        <v>24</v>
      </c>
      <c r="D2745" t="s">
        <v>25</v>
      </c>
      <c r="E2745" t="s">
        <v>18432</v>
      </c>
      <c r="F2745" s="2" t="n">
        <f>HYPERLINK("https://patents.google.com/patent/US20180163277","Google")</f>
        <v>0.0</v>
      </c>
      <c r="G2745" s="2" t="n">
        <f>HYPERLINK("https://patentcenter.uspto.gov/applications/15834555","Patent Center")</f>
        <v>0.0</v>
      </c>
      <c r="H2745" s="2" t="n">
        <f>HYPERLINK("https://worldwide.espacenet.com/patent/search?q=US20180163277","Espacenet")</f>
        <v>0.0</v>
      </c>
      <c r="I2745" s="2" t="n">
        <f>HYPERLINK("https://ppubs.uspto.gov/pubwebapp/external.html?q=20180163277.pn.","USPTO")</f>
        <v>0.0</v>
      </c>
      <c r="J2745" s="2" t="n">
        <f>HYPERLINK("https://image-ppubs.uspto.gov/dirsearch-public/print/downloadPdf/20180163277","USPTO PDF")</f>
        <v>0.0</v>
      </c>
      <c r="K2745" s="2" t="n">
        <f>HYPERLINK("https://sectors.patentforecast.com/pmd/US20180163277","PMD")</f>
        <v>0.0</v>
      </c>
      <c r="L2745" s="2" t="n">
        <f>HYPERLINK("https://globaldossier.uspto.gov/result/application/US/15834555/1","US20180163277")</f>
        <v>0.0</v>
      </c>
      <c r="M2745" t="s">
        <v>18433</v>
      </c>
      <c r="N2745" t="s">
        <v>1792</v>
      </c>
      <c r="O2745" t="s">
        <v>1793</v>
      </c>
      <c r="P2745" t="s">
        <v>18434</v>
      </c>
      <c r="Q2745" s="3" t="n">
        <v>43076.0</v>
      </c>
      <c r="R2745" s="3" t="n">
        <v>43265.0</v>
      </c>
      <c r="S2745" s="3" t="n">
        <v>43900.437144675925</v>
      </c>
      <c r="T2745" s="3" t="n">
        <v>43903.484632291664</v>
      </c>
      <c r="U2745" t="s">
        <v>18435</v>
      </c>
      <c r="V2745" t="s">
        <v>18436</v>
      </c>
    </row>
    <row r="2746">
      <c r="A2746" t="s">
        <v>22</v>
      </c>
      <c r="B2746" t="s">
        <v>18437</v>
      </c>
      <c r="C2746" t="s">
        <v>60</v>
      </c>
      <c r="D2746" t="s">
        <v>77</v>
      </c>
      <c r="E2746" t="s">
        <v>17300</v>
      </c>
      <c r="F2746" s="2" t="n">
        <f>HYPERLINK("https://patents.google.com/patent/US20180163166","Google")</f>
        <v>0.0</v>
      </c>
      <c r="G2746" s="2" t="n">
        <f>HYPERLINK("https://patentcenter.uspto.gov/applications/15841194","Patent Center")</f>
        <v>0.0</v>
      </c>
      <c r="H2746" s="2" t="n">
        <f>HYPERLINK("https://worldwide.espacenet.com/patent/search?q=US20180163166","Espacenet")</f>
        <v>0.0</v>
      </c>
      <c r="I2746" s="2" t="n">
        <f>HYPERLINK("https://ppubs.uspto.gov/pubwebapp/external.html?q=20180163166.pn.","USPTO")</f>
        <v>0.0</v>
      </c>
      <c r="J2746" s="2" t="n">
        <f>HYPERLINK("https://image-ppubs.uspto.gov/dirsearch-public/print/downloadPdf/20180163166","USPTO PDF")</f>
        <v>0.0</v>
      </c>
      <c r="K2746" s="2" t="n">
        <f>HYPERLINK("https://sectors.patentforecast.com/pmd/US20180163166","PMD")</f>
        <v>0.0</v>
      </c>
      <c r="L2746" s="2" t="n">
        <f>HYPERLINK("https://globaldossier.uspto.gov/result/application/US/15841194/1","US20180163166")</f>
        <v>0.0</v>
      </c>
      <c r="M2746" t="s">
        <v>18438</v>
      </c>
      <c r="N2746" t="s">
        <v>16801</v>
      </c>
      <c r="O2746" t="s">
        <v>16802</v>
      </c>
      <c r="P2746" t="s">
        <v>17302</v>
      </c>
      <c r="Q2746" s="3" t="n">
        <v>43082.0</v>
      </c>
      <c r="R2746" s="3" t="n">
        <v>43265.0</v>
      </c>
      <c r="S2746" s="3" t="n">
        <v>43985.66943511574</v>
      </c>
      <c r="T2746" s="3" t="n">
        <v>43985.67861778935</v>
      </c>
      <c r="U2746" t="s">
        <v>18439</v>
      </c>
      <c r="V2746" t="s">
        <v>18440</v>
      </c>
    </row>
    <row r="2747">
      <c r="A2747" t="s">
        <v>22</v>
      </c>
      <c r="B2747" t="s">
        <v>18441</v>
      </c>
      <c r="C2747" t="s">
        <v>132</v>
      </c>
      <c r="D2747" t="s">
        <v>142</v>
      </c>
      <c r="E2747" t="s">
        <v>18414</v>
      </c>
      <c r="F2747" s="2" t="n">
        <f>HYPERLINK("https://patents.google.com/patent/US20180161422","Google")</f>
        <v>0.0</v>
      </c>
      <c r="G2747" s="2" t="n">
        <f>HYPERLINK("https://patentcenter.uspto.gov/applications/15892356","Patent Center")</f>
        <v>0.0</v>
      </c>
      <c r="H2747" s="2" t="n">
        <f>HYPERLINK("https://worldwide.espacenet.com/patent/search?q=US20180161422","Espacenet")</f>
        <v>0.0</v>
      </c>
      <c r="I2747" s="2" t="n">
        <f>HYPERLINK("https://ppubs.uspto.gov/pubwebapp/external.html?q=20180161422.pn.","USPTO")</f>
        <v>0.0</v>
      </c>
      <c r="J2747" s="2" t="n">
        <f>HYPERLINK("https://image-ppubs.uspto.gov/dirsearch-public/print/downloadPdf/20180161422","USPTO PDF")</f>
        <v>0.0</v>
      </c>
      <c r="K2747" s="2" t="n">
        <f>HYPERLINK("https://sectors.patentforecast.com/pmd/US20180161422","PMD")</f>
        <v>0.0</v>
      </c>
      <c r="L2747" s="2" t="n">
        <f>HYPERLINK("https://globaldossier.uspto.gov/result/application/US/15892356/1","US20180161422")</f>
        <v>0.0</v>
      </c>
      <c r="M2747" t="s">
        <v>18442</v>
      </c>
      <c r="N2747" t="s">
        <v>136</v>
      </c>
      <c r="O2747" t="s">
        <v>137</v>
      </c>
      <c r="P2747" t="s">
        <v>18416</v>
      </c>
      <c r="Q2747" s="3" t="n">
        <v>43139.0</v>
      </c>
      <c r="R2747" s="3" t="n">
        <v>43265.0</v>
      </c>
      <c r="S2747" s="3" t="n">
        <v>43943.46141087963</v>
      </c>
      <c r="T2747" s="3" t="n">
        <v>43950.45727640046</v>
      </c>
      <c r="U2747" t="s">
        <v>18417</v>
      </c>
      <c r="V2747" t="s">
        <v>18418</v>
      </c>
    </row>
    <row r="2748">
      <c r="A2748" t="s">
        <v>22</v>
      </c>
      <c r="B2748" t="s">
        <v>18443</v>
      </c>
      <c r="C2748" t="s">
        <v>60</v>
      </c>
      <c r="D2748" t="s">
        <v>61</v>
      </c>
      <c r="E2748" t="s">
        <v>18444</v>
      </c>
      <c r="F2748" s="2" t="n">
        <f>HYPERLINK("https://patents.google.com/patent/US20180155410","Google")</f>
        <v>0.0</v>
      </c>
      <c r="G2748" s="2" t="n">
        <f>HYPERLINK("https://patentcenter.uspto.gov/applications/15828260","Patent Center")</f>
        <v>0.0</v>
      </c>
      <c r="H2748" s="2" t="n">
        <f>HYPERLINK("https://worldwide.espacenet.com/patent/search?q=US20180155410","Espacenet")</f>
        <v>0.0</v>
      </c>
      <c r="I2748" s="2" t="n">
        <f>HYPERLINK("https://ppubs.uspto.gov/pubwebapp/external.html?q=20180155410.pn.","USPTO")</f>
        <v>0.0</v>
      </c>
      <c r="J2748" s="2" t="n">
        <f>HYPERLINK("https://image-ppubs.uspto.gov/dirsearch-public/print/downloadPdf/20180155410","USPTO PDF")</f>
        <v>0.0</v>
      </c>
      <c r="K2748" s="2" t="n">
        <f>HYPERLINK("https://sectors.patentforecast.com/pmd/US20180155410","PMD")</f>
        <v>0.0</v>
      </c>
      <c r="L2748" s="2" t="n">
        <f>HYPERLINK("https://globaldossier.uspto.gov/result/application/US/15828260/1","US20180155410")</f>
        <v>0.0</v>
      </c>
      <c r="M2748" t="s">
        <v>18445</v>
      </c>
      <c r="N2748" t="s">
        <v>18446</v>
      </c>
      <c r="O2748" t="s">
        <v>18447</v>
      </c>
      <c r="P2748" t="s">
        <v>18448</v>
      </c>
      <c r="Q2748" s="3" t="n">
        <v>43069.0</v>
      </c>
      <c r="R2748" s="3" t="n">
        <v>43258.0</v>
      </c>
      <c r="S2748" s="3" t="n">
        <v>43943.46141087963</v>
      </c>
      <c r="T2748" s="3" t="n">
        <v>43985.39347150463</v>
      </c>
      <c r="U2748" t="s">
        <v>18449</v>
      </c>
      <c r="V2748" t="s">
        <v>18450</v>
      </c>
    </row>
    <row r="2749">
      <c r="A2749" t="s">
        <v>22</v>
      </c>
      <c r="B2749" t="s">
        <v>18451</v>
      </c>
      <c r="C2749" t="s">
        <v>60</v>
      </c>
      <c r="D2749" t="s">
        <v>61</v>
      </c>
      <c r="E2749" t="s">
        <v>17001</v>
      </c>
      <c r="F2749" s="2" t="n">
        <f>HYPERLINK("https://patents.google.com/patent/US20180155317","Google")</f>
        <v>0.0</v>
      </c>
      <c r="G2749" s="2" t="n">
        <f>HYPERLINK("https://patentcenter.uspto.gov/applications/15651856","Patent Center")</f>
        <v>0.0</v>
      </c>
      <c r="H2749" s="2" t="n">
        <f>HYPERLINK("https://worldwide.espacenet.com/patent/search?q=US20180155317","Espacenet")</f>
        <v>0.0</v>
      </c>
      <c r="I2749" s="2" t="n">
        <f>HYPERLINK("https://ppubs.uspto.gov/pubwebapp/external.html?q=20180155317.pn.","USPTO")</f>
        <v>0.0</v>
      </c>
      <c r="J2749" s="2" t="n">
        <f>HYPERLINK("https://image-ppubs.uspto.gov/dirsearch-public/print/downloadPdf/20180155317","USPTO PDF")</f>
        <v>0.0</v>
      </c>
      <c r="K2749" s="2" t="n">
        <f>HYPERLINK("https://sectors.patentforecast.com/pmd/US20180155317","PMD")</f>
        <v>0.0</v>
      </c>
      <c r="L2749" s="2" t="n">
        <f>HYPERLINK("https://globaldossier.uspto.gov/result/application/US/15651856/1","US20180155317")</f>
        <v>0.0</v>
      </c>
      <c r="M2749" t="s">
        <v>18452</v>
      </c>
      <c r="N2749" t="s">
        <v>17003</v>
      </c>
      <c r="O2749" t="s">
        <v>17004</v>
      </c>
      <c r="P2749" t="s">
        <v>18453</v>
      </c>
      <c r="Q2749" s="3" t="n">
        <v>42933.0</v>
      </c>
      <c r="R2749" s="3" t="n">
        <v>43258.0</v>
      </c>
      <c r="S2749" s="3" t="n">
        <v>43943.46141087963</v>
      </c>
      <c r="T2749" s="3" t="n">
        <v>43950.40333822917</v>
      </c>
      <c r="U2749" t="s">
        <v>18454</v>
      </c>
      <c r="V2749" t="s">
        <v>18455</v>
      </c>
    </row>
    <row r="2750">
      <c r="A2750" t="s">
        <v>22</v>
      </c>
      <c r="B2750" t="s">
        <v>18456</v>
      </c>
      <c r="C2750" t="s">
        <v>24</v>
      </c>
      <c r="D2750" t="s">
        <v>1450</v>
      </c>
      <c r="E2750" t="s">
        <v>18457</v>
      </c>
      <c r="F2750" s="2" t="n">
        <f>HYPERLINK("https://patents.google.com/patent/US20180150601","Google")</f>
        <v>0.0</v>
      </c>
      <c r="G2750" s="2" t="n">
        <f>HYPERLINK("https://patentcenter.uspto.gov/applications/15796246","Patent Center")</f>
        <v>0.0</v>
      </c>
      <c r="H2750" s="2" t="n">
        <f>HYPERLINK("https://worldwide.espacenet.com/patent/search?q=US20180150601","Espacenet")</f>
        <v>0.0</v>
      </c>
      <c r="I2750" s="2" t="n">
        <f>HYPERLINK("https://ppubs.uspto.gov/pubwebapp/external.html?q=20180150601.pn.","USPTO")</f>
        <v>0.0</v>
      </c>
      <c r="J2750" s="2" t="n">
        <f>HYPERLINK("https://image-ppubs.uspto.gov/dirsearch-public/print/downloadPdf/20180150601","USPTO PDF")</f>
        <v>0.0</v>
      </c>
      <c r="K2750" s="2" t="n">
        <f>HYPERLINK("https://sectors.patentforecast.com/pmd/US20180150601","PMD")</f>
        <v>0.0</v>
      </c>
      <c r="L2750" s="2" t="n">
        <f>HYPERLINK("https://globaldossier.uspto.gov/result/application/US/15796246/1","US20180150601")</f>
        <v>0.0</v>
      </c>
      <c r="M2750" t="s">
        <v>18458</v>
      </c>
      <c r="N2750" t="s">
        <v>18459</v>
      </c>
      <c r="O2750" t="s">
        <v>18460</v>
      </c>
      <c r="P2750" t="s">
        <v>18461</v>
      </c>
      <c r="Q2750" s="3" t="n">
        <v>43035.0</v>
      </c>
      <c r="R2750" s="3" t="n">
        <v>43251.0</v>
      </c>
      <c r="S2750" s="3" t="n">
        <v>43908.45851130787</v>
      </c>
      <c r="T2750" s="3" t="n">
        <v>44543.6127087037</v>
      </c>
      <c r="U2750" t="s">
        <v>18462</v>
      </c>
      <c r="V2750" t="s">
        <v>18463</v>
      </c>
    </row>
    <row r="2751">
      <c r="A2751" t="s">
        <v>22</v>
      </c>
      <c r="B2751" t="s">
        <v>18464</v>
      </c>
      <c r="C2751" t="s">
        <v>312</v>
      </c>
      <c r="D2751" t="s">
        <v>313</v>
      </c>
      <c r="E2751" t="s">
        <v>18457</v>
      </c>
      <c r="F2751" s="2" t="n">
        <f>HYPERLINK("https://patents.google.com/patent/US20180150600","Google")</f>
        <v>0.0</v>
      </c>
      <c r="G2751" s="2" t="n">
        <f>HYPERLINK("https://patentcenter.uspto.gov/applications/15364693","Patent Center")</f>
        <v>0.0</v>
      </c>
      <c r="H2751" s="2" t="n">
        <f>HYPERLINK("https://worldwide.espacenet.com/patent/search?q=US20180150600","Espacenet")</f>
        <v>0.0</v>
      </c>
      <c r="I2751" s="2" t="n">
        <f>HYPERLINK("https://ppubs.uspto.gov/pubwebapp/external.html?q=20180150600.pn.","USPTO")</f>
        <v>0.0</v>
      </c>
      <c r="J2751" s="2" t="n">
        <f>HYPERLINK("https://image-ppubs.uspto.gov/dirsearch-public/print/downloadPdf/20180150600","USPTO PDF")</f>
        <v>0.0</v>
      </c>
      <c r="K2751" s="2" t="n">
        <f>HYPERLINK("https://sectors.patentforecast.com/pmd/US20180150600","PMD")</f>
        <v>0.0</v>
      </c>
      <c r="L2751" s="2" t="n">
        <f>HYPERLINK("https://globaldossier.uspto.gov/result/application/US/15364693/1","US20180150600")</f>
        <v>0.0</v>
      </c>
      <c r="M2751" t="s">
        <v>18465</v>
      </c>
      <c r="N2751" t="s">
        <v>947</v>
      </c>
      <c r="O2751" t="s">
        <v>948</v>
      </c>
      <c r="P2751" t="s">
        <v>18461</v>
      </c>
      <c r="Q2751" s="3" t="n">
        <v>42704.0</v>
      </c>
      <c r="R2751" s="3" t="n">
        <v>43251.0</v>
      </c>
      <c r="S2751" s="3" t="n">
        <v>43908.45851130787</v>
      </c>
      <c r="T2751" s="3" t="n">
        <v>43990.713289039355</v>
      </c>
      <c r="U2751" t="s">
        <v>18466</v>
      </c>
      <c r="V2751" t="s">
        <v>18463</v>
      </c>
    </row>
    <row r="2752">
      <c r="A2752" t="s">
        <v>22</v>
      </c>
      <c r="B2752" t="s">
        <v>18467</v>
      </c>
      <c r="C2752" t="s">
        <v>132</v>
      </c>
      <c r="D2752" t="s">
        <v>18029</v>
      </c>
      <c r="E2752" t="s">
        <v>18468</v>
      </c>
      <c r="F2752" s="2" t="n">
        <f>HYPERLINK("https://patents.google.com/patent/US20180147278","Google")</f>
        <v>0.0</v>
      </c>
      <c r="G2752" s="2" t="n">
        <f>HYPERLINK("https://patentcenter.uspto.gov/applications/15801754","Patent Center")</f>
        <v>0.0</v>
      </c>
      <c r="H2752" s="2" t="n">
        <f>HYPERLINK("https://worldwide.espacenet.com/patent/search?q=US20180147278","Espacenet")</f>
        <v>0.0</v>
      </c>
      <c r="I2752" s="2" t="n">
        <f>HYPERLINK("https://ppubs.uspto.gov/pubwebapp/external.html?q=20180147278.pn.","USPTO")</f>
        <v>0.0</v>
      </c>
      <c r="J2752" s="2" t="n">
        <f>HYPERLINK("https://image-ppubs.uspto.gov/dirsearch-public/print/downloadPdf/20180147278","USPTO PDF")</f>
        <v>0.0</v>
      </c>
      <c r="K2752" s="2" t="n">
        <f>HYPERLINK("https://sectors.patentforecast.com/pmd/US20180147278","PMD")</f>
        <v>0.0</v>
      </c>
      <c r="L2752" s="2" t="n">
        <f>HYPERLINK("https://globaldossier.uspto.gov/result/application/US/15801754/1","US20180147278")</f>
        <v>0.0</v>
      </c>
      <c r="M2752" t="s">
        <v>18469</v>
      </c>
      <c r="N2752" t="s">
        <v>16179</v>
      </c>
      <c r="O2752" t="s">
        <v>16180</v>
      </c>
      <c r="P2752" t="s">
        <v>18470</v>
      </c>
      <c r="Q2752" s="3" t="n">
        <v>43041.0</v>
      </c>
      <c r="R2752" s="3" t="n">
        <v>43251.0</v>
      </c>
      <c r="S2752" s="3" t="n">
        <v>43943.46141087963</v>
      </c>
      <c r="T2752" s="3" t="n">
        <v>43951.356174340275</v>
      </c>
      <c r="U2752" t="s">
        <v>18471</v>
      </c>
      <c r="V2752" t="s">
        <v>18472</v>
      </c>
    </row>
    <row r="2753">
      <c r="A2753" t="s">
        <v>22</v>
      </c>
      <c r="B2753" t="s">
        <v>18473</v>
      </c>
      <c r="C2753" t="s">
        <v>132</v>
      </c>
      <c r="D2753" t="s">
        <v>1265</v>
      </c>
      <c r="E2753" t="s">
        <v>18474</v>
      </c>
      <c r="F2753" s="2" t="n">
        <f>HYPERLINK("https://patents.google.com/patent/US20180147276","Google")</f>
        <v>0.0</v>
      </c>
      <c r="G2753" s="2" t="n">
        <f>HYPERLINK("https://patentcenter.uspto.gov/applications/15828067","Patent Center")</f>
        <v>0.0</v>
      </c>
      <c r="H2753" s="2" t="n">
        <f>HYPERLINK("https://worldwide.espacenet.com/patent/search?q=US20180147276","Espacenet")</f>
        <v>0.0</v>
      </c>
      <c r="I2753" s="2" t="n">
        <f>HYPERLINK("https://ppubs.uspto.gov/pubwebapp/external.html?q=20180147276.pn.","USPTO")</f>
        <v>0.0</v>
      </c>
      <c r="J2753" s="2" t="n">
        <f>HYPERLINK("https://image-ppubs.uspto.gov/dirsearch-public/print/downloadPdf/20180147276","USPTO PDF")</f>
        <v>0.0</v>
      </c>
      <c r="K2753" s="2" t="n">
        <f>HYPERLINK("https://sectors.patentforecast.com/pmd/US20180147276","PMD")</f>
        <v>0.0</v>
      </c>
      <c r="L2753" s="2" t="n">
        <f>HYPERLINK("https://globaldossier.uspto.gov/result/application/US/15828067/1","US20180147276")</f>
        <v>0.0</v>
      </c>
      <c r="M2753" t="s">
        <v>18475</v>
      </c>
      <c r="N2753" t="s">
        <v>16179</v>
      </c>
      <c r="O2753" t="s">
        <v>16180</v>
      </c>
      <c r="P2753" t="s">
        <v>18476</v>
      </c>
      <c r="Q2753" s="3" t="n">
        <v>43069.0</v>
      </c>
      <c r="R2753" s="3" t="n">
        <v>43251.0</v>
      </c>
      <c r="S2753" s="3" t="n">
        <v>43957.46387940972</v>
      </c>
      <c r="T2753" s="3" t="n">
        <v>44544.456561886574</v>
      </c>
      <c r="U2753" t="s">
        <v>18477</v>
      </c>
      <c r="V2753" t="s">
        <v>18478</v>
      </c>
    </row>
    <row r="2754">
      <c r="A2754" t="s">
        <v>22</v>
      </c>
      <c r="B2754" t="s">
        <v>18479</v>
      </c>
      <c r="C2754" t="s">
        <v>312</v>
      </c>
      <c r="D2754" t="s">
        <v>3202</v>
      </c>
      <c r="E2754" t="s">
        <v>18480</v>
      </c>
      <c r="F2754" s="2" t="n">
        <f>HYPERLINK("https://patents.google.com/patent/US20180144103","Google")</f>
        <v>0.0</v>
      </c>
      <c r="G2754" s="2" t="n">
        <f>HYPERLINK("https://patentcenter.uspto.gov/applications/15403996","Patent Center")</f>
        <v>0.0</v>
      </c>
      <c r="H2754" s="2" t="n">
        <f>HYPERLINK("https://worldwide.espacenet.com/patent/search?q=US20180144103","Espacenet")</f>
        <v>0.0</v>
      </c>
      <c r="I2754" s="2" t="n">
        <f>HYPERLINK("https://ppubs.uspto.gov/pubwebapp/external.html?q=20180144103.pn.","USPTO")</f>
        <v>0.0</v>
      </c>
      <c r="J2754" s="2" t="n">
        <f>HYPERLINK("https://image-ppubs.uspto.gov/dirsearch-public/print/downloadPdf/20180144103","USPTO PDF")</f>
        <v>0.0</v>
      </c>
      <c r="K2754" s="2" t="n">
        <f>HYPERLINK("https://sectors.patentforecast.com/pmd/US20180144103","PMD")</f>
        <v>0.0</v>
      </c>
      <c r="L2754" s="2" t="n">
        <f>HYPERLINK("https://globaldossier.uspto.gov/result/application/US/15403996/1","US20180144103")</f>
        <v>0.0</v>
      </c>
      <c r="M2754" t="s">
        <v>18481</v>
      </c>
      <c r="N2754" t="s">
        <v>18482</v>
      </c>
      <c r="O2754" t="s">
        <v>18483</v>
      </c>
      <c r="P2754" t="s">
        <v>18484</v>
      </c>
      <c r="Q2754" s="3" t="n">
        <v>42746.0</v>
      </c>
      <c r="R2754" s="3" t="n">
        <v>43244.0</v>
      </c>
      <c r="S2754" s="3" t="n">
        <v>43908.45851130787</v>
      </c>
      <c r="T2754" s="3" t="n">
        <v>44543.607256689815</v>
      </c>
      <c r="U2754" t="s">
        <v>18485</v>
      </c>
      <c r="V2754" t="s">
        <v>18486</v>
      </c>
    </row>
    <row r="2755">
      <c r="A2755" t="s">
        <v>22</v>
      </c>
      <c r="B2755" t="s">
        <v>18487</v>
      </c>
      <c r="C2755" t="s">
        <v>60</v>
      </c>
      <c r="D2755" t="s">
        <v>61</v>
      </c>
      <c r="E2755" t="s">
        <v>18488</v>
      </c>
      <c r="F2755" s="2" t="n">
        <f>HYPERLINK("https://patents.google.com/patent/US20180140659","Google")</f>
        <v>0.0</v>
      </c>
      <c r="G2755" s="2" t="n">
        <f>HYPERLINK("https://patentcenter.uspto.gov/applications/15869396","Patent Center")</f>
        <v>0.0</v>
      </c>
      <c r="H2755" s="2" t="n">
        <f>HYPERLINK("https://worldwide.espacenet.com/patent/search?q=US20180140659","Espacenet")</f>
        <v>0.0</v>
      </c>
      <c r="I2755" s="2" t="n">
        <f>HYPERLINK("https://ppubs.uspto.gov/pubwebapp/external.html?q=20180140659.pn.","USPTO")</f>
        <v>0.0</v>
      </c>
      <c r="J2755" s="2" t="n">
        <f>HYPERLINK("https://image-ppubs.uspto.gov/dirsearch-public/print/downloadPdf/20180140659","USPTO PDF")</f>
        <v>0.0</v>
      </c>
      <c r="K2755" s="2" t="n">
        <f>HYPERLINK("https://sectors.patentforecast.com/pmd/US20180140659","PMD")</f>
        <v>0.0</v>
      </c>
      <c r="L2755" s="2" t="n">
        <f>HYPERLINK("https://globaldossier.uspto.gov/result/application/US/15869396/1","US20180140659")</f>
        <v>0.0</v>
      </c>
      <c r="M2755" t="s">
        <v>18489</v>
      </c>
      <c r="N2755" t="s">
        <v>18490</v>
      </c>
      <c r="O2755" t="s">
        <v>18491</v>
      </c>
      <c r="P2755" t="s">
        <v>18492</v>
      </c>
      <c r="Q2755" s="3" t="n">
        <v>43112.0</v>
      </c>
      <c r="R2755" s="3" t="n">
        <v>43244.0</v>
      </c>
      <c r="S2755" s="3" t="n">
        <v>43943.46141087963</v>
      </c>
      <c r="T2755" s="3" t="n">
        <v>43985.40143837963</v>
      </c>
      <c r="U2755" t="s">
        <v>18493</v>
      </c>
      <c r="V2755" t="s">
        <v>18494</v>
      </c>
    </row>
    <row r="2756">
      <c r="A2756" t="s">
        <v>22</v>
      </c>
      <c r="B2756" t="s">
        <v>18495</v>
      </c>
      <c r="C2756" t="s">
        <v>132</v>
      </c>
      <c r="D2756" t="s">
        <v>142</v>
      </c>
      <c r="E2756" t="s">
        <v>18496</v>
      </c>
      <c r="F2756" s="2" t="n">
        <f>HYPERLINK("https://patents.google.com/patent/US20180140625","Google")</f>
        <v>0.0</v>
      </c>
      <c r="G2756" s="2" t="n">
        <f>HYPERLINK("https://patentcenter.uspto.gov/applications/15664017","Patent Center")</f>
        <v>0.0</v>
      </c>
      <c r="H2756" s="2" t="n">
        <f>HYPERLINK("https://worldwide.espacenet.com/patent/search?q=US20180140625","Espacenet")</f>
        <v>0.0</v>
      </c>
      <c r="I2756" s="2" t="n">
        <f>HYPERLINK("https://ppubs.uspto.gov/pubwebapp/external.html?q=20180140625.pn.","USPTO")</f>
        <v>0.0</v>
      </c>
      <c r="J2756" s="2" t="n">
        <f>HYPERLINK("https://image-ppubs.uspto.gov/dirsearch-public/print/downloadPdf/20180140625","USPTO PDF")</f>
        <v>0.0</v>
      </c>
      <c r="K2756" s="2" t="n">
        <f>HYPERLINK("https://sectors.patentforecast.com/pmd/US20180140625","PMD")</f>
        <v>0.0</v>
      </c>
      <c r="L2756" s="2" t="n">
        <f>HYPERLINK("https://globaldossier.uspto.gov/result/application/US/15664017/1","US20180140625")</f>
        <v>0.0</v>
      </c>
      <c r="M2756" t="s">
        <v>18497</v>
      </c>
      <c r="N2756" t="s">
        <v>1251</v>
      </c>
      <c r="O2756" t="s">
        <v>1252</v>
      </c>
      <c r="P2756" t="s">
        <v>18498</v>
      </c>
      <c r="Q2756" s="3" t="n">
        <v>42947.0</v>
      </c>
      <c r="R2756" s="3" t="n">
        <v>43244.0</v>
      </c>
      <c r="S2756" s="3" t="n">
        <v>43943.46141087963</v>
      </c>
      <c r="T2756" s="3" t="n">
        <v>43985.414656886576</v>
      </c>
      <c r="U2756" t="s">
        <v>18499</v>
      </c>
      <c r="V2756" t="s">
        <v>18500</v>
      </c>
    </row>
    <row r="2757">
      <c r="A2757" t="s">
        <v>22</v>
      </c>
      <c r="B2757" t="s">
        <v>18501</v>
      </c>
      <c r="C2757" t="s">
        <v>132</v>
      </c>
      <c r="D2757" t="s">
        <v>1265</v>
      </c>
      <c r="E2757" t="s">
        <v>18502</v>
      </c>
      <c r="F2757" s="2" t="n">
        <f>HYPERLINK("https://patents.google.com/patent/US20180133303","Google")</f>
        <v>0.0</v>
      </c>
      <c r="G2757" s="2" t="n">
        <f>HYPERLINK("https://patentcenter.uspto.gov/applications/15566069","Patent Center")</f>
        <v>0.0</v>
      </c>
      <c r="H2757" s="2" t="n">
        <f>HYPERLINK("https://worldwide.espacenet.com/patent/search?q=US20180133303","Espacenet")</f>
        <v>0.0</v>
      </c>
      <c r="I2757" s="2" t="n">
        <f>HYPERLINK("https://ppubs.uspto.gov/pubwebapp/external.html?q=20180133303.pn.","USPTO")</f>
        <v>0.0</v>
      </c>
      <c r="J2757" s="2" t="n">
        <f>HYPERLINK("https://image-ppubs.uspto.gov/dirsearch-public/print/downloadPdf/20180133303","USPTO PDF")</f>
        <v>0.0</v>
      </c>
      <c r="K2757" s="2" t="n">
        <f>HYPERLINK("https://sectors.patentforecast.com/pmd/US20180133303","PMD")</f>
        <v>0.0</v>
      </c>
      <c r="L2757" s="2" t="n">
        <f>HYPERLINK("https://globaldossier.uspto.gov/result/application/US/15566069/1","US20180133303")</f>
        <v>0.0</v>
      </c>
      <c r="M2757" t="s">
        <v>18503</v>
      </c>
      <c r="N2757" t="s">
        <v>8210</v>
      </c>
      <c r="O2757" t="s">
        <v>8211</v>
      </c>
      <c r="P2757" t="s">
        <v>18504</v>
      </c>
      <c r="Q2757" s="3" t="n">
        <v>42472.0</v>
      </c>
      <c r="R2757" s="3" t="n">
        <v>43237.0</v>
      </c>
      <c r="S2757" s="3" t="n">
        <v>43943.46141087963</v>
      </c>
      <c r="T2757" s="3" t="n">
        <v>43985.43803</v>
      </c>
      <c r="U2757" t="s">
        <v>18505</v>
      </c>
      <c r="V2757" t="s">
        <v>18506</v>
      </c>
    </row>
    <row r="2758">
      <c r="A2758" t="s">
        <v>22</v>
      </c>
      <c r="B2758" t="s">
        <v>18507</v>
      </c>
      <c r="C2758" t="s">
        <v>24</v>
      </c>
      <c r="D2758" t="s">
        <v>25</v>
      </c>
      <c r="E2758" t="s">
        <v>18508</v>
      </c>
      <c r="F2758" s="2" t="n">
        <f>HYPERLINK("https://patents.google.com/patent/US20180127836","Google")</f>
        <v>0.0</v>
      </c>
      <c r="G2758" s="2" t="n">
        <f>HYPERLINK("https://patentcenter.uspto.gov/applications/15572125","Patent Center")</f>
        <v>0.0</v>
      </c>
      <c r="H2758" s="2" t="n">
        <f>HYPERLINK("https://worldwide.espacenet.com/patent/search?q=US20180127836","Espacenet")</f>
        <v>0.0</v>
      </c>
      <c r="I2758" s="2" t="n">
        <f>HYPERLINK("https://ppubs.uspto.gov/pubwebapp/external.html?q=20180127836.pn.","USPTO")</f>
        <v>0.0</v>
      </c>
      <c r="J2758" s="2" t="n">
        <f>HYPERLINK("https://image-ppubs.uspto.gov/dirsearch-public/print/downloadPdf/20180127836","USPTO PDF")</f>
        <v>0.0</v>
      </c>
      <c r="K2758" s="2" t="n">
        <f>HYPERLINK("https://sectors.patentforecast.com/pmd/US20180127836","PMD")</f>
        <v>0.0</v>
      </c>
      <c r="L2758" s="2" t="n">
        <f>HYPERLINK("https://globaldossier.uspto.gov/result/application/US/15572125/1","US20180127836")</f>
        <v>0.0</v>
      </c>
      <c r="M2758" t="s">
        <v>18509</v>
      </c>
      <c r="N2758" t="s">
        <v>14442</v>
      </c>
      <c r="O2758" t="s">
        <v>14443</v>
      </c>
      <c r="P2758" t="s">
        <v>18510</v>
      </c>
      <c r="Q2758" s="3" t="n">
        <v>42496.0</v>
      </c>
      <c r="R2758" s="3" t="n">
        <v>43230.0</v>
      </c>
      <c r="S2758" s="3" t="n">
        <v>43943.46141087963</v>
      </c>
      <c r="T2758" s="3" t="n">
        <v>43985.394789247686</v>
      </c>
      <c r="U2758" t="s">
        <v>18511</v>
      </c>
      <c r="V2758" t="s">
        <v>18512</v>
      </c>
    </row>
    <row r="2759">
      <c r="A2759" t="s">
        <v>22</v>
      </c>
      <c r="B2759" t="s">
        <v>18513</v>
      </c>
      <c r="C2759" t="s">
        <v>132</v>
      </c>
      <c r="D2759" t="s">
        <v>142</v>
      </c>
      <c r="E2759" t="s">
        <v>18514</v>
      </c>
      <c r="F2759" s="2" t="n">
        <f>HYPERLINK("https://patents.google.com/patent/US20180127783","Google")</f>
        <v>0.0</v>
      </c>
      <c r="G2759" s="2" t="n">
        <f>HYPERLINK("https://patentcenter.uspto.gov/applications/15825616","Patent Center")</f>
        <v>0.0</v>
      </c>
      <c r="H2759" s="2" t="n">
        <f>HYPERLINK("https://worldwide.espacenet.com/patent/search?q=US20180127783","Espacenet")</f>
        <v>0.0</v>
      </c>
      <c r="I2759" s="2" t="n">
        <f>HYPERLINK("https://ppubs.uspto.gov/pubwebapp/external.html?q=20180127783.pn.","USPTO")</f>
        <v>0.0</v>
      </c>
      <c r="J2759" s="2" t="n">
        <f>HYPERLINK("https://image-ppubs.uspto.gov/dirsearch-public/print/downloadPdf/20180127783","USPTO PDF")</f>
        <v>0.0</v>
      </c>
      <c r="K2759" s="2" t="n">
        <f>HYPERLINK("https://sectors.patentforecast.com/pmd/US20180127783","PMD")</f>
        <v>0.0</v>
      </c>
      <c r="L2759" s="2" t="n">
        <f>HYPERLINK("https://globaldossier.uspto.gov/result/application/US/15825616/1","US20180127783")</f>
        <v>0.0</v>
      </c>
      <c r="M2759" t="s">
        <v>18515</v>
      </c>
      <c r="N2759" t="s">
        <v>18516</v>
      </c>
      <c r="O2759" t="s">
        <v>18517</v>
      </c>
      <c r="P2759" t="s">
        <v>18518</v>
      </c>
      <c r="Q2759" s="3" t="n">
        <v>43068.0</v>
      </c>
      <c r="R2759" s="3" t="n">
        <v>43230.0</v>
      </c>
      <c r="S2759" s="3" t="n">
        <v>43943.46141087963</v>
      </c>
      <c r="T2759" s="3" t="n">
        <v>43985.411184780096</v>
      </c>
      <c r="U2759" t="s">
        <v>18519</v>
      </c>
      <c r="V2759" t="s">
        <v>18520</v>
      </c>
    </row>
    <row r="2760">
      <c r="A2760" t="s">
        <v>22</v>
      </c>
      <c r="B2760" t="s">
        <v>18521</v>
      </c>
      <c r="C2760" t="s">
        <v>60</v>
      </c>
      <c r="D2760" t="s">
        <v>61</v>
      </c>
      <c r="E2760" t="s">
        <v>18522</v>
      </c>
      <c r="F2760" s="2" t="n">
        <f>HYPERLINK("https://patents.google.com/patent/US20180127384","Google")</f>
        <v>0.0</v>
      </c>
      <c r="G2760" s="2" t="n">
        <f>HYPERLINK("https://patentcenter.uspto.gov/applications/15629307","Patent Center")</f>
        <v>0.0</v>
      </c>
      <c r="H2760" s="2" t="n">
        <f>HYPERLINK("https://worldwide.espacenet.com/patent/search?q=US20180127384","Espacenet")</f>
        <v>0.0</v>
      </c>
      <c r="I2760" s="2" t="n">
        <f>HYPERLINK("https://ppubs.uspto.gov/pubwebapp/external.html?q=20180127384.pn.","USPTO")</f>
        <v>0.0</v>
      </c>
      <c r="J2760" s="2" t="n">
        <f>HYPERLINK("https://image-ppubs.uspto.gov/dirsearch-public/print/downloadPdf/20180127384","USPTO PDF")</f>
        <v>0.0</v>
      </c>
      <c r="K2760" s="2" t="n">
        <f>HYPERLINK("https://sectors.patentforecast.com/pmd/US20180127384","PMD")</f>
        <v>0.0</v>
      </c>
      <c r="L2760" s="2" t="n">
        <f>HYPERLINK("https://globaldossier.uspto.gov/result/application/US/15629307/1","US20180127384")</f>
        <v>0.0</v>
      </c>
      <c r="M2760" t="s">
        <v>18523</v>
      </c>
      <c r="N2760" t="s">
        <v>17003</v>
      </c>
      <c r="O2760" t="s">
        <v>17004</v>
      </c>
      <c r="P2760" t="s">
        <v>18524</v>
      </c>
      <c r="Q2760" s="3" t="n">
        <v>42907.0</v>
      </c>
      <c r="R2760" s="3" t="n">
        <v>43230.0</v>
      </c>
      <c r="S2760" s="3" t="n">
        <v>43943.46141087963</v>
      </c>
      <c r="T2760" s="3" t="n">
        <v>43950.40331555556</v>
      </c>
      <c r="U2760" t="s">
        <v>18525</v>
      </c>
      <c r="V2760" t="s">
        <v>18526</v>
      </c>
    </row>
    <row r="2761">
      <c r="A2761" t="s">
        <v>22</v>
      </c>
      <c r="B2761" t="s">
        <v>18527</v>
      </c>
      <c r="C2761" t="s">
        <v>132</v>
      </c>
      <c r="D2761" t="s">
        <v>142</v>
      </c>
      <c r="E2761" t="s">
        <v>18528</v>
      </c>
      <c r="F2761" s="2" t="n">
        <f>HYPERLINK("https://patents.google.com/patent/US20180126003","Google")</f>
        <v>0.0</v>
      </c>
      <c r="G2761" s="2" t="n">
        <f>HYPERLINK("https://patentcenter.uspto.gov/applications/15585561","Patent Center")</f>
        <v>0.0</v>
      </c>
      <c r="H2761" s="2" t="n">
        <f>HYPERLINK("https://worldwide.espacenet.com/patent/search?q=US20180126003","Espacenet")</f>
        <v>0.0</v>
      </c>
      <c r="I2761" s="2" t="n">
        <f>HYPERLINK("https://ppubs.uspto.gov/pubwebapp/external.html?q=20180126003.pn.","USPTO")</f>
        <v>0.0</v>
      </c>
      <c r="J2761" s="2" t="n">
        <f>HYPERLINK("https://image-ppubs.uspto.gov/dirsearch-public/print/downloadPdf/20180126003","USPTO PDF")</f>
        <v>0.0</v>
      </c>
      <c r="K2761" s="2" t="n">
        <f>HYPERLINK("https://sectors.patentforecast.com/pmd/US20180126003","PMD")</f>
        <v>0.0</v>
      </c>
      <c r="L2761" s="2" t="n">
        <f>HYPERLINK("https://globaldossier.uspto.gov/result/application/US/15585561/1","US20180126003")</f>
        <v>0.0</v>
      </c>
      <c r="M2761" t="s">
        <v>18529</v>
      </c>
      <c r="N2761" t="s">
        <v>136</v>
      </c>
      <c r="O2761" t="s">
        <v>137</v>
      </c>
      <c r="P2761" t="s">
        <v>18530</v>
      </c>
      <c r="Q2761" s="3" t="n">
        <v>42858.0</v>
      </c>
      <c r="R2761" s="3" t="n">
        <v>43230.0</v>
      </c>
      <c r="S2761" s="3" t="n">
        <v>43943.46141087963</v>
      </c>
      <c r="T2761" s="3" t="n">
        <v>43950.46039680555</v>
      </c>
      <c r="U2761" t="s">
        <v>18531</v>
      </c>
      <c r="V2761" t="s">
        <v>18532</v>
      </c>
    </row>
    <row r="2762">
      <c r="A2762" t="s">
        <v>22</v>
      </c>
      <c r="B2762" t="s">
        <v>18533</v>
      </c>
      <c r="C2762" t="s">
        <v>132</v>
      </c>
      <c r="D2762" t="s">
        <v>142</v>
      </c>
      <c r="E2762" t="s">
        <v>18534</v>
      </c>
      <c r="F2762" s="2" t="n">
        <f>HYPERLINK("https://patents.google.com/patent/US20180125952","Google")</f>
        <v>0.0</v>
      </c>
      <c r="G2762" s="2" t="n">
        <f>HYPERLINK("https://patentcenter.uspto.gov/applications/15574146","Patent Center")</f>
        <v>0.0</v>
      </c>
      <c r="H2762" s="2" t="n">
        <f>HYPERLINK("https://worldwide.espacenet.com/patent/search?q=US20180125952","Espacenet")</f>
        <v>0.0</v>
      </c>
      <c r="I2762" s="2" t="n">
        <f>HYPERLINK("https://ppubs.uspto.gov/pubwebapp/external.html?q=20180125952.pn.","USPTO")</f>
        <v>0.0</v>
      </c>
      <c r="J2762" s="2" t="n">
        <f>HYPERLINK("https://image-ppubs.uspto.gov/dirsearch-public/print/downloadPdf/20180125952","USPTO PDF")</f>
        <v>0.0</v>
      </c>
      <c r="K2762" s="2" t="n">
        <f>HYPERLINK("https://sectors.patentforecast.com/pmd/US20180125952","PMD")</f>
        <v>0.0</v>
      </c>
      <c r="L2762" s="2" t="n">
        <f>HYPERLINK("https://globaldossier.uspto.gov/result/application/US/15574146/1","US20180125952")</f>
        <v>0.0</v>
      </c>
      <c r="M2762" t="s">
        <v>18535</v>
      </c>
      <c r="N2762" t="s">
        <v>136</v>
      </c>
      <c r="O2762" t="s">
        <v>137</v>
      </c>
      <c r="P2762" t="s">
        <v>18536</v>
      </c>
      <c r="Q2762" s="3" t="n">
        <v>42503.0</v>
      </c>
      <c r="R2762" s="3" t="n">
        <v>43230.0</v>
      </c>
      <c r="S2762" s="3" t="n">
        <v>43943.46141087963</v>
      </c>
      <c r="T2762" s="3" t="n">
        <v>43950.45760498843</v>
      </c>
      <c r="U2762" t="s">
        <v>18537</v>
      </c>
      <c r="V2762" t="s">
        <v>18538</v>
      </c>
    </row>
    <row r="2763">
      <c r="A2763" t="s">
        <v>22</v>
      </c>
      <c r="B2763" t="s">
        <v>18539</v>
      </c>
      <c r="C2763" t="s">
        <v>60</v>
      </c>
      <c r="D2763" t="s">
        <v>61</v>
      </c>
      <c r="E2763" t="s">
        <v>18540</v>
      </c>
      <c r="F2763" s="2" t="n">
        <f>HYPERLINK("https://patents.google.com/patent/US20180118725","Google")</f>
        <v>0.0</v>
      </c>
      <c r="G2763" s="2" t="n">
        <f>HYPERLINK("https://patentcenter.uspto.gov/applications/15565585","Patent Center")</f>
        <v>0.0</v>
      </c>
      <c r="H2763" s="2" t="n">
        <f>HYPERLINK("https://worldwide.espacenet.com/patent/search?q=US20180118725","Espacenet")</f>
        <v>0.0</v>
      </c>
      <c r="I2763" s="2" t="n">
        <f>HYPERLINK("https://ppubs.uspto.gov/pubwebapp/external.html?q=20180118725.pn.","USPTO")</f>
        <v>0.0</v>
      </c>
      <c r="J2763" s="2" t="n">
        <f>HYPERLINK("https://image-ppubs.uspto.gov/dirsearch-public/print/downloadPdf/20180118725","USPTO PDF")</f>
        <v>0.0</v>
      </c>
      <c r="K2763" s="2" t="n">
        <f>HYPERLINK("https://sectors.patentforecast.com/pmd/US20180118725","PMD")</f>
        <v>0.0</v>
      </c>
      <c r="L2763" s="2" t="n">
        <f>HYPERLINK("https://globaldossier.uspto.gov/result/application/US/15565585/1","US20180118725")</f>
        <v>0.0</v>
      </c>
      <c r="M2763" t="s">
        <v>18541</v>
      </c>
      <c r="N2763" t="s">
        <v>18542</v>
      </c>
      <c r="O2763" t="s">
        <v>18543</v>
      </c>
      <c r="P2763" t="s">
        <v>18544</v>
      </c>
      <c r="Q2763" s="3" t="n">
        <v>42467.0</v>
      </c>
      <c r="R2763" s="3" t="n">
        <v>43223.0</v>
      </c>
      <c r="S2763" s="3" t="n">
        <v>43943.46141087963</v>
      </c>
      <c r="T2763" s="3" t="n">
        <v>43985.4145709838</v>
      </c>
      <c r="U2763" t="s">
        <v>18545</v>
      </c>
      <c r="V2763" t="s">
        <v>18546</v>
      </c>
    </row>
    <row r="2764">
      <c r="A2764" t="s">
        <v>22</v>
      </c>
      <c r="B2764" t="s">
        <v>18547</v>
      </c>
      <c r="C2764" t="s">
        <v>132</v>
      </c>
      <c r="D2764" t="s">
        <v>1265</v>
      </c>
      <c r="E2764" t="s">
        <v>18548</v>
      </c>
      <c r="F2764" s="2" t="n">
        <f>HYPERLINK("https://patents.google.com/patent/US20180118679","Google")</f>
        <v>0.0</v>
      </c>
      <c r="G2764" s="2" t="n">
        <f>HYPERLINK("https://patentcenter.uspto.gov/applications/15561933","Patent Center")</f>
        <v>0.0</v>
      </c>
      <c r="H2764" s="2" t="n">
        <f>HYPERLINK("https://worldwide.espacenet.com/patent/search?q=US20180118679","Espacenet")</f>
        <v>0.0</v>
      </c>
      <c r="I2764" s="2" t="n">
        <f>HYPERLINK("https://ppubs.uspto.gov/pubwebapp/external.html?q=20180118679.pn.","USPTO")</f>
        <v>0.0</v>
      </c>
      <c r="J2764" s="2" t="n">
        <f>HYPERLINK("https://image-ppubs.uspto.gov/dirsearch-public/print/downloadPdf/20180118679","USPTO PDF")</f>
        <v>0.0</v>
      </c>
      <c r="K2764" s="2" t="n">
        <f>HYPERLINK("https://sectors.patentforecast.com/pmd/US20180118679","PMD")</f>
        <v>0.0</v>
      </c>
      <c r="L2764" s="2" t="n">
        <f>HYPERLINK("https://globaldossier.uspto.gov/result/application/US/15561933/1","US20180118679")</f>
        <v>0.0</v>
      </c>
      <c r="M2764" t="s">
        <v>18549</v>
      </c>
      <c r="N2764" t="s">
        <v>18550</v>
      </c>
      <c r="O2764" t="s">
        <v>18551</v>
      </c>
      <c r="P2764" t="s">
        <v>18552</v>
      </c>
      <c r="Q2764" s="3" t="n">
        <v>42459.0</v>
      </c>
      <c r="R2764" s="3" t="n">
        <v>43223.0</v>
      </c>
      <c r="S2764" s="3" t="n">
        <v>43943.46141087963</v>
      </c>
      <c r="T2764" s="3" t="n">
        <v>43985.42413266204</v>
      </c>
      <c r="U2764" t="s">
        <v>18553</v>
      </c>
      <c r="V2764" t="s">
        <v>18554</v>
      </c>
    </row>
    <row r="2765">
      <c r="A2765" t="s">
        <v>22</v>
      </c>
      <c r="B2765" t="s">
        <v>18555</v>
      </c>
      <c r="C2765" t="s">
        <v>132</v>
      </c>
      <c r="D2765" t="s">
        <v>2629</v>
      </c>
      <c r="E2765" t="s">
        <v>18556</v>
      </c>
      <c r="F2765" s="2" t="n">
        <f>HYPERLINK("https://patents.google.com/patent/US20180117149","Google")</f>
        <v>0.0</v>
      </c>
      <c r="G2765" s="2" t="n">
        <f>HYPERLINK("https://patentcenter.uspto.gov/applications/15797209","Patent Center")</f>
        <v>0.0</v>
      </c>
      <c r="H2765" s="2" t="n">
        <f>HYPERLINK("https://worldwide.espacenet.com/patent/search?q=US20180117149","Espacenet")</f>
        <v>0.0</v>
      </c>
      <c r="I2765" s="2" t="n">
        <f>HYPERLINK("https://ppubs.uspto.gov/pubwebapp/external.html?q=20180117149.pn.","USPTO")</f>
        <v>0.0</v>
      </c>
      <c r="J2765" s="2" t="n">
        <f>HYPERLINK("https://image-ppubs.uspto.gov/dirsearch-public/print/downloadPdf/20180117149","USPTO PDF")</f>
        <v>0.0</v>
      </c>
      <c r="K2765" s="2" t="n">
        <f>HYPERLINK("https://sectors.patentforecast.com/pmd/US20180117149","PMD")</f>
        <v>0.0</v>
      </c>
      <c r="L2765" s="2" t="n">
        <f>HYPERLINK("https://globaldossier.uspto.gov/result/application/US/15797209/1","US20180117149")</f>
        <v>0.0</v>
      </c>
      <c r="M2765" t="s">
        <v>18557</v>
      </c>
      <c r="N2765" t="s">
        <v>16927</v>
      </c>
      <c r="O2765" t="s">
        <v>16928</v>
      </c>
      <c r="P2765" t="s">
        <v>18558</v>
      </c>
      <c r="Q2765" s="3" t="n">
        <v>43038.0</v>
      </c>
      <c r="R2765" s="3" t="n">
        <v>43223.0</v>
      </c>
      <c r="S2765" s="3" t="n">
        <v>43957.46387940972</v>
      </c>
      <c r="T2765" s="3" t="n">
        <v>44544.425725960646</v>
      </c>
      <c r="U2765" t="s">
        <v>18559</v>
      </c>
      <c r="V2765" t="s">
        <v>18560</v>
      </c>
    </row>
    <row r="2766">
      <c r="A2766" t="s">
        <v>22</v>
      </c>
      <c r="B2766" t="s">
        <v>18561</v>
      </c>
      <c r="C2766" t="s">
        <v>60</v>
      </c>
      <c r="D2766" t="s">
        <v>61</v>
      </c>
      <c r="E2766" t="s">
        <v>18562</v>
      </c>
      <c r="F2766" s="2" t="n">
        <f>HYPERLINK("https://patents.google.com/patent/US20180117116","Google")</f>
        <v>0.0</v>
      </c>
      <c r="G2766" s="2" t="n">
        <f>HYPERLINK("https://patentcenter.uspto.gov/applications/15424107","Patent Center")</f>
        <v>0.0</v>
      </c>
      <c r="H2766" s="2" t="n">
        <f>HYPERLINK("https://worldwide.espacenet.com/patent/search?q=US20180117116","Espacenet")</f>
        <v>0.0</v>
      </c>
      <c r="I2766" s="2" t="n">
        <f>HYPERLINK("https://ppubs.uspto.gov/pubwebapp/external.html?q=20180117116.pn.","USPTO")</f>
        <v>0.0</v>
      </c>
      <c r="J2766" s="2" t="n">
        <f>HYPERLINK("https://image-ppubs.uspto.gov/dirsearch-public/print/downloadPdf/20180117116","USPTO PDF")</f>
        <v>0.0</v>
      </c>
      <c r="K2766" s="2" t="n">
        <f>HYPERLINK("https://sectors.patentforecast.com/pmd/US20180117116","PMD")</f>
        <v>0.0</v>
      </c>
      <c r="L2766" s="2" t="n">
        <f>HYPERLINK("https://globaldossier.uspto.gov/result/application/US/15424107/1","US20180117116")</f>
        <v>0.0</v>
      </c>
      <c r="M2766" t="s">
        <v>18563</v>
      </c>
      <c r="N2766" t="s">
        <v>18564</v>
      </c>
      <c r="O2766" t="s">
        <v>18565</v>
      </c>
      <c r="P2766" t="s">
        <v>18566</v>
      </c>
      <c r="Q2766" s="3" t="n">
        <v>42769.0</v>
      </c>
      <c r="R2766" s="3" t="n">
        <v>43223.0</v>
      </c>
      <c r="S2766" s="3" t="n">
        <v>43943.46141087963</v>
      </c>
      <c r="T2766" s="3" t="n">
        <v>43985.40263373843</v>
      </c>
      <c r="U2766" t="s">
        <v>18567</v>
      </c>
      <c r="V2766" t="s">
        <v>18568</v>
      </c>
    </row>
    <row r="2767">
      <c r="A2767" t="s">
        <v>22</v>
      </c>
      <c r="B2767" t="s">
        <v>18569</v>
      </c>
      <c r="C2767" t="s">
        <v>132</v>
      </c>
      <c r="D2767" t="s">
        <v>1265</v>
      </c>
      <c r="E2767" t="s">
        <v>17398</v>
      </c>
      <c r="F2767" s="2" t="n">
        <f>HYPERLINK("https://patents.google.com/patent/US20180110851","Google")</f>
        <v>0.0</v>
      </c>
      <c r="G2767" s="2" t="n">
        <f>HYPERLINK("https://patentcenter.uspto.gov/applications/15608532","Patent Center")</f>
        <v>0.0</v>
      </c>
      <c r="H2767" s="2" t="n">
        <f>HYPERLINK("https://worldwide.espacenet.com/patent/search?q=US20180110851","Espacenet")</f>
        <v>0.0</v>
      </c>
      <c r="I2767" s="2" t="n">
        <f>HYPERLINK("https://ppubs.uspto.gov/pubwebapp/external.html?q=20180110851.pn.","USPTO")</f>
        <v>0.0</v>
      </c>
      <c r="J2767" s="2" t="n">
        <f>HYPERLINK("https://image-ppubs.uspto.gov/dirsearch-public/print/downloadPdf/20180110851","USPTO PDF")</f>
        <v>0.0</v>
      </c>
      <c r="K2767" s="2" t="n">
        <f>HYPERLINK("https://sectors.patentforecast.com/pmd/US20180110851","PMD")</f>
        <v>0.0</v>
      </c>
      <c r="L2767" s="2" t="n">
        <f>HYPERLINK("https://globaldossier.uspto.gov/result/application/US/15608532/1","US20180110851")</f>
        <v>0.0</v>
      </c>
      <c r="M2767" t="s">
        <v>18570</v>
      </c>
      <c r="N2767" t="s">
        <v>1275</v>
      </c>
      <c r="O2767" t="s">
        <v>1275</v>
      </c>
      <c r="P2767" t="s">
        <v>18571</v>
      </c>
      <c r="Q2767" s="3" t="n">
        <v>42885.0</v>
      </c>
      <c r="R2767" s="3" t="n">
        <v>43216.0</v>
      </c>
      <c r="S2767" s="3" t="n">
        <v>43900.437144675925</v>
      </c>
      <c r="T2767" s="3" t="n">
        <v>43903.484632569445</v>
      </c>
      <c r="U2767" t="s">
        <v>18572</v>
      </c>
      <c r="V2767" t="s">
        <v>18573</v>
      </c>
    </row>
    <row r="2768">
      <c r="A2768" t="s">
        <v>22</v>
      </c>
      <c r="B2768" t="s">
        <v>18574</v>
      </c>
      <c r="C2768" t="s">
        <v>24</v>
      </c>
      <c r="D2768" t="s">
        <v>25</v>
      </c>
      <c r="E2768" t="s">
        <v>18575</v>
      </c>
      <c r="F2768" s="2" t="n">
        <f>HYPERLINK("https://patents.google.com/patent/US20180108240","Google")</f>
        <v>0.0</v>
      </c>
      <c r="G2768" s="2" t="n">
        <f>HYPERLINK("https://patentcenter.uspto.gov/applications/15296245","Patent Center")</f>
        <v>0.0</v>
      </c>
      <c r="H2768" s="2" t="n">
        <f>HYPERLINK("https://worldwide.espacenet.com/patent/search?q=US20180108240","Espacenet")</f>
        <v>0.0</v>
      </c>
      <c r="I2768" s="2" t="n">
        <f>HYPERLINK("https://ppubs.uspto.gov/pubwebapp/external.html?q=20180108240.pn.","USPTO")</f>
        <v>0.0</v>
      </c>
      <c r="J2768" s="2" t="n">
        <f>HYPERLINK("https://image-ppubs.uspto.gov/dirsearch-public/print/downloadPdf/20180108240","USPTO PDF")</f>
        <v>0.0</v>
      </c>
      <c r="K2768" s="2" t="n">
        <f>HYPERLINK("https://sectors.patentforecast.com/pmd/US20180108240","PMD")</f>
        <v>0.0</v>
      </c>
      <c r="L2768" s="2" t="n">
        <f>HYPERLINK("https://globaldossier.uspto.gov/result/application/US/15296245/1","US20180108240")</f>
        <v>0.0</v>
      </c>
      <c r="M2768" t="s">
        <v>18576</v>
      </c>
      <c r="N2768" t="s">
        <v>947</v>
      </c>
      <c r="O2768" t="s">
        <v>948</v>
      </c>
      <c r="P2768" t="s">
        <v>18577</v>
      </c>
      <c r="Q2768" s="3" t="n">
        <v>42661.0</v>
      </c>
      <c r="R2768" s="3" t="n">
        <v>43209.0</v>
      </c>
      <c r="S2768" s="3" t="n">
        <v>43900.437144675925</v>
      </c>
      <c r="T2768" s="3" t="n">
        <v>43903.484632280095</v>
      </c>
      <c r="U2768" t="s">
        <v>18578</v>
      </c>
      <c r="V2768" t="s">
        <v>18579</v>
      </c>
    </row>
    <row r="2769">
      <c r="A2769" t="s">
        <v>22</v>
      </c>
      <c r="B2769" t="s">
        <v>18580</v>
      </c>
      <c r="C2769" t="s">
        <v>60</v>
      </c>
      <c r="D2769" t="s">
        <v>61</v>
      </c>
      <c r="E2769" t="s">
        <v>18581</v>
      </c>
      <c r="F2769" s="2" t="n">
        <f>HYPERLINK("https://patents.google.com/patent/US20180105812","Google")</f>
        <v>0.0</v>
      </c>
      <c r="G2769" s="2" t="n">
        <f>HYPERLINK("https://patentcenter.uspto.gov/applications/15684902","Patent Center")</f>
        <v>0.0</v>
      </c>
      <c r="H2769" s="2" t="n">
        <f>HYPERLINK("https://worldwide.espacenet.com/patent/search?q=US20180105812","Espacenet")</f>
        <v>0.0</v>
      </c>
      <c r="I2769" s="2" t="n">
        <f>HYPERLINK("https://ppubs.uspto.gov/pubwebapp/external.html?q=20180105812.pn.","USPTO")</f>
        <v>0.0</v>
      </c>
      <c r="J2769" s="2" t="n">
        <f>HYPERLINK("https://image-ppubs.uspto.gov/dirsearch-public/print/downloadPdf/20180105812","USPTO PDF")</f>
        <v>0.0</v>
      </c>
      <c r="K2769" s="2" t="n">
        <f>HYPERLINK("https://sectors.patentforecast.com/pmd/US20180105812","PMD")</f>
        <v>0.0</v>
      </c>
      <c r="L2769" s="2" t="n">
        <f>HYPERLINK("https://globaldossier.uspto.gov/result/application/US/15684902/1","US20180105812")</f>
        <v>0.0</v>
      </c>
      <c r="M2769" t="s">
        <v>18582</v>
      </c>
      <c r="N2769" t="s">
        <v>18583</v>
      </c>
      <c r="O2769" t="s">
        <v>18583</v>
      </c>
      <c r="P2769" t="s">
        <v>18584</v>
      </c>
      <c r="Q2769" s="3" t="n">
        <v>42970.0</v>
      </c>
      <c r="R2769" s="3" t="n">
        <v>43209.0</v>
      </c>
      <c r="S2769" s="3" t="n">
        <v>43943.46141087963</v>
      </c>
      <c r="T2769" s="3" t="n">
        <v>43985.44050822916</v>
      </c>
      <c r="U2769" t="s">
        <v>18585</v>
      </c>
      <c r="V2769" t="s">
        <v>18586</v>
      </c>
    </row>
    <row r="2770">
      <c r="A2770" t="s">
        <v>22</v>
      </c>
      <c r="B2770" t="s">
        <v>18587</v>
      </c>
      <c r="C2770" t="s">
        <v>24</v>
      </c>
      <c r="D2770" t="s">
        <v>34</v>
      </c>
      <c r="E2770" t="s">
        <v>16089</v>
      </c>
      <c r="F2770" s="2" t="n">
        <f>HYPERLINK("https://patents.google.com/patent/US20180105810","Google")</f>
        <v>0.0</v>
      </c>
      <c r="G2770" s="2" t="n">
        <f>HYPERLINK("https://patentcenter.uspto.gov/applications/15682675","Patent Center")</f>
        <v>0.0</v>
      </c>
      <c r="H2770" s="2" t="n">
        <f>HYPERLINK("https://worldwide.espacenet.com/patent/search?q=US20180105810","Espacenet")</f>
        <v>0.0</v>
      </c>
      <c r="I2770" s="2" t="n">
        <f>HYPERLINK("https://ppubs.uspto.gov/pubwebapp/external.html?q=20180105810.pn.","USPTO")</f>
        <v>0.0</v>
      </c>
      <c r="J2770" s="2" t="n">
        <f>HYPERLINK("https://image-ppubs.uspto.gov/dirsearch-public/print/downloadPdf/20180105810","USPTO PDF")</f>
        <v>0.0</v>
      </c>
      <c r="K2770" s="2" t="n">
        <f>HYPERLINK("https://sectors.patentforecast.com/pmd/US20180105810","PMD")</f>
        <v>0.0</v>
      </c>
      <c r="L2770" s="2" t="n">
        <f>HYPERLINK("https://globaldossier.uspto.gov/result/application/US/15682675/1","US20180105810")</f>
        <v>0.0</v>
      </c>
      <c r="M2770" t="s">
        <v>18588</v>
      </c>
      <c r="N2770" t="s">
        <v>4728</v>
      </c>
      <c r="O2770" t="s">
        <v>4729</v>
      </c>
      <c r="P2770" t="s">
        <v>18589</v>
      </c>
      <c r="Q2770" s="3" t="n">
        <v>42969.0</v>
      </c>
      <c r="R2770" s="3" t="n">
        <v>43209.0</v>
      </c>
      <c r="S2770" s="3" t="n">
        <v>44370.45820825231</v>
      </c>
      <c r="T2770" s="3" t="n">
        <v>44372.38111516204</v>
      </c>
      <c r="U2770" t="s">
        <v>18590</v>
      </c>
      <c r="V2770" t="s">
        <v>18591</v>
      </c>
    </row>
    <row r="2771">
      <c r="A2771" t="s">
        <v>22</v>
      </c>
      <c r="B2771" t="s">
        <v>18592</v>
      </c>
      <c r="C2771" t="s">
        <v>132</v>
      </c>
      <c r="D2771" t="s">
        <v>1265</v>
      </c>
      <c r="E2771" t="s">
        <v>18593</v>
      </c>
      <c r="F2771" s="2" t="n">
        <f>HYPERLINK("https://patents.google.com/patent/US20180104327","Google")</f>
        <v>0.0</v>
      </c>
      <c r="G2771" s="2" t="n">
        <f>HYPERLINK("https://patentcenter.uspto.gov/applications/15511988","Patent Center")</f>
        <v>0.0</v>
      </c>
      <c r="H2771" s="2" t="n">
        <f>HYPERLINK("https://worldwide.espacenet.com/patent/search?q=US20180104327","Espacenet")</f>
        <v>0.0</v>
      </c>
      <c r="I2771" s="2" t="n">
        <f>HYPERLINK("https://ppubs.uspto.gov/pubwebapp/external.html?q=20180104327.pn.","USPTO")</f>
        <v>0.0</v>
      </c>
      <c r="J2771" s="2" t="n">
        <f>HYPERLINK("https://image-ppubs.uspto.gov/dirsearch-public/print/downloadPdf/20180104327","USPTO PDF")</f>
        <v>0.0</v>
      </c>
      <c r="K2771" s="2" t="n">
        <f>HYPERLINK("https://sectors.patentforecast.com/pmd/US20180104327","PMD")</f>
        <v>0.0</v>
      </c>
      <c r="L2771" s="2" t="n">
        <f>HYPERLINK("https://globaldossier.uspto.gov/result/application/US/15511988/1","US20180104327")</f>
        <v>0.0</v>
      </c>
      <c r="M2771" t="s">
        <v>18594</v>
      </c>
      <c r="N2771" t="s">
        <v>18595</v>
      </c>
      <c r="O2771" t="s">
        <v>18596</v>
      </c>
      <c r="P2771" t="s">
        <v>18597</v>
      </c>
      <c r="Q2771" s="3" t="n">
        <v>42265.0</v>
      </c>
      <c r="R2771" s="3" t="n">
        <v>43209.0</v>
      </c>
      <c r="S2771" s="3" t="n">
        <v>43957.46387940972</v>
      </c>
      <c r="T2771" s="3" t="n">
        <v>44544.499983229165</v>
      </c>
      <c r="U2771" t="s">
        <v>18598</v>
      </c>
      <c r="V2771" t="s">
        <v>18599</v>
      </c>
    </row>
    <row r="2772">
      <c r="A2772" t="s">
        <v>22</v>
      </c>
      <c r="B2772" t="s">
        <v>18600</v>
      </c>
      <c r="C2772" t="s">
        <v>132</v>
      </c>
      <c r="D2772" t="s">
        <v>142</v>
      </c>
      <c r="E2772" t="s">
        <v>18601</v>
      </c>
      <c r="F2772" s="2" t="n">
        <f>HYPERLINK("https://patents.google.com/patent/US20180100181","Google")</f>
        <v>0.0</v>
      </c>
      <c r="G2772" s="2" t="n">
        <f>HYPERLINK("https://patentcenter.uspto.gov/applications/15566594","Patent Center")</f>
        <v>0.0</v>
      </c>
      <c r="H2772" s="2" t="n">
        <f>HYPERLINK("https://worldwide.espacenet.com/patent/search?q=US20180100181","Espacenet")</f>
        <v>0.0</v>
      </c>
      <c r="I2772" s="2" t="n">
        <f>HYPERLINK("https://ppubs.uspto.gov/pubwebapp/external.html?q=20180100181.pn.","USPTO")</f>
        <v>0.0</v>
      </c>
      <c r="J2772" s="2" t="n">
        <f>HYPERLINK("https://image-ppubs.uspto.gov/dirsearch-public/print/downloadPdf/20180100181","USPTO PDF")</f>
        <v>0.0</v>
      </c>
      <c r="K2772" s="2" t="n">
        <f>HYPERLINK("https://sectors.patentforecast.com/pmd/US20180100181","PMD")</f>
        <v>0.0</v>
      </c>
      <c r="L2772" s="2" t="n">
        <f>HYPERLINK("https://globaldossier.uspto.gov/result/application/US/15566594/1","US20180100181")</f>
        <v>0.0</v>
      </c>
      <c r="M2772" t="s">
        <v>18602</v>
      </c>
      <c r="N2772" t="s">
        <v>2354</v>
      </c>
      <c r="O2772" t="s">
        <v>2355</v>
      </c>
      <c r="P2772" t="s">
        <v>18603</v>
      </c>
      <c r="Q2772" s="3" t="n">
        <v>42475.0</v>
      </c>
      <c r="R2772" s="3" t="n">
        <v>43202.0</v>
      </c>
      <c r="S2772" s="3" t="n">
        <v>43943.46141087963</v>
      </c>
      <c r="T2772" s="3" t="n">
        <v>43985.44558216435</v>
      </c>
      <c r="U2772" t="s">
        <v>18604</v>
      </c>
      <c r="V2772" t="s">
        <v>18605</v>
      </c>
    </row>
    <row r="2773">
      <c r="A2773" t="s">
        <v>22</v>
      </c>
      <c r="B2773" t="s">
        <v>18606</v>
      </c>
      <c r="C2773" t="s">
        <v>132</v>
      </c>
      <c r="D2773" t="s">
        <v>142</v>
      </c>
      <c r="E2773" t="s">
        <v>18607</v>
      </c>
      <c r="F2773" s="2" t="n">
        <f>HYPERLINK("https://patents.google.com/patent/US20180099999","Google")</f>
        <v>0.0</v>
      </c>
      <c r="G2773" s="2" t="n">
        <f>HYPERLINK("https://patentcenter.uspto.gov/applications/15842062","Patent Center")</f>
        <v>0.0</v>
      </c>
      <c r="H2773" s="2" t="n">
        <f>HYPERLINK("https://worldwide.espacenet.com/patent/search?q=US20180099999","Espacenet")</f>
        <v>0.0</v>
      </c>
      <c r="I2773" s="2" t="n">
        <f>HYPERLINK("https://ppubs.uspto.gov/pubwebapp/external.html?q=20180099999.pn.","USPTO")</f>
        <v>0.0</v>
      </c>
      <c r="J2773" s="2" t="n">
        <f>HYPERLINK("https://image-ppubs.uspto.gov/dirsearch-public/print/downloadPdf/20180099999","USPTO PDF")</f>
        <v>0.0</v>
      </c>
      <c r="K2773" s="2" t="n">
        <f>HYPERLINK("https://sectors.patentforecast.com/pmd/US20180099999","PMD")</f>
        <v>0.0</v>
      </c>
      <c r="L2773" s="2" t="n">
        <f>HYPERLINK("https://globaldossier.uspto.gov/result/application/US/15842062/1","US20180099999")</f>
        <v>0.0</v>
      </c>
      <c r="M2773" t="s">
        <v>18608</v>
      </c>
      <c r="N2773" t="s">
        <v>18609</v>
      </c>
      <c r="O2773" t="s">
        <v>18610</v>
      </c>
      <c r="P2773" t="s">
        <v>18611</v>
      </c>
      <c r="Q2773" s="3" t="n">
        <v>43083.0</v>
      </c>
      <c r="R2773" s="3" t="n">
        <v>43202.0</v>
      </c>
      <c r="S2773" s="3" t="n">
        <v>43943.46141087963</v>
      </c>
      <c r="T2773" s="3" t="n">
        <v>43985.442264861114</v>
      </c>
      <c r="U2773" t="s">
        <v>18612</v>
      </c>
      <c r="V2773" t="s">
        <v>18613</v>
      </c>
    </row>
    <row r="2774">
      <c r="A2774" t="s">
        <v>22</v>
      </c>
      <c r="B2774" t="s">
        <v>18614</v>
      </c>
      <c r="C2774" t="s">
        <v>60</v>
      </c>
      <c r="D2774" t="s">
        <v>61</v>
      </c>
      <c r="E2774" t="s">
        <v>18615</v>
      </c>
      <c r="F2774" s="2" t="n">
        <f>HYPERLINK("https://patents.google.com/patent/US20180098972","Google")</f>
        <v>0.0</v>
      </c>
      <c r="G2774" s="2" t="n">
        <f>HYPERLINK("https://patentcenter.uspto.gov/applications/15546390","Patent Center")</f>
        <v>0.0</v>
      </c>
      <c r="H2774" s="2" t="n">
        <f>HYPERLINK("https://worldwide.espacenet.com/patent/search?q=US20180098972","Espacenet")</f>
        <v>0.0</v>
      </c>
      <c r="I2774" s="2" t="n">
        <f>HYPERLINK("https://ppubs.uspto.gov/pubwebapp/external.html?q=20180098972.pn.","USPTO")</f>
        <v>0.0</v>
      </c>
      <c r="J2774" s="2" t="n">
        <f>HYPERLINK("https://image-ppubs.uspto.gov/dirsearch-public/print/downloadPdf/20180098972","USPTO PDF")</f>
        <v>0.0</v>
      </c>
      <c r="K2774" s="2" t="n">
        <f>HYPERLINK("https://sectors.patentforecast.com/pmd/US20180098972","PMD")</f>
        <v>0.0</v>
      </c>
      <c r="L2774" s="2" t="n">
        <f>HYPERLINK("https://globaldossier.uspto.gov/result/application/US/15546390/1","US20180098972")</f>
        <v>0.0</v>
      </c>
      <c r="M2774" t="s">
        <v>18616</v>
      </c>
      <c r="N2774" t="s">
        <v>8097</v>
      </c>
      <c r="O2774" t="s">
        <v>8098</v>
      </c>
      <c r="P2774" t="s">
        <v>18617</v>
      </c>
      <c r="Q2774" s="3" t="n">
        <v>42395.0</v>
      </c>
      <c r="R2774" s="3" t="n">
        <v>43202.0</v>
      </c>
      <c r="S2774" s="3" t="n">
        <v>43943.46141087963</v>
      </c>
      <c r="T2774" s="3" t="n">
        <v>43985.40369287037</v>
      </c>
      <c r="U2774" t="s">
        <v>18618</v>
      </c>
      <c r="V2774" t="s">
        <v>18619</v>
      </c>
    </row>
    <row r="2775">
      <c r="A2775" t="s">
        <v>22</v>
      </c>
      <c r="B2775" t="s">
        <v>18620</v>
      </c>
      <c r="C2775" t="s">
        <v>60</v>
      </c>
      <c r="D2775" t="s">
        <v>696</v>
      </c>
      <c r="E2775" t="s">
        <v>16925</v>
      </c>
      <c r="F2775" s="2" t="n">
        <f>HYPERLINK("https://patents.google.com/patent/US20180092999","Google")</f>
        <v>0.0</v>
      </c>
      <c r="G2775" s="2" t="n">
        <f>HYPERLINK("https://patentcenter.uspto.gov/applications/15715467","Patent Center")</f>
        <v>0.0</v>
      </c>
      <c r="H2775" s="2" t="n">
        <f>HYPERLINK("https://worldwide.espacenet.com/patent/search?q=US20180092999","Espacenet")</f>
        <v>0.0</v>
      </c>
      <c r="I2775" s="2" t="n">
        <f>HYPERLINK("https://ppubs.uspto.gov/pubwebapp/external.html?q=20180092999.pn.","USPTO")</f>
        <v>0.0</v>
      </c>
      <c r="J2775" s="2" t="n">
        <f>HYPERLINK("https://image-ppubs.uspto.gov/dirsearch-public/print/downloadPdf/20180092999","USPTO PDF")</f>
        <v>0.0</v>
      </c>
      <c r="K2775" s="2" t="n">
        <f>HYPERLINK("https://sectors.patentforecast.com/pmd/US20180092999","PMD")</f>
        <v>0.0</v>
      </c>
      <c r="L2775" s="2" t="n">
        <f>HYPERLINK("https://globaldossier.uspto.gov/result/application/US/15715467/1","US20180092999")</f>
        <v>0.0</v>
      </c>
      <c r="M2775" t="s">
        <v>18621</v>
      </c>
      <c r="N2775" t="s">
        <v>16927</v>
      </c>
      <c r="O2775" t="s">
        <v>16928</v>
      </c>
      <c r="P2775" t="s">
        <v>18622</v>
      </c>
      <c r="Q2775" s="3" t="n">
        <v>43004.0</v>
      </c>
      <c r="R2775" s="3" t="n">
        <v>43195.0</v>
      </c>
      <c r="S2775" s="3" t="n">
        <v>43957.46387940972</v>
      </c>
      <c r="T2775" s="3" t="n">
        <v>44643.44490069444</v>
      </c>
      <c r="U2775" t="s">
        <v>18623</v>
      </c>
      <c r="V2775" t="s">
        <v>18624</v>
      </c>
    </row>
    <row r="2776">
      <c r="A2776" t="s">
        <v>22</v>
      </c>
      <c r="B2776" t="s">
        <v>18625</v>
      </c>
      <c r="C2776" t="s">
        <v>60</v>
      </c>
      <c r="D2776" t="s">
        <v>61</v>
      </c>
      <c r="E2776" t="s">
        <v>18626</v>
      </c>
      <c r="F2776" s="2" t="n">
        <f>HYPERLINK("https://patents.google.com/patent/US20180086784","Google")</f>
        <v>0.0</v>
      </c>
      <c r="G2776" s="2" t="n">
        <f>HYPERLINK("https://patentcenter.uspto.gov/applications/15643168","Patent Center")</f>
        <v>0.0</v>
      </c>
      <c r="H2776" s="2" t="n">
        <f>HYPERLINK("https://worldwide.espacenet.com/patent/search?q=US20180086784","Espacenet")</f>
        <v>0.0</v>
      </c>
      <c r="I2776" s="2" t="n">
        <f>HYPERLINK("https://ppubs.uspto.gov/pubwebapp/external.html?q=20180086784.pn.","USPTO")</f>
        <v>0.0</v>
      </c>
      <c r="J2776" s="2" t="n">
        <f>HYPERLINK("https://image-ppubs.uspto.gov/dirsearch-public/print/downloadPdf/20180086784","USPTO PDF")</f>
        <v>0.0</v>
      </c>
      <c r="K2776" s="2" t="n">
        <f>HYPERLINK("https://sectors.patentforecast.com/pmd/US20180086784","PMD")</f>
        <v>0.0</v>
      </c>
      <c r="L2776" s="2" t="n">
        <f>HYPERLINK("https://globaldossier.uspto.gov/result/application/US/15643168/1","US20180086784")</f>
        <v>0.0</v>
      </c>
      <c r="M2776" t="s">
        <v>18627</v>
      </c>
      <c r="N2776" t="s">
        <v>664</v>
      </c>
      <c r="O2776" t="s">
        <v>665</v>
      </c>
      <c r="P2776" t="s">
        <v>17356</v>
      </c>
      <c r="Q2776" s="3" t="n">
        <v>42922.0</v>
      </c>
      <c r="R2776" s="3" t="n">
        <v>43188.0</v>
      </c>
      <c r="S2776" s="3" t="n">
        <v>43952.45945</v>
      </c>
      <c r="T2776" s="3" t="n">
        <v>44638.662781747684</v>
      </c>
      <c r="U2776" t="s">
        <v>18628</v>
      </c>
      <c r="V2776" t="s">
        <v>18629</v>
      </c>
    </row>
    <row r="2777">
      <c r="A2777" t="s">
        <v>22</v>
      </c>
      <c r="B2777" t="s">
        <v>18630</v>
      </c>
      <c r="C2777" t="s">
        <v>132</v>
      </c>
      <c r="D2777" t="s">
        <v>1265</v>
      </c>
      <c r="E2777" t="s">
        <v>18631</v>
      </c>
      <c r="F2777" s="2" t="n">
        <f>HYPERLINK("https://patents.google.com/patent/US20180085451","Google")</f>
        <v>0.0</v>
      </c>
      <c r="G2777" s="2" t="n">
        <f>HYPERLINK("https://patentcenter.uspto.gov/applications/15559432","Patent Center")</f>
        <v>0.0</v>
      </c>
      <c r="H2777" s="2" t="n">
        <f>HYPERLINK("https://worldwide.espacenet.com/patent/search?q=US20180085451","Espacenet")</f>
        <v>0.0</v>
      </c>
      <c r="I2777" s="2" t="n">
        <f>HYPERLINK("https://ppubs.uspto.gov/pubwebapp/external.html?q=20180085451.pn.","USPTO")</f>
        <v>0.0</v>
      </c>
      <c r="J2777" s="2" t="n">
        <f>HYPERLINK("https://image-ppubs.uspto.gov/dirsearch-public/print/downloadPdf/20180085451","USPTO PDF")</f>
        <v>0.0</v>
      </c>
      <c r="K2777" s="2" t="n">
        <f>HYPERLINK("https://sectors.patentforecast.com/pmd/US20180085451","PMD")</f>
        <v>0.0</v>
      </c>
      <c r="L2777" s="2" t="n">
        <f>HYPERLINK("https://globaldossier.uspto.gov/result/application/US/15559432/1","US20180085451")</f>
        <v>0.0</v>
      </c>
      <c r="M2777" t="s">
        <v>18632</v>
      </c>
      <c r="N2777" t="s">
        <v>18633</v>
      </c>
      <c r="O2777" t="s">
        <v>18634</v>
      </c>
      <c r="P2777" t="s">
        <v>18635</v>
      </c>
      <c r="Q2777" s="3" t="n">
        <v>42447.0</v>
      </c>
      <c r="R2777" s="3" t="n">
        <v>43188.0</v>
      </c>
      <c r="S2777" s="3" t="n">
        <v>43936.46025662037</v>
      </c>
      <c r="T2777" s="3" t="n">
        <v>44543.68399967592</v>
      </c>
      <c r="U2777" t="s">
        <v>18636</v>
      </c>
      <c r="V2777" t="s">
        <v>18637</v>
      </c>
    </row>
    <row r="2778">
      <c r="A2778" t="s">
        <v>22</v>
      </c>
      <c r="B2778" t="s">
        <v>18638</v>
      </c>
      <c r="C2778" t="s">
        <v>60</v>
      </c>
      <c r="D2778" t="s">
        <v>61</v>
      </c>
      <c r="E2778" t="s">
        <v>18639</v>
      </c>
      <c r="F2778" s="2" t="n">
        <f>HYPERLINK("https://patents.google.com/patent/US20180085387","Google")</f>
        <v>0.0</v>
      </c>
      <c r="G2778" s="2" t="n">
        <f>HYPERLINK("https://patentcenter.uspto.gov/applications/15716249","Patent Center")</f>
        <v>0.0</v>
      </c>
      <c r="H2778" s="2" t="n">
        <f>HYPERLINK("https://worldwide.espacenet.com/patent/search?q=US20180085387","Espacenet")</f>
        <v>0.0</v>
      </c>
      <c r="I2778" s="2" t="n">
        <f>HYPERLINK("https://ppubs.uspto.gov/pubwebapp/external.html?q=20180085387.pn.","USPTO")</f>
        <v>0.0</v>
      </c>
      <c r="J2778" s="2" t="n">
        <f>HYPERLINK("https://image-ppubs.uspto.gov/dirsearch-public/print/downloadPdf/20180085387","USPTO PDF")</f>
        <v>0.0</v>
      </c>
      <c r="K2778" s="2" t="n">
        <f>HYPERLINK("https://sectors.patentforecast.com/pmd/US20180085387","PMD")</f>
        <v>0.0</v>
      </c>
      <c r="L2778" s="2" t="n">
        <f>HYPERLINK("https://globaldossier.uspto.gov/result/application/US/15716249/1","US20180085387")</f>
        <v>0.0</v>
      </c>
      <c r="M2778" t="s">
        <v>18640</v>
      </c>
      <c r="N2778" t="s">
        <v>664</v>
      </c>
      <c r="O2778" t="s">
        <v>665</v>
      </c>
      <c r="P2778" t="s">
        <v>18641</v>
      </c>
      <c r="Q2778" s="3" t="n">
        <v>43004.0</v>
      </c>
      <c r="R2778" s="3" t="n">
        <v>43188.0</v>
      </c>
      <c r="S2778" s="3" t="n">
        <v>43952.45945</v>
      </c>
      <c r="T2778" s="3" t="n">
        <v>44638.65643378472</v>
      </c>
      <c r="U2778" t="s">
        <v>18642</v>
      </c>
      <c r="V2778" t="s">
        <v>18643</v>
      </c>
    </row>
    <row r="2779">
      <c r="A2779" t="s">
        <v>22</v>
      </c>
      <c r="B2779" t="s">
        <v>18644</v>
      </c>
      <c r="C2779" t="s">
        <v>60</v>
      </c>
      <c r="D2779" t="s">
        <v>61</v>
      </c>
      <c r="E2779" t="s">
        <v>18645</v>
      </c>
      <c r="F2779" s="2" t="n">
        <f>HYPERLINK("https://patents.google.com/patent/US20180085336","Google")</f>
        <v>0.0</v>
      </c>
      <c r="G2779" s="2" t="n">
        <f>HYPERLINK("https://patentcenter.uspto.gov/applications/15732554","Patent Center")</f>
        <v>0.0</v>
      </c>
      <c r="H2779" s="2" t="n">
        <f>HYPERLINK("https://worldwide.espacenet.com/patent/search?q=US20180085336","Espacenet")</f>
        <v>0.0</v>
      </c>
      <c r="I2779" s="2" t="n">
        <f>HYPERLINK("https://ppubs.uspto.gov/pubwebapp/external.html?q=20180085336.pn.","USPTO")</f>
        <v>0.0</v>
      </c>
      <c r="J2779" s="2" t="n">
        <f>HYPERLINK("https://image-ppubs.uspto.gov/dirsearch-public/print/downloadPdf/20180085336","USPTO PDF")</f>
        <v>0.0</v>
      </c>
      <c r="K2779" s="2" t="n">
        <f>HYPERLINK("https://sectors.patentforecast.com/pmd/US20180085336","PMD")</f>
        <v>0.0</v>
      </c>
      <c r="L2779" s="2" t="n">
        <f>HYPERLINK("https://globaldossier.uspto.gov/result/application/US/15732554/1","US20180085336")</f>
        <v>0.0</v>
      </c>
      <c r="M2779" t="s">
        <v>18646</v>
      </c>
      <c r="N2779" t="s">
        <v>18647</v>
      </c>
      <c r="O2779" t="s">
        <v>18648</v>
      </c>
      <c r="P2779" t="s">
        <v>18649</v>
      </c>
      <c r="Q2779" s="3" t="n">
        <v>43067.0</v>
      </c>
      <c r="R2779" s="3" t="n">
        <v>43188.0</v>
      </c>
      <c r="S2779" s="3" t="n">
        <v>43943.46141087963</v>
      </c>
      <c r="T2779" s="3" t="n">
        <v>43985.395861944446</v>
      </c>
      <c r="U2779" t="s">
        <v>18650</v>
      </c>
      <c r="V2779" t="s">
        <v>18651</v>
      </c>
    </row>
    <row r="2780">
      <c r="A2780" t="s">
        <v>22</v>
      </c>
      <c r="B2780" t="s">
        <v>18652</v>
      </c>
      <c r="C2780" t="s">
        <v>24</v>
      </c>
      <c r="D2780" t="s">
        <v>34</v>
      </c>
      <c r="E2780" t="s">
        <v>18653</v>
      </c>
      <c r="F2780" s="2" t="n">
        <f>HYPERLINK("https://patents.google.com/patent/US20180082423","Google")</f>
        <v>0.0</v>
      </c>
      <c r="G2780" s="2" t="n">
        <f>HYPERLINK("https://patentcenter.uspto.gov/applications/15598686","Patent Center")</f>
        <v>0.0</v>
      </c>
      <c r="H2780" s="2" t="n">
        <f>HYPERLINK("https://worldwide.espacenet.com/patent/search?q=US20180082423","Espacenet")</f>
        <v>0.0</v>
      </c>
      <c r="I2780" s="2" t="n">
        <f>HYPERLINK("https://ppubs.uspto.gov/pubwebapp/external.html?q=20180082423.pn.","USPTO")</f>
        <v>0.0</v>
      </c>
      <c r="J2780" s="2" t="n">
        <f>HYPERLINK("https://image-ppubs.uspto.gov/dirsearch-public/print/downloadPdf/20180082423","USPTO PDF")</f>
        <v>0.0</v>
      </c>
      <c r="K2780" s="2" t="n">
        <f>HYPERLINK("https://sectors.patentforecast.com/pmd/US20180082423","PMD")</f>
        <v>0.0</v>
      </c>
      <c r="L2780" s="2" t="n">
        <f>HYPERLINK("https://globaldossier.uspto.gov/result/application/US/15598686/1","US20180082423")</f>
        <v>0.0</v>
      </c>
      <c r="M2780" t="s">
        <v>18654</v>
      </c>
      <c r="N2780" t="s">
        <v>18655</v>
      </c>
      <c r="O2780" t="s">
        <v>18655</v>
      </c>
      <c r="P2780" t="s">
        <v>18656</v>
      </c>
      <c r="Q2780" s="3" t="n">
        <v>42873.0</v>
      </c>
      <c r="R2780" s="3" t="n">
        <v>43181.0</v>
      </c>
      <c r="S2780" s="3" t="n">
        <v>44033.23378030093</v>
      </c>
      <c r="T2780" s="3" t="n">
        <v>44033.39649821759</v>
      </c>
      <c r="U2780" t="s">
        <v>18657</v>
      </c>
      <c r="V2780" t="s">
        <v>18658</v>
      </c>
    </row>
    <row r="2781">
      <c r="A2781" t="s">
        <v>22</v>
      </c>
      <c r="B2781" t="s">
        <v>18659</v>
      </c>
      <c r="C2781" t="s">
        <v>60</v>
      </c>
      <c r="D2781" t="s">
        <v>61</v>
      </c>
      <c r="E2781" t="s">
        <v>17318</v>
      </c>
      <c r="F2781" s="2" t="n">
        <f>HYPERLINK("https://patents.google.com/patent/US20180079773","Google")</f>
        <v>0.0</v>
      </c>
      <c r="G2781" s="2" t="n">
        <f>HYPERLINK("https://patentcenter.uspto.gov/applications/15697136","Patent Center")</f>
        <v>0.0</v>
      </c>
      <c r="H2781" s="2" t="n">
        <f>HYPERLINK("https://worldwide.espacenet.com/patent/search?q=US20180079773","Espacenet")</f>
        <v>0.0</v>
      </c>
      <c r="I2781" s="2" t="n">
        <f>HYPERLINK("https://ppubs.uspto.gov/pubwebapp/external.html?q=20180079773.pn.","USPTO")</f>
        <v>0.0</v>
      </c>
      <c r="J2781" s="2" t="n">
        <f>HYPERLINK("https://image-ppubs.uspto.gov/dirsearch-public/print/downloadPdf/20180079773","USPTO PDF")</f>
        <v>0.0</v>
      </c>
      <c r="K2781" s="2" t="n">
        <f>HYPERLINK("https://sectors.patentforecast.com/pmd/US20180079773","PMD")</f>
        <v>0.0</v>
      </c>
      <c r="L2781" s="2" t="n">
        <f>HYPERLINK("https://globaldossier.uspto.gov/result/application/US/15697136/1","US20180079773")</f>
        <v>0.0</v>
      </c>
      <c r="M2781" t="s">
        <v>18660</v>
      </c>
      <c r="N2781" t="s">
        <v>664</v>
      </c>
      <c r="O2781" t="s">
        <v>665</v>
      </c>
      <c r="P2781" t="s">
        <v>17320</v>
      </c>
      <c r="Q2781" s="3" t="n">
        <v>42984.0</v>
      </c>
      <c r="R2781" s="3" t="n">
        <v>43181.0</v>
      </c>
      <c r="S2781" s="3" t="n">
        <v>43952.46302664352</v>
      </c>
      <c r="T2781" s="3" t="n">
        <v>44638.658114722224</v>
      </c>
      <c r="U2781" t="s">
        <v>18661</v>
      </c>
      <c r="V2781" t="s">
        <v>17322</v>
      </c>
    </row>
    <row r="2782">
      <c r="A2782" t="s">
        <v>22</v>
      </c>
      <c r="B2782" t="s">
        <v>18662</v>
      </c>
      <c r="C2782" t="s">
        <v>60</v>
      </c>
      <c r="D2782" t="s">
        <v>61</v>
      </c>
      <c r="E2782" t="s">
        <v>18663</v>
      </c>
      <c r="F2782" s="2" t="n">
        <f>HYPERLINK("https://patents.google.com/patent/US20180079772","Google")</f>
        <v>0.0</v>
      </c>
      <c r="G2782" s="2" t="n">
        <f>HYPERLINK("https://patentcenter.uspto.gov/applications/15697075","Patent Center")</f>
        <v>0.0</v>
      </c>
      <c r="H2782" s="2" t="n">
        <f>HYPERLINK("https://worldwide.espacenet.com/patent/search?q=US20180079772","Espacenet")</f>
        <v>0.0</v>
      </c>
      <c r="I2782" s="2" t="n">
        <f>HYPERLINK("https://ppubs.uspto.gov/pubwebapp/external.html?q=20180079772.pn.","USPTO")</f>
        <v>0.0</v>
      </c>
      <c r="J2782" s="2" t="n">
        <f>HYPERLINK("https://image-ppubs.uspto.gov/dirsearch-public/print/downloadPdf/20180079772","USPTO PDF")</f>
        <v>0.0</v>
      </c>
      <c r="K2782" s="2" t="n">
        <f>HYPERLINK("https://sectors.patentforecast.com/pmd/US20180079772","PMD")</f>
        <v>0.0</v>
      </c>
      <c r="L2782" s="2" t="n">
        <f>HYPERLINK("https://globaldossier.uspto.gov/result/application/US/15697075/1","US20180079772")</f>
        <v>0.0</v>
      </c>
      <c r="M2782" t="s">
        <v>18664</v>
      </c>
      <c r="N2782" t="s">
        <v>664</v>
      </c>
      <c r="O2782" t="s">
        <v>665</v>
      </c>
      <c r="P2782" t="s">
        <v>18665</v>
      </c>
      <c r="Q2782" s="3" t="n">
        <v>42984.0</v>
      </c>
      <c r="R2782" s="3" t="n">
        <v>43181.0</v>
      </c>
      <c r="S2782" s="3" t="n">
        <v>43952.46302664352</v>
      </c>
      <c r="T2782" s="3" t="n">
        <v>44638.662781747684</v>
      </c>
      <c r="U2782" t="s">
        <v>18666</v>
      </c>
      <c r="V2782" t="s">
        <v>18667</v>
      </c>
    </row>
    <row r="2783">
      <c r="A2783" t="s">
        <v>22</v>
      </c>
      <c r="B2783" t="s">
        <v>18668</v>
      </c>
      <c r="C2783" t="s">
        <v>24</v>
      </c>
      <c r="D2783" t="s">
        <v>25</v>
      </c>
      <c r="E2783" t="s">
        <v>18669</v>
      </c>
      <c r="F2783" s="2" t="n">
        <f>HYPERLINK("https://patents.google.com/patent/US20180077894","Google")</f>
        <v>0.0</v>
      </c>
      <c r="G2783" s="2" t="n">
        <f>HYPERLINK("https://patentcenter.uspto.gov/applications/15712750","Patent Center")</f>
        <v>0.0</v>
      </c>
      <c r="H2783" s="2" t="n">
        <f>HYPERLINK("https://worldwide.espacenet.com/patent/search?q=US20180077894","Espacenet")</f>
        <v>0.0</v>
      </c>
      <c r="I2783" s="2" t="n">
        <f>HYPERLINK("https://ppubs.uspto.gov/pubwebapp/external.html?q=20180077894.pn.","USPTO")</f>
        <v>0.0</v>
      </c>
      <c r="J2783" s="2" t="n">
        <f>HYPERLINK("https://image-ppubs.uspto.gov/dirsearch-public/print/downloadPdf/20180077894","USPTO PDF")</f>
        <v>0.0</v>
      </c>
      <c r="K2783" s="2" t="n">
        <f>HYPERLINK("https://sectors.patentforecast.com/pmd/US20180077894","PMD")</f>
        <v>0.0</v>
      </c>
      <c r="L2783" s="2" t="n">
        <f>HYPERLINK("https://globaldossier.uspto.gov/result/application/US/15712750/1","US20180077894")</f>
        <v>0.0</v>
      </c>
      <c r="M2783" t="s">
        <v>18670</v>
      </c>
      <c r="N2783" t="s">
        <v>18671</v>
      </c>
      <c r="O2783" t="s">
        <v>18672</v>
      </c>
      <c r="P2783" t="s">
        <v>18673</v>
      </c>
      <c r="Q2783" s="3" t="n">
        <v>43000.0</v>
      </c>
      <c r="R2783" s="3" t="n">
        <v>43181.0</v>
      </c>
      <c r="S2783" s="3" t="n">
        <v>43266.4573637037</v>
      </c>
      <c r="T2783" s="3" t="n">
        <v>44643.46352855324</v>
      </c>
      <c r="U2783" t="s">
        <v>18674</v>
      </c>
      <c r="V2783" t="s">
        <v>18675</v>
      </c>
    </row>
    <row r="2784">
      <c r="A2784" t="s">
        <v>22</v>
      </c>
      <c r="B2784" t="s">
        <v>18676</v>
      </c>
      <c r="C2784" t="s">
        <v>60</v>
      </c>
      <c r="D2784" t="s">
        <v>61</v>
      </c>
      <c r="E2784" t="s">
        <v>18677</v>
      </c>
      <c r="F2784" s="2" t="n">
        <f>HYPERLINK("https://patents.google.com/patent/US20180072755","Google")</f>
        <v>0.0</v>
      </c>
      <c r="G2784" s="2" t="n">
        <f>HYPERLINK("https://patentcenter.uspto.gov/applications/15717493","Patent Center")</f>
        <v>0.0</v>
      </c>
      <c r="H2784" s="2" t="n">
        <f>HYPERLINK("https://worldwide.espacenet.com/patent/search?q=US20180072755","Espacenet")</f>
        <v>0.0</v>
      </c>
      <c r="I2784" s="2" t="n">
        <f>HYPERLINK("https://ppubs.uspto.gov/pubwebapp/external.html?q=20180072755.pn.","USPTO")</f>
        <v>0.0</v>
      </c>
      <c r="J2784" s="2" t="n">
        <f>HYPERLINK("https://image-ppubs.uspto.gov/dirsearch-public/print/downloadPdf/20180072755","USPTO PDF")</f>
        <v>0.0</v>
      </c>
      <c r="K2784" s="2" t="n">
        <f>HYPERLINK("https://sectors.patentforecast.com/pmd/US20180072755","PMD")</f>
        <v>0.0</v>
      </c>
      <c r="L2784" s="2" t="n">
        <f>HYPERLINK("https://globaldossier.uspto.gov/result/application/US/15717493/1","US20180072755")</f>
        <v>0.0</v>
      </c>
      <c r="M2784" t="s">
        <v>18678</v>
      </c>
      <c r="N2784" t="s">
        <v>664</v>
      </c>
      <c r="O2784" t="s">
        <v>665</v>
      </c>
      <c r="P2784" t="s">
        <v>16997</v>
      </c>
      <c r="Q2784" s="3" t="n">
        <v>43005.0</v>
      </c>
      <c r="R2784" s="3" t="n">
        <v>43174.0</v>
      </c>
      <c r="S2784" s="3" t="n">
        <v>43952.46302664352</v>
      </c>
      <c r="T2784" s="3" t="n">
        <v>44638.65643378472</v>
      </c>
      <c r="U2784" t="s">
        <v>18679</v>
      </c>
      <c r="V2784" t="s">
        <v>17675</v>
      </c>
    </row>
    <row r="2785">
      <c r="A2785" t="s">
        <v>22</v>
      </c>
      <c r="B2785" t="s">
        <v>18680</v>
      </c>
      <c r="C2785" t="s">
        <v>24</v>
      </c>
      <c r="D2785" t="s">
        <v>25</v>
      </c>
      <c r="E2785" t="s">
        <v>18681</v>
      </c>
      <c r="F2785" s="2" t="n">
        <f>HYPERLINK("https://patents.google.com/patent/US20180070827","Google")</f>
        <v>0.0</v>
      </c>
      <c r="G2785" s="2" t="n">
        <f>HYPERLINK("https://patentcenter.uspto.gov/applications/15815636","Patent Center")</f>
        <v>0.0</v>
      </c>
      <c r="H2785" s="2" t="n">
        <f>HYPERLINK("https://worldwide.espacenet.com/patent/search?q=US20180070827","Espacenet")</f>
        <v>0.0</v>
      </c>
      <c r="I2785" s="2" t="n">
        <f>HYPERLINK("https://ppubs.uspto.gov/pubwebapp/external.html?q=20180070827.pn.","USPTO")</f>
        <v>0.0</v>
      </c>
      <c r="J2785" s="2" t="n">
        <f>HYPERLINK("https://image-ppubs.uspto.gov/dirsearch-public/print/downloadPdf/20180070827","USPTO PDF")</f>
        <v>0.0</v>
      </c>
      <c r="K2785" s="2" t="n">
        <f>HYPERLINK("https://sectors.patentforecast.com/pmd/US20180070827","PMD")</f>
        <v>0.0</v>
      </c>
      <c r="L2785" s="2" t="n">
        <f>HYPERLINK("https://globaldossier.uspto.gov/result/application/US/15815636/1","US20180070827")</f>
        <v>0.0</v>
      </c>
      <c r="M2785" t="s">
        <v>18682</v>
      </c>
      <c r="N2785" t="s">
        <v>18683</v>
      </c>
      <c r="O2785" t="s">
        <v>18684</v>
      </c>
      <c r="P2785" t="s">
        <v>18685</v>
      </c>
      <c r="Q2785" s="3" t="n">
        <v>43055.0</v>
      </c>
      <c r="R2785" s="3" t="n">
        <v>43174.0</v>
      </c>
      <c r="S2785" s="3" t="n">
        <v>43266.45736369213</v>
      </c>
      <c r="T2785" s="3" t="n">
        <v>43950.58814277778</v>
      </c>
      <c r="U2785" t="s">
        <v>18686</v>
      </c>
      <c r="V2785" t="s">
        <v>18687</v>
      </c>
    </row>
    <row r="2786">
      <c r="A2786" t="s">
        <v>22</v>
      </c>
      <c r="B2786" t="s">
        <v>18688</v>
      </c>
      <c r="C2786" t="s">
        <v>24</v>
      </c>
      <c r="D2786" t="s">
        <v>25</v>
      </c>
      <c r="E2786" t="s">
        <v>18681</v>
      </c>
      <c r="F2786" s="2" t="n">
        <f>HYPERLINK("https://patents.google.com/patent/US20180070826","Google")</f>
        <v>0.0</v>
      </c>
      <c r="G2786" s="2" t="n">
        <f>HYPERLINK("https://patentcenter.uspto.gov/applications/15815622","Patent Center")</f>
        <v>0.0</v>
      </c>
      <c r="H2786" s="2" t="n">
        <f>HYPERLINK("https://worldwide.espacenet.com/patent/search?q=US20180070826","Espacenet")</f>
        <v>0.0</v>
      </c>
      <c r="I2786" s="2" t="n">
        <f>HYPERLINK("https://ppubs.uspto.gov/pubwebapp/external.html?q=20180070826.pn.","USPTO")</f>
        <v>0.0</v>
      </c>
      <c r="J2786" s="2" t="n">
        <f>HYPERLINK("https://image-ppubs.uspto.gov/dirsearch-public/print/downloadPdf/20180070826","USPTO PDF")</f>
        <v>0.0</v>
      </c>
      <c r="K2786" s="2" t="n">
        <f>HYPERLINK("https://sectors.patentforecast.com/pmd/US20180070826","PMD")</f>
        <v>0.0</v>
      </c>
      <c r="L2786" s="2" t="n">
        <f>HYPERLINK("https://globaldossier.uspto.gov/result/application/US/15815622/1","US20180070826")</f>
        <v>0.0</v>
      </c>
      <c r="M2786" t="s">
        <v>18689</v>
      </c>
      <c r="N2786" t="s">
        <v>18683</v>
      </c>
      <c r="O2786" t="s">
        <v>18684</v>
      </c>
      <c r="P2786" t="s">
        <v>18685</v>
      </c>
      <c r="Q2786" s="3" t="n">
        <v>43055.0</v>
      </c>
      <c r="R2786" s="3" t="n">
        <v>43174.0</v>
      </c>
      <c r="S2786" s="3" t="n">
        <v>43266.45736369213</v>
      </c>
      <c r="T2786" s="3" t="n">
        <v>43950.58817668982</v>
      </c>
      <c r="U2786" t="s">
        <v>18686</v>
      </c>
      <c r="V2786" t="s">
        <v>18687</v>
      </c>
    </row>
    <row r="2787">
      <c r="A2787" t="s">
        <v>22</v>
      </c>
      <c r="B2787" t="s">
        <v>18690</v>
      </c>
      <c r="C2787" t="s">
        <v>24</v>
      </c>
      <c r="D2787" t="s">
        <v>25</v>
      </c>
      <c r="E2787" t="s">
        <v>18681</v>
      </c>
      <c r="F2787" s="2" t="n">
        <f>HYPERLINK("https://patents.google.com/patent/US20180070825","Google")</f>
        <v>0.0</v>
      </c>
      <c r="G2787" s="2" t="n">
        <f>HYPERLINK("https://patentcenter.uspto.gov/applications/15815365","Patent Center")</f>
        <v>0.0</v>
      </c>
      <c r="H2787" s="2" t="n">
        <f>HYPERLINK("https://worldwide.espacenet.com/patent/search?q=US20180070825","Espacenet")</f>
        <v>0.0</v>
      </c>
      <c r="I2787" s="2" t="n">
        <f>HYPERLINK("https://ppubs.uspto.gov/pubwebapp/external.html?q=20180070825.pn.","USPTO")</f>
        <v>0.0</v>
      </c>
      <c r="J2787" s="2" t="n">
        <f>HYPERLINK("https://image-ppubs.uspto.gov/dirsearch-public/print/downloadPdf/20180070825","USPTO PDF")</f>
        <v>0.0</v>
      </c>
      <c r="K2787" s="2" t="n">
        <f>HYPERLINK("https://sectors.patentforecast.com/pmd/US20180070825","PMD")</f>
        <v>0.0</v>
      </c>
      <c r="L2787" s="2" t="n">
        <f>HYPERLINK("https://globaldossier.uspto.gov/result/application/US/15815365/1","US20180070825")</f>
        <v>0.0</v>
      </c>
      <c r="M2787" t="s">
        <v>18691</v>
      </c>
      <c r="N2787" t="s">
        <v>18683</v>
      </c>
      <c r="O2787" t="s">
        <v>18684</v>
      </c>
      <c r="P2787" t="s">
        <v>18685</v>
      </c>
      <c r="Q2787" s="3" t="n">
        <v>43055.0</v>
      </c>
      <c r="R2787" s="3" t="n">
        <v>43174.0</v>
      </c>
      <c r="S2787" s="3" t="n">
        <v>43266.45736369213</v>
      </c>
      <c r="T2787" s="3" t="n">
        <v>43950.58820899305</v>
      </c>
      <c r="U2787" t="s">
        <v>18686</v>
      </c>
      <c r="V2787" t="s">
        <v>18687</v>
      </c>
    </row>
    <row r="2788">
      <c r="A2788" t="s">
        <v>22</v>
      </c>
      <c r="B2788" t="s">
        <v>18692</v>
      </c>
      <c r="C2788" t="s">
        <v>132</v>
      </c>
      <c r="D2788" t="s">
        <v>133</v>
      </c>
      <c r="E2788" t="s">
        <v>3996</v>
      </c>
      <c r="F2788" s="2" t="n">
        <f>HYPERLINK("https://patents.google.com/patent/US20180064804","Google")</f>
        <v>0.0</v>
      </c>
      <c r="G2788" s="2" t="n">
        <f>HYPERLINK("https://patentcenter.uspto.gov/applications/15556446","Patent Center")</f>
        <v>0.0</v>
      </c>
      <c r="H2788" s="2" t="n">
        <f>HYPERLINK("https://worldwide.espacenet.com/patent/search?q=US20180064804","Espacenet")</f>
        <v>0.0</v>
      </c>
      <c r="I2788" s="2" t="n">
        <f>HYPERLINK("https://ppubs.uspto.gov/pubwebapp/external.html?q=20180064804.pn.","USPTO")</f>
        <v>0.0</v>
      </c>
      <c r="J2788" s="2" t="n">
        <f>HYPERLINK("https://image-ppubs.uspto.gov/dirsearch-public/print/downloadPdf/20180064804","USPTO PDF")</f>
        <v>0.0</v>
      </c>
      <c r="K2788" s="2" t="n">
        <f>HYPERLINK("https://sectors.patentforecast.com/pmd/US20180064804","PMD")</f>
        <v>0.0</v>
      </c>
      <c r="L2788" s="2" t="n">
        <f>HYPERLINK("https://globaldossier.uspto.gov/result/application/US/15556446/1","US20180064804")</f>
        <v>0.0</v>
      </c>
      <c r="M2788" t="s">
        <v>18693</v>
      </c>
      <c r="N2788" t="s">
        <v>3998</v>
      </c>
      <c r="O2788" t="s">
        <v>3999</v>
      </c>
      <c r="P2788" t="s">
        <v>4000</v>
      </c>
      <c r="Q2788" s="3" t="n">
        <v>42426.0</v>
      </c>
      <c r="R2788" s="3" t="n">
        <v>43167.0</v>
      </c>
      <c r="S2788" s="3" t="n">
        <v>43900.43726237269</v>
      </c>
      <c r="T2788" s="3" t="n">
        <v>43901.721564837964</v>
      </c>
      <c r="U2788" t="s">
        <v>18694</v>
      </c>
      <c r="V2788" t="s">
        <v>18695</v>
      </c>
    </row>
    <row r="2789">
      <c r="A2789" t="s">
        <v>22</v>
      </c>
      <c r="B2789" t="s">
        <v>18696</v>
      </c>
      <c r="C2789" t="s">
        <v>24</v>
      </c>
      <c r="D2789" t="s">
        <v>25</v>
      </c>
      <c r="E2789" t="s">
        <v>18697</v>
      </c>
      <c r="F2789" s="2" t="n">
        <f>HYPERLINK("https://patents.google.com/patent/US20180058939","Google")</f>
        <v>0.0</v>
      </c>
      <c r="G2789" s="2" t="n">
        <f>HYPERLINK("https://patentcenter.uspto.gov/applications/15803218","Patent Center")</f>
        <v>0.0</v>
      </c>
      <c r="H2789" s="2" t="n">
        <f>HYPERLINK("https://worldwide.espacenet.com/patent/search?q=US20180058939","Espacenet")</f>
        <v>0.0</v>
      </c>
      <c r="I2789" s="2" t="n">
        <f>HYPERLINK("https://ppubs.uspto.gov/pubwebapp/external.html?q=20180058939.pn.","USPTO")</f>
        <v>0.0</v>
      </c>
      <c r="J2789" s="2" t="n">
        <f>HYPERLINK("https://image-ppubs.uspto.gov/dirsearch-public/print/downloadPdf/20180058939","USPTO PDF")</f>
        <v>0.0</v>
      </c>
      <c r="K2789" s="2" t="n">
        <f>HYPERLINK("https://sectors.patentforecast.com/pmd/US20180058939","PMD")</f>
        <v>0.0</v>
      </c>
      <c r="L2789" s="2" t="n">
        <f>HYPERLINK("https://globaldossier.uspto.gov/result/application/US/15803218/1","US20180058939")</f>
        <v>0.0</v>
      </c>
      <c r="M2789" t="s">
        <v>18698</v>
      </c>
      <c r="N2789" t="s">
        <v>18699</v>
      </c>
      <c r="O2789" t="s">
        <v>18700</v>
      </c>
      <c r="P2789" t="s">
        <v>18701</v>
      </c>
      <c r="Q2789" s="3" t="n">
        <v>43042.0</v>
      </c>
      <c r="R2789" s="3" t="n">
        <v>43160.0</v>
      </c>
      <c r="S2789" s="3" t="n">
        <v>43900.43726237269</v>
      </c>
      <c r="T2789" s="3" t="n">
        <v>43903.484632280095</v>
      </c>
      <c r="U2789" t="s">
        <v>18702</v>
      </c>
      <c r="V2789" t="s">
        <v>18703</v>
      </c>
    </row>
    <row r="2790">
      <c r="A2790" t="s">
        <v>22</v>
      </c>
      <c r="B2790" t="s">
        <v>18704</v>
      </c>
      <c r="C2790" t="s">
        <v>24</v>
      </c>
      <c r="D2790" t="s">
        <v>1356</v>
      </c>
      <c r="E2790" t="s">
        <v>18705</v>
      </c>
      <c r="F2790" s="2" t="n">
        <f>HYPERLINK("https://patents.google.com/patent/US20180052970","Google")</f>
        <v>0.0</v>
      </c>
      <c r="G2790" s="2" t="n">
        <f>HYPERLINK("https://patentcenter.uspto.gov/applications/15238099","Patent Center")</f>
        <v>0.0</v>
      </c>
      <c r="H2790" s="2" t="n">
        <f>HYPERLINK("https://worldwide.espacenet.com/patent/search?q=US20180052970","Espacenet")</f>
        <v>0.0</v>
      </c>
      <c r="I2790" s="2" t="n">
        <f>HYPERLINK("https://ppubs.uspto.gov/pubwebapp/external.html?q=20180052970.pn.","USPTO")</f>
        <v>0.0</v>
      </c>
      <c r="J2790" s="2" t="n">
        <f>HYPERLINK("https://image-ppubs.uspto.gov/dirsearch-public/print/downloadPdf/20180052970","USPTO PDF")</f>
        <v>0.0</v>
      </c>
      <c r="K2790" s="2" t="n">
        <f>HYPERLINK("https://sectors.patentforecast.com/pmd/US20180052970","PMD")</f>
        <v>0.0</v>
      </c>
      <c r="L2790" s="2" t="n">
        <f>HYPERLINK("https://globaldossier.uspto.gov/result/application/US/15238099/1","US20180052970")</f>
        <v>0.0</v>
      </c>
      <c r="M2790" t="s">
        <v>18706</v>
      </c>
      <c r="N2790" t="s">
        <v>18707</v>
      </c>
      <c r="O2790" t="s">
        <v>18708</v>
      </c>
      <c r="P2790" t="s">
        <v>18709</v>
      </c>
      <c r="Q2790" s="3" t="n">
        <v>42598.0</v>
      </c>
      <c r="R2790" s="3" t="n">
        <v>43153.0</v>
      </c>
      <c r="S2790" s="3" t="n">
        <v>43908.45851130787</v>
      </c>
      <c r="T2790" s="3" t="n">
        <v>43990.715606226855</v>
      </c>
      <c r="U2790" t="s">
        <v>18710</v>
      </c>
      <c r="V2790" t="s">
        <v>18711</v>
      </c>
    </row>
    <row r="2791">
      <c r="A2791" t="s">
        <v>22</v>
      </c>
      <c r="B2791" t="s">
        <v>18712</v>
      </c>
      <c r="C2791" t="s">
        <v>24</v>
      </c>
      <c r="D2791" t="s">
        <v>25</v>
      </c>
      <c r="E2791" t="s">
        <v>18713</v>
      </c>
      <c r="F2791" s="2" t="n">
        <f>HYPERLINK("https://patents.google.com/patent/US20180046778","Google")</f>
        <v>0.0</v>
      </c>
      <c r="G2791" s="2" t="n">
        <f>HYPERLINK("https://patentcenter.uspto.gov/applications/15130572","Patent Center")</f>
        <v>0.0</v>
      </c>
      <c r="H2791" s="2" t="n">
        <f>HYPERLINK("https://worldwide.espacenet.com/patent/search?q=US20180046778","Espacenet")</f>
        <v>0.0</v>
      </c>
      <c r="I2791" s="2" t="n">
        <f>HYPERLINK("https://ppubs.uspto.gov/pubwebapp/external.html?q=20180046778.pn.","USPTO")</f>
        <v>0.0</v>
      </c>
      <c r="J2791" s="2" t="n">
        <f>HYPERLINK("https://image-ppubs.uspto.gov/dirsearch-public/print/downloadPdf/20180046778","USPTO PDF")</f>
        <v>0.0</v>
      </c>
      <c r="K2791" s="2" t="n">
        <f>HYPERLINK("https://sectors.patentforecast.com/pmd/US20180046778","PMD")</f>
        <v>0.0</v>
      </c>
      <c r="L2791" s="2" t="n">
        <f>HYPERLINK("https://globaldossier.uspto.gov/result/application/US/15130572/1","US20180046778")</f>
        <v>0.0</v>
      </c>
      <c r="M2791" t="s">
        <v>18714</v>
      </c>
      <c r="N2791" t="s">
        <v>18715</v>
      </c>
      <c r="O2791" t="s">
        <v>18716</v>
      </c>
      <c r="P2791" t="s">
        <v>18717</v>
      </c>
      <c r="Q2791" s="3" t="n">
        <v>42475.0</v>
      </c>
      <c r="R2791" s="3" t="n">
        <v>43146.0</v>
      </c>
      <c r="S2791" s="3" t="n">
        <v>43266.45736369213</v>
      </c>
      <c r="T2791" s="3" t="n">
        <v>43906.35855832176</v>
      </c>
      <c r="U2791" t="s">
        <v>18718</v>
      </c>
      <c r="V2791" t="s">
        <v>18719</v>
      </c>
    </row>
    <row r="2792">
      <c r="A2792" t="s">
        <v>22</v>
      </c>
      <c r="B2792" t="s">
        <v>18720</v>
      </c>
      <c r="C2792" t="s">
        <v>60</v>
      </c>
      <c r="D2792" t="s">
        <v>61</v>
      </c>
      <c r="E2792" t="s">
        <v>18721</v>
      </c>
      <c r="F2792" s="2" t="n">
        <f>HYPERLINK("https://patents.google.com/patent/US20180044649","Google")</f>
        <v>0.0</v>
      </c>
      <c r="G2792" s="2" t="n">
        <f>HYPERLINK("https://patentcenter.uspto.gov/applications/15672091","Patent Center")</f>
        <v>0.0</v>
      </c>
      <c r="H2792" s="2" t="n">
        <f>HYPERLINK("https://worldwide.espacenet.com/patent/search?q=US20180044649","Espacenet")</f>
        <v>0.0</v>
      </c>
      <c r="I2792" s="2" t="n">
        <f>HYPERLINK("https://ppubs.uspto.gov/pubwebapp/external.html?q=20180044649.pn.","USPTO")</f>
        <v>0.0</v>
      </c>
      <c r="J2792" s="2" t="n">
        <f>HYPERLINK("https://image-ppubs.uspto.gov/dirsearch-public/print/downloadPdf/20180044649","USPTO PDF")</f>
        <v>0.0</v>
      </c>
      <c r="K2792" s="2" t="n">
        <f>HYPERLINK("https://sectors.patentforecast.com/pmd/US20180044649","PMD")</f>
        <v>0.0</v>
      </c>
      <c r="L2792" s="2" t="n">
        <f>HYPERLINK("https://globaldossier.uspto.gov/result/application/US/15672091/1","US20180044649")</f>
        <v>0.0</v>
      </c>
      <c r="M2792" t="s">
        <v>18722</v>
      </c>
      <c r="N2792" t="s">
        <v>18723</v>
      </c>
      <c r="O2792" t="s">
        <v>18723</v>
      </c>
      <c r="P2792" t="s">
        <v>18724</v>
      </c>
      <c r="Q2792" s="3" t="n">
        <v>42955.0</v>
      </c>
      <c r="R2792" s="3" t="n">
        <v>43146.0</v>
      </c>
      <c r="S2792" s="3" t="n">
        <v>43900.43726237269</v>
      </c>
      <c r="T2792" s="3" t="n">
        <v>43903.612156180556</v>
      </c>
      <c r="U2792" t="s">
        <v>18725</v>
      </c>
      <c r="V2792" t="s">
        <v>18726</v>
      </c>
    </row>
    <row r="2793">
      <c r="A2793" t="s">
        <v>22</v>
      </c>
      <c r="B2793" t="s">
        <v>18727</v>
      </c>
      <c r="C2793" t="s">
        <v>60</v>
      </c>
      <c r="D2793" t="s">
        <v>696</v>
      </c>
      <c r="E2793" t="s">
        <v>16957</v>
      </c>
      <c r="F2793" s="2" t="n">
        <f>HYPERLINK("https://patents.google.com/patent/US20180043010","Google")</f>
        <v>0.0</v>
      </c>
      <c r="G2793" s="2" t="n">
        <f>HYPERLINK("https://patentcenter.uspto.gov/applications/15653226","Patent Center")</f>
        <v>0.0</v>
      </c>
      <c r="H2793" s="2" t="n">
        <f>HYPERLINK("https://worldwide.espacenet.com/patent/search?q=US20180043010","Espacenet")</f>
        <v>0.0</v>
      </c>
      <c r="I2793" s="2" t="n">
        <f>HYPERLINK("https://ppubs.uspto.gov/pubwebapp/external.html?q=20180043010.pn.","USPTO")</f>
        <v>0.0</v>
      </c>
      <c r="J2793" s="2" t="n">
        <f>HYPERLINK("https://image-ppubs.uspto.gov/dirsearch-public/print/downloadPdf/20180043010","USPTO PDF")</f>
        <v>0.0</v>
      </c>
      <c r="K2793" s="2" t="n">
        <f>HYPERLINK("https://sectors.patentforecast.com/pmd/US20180043010","PMD")</f>
        <v>0.0</v>
      </c>
      <c r="L2793" s="2" t="n">
        <f>HYPERLINK("https://globaldossier.uspto.gov/result/application/US/15653226/1","US20180043010")</f>
        <v>0.0</v>
      </c>
      <c r="M2793" t="s">
        <v>18728</v>
      </c>
      <c r="N2793" t="s">
        <v>16927</v>
      </c>
      <c r="O2793" t="s">
        <v>16928</v>
      </c>
      <c r="P2793" t="s">
        <v>16959</v>
      </c>
      <c r="Q2793" s="3" t="n">
        <v>42934.0</v>
      </c>
      <c r="R2793" s="3" t="n">
        <v>43146.0</v>
      </c>
      <c r="S2793" s="3" t="n">
        <v>43966.482962152775</v>
      </c>
      <c r="T2793" s="3" t="n">
        <v>44643.44490069444</v>
      </c>
      <c r="U2793" t="s">
        <v>18729</v>
      </c>
      <c r="V2793" t="s">
        <v>16961</v>
      </c>
    </row>
    <row r="2794">
      <c r="A2794" t="s">
        <v>22</v>
      </c>
      <c r="B2794" t="s">
        <v>18730</v>
      </c>
      <c r="C2794" t="s">
        <v>60</v>
      </c>
      <c r="D2794" t="s">
        <v>61</v>
      </c>
      <c r="E2794" t="s">
        <v>17074</v>
      </c>
      <c r="F2794" s="2" t="n">
        <f>HYPERLINK("https://patents.google.com/patent/US20180042946","Google")</f>
        <v>0.0</v>
      </c>
      <c r="G2794" s="2" t="n">
        <f>HYPERLINK("https://patentcenter.uspto.gov/applications/15442378","Patent Center")</f>
        <v>0.0</v>
      </c>
      <c r="H2794" s="2" t="n">
        <f>HYPERLINK("https://worldwide.espacenet.com/patent/search?q=US20180042946","Espacenet")</f>
        <v>0.0</v>
      </c>
      <c r="I2794" s="2" t="n">
        <f>HYPERLINK("https://ppubs.uspto.gov/pubwebapp/external.html?q=20180042946.pn.","USPTO")</f>
        <v>0.0</v>
      </c>
      <c r="J2794" s="2" t="n">
        <f>HYPERLINK("https://image-ppubs.uspto.gov/dirsearch-public/print/downloadPdf/20180042946","USPTO PDF")</f>
        <v>0.0</v>
      </c>
      <c r="K2794" s="2" t="n">
        <f>HYPERLINK("https://sectors.patentforecast.com/pmd/US20180042946","PMD")</f>
        <v>0.0</v>
      </c>
      <c r="L2794" s="2" t="n">
        <f>HYPERLINK("https://globaldossier.uspto.gov/result/application/US/15442378/1","US20180042946")</f>
        <v>0.0</v>
      </c>
      <c r="M2794" t="s">
        <v>18731</v>
      </c>
      <c r="N2794" t="s">
        <v>18732</v>
      </c>
      <c r="O2794" t="s">
        <v>18733</v>
      </c>
      <c r="P2794" t="s">
        <v>17076</v>
      </c>
      <c r="Q2794" s="3" t="n">
        <v>42790.0</v>
      </c>
      <c r="R2794" s="3" t="n">
        <v>43146.0</v>
      </c>
      <c r="S2794" s="3" t="n">
        <v>43950.647371782405</v>
      </c>
      <c r="T2794" s="3" t="n">
        <v>44638.65271974537</v>
      </c>
      <c r="U2794" t="s">
        <v>18734</v>
      </c>
      <c r="V2794" t="s">
        <v>17078</v>
      </c>
    </row>
    <row r="2795">
      <c r="A2795" t="s">
        <v>22</v>
      </c>
      <c r="B2795" t="s">
        <v>18735</v>
      </c>
      <c r="C2795" t="s">
        <v>60</v>
      </c>
      <c r="D2795" t="s">
        <v>61</v>
      </c>
      <c r="E2795" t="s">
        <v>18736</v>
      </c>
      <c r="F2795" s="2" t="n">
        <f>HYPERLINK("https://patents.google.com/patent/US20180042905","Google")</f>
        <v>0.0</v>
      </c>
      <c r="G2795" s="2" t="n">
        <f>HYPERLINK("https://patentcenter.uspto.gov/applications/15689985","Patent Center")</f>
        <v>0.0</v>
      </c>
      <c r="H2795" s="2" t="n">
        <f>HYPERLINK("https://worldwide.espacenet.com/patent/search?q=US20180042905","Espacenet")</f>
        <v>0.0</v>
      </c>
      <c r="I2795" s="2" t="n">
        <f>HYPERLINK("https://ppubs.uspto.gov/pubwebapp/external.html?q=20180042905.pn.","USPTO")</f>
        <v>0.0</v>
      </c>
      <c r="J2795" s="2" t="n">
        <f>HYPERLINK("https://image-ppubs.uspto.gov/dirsearch-public/print/downloadPdf/20180042905","USPTO PDF")</f>
        <v>0.0</v>
      </c>
      <c r="K2795" s="2" t="n">
        <f>HYPERLINK("https://sectors.patentforecast.com/pmd/US20180042905","PMD")</f>
        <v>0.0</v>
      </c>
      <c r="L2795" s="2" t="n">
        <f>HYPERLINK("https://globaldossier.uspto.gov/result/application/US/15689985/1","US20180042905")</f>
        <v>0.0</v>
      </c>
      <c r="M2795" t="s">
        <v>18737</v>
      </c>
      <c r="N2795" t="s">
        <v>664</v>
      </c>
      <c r="O2795" t="s">
        <v>665</v>
      </c>
      <c r="P2795" t="s">
        <v>18738</v>
      </c>
      <c r="Q2795" s="3" t="n">
        <v>42976.0</v>
      </c>
      <c r="R2795" s="3" t="n">
        <v>43146.0</v>
      </c>
      <c r="S2795" s="3" t="n">
        <v>43952.46302664352</v>
      </c>
      <c r="T2795" s="3" t="n">
        <v>44638.65643378472</v>
      </c>
      <c r="U2795" t="s">
        <v>18739</v>
      </c>
      <c r="V2795" t="s">
        <v>18740</v>
      </c>
    </row>
    <row r="2796">
      <c r="A2796" t="s">
        <v>22</v>
      </c>
      <c r="B2796" t="s">
        <v>18741</v>
      </c>
      <c r="C2796" t="s">
        <v>60</v>
      </c>
      <c r="D2796" t="s">
        <v>61</v>
      </c>
      <c r="E2796" t="s">
        <v>18742</v>
      </c>
      <c r="F2796" s="2" t="n">
        <f>HYPERLINK("https://patents.google.com/patent/US20180028522","Google")</f>
        <v>0.0</v>
      </c>
      <c r="G2796" s="2" t="n">
        <f>HYPERLINK("https://patentcenter.uspto.gov/applications/15552921","Patent Center")</f>
        <v>0.0</v>
      </c>
      <c r="H2796" s="2" t="n">
        <f>HYPERLINK("https://worldwide.espacenet.com/patent/search?q=US20180028522","Espacenet")</f>
        <v>0.0</v>
      </c>
      <c r="I2796" s="2" t="n">
        <f>HYPERLINK("https://ppubs.uspto.gov/pubwebapp/external.html?q=20180028522.pn.","USPTO")</f>
        <v>0.0</v>
      </c>
      <c r="J2796" s="2" t="n">
        <f>HYPERLINK("https://image-ppubs.uspto.gov/dirsearch-public/print/downloadPdf/20180028522","USPTO PDF")</f>
        <v>0.0</v>
      </c>
      <c r="K2796" s="2" t="n">
        <f>HYPERLINK("https://sectors.patentforecast.com/pmd/US20180028522","PMD")</f>
        <v>0.0</v>
      </c>
      <c r="L2796" s="2" t="n">
        <f>HYPERLINK("https://globaldossier.uspto.gov/result/application/US/15552921/1","US20180028522")</f>
        <v>0.0</v>
      </c>
      <c r="M2796" t="s">
        <v>18743</v>
      </c>
      <c r="N2796" t="s">
        <v>18744</v>
      </c>
      <c r="O2796" t="s">
        <v>18744</v>
      </c>
      <c r="P2796" t="s">
        <v>18745</v>
      </c>
      <c r="Q2796" s="3" t="n">
        <v>42419.0</v>
      </c>
      <c r="R2796" s="3" t="n">
        <v>43132.0</v>
      </c>
      <c r="S2796" s="3" t="n">
        <v>43966.482962152775</v>
      </c>
      <c r="T2796" s="3" t="n">
        <v>44678.47245170139</v>
      </c>
      <c r="U2796" t="s">
        <v>18746</v>
      </c>
      <c r="V2796" t="s">
        <v>18747</v>
      </c>
    </row>
    <row r="2797">
      <c r="A2797" t="s">
        <v>22</v>
      </c>
      <c r="B2797" t="s">
        <v>18748</v>
      </c>
      <c r="C2797" t="s">
        <v>60</v>
      </c>
      <c r="D2797" t="s">
        <v>696</v>
      </c>
      <c r="E2797" t="s">
        <v>16925</v>
      </c>
      <c r="F2797" s="2" t="n">
        <f>HYPERLINK("https://patents.google.com/patent/US20180022801","Google")</f>
        <v>0.0</v>
      </c>
      <c r="G2797" s="2" t="n">
        <f>HYPERLINK("https://patentcenter.uspto.gov/applications/15668989","Patent Center")</f>
        <v>0.0</v>
      </c>
      <c r="H2797" s="2" t="n">
        <f>HYPERLINK("https://worldwide.espacenet.com/patent/search?q=US20180022801","Espacenet")</f>
        <v>0.0</v>
      </c>
      <c r="I2797" s="2" t="n">
        <f>HYPERLINK("https://ppubs.uspto.gov/pubwebapp/external.html?q=20180022801.pn.","USPTO")</f>
        <v>0.0</v>
      </c>
      <c r="J2797" s="2" t="n">
        <f>HYPERLINK("https://image-ppubs.uspto.gov/dirsearch-public/print/downloadPdf/20180022801","USPTO PDF")</f>
        <v>0.0</v>
      </c>
      <c r="K2797" s="2" t="n">
        <f>HYPERLINK("https://sectors.patentforecast.com/pmd/US20180022801","PMD")</f>
        <v>0.0</v>
      </c>
      <c r="L2797" s="2" t="n">
        <f>HYPERLINK("https://globaldossier.uspto.gov/result/application/US/15668989/1","US20180022801")</f>
        <v>0.0</v>
      </c>
      <c r="M2797" t="s">
        <v>18749</v>
      </c>
      <c r="N2797" t="s">
        <v>16927</v>
      </c>
      <c r="O2797" t="s">
        <v>16928</v>
      </c>
      <c r="P2797" t="s">
        <v>16991</v>
      </c>
      <c r="Q2797" s="3" t="n">
        <v>42951.0</v>
      </c>
      <c r="R2797" s="3" t="n">
        <v>43125.0</v>
      </c>
      <c r="S2797" s="3" t="n">
        <v>43966.482962152775</v>
      </c>
      <c r="T2797" s="3" t="n">
        <v>44643.44490069444</v>
      </c>
      <c r="U2797" t="s">
        <v>18750</v>
      </c>
      <c r="V2797" t="s">
        <v>16993</v>
      </c>
    </row>
    <row r="2798">
      <c r="A2798" t="s">
        <v>22</v>
      </c>
      <c r="B2798" t="s">
        <v>18751</v>
      </c>
      <c r="C2798" t="s">
        <v>60</v>
      </c>
      <c r="D2798" t="s">
        <v>61</v>
      </c>
      <c r="E2798" t="s">
        <v>17574</v>
      </c>
      <c r="F2798" s="2" t="n">
        <f>HYPERLINK("https://patents.google.com/patent/US20180021362","Google")</f>
        <v>0.0</v>
      </c>
      <c r="G2798" s="2" t="n">
        <f>HYPERLINK("https://patentcenter.uspto.gov/applications/15670283","Patent Center")</f>
        <v>0.0</v>
      </c>
      <c r="H2798" s="2" t="n">
        <f>HYPERLINK("https://worldwide.espacenet.com/patent/search?q=US20180021362","Espacenet")</f>
        <v>0.0</v>
      </c>
      <c r="I2798" s="2" t="n">
        <f>HYPERLINK("https://ppubs.uspto.gov/pubwebapp/external.html?q=20180021362.pn.","USPTO")</f>
        <v>0.0</v>
      </c>
      <c r="J2798" s="2" t="n">
        <f>HYPERLINK("https://image-ppubs.uspto.gov/dirsearch-public/print/downloadPdf/20180021362","USPTO PDF")</f>
        <v>0.0</v>
      </c>
      <c r="K2798" s="2" t="n">
        <f>HYPERLINK("https://sectors.patentforecast.com/pmd/US20180021362","PMD")</f>
        <v>0.0</v>
      </c>
      <c r="L2798" s="2" t="n">
        <f>HYPERLINK("https://globaldossier.uspto.gov/result/application/US/15670283/1","US20180021362")</f>
        <v>0.0</v>
      </c>
      <c r="M2798" t="s">
        <v>18752</v>
      </c>
      <c r="N2798" t="s">
        <v>664</v>
      </c>
      <c r="O2798" t="s">
        <v>665</v>
      </c>
      <c r="P2798" t="s">
        <v>17576</v>
      </c>
      <c r="Q2798" s="3" t="n">
        <v>42954.0</v>
      </c>
      <c r="R2798" s="3" t="n">
        <v>43125.0</v>
      </c>
      <c r="S2798" s="3" t="n">
        <v>43952.46302664352</v>
      </c>
      <c r="T2798" s="3" t="n">
        <v>44638.65271974537</v>
      </c>
      <c r="U2798" t="s">
        <v>18753</v>
      </c>
      <c r="V2798" t="s">
        <v>17578</v>
      </c>
    </row>
    <row r="2799">
      <c r="A2799" t="s">
        <v>22</v>
      </c>
      <c r="B2799" t="s">
        <v>18754</v>
      </c>
      <c r="C2799" t="s">
        <v>60</v>
      </c>
      <c r="D2799" t="s">
        <v>61</v>
      </c>
      <c r="E2799" t="s">
        <v>17915</v>
      </c>
      <c r="F2799" s="2" t="n">
        <f>HYPERLINK("https://patents.google.com/patent/US20180016280","Google")</f>
        <v>0.0</v>
      </c>
      <c r="G2799" s="2" t="n">
        <f>HYPERLINK("https://patentcenter.uspto.gov/applications/15610104","Patent Center")</f>
        <v>0.0</v>
      </c>
      <c r="H2799" s="2" t="n">
        <f>HYPERLINK("https://worldwide.espacenet.com/patent/search?q=US20180016280","Espacenet")</f>
        <v>0.0</v>
      </c>
      <c r="I2799" s="2" t="n">
        <f>HYPERLINK("https://ppubs.uspto.gov/pubwebapp/external.html?q=20180016280.pn.","USPTO")</f>
        <v>0.0</v>
      </c>
      <c r="J2799" s="2" t="n">
        <f>HYPERLINK("https://image-ppubs.uspto.gov/dirsearch-public/print/downloadPdf/20180016280","USPTO PDF")</f>
        <v>0.0</v>
      </c>
      <c r="K2799" s="2" t="n">
        <f>HYPERLINK("https://sectors.patentforecast.com/pmd/US20180016280","PMD")</f>
        <v>0.0</v>
      </c>
      <c r="L2799" s="2" t="n">
        <f>HYPERLINK("https://globaldossier.uspto.gov/result/application/US/15610104/1","US20180016280")</f>
        <v>0.0</v>
      </c>
      <c r="M2799" t="s">
        <v>18755</v>
      </c>
      <c r="N2799" t="s">
        <v>664</v>
      </c>
      <c r="O2799" t="s">
        <v>665</v>
      </c>
      <c r="P2799" t="s">
        <v>17917</v>
      </c>
      <c r="Q2799" s="3" t="n">
        <v>42886.0</v>
      </c>
      <c r="R2799" s="3" t="n">
        <v>43118.0</v>
      </c>
      <c r="S2799" s="3" t="n">
        <v>43952.46302664352</v>
      </c>
      <c r="T2799" s="3" t="n">
        <v>44638.65643378472</v>
      </c>
      <c r="U2799" t="s">
        <v>18756</v>
      </c>
      <c r="V2799" t="s">
        <v>17919</v>
      </c>
    </row>
    <row r="2800">
      <c r="A2800" t="s">
        <v>22</v>
      </c>
      <c r="B2800" t="s">
        <v>18757</v>
      </c>
      <c r="C2800" t="s">
        <v>132</v>
      </c>
      <c r="D2800" t="s">
        <v>142</v>
      </c>
      <c r="E2800" t="s">
        <v>18758</v>
      </c>
      <c r="F2800" s="2" t="n">
        <f>HYPERLINK("https://patents.google.com/patent/US20180015161","Google")</f>
        <v>0.0</v>
      </c>
      <c r="G2800" s="2" t="n">
        <f>HYPERLINK("https://patentcenter.uspto.gov/applications/15546740","Patent Center")</f>
        <v>0.0</v>
      </c>
      <c r="H2800" s="2" t="n">
        <f>HYPERLINK("https://worldwide.espacenet.com/patent/search?q=US20180015161","Espacenet")</f>
        <v>0.0</v>
      </c>
      <c r="I2800" s="2" t="n">
        <f>HYPERLINK("https://ppubs.uspto.gov/pubwebapp/external.html?q=20180015161.pn.","USPTO")</f>
        <v>0.0</v>
      </c>
      <c r="J2800" s="2" t="n">
        <f>HYPERLINK("https://image-ppubs.uspto.gov/dirsearch-public/print/downloadPdf/20180015161","USPTO PDF")</f>
        <v>0.0</v>
      </c>
      <c r="K2800" s="2" t="n">
        <f>HYPERLINK("https://sectors.patentforecast.com/pmd/US20180015161","PMD")</f>
        <v>0.0</v>
      </c>
      <c r="L2800" s="2" t="n">
        <f>HYPERLINK("https://globaldossier.uspto.gov/result/application/US/15546740/1","US20180015161")</f>
        <v>0.0</v>
      </c>
      <c r="M2800" t="s">
        <v>18759</v>
      </c>
      <c r="N2800" t="s">
        <v>18760</v>
      </c>
      <c r="O2800" t="s">
        <v>18761</v>
      </c>
      <c r="P2800" t="s">
        <v>18762</v>
      </c>
      <c r="Q2800" s="3" t="n">
        <v>42397.0</v>
      </c>
      <c r="R2800" s="3" t="n">
        <v>43118.0</v>
      </c>
      <c r="S2800" s="3" t="n">
        <v>43936.46037263889</v>
      </c>
      <c r="T2800" s="3" t="n">
        <v>44543.638423449076</v>
      </c>
      <c r="U2800" t="s">
        <v>18763</v>
      </c>
      <c r="V2800" t="s">
        <v>18764</v>
      </c>
    </row>
    <row r="2801">
      <c r="A2801" t="s">
        <v>22</v>
      </c>
      <c r="B2801" t="s">
        <v>18765</v>
      </c>
      <c r="C2801" t="s">
        <v>60</v>
      </c>
      <c r="D2801" t="s">
        <v>77</v>
      </c>
      <c r="E2801" t="s">
        <v>18766</v>
      </c>
      <c r="F2801" s="2" t="n">
        <f>HYPERLINK("https://patents.google.com/patent/US20180010179","Google")</f>
        <v>0.0</v>
      </c>
      <c r="G2801" s="2" t="n">
        <f>HYPERLINK("https://patentcenter.uspto.gov/applications/15548292","Patent Center")</f>
        <v>0.0</v>
      </c>
      <c r="H2801" s="2" t="n">
        <f>HYPERLINK("https://worldwide.espacenet.com/patent/search?q=US20180010179","Espacenet")</f>
        <v>0.0</v>
      </c>
      <c r="I2801" s="2" t="n">
        <f>HYPERLINK("https://ppubs.uspto.gov/pubwebapp/external.html?q=20180010179.pn.","USPTO")</f>
        <v>0.0</v>
      </c>
      <c r="J2801" s="2" t="n">
        <f>HYPERLINK("https://image-ppubs.uspto.gov/dirsearch-public/print/downloadPdf/20180010179","USPTO PDF")</f>
        <v>0.0</v>
      </c>
      <c r="K2801" s="2" t="n">
        <f>HYPERLINK("https://sectors.patentforecast.com/pmd/US20180010179","PMD")</f>
        <v>0.0</v>
      </c>
      <c r="L2801" s="2" t="n">
        <f>HYPERLINK("https://globaldossier.uspto.gov/result/application/US/15548292/1","US20180010179")</f>
        <v>0.0</v>
      </c>
      <c r="M2801" t="s">
        <v>18767</v>
      </c>
      <c r="N2801" t="s">
        <v>16801</v>
      </c>
      <c r="O2801" t="s">
        <v>16802</v>
      </c>
      <c r="P2801" t="s">
        <v>18768</v>
      </c>
      <c r="Q2801" s="3" t="n">
        <v>42404.0</v>
      </c>
      <c r="R2801" s="3" t="n">
        <v>43111.0</v>
      </c>
      <c r="S2801" s="3" t="n">
        <v>43985.669204328704</v>
      </c>
      <c r="T2801" s="3" t="n">
        <v>43985.67861778935</v>
      </c>
      <c r="U2801" t="s">
        <v>18769</v>
      </c>
      <c r="V2801" t="s">
        <v>18770</v>
      </c>
    </row>
    <row r="2802">
      <c r="A2802" t="s">
        <v>22</v>
      </c>
      <c r="B2802" t="s">
        <v>18771</v>
      </c>
      <c r="C2802" t="s">
        <v>132</v>
      </c>
      <c r="D2802" t="s">
        <v>133</v>
      </c>
      <c r="E2802" t="s">
        <v>18772</v>
      </c>
      <c r="F2802" s="2" t="n">
        <f>HYPERLINK("https://patents.google.com/patent/US20180008699","Google")</f>
        <v>0.0</v>
      </c>
      <c r="G2802" s="2" t="n">
        <f>HYPERLINK("https://patentcenter.uspto.gov/applications/15548074","Patent Center")</f>
        <v>0.0</v>
      </c>
      <c r="H2802" s="2" t="n">
        <f>HYPERLINK("https://worldwide.espacenet.com/patent/search?q=US20180008699","Espacenet")</f>
        <v>0.0</v>
      </c>
      <c r="I2802" s="2" t="n">
        <f>HYPERLINK("https://ppubs.uspto.gov/pubwebapp/external.html?q=20180008699.pn.","USPTO")</f>
        <v>0.0</v>
      </c>
      <c r="J2802" s="2" t="n">
        <f>HYPERLINK("https://image-ppubs.uspto.gov/dirsearch-public/print/downloadPdf/20180008699","USPTO PDF")</f>
        <v>0.0</v>
      </c>
      <c r="K2802" s="2" t="n">
        <f>HYPERLINK("https://sectors.patentforecast.com/pmd/US20180008699","PMD")</f>
        <v>0.0</v>
      </c>
      <c r="L2802" s="2" t="n">
        <f>HYPERLINK("https://globaldossier.uspto.gov/result/application/US/15548074/1","US20180008699")</f>
        <v>0.0</v>
      </c>
      <c r="M2802" t="s">
        <v>18773</v>
      </c>
      <c r="N2802" t="s">
        <v>17751</v>
      </c>
      <c r="O2802" t="s">
        <v>17751</v>
      </c>
      <c r="P2802" t="s">
        <v>18774</v>
      </c>
      <c r="Q2802" s="3" t="n">
        <v>42403.0</v>
      </c>
      <c r="R2802" s="3" t="n">
        <v>43111.0</v>
      </c>
      <c r="S2802" s="3" t="n">
        <v>43900.43726237269</v>
      </c>
      <c r="T2802" s="3" t="n">
        <v>43903.484632175925</v>
      </c>
      <c r="U2802" t="s">
        <v>18775</v>
      </c>
      <c r="V2802" t="s">
        <v>18776</v>
      </c>
    </row>
    <row r="2803">
      <c r="A2803" t="s">
        <v>22</v>
      </c>
      <c r="B2803" t="s">
        <v>18777</v>
      </c>
      <c r="C2803" t="s">
        <v>24</v>
      </c>
      <c r="D2803" t="s">
        <v>1450</v>
      </c>
      <c r="E2803" t="s">
        <v>18778</v>
      </c>
      <c r="F2803" s="2" t="n">
        <f>HYPERLINK("https://patents.google.com/patent/US20180005515","Google")</f>
        <v>0.0</v>
      </c>
      <c r="G2803" s="2" t="n">
        <f>HYPERLINK("https://patentcenter.uspto.gov/applications/15703245","Patent Center")</f>
        <v>0.0</v>
      </c>
      <c r="H2803" s="2" t="n">
        <f>HYPERLINK("https://worldwide.espacenet.com/patent/search?q=US20180005515","Espacenet")</f>
        <v>0.0</v>
      </c>
      <c r="I2803" s="2" t="n">
        <f>HYPERLINK("https://ppubs.uspto.gov/pubwebapp/external.html?q=20180005515.pn.","USPTO")</f>
        <v>0.0</v>
      </c>
      <c r="J2803" s="2" t="n">
        <f>HYPERLINK("https://image-ppubs.uspto.gov/dirsearch-public/print/downloadPdf/20180005515","USPTO PDF")</f>
        <v>0.0</v>
      </c>
      <c r="K2803" s="2" t="n">
        <f>HYPERLINK("https://sectors.patentforecast.com/pmd/US20180005515","PMD")</f>
        <v>0.0</v>
      </c>
      <c r="L2803" s="2" t="n">
        <f>HYPERLINK("https://globaldossier.uspto.gov/result/application/US/15703245/1","US20180005515")</f>
        <v>0.0</v>
      </c>
      <c r="M2803" t="s">
        <v>18779</v>
      </c>
      <c r="N2803" t="s">
        <v>18780</v>
      </c>
      <c r="O2803" t="s">
        <v>18781</v>
      </c>
      <c r="P2803" t="s">
        <v>18782</v>
      </c>
      <c r="Q2803" s="3" t="n">
        <v>42991.0</v>
      </c>
      <c r="R2803" s="3" t="n">
        <v>43104.0</v>
      </c>
      <c r="S2803" s="3" t="n">
        <v>43266.45736369213</v>
      </c>
      <c r="T2803" s="3" t="n">
        <v>43903.654623842594</v>
      </c>
      <c r="U2803" t="s">
        <v>18783</v>
      </c>
      <c r="V2803" t="s">
        <v>18784</v>
      </c>
    </row>
    <row r="2804">
      <c r="A2804" t="s">
        <v>22</v>
      </c>
      <c r="B2804" t="s">
        <v>18785</v>
      </c>
      <c r="C2804" t="s">
        <v>132</v>
      </c>
      <c r="D2804" t="s">
        <v>133</v>
      </c>
      <c r="E2804" t="s">
        <v>18786</v>
      </c>
      <c r="F2804" s="2" t="n">
        <f>HYPERLINK("https://patents.google.com/patent/US20180000928","Google")</f>
        <v>0.0</v>
      </c>
      <c r="G2804" s="2" t="n">
        <f>HYPERLINK("https://patentcenter.uspto.gov/applications/15545409","Patent Center")</f>
        <v>0.0</v>
      </c>
      <c r="H2804" s="2" t="n">
        <f>HYPERLINK("https://worldwide.espacenet.com/patent/search?q=US20180000928","Espacenet")</f>
        <v>0.0</v>
      </c>
      <c r="I2804" s="2" t="n">
        <f>HYPERLINK("https://ppubs.uspto.gov/pubwebapp/external.html?q=20180000928.pn.","USPTO")</f>
        <v>0.0</v>
      </c>
      <c r="J2804" s="2" t="n">
        <f>HYPERLINK("https://image-ppubs.uspto.gov/dirsearch-public/print/downloadPdf/20180000928","USPTO PDF")</f>
        <v>0.0</v>
      </c>
      <c r="K2804" s="2" t="n">
        <f>HYPERLINK("https://sectors.patentforecast.com/pmd/US20180000928","PMD")</f>
        <v>0.0</v>
      </c>
      <c r="L2804" s="2" t="n">
        <f>HYPERLINK("https://globaldossier.uspto.gov/result/application/US/15545409/1","US20180000928")</f>
        <v>0.0</v>
      </c>
      <c r="M2804" t="s">
        <v>18787</v>
      </c>
      <c r="N2804" t="s">
        <v>7854</v>
      </c>
      <c r="O2804" t="s">
        <v>7855</v>
      </c>
      <c r="P2804" t="s">
        <v>18788</v>
      </c>
      <c r="Q2804" s="3" t="n">
        <v>42391.0</v>
      </c>
      <c r="R2804" s="3" t="n">
        <v>43104.0</v>
      </c>
      <c r="S2804" s="3" t="n">
        <v>43900.43726237269</v>
      </c>
      <c r="T2804" s="3" t="n">
        <v>43901.72156449074</v>
      </c>
      <c r="U2804" t="s">
        <v>18789</v>
      </c>
      <c r="V2804" t="s">
        <v>18790</v>
      </c>
    </row>
    <row r="2805">
      <c r="A2805" t="s">
        <v>22</v>
      </c>
      <c r="B2805" t="s">
        <v>18791</v>
      </c>
      <c r="C2805" t="s">
        <v>60</v>
      </c>
      <c r="D2805" t="s">
        <v>61</v>
      </c>
      <c r="E2805" t="s">
        <v>18792</v>
      </c>
      <c r="F2805" s="2" t="n">
        <f>HYPERLINK("https://patents.google.com/patent/US20180000830","Google")</f>
        <v>0.0</v>
      </c>
      <c r="G2805" s="2" t="n">
        <f>HYPERLINK("https://patentcenter.uspto.gov/applications/15706152","Patent Center")</f>
        <v>0.0</v>
      </c>
      <c r="H2805" s="2" t="n">
        <f>HYPERLINK("https://worldwide.espacenet.com/patent/search?q=US20180000830","Espacenet")</f>
        <v>0.0</v>
      </c>
      <c r="I2805" s="2" t="n">
        <f>HYPERLINK("https://ppubs.uspto.gov/pubwebapp/external.html?q=20180000830.pn.","USPTO")</f>
        <v>0.0</v>
      </c>
      <c r="J2805" s="2" t="n">
        <f>HYPERLINK("https://image-ppubs.uspto.gov/dirsearch-public/print/downloadPdf/20180000830","USPTO PDF")</f>
        <v>0.0</v>
      </c>
      <c r="K2805" s="2" t="n">
        <f>HYPERLINK("https://sectors.patentforecast.com/pmd/US20180000830","PMD")</f>
        <v>0.0</v>
      </c>
      <c r="L2805" s="2" t="n">
        <f>HYPERLINK("https://globaldossier.uspto.gov/result/application/US/15706152/1","US20180000830")</f>
        <v>0.0</v>
      </c>
      <c r="M2805" t="s">
        <v>18793</v>
      </c>
      <c r="N2805" t="s">
        <v>18794</v>
      </c>
      <c r="O2805" t="s">
        <v>18795</v>
      </c>
      <c r="P2805" t="s">
        <v>18796</v>
      </c>
      <c r="Q2805" s="3" t="n">
        <v>42993.0</v>
      </c>
      <c r="R2805" s="3" t="n">
        <v>43104.0</v>
      </c>
      <c r="S2805" s="3" t="n">
        <v>43900.43726237269</v>
      </c>
      <c r="T2805" s="3" t="n">
        <v>43903.61215609954</v>
      </c>
      <c r="U2805" t="s">
        <v>18797</v>
      </c>
      <c r="V2805" t="s">
        <v>18798</v>
      </c>
    </row>
    <row r="2806">
      <c r="A2806" t="s">
        <v>22</v>
      </c>
      <c r="B2806" t="s">
        <v>18799</v>
      </c>
      <c r="C2806" t="s">
        <v>24</v>
      </c>
      <c r="D2806" t="s">
        <v>25</v>
      </c>
      <c r="E2806" t="s">
        <v>18800</v>
      </c>
      <c r="F2806" s="2" t="n">
        <f>HYPERLINK("https://patents.google.com/patent/US20180000428","Google")</f>
        <v>0.0</v>
      </c>
      <c r="G2806" s="2" t="n">
        <f>HYPERLINK("https://patentcenter.uspto.gov/applications/15598520","Patent Center")</f>
        <v>0.0</v>
      </c>
      <c r="H2806" s="2" t="n">
        <f>HYPERLINK("https://worldwide.espacenet.com/patent/search?q=US20180000428","Espacenet")</f>
        <v>0.0</v>
      </c>
      <c r="I2806" s="2" t="n">
        <f>HYPERLINK("https://ppubs.uspto.gov/pubwebapp/external.html?q=20180000428.pn.","USPTO")</f>
        <v>0.0</v>
      </c>
      <c r="J2806" s="2" t="n">
        <f>HYPERLINK("https://image-ppubs.uspto.gov/dirsearch-public/print/downloadPdf/20180000428","USPTO PDF")</f>
        <v>0.0</v>
      </c>
      <c r="K2806" s="2" t="n">
        <f>HYPERLINK("https://sectors.patentforecast.com/pmd/US20180000428","PMD")</f>
        <v>0.0</v>
      </c>
      <c r="L2806" s="2" t="n">
        <f>HYPERLINK("https://globaldossier.uspto.gov/result/application/US/15598520/1","US20180000428")</f>
        <v>0.0</v>
      </c>
      <c r="M2806" t="s">
        <v>18801</v>
      </c>
      <c r="N2806" t="s">
        <v>1251</v>
      </c>
      <c r="O2806" t="s">
        <v>1252</v>
      </c>
      <c r="P2806" t="s">
        <v>18802</v>
      </c>
      <c r="Q2806" s="3" t="n">
        <v>42873.0</v>
      </c>
      <c r="R2806" s="3" t="n">
        <v>43104.0</v>
      </c>
      <c r="S2806" s="3" t="n">
        <v>43977.501391226855</v>
      </c>
      <c r="T2806" s="3" t="n">
        <v>43977.558306377316</v>
      </c>
      <c r="U2806" t="s">
        <v>18803</v>
      </c>
      <c r="V2806" t="s">
        <v>18804</v>
      </c>
    </row>
    <row r="2807">
      <c r="A2807" t="s">
        <v>22</v>
      </c>
      <c r="B2807" t="s">
        <v>18805</v>
      </c>
      <c r="C2807" t="s">
        <v>60</v>
      </c>
      <c r="D2807" t="s">
        <v>61</v>
      </c>
      <c r="E2807" t="s">
        <v>16903</v>
      </c>
      <c r="F2807" s="2" t="n">
        <f>HYPERLINK("https://patents.google.com/patent/US20170369502","Google")</f>
        <v>0.0</v>
      </c>
      <c r="G2807" s="2" t="n">
        <f>HYPERLINK("https://patentcenter.uspto.gov/applications/15679014","Patent Center")</f>
        <v>0.0</v>
      </c>
      <c r="H2807" s="2" t="n">
        <f>HYPERLINK("https://worldwide.espacenet.com/patent/search?q=US20170369502","Espacenet")</f>
        <v>0.0</v>
      </c>
      <c r="I2807" s="2" t="n">
        <f>HYPERLINK("https://ppubs.uspto.gov/pubwebapp/external.html?q=20170369502.pn.","USPTO")</f>
        <v>0.0</v>
      </c>
      <c r="J2807" s="2" t="n">
        <f>HYPERLINK("https://image-ppubs.uspto.gov/dirsearch-public/print/downloadPdf/20170369502","USPTO PDF")</f>
        <v>0.0</v>
      </c>
      <c r="K2807" s="2" t="n">
        <f>HYPERLINK("https://sectors.patentforecast.com/pmd/US20170369502","PMD")</f>
        <v>0.0</v>
      </c>
      <c r="L2807" s="2" t="n">
        <f>HYPERLINK("https://globaldossier.uspto.gov/result/application/US/15679014/1","US20170369502")</f>
        <v>0.0</v>
      </c>
      <c r="M2807" t="s">
        <v>18806</v>
      </c>
      <c r="N2807" t="s">
        <v>664</v>
      </c>
      <c r="O2807" t="s">
        <v>665</v>
      </c>
      <c r="P2807" t="s">
        <v>18807</v>
      </c>
      <c r="Q2807" s="3" t="n">
        <v>42963.0</v>
      </c>
      <c r="R2807" s="3" t="n">
        <v>43097.0</v>
      </c>
      <c r="S2807" s="3" t="n">
        <v>43952.46302664352</v>
      </c>
      <c r="T2807" s="3" t="n">
        <v>44638.65271974537</v>
      </c>
      <c r="U2807" t="s">
        <v>18808</v>
      </c>
      <c r="V2807" t="s">
        <v>17072</v>
      </c>
    </row>
    <row r="2808">
      <c r="A2808" t="s">
        <v>22</v>
      </c>
      <c r="B2808" t="s">
        <v>18809</v>
      </c>
      <c r="C2808" t="s">
        <v>132</v>
      </c>
      <c r="D2808" t="s">
        <v>1265</v>
      </c>
      <c r="E2808" t="s">
        <v>17691</v>
      </c>
      <c r="F2808" s="2" t="n">
        <f>HYPERLINK("https://patents.google.com/patent/US20170368164","Google")</f>
        <v>0.0</v>
      </c>
      <c r="G2808" s="2" t="n">
        <f>HYPERLINK("https://patentcenter.uspto.gov/applications/15537081","Patent Center")</f>
        <v>0.0</v>
      </c>
      <c r="H2808" s="2" t="n">
        <f>HYPERLINK("https://worldwide.espacenet.com/patent/search?q=US20170368164","Espacenet")</f>
        <v>0.0</v>
      </c>
      <c r="I2808" s="2" t="n">
        <f>HYPERLINK("https://ppubs.uspto.gov/pubwebapp/external.html?q=20170368164.pn.","USPTO")</f>
        <v>0.0</v>
      </c>
      <c r="J2808" s="2" t="n">
        <f>HYPERLINK("https://image-ppubs.uspto.gov/dirsearch-public/print/downloadPdf/20170368164","USPTO PDF")</f>
        <v>0.0</v>
      </c>
      <c r="K2808" s="2" t="n">
        <f>HYPERLINK("https://sectors.patentforecast.com/pmd/US20170368164","PMD")</f>
        <v>0.0</v>
      </c>
      <c r="L2808" s="2" t="n">
        <f>HYPERLINK("https://globaldossier.uspto.gov/result/application/US/15537081/1","US20170368164")</f>
        <v>0.0</v>
      </c>
      <c r="M2808" t="s">
        <v>18810</v>
      </c>
      <c r="N2808" t="s">
        <v>2612</v>
      </c>
      <c r="O2808" t="s">
        <v>2613</v>
      </c>
      <c r="P2808" t="s">
        <v>18811</v>
      </c>
      <c r="Q2808" s="3" t="n">
        <v>42356.0</v>
      </c>
      <c r="R2808" s="3" t="n">
        <v>43097.0</v>
      </c>
      <c r="S2808" s="3" t="n">
        <v>43900.43726237269</v>
      </c>
      <c r="T2808" s="3" t="n">
        <v>43903.48463263889</v>
      </c>
      <c r="U2808" t="s">
        <v>18812</v>
      </c>
      <c r="V2808" t="s">
        <v>17695</v>
      </c>
    </row>
    <row r="2809">
      <c r="A2809" t="s">
        <v>22</v>
      </c>
      <c r="B2809" t="s">
        <v>18813</v>
      </c>
      <c r="C2809" t="s">
        <v>132</v>
      </c>
      <c r="D2809" t="s">
        <v>133</v>
      </c>
      <c r="E2809" t="s">
        <v>18814</v>
      </c>
      <c r="F2809" s="2" t="n">
        <f>HYPERLINK("https://patents.google.com/patent/US20170368006","Google")</f>
        <v>0.0</v>
      </c>
      <c r="G2809" s="2" t="n">
        <f>HYPERLINK("https://patentcenter.uspto.gov/applications/15543311","Patent Center")</f>
        <v>0.0</v>
      </c>
      <c r="H2809" s="2" t="n">
        <f>HYPERLINK("https://worldwide.espacenet.com/patent/search?q=US20170368006","Espacenet")</f>
        <v>0.0</v>
      </c>
      <c r="I2809" s="2" t="n">
        <f>HYPERLINK("https://ppubs.uspto.gov/pubwebapp/external.html?q=20170368006.pn.","USPTO")</f>
        <v>0.0</v>
      </c>
      <c r="J2809" s="2" t="n">
        <f>HYPERLINK("https://image-ppubs.uspto.gov/dirsearch-public/print/downloadPdf/20170368006","USPTO PDF")</f>
        <v>0.0</v>
      </c>
      <c r="K2809" s="2" t="n">
        <f>HYPERLINK("https://sectors.patentforecast.com/pmd/US20170368006","PMD")</f>
        <v>0.0</v>
      </c>
      <c r="L2809" s="2" t="n">
        <f>HYPERLINK("https://globaldossier.uspto.gov/result/application/US/15543311/1","US20170368006")</f>
        <v>0.0</v>
      </c>
      <c r="M2809" t="s">
        <v>18815</v>
      </c>
      <c r="N2809" t="s">
        <v>18816</v>
      </c>
      <c r="O2809" t="s">
        <v>18817</v>
      </c>
      <c r="P2809" t="s">
        <v>18818</v>
      </c>
      <c r="Q2809" s="3" t="n">
        <v>42021.0</v>
      </c>
      <c r="R2809" s="3" t="n">
        <v>43097.0</v>
      </c>
      <c r="S2809" s="3" t="n">
        <v>43900.43726237269</v>
      </c>
      <c r="T2809" s="3" t="n">
        <v>43903.48463</v>
      </c>
      <c r="U2809" t="s">
        <v>18819</v>
      </c>
      <c r="V2809" t="s">
        <v>18820</v>
      </c>
    </row>
    <row r="2810">
      <c r="A2810" t="s">
        <v>22</v>
      </c>
      <c r="B2810" t="s">
        <v>18821</v>
      </c>
      <c r="C2810" t="s">
        <v>60</v>
      </c>
      <c r="D2810" t="s">
        <v>696</v>
      </c>
      <c r="E2810" t="s">
        <v>18822</v>
      </c>
      <c r="F2810" s="2" t="n">
        <f>HYPERLINK("https://patents.google.com/patent/US20170362297","Google")</f>
        <v>0.0</v>
      </c>
      <c r="G2810" s="2" t="n">
        <f>HYPERLINK("https://patentcenter.uspto.gov/applications/15537779","Patent Center")</f>
        <v>0.0</v>
      </c>
      <c r="H2810" s="2" t="n">
        <f>HYPERLINK("https://worldwide.espacenet.com/patent/search?q=US20170362297","Espacenet")</f>
        <v>0.0</v>
      </c>
      <c r="I2810" s="2" t="n">
        <f>HYPERLINK("https://ppubs.uspto.gov/pubwebapp/external.html?q=20170362297.pn.","USPTO")</f>
        <v>0.0</v>
      </c>
      <c r="J2810" s="2" t="n">
        <f>HYPERLINK("https://image-ppubs.uspto.gov/dirsearch-public/print/downloadPdf/20170362297","USPTO PDF")</f>
        <v>0.0</v>
      </c>
      <c r="K2810" s="2" t="n">
        <f>HYPERLINK("https://sectors.patentforecast.com/pmd/US20170362297","PMD")</f>
        <v>0.0</v>
      </c>
      <c r="L2810" s="2" t="n">
        <f>HYPERLINK("https://globaldossier.uspto.gov/result/application/US/15537779/1","US20170362297")</f>
        <v>0.0</v>
      </c>
      <c r="M2810" t="s">
        <v>18823</v>
      </c>
      <c r="N2810" t="s">
        <v>15231</v>
      </c>
      <c r="O2810" t="s">
        <v>15232</v>
      </c>
      <c r="P2810" t="s">
        <v>18824</v>
      </c>
      <c r="Q2810" s="3" t="n">
        <v>42359.0</v>
      </c>
      <c r="R2810" s="3" t="n">
        <v>43090.0</v>
      </c>
      <c r="S2810" s="3" t="n">
        <v>43935.7041706713</v>
      </c>
      <c r="T2810" s="3" t="n">
        <v>43986.38462523148</v>
      </c>
      <c r="U2810" t="s">
        <v>18825</v>
      </c>
      <c r="V2810" t="s">
        <v>18826</v>
      </c>
    </row>
    <row r="2811">
      <c r="A2811" t="s">
        <v>22</v>
      </c>
      <c r="B2811" t="s">
        <v>18827</v>
      </c>
      <c r="C2811" t="s">
        <v>60</v>
      </c>
      <c r="D2811" t="s">
        <v>61</v>
      </c>
      <c r="E2811" t="s">
        <v>18186</v>
      </c>
      <c r="F2811" s="2" t="n">
        <f>HYPERLINK("https://patents.google.com/patent/US20170362244","Google")</f>
        <v>0.0</v>
      </c>
      <c r="G2811" s="2" t="n">
        <f>HYPERLINK("https://patentcenter.uspto.gov/applications/15639970","Patent Center")</f>
        <v>0.0</v>
      </c>
      <c r="H2811" s="2" t="n">
        <f>HYPERLINK("https://worldwide.espacenet.com/patent/search?q=US20170362244","Espacenet")</f>
        <v>0.0</v>
      </c>
      <c r="I2811" s="2" t="n">
        <f>HYPERLINK("https://ppubs.uspto.gov/pubwebapp/external.html?q=20170362244.pn.","USPTO")</f>
        <v>0.0</v>
      </c>
      <c r="J2811" s="2" t="n">
        <f>HYPERLINK("https://image-ppubs.uspto.gov/dirsearch-public/print/downloadPdf/20170362244","USPTO PDF")</f>
        <v>0.0</v>
      </c>
      <c r="K2811" s="2" t="n">
        <f>HYPERLINK("https://sectors.patentforecast.com/pmd/US20170362244","PMD")</f>
        <v>0.0</v>
      </c>
      <c r="L2811" s="2" t="n">
        <f>HYPERLINK("https://globaldossier.uspto.gov/result/application/US/15639970/1","US20170362244")</f>
        <v>0.0</v>
      </c>
      <c r="M2811" t="s">
        <v>18828</v>
      </c>
      <c r="N2811" t="s">
        <v>664</v>
      </c>
      <c r="O2811" t="s">
        <v>665</v>
      </c>
      <c r="P2811" t="s">
        <v>18188</v>
      </c>
      <c r="Q2811" s="3" t="n">
        <v>42916.0</v>
      </c>
      <c r="R2811" s="3" t="n">
        <v>43090.0</v>
      </c>
      <c r="S2811" s="3" t="n">
        <v>43952.46302664352</v>
      </c>
      <c r="T2811" s="3" t="n">
        <v>44638.65271974537</v>
      </c>
      <c r="U2811" t="s">
        <v>18829</v>
      </c>
      <c r="V2811" t="s">
        <v>18190</v>
      </c>
    </row>
    <row r="2812">
      <c r="A2812" t="s">
        <v>22</v>
      </c>
      <c r="B2812" t="s">
        <v>18830</v>
      </c>
      <c r="C2812" t="s">
        <v>60</v>
      </c>
      <c r="D2812" t="s">
        <v>61</v>
      </c>
      <c r="E2812" t="s">
        <v>18831</v>
      </c>
      <c r="F2812" s="2" t="n">
        <f>HYPERLINK("https://patents.google.com/patent/US20170360874","Google")</f>
        <v>0.0</v>
      </c>
      <c r="G2812" s="2" t="n">
        <f>HYPERLINK("https://patentcenter.uspto.gov/applications/15611603","Patent Center")</f>
        <v>0.0</v>
      </c>
      <c r="H2812" s="2" t="n">
        <f>HYPERLINK("https://worldwide.espacenet.com/patent/search?q=US20170360874","Espacenet")</f>
        <v>0.0</v>
      </c>
      <c r="I2812" s="2" t="n">
        <f>HYPERLINK("https://ppubs.uspto.gov/pubwebapp/external.html?q=20170360874.pn.","USPTO")</f>
        <v>0.0</v>
      </c>
      <c r="J2812" s="2" t="n">
        <f>HYPERLINK("https://image-ppubs.uspto.gov/dirsearch-public/print/downloadPdf/20170360874","USPTO PDF")</f>
        <v>0.0</v>
      </c>
      <c r="K2812" s="2" t="n">
        <f>HYPERLINK("https://sectors.patentforecast.com/pmd/US20170360874","PMD")</f>
        <v>0.0</v>
      </c>
      <c r="L2812" s="2" t="n">
        <f>HYPERLINK("https://globaldossier.uspto.gov/result/application/US/15611603/1","US20170360874")</f>
        <v>0.0</v>
      </c>
      <c r="M2812" t="s">
        <v>18832</v>
      </c>
      <c r="N2812" t="s">
        <v>664</v>
      </c>
      <c r="O2812" t="s">
        <v>665</v>
      </c>
      <c r="P2812" t="s">
        <v>18833</v>
      </c>
      <c r="Q2812" s="3" t="n">
        <v>42887.0</v>
      </c>
      <c r="R2812" s="3" t="n">
        <v>43090.0</v>
      </c>
      <c r="S2812" s="3" t="n">
        <v>43950.647371782405</v>
      </c>
      <c r="T2812" s="3" t="n">
        <v>44638.65271974537</v>
      </c>
      <c r="U2812" t="s">
        <v>18834</v>
      </c>
      <c r="V2812" t="s">
        <v>18835</v>
      </c>
    </row>
    <row r="2813">
      <c r="A2813" t="s">
        <v>22</v>
      </c>
      <c r="B2813" t="s">
        <v>18836</v>
      </c>
      <c r="C2813" t="s">
        <v>60</v>
      </c>
      <c r="D2813" t="s">
        <v>61</v>
      </c>
      <c r="E2813" t="s">
        <v>18017</v>
      </c>
      <c r="F2813" s="2" t="n">
        <f>HYPERLINK("https://patents.google.com/patent/US20170360702","Google")</f>
        <v>0.0</v>
      </c>
      <c r="G2813" s="2" t="n">
        <f>HYPERLINK("https://patentcenter.uspto.gov/applications/15684214","Patent Center")</f>
        <v>0.0</v>
      </c>
      <c r="H2813" s="2" t="n">
        <f>HYPERLINK("https://worldwide.espacenet.com/patent/search?q=US20170360702","Espacenet")</f>
        <v>0.0</v>
      </c>
      <c r="I2813" s="2" t="n">
        <f>HYPERLINK("https://ppubs.uspto.gov/pubwebapp/external.html?q=20170360702.pn.","USPTO")</f>
        <v>0.0</v>
      </c>
      <c r="J2813" s="2" t="n">
        <f>HYPERLINK("https://image-ppubs.uspto.gov/dirsearch-public/print/downloadPdf/20170360702","USPTO PDF")</f>
        <v>0.0</v>
      </c>
      <c r="K2813" s="2" t="n">
        <f>HYPERLINK("https://sectors.patentforecast.com/pmd/US20170360702","PMD")</f>
        <v>0.0</v>
      </c>
      <c r="L2813" s="2" t="n">
        <f>HYPERLINK("https://globaldossier.uspto.gov/result/application/US/15684214/1","US20170360702")</f>
        <v>0.0</v>
      </c>
      <c r="M2813" t="s">
        <v>18837</v>
      </c>
      <c r="N2813" t="s">
        <v>18201</v>
      </c>
      <c r="O2813" t="s">
        <v>18202</v>
      </c>
      <c r="P2813" t="s">
        <v>18007</v>
      </c>
      <c r="Q2813" s="3" t="n">
        <v>42970.0</v>
      </c>
      <c r="R2813" s="3" t="n">
        <v>43090.0</v>
      </c>
      <c r="S2813" s="3" t="n">
        <v>43929.4610697338</v>
      </c>
      <c r="T2813" s="3" t="n">
        <v>43986.470018657405</v>
      </c>
      <c r="U2813" t="s">
        <v>18838</v>
      </c>
      <c r="V2813" t="s">
        <v>17852</v>
      </c>
    </row>
    <row r="2814">
      <c r="A2814" t="s">
        <v>22</v>
      </c>
      <c r="B2814" t="s">
        <v>18839</v>
      </c>
      <c r="C2814" t="s">
        <v>24</v>
      </c>
      <c r="D2814" t="s">
        <v>187</v>
      </c>
      <c r="E2814" t="s">
        <v>18840</v>
      </c>
      <c r="F2814" s="2" t="n">
        <f>HYPERLINK("https://patents.google.com/patent/US20170356028","Google")</f>
        <v>0.0</v>
      </c>
      <c r="G2814" s="2" t="n">
        <f>HYPERLINK("https://patentcenter.uspto.gov/applications/15521211","Patent Center")</f>
        <v>0.0</v>
      </c>
      <c r="H2814" s="2" t="n">
        <f>HYPERLINK("https://worldwide.espacenet.com/patent/search?q=US20170356028","Espacenet")</f>
        <v>0.0</v>
      </c>
      <c r="I2814" s="2" t="n">
        <f>HYPERLINK("https://ppubs.uspto.gov/pubwebapp/external.html?q=20170356028.pn.","USPTO")</f>
        <v>0.0</v>
      </c>
      <c r="J2814" s="2" t="n">
        <f>HYPERLINK("https://image-ppubs.uspto.gov/dirsearch-public/print/downloadPdf/20170356028","USPTO PDF")</f>
        <v>0.0</v>
      </c>
      <c r="K2814" s="2" t="n">
        <f>HYPERLINK("https://sectors.patentforecast.com/pmd/US20170356028","PMD")</f>
        <v>0.0</v>
      </c>
      <c r="L2814" s="2" t="n">
        <f>HYPERLINK("https://globaldossier.uspto.gov/result/application/US/15521211/1","US20170356028")</f>
        <v>0.0</v>
      </c>
      <c r="M2814" t="s">
        <v>18841</v>
      </c>
      <c r="N2814" t="s">
        <v>6851</v>
      </c>
      <c r="O2814" t="s">
        <v>6852</v>
      </c>
      <c r="P2814" t="s">
        <v>18842</v>
      </c>
      <c r="Q2814" s="3" t="n">
        <v>42299.0</v>
      </c>
      <c r="R2814" s="3" t="n">
        <v>43083.0</v>
      </c>
      <c r="S2814" s="3" t="n">
        <v>43266.45736369213</v>
      </c>
      <c r="T2814" s="3" t="n">
        <v>43266.61438974537</v>
      </c>
      <c r="U2814" t="s">
        <v>18843</v>
      </c>
      <c r="V2814" t="s">
        <v>18844</v>
      </c>
    </row>
    <row r="2815">
      <c r="A2815" t="s">
        <v>22</v>
      </c>
      <c r="B2815" t="s">
        <v>18845</v>
      </c>
      <c r="C2815" t="s">
        <v>132</v>
      </c>
      <c r="D2815" t="s">
        <v>12938</v>
      </c>
      <c r="E2815" t="s">
        <v>18846</v>
      </c>
      <c r="F2815" s="2" t="n">
        <f>HYPERLINK("https://patents.google.com/patent/US20170354729","Google")</f>
        <v>0.0</v>
      </c>
      <c r="G2815" s="2" t="n">
        <f>HYPERLINK("https://patentcenter.uspto.gov/applications/15460775","Patent Center")</f>
        <v>0.0</v>
      </c>
      <c r="H2815" s="2" t="n">
        <f>HYPERLINK("https://worldwide.espacenet.com/patent/search?q=US20170354729","Espacenet")</f>
        <v>0.0</v>
      </c>
      <c r="I2815" s="2" t="n">
        <f>HYPERLINK("https://ppubs.uspto.gov/pubwebapp/external.html?q=20170354729.pn.","USPTO")</f>
        <v>0.0</v>
      </c>
      <c r="J2815" s="2" t="n">
        <f>HYPERLINK("https://image-ppubs.uspto.gov/dirsearch-public/print/downloadPdf/20170354729","USPTO PDF")</f>
        <v>0.0</v>
      </c>
      <c r="K2815" s="2" t="n">
        <f>HYPERLINK("https://sectors.patentforecast.com/pmd/US20170354729","PMD")</f>
        <v>0.0</v>
      </c>
      <c r="L2815" s="2" t="n">
        <f>HYPERLINK("https://globaldossier.uspto.gov/result/application/US/15460775/1","US20170354729")</f>
        <v>0.0</v>
      </c>
      <c r="M2815" t="s">
        <v>18847</v>
      </c>
      <c r="N2815" t="s">
        <v>1275</v>
      </c>
      <c r="O2815" t="s">
        <v>1275</v>
      </c>
      <c r="P2815" t="s">
        <v>18848</v>
      </c>
      <c r="Q2815" s="3" t="n">
        <v>42810.0</v>
      </c>
      <c r="R2815" s="3" t="n">
        <v>43083.0</v>
      </c>
      <c r="S2815" s="3" t="n">
        <v>44019.68541525463</v>
      </c>
      <c r="T2815" s="3" t="n">
        <v>44020.6336428588</v>
      </c>
      <c r="U2815" t="s">
        <v>18849</v>
      </c>
      <c r="V2815" t="s">
        <v>18850</v>
      </c>
    </row>
    <row r="2816">
      <c r="A2816" t="s">
        <v>22</v>
      </c>
      <c r="B2816" t="s">
        <v>18851</v>
      </c>
      <c r="C2816" t="s">
        <v>24</v>
      </c>
      <c r="D2816" t="s">
        <v>43</v>
      </c>
      <c r="E2816" t="s">
        <v>18852</v>
      </c>
      <c r="F2816" s="2" t="n">
        <f>HYPERLINK("https://patents.google.com/patent/US20170352119","Google")</f>
        <v>0.0</v>
      </c>
      <c r="G2816" s="2" t="n">
        <f>HYPERLINK("https://patentcenter.uspto.gov/applications/15612844","Patent Center")</f>
        <v>0.0</v>
      </c>
      <c r="H2816" s="2" t="n">
        <f>HYPERLINK("https://worldwide.espacenet.com/patent/search?q=US20170352119","Espacenet")</f>
        <v>0.0</v>
      </c>
      <c r="I2816" s="2" t="n">
        <f>HYPERLINK("https://ppubs.uspto.gov/pubwebapp/external.html?q=20170352119.pn.","USPTO")</f>
        <v>0.0</v>
      </c>
      <c r="J2816" s="2" t="n">
        <f>HYPERLINK("https://image-ppubs.uspto.gov/dirsearch-public/print/downloadPdf/20170352119","USPTO PDF")</f>
        <v>0.0</v>
      </c>
      <c r="K2816" s="2" t="n">
        <f>HYPERLINK("https://sectors.patentforecast.com/pmd/US20170352119","PMD")</f>
        <v>0.0</v>
      </c>
      <c r="L2816" s="2" t="n">
        <f>HYPERLINK("https://globaldossier.uspto.gov/result/application/US/15612844/1","US20170352119")</f>
        <v>0.0</v>
      </c>
      <c r="M2816" t="s">
        <v>18853</v>
      </c>
      <c r="N2816" t="s">
        <v>18854</v>
      </c>
      <c r="O2816" t="s">
        <v>18855</v>
      </c>
      <c r="P2816" t="s">
        <v>18856</v>
      </c>
      <c r="Q2816" s="3" t="n">
        <v>42888.0</v>
      </c>
      <c r="R2816" s="3" t="n">
        <v>43076.0</v>
      </c>
      <c r="S2816" s="3" t="n">
        <v>43266.45736369213</v>
      </c>
      <c r="T2816" s="3" t="n">
        <v>43965.45853092593</v>
      </c>
      <c r="U2816" t="s">
        <v>18857</v>
      </c>
      <c r="V2816" t="s">
        <v>18858</v>
      </c>
    </row>
    <row r="2817">
      <c r="A2817" t="s">
        <v>22</v>
      </c>
      <c r="B2817" t="s">
        <v>18859</v>
      </c>
      <c r="C2817" t="s">
        <v>24</v>
      </c>
      <c r="D2817" t="s">
        <v>25</v>
      </c>
      <c r="E2817" t="s">
        <v>18860</v>
      </c>
      <c r="F2817" s="2" t="n">
        <f>HYPERLINK("https://patents.google.com/patent/US20170351841","Google")</f>
        <v>0.0</v>
      </c>
      <c r="G2817" s="2" t="n">
        <f>HYPERLINK("https://patentcenter.uspto.gov/applications/15601279","Patent Center")</f>
        <v>0.0</v>
      </c>
      <c r="H2817" s="2" t="n">
        <f>HYPERLINK("https://worldwide.espacenet.com/patent/search?q=US20170351841","Espacenet")</f>
        <v>0.0</v>
      </c>
      <c r="I2817" s="2" t="n">
        <f>HYPERLINK("https://ppubs.uspto.gov/pubwebapp/external.html?q=20170351841.pn.","USPTO")</f>
        <v>0.0</v>
      </c>
      <c r="J2817" s="2" t="n">
        <f>HYPERLINK("https://image-ppubs.uspto.gov/dirsearch-public/print/downloadPdf/20170351841","USPTO PDF")</f>
        <v>0.0</v>
      </c>
      <c r="K2817" s="2" t="n">
        <f>HYPERLINK("https://sectors.patentforecast.com/pmd/US20170351841","PMD")</f>
        <v>0.0</v>
      </c>
      <c r="L2817" s="2" t="n">
        <f>HYPERLINK("https://globaldossier.uspto.gov/result/application/US/15601279/1","US20170351841")</f>
        <v>0.0</v>
      </c>
      <c r="M2817" t="s">
        <v>18861</v>
      </c>
      <c r="N2817" t="s">
        <v>18862</v>
      </c>
      <c r="O2817" t="s">
        <v>18863</v>
      </c>
      <c r="P2817" t="s">
        <v>18864</v>
      </c>
      <c r="Q2817" s="3" t="n">
        <v>42877.0</v>
      </c>
      <c r="R2817" s="3" t="n">
        <v>43076.0</v>
      </c>
      <c r="S2817" s="3" t="n">
        <v>43266.45736449074</v>
      </c>
      <c r="T2817" s="3" t="n">
        <v>43901.72156365741</v>
      </c>
      <c r="U2817" t="s">
        <v>18865</v>
      </c>
      <c r="V2817" t="s">
        <v>18866</v>
      </c>
    </row>
    <row r="2818">
      <c r="A2818" t="s">
        <v>22</v>
      </c>
      <c r="B2818" t="s">
        <v>18867</v>
      </c>
      <c r="C2818" t="s">
        <v>60</v>
      </c>
      <c r="D2818" t="s">
        <v>61</v>
      </c>
      <c r="E2818" t="s">
        <v>18868</v>
      </c>
      <c r="F2818" s="2" t="n">
        <f>HYPERLINK("https://patents.google.com/patent/US20170348343","Google")</f>
        <v>0.0</v>
      </c>
      <c r="G2818" s="2" t="n">
        <f>HYPERLINK("https://patentcenter.uspto.gov/applications/15611307","Patent Center")</f>
        <v>0.0</v>
      </c>
      <c r="H2818" s="2" t="n">
        <f>HYPERLINK("https://worldwide.espacenet.com/patent/search?q=US20170348343","Espacenet")</f>
        <v>0.0</v>
      </c>
      <c r="I2818" s="2" t="n">
        <f>HYPERLINK("https://ppubs.uspto.gov/pubwebapp/external.html?q=20170348343.pn.","USPTO")</f>
        <v>0.0</v>
      </c>
      <c r="J2818" s="2" t="n">
        <f>HYPERLINK("https://image-ppubs.uspto.gov/dirsearch-public/print/downloadPdf/20170348343","USPTO PDF")</f>
        <v>0.0</v>
      </c>
      <c r="K2818" s="2" t="n">
        <f>HYPERLINK("https://sectors.patentforecast.com/pmd/US20170348343","PMD")</f>
        <v>0.0</v>
      </c>
      <c r="L2818" s="2" t="n">
        <f>HYPERLINK("https://globaldossier.uspto.gov/result/application/US/15611307/1","US20170348343")</f>
        <v>0.0</v>
      </c>
      <c r="M2818" t="s">
        <v>18869</v>
      </c>
      <c r="N2818" t="s">
        <v>664</v>
      </c>
      <c r="O2818" t="s">
        <v>665</v>
      </c>
      <c r="P2818" t="s">
        <v>18870</v>
      </c>
      <c r="Q2818" s="3" t="n">
        <v>42887.0</v>
      </c>
      <c r="R2818" s="3" t="n">
        <v>43076.0</v>
      </c>
      <c r="S2818" s="3" t="n">
        <v>43952.46638479167</v>
      </c>
      <c r="T2818" s="3" t="n">
        <v>44638.65579662037</v>
      </c>
      <c r="U2818" t="s">
        <v>18871</v>
      </c>
      <c r="V2818" t="s">
        <v>18872</v>
      </c>
    </row>
    <row r="2819">
      <c r="A2819" t="s">
        <v>22</v>
      </c>
      <c r="B2819" t="s">
        <v>18873</v>
      </c>
      <c r="C2819" t="s">
        <v>60</v>
      </c>
      <c r="D2819" t="s">
        <v>61</v>
      </c>
      <c r="E2819" t="s">
        <v>18874</v>
      </c>
      <c r="F2819" s="2" t="n">
        <f>HYPERLINK("https://patents.google.com/patent/US20170348342","Google")</f>
        <v>0.0</v>
      </c>
      <c r="G2819" s="2" t="n">
        <f>HYPERLINK("https://patentcenter.uspto.gov/applications/15410438","Patent Center")</f>
        <v>0.0</v>
      </c>
      <c r="H2819" s="2" t="n">
        <f>HYPERLINK("https://worldwide.espacenet.com/patent/search?q=US20170348342","Espacenet")</f>
        <v>0.0</v>
      </c>
      <c r="I2819" s="2" t="n">
        <f>HYPERLINK("https://ppubs.uspto.gov/pubwebapp/external.html?q=20170348342.pn.","USPTO")</f>
        <v>0.0</v>
      </c>
      <c r="J2819" s="2" t="n">
        <f>HYPERLINK("https://image-ppubs.uspto.gov/dirsearch-public/print/downloadPdf/20170348342","USPTO PDF")</f>
        <v>0.0</v>
      </c>
      <c r="K2819" s="2" t="n">
        <f>HYPERLINK("https://sectors.patentforecast.com/pmd/US20170348342","PMD")</f>
        <v>0.0</v>
      </c>
      <c r="L2819" s="2" t="n">
        <f>HYPERLINK("https://globaldossier.uspto.gov/result/application/US/15410438/1","US20170348342")</f>
        <v>0.0</v>
      </c>
      <c r="M2819" t="s">
        <v>18875</v>
      </c>
      <c r="N2819" t="s">
        <v>664</v>
      </c>
      <c r="O2819" t="s">
        <v>665</v>
      </c>
      <c r="P2819" t="s">
        <v>18876</v>
      </c>
      <c r="Q2819" s="3" t="n">
        <v>42754.0</v>
      </c>
      <c r="R2819" s="3" t="n">
        <v>43076.0</v>
      </c>
      <c r="S2819" s="3" t="n">
        <v>43952.46638479167</v>
      </c>
      <c r="T2819" s="3" t="n">
        <v>44638.65643378472</v>
      </c>
      <c r="U2819" t="s">
        <v>18877</v>
      </c>
      <c r="V2819" t="s">
        <v>18878</v>
      </c>
    </row>
    <row r="2820">
      <c r="A2820" t="s">
        <v>22</v>
      </c>
      <c r="B2820" t="s">
        <v>18879</v>
      </c>
      <c r="C2820" t="s">
        <v>60</v>
      </c>
      <c r="D2820" t="s">
        <v>61</v>
      </c>
      <c r="E2820" t="s">
        <v>16903</v>
      </c>
      <c r="F2820" s="2" t="n">
        <f>HYPERLINK("https://patents.google.com/patent/US20170342085","Google")</f>
        <v>0.0</v>
      </c>
      <c r="G2820" s="2" t="n">
        <f>HYPERLINK("https://patentcenter.uspto.gov/applications/15590846","Patent Center")</f>
        <v>0.0</v>
      </c>
      <c r="H2820" s="2" t="n">
        <f>HYPERLINK("https://worldwide.espacenet.com/patent/search?q=US20170342085","Espacenet")</f>
        <v>0.0</v>
      </c>
      <c r="I2820" s="2" t="n">
        <f>HYPERLINK("https://ppubs.uspto.gov/pubwebapp/external.html?q=20170342085.pn.","USPTO")</f>
        <v>0.0</v>
      </c>
      <c r="J2820" s="2" t="n">
        <f>HYPERLINK("https://image-ppubs.uspto.gov/dirsearch-public/print/downloadPdf/20170342085","USPTO PDF")</f>
        <v>0.0</v>
      </c>
      <c r="K2820" s="2" t="n">
        <f>HYPERLINK("https://sectors.patentforecast.com/pmd/US20170342085","PMD")</f>
        <v>0.0</v>
      </c>
      <c r="L2820" s="2" t="n">
        <f>HYPERLINK("https://globaldossier.uspto.gov/result/application/US/15590846/1","US20170342085")</f>
        <v>0.0</v>
      </c>
      <c r="M2820" t="s">
        <v>18880</v>
      </c>
      <c r="N2820" t="s">
        <v>664</v>
      </c>
      <c r="O2820" t="s">
        <v>665</v>
      </c>
      <c r="P2820" t="s">
        <v>17361</v>
      </c>
      <c r="Q2820" s="3" t="n">
        <v>42864.0</v>
      </c>
      <c r="R2820" s="3" t="n">
        <v>43069.0</v>
      </c>
      <c r="S2820" s="3" t="n">
        <v>43952.46638479167</v>
      </c>
      <c r="T2820" s="3" t="n">
        <v>44638.65271974537</v>
      </c>
      <c r="U2820" t="s">
        <v>18881</v>
      </c>
      <c r="V2820" t="s">
        <v>17072</v>
      </c>
    </row>
    <row r="2821">
      <c r="A2821" t="s">
        <v>22</v>
      </c>
      <c r="B2821" t="s">
        <v>18882</v>
      </c>
      <c r="C2821" t="s">
        <v>60</v>
      </c>
      <c r="D2821" t="s">
        <v>61</v>
      </c>
      <c r="E2821" t="s">
        <v>18883</v>
      </c>
      <c r="F2821" s="2" t="n">
        <f>HYPERLINK("https://patents.google.com/patent/US20170342079","Google")</f>
        <v>0.0</v>
      </c>
      <c r="G2821" s="2" t="n">
        <f>HYPERLINK("https://patentcenter.uspto.gov/applications/15618974","Patent Center")</f>
        <v>0.0</v>
      </c>
      <c r="H2821" s="2" t="n">
        <f>HYPERLINK("https://worldwide.espacenet.com/patent/search?q=US20170342079","Espacenet")</f>
        <v>0.0</v>
      </c>
      <c r="I2821" s="2" t="n">
        <f>HYPERLINK("https://ppubs.uspto.gov/pubwebapp/external.html?q=20170342079.pn.","USPTO")</f>
        <v>0.0</v>
      </c>
      <c r="J2821" s="2" t="n">
        <f>HYPERLINK("https://image-ppubs.uspto.gov/dirsearch-public/print/downloadPdf/20170342079","USPTO PDF")</f>
        <v>0.0</v>
      </c>
      <c r="K2821" s="2" t="n">
        <f>HYPERLINK("https://sectors.patentforecast.com/pmd/US20170342079","PMD")</f>
        <v>0.0</v>
      </c>
      <c r="L2821" s="2" t="n">
        <f>HYPERLINK("https://globaldossier.uspto.gov/result/application/US/15618974/1","US20170342079")</f>
        <v>0.0</v>
      </c>
      <c r="M2821" t="s">
        <v>18884</v>
      </c>
      <c r="N2821" t="s">
        <v>664</v>
      </c>
      <c r="O2821" t="s">
        <v>665</v>
      </c>
      <c r="P2821" t="s">
        <v>18885</v>
      </c>
      <c r="Q2821" s="3" t="n">
        <v>42895.0</v>
      </c>
      <c r="R2821" s="3" t="n">
        <v>43069.0</v>
      </c>
      <c r="S2821" s="3" t="n">
        <v>43952.46638479167</v>
      </c>
      <c r="T2821" s="3" t="n">
        <v>44638.65271974537</v>
      </c>
      <c r="U2821" t="s">
        <v>18886</v>
      </c>
      <c r="V2821" t="s">
        <v>18887</v>
      </c>
    </row>
    <row r="2822">
      <c r="A2822" t="s">
        <v>22</v>
      </c>
      <c r="B2822" t="s">
        <v>18888</v>
      </c>
      <c r="C2822" t="s">
        <v>60</v>
      </c>
      <c r="D2822" t="s">
        <v>61</v>
      </c>
      <c r="E2822" t="s">
        <v>18248</v>
      </c>
      <c r="F2822" s="2" t="n">
        <f>HYPERLINK("https://patents.google.com/patent/US20170342068","Google")</f>
        <v>0.0</v>
      </c>
      <c r="G2822" s="2" t="n">
        <f>HYPERLINK("https://patentcenter.uspto.gov/applications/15596844","Patent Center")</f>
        <v>0.0</v>
      </c>
      <c r="H2822" s="2" t="n">
        <f>HYPERLINK("https://worldwide.espacenet.com/patent/search?q=US20170342068","Espacenet")</f>
        <v>0.0</v>
      </c>
      <c r="I2822" s="2" t="n">
        <f>HYPERLINK("https://ppubs.uspto.gov/pubwebapp/external.html?q=20170342068.pn.","USPTO")</f>
        <v>0.0</v>
      </c>
      <c r="J2822" s="2" t="n">
        <f>HYPERLINK("https://image-ppubs.uspto.gov/dirsearch-public/print/downloadPdf/20170342068","USPTO PDF")</f>
        <v>0.0</v>
      </c>
      <c r="K2822" s="2" t="n">
        <f>HYPERLINK("https://sectors.patentforecast.com/pmd/US20170342068","PMD")</f>
        <v>0.0</v>
      </c>
      <c r="L2822" s="2" t="n">
        <f>HYPERLINK("https://globaldossier.uspto.gov/result/application/US/15596844/1","US20170342068")</f>
        <v>0.0</v>
      </c>
      <c r="M2822" t="s">
        <v>18889</v>
      </c>
      <c r="N2822" t="s">
        <v>664</v>
      </c>
      <c r="O2822" t="s">
        <v>665</v>
      </c>
      <c r="P2822" t="s">
        <v>18890</v>
      </c>
      <c r="Q2822" s="3" t="n">
        <v>42871.0</v>
      </c>
      <c r="R2822" s="3" t="n">
        <v>43069.0</v>
      </c>
      <c r="S2822" s="3" t="n">
        <v>43952.46638479167</v>
      </c>
      <c r="T2822" s="3" t="n">
        <v>44638.65643378472</v>
      </c>
      <c r="U2822" t="s">
        <v>18891</v>
      </c>
      <c r="V2822" t="s">
        <v>18252</v>
      </c>
    </row>
    <row r="2823">
      <c r="A2823" t="s">
        <v>22</v>
      </c>
      <c r="B2823" t="s">
        <v>18892</v>
      </c>
      <c r="C2823" t="s">
        <v>132</v>
      </c>
      <c r="D2823" t="s">
        <v>133</v>
      </c>
      <c r="E2823" t="s">
        <v>18893</v>
      </c>
      <c r="F2823" s="2" t="n">
        <f>HYPERLINK("https://patents.google.com/patent/US20170340729","Google")</f>
        <v>0.0</v>
      </c>
      <c r="G2823" s="2" t="n">
        <f>HYPERLINK("https://patentcenter.uspto.gov/applications/15672019","Patent Center")</f>
        <v>0.0</v>
      </c>
      <c r="H2823" s="2" t="n">
        <f>HYPERLINK("https://worldwide.espacenet.com/patent/search?q=US20170340729","Espacenet")</f>
        <v>0.0</v>
      </c>
      <c r="I2823" s="2" t="n">
        <f>HYPERLINK("https://ppubs.uspto.gov/pubwebapp/external.html?q=20170340729.pn.","USPTO")</f>
        <v>0.0</v>
      </c>
      <c r="J2823" s="2" t="n">
        <f>HYPERLINK("https://image-ppubs.uspto.gov/dirsearch-public/print/downloadPdf/20170340729","USPTO PDF")</f>
        <v>0.0</v>
      </c>
      <c r="K2823" s="2" t="n">
        <f>HYPERLINK("https://sectors.patentforecast.com/pmd/US20170340729","PMD")</f>
        <v>0.0</v>
      </c>
      <c r="L2823" s="2" t="n">
        <f>HYPERLINK("https://globaldossier.uspto.gov/result/application/US/15672019/1","US20170340729")</f>
        <v>0.0</v>
      </c>
      <c r="M2823" t="s">
        <v>18894</v>
      </c>
      <c r="N2823" t="s">
        <v>17564</v>
      </c>
      <c r="O2823" t="s">
        <v>17565</v>
      </c>
      <c r="P2823" t="s">
        <v>18895</v>
      </c>
      <c r="Q2823" s="3" t="n">
        <v>42955.0</v>
      </c>
      <c r="R2823" s="3" t="n">
        <v>43069.0</v>
      </c>
      <c r="S2823" s="3" t="n">
        <v>43900.43726237269</v>
      </c>
      <c r="T2823" s="3" t="n">
        <v>43901.72156349537</v>
      </c>
      <c r="U2823" t="s">
        <v>18896</v>
      </c>
      <c r="V2823" t="s">
        <v>18897</v>
      </c>
    </row>
    <row r="2824">
      <c r="A2824" t="s">
        <v>22</v>
      </c>
      <c r="B2824" t="s">
        <v>18898</v>
      </c>
      <c r="C2824" t="s">
        <v>60</v>
      </c>
      <c r="D2824" t="s">
        <v>77</v>
      </c>
      <c r="E2824" t="s">
        <v>17345</v>
      </c>
      <c r="F2824" s="2" t="n">
        <f>HYPERLINK("https://patents.google.com/patent/US20170340728","Google")</f>
        <v>0.0</v>
      </c>
      <c r="G2824" s="2" t="n">
        <f>HYPERLINK("https://patentcenter.uspto.gov/applications/15633589","Patent Center")</f>
        <v>0.0</v>
      </c>
      <c r="H2824" s="2" t="n">
        <f>HYPERLINK("https://worldwide.espacenet.com/patent/search?q=US20170340728","Espacenet")</f>
        <v>0.0</v>
      </c>
      <c r="I2824" s="2" t="n">
        <f>HYPERLINK("https://ppubs.uspto.gov/pubwebapp/external.html?q=20170340728.pn.","USPTO")</f>
        <v>0.0</v>
      </c>
      <c r="J2824" s="2" t="n">
        <f>HYPERLINK("https://image-ppubs.uspto.gov/dirsearch-public/print/downloadPdf/20170340728","USPTO PDF")</f>
        <v>0.0</v>
      </c>
      <c r="K2824" s="2" t="n">
        <f>HYPERLINK("https://sectors.patentforecast.com/pmd/US20170340728","PMD")</f>
        <v>0.0</v>
      </c>
      <c r="L2824" s="2" t="n">
        <f>HYPERLINK("https://globaldossier.uspto.gov/result/application/US/15633589/1","US20170340728")</f>
        <v>0.0</v>
      </c>
      <c r="M2824" t="s">
        <v>18899</v>
      </c>
      <c r="N2824" t="s">
        <v>4321</v>
      </c>
      <c r="O2824" t="s">
        <v>4322</v>
      </c>
      <c r="P2824" t="s">
        <v>18900</v>
      </c>
      <c r="Q2824" s="3" t="n">
        <v>42912.0</v>
      </c>
      <c r="R2824" s="3" t="n">
        <v>43069.0</v>
      </c>
      <c r="S2824" s="3" t="n">
        <v>43935.7041706713</v>
      </c>
      <c r="T2824" s="3" t="n">
        <v>43985.637801655095</v>
      </c>
      <c r="U2824" t="s">
        <v>18901</v>
      </c>
      <c r="V2824" t="s">
        <v>17349</v>
      </c>
    </row>
    <row r="2825">
      <c r="A2825" t="s">
        <v>22</v>
      </c>
      <c r="B2825" t="s">
        <v>18902</v>
      </c>
      <c r="C2825" t="s">
        <v>132</v>
      </c>
      <c r="D2825" t="s">
        <v>2629</v>
      </c>
      <c r="E2825" t="s">
        <v>18117</v>
      </c>
      <c r="F2825" s="2" t="n">
        <f>HYPERLINK("https://patents.google.com/patent/US20170340725","Google")</f>
        <v>0.0</v>
      </c>
      <c r="G2825" s="2" t="n">
        <f>HYPERLINK("https://patentcenter.uspto.gov/applications/15674599","Patent Center")</f>
        <v>0.0</v>
      </c>
      <c r="H2825" s="2" t="n">
        <f>HYPERLINK("https://worldwide.espacenet.com/patent/search?q=US20170340725","Espacenet")</f>
        <v>0.0</v>
      </c>
      <c r="I2825" s="2" t="n">
        <f>HYPERLINK("https://ppubs.uspto.gov/pubwebapp/external.html?q=20170340725.pn.","USPTO")</f>
        <v>0.0</v>
      </c>
      <c r="J2825" s="2" t="n">
        <f>HYPERLINK("https://image-ppubs.uspto.gov/dirsearch-public/print/downloadPdf/20170340725","USPTO PDF")</f>
        <v>0.0</v>
      </c>
      <c r="K2825" s="2" t="n">
        <f>HYPERLINK("https://sectors.patentforecast.com/pmd/US20170340725","PMD")</f>
        <v>0.0</v>
      </c>
      <c r="L2825" s="2" t="n">
        <f>HYPERLINK("https://globaldossier.uspto.gov/result/application/US/15674599/1","US20170340725")</f>
        <v>0.0</v>
      </c>
      <c r="M2825" t="s">
        <v>18903</v>
      </c>
      <c r="N2825" t="s">
        <v>145</v>
      </c>
      <c r="O2825" t="s">
        <v>146</v>
      </c>
      <c r="P2825" t="s">
        <v>18904</v>
      </c>
      <c r="Q2825" s="3" t="n">
        <v>42958.0</v>
      </c>
      <c r="R2825" s="3" t="n">
        <v>43069.0</v>
      </c>
      <c r="S2825" s="3" t="n">
        <v>43935.7041706713</v>
      </c>
      <c r="T2825" s="3" t="n">
        <v>43950.48517424768</v>
      </c>
      <c r="U2825" t="s">
        <v>18905</v>
      </c>
      <c r="V2825" t="s">
        <v>15867</v>
      </c>
    </row>
    <row r="2826">
      <c r="A2826" t="s">
        <v>22</v>
      </c>
      <c r="B2826" t="s">
        <v>18906</v>
      </c>
      <c r="C2826" t="s">
        <v>60</v>
      </c>
      <c r="D2826" t="s">
        <v>696</v>
      </c>
      <c r="E2826" t="s">
        <v>16957</v>
      </c>
      <c r="F2826" s="2" t="n">
        <f>HYPERLINK("https://patents.google.com/patent/US20170334986","Google")</f>
        <v>0.0</v>
      </c>
      <c r="G2826" s="2" t="n">
        <f>HYPERLINK("https://patentcenter.uspto.gov/applications/15622225","Patent Center")</f>
        <v>0.0</v>
      </c>
      <c r="H2826" s="2" t="n">
        <f>HYPERLINK("https://worldwide.espacenet.com/patent/search?q=US20170334986","Espacenet")</f>
        <v>0.0</v>
      </c>
      <c r="I2826" s="2" t="n">
        <f>HYPERLINK("https://ppubs.uspto.gov/pubwebapp/external.html?q=20170334986.pn.","USPTO")</f>
        <v>0.0</v>
      </c>
      <c r="J2826" s="2" t="n">
        <f>HYPERLINK("https://image-ppubs.uspto.gov/dirsearch-public/print/downloadPdf/20170334986","USPTO PDF")</f>
        <v>0.0</v>
      </c>
      <c r="K2826" s="2" t="n">
        <f>HYPERLINK("https://sectors.patentforecast.com/pmd/US20170334986","PMD")</f>
        <v>0.0</v>
      </c>
      <c r="L2826" s="2" t="n">
        <f>HYPERLINK("https://globaldossier.uspto.gov/result/application/US/15622225/1","US20170334986")</f>
        <v>0.0</v>
      </c>
      <c r="M2826" t="s">
        <v>18907</v>
      </c>
      <c r="N2826" t="s">
        <v>16927</v>
      </c>
      <c r="O2826" t="s">
        <v>16928</v>
      </c>
      <c r="P2826" t="s">
        <v>17699</v>
      </c>
      <c r="Q2826" s="3" t="n">
        <v>42900.0</v>
      </c>
      <c r="R2826" s="3" t="n">
        <v>43062.0</v>
      </c>
      <c r="S2826" s="3" t="n">
        <v>43966.479498333334</v>
      </c>
      <c r="T2826" s="3" t="n">
        <v>44643.44490069444</v>
      </c>
      <c r="U2826" t="s">
        <v>18908</v>
      </c>
      <c r="V2826" t="s">
        <v>17130</v>
      </c>
    </row>
    <row r="2827">
      <c r="A2827" t="s">
        <v>22</v>
      </c>
      <c r="B2827" t="s">
        <v>18909</v>
      </c>
      <c r="C2827" t="s">
        <v>24</v>
      </c>
      <c r="D2827" t="s">
        <v>100</v>
      </c>
      <c r="E2827" t="s">
        <v>7926</v>
      </c>
      <c r="F2827" s="2" t="n">
        <f>HYPERLINK("https://patents.google.com/patent/US20170333586","Google")</f>
        <v>0.0</v>
      </c>
      <c r="G2827" s="2" t="n">
        <f>HYPERLINK("https://patentcenter.uspto.gov/applications/15533835","Patent Center")</f>
        <v>0.0</v>
      </c>
      <c r="H2827" s="2" t="n">
        <f>HYPERLINK("https://worldwide.espacenet.com/patent/search?q=US20170333586","Espacenet")</f>
        <v>0.0</v>
      </c>
      <c r="I2827" s="2" t="n">
        <f>HYPERLINK("https://ppubs.uspto.gov/pubwebapp/external.html?q=20170333586.pn.","USPTO")</f>
        <v>0.0</v>
      </c>
      <c r="J2827" s="2" t="n">
        <f>HYPERLINK("https://image-ppubs.uspto.gov/dirsearch-public/print/downloadPdf/20170333586","USPTO PDF")</f>
        <v>0.0</v>
      </c>
      <c r="K2827" s="2" t="n">
        <f>HYPERLINK("https://sectors.patentforecast.com/pmd/US20170333586","PMD")</f>
        <v>0.0</v>
      </c>
      <c r="L2827" s="2" t="n">
        <f>HYPERLINK("https://globaldossier.uspto.gov/result/application/US/15533835/1","US20170333586")</f>
        <v>0.0</v>
      </c>
      <c r="M2827" t="s">
        <v>18910</v>
      </c>
      <c r="N2827" t="s">
        <v>7928</v>
      </c>
      <c r="O2827" t="s">
        <v>7929</v>
      </c>
      <c r="P2827" t="s">
        <v>18911</v>
      </c>
      <c r="Q2827" s="3" t="n">
        <v>42147.0</v>
      </c>
      <c r="R2827" s="3" t="n">
        <v>43062.0</v>
      </c>
      <c r="S2827" s="3" t="n">
        <v>43999.59019282407</v>
      </c>
      <c r="T2827" s="3" t="n">
        <v>43999.65990641204</v>
      </c>
      <c r="U2827" t="s">
        <v>18912</v>
      </c>
      <c r="V2827" t="s">
        <v>18913</v>
      </c>
    </row>
    <row r="2828">
      <c r="A2828" t="s">
        <v>22</v>
      </c>
      <c r="B2828" t="s">
        <v>18914</v>
      </c>
      <c r="C2828" t="s">
        <v>24</v>
      </c>
      <c r="D2828" t="s">
        <v>204</v>
      </c>
      <c r="E2828" t="s">
        <v>18915</v>
      </c>
      <c r="F2828" s="2" t="n">
        <f>HYPERLINK("https://patents.google.com/patent/US20170333267","Google")</f>
        <v>0.0</v>
      </c>
      <c r="G2828" s="2" t="n">
        <f>HYPERLINK("https://patentcenter.uspto.gov/applications/15523126","Patent Center")</f>
        <v>0.0</v>
      </c>
      <c r="H2828" s="2" t="n">
        <f>HYPERLINK("https://worldwide.espacenet.com/patent/search?q=US20170333267","Espacenet")</f>
        <v>0.0</v>
      </c>
      <c r="I2828" s="2" t="n">
        <f>HYPERLINK("https://ppubs.uspto.gov/pubwebapp/external.html?q=20170333267.pn.","USPTO")</f>
        <v>0.0</v>
      </c>
      <c r="J2828" s="2" t="n">
        <f>HYPERLINK("https://image-ppubs.uspto.gov/dirsearch-public/print/downloadPdf/20170333267","USPTO PDF")</f>
        <v>0.0</v>
      </c>
      <c r="K2828" s="2" t="n">
        <f>HYPERLINK("https://sectors.patentforecast.com/pmd/US20170333267","PMD")</f>
        <v>0.0</v>
      </c>
      <c r="L2828" s="2" t="n">
        <f>HYPERLINK("https://globaldossier.uspto.gov/result/application/US/15523126/1","US20170333267")</f>
        <v>0.0</v>
      </c>
      <c r="M2828" t="s">
        <v>18916</v>
      </c>
      <c r="N2828" t="s">
        <v>18220</v>
      </c>
      <c r="O2828" t="s">
        <v>18221</v>
      </c>
      <c r="P2828" t="s">
        <v>18917</v>
      </c>
      <c r="Q2828" s="3" t="n">
        <v>42319.0</v>
      </c>
      <c r="R2828" s="3" t="n">
        <v>43062.0</v>
      </c>
      <c r="S2828" s="3" t="n">
        <v>43943.46141087963</v>
      </c>
      <c r="T2828" s="3" t="n">
        <v>43985.40045450231</v>
      </c>
      <c r="U2828" t="s">
        <v>18918</v>
      </c>
      <c r="V2828" t="s">
        <v>18919</v>
      </c>
    </row>
    <row r="2829">
      <c r="A2829" t="s">
        <v>22</v>
      </c>
      <c r="B2829" t="s">
        <v>18920</v>
      </c>
      <c r="C2829" t="s">
        <v>60</v>
      </c>
      <c r="D2829" t="s">
        <v>61</v>
      </c>
      <c r="E2829" t="s">
        <v>16995</v>
      </c>
      <c r="F2829" s="2" t="n">
        <f>HYPERLINK("https://patents.google.com/patent/US20170327526","Google")</f>
        <v>0.0</v>
      </c>
      <c r="G2829" s="2" t="n">
        <f>HYPERLINK("https://patentcenter.uspto.gov/applications/15441561","Patent Center")</f>
        <v>0.0</v>
      </c>
      <c r="H2829" s="2" t="n">
        <f>HYPERLINK("https://worldwide.espacenet.com/patent/search?q=US20170327526","Espacenet")</f>
        <v>0.0</v>
      </c>
      <c r="I2829" s="2" t="n">
        <f>HYPERLINK("https://ppubs.uspto.gov/pubwebapp/external.html?q=20170327526.pn.","USPTO")</f>
        <v>0.0</v>
      </c>
      <c r="J2829" s="2" t="n">
        <f>HYPERLINK("https://image-ppubs.uspto.gov/dirsearch-public/print/downloadPdf/20170327526","USPTO PDF")</f>
        <v>0.0</v>
      </c>
      <c r="K2829" s="2" t="n">
        <f>HYPERLINK("https://sectors.patentforecast.com/pmd/US20170327526","PMD")</f>
        <v>0.0</v>
      </c>
      <c r="L2829" s="2" t="n">
        <f>HYPERLINK("https://globaldossier.uspto.gov/result/application/US/15441561/1","US20170327526")</f>
        <v>0.0</v>
      </c>
      <c r="M2829" t="s">
        <v>18921</v>
      </c>
      <c r="N2829" t="s">
        <v>664</v>
      </c>
      <c r="O2829" t="s">
        <v>665</v>
      </c>
      <c r="P2829" t="s">
        <v>16997</v>
      </c>
      <c r="Q2829" s="3" t="n">
        <v>42790.0</v>
      </c>
      <c r="R2829" s="3" t="n">
        <v>43055.0</v>
      </c>
      <c r="S2829" s="3" t="n">
        <v>43952.46638479167</v>
      </c>
      <c r="T2829" s="3" t="n">
        <v>44638.65008547454</v>
      </c>
      <c r="U2829" t="s">
        <v>18922</v>
      </c>
      <c r="V2829" t="s">
        <v>16999</v>
      </c>
    </row>
    <row r="2830">
      <c r="A2830" t="s">
        <v>22</v>
      </c>
      <c r="B2830" t="s">
        <v>18923</v>
      </c>
      <c r="C2830" t="s">
        <v>60</v>
      </c>
      <c r="D2830" t="s">
        <v>61</v>
      </c>
      <c r="E2830" t="s">
        <v>17494</v>
      </c>
      <c r="F2830" s="2" t="n">
        <f>HYPERLINK("https://patents.google.com/patent/US20170327488","Google")</f>
        <v>0.0</v>
      </c>
      <c r="G2830" s="2" t="n">
        <f>HYPERLINK("https://patentcenter.uspto.gov/applications/15607326","Patent Center")</f>
        <v>0.0</v>
      </c>
      <c r="H2830" s="2" t="n">
        <f>HYPERLINK("https://worldwide.espacenet.com/patent/search?q=US20170327488","Espacenet")</f>
        <v>0.0</v>
      </c>
      <c r="I2830" s="2" t="n">
        <f>HYPERLINK("https://ppubs.uspto.gov/pubwebapp/external.html?q=20170327488.pn.","USPTO")</f>
        <v>0.0</v>
      </c>
      <c r="J2830" s="2" t="n">
        <f>HYPERLINK("https://image-ppubs.uspto.gov/dirsearch-public/print/downloadPdf/20170327488","USPTO PDF")</f>
        <v>0.0</v>
      </c>
      <c r="K2830" s="2" t="n">
        <f>HYPERLINK("https://sectors.patentforecast.com/pmd/US20170327488","PMD")</f>
        <v>0.0</v>
      </c>
      <c r="L2830" s="2" t="n">
        <f>HYPERLINK("https://globaldossier.uspto.gov/result/application/US/15607326/1","US20170327488")</f>
        <v>0.0</v>
      </c>
      <c r="M2830" t="s">
        <v>18924</v>
      </c>
      <c r="N2830" t="s">
        <v>664</v>
      </c>
      <c r="O2830" t="s">
        <v>665</v>
      </c>
      <c r="P2830" t="s">
        <v>18925</v>
      </c>
      <c r="Q2830" s="3" t="n">
        <v>42881.0</v>
      </c>
      <c r="R2830" s="3" t="n">
        <v>43055.0</v>
      </c>
      <c r="S2830" s="3" t="n">
        <v>43952.46638479167</v>
      </c>
      <c r="T2830" s="3" t="n">
        <v>44638.65271974537</v>
      </c>
      <c r="U2830" t="s">
        <v>18926</v>
      </c>
      <c r="V2830" t="s">
        <v>18927</v>
      </c>
    </row>
    <row r="2831">
      <c r="A2831" t="s">
        <v>22</v>
      </c>
      <c r="B2831" t="s">
        <v>18928</v>
      </c>
      <c r="C2831" t="s">
        <v>132</v>
      </c>
      <c r="D2831" t="s">
        <v>11423</v>
      </c>
      <c r="E2831" t="s">
        <v>17562</v>
      </c>
      <c r="F2831" s="2" t="n">
        <f>HYPERLINK("https://patents.google.com/patent/US20170326226","Google")</f>
        <v>0.0</v>
      </c>
      <c r="G2831" s="2" t="n">
        <f>HYPERLINK("https://patentcenter.uspto.gov/applications/15593223","Patent Center")</f>
        <v>0.0</v>
      </c>
      <c r="H2831" s="2" t="n">
        <f>HYPERLINK("https://worldwide.espacenet.com/patent/search?q=US20170326226","Espacenet")</f>
        <v>0.0</v>
      </c>
      <c r="I2831" s="2" t="n">
        <f>HYPERLINK("https://ppubs.uspto.gov/pubwebapp/external.html?q=20170326226.pn.","USPTO")</f>
        <v>0.0</v>
      </c>
      <c r="J2831" s="2" t="n">
        <f>HYPERLINK("https://image-ppubs.uspto.gov/dirsearch-public/print/downloadPdf/20170326226","USPTO PDF")</f>
        <v>0.0</v>
      </c>
      <c r="K2831" s="2" t="n">
        <f>HYPERLINK("https://sectors.patentforecast.com/pmd/US20170326226","PMD")</f>
        <v>0.0</v>
      </c>
      <c r="L2831" s="2" t="n">
        <f>HYPERLINK("https://globaldossier.uspto.gov/result/application/US/15593223/1","US20170326226")</f>
        <v>0.0</v>
      </c>
      <c r="M2831" t="s">
        <v>18929</v>
      </c>
      <c r="N2831" t="s">
        <v>17564</v>
      </c>
      <c r="O2831" t="s">
        <v>17565</v>
      </c>
      <c r="P2831" t="s">
        <v>18930</v>
      </c>
      <c r="Q2831" s="3" t="n">
        <v>42866.0</v>
      </c>
      <c r="R2831" s="3" t="n">
        <v>43055.0</v>
      </c>
      <c r="S2831" s="3" t="n">
        <v>43900.43726237269</v>
      </c>
      <c r="T2831" s="3" t="n">
        <v>43903.48462938658</v>
      </c>
      <c r="U2831" t="s">
        <v>18931</v>
      </c>
      <c r="V2831" t="s">
        <v>17568</v>
      </c>
    </row>
    <row r="2832">
      <c r="A2832" t="s">
        <v>22</v>
      </c>
      <c r="B2832" t="s">
        <v>18932</v>
      </c>
      <c r="C2832" t="s">
        <v>60</v>
      </c>
      <c r="D2832" t="s">
        <v>4942</v>
      </c>
      <c r="E2832" t="s">
        <v>16103</v>
      </c>
      <c r="F2832" s="2" t="n">
        <f>HYPERLINK("https://patents.google.com/patent/US20170326088","Google")</f>
        <v>0.0</v>
      </c>
      <c r="G2832" s="2" t="n">
        <f>HYPERLINK("https://patentcenter.uspto.gov/applications/15528990","Patent Center")</f>
        <v>0.0</v>
      </c>
      <c r="H2832" s="2" t="n">
        <f>HYPERLINK("https://worldwide.espacenet.com/patent/search?q=US20170326088","Espacenet")</f>
        <v>0.0</v>
      </c>
      <c r="I2832" s="2" t="n">
        <f>HYPERLINK("https://ppubs.uspto.gov/pubwebapp/external.html?q=20170326088.pn.","USPTO")</f>
        <v>0.0</v>
      </c>
      <c r="J2832" s="2" t="n">
        <f>HYPERLINK("https://image-ppubs.uspto.gov/dirsearch-public/print/downloadPdf/20170326088","USPTO PDF")</f>
        <v>0.0</v>
      </c>
      <c r="K2832" s="2" t="n">
        <f>HYPERLINK("https://sectors.patentforecast.com/pmd/US20170326088","PMD")</f>
        <v>0.0</v>
      </c>
      <c r="L2832" s="2" t="n">
        <f>HYPERLINK("https://globaldossier.uspto.gov/result/application/US/15528990/1","US20170326088")</f>
        <v>0.0</v>
      </c>
      <c r="M2832" t="s">
        <v>18933</v>
      </c>
      <c r="N2832" t="s">
        <v>18934</v>
      </c>
      <c r="O2832" t="s">
        <v>18935</v>
      </c>
      <c r="P2832" t="s">
        <v>16107</v>
      </c>
      <c r="Q2832" s="3" t="n">
        <v>42327.0</v>
      </c>
      <c r="R2832" s="3" t="n">
        <v>43055.0</v>
      </c>
      <c r="S2832" s="3" t="n">
        <v>43900.43726237269</v>
      </c>
      <c r="T2832" s="3" t="n">
        <v>43901.72156524305</v>
      </c>
      <c r="U2832" t="s">
        <v>18936</v>
      </c>
      <c r="V2832" t="s">
        <v>16109</v>
      </c>
    </row>
    <row r="2833">
      <c r="A2833" t="s">
        <v>22</v>
      </c>
      <c r="B2833" t="s">
        <v>18937</v>
      </c>
      <c r="C2833" t="s">
        <v>312</v>
      </c>
      <c r="D2833" t="s">
        <v>976</v>
      </c>
      <c r="E2833" t="s">
        <v>18938</v>
      </c>
      <c r="F2833" s="2" t="n">
        <f>HYPERLINK("https://patents.google.com/patent/US20170323078","Google")</f>
        <v>0.0</v>
      </c>
      <c r="G2833" s="2" t="n">
        <f>HYPERLINK("https://patentcenter.uspto.gov/applications/15657800","Patent Center")</f>
        <v>0.0</v>
      </c>
      <c r="H2833" s="2" t="n">
        <f>HYPERLINK("https://worldwide.espacenet.com/patent/search?q=US20170323078","Espacenet")</f>
        <v>0.0</v>
      </c>
      <c r="I2833" s="2" t="n">
        <f>HYPERLINK("https://ppubs.uspto.gov/pubwebapp/external.html?q=20170323078.pn.","USPTO")</f>
        <v>0.0</v>
      </c>
      <c r="J2833" s="2" t="n">
        <f>HYPERLINK("https://image-ppubs.uspto.gov/dirsearch-public/print/downloadPdf/20170323078","USPTO PDF")</f>
        <v>0.0</v>
      </c>
      <c r="K2833" s="2" t="n">
        <f>HYPERLINK("https://sectors.patentforecast.com/pmd/US20170323078","PMD")</f>
        <v>0.0</v>
      </c>
      <c r="L2833" s="2" t="n">
        <f>HYPERLINK("https://globaldossier.uspto.gov/result/application/US/15657800/1","US20170323078")</f>
        <v>0.0</v>
      </c>
      <c r="M2833" t="s">
        <v>18939</v>
      </c>
      <c r="N2833" t="s">
        <v>18940</v>
      </c>
      <c r="O2833" t="s">
        <v>18941</v>
      </c>
      <c r="P2833" t="s">
        <v>18942</v>
      </c>
      <c r="Q2833" s="3" t="n">
        <v>42940.0</v>
      </c>
      <c r="R2833" s="3" t="n">
        <v>43048.0</v>
      </c>
      <c r="S2833" s="3" t="n">
        <v>43266.45736449074</v>
      </c>
      <c r="T2833" s="3" t="n">
        <v>43950.55324775463</v>
      </c>
      <c r="U2833" t="s">
        <v>18943</v>
      </c>
      <c r="V2833" t="s">
        <v>18944</v>
      </c>
    </row>
    <row r="2834">
      <c r="A2834" t="s">
        <v>22</v>
      </c>
      <c r="B2834" t="s">
        <v>18945</v>
      </c>
      <c r="C2834" t="s">
        <v>132</v>
      </c>
      <c r="D2834" t="s">
        <v>133</v>
      </c>
      <c r="E2834" t="s">
        <v>18946</v>
      </c>
      <c r="F2834" s="2" t="n">
        <f>HYPERLINK("https://patents.google.com/patent/US20170319682","Google")</f>
        <v>0.0</v>
      </c>
      <c r="G2834" s="2" t="n">
        <f>HYPERLINK("https://patentcenter.uspto.gov/applications/15433759","Patent Center")</f>
        <v>0.0</v>
      </c>
      <c r="H2834" s="2" t="n">
        <f>HYPERLINK("https://worldwide.espacenet.com/patent/search?q=US20170319682","Espacenet")</f>
        <v>0.0</v>
      </c>
      <c r="I2834" s="2" t="n">
        <f>HYPERLINK("https://ppubs.uspto.gov/pubwebapp/external.html?q=20170319682.pn.","USPTO")</f>
        <v>0.0</v>
      </c>
      <c r="J2834" s="2" t="n">
        <f>HYPERLINK("https://image-ppubs.uspto.gov/dirsearch-public/print/downloadPdf/20170319682","USPTO PDF")</f>
        <v>0.0</v>
      </c>
      <c r="K2834" s="2" t="n">
        <f>HYPERLINK("https://sectors.patentforecast.com/pmd/US20170319682","PMD")</f>
        <v>0.0</v>
      </c>
      <c r="L2834" s="2" t="n">
        <f>HYPERLINK("https://globaldossier.uspto.gov/result/application/US/15433759/1","US20170319682")</f>
        <v>0.0</v>
      </c>
      <c r="M2834" t="s">
        <v>18947</v>
      </c>
      <c r="N2834" t="s">
        <v>1275</v>
      </c>
      <c r="O2834" t="s">
        <v>1275</v>
      </c>
      <c r="P2834" t="s">
        <v>18948</v>
      </c>
      <c r="Q2834" s="3" t="n">
        <v>42781.0</v>
      </c>
      <c r="R2834" s="3" t="n">
        <v>43048.0</v>
      </c>
      <c r="S2834" s="3" t="n">
        <v>43966.479498333334</v>
      </c>
      <c r="T2834" s="3" t="n">
        <v>44020.63337826389</v>
      </c>
      <c r="U2834" t="s">
        <v>18949</v>
      </c>
      <c r="V2834" t="s">
        <v>17136</v>
      </c>
    </row>
    <row r="2835">
      <c r="A2835" t="s">
        <v>22</v>
      </c>
      <c r="B2835" t="s">
        <v>18950</v>
      </c>
      <c r="C2835" t="s">
        <v>132</v>
      </c>
      <c r="D2835" t="s">
        <v>1265</v>
      </c>
      <c r="E2835" t="s">
        <v>18951</v>
      </c>
      <c r="F2835" s="2" t="n">
        <f>HYPERLINK("https://patents.google.com/patent/US20170316324","Google")</f>
        <v>0.0</v>
      </c>
      <c r="G2835" s="2" t="n">
        <f>HYPERLINK("https://patentcenter.uspto.gov/applications/15499423","Patent Center")</f>
        <v>0.0</v>
      </c>
      <c r="H2835" s="2" t="n">
        <f>HYPERLINK("https://worldwide.espacenet.com/patent/search?q=US20170316324","Espacenet")</f>
        <v>0.0</v>
      </c>
      <c r="I2835" s="2" t="n">
        <f>HYPERLINK("https://ppubs.uspto.gov/pubwebapp/external.html?q=20170316324.pn.","USPTO")</f>
        <v>0.0</v>
      </c>
      <c r="J2835" s="2" t="n">
        <f>HYPERLINK("https://image-ppubs.uspto.gov/dirsearch-public/print/downloadPdf/20170316324","USPTO PDF")</f>
        <v>0.0</v>
      </c>
      <c r="K2835" s="2" t="n">
        <f>HYPERLINK("https://sectors.patentforecast.com/pmd/US20170316324","PMD")</f>
        <v>0.0</v>
      </c>
      <c r="L2835" s="2" t="n">
        <f>HYPERLINK("https://globaldossier.uspto.gov/result/application/US/15499423/1","US20170316324")</f>
        <v>0.0</v>
      </c>
      <c r="M2835" t="s">
        <v>18952</v>
      </c>
      <c r="N2835" t="s">
        <v>18953</v>
      </c>
      <c r="O2835" t="s">
        <v>18953</v>
      </c>
      <c r="P2835" t="s">
        <v>18954</v>
      </c>
      <c r="Q2835" s="3" t="n">
        <v>42852.0</v>
      </c>
      <c r="R2835" s="3" t="n">
        <v>43041.0</v>
      </c>
      <c r="S2835" s="3" t="n">
        <v>43900.437144675925</v>
      </c>
      <c r="T2835" s="3" t="n">
        <v>43901.72156520833</v>
      </c>
      <c r="U2835" t="s">
        <v>18955</v>
      </c>
      <c r="V2835" t="s">
        <v>18956</v>
      </c>
    </row>
    <row r="2836">
      <c r="A2836" t="s">
        <v>22</v>
      </c>
      <c r="B2836" t="s">
        <v>18957</v>
      </c>
      <c r="C2836" t="s">
        <v>24</v>
      </c>
      <c r="D2836" t="s">
        <v>25</v>
      </c>
      <c r="E2836" t="s">
        <v>18958</v>
      </c>
      <c r="F2836" s="2" t="n">
        <f>HYPERLINK("https://patents.google.com/patent/US20170316181","Google")</f>
        <v>0.0</v>
      </c>
      <c r="G2836" s="2" t="n">
        <f>HYPERLINK("https://patentcenter.uspto.gov/applications/15654986","Patent Center")</f>
        <v>0.0</v>
      </c>
      <c r="H2836" s="2" t="n">
        <f>HYPERLINK("https://worldwide.espacenet.com/patent/search?q=US20170316181","Espacenet")</f>
        <v>0.0</v>
      </c>
      <c r="I2836" s="2" t="n">
        <f>HYPERLINK("https://ppubs.uspto.gov/pubwebapp/external.html?q=20170316181.pn.","USPTO")</f>
        <v>0.0</v>
      </c>
      <c r="J2836" s="2" t="n">
        <f>HYPERLINK("https://image-ppubs.uspto.gov/dirsearch-public/print/downloadPdf/20170316181","USPTO PDF")</f>
        <v>0.0</v>
      </c>
      <c r="K2836" s="2" t="n">
        <f>HYPERLINK("https://sectors.patentforecast.com/pmd/US20170316181","PMD")</f>
        <v>0.0</v>
      </c>
      <c r="L2836" s="2" t="n">
        <f>HYPERLINK("https://globaldossier.uspto.gov/result/application/US/15654986/1","US20170316181")</f>
        <v>0.0</v>
      </c>
      <c r="M2836" t="s">
        <v>18959</v>
      </c>
      <c r="N2836" t="s">
        <v>18960</v>
      </c>
      <c r="O2836" t="s">
        <v>18961</v>
      </c>
      <c r="P2836" t="s">
        <v>18962</v>
      </c>
      <c r="Q2836" s="3" t="n">
        <v>42936.0</v>
      </c>
      <c r="R2836" s="3" t="n">
        <v>43041.0</v>
      </c>
      <c r="S2836" s="3" t="n">
        <v>43266.45736449074</v>
      </c>
      <c r="T2836" s="3" t="n">
        <v>43903.494973506946</v>
      </c>
      <c r="U2836" t="s">
        <v>18963</v>
      </c>
      <c r="V2836" t="s">
        <v>18964</v>
      </c>
    </row>
    <row r="2837">
      <c r="A2837" t="s">
        <v>22</v>
      </c>
      <c r="B2837" t="s">
        <v>18965</v>
      </c>
      <c r="C2837" t="s">
        <v>60</v>
      </c>
      <c r="D2837" t="s">
        <v>61</v>
      </c>
      <c r="E2837" t="s">
        <v>17306</v>
      </c>
      <c r="F2837" s="2" t="n">
        <f>HYPERLINK("https://patents.google.com/patent/US20170313745","Google")</f>
        <v>0.0</v>
      </c>
      <c r="G2837" s="2" t="n">
        <f>HYPERLINK("https://patentcenter.uspto.gov/applications/15455508","Patent Center")</f>
        <v>0.0</v>
      </c>
      <c r="H2837" s="2" t="n">
        <f>HYPERLINK("https://worldwide.espacenet.com/patent/search?q=US20170313745","Espacenet")</f>
        <v>0.0</v>
      </c>
      <c r="I2837" s="2" t="n">
        <f>HYPERLINK("https://ppubs.uspto.gov/pubwebapp/external.html?q=20170313745.pn.","USPTO")</f>
        <v>0.0</v>
      </c>
      <c r="J2837" s="2" t="n">
        <f>HYPERLINK("https://image-ppubs.uspto.gov/dirsearch-public/print/downloadPdf/20170313745","USPTO PDF")</f>
        <v>0.0</v>
      </c>
      <c r="K2837" s="2" t="n">
        <f>HYPERLINK("https://sectors.patentforecast.com/pmd/US20170313745","PMD")</f>
        <v>0.0</v>
      </c>
      <c r="L2837" s="2" t="n">
        <f>HYPERLINK("https://globaldossier.uspto.gov/result/application/US/15455508/1","US20170313745")</f>
        <v>0.0</v>
      </c>
      <c r="M2837" t="s">
        <v>18966</v>
      </c>
      <c r="N2837" t="s">
        <v>664</v>
      </c>
      <c r="O2837" t="s">
        <v>665</v>
      </c>
      <c r="P2837" t="s">
        <v>18967</v>
      </c>
      <c r="Q2837" s="3" t="n">
        <v>42804.0</v>
      </c>
      <c r="R2837" s="3" t="n">
        <v>43041.0</v>
      </c>
      <c r="S2837" s="3" t="n">
        <v>43952.46638479167</v>
      </c>
      <c r="T2837" s="3" t="n">
        <v>44638.65643378472</v>
      </c>
      <c r="U2837" t="s">
        <v>18968</v>
      </c>
      <c r="V2837" t="s">
        <v>18969</v>
      </c>
    </row>
    <row r="2838">
      <c r="A2838" t="s">
        <v>22</v>
      </c>
      <c r="B2838" t="s">
        <v>18970</v>
      </c>
      <c r="C2838" t="s">
        <v>24</v>
      </c>
      <c r="D2838" t="s">
        <v>25</v>
      </c>
      <c r="E2838" t="s">
        <v>18971</v>
      </c>
      <c r="F2838" s="2" t="n">
        <f>HYPERLINK("https://patents.google.com/patent/US20170309148","Google")</f>
        <v>0.0</v>
      </c>
      <c r="G2838" s="2" t="n">
        <f>HYPERLINK("https://patentcenter.uspto.gov/applications/15496572","Patent Center")</f>
        <v>0.0</v>
      </c>
      <c r="H2838" s="2" t="n">
        <f>HYPERLINK("https://worldwide.espacenet.com/patent/search?q=US20170309148","Espacenet")</f>
        <v>0.0</v>
      </c>
      <c r="I2838" s="2" t="n">
        <f>HYPERLINK("https://ppubs.uspto.gov/pubwebapp/external.html?q=20170309148.pn.","USPTO")</f>
        <v>0.0</v>
      </c>
      <c r="J2838" s="2" t="n">
        <f>HYPERLINK("https://image-ppubs.uspto.gov/dirsearch-public/print/downloadPdf/20170309148","USPTO PDF")</f>
        <v>0.0</v>
      </c>
      <c r="K2838" s="2" t="n">
        <f>HYPERLINK("https://sectors.patentforecast.com/pmd/US20170309148","PMD")</f>
        <v>0.0</v>
      </c>
      <c r="L2838" s="2" t="n">
        <f>HYPERLINK("https://globaldossier.uspto.gov/result/application/US/15496572/1","US20170309148")</f>
        <v>0.0</v>
      </c>
      <c r="M2838" t="s">
        <v>18972</v>
      </c>
      <c r="N2838" t="s">
        <v>1577</v>
      </c>
      <c r="O2838" t="s">
        <v>1578</v>
      </c>
      <c r="P2838" t="s">
        <v>18973</v>
      </c>
      <c r="Q2838" s="3" t="n">
        <v>42850.0</v>
      </c>
      <c r="R2838" s="3" t="n">
        <v>43034.0</v>
      </c>
      <c r="S2838" s="3" t="n">
        <v>43906.37277822917</v>
      </c>
      <c r="T2838" s="3" t="n">
        <v>43950.60729947917</v>
      </c>
      <c r="U2838" t="s">
        <v>18974</v>
      </c>
      <c r="V2838" t="s">
        <v>18975</v>
      </c>
    </row>
    <row r="2839">
      <c r="A2839" t="s">
        <v>22</v>
      </c>
      <c r="B2839" t="s">
        <v>18976</v>
      </c>
      <c r="C2839" t="s">
        <v>24</v>
      </c>
      <c r="D2839" t="s">
        <v>25</v>
      </c>
      <c r="E2839" t="s">
        <v>18977</v>
      </c>
      <c r="F2839" s="2" t="n">
        <f>HYPERLINK("https://patents.google.com/patent/US20170308679","Google")</f>
        <v>0.0</v>
      </c>
      <c r="G2839" s="2" t="n">
        <f>HYPERLINK("https://patentcenter.uspto.gov/applications/15518735","Patent Center")</f>
        <v>0.0</v>
      </c>
      <c r="H2839" s="2" t="n">
        <f>HYPERLINK("https://worldwide.espacenet.com/patent/search?q=US20170308679","Espacenet")</f>
        <v>0.0</v>
      </c>
      <c r="I2839" s="2" t="n">
        <f>HYPERLINK("https://ppubs.uspto.gov/pubwebapp/external.html?q=20170308679.pn.","USPTO")</f>
        <v>0.0</v>
      </c>
      <c r="J2839" s="2" t="n">
        <f>HYPERLINK("https://image-ppubs.uspto.gov/dirsearch-public/print/downloadPdf/20170308679","USPTO PDF")</f>
        <v>0.0</v>
      </c>
      <c r="K2839" s="2" t="n">
        <f>HYPERLINK("https://sectors.patentforecast.com/pmd/US20170308679","PMD")</f>
        <v>0.0</v>
      </c>
      <c r="L2839" s="2" t="n">
        <f>HYPERLINK("https://globaldossier.uspto.gov/result/application/US/15518735/1","US20170308679")</f>
        <v>0.0</v>
      </c>
      <c r="M2839" t="s">
        <v>18978</v>
      </c>
      <c r="N2839" t="s">
        <v>18979</v>
      </c>
      <c r="O2839" t="s">
        <v>18979</v>
      </c>
      <c r="P2839" t="s">
        <v>18980</v>
      </c>
      <c r="Q2839" s="3" t="n">
        <v>42289.0</v>
      </c>
      <c r="R2839" s="3" t="n">
        <v>43034.0</v>
      </c>
      <c r="S2839" s="3" t="n">
        <v>43266.45736449074</v>
      </c>
      <c r="T2839" s="3" t="n">
        <v>43901.72156506944</v>
      </c>
      <c r="U2839" t="s">
        <v>18981</v>
      </c>
      <c r="V2839" t="s">
        <v>18982</v>
      </c>
    </row>
    <row r="2840">
      <c r="A2840" t="s">
        <v>22</v>
      </c>
      <c r="B2840" t="s">
        <v>18983</v>
      </c>
      <c r="C2840" t="s">
        <v>312</v>
      </c>
      <c r="D2840" t="s">
        <v>3202</v>
      </c>
      <c r="E2840" t="s">
        <v>18984</v>
      </c>
      <c r="F2840" s="2" t="n">
        <f>HYPERLINK("https://patents.google.com/patent/US20170308678","Google")</f>
        <v>0.0</v>
      </c>
      <c r="G2840" s="2" t="n">
        <f>HYPERLINK("https://patentcenter.uspto.gov/applications/14626224","Patent Center")</f>
        <v>0.0</v>
      </c>
      <c r="H2840" s="2" t="n">
        <f>HYPERLINK("https://worldwide.espacenet.com/patent/search?q=US20170308678","Espacenet")</f>
        <v>0.0</v>
      </c>
      <c r="I2840" s="2" t="n">
        <f>HYPERLINK("https://ppubs.uspto.gov/pubwebapp/external.html?q=20170308678.pn.","USPTO")</f>
        <v>0.0</v>
      </c>
      <c r="J2840" s="2" t="n">
        <f>HYPERLINK("https://image-ppubs.uspto.gov/dirsearch-public/print/downloadPdf/20170308678","USPTO PDF")</f>
        <v>0.0</v>
      </c>
      <c r="K2840" s="2" t="n">
        <f>HYPERLINK("https://sectors.patentforecast.com/pmd/US20170308678","PMD")</f>
        <v>0.0</v>
      </c>
      <c r="L2840" s="2" t="n">
        <f>HYPERLINK("https://globaldossier.uspto.gov/result/application/US/14626224/1","US20170308678")</f>
        <v>0.0</v>
      </c>
      <c r="M2840" t="s">
        <v>18985</v>
      </c>
      <c r="N2840" t="s">
        <v>18986</v>
      </c>
      <c r="O2840" t="s">
        <v>18987</v>
      </c>
      <c r="P2840" t="s">
        <v>18988</v>
      </c>
      <c r="Q2840" s="3" t="n">
        <v>42054.0</v>
      </c>
      <c r="R2840" s="3" t="n">
        <v>43034.0</v>
      </c>
      <c r="S2840" s="3" t="n">
        <v>43266.45736449074</v>
      </c>
      <c r="T2840" s="3" t="n">
        <v>43950.6100056713</v>
      </c>
      <c r="U2840" t="s">
        <v>18989</v>
      </c>
      <c r="V2840" t="s">
        <v>18990</v>
      </c>
    </row>
    <row r="2841">
      <c r="A2841" t="s">
        <v>22</v>
      </c>
      <c r="B2841" t="s">
        <v>18991</v>
      </c>
      <c r="C2841" t="s">
        <v>132</v>
      </c>
      <c r="D2841" t="s">
        <v>1265</v>
      </c>
      <c r="E2841" t="s">
        <v>18992</v>
      </c>
      <c r="F2841" s="2" t="n">
        <f>HYPERLINK("https://patents.google.com/patent/US20170300657","Google")</f>
        <v>0.0</v>
      </c>
      <c r="G2841" s="2" t="n">
        <f>HYPERLINK("https://patentcenter.uspto.gov/applications/15487929","Patent Center")</f>
        <v>0.0</v>
      </c>
      <c r="H2841" s="2" t="n">
        <f>HYPERLINK("https://worldwide.espacenet.com/patent/search?q=US20170300657","Espacenet")</f>
        <v>0.0</v>
      </c>
      <c r="I2841" s="2" t="n">
        <f>HYPERLINK("https://ppubs.uspto.gov/pubwebapp/external.html?q=20170300657.pn.","USPTO")</f>
        <v>0.0</v>
      </c>
      <c r="J2841" s="2" t="n">
        <f>HYPERLINK("https://image-ppubs.uspto.gov/dirsearch-public/print/downloadPdf/20170300657","USPTO PDF")</f>
        <v>0.0</v>
      </c>
      <c r="K2841" s="2" t="n">
        <f>HYPERLINK("https://sectors.patentforecast.com/pmd/US20170300657","PMD")</f>
        <v>0.0</v>
      </c>
      <c r="L2841" s="2" t="n">
        <f>HYPERLINK("https://globaldossier.uspto.gov/result/application/US/15487929/1","US20170300657")</f>
        <v>0.0</v>
      </c>
      <c r="M2841" t="s">
        <v>18993</v>
      </c>
      <c r="N2841" t="s">
        <v>18953</v>
      </c>
      <c r="O2841" t="s">
        <v>18953</v>
      </c>
      <c r="P2841" t="s">
        <v>18994</v>
      </c>
      <c r="Q2841" s="3" t="n">
        <v>42839.0</v>
      </c>
      <c r="R2841" s="3" t="n">
        <v>43027.0</v>
      </c>
      <c r="S2841" s="3" t="n">
        <v>43900.437144675925</v>
      </c>
      <c r="T2841" s="3" t="n">
        <v>43901.721564363426</v>
      </c>
      <c r="U2841" t="s">
        <v>18995</v>
      </c>
      <c r="V2841" t="s">
        <v>18996</v>
      </c>
    </row>
    <row r="2842">
      <c r="A2842" t="s">
        <v>22</v>
      </c>
      <c r="B2842" t="s">
        <v>18997</v>
      </c>
      <c r="C2842" t="s">
        <v>132</v>
      </c>
      <c r="D2842" t="s">
        <v>133</v>
      </c>
      <c r="E2842" t="s">
        <v>18998</v>
      </c>
      <c r="F2842" s="2" t="n">
        <f>HYPERLINK("https://patents.google.com/patent/US20170296504","Google")</f>
        <v>0.0</v>
      </c>
      <c r="G2842" s="2" t="n">
        <f>HYPERLINK("https://patentcenter.uspto.gov/applications/15513735","Patent Center")</f>
        <v>0.0</v>
      </c>
      <c r="H2842" s="2" t="n">
        <f>HYPERLINK("https://worldwide.espacenet.com/patent/search?q=US20170296504","Espacenet")</f>
        <v>0.0</v>
      </c>
      <c r="I2842" s="2" t="n">
        <f>HYPERLINK("https://ppubs.uspto.gov/pubwebapp/external.html?q=20170296504.pn.","USPTO")</f>
        <v>0.0</v>
      </c>
      <c r="J2842" s="2" t="n">
        <f>HYPERLINK("https://image-ppubs.uspto.gov/dirsearch-public/print/downloadPdf/20170296504","USPTO PDF")</f>
        <v>0.0</v>
      </c>
      <c r="K2842" s="2" t="n">
        <f>HYPERLINK("https://sectors.patentforecast.com/pmd/US20170296504","PMD")</f>
        <v>0.0</v>
      </c>
      <c r="L2842" s="2" t="n">
        <f>HYPERLINK("https://globaldossier.uspto.gov/result/application/US/15513735/1","US20170296504")</f>
        <v>0.0</v>
      </c>
      <c r="M2842" t="s">
        <v>18999</v>
      </c>
      <c r="N2842" t="s">
        <v>19000</v>
      </c>
      <c r="O2842" t="s">
        <v>19001</v>
      </c>
      <c r="P2842" t="s">
        <v>19002</v>
      </c>
      <c r="Q2842" s="3" t="n">
        <v>42318.0</v>
      </c>
      <c r="R2842" s="3" t="n">
        <v>43027.0</v>
      </c>
      <c r="S2842" s="3" t="n">
        <v>43900.43738943287</v>
      </c>
      <c r="T2842" s="3" t="n">
        <v>43901.721564467596</v>
      </c>
      <c r="U2842" t="s">
        <v>19003</v>
      </c>
      <c r="V2842" t="s">
        <v>19004</v>
      </c>
    </row>
    <row r="2843">
      <c r="A2843" t="s">
        <v>22</v>
      </c>
      <c r="B2843" t="s">
        <v>19005</v>
      </c>
      <c r="C2843" t="s">
        <v>60</v>
      </c>
      <c r="D2843" t="s">
        <v>61</v>
      </c>
      <c r="E2843" t="s">
        <v>17306</v>
      </c>
      <c r="F2843" s="2" t="n">
        <f>HYPERLINK("https://patents.google.com/patent/US20170290827","Google")</f>
        <v>0.0</v>
      </c>
      <c r="G2843" s="2" t="n">
        <f>HYPERLINK("https://patentcenter.uspto.gov/applications/15488035","Patent Center")</f>
        <v>0.0</v>
      </c>
      <c r="H2843" s="2" t="n">
        <f>HYPERLINK("https://worldwide.espacenet.com/patent/search?q=US20170290827","Espacenet")</f>
        <v>0.0</v>
      </c>
      <c r="I2843" s="2" t="n">
        <f>HYPERLINK("https://ppubs.uspto.gov/pubwebapp/external.html?q=20170290827.pn.","USPTO")</f>
        <v>0.0</v>
      </c>
      <c r="J2843" s="2" t="n">
        <f>HYPERLINK("https://image-ppubs.uspto.gov/dirsearch-public/print/downloadPdf/20170290827","USPTO PDF")</f>
        <v>0.0</v>
      </c>
      <c r="K2843" s="2" t="n">
        <f>HYPERLINK("https://sectors.patentforecast.com/pmd/US20170290827","PMD")</f>
        <v>0.0</v>
      </c>
      <c r="L2843" s="2" t="n">
        <f>HYPERLINK("https://globaldossier.uspto.gov/result/application/US/15488035/1","US20170290827")</f>
        <v>0.0</v>
      </c>
      <c r="M2843" t="s">
        <v>19006</v>
      </c>
      <c r="N2843" t="s">
        <v>664</v>
      </c>
      <c r="O2843" t="s">
        <v>665</v>
      </c>
      <c r="P2843" t="s">
        <v>19007</v>
      </c>
      <c r="Q2843" s="3" t="n">
        <v>42839.0</v>
      </c>
      <c r="R2843" s="3" t="n">
        <v>43020.0</v>
      </c>
      <c r="S2843" s="3" t="n">
        <v>43952.46638479167</v>
      </c>
      <c r="T2843" s="3" t="n">
        <v>44638.65643378472</v>
      </c>
      <c r="U2843" t="s">
        <v>19008</v>
      </c>
      <c r="V2843" t="s">
        <v>17310</v>
      </c>
    </row>
    <row r="2844">
      <c r="A2844" t="s">
        <v>22</v>
      </c>
      <c r="B2844" t="s">
        <v>19009</v>
      </c>
      <c r="C2844" t="s">
        <v>60</v>
      </c>
      <c r="D2844" t="s">
        <v>845</v>
      </c>
      <c r="E2844" t="s">
        <v>19010</v>
      </c>
      <c r="F2844" s="2" t="n">
        <f>HYPERLINK("https://patents.google.com/patent/US20170286616","Google")</f>
        <v>0.0</v>
      </c>
      <c r="G2844" s="2" t="n">
        <f>HYPERLINK("https://patentcenter.uspto.gov/applications/15085366","Patent Center")</f>
        <v>0.0</v>
      </c>
      <c r="H2844" s="2" t="n">
        <f>HYPERLINK("https://worldwide.espacenet.com/patent/search?q=US20170286616","Espacenet")</f>
        <v>0.0</v>
      </c>
      <c r="I2844" s="2" t="n">
        <f>HYPERLINK("https://ppubs.uspto.gov/pubwebapp/external.html?q=20170286616.pn.","USPTO")</f>
        <v>0.0</v>
      </c>
      <c r="J2844" s="2" t="n">
        <f>HYPERLINK("https://image-ppubs.uspto.gov/dirsearch-public/print/downloadPdf/20170286616","USPTO PDF")</f>
        <v>0.0</v>
      </c>
      <c r="K2844" s="2" t="n">
        <f>HYPERLINK("https://sectors.patentforecast.com/pmd/US20170286616","PMD")</f>
        <v>0.0</v>
      </c>
      <c r="L2844" s="2" t="n">
        <f>HYPERLINK("https://globaldossier.uspto.gov/result/application/US/15085366/1","US20170286616")</f>
        <v>0.0</v>
      </c>
      <c r="M2844" t="s">
        <v>19011</v>
      </c>
      <c r="N2844" t="s">
        <v>19012</v>
      </c>
      <c r="O2844" t="s">
        <v>19013</v>
      </c>
      <c r="P2844" t="s">
        <v>19014</v>
      </c>
      <c r="Q2844" s="3" t="n">
        <v>42459.0</v>
      </c>
      <c r="R2844" s="3" t="n">
        <v>43013.0</v>
      </c>
      <c r="S2844" s="3" t="n">
        <v>43908.45862356482</v>
      </c>
      <c r="T2844" s="3" t="n">
        <v>44543.60961349537</v>
      </c>
      <c r="U2844" t="s">
        <v>19015</v>
      </c>
      <c r="V2844" t="s">
        <v>19016</v>
      </c>
    </row>
    <row r="2845">
      <c r="A2845" t="s">
        <v>22</v>
      </c>
      <c r="B2845" t="s">
        <v>19017</v>
      </c>
      <c r="C2845" t="s">
        <v>60</v>
      </c>
      <c r="D2845" t="s">
        <v>61</v>
      </c>
      <c r="E2845" t="s">
        <v>17514</v>
      </c>
      <c r="F2845" s="2" t="n">
        <f>HYPERLINK("https://patents.google.com/patent/US20170283390","Google")</f>
        <v>0.0</v>
      </c>
      <c r="G2845" s="2" t="n">
        <f>HYPERLINK("https://patentcenter.uspto.gov/applications/15582224","Patent Center")</f>
        <v>0.0</v>
      </c>
      <c r="H2845" s="2" t="n">
        <f>HYPERLINK("https://worldwide.espacenet.com/patent/search?q=US20170283390","Espacenet")</f>
        <v>0.0</v>
      </c>
      <c r="I2845" s="2" t="n">
        <f>HYPERLINK("https://ppubs.uspto.gov/pubwebapp/external.html?q=20170283390.pn.","USPTO")</f>
        <v>0.0</v>
      </c>
      <c r="J2845" s="2" t="n">
        <f>HYPERLINK("https://image-ppubs.uspto.gov/dirsearch-public/print/downloadPdf/20170283390","USPTO PDF")</f>
        <v>0.0</v>
      </c>
      <c r="K2845" s="2" t="n">
        <f>HYPERLINK("https://sectors.patentforecast.com/pmd/US20170283390","PMD")</f>
        <v>0.0</v>
      </c>
      <c r="L2845" s="2" t="n">
        <f>HYPERLINK("https://globaldossier.uspto.gov/result/application/US/15582224/1","US20170283390")</f>
        <v>0.0</v>
      </c>
      <c r="M2845" t="s">
        <v>19018</v>
      </c>
      <c r="N2845" t="s">
        <v>664</v>
      </c>
      <c r="O2845" t="s">
        <v>665</v>
      </c>
      <c r="P2845" t="s">
        <v>18398</v>
      </c>
      <c r="Q2845" s="3" t="n">
        <v>42853.0</v>
      </c>
      <c r="R2845" s="3" t="n">
        <v>43013.0</v>
      </c>
      <c r="S2845" s="3" t="n">
        <v>43950.647371782405</v>
      </c>
      <c r="T2845" s="3" t="n">
        <v>44638.65271974537</v>
      </c>
      <c r="U2845" t="s">
        <v>19019</v>
      </c>
      <c r="V2845" t="s">
        <v>17518</v>
      </c>
    </row>
    <row r="2846">
      <c r="A2846" t="s">
        <v>22</v>
      </c>
      <c r="B2846" t="s">
        <v>19020</v>
      </c>
      <c r="C2846" t="s">
        <v>24</v>
      </c>
      <c r="D2846" t="s">
        <v>100</v>
      </c>
      <c r="E2846" t="s">
        <v>19021</v>
      </c>
      <c r="F2846" s="2" t="n">
        <f>HYPERLINK("https://patents.google.com/patent/US20170280949","Google")</f>
        <v>0.0</v>
      </c>
      <c r="G2846" s="2" t="n">
        <f>HYPERLINK("https://patentcenter.uspto.gov/applications/15628713","Patent Center")</f>
        <v>0.0</v>
      </c>
      <c r="H2846" s="2" t="n">
        <f>HYPERLINK("https://worldwide.espacenet.com/patent/search?q=US20170280949","Espacenet")</f>
        <v>0.0</v>
      </c>
      <c r="I2846" s="2" t="n">
        <f>HYPERLINK("https://ppubs.uspto.gov/pubwebapp/external.html?q=20170280949.pn.","USPTO")</f>
        <v>0.0</v>
      </c>
      <c r="J2846" s="2" t="n">
        <f>HYPERLINK("https://image-ppubs.uspto.gov/dirsearch-public/print/downloadPdf/20170280949","USPTO PDF")</f>
        <v>0.0</v>
      </c>
      <c r="K2846" s="2" t="n">
        <f>HYPERLINK("https://sectors.patentforecast.com/pmd/US20170280949","PMD")</f>
        <v>0.0</v>
      </c>
      <c r="L2846" s="2" t="n">
        <f>HYPERLINK("https://globaldossier.uspto.gov/result/application/US/15628713/1","US20170280949")</f>
        <v>0.0</v>
      </c>
      <c r="M2846" t="s">
        <v>19022</v>
      </c>
      <c r="N2846" t="s">
        <v>1444</v>
      </c>
      <c r="O2846" t="s">
        <v>1445</v>
      </c>
      <c r="P2846" t="s">
        <v>19023</v>
      </c>
      <c r="Q2846" s="3" t="n">
        <v>42907.0</v>
      </c>
      <c r="R2846" s="3" t="n">
        <v>43013.0</v>
      </c>
      <c r="S2846" s="3" t="n">
        <v>43266.45736449074</v>
      </c>
      <c r="T2846" s="3" t="n">
        <v>43906.35771765046</v>
      </c>
      <c r="U2846" t="s">
        <v>19024</v>
      </c>
      <c r="V2846" t="s">
        <v>19025</v>
      </c>
    </row>
    <row r="2847">
      <c r="A2847" t="s">
        <v>22</v>
      </c>
      <c r="B2847" t="s">
        <v>19026</v>
      </c>
      <c r="C2847" t="s">
        <v>60</v>
      </c>
      <c r="D2847" t="s">
        <v>61</v>
      </c>
      <c r="E2847" t="s">
        <v>19027</v>
      </c>
      <c r="F2847" s="2" t="n">
        <f>HYPERLINK("https://patents.google.com/patent/US20170273994","Google")</f>
        <v>0.0</v>
      </c>
      <c r="G2847" s="2" t="n">
        <f>HYPERLINK("https://patentcenter.uspto.gov/applications/15622484","Patent Center")</f>
        <v>0.0</v>
      </c>
      <c r="H2847" s="2" t="n">
        <f>HYPERLINK("https://worldwide.espacenet.com/patent/search?q=US20170273994","Espacenet")</f>
        <v>0.0</v>
      </c>
      <c r="I2847" s="2" t="n">
        <f>HYPERLINK("https://ppubs.uspto.gov/pubwebapp/external.html?q=20170273994.pn.","USPTO")</f>
        <v>0.0</v>
      </c>
      <c r="J2847" s="2" t="n">
        <f>HYPERLINK("https://image-ppubs.uspto.gov/dirsearch-public/print/downloadPdf/20170273994","USPTO PDF")</f>
        <v>0.0</v>
      </c>
      <c r="K2847" s="2" t="n">
        <f>HYPERLINK("https://sectors.patentforecast.com/pmd/US20170273994","PMD")</f>
        <v>0.0</v>
      </c>
      <c r="L2847" s="2" t="n">
        <f>HYPERLINK("https://globaldossier.uspto.gov/result/application/US/15622484/1","US20170273994")</f>
        <v>0.0</v>
      </c>
      <c r="M2847" t="s">
        <v>19028</v>
      </c>
      <c r="N2847" t="s">
        <v>664</v>
      </c>
      <c r="O2847" t="s">
        <v>665</v>
      </c>
      <c r="P2847" t="s">
        <v>19029</v>
      </c>
      <c r="Q2847" s="3" t="n">
        <v>42900.0</v>
      </c>
      <c r="R2847" s="3" t="n">
        <v>43006.0</v>
      </c>
      <c r="S2847" s="3" t="n">
        <v>43952.46638479167</v>
      </c>
      <c r="T2847" s="3" t="n">
        <v>44638.65271974537</v>
      </c>
      <c r="U2847" t="s">
        <v>19030</v>
      </c>
      <c r="V2847" t="s">
        <v>19031</v>
      </c>
    </row>
    <row r="2848">
      <c r="A2848" t="s">
        <v>22</v>
      </c>
      <c r="B2848" t="s">
        <v>19032</v>
      </c>
      <c r="C2848" t="s">
        <v>60</v>
      </c>
      <c r="D2848" t="s">
        <v>61</v>
      </c>
      <c r="E2848" t="s">
        <v>19033</v>
      </c>
      <c r="F2848" s="2" t="n">
        <f>HYPERLINK("https://patents.google.com/patent/US20170267694","Google")</f>
        <v>0.0</v>
      </c>
      <c r="G2848" s="2" t="n">
        <f>HYPERLINK("https://patentcenter.uspto.gov/applications/15387318","Patent Center")</f>
        <v>0.0</v>
      </c>
      <c r="H2848" s="2" t="n">
        <f>HYPERLINK("https://worldwide.espacenet.com/patent/search?q=US20170267694","Espacenet")</f>
        <v>0.0</v>
      </c>
      <c r="I2848" s="2" t="n">
        <f>HYPERLINK("https://ppubs.uspto.gov/pubwebapp/external.html?q=20170267694.pn.","USPTO")</f>
        <v>0.0</v>
      </c>
      <c r="J2848" s="2" t="n">
        <f>HYPERLINK("https://image-ppubs.uspto.gov/dirsearch-public/print/downloadPdf/20170267694","USPTO PDF")</f>
        <v>0.0</v>
      </c>
      <c r="K2848" s="2" t="n">
        <f>HYPERLINK("https://sectors.patentforecast.com/pmd/US20170267694","PMD")</f>
        <v>0.0</v>
      </c>
      <c r="L2848" s="2" t="n">
        <f>HYPERLINK("https://globaldossier.uspto.gov/result/application/US/15387318/1","US20170267694")</f>
        <v>0.0</v>
      </c>
      <c r="M2848" t="s">
        <v>19034</v>
      </c>
      <c r="N2848" t="s">
        <v>664</v>
      </c>
      <c r="O2848" t="s">
        <v>665</v>
      </c>
      <c r="P2848" t="s">
        <v>19035</v>
      </c>
      <c r="Q2848" s="3" t="n">
        <v>42725.0</v>
      </c>
      <c r="R2848" s="3" t="n">
        <v>42999.0</v>
      </c>
      <c r="S2848" s="3" t="n">
        <v>43952.46638479167</v>
      </c>
      <c r="T2848" s="3" t="n">
        <v>44638.65271974537</v>
      </c>
      <c r="U2848" t="s">
        <v>19036</v>
      </c>
      <c r="V2848" t="s">
        <v>19037</v>
      </c>
    </row>
    <row r="2849">
      <c r="A2849" t="s">
        <v>22</v>
      </c>
      <c r="B2849" t="s">
        <v>19038</v>
      </c>
      <c r="C2849" t="s">
        <v>60</v>
      </c>
      <c r="D2849" t="s">
        <v>61</v>
      </c>
      <c r="E2849" t="s">
        <v>17846</v>
      </c>
      <c r="F2849" s="2" t="n">
        <f>HYPERLINK("https://patents.google.com/patent/US20170266287","Google")</f>
        <v>0.0</v>
      </c>
      <c r="G2849" s="2" t="n">
        <f>HYPERLINK("https://patentcenter.uspto.gov/applications/15614592","Patent Center")</f>
        <v>0.0</v>
      </c>
      <c r="H2849" s="2" t="n">
        <f>HYPERLINK("https://worldwide.espacenet.com/patent/search?q=US20170266287","Espacenet")</f>
        <v>0.0</v>
      </c>
      <c r="I2849" s="2" t="n">
        <f>HYPERLINK("https://ppubs.uspto.gov/pubwebapp/external.html?q=20170266287.pn.","USPTO")</f>
        <v>0.0</v>
      </c>
      <c r="J2849" s="2" t="n">
        <f>HYPERLINK("https://image-ppubs.uspto.gov/dirsearch-public/print/downloadPdf/20170266287","USPTO PDF")</f>
        <v>0.0</v>
      </c>
      <c r="K2849" s="2" t="n">
        <f>HYPERLINK("https://sectors.patentforecast.com/pmd/US20170266287","PMD")</f>
        <v>0.0</v>
      </c>
      <c r="L2849" s="2" t="n">
        <f>HYPERLINK("https://globaldossier.uspto.gov/result/application/US/15614592/1","US20170266287")</f>
        <v>0.0</v>
      </c>
      <c r="M2849" t="s">
        <v>19039</v>
      </c>
      <c r="N2849" t="s">
        <v>17848</v>
      </c>
      <c r="O2849" t="s">
        <v>17849</v>
      </c>
      <c r="P2849" t="s">
        <v>17850</v>
      </c>
      <c r="Q2849" s="3" t="n">
        <v>42891.0</v>
      </c>
      <c r="R2849" s="3" t="n">
        <v>42999.0</v>
      </c>
      <c r="S2849" s="3" t="n">
        <v>43929.461069930556</v>
      </c>
      <c r="T2849" s="3" t="n">
        <v>43986.46482813657</v>
      </c>
      <c r="U2849" t="s">
        <v>19040</v>
      </c>
      <c r="V2849" t="s">
        <v>17852</v>
      </c>
    </row>
    <row r="2850">
      <c r="A2850" t="s">
        <v>22</v>
      </c>
      <c r="B2850" t="s">
        <v>19041</v>
      </c>
      <c r="C2850" t="s">
        <v>60</v>
      </c>
      <c r="D2850" t="s">
        <v>77</v>
      </c>
      <c r="E2850" t="s">
        <v>19042</v>
      </c>
      <c r="F2850" s="2" t="n">
        <f>HYPERLINK("https://patents.google.com/patent/US20170266282","Google")</f>
        <v>0.0</v>
      </c>
      <c r="G2850" s="2" t="n">
        <f>HYPERLINK("https://patentcenter.uspto.gov/applications/15532162","Patent Center")</f>
        <v>0.0</v>
      </c>
      <c r="H2850" s="2" t="n">
        <f>HYPERLINK("https://worldwide.espacenet.com/patent/search?q=US20170266282","Espacenet")</f>
        <v>0.0</v>
      </c>
      <c r="I2850" s="2" t="n">
        <f>HYPERLINK("https://ppubs.uspto.gov/pubwebapp/external.html?q=20170266282.pn.","USPTO")</f>
        <v>0.0</v>
      </c>
      <c r="J2850" s="2" t="n">
        <f>HYPERLINK("https://image-ppubs.uspto.gov/dirsearch-public/print/downloadPdf/20170266282","USPTO PDF")</f>
        <v>0.0</v>
      </c>
      <c r="K2850" s="2" t="n">
        <f>HYPERLINK("https://sectors.patentforecast.com/pmd/US20170266282","PMD")</f>
        <v>0.0</v>
      </c>
      <c r="L2850" s="2" t="n">
        <f>HYPERLINK("https://globaldossier.uspto.gov/result/application/US/15532162/1","US20170266282")</f>
        <v>0.0</v>
      </c>
      <c r="M2850" t="s">
        <v>19043</v>
      </c>
      <c r="N2850" t="s">
        <v>10151</v>
      </c>
      <c r="O2850" t="s">
        <v>10152</v>
      </c>
      <c r="P2850" t="s">
        <v>19044</v>
      </c>
      <c r="Q2850" s="3" t="n">
        <v>42339.0</v>
      </c>
      <c r="R2850" s="3" t="n">
        <v>42999.0</v>
      </c>
      <c r="S2850" s="3" t="n">
        <v>43936.46037263889</v>
      </c>
      <c r="T2850" s="3" t="n">
        <v>44672.43610230324</v>
      </c>
      <c r="U2850" t="s">
        <v>19045</v>
      </c>
      <c r="V2850" t="s">
        <v>2544</v>
      </c>
    </row>
    <row r="2851">
      <c r="A2851" t="s">
        <v>22</v>
      </c>
      <c r="B2851" t="s">
        <v>19046</v>
      </c>
      <c r="C2851" t="s">
        <v>312</v>
      </c>
      <c r="D2851" t="s">
        <v>313</v>
      </c>
      <c r="E2851" t="s">
        <v>19047</v>
      </c>
      <c r="F2851" s="2" t="n">
        <f>HYPERLINK("https://patents.google.com/patent/US20170262614","Google")</f>
        <v>0.0</v>
      </c>
      <c r="G2851" s="2" t="n">
        <f>HYPERLINK("https://patentcenter.uspto.gov/applications/15355296","Patent Center")</f>
        <v>0.0</v>
      </c>
      <c r="H2851" s="2" t="n">
        <f>HYPERLINK("https://worldwide.espacenet.com/patent/search?q=US20170262614","Espacenet")</f>
        <v>0.0</v>
      </c>
      <c r="I2851" s="2" t="n">
        <f>HYPERLINK("https://ppubs.uspto.gov/pubwebapp/external.html?q=20170262614.pn.","USPTO")</f>
        <v>0.0</v>
      </c>
      <c r="J2851" s="2" t="n">
        <f>HYPERLINK("https://image-ppubs.uspto.gov/dirsearch-public/print/downloadPdf/20170262614","USPTO PDF")</f>
        <v>0.0</v>
      </c>
      <c r="K2851" s="2" t="n">
        <f>HYPERLINK("https://sectors.patentforecast.com/pmd/US20170262614","PMD")</f>
        <v>0.0</v>
      </c>
      <c r="L2851" s="2" t="n">
        <f>HYPERLINK("https://globaldossier.uspto.gov/result/application/US/15355296/1","US20170262614")</f>
        <v>0.0</v>
      </c>
      <c r="M2851" t="s">
        <v>19048</v>
      </c>
      <c r="N2851" t="s">
        <v>19049</v>
      </c>
      <c r="O2851" t="s">
        <v>19050</v>
      </c>
      <c r="P2851" t="s">
        <v>19051</v>
      </c>
      <c r="Q2851" s="3" t="n">
        <v>42692.0</v>
      </c>
      <c r="R2851" s="3" t="n">
        <v>42992.0</v>
      </c>
      <c r="S2851" s="3" t="n">
        <v>43929.461069930556</v>
      </c>
      <c r="T2851" s="3" t="n">
        <v>43986.4730343287</v>
      </c>
      <c r="U2851" t="s">
        <v>19052</v>
      </c>
      <c r="V2851" t="s">
        <v>19053</v>
      </c>
    </row>
    <row r="2852">
      <c r="A2852" t="s">
        <v>22</v>
      </c>
      <c r="B2852" t="s">
        <v>19054</v>
      </c>
      <c r="C2852" t="s">
        <v>132</v>
      </c>
      <c r="D2852" t="s">
        <v>133</v>
      </c>
      <c r="E2852" t="s">
        <v>8399</v>
      </c>
      <c r="F2852" s="2" t="n">
        <f>HYPERLINK("https://patents.google.com/patent/US20170258893","Google")</f>
        <v>0.0</v>
      </c>
      <c r="G2852" s="2" t="n">
        <f>HYPERLINK("https://patentcenter.uspto.gov/applications/15039672","Patent Center")</f>
        <v>0.0</v>
      </c>
      <c r="H2852" s="2" t="n">
        <f>HYPERLINK("https://worldwide.espacenet.com/patent/search?q=US20170258893","Espacenet")</f>
        <v>0.0</v>
      </c>
      <c r="I2852" s="2" t="n">
        <f>HYPERLINK("https://ppubs.uspto.gov/pubwebapp/external.html?q=20170258893.pn.","USPTO")</f>
        <v>0.0</v>
      </c>
      <c r="J2852" s="2" t="n">
        <f>HYPERLINK("https://image-ppubs.uspto.gov/dirsearch-public/print/downloadPdf/20170258893","USPTO PDF")</f>
        <v>0.0</v>
      </c>
      <c r="K2852" s="2" t="n">
        <f>HYPERLINK("https://sectors.patentforecast.com/pmd/US20170258893","PMD")</f>
        <v>0.0</v>
      </c>
      <c r="L2852" s="2" t="n">
        <f>HYPERLINK("https://globaldossier.uspto.gov/result/application/US/15039672/1","US20170258893")</f>
        <v>0.0</v>
      </c>
      <c r="M2852" t="s">
        <v>19055</v>
      </c>
      <c r="N2852" t="s">
        <v>10151</v>
      </c>
      <c r="O2852" t="s">
        <v>10152</v>
      </c>
      <c r="P2852" t="s">
        <v>8401</v>
      </c>
      <c r="Q2852" s="3" t="n">
        <v>41969.0</v>
      </c>
      <c r="R2852" s="3" t="n">
        <v>42992.0</v>
      </c>
      <c r="S2852" s="3" t="n">
        <v>43935.60148506944</v>
      </c>
      <c r="T2852" s="3" t="n">
        <v>43950.46846076389</v>
      </c>
      <c r="U2852" t="s">
        <v>19056</v>
      </c>
      <c r="V2852" t="s">
        <v>8403</v>
      </c>
    </row>
    <row r="2853">
      <c r="A2853" t="s">
        <v>22</v>
      </c>
      <c r="B2853" t="s">
        <v>19057</v>
      </c>
      <c r="C2853" t="s">
        <v>60</v>
      </c>
      <c r="D2853" t="s">
        <v>61</v>
      </c>
      <c r="E2853" t="s">
        <v>19058</v>
      </c>
      <c r="F2853" s="2" t="n">
        <f>HYPERLINK("https://patents.google.com/patent/US20170258876","Google")</f>
        <v>0.0</v>
      </c>
      <c r="G2853" s="2" t="n">
        <f>HYPERLINK("https://patentcenter.uspto.gov/applications/15604523","Patent Center")</f>
        <v>0.0</v>
      </c>
      <c r="H2853" s="2" t="n">
        <f>HYPERLINK("https://worldwide.espacenet.com/patent/search?q=US20170258876","Espacenet")</f>
        <v>0.0</v>
      </c>
      <c r="I2853" s="2" t="n">
        <f>HYPERLINK("https://ppubs.uspto.gov/pubwebapp/external.html?q=20170258876.pn.","USPTO")</f>
        <v>0.0</v>
      </c>
      <c r="J2853" s="2" t="n">
        <f>HYPERLINK("https://image-ppubs.uspto.gov/dirsearch-public/print/downloadPdf/20170258876","USPTO PDF")</f>
        <v>0.0</v>
      </c>
      <c r="K2853" s="2" t="n">
        <f>HYPERLINK("https://sectors.patentforecast.com/pmd/US20170258876","PMD")</f>
        <v>0.0</v>
      </c>
      <c r="L2853" s="2" t="n">
        <f>HYPERLINK("https://globaldossier.uspto.gov/result/application/US/15604523/1","US20170258876")</f>
        <v>0.0</v>
      </c>
      <c r="M2853" t="s">
        <v>19059</v>
      </c>
      <c r="N2853" t="s">
        <v>19060</v>
      </c>
      <c r="O2853" t="s">
        <v>19061</v>
      </c>
      <c r="P2853" t="s">
        <v>19062</v>
      </c>
      <c r="Q2853" s="3" t="n">
        <v>42879.0</v>
      </c>
      <c r="R2853" s="3" t="n">
        <v>42992.0</v>
      </c>
      <c r="S2853" s="3" t="n">
        <v>43900.43738943287</v>
      </c>
      <c r="T2853" s="3" t="n">
        <v>43906.37980549769</v>
      </c>
      <c r="U2853" t="s">
        <v>19063</v>
      </c>
      <c r="V2853" t="s">
        <v>19064</v>
      </c>
    </row>
    <row r="2854">
      <c r="A2854" t="s">
        <v>22</v>
      </c>
      <c r="B2854" t="s">
        <v>19065</v>
      </c>
      <c r="C2854" t="s">
        <v>132</v>
      </c>
      <c r="D2854" t="s">
        <v>1265</v>
      </c>
      <c r="E2854" t="s">
        <v>17930</v>
      </c>
      <c r="F2854" s="2" t="n">
        <f>HYPERLINK("https://patents.google.com/patent/US20170252427","Google")</f>
        <v>0.0</v>
      </c>
      <c r="G2854" s="2" t="n">
        <f>HYPERLINK("https://patentcenter.uspto.gov/applications/15454820","Patent Center")</f>
        <v>0.0</v>
      </c>
      <c r="H2854" s="2" t="n">
        <f>HYPERLINK("https://worldwide.espacenet.com/patent/search?q=US20170252427","Espacenet")</f>
        <v>0.0</v>
      </c>
      <c r="I2854" s="2" t="n">
        <f>HYPERLINK("https://ppubs.uspto.gov/pubwebapp/external.html?q=20170252427.pn.","USPTO")</f>
        <v>0.0</v>
      </c>
      <c r="J2854" s="2" t="n">
        <f>HYPERLINK("https://image-ppubs.uspto.gov/dirsearch-public/print/downloadPdf/20170252427","USPTO PDF")</f>
        <v>0.0</v>
      </c>
      <c r="K2854" s="2" t="n">
        <f>HYPERLINK("https://sectors.patentforecast.com/pmd/US20170252427","PMD")</f>
        <v>0.0</v>
      </c>
      <c r="L2854" s="2" t="n">
        <f>HYPERLINK("https://globaldossier.uspto.gov/result/application/US/15454820/1","US20170252427")</f>
        <v>0.0</v>
      </c>
      <c r="M2854" t="s">
        <v>19066</v>
      </c>
      <c r="N2854" t="s">
        <v>1275</v>
      </c>
      <c r="O2854" t="s">
        <v>1275</v>
      </c>
      <c r="P2854" t="s">
        <v>19067</v>
      </c>
      <c r="Q2854" s="3" t="n">
        <v>42803.0</v>
      </c>
      <c r="R2854" s="3" t="n">
        <v>42985.0</v>
      </c>
      <c r="S2854" s="3" t="n">
        <v>43900.43738943287</v>
      </c>
      <c r="T2854" s="3" t="n">
        <v>43903.4846328125</v>
      </c>
      <c r="U2854" t="s">
        <v>19068</v>
      </c>
      <c r="V2854" t="s">
        <v>17402</v>
      </c>
    </row>
    <row r="2855">
      <c r="A2855" t="s">
        <v>22</v>
      </c>
      <c r="B2855" t="s">
        <v>19069</v>
      </c>
      <c r="C2855" t="s">
        <v>60</v>
      </c>
      <c r="D2855" t="s">
        <v>61</v>
      </c>
      <c r="E2855" t="s">
        <v>19070</v>
      </c>
      <c r="F2855" s="2" t="n">
        <f>HYPERLINK("https://patents.google.com/patent/US20170252347","Google")</f>
        <v>0.0</v>
      </c>
      <c r="G2855" s="2" t="n">
        <f>HYPERLINK("https://patentcenter.uspto.gov/applications/15451938","Patent Center")</f>
        <v>0.0</v>
      </c>
      <c r="H2855" s="2" t="n">
        <f>HYPERLINK("https://worldwide.espacenet.com/patent/search?q=US20170252347","Espacenet")</f>
        <v>0.0</v>
      </c>
      <c r="I2855" s="2" t="n">
        <f>HYPERLINK("https://ppubs.uspto.gov/pubwebapp/external.html?q=20170252347.pn.","USPTO")</f>
        <v>0.0</v>
      </c>
      <c r="J2855" s="2" t="n">
        <f>HYPERLINK("https://image-ppubs.uspto.gov/dirsearch-public/print/downloadPdf/20170252347","USPTO PDF")</f>
        <v>0.0</v>
      </c>
      <c r="K2855" s="2" t="n">
        <f>HYPERLINK("https://sectors.patentforecast.com/pmd/US20170252347","PMD")</f>
        <v>0.0</v>
      </c>
      <c r="L2855" s="2" t="n">
        <f>HYPERLINK("https://globaldossier.uspto.gov/result/application/US/15451938/1","US20170252347")</f>
        <v>0.0</v>
      </c>
      <c r="M2855" t="s">
        <v>19071</v>
      </c>
      <c r="N2855" t="s">
        <v>19072</v>
      </c>
      <c r="O2855" t="s">
        <v>19073</v>
      </c>
      <c r="P2855" t="s">
        <v>19074</v>
      </c>
      <c r="Q2855" s="3" t="n">
        <v>42801.0</v>
      </c>
      <c r="R2855" s="3" t="n">
        <v>42985.0</v>
      </c>
      <c r="S2855" s="3" t="n">
        <v>43929.461069930556</v>
      </c>
      <c r="T2855" s="3" t="n">
        <v>43986.46768815972</v>
      </c>
      <c r="U2855" t="s">
        <v>19075</v>
      </c>
      <c r="V2855" t="s">
        <v>19076</v>
      </c>
    </row>
    <row r="2856">
      <c r="A2856" t="s">
        <v>22</v>
      </c>
      <c r="B2856" t="s">
        <v>19077</v>
      </c>
      <c r="C2856" t="s">
        <v>60</v>
      </c>
      <c r="D2856" t="s">
        <v>61</v>
      </c>
      <c r="E2856" t="s">
        <v>17494</v>
      </c>
      <c r="F2856" s="2" t="n">
        <f>HYPERLINK("https://patents.google.com/patent/US20170247386","Google")</f>
        <v>0.0</v>
      </c>
      <c r="G2856" s="2" t="n">
        <f>HYPERLINK("https://patentcenter.uspto.gov/applications/15459785","Patent Center")</f>
        <v>0.0</v>
      </c>
      <c r="H2856" s="2" t="n">
        <f>HYPERLINK("https://worldwide.espacenet.com/patent/search?q=US20170247386","Espacenet")</f>
        <v>0.0</v>
      </c>
      <c r="I2856" s="2" t="n">
        <f>HYPERLINK("https://ppubs.uspto.gov/pubwebapp/external.html?q=20170247386.pn.","USPTO")</f>
        <v>0.0</v>
      </c>
      <c r="J2856" s="2" t="n">
        <f>HYPERLINK("https://image-ppubs.uspto.gov/dirsearch-public/print/downloadPdf/20170247386","USPTO PDF")</f>
        <v>0.0</v>
      </c>
      <c r="K2856" s="2" t="n">
        <f>HYPERLINK("https://sectors.patentforecast.com/pmd/US20170247386","PMD")</f>
        <v>0.0</v>
      </c>
      <c r="L2856" s="2" t="n">
        <f>HYPERLINK("https://globaldossier.uspto.gov/result/application/US/15459785/1","US20170247386")</f>
        <v>0.0</v>
      </c>
      <c r="M2856" t="s">
        <v>19078</v>
      </c>
      <c r="N2856" t="s">
        <v>664</v>
      </c>
      <c r="O2856" t="s">
        <v>665</v>
      </c>
      <c r="P2856" t="s">
        <v>17496</v>
      </c>
      <c r="Q2856" s="3" t="n">
        <v>42809.0</v>
      </c>
      <c r="R2856" s="3" t="n">
        <v>42978.0</v>
      </c>
      <c r="S2856" s="3" t="n">
        <v>43952.46638479167</v>
      </c>
      <c r="T2856" s="3" t="n">
        <v>44638.65271974537</v>
      </c>
      <c r="U2856" t="s">
        <v>19079</v>
      </c>
      <c r="V2856" t="s">
        <v>19080</v>
      </c>
    </row>
    <row r="2857">
      <c r="A2857" t="s">
        <v>22</v>
      </c>
      <c r="B2857" t="s">
        <v>19081</v>
      </c>
      <c r="C2857" t="s">
        <v>60</v>
      </c>
      <c r="D2857" t="s">
        <v>845</v>
      </c>
      <c r="E2857" t="s">
        <v>19082</v>
      </c>
      <c r="F2857" s="2" t="n">
        <f>HYPERLINK("https://patents.google.com/patent/US20170242970","Google")</f>
        <v>0.0</v>
      </c>
      <c r="G2857" s="2" t="n">
        <f>HYPERLINK("https://patentcenter.uspto.gov/applications/15052195","Patent Center")</f>
        <v>0.0</v>
      </c>
      <c r="H2857" s="2" t="n">
        <f>HYPERLINK("https://worldwide.espacenet.com/patent/search?q=US20170242970","Espacenet")</f>
        <v>0.0</v>
      </c>
      <c r="I2857" s="2" t="n">
        <f>HYPERLINK("https://ppubs.uspto.gov/pubwebapp/external.html?q=20170242970.pn.","USPTO")</f>
        <v>0.0</v>
      </c>
      <c r="J2857" s="2" t="n">
        <f>HYPERLINK("https://image-ppubs.uspto.gov/dirsearch-public/print/downloadPdf/20170242970","USPTO PDF")</f>
        <v>0.0</v>
      </c>
      <c r="K2857" s="2" t="n">
        <f>HYPERLINK("https://sectors.patentforecast.com/pmd/US20170242970","PMD")</f>
        <v>0.0</v>
      </c>
      <c r="L2857" s="2" t="n">
        <f>HYPERLINK("https://globaldossier.uspto.gov/result/application/US/15052195/1","US20170242970")</f>
        <v>0.0</v>
      </c>
      <c r="M2857" t="s">
        <v>19083</v>
      </c>
      <c r="N2857" t="s">
        <v>17373</v>
      </c>
      <c r="O2857" t="s">
        <v>17374</v>
      </c>
      <c r="P2857" t="s">
        <v>19084</v>
      </c>
      <c r="Q2857" s="3" t="n">
        <v>42424.0</v>
      </c>
      <c r="R2857" s="3" t="n">
        <v>42971.0</v>
      </c>
      <c r="S2857" s="3" t="n">
        <v>43908.45862356482</v>
      </c>
      <c r="T2857" s="3" t="n">
        <v>44543.604976469906</v>
      </c>
      <c r="U2857" t="s">
        <v>19085</v>
      </c>
      <c r="V2857" t="s">
        <v>19086</v>
      </c>
    </row>
    <row r="2858">
      <c r="A2858" t="s">
        <v>22</v>
      </c>
      <c r="B2858" t="s">
        <v>19087</v>
      </c>
      <c r="C2858" t="s">
        <v>24</v>
      </c>
      <c r="D2858" t="s">
        <v>25</v>
      </c>
      <c r="E2858" t="s">
        <v>19088</v>
      </c>
      <c r="F2858" s="2" t="n">
        <f>HYPERLINK("https://patents.google.com/patent/US20170241949","Google")</f>
        <v>0.0</v>
      </c>
      <c r="G2858" s="2" t="n">
        <f>HYPERLINK("https://patentcenter.uspto.gov/applications/15472248","Patent Center")</f>
        <v>0.0</v>
      </c>
      <c r="H2858" s="2" t="n">
        <f>HYPERLINK("https://worldwide.espacenet.com/patent/search?q=US20170241949","Espacenet")</f>
        <v>0.0</v>
      </c>
      <c r="I2858" s="2" t="n">
        <f>HYPERLINK("https://ppubs.uspto.gov/pubwebapp/external.html?q=20170241949.pn.","USPTO")</f>
        <v>0.0</v>
      </c>
      <c r="J2858" s="2" t="n">
        <f>HYPERLINK("https://image-ppubs.uspto.gov/dirsearch-public/print/downloadPdf/20170241949","USPTO PDF")</f>
        <v>0.0</v>
      </c>
      <c r="K2858" s="2" t="n">
        <f>HYPERLINK("https://sectors.patentforecast.com/pmd/US20170241949","PMD")</f>
        <v>0.0</v>
      </c>
      <c r="L2858" s="2" t="n">
        <f>HYPERLINK("https://globaldossier.uspto.gov/result/application/US/15472248/1","US20170241949")</f>
        <v>0.0</v>
      </c>
      <c r="M2858" t="s">
        <v>19089</v>
      </c>
      <c r="N2858" t="s">
        <v>19090</v>
      </c>
      <c r="O2858" t="s">
        <v>19091</v>
      </c>
      <c r="P2858" t="s">
        <v>19092</v>
      </c>
      <c r="Q2858" s="3" t="n">
        <v>42822.0</v>
      </c>
      <c r="R2858" s="3" t="n">
        <v>42971.0</v>
      </c>
      <c r="S2858" s="3" t="n">
        <v>43929.461069930556</v>
      </c>
      <c r="T2858" s="3" t="n">
        <v>43986.45175181713</v>
      </c>
      <c r="U2858" t="s">
        <v>19093</v>
      </c>
      <c r="V2858" t="s">
        <v>19094</v>
      </c>
    </row>
    <row r="2859">
      <c r="A2859" t="s">
        <v>22</v>
      </c>
      <c r="B2859" t="s">
        <v>19095</v>
      </c>
      <c r="C2859" t="s">
        <v>132</v>
      </c>
      <c r="D2859" t="s">
        <v>17610</v>
      </c>
      <c r="E2859" t="s">
        <v>17611</v>
      </c>
      <c r="F2859" s="2" t="n">
        <f>HYPERLINK("https://patents.google.com/patent/US20170232098","Google")</f>
        <v>0.0</v>
      </c>
      <c r="G2859" s="2" t="n">
        <f>HYPERLINK("https://patentcenter.uspto.gov/applications/15581473","Patent Center")</f>
        <v>0.0</v>
      </c>
      <c r="H2859" s="2" t="n">
        <f>HYPERLINK("https://worldwide.espacenet.com/patent/search?q=US20170232098","Espacenet")</f>
        <v>0.0</v>
      </c>
      <c r="I2859" s="2" t="n">
        <f>HYPERLINK("https://ppubs.uspto.gov/pubwebapp/external.html?q=20170232098.pn.","USPTO")</f>
        <v>0.0</v>
      </c>
      <c r="J2859" s="2" t="n">
        <f>HYPERLINK("https://image-ppubs.uspto.gov/dirsearch-public/print/downloadPdf/20170232098","USPTO PDF")</f>
        <v>0.0</v>
      </c>
      <c r="K2859" s="2" t="n">
        <f>HYPERLINK("https://sectors.patentforecast.com/pmd/US20170232098","PMD")</f>
        <v>0.0</v>
      </c>
      <c r="L2859" s="2" t="n">
        <f>HYPERLINK("https://globaldossier.uspto.gov/result/application/US/15581473/1","US20170232098")</f>
        <v>0.0</v>
      </c>
      <c r="M2859" t="s">
        <v>19096</v>
      </c>
      <c r="N2859" t="s">
        <v>1080</v>
      </c>
      <c r="O2859" t="s">
        <v>1081</v>
      </c>
      <c r="P2859" t="s">
        <v>19097</v>
      </c>
      <c r="Q2859" s="3" t="n">
        <v>42853.0</v>
      </c>
      <c r="R2859" s="3" t="n">
        <v>42964.0</v>
      </c>
      <c r="S2859" s="3" t="n">
        <v>43900.43738943287</v>
      </c>
      <c r="T2859" s="3" t="n">
        <v>43901.721565231484</v>
      </c>
      <c r="U2859" t="s">
        <v>19098</v>
      </c>
      <c r="V2859" t="s">
        <v>17615</v>
      </c>
    </row>
    <row r="2860">
      <c r="A2860" t="s">
        <v>22</v>
      </c>
      <c r="B2860" t="s">
        <v>19099</v>
      </c>
      <c r="C2860" t="s">
        <v>132</v>
      </c>
      <c r="D2860" t="s">
        <v>1265</v>
      </c>
      <c r="E2860" t="s">
        <v>17930</v>
      </c>
      <c r="F2860" s="2" t="n">
        <f>HYPERLINK("https://patents.google.com/patent/US20170232095","Google")</f>
        <v>0.0</v>
      </c>
      <c r="G2860" s="2" t="n">
        <f>HYPERLINK("https://patentcenter.uspto.gov/applications/15332330","Patent Center")</f>
        <v>0.0</v>
      </c>
      <c r="H2860" s="2" t="n">
        <f>HYPERLINK("https://worldwide.espacenet.com/patent/search?q=US20170232095","Espacenet")</f>
        <v>0.0</v>
      </c>
      <c r="I2860" s="2" t="n">
        <f>HYPERLINK("https://ppubs.uspto.gov/pubwebapp/external.html?q=20170232095.pn.","USPTO")</f>
        <v>0.0</v>
      </c>
      <c r="J2860" s="2" t="n">
        <f>HYPERLINK("https://image-ppubs.uspto.gov/dirsearch-public/print/downloadPdf/20170232095","USPTO PDF")</f>
        <v>0.0</v>
      </c>
      <c r="K2860" s="2" t="n">
        <f>HYPERLINK("https://sectors.patentforecast.com/pmd/US20170232095","PMD")</f>
        <v>0.0</v>
      </c>
      <c r="L2860" s="2" t="n">
        <f>HYPERLINK("https://globaldossier.uspto.gov/result/application/US/15332330/1","US20170232095")</f>
        <v>0.0</v>
      </c>
      <c r="M2860" t="s">
        <v>19100</v>
      </c>
      <c r="N2860" t="s">
        <v>1275</v>
      </c>
      <c r="O2860" t="s">
        <v>1275</v>
      </c>
      <c r="P2860" t="s">
        <v>19101</v>
      </c>
      <c r="Q2860" s="3" t="n">
        <v>42667.0</v>
      </c>
      <c r="R2860" s="3" t="n">
        <v>42964.0</v>
      </c>
      <c r="S2860" s="3" t="n">
        <v>44019.68541525463</v>
      </c>
      <c r="T2860" s="3" t="n">
        <v>44020.62071973379</v>
      </c>
      <c r="U2860" t="s">
        <v>19102</v>
      </c>
      <c r="V2860" t="s">
        <v>19103</v>
      </c>
    </row>
    <row r="2861">
      <c r="A2861" t="s">
        <v>22</v>
      </c>
      <c r="B2861" t="s">
        <v>19104</v>
      </c>
      <c r="C2861" t="s">
        <v>60</v>
      </c>
      <c r="D2861" t="s">
        <v>61</v>
      </c>
      <c r="E2861" t="s">
        <v>19027</v>
      </c>
      <c r="F2861" s="2" t="n">
        <f>HYPERLINK("https://patents.google.com/patent/US20170232019","Google")</f>
        <v>0.0</v>
      </c>
      <c r="G2861" s="2" t="n">
        <f>HYPERLINK("https://patentcenter.uspto.gov/applications/15586500","Patent Center")</f>
        <v>0.0</v>
      </c>
      <c r="H2861" s="2" t="n">
        <f>HYPERLINK("https://worldwide.espacenet.com/patent/search?q=US20170232019","Espacenet")</f>
        <v>0.0</v>
      </c>
      <c r="I2861" s="2" t="n">
        <f>HYPERLINK("https://ppubs.uspto.gov/pubwebapp/external.html?q=20170232019.pn.","USPTO")</f>
        <v>0.0</v>
      </c>
      <c r="J2861" s="2" t="n">
        <f>HYPERLINK("https://image-ppubs.uspto.gov/dirsearch-public/print/downloadPdf/20170232019","USPTO PDF")</f>
        <v>0.0</v>
      </c>
      <c r="K2861" s="2" t="n">
        <f>HYPERLINK("https://sectors.patentforecast.com/pmd/US20170232019","PMD")</f>
        <v>0.0</v>
      </c>
      <c r="L2861" s="2" t="n">
        <f>HYPERLINK("https://globaldossier.uspto.gov/result/application/US/15586500/1","US20170232019")</f>
        <v>0.0</v>
      </c>
      <c r="M2861" t="s">
        <v>19105</v>
      </c>
      <c r="N2861" t="s">
        <v>664</v>
      </c>
      <c r="O2861" t="s">
        <v>665</v>
      </c>
      <c r="P2861" t="s">
        <v>19029</v>
      </c>
      <c r="Q2861" s="3" t="n">
        <v>42859.0</v>
      </c>
      <c r="R2861" s="3" t="n">
        <v>42964.0</v>
      </c>
      <c r="S2861" s="3" t="n">
        <v>43952.46638479167</v>
      </c>
      <c r="T2861" s="3" t="n">
        <v>44638.65271974537</v>
      </c>
      <c r="U2861" t="s">
        <v>19106</v>
      </c>
      <c r="V2861" t="s">
        <v>19031</v>
      </c>
    </row>
    <row r="2862">
      <c r="A2862" t="s">
        <v>22</v>
      </c>
      <c r="B2862" t="s">
        <v>19107</v>
      </c>
      <c r="C2862" t="s">
        <v>60</v>
      </c>
      <c r="D2862" t="s">
        <v>696</v>
      </c>
      <c r="E2862" t="s">
        <v>19108</v>
      </c>
      <c r="F2862" s="2" t="n">
        <f>HYPERLINK("https://patents.google.com/patent/US20170226215","Google")</f>
        <v>0.0</v>
      </c>
      <c r="G2862" s="2" t="n">
        <f>HYPERLINK("https://patentcenter.uspto.gov/applications/15050215","Patent Center")</f>
        <v>0.0</v>
      </c>
      <c r="H2862" s="2" t="n">
        <f>HYPERLINK("https://worldwide.espacenet.com/patent/search?q=US20170226215","Espacenet")</f>
        <v>0.0</v>
      </c>
      <c r="I2862" s="2" t="n">
        <f>HYPERLINK("https://ppubs.uspto.gov/pubwebapp/external.html?q=20170226215.pn.","USPTO")</f>
        <v>0.0</v>
      </c>
      <c r="J2862" s="2" t="n">
        <f>HYPERLINK("https://image-ppubs.uspto.gov/dirsearch-public/print/downloadPdf/20170226215","USPTO PDF")</f>
        <v>0.0</v>
      </c>
      <c r="K2862" s="2" t="n">
        <f>HYPERLINK("https://sectors.patentforecast.com/pmd/US20170226215","PMD")</f>
        <v>0.0</v>
      </c>
      <c r="L2862" s="2" t="n">
        <f>HYPERLINK("https://globaldossier.uspto.gov/result/application/US/15050215/1","US20170226215")</f>
        <v>0.0</v>
      </c>
      <c r="M2862" t="s">
        <v>19109</v>
      </c>
      <c r="N2862" t="s">
        <v>385</v>
      </c>
      <c r="O2862" t="s">
        <v>386</v>
      </c>
      <c r="P2862" t="s">
        <v>17710</v>
      </c>
      <c r="Q2862" s="3" t="n">
        <v>42422.0</v>
      </c>
      <c r="R2862" s="3" t="n">
        <v>42957.0</v>
      </c>
      <c r="S2862" s="3" t="n">
        <v>44004.3759275</v>
      </c>
      <c r="T2862" s="3" t="n">
        <v>44678.623324849534</v>
      </c>
      <c r="U2862" t="s">
        <v>19110</v>
      </c>
      <c r="V2862" t="s">
        <v>7435</v>
      </c>
    </row>
    <row r="2863">
      <c r="A2863" t="s">
        <v>22</v>
      </c>
      <c r="B2863" t="s">
        <v>19111</v>
      </c>
      <c r="C2863" t="s">
        <v>60</v>
      </c>
      <c r="D2863" t="s">
        <v>61</v>
      </c>
      <c r="E2863" t="s">
        <v>19112</v>
      </c>
      <c r="F2863" s="2" t="n">
        <f>HYPERLINK("https://patents.google.com/patent/US20170226140","Google")</f>
        <v>0.0</v>
      </c>
      <c r="G2863" s="2" t="n">
        <f>HYPERLINK("https://patentcenter.uspto.gov/applications/15414351","Patent Center")</f>
        <v>0.0</v>
      </c>
      <c r="H2863" s="2" t="n">
        <f>HYPERLINK("https://worldwide.espacenet.com/patent/search?q=US20170226140","Espacenet")</f>
        <v>0.0</v>
      </c>
      <c r="I2863" s="2" t="n">
        <f>HYPERLINK("https://ppubs.uspto.gov/pubwebapp/external.html?q=20170226140.pn.","USPTO")</f>
        <v>0.0</v>
      </c>
      <c r="J2863" s="2" t="n">
        <f>HYPERLINK("https://image-ppubs.uspto.gov/dirsearch-public/print/downloadPdf/20170226140","USPTO PDF")</f>
        <v>0.0</v>
      </c>
      <c r="K2863" s="2" t="n">
        <f>HYPERLINK("https://sectors.patentforecast.com/pmd/US20170226140","PMD")</f>
        <v>0.0</v>
      </c>
      <c r="L2863" s="2" t="n">
        <f>HYPERLINK("https://globaldossier.uspto.gov/result/application/US/15414351/1","US20170226140")</f>
        <v>0.0</v>
      </c>
      <c r="M2863" t="s">
        <v>19113</v>
      </c>
      <c r="N2863" t="s">
        <v>664</v>
      </c>
      <c r="O2863" t="s">
        <v>665</v>
      </c>
      <c r="P2863" t="s">
        <v>19114</v>
      </c>
      <c r="Q2863" s="3" t="n">
        <v>42759.0</v>
      </c>
      <c r="R2863" s="3" t="n">
        <v>42957.0</v>
      </c>
      <c r="S2863" s="3" t="n">
        <v>43952.46638479167</v>
      </c>
      <c r="T2863" s="3" t="n">
        <v>44638.65271974537</v>
      </c>
      <c r="U2863" t="s">
        <v>19115</v>
      </c>
      <c r="V2863" t="s">
        <v>19116</v>
      </c>
    </row>
    <row r="2864">
      <c r="A2864" t="s">
        <v>22</v>
      </c>
      <c r="B2864" t="s">
        <v>19117</v>
      </c>
      <c r="C2864" t="s">
        <v>132</v>
      </c>
      <c r="D2864" t="s">
        <v>133</v>
      </c>
      <c r="E2864" t="s">
        <v>133</v>
      </c>
      <c r="F2864" s="2" t="n">
        <f>HYPERLINK("https://patents.google.com/patent/US20170216427","Google")</f>
        <v>0.0</v>
      </c>
      <c r="G2864" s="2" t="n">
        <f>HYPERLINK("https://patentcenter.uspto.gov/applications/15328179","Patent Center")</f>
        <v>0.0</v>
      </c>
      <c r="H2864" s="2" t="n">
        <f>HYPERLINK("https://worldwide.espacenet.com/patent/search?q=US20170216427","Espacenet")</f>
        <v>0.0</v>
      </c>
      <c r="I2864" s="2" t="n">
        <f>HYPERLINK("https://ppubs.uspto.gov/pubwebapp/external.html?q=20170216427.pn.","USPTO")</f>
        <v>0.0</v>
      </c>
      <c r="J2864" s="2" t="n">
        <f>HYPERLINK("https://image-ppubs.uspto.gov/dirsearch-public/print/downloadPdf/20170216427","USPTO PDF")</f>
        <v>0.0</v>
      </c>
      <c r="K2864" s="2" t="n">
        <f>HYPERLINK("https://sectors.patentforecast.com/pmd/US20170216427","PMD")</f>
        <v>0.0</v>
      </c>
      <c r="L2864" s="2" t="n">
        <f>HYPERLINK("https://globaldossier.uspto.gov/result/application/US/15328179/1","US20170216427")</f>
        <v>0.0</v>
      </c>
      <c r="M2864" t="s">
        <v>19118</v>
      </c>
      <c r="N2864" t="s">
        <v>17951</v>
      </c>
      <c r="O2864" t="s">
        <v>17951</v>
      </c>
      <c r="P2864" t="s">
        <v>17952</v>
      </c>
      <c r="Q2864" s="3" t="n">
        <v>42208.0</v>
      </c>
      <c r="R2864" s="3" t="n">
        <v>42950.0</v>
      </c>
      <c r="S2864" s="3" t="n">
        <v>43935.7041706713</v>
      </c>
      <c r="T2864" s="3" t="n">
        <v>43950.46202774306</v>
      </c>
      <c r="U2864" t="s">
        <v>19119</v>
      </c>
      <c r="V2864" t="s">
        <v>19120</v>
      </c>
    </row>
    <row r="2865">
      <c r="A2865" t="s">
        <v>22</v>
      </c>
      <c r="B2865" t="s">
        <v>19121</v>
      </c>
      <c r="C2865" t="s">
        <v>60</v>
      </c>
      <c r="D2865" t="s">
        <v>61</v>
      </c>
      <c r="E2865" t="s">
        <v>17354</v>
      </c>
      <c r="F2865" s="2" t="n">
        <f>HYPERLINK("https://patents.google.com/patent/US20170210770","Google")</f>
        <v>0.0</v>
      </c>
      <c r="G2865" s="2" t="n">
        <f>HYPERLINK("https://patentcenter.uspto.gov/applications/15402857","Patent Center")</f>
        <v>0.0</v>
      </c>
      <c r="H2865" s="2" t="n">
        <f>HYPERLINK("https://worldwide.espacenet.com/patent/search?q=US20170210770","Espacenet")</f>
        <v>0.0</v>
      </c>
      <c r="I2865" s="2" t="n">
        <f>HYPERLINK("https://ppubs.uspto.gov/pubwebapp/external.html?q=20170210770.pn.","USPTO")</f>
        <v>0.0</v>
      </c>
      <c r="J2865" s="2" t="n">
        <f>HYPERLINK("https://image-ppubs.uspto.gov/dirsearch-public/print/downloadPdf/20170210770","USPTO PDF")</f>
        <v>0.0</v>
      </c>
      <c r="K2865" s="2" t="n">
        <f>HYPERLINK("https://sectors.patentforecast.com/pmd/US20170210770","PMD")</f>
        <v>0.0</v>
      </c>
      <c r="L2865" s="2" t="n">
        <f>HYPERLINK("https://globaldossier.uspto.gov/result/application/US/15402857/1","US20170210770")</f>
        <v>0.0</v>
      </c>
      <c r="M2865" t="s">
        <v>19122</v>
      </c>
      <c r="N2865" t="s">
        <v>664</v>
      </c>
      <c r="O2865" t="s">
        <v>665</v>
      </c>
      <c r="P2865" t="s">
        <v>17356</v>
      </c>
      <c r="Q2865" s="3" t="n">
        <v>42745.0</v>
      </c>
      <c r="R2865" s="3" t="n">
        <v>42943.0</v>
      </c>
      <c r="S2865" s="3" t="n">
        <v>43952.46638479167</v>
      </c>
      <c r="T2865" s="3" t="n">
        <v>44638.662781747684</v>
      </c>
      <c r="U2865" t="s">
        <v>19123</v>
      </c>
      <c r="V2865" t="s">
        <v>17358</v>
      </c>
    </row>
    <row r="2866">
      <c r="A2866" t="s">
        <v>22</v>
      </c>
      <c r="B2866" t="s">
        <v>19124</v>
      </c>
      <c r="C2866" t="s">
        <v>60</v>
      </c>
      <c r="D2866" t="s">
        <v>61</v>
      </c>
      <c r="E2866" t="s">
        <v>19125</v>
      </c>
      <c r="F2866" s="2" t="n">
        <f>HYPERLINK("https://patents.google.com/patent/US20170210756","Google")</f>
        <v>0.0</v>
      </c>
      <c r="G2866" s="2" t="n">
        <f>HYPERLINK("https://patentcenter.uspto.gov/applications/15227527","Patent Center")</f>
        <v>0.0</v>
      </c>
      <c r="H2866" s="2" t="n">
        <f>HYPERLINK("https://worldwide.espacenet.com/patent/search?q=US20170210756","Espacenet")</f>
        <v>0.0</v>
      </c>
      <c r="I2866" s="2" t="n">
        <f>HYPERLINK("https://ppubs.uspto.gov/pubwebapp/external.html?q=20170210756.pn.","USPTO")</f>
        <v>0.0</v>
      </c>
      <c r="J2866" s="2" t="n">
        <f>HYPERLINK("https://image-ppubs.uspto.gov/dirsearch-public/print/downloadPdf/20170210756","USPTO PDF")</f>
        <v>0.0</v>
      </c>
      <c r="K2866" s="2" t="n">
        <f>HYPERLINK("https://sectors.patentforecast.com/pmd/US20170210756","PMD")</f>
        <v>0.0</v>
      </c>
      <c r="L2866" s="2" t="n">
        <f>HYPERLINK("https://globaldossier.uspto.gov/result/application/US/15227527/1","US20170210756")</f>
        <v>0.0</v>
      </c>
      <c r="M2866" t="s">
        <v>19126</v>
      </c>
      <c r="N2866" t="s">
        <v>664</v>
      </c>
      <c r="O2866" t="s">
        <v>665</v>
      </c>
      <c r="P2866" t="s">
        <v>19127</v>
      </c>
      <c r="Q2866" s="3" t="n">
        <v>42585.0</v>
      </c>
      <c r="R2866" s="3" t="n">
        <v>42943.0</v>
      </c>
      <c r="S2866" s="3" t="n">
        <v>43950.647371782405</v>
      </c>
      <c r="T2866" s="3" t="n">
        <v>44638.65271974537</v>
      </c>
      <c r="U2866" t="s">
        <v>19128</v>
      </c>
      <c r="V2866" t="s">
        <v>19129</v>
      </c>
    </row>
    <row r="2867">
      <c r="A2867" t="s">
        <v>22</v>
      </c>
      <c r="B2867" t="s">
        <v>19130</v>
      </c>
      <c r="C2867" t="s">
        <v>24</v>
      </c>
      <c r="D2867" t="s">
        <v>43</v>
      </c>
      <c r="E2867" t="s">
        <v>19131</v>
      </c>
      <c r="F2867" s="2" t="n">
        <f>HYPERLINK("https://patents.google.com/patent/US20170209102","Google")</f>
        <v>0.0</v>
      </c>
      <c r="G2867" s="2" t="n">
        <f>HYPERLINK("https://patentcenter.uspto.gov/applications/15006214","Patent Center")</f>
        <v>0.0</v>
      </c>
      <c r="H2867" s="2" t="n">
        <f>HYPERLINK("https://worldwide.espacenet.com/patent/search?q=US20170209102","Espacenet")</f>
        <v>0.0</v>
      </c>
      <c r="I2867" s="2" t="n">
        <f>HYPERLINK("https://ppubs.uspto.gov/pubwebapp/external.html?q=20170209102.pn.","USPTO")</f>
        <v>0.0</v>
      </c>
      <c r="J2867" s="2" t="n">
        <f>HYPERLINK("https://image-ppubs.uspto.gov/dirsearch-public/print/downloadPdf/20170209102","USPTO PDF")</f>
        <v>0.0</v>
      </c>
      <c r="K2867" s="2" t="n">
        <f>HYPERLINK("https://sectors.patentforecast.com/pmd/US20170209102","PMD")</f>
        <v>0.0</v>
      </c>
      <c r="L2867" s="2" t="n">
        <f>HYPERLINK("https://globaldossier.uspto.gov/result/application/US/15006214/1","US20170209102")</f>
        <v>0.0</v>
      </c>
      <c r="M2867" t="s">
        <v>19132</v>
      </c>
      <c r="N2867" t="s">
        <v>947</v>
      </c>
      <c r="O2867" t="s">
        <v>948</v>
      </c>
      <c r="P2867" t="s">
        <v>19133</v>
      </c>
      <c r="Q2867" s="3" t="n">
        <v>42395.0</v>
      </c>
      <c r="R2867" s="3" t="n">
        <v>42943.0</v>
      </c>
      <c r="S2867" s="3" t="n">
        <v>43977.48669230324</v>
      </c>
      <c r="T2867" s="3" t="n">
        <v>43977.490447662036</v>
      </c>
      <c r="U2867" t="s">
        <v>19134</v>
      </c>
      <c r="V2867" t="s">
        <v>19135</v>
      </c>
    </row>
    <row r="2868">
      <c r="A2868" t="s">
        <v>22</v>
      </c>
      <c r="B2868" t="s">
        <v>19136</v>
      </c>
      <c r="C2868" t="s">
        <v>24</v>
      </c>
      <c r="D2868" t="s">
        <v>43</v>
      </c>
      <c r="E2868" t="s">
        <v>15885</v>
      </c>
      <c r="F2868" s="2" t="n">
        <f>HYPERLINK("https://patents.google.com/patent/US20170206334","Google")</f>
        <v>0.0</v>
      </c>
      <c r="G2868" s="2" t="n">
        <f>HYPERLINK("https://patentcenter.uspto.gov/applications/15405321","Patent Center")</f>
        <v>0.0</v>
      </c>
      <c r="H2868" s="2" t="n">
        <f>HYPERLINK("https://worldwide.espacenet.com/patent/search?q=US20170206334","Espacenet")</f>
        <v>0.0</v>
      </c>
      <c r="I2868" s="2" t="n">
        <f>HYPERLINK("https://ppubs.uspto.gov/pubwebapp/external.html?q=20170206334.pn.","USPTO")</f>
        <v>0.0</v>
      </c>
      <c r="J2868" s="2" t="n">
        <f>HYPERLINK("https://image-ppubs.uspto.gov/dirsearch-public/print/downloadPdf/20170206334","USPTO PDF")</f>
        <v>0.0</v>
      </c>
      <c r="K2868" s="2" t="n">
        <f>HYPERLINK("https://sectors.patentforecast.com/pmd/US20170206334","PMD")</f>
        <v>0.0</v>
      </c>
      <c r="L2868" s="2" t="n">
        <f>HYPERLINK("https://globaldossier.uspto.gov/result/application/US/15405321/1","US20170206334")</f>
        <v>0.0</v>
      </c>
      <c r="M2868" t="s">
        <v>19137</v>
      </c>
      <c r="N2868" t="s">
        <v>15887</v>
      </c>
      <c r="O2868" t="s">
        <v>15888</v>
      </c>
      <c r="P2868" t="s">
        <v>15889</v>
      </c>
      <c r="Q2868" s="3" t="n">
        <v>42748.0</v>
      </c>
      <c r="R2868" s="3" t="n">
        <v>42936.0</v>
      </c>
      <c r="S2868" s="3" t="n">
        <v>43977.501391226855</v>
      </c>
      <c r="T2868" s="3" t="n">
        <v>43977.554967476855</v>
      </c>
      <c r="U2868" t="s">
        <v>19138</v>
      </c>
      <c r="V2868" t="s">
        <v>19139</v>
      </c>
    </row>
    <row r="2869">
      <c r="A2869" t="s">
        <v>22</v>
      </c>
      <c r="B2869" t="s">
        <v>19140</v>
      </c>
      <c r="C2869" t="s">
        <v>132</v>
      </c>
      <c r="D2869" t="s">
        <v>2629</v>
      </c>
      <c r="E2869" t="s">
        <v>19141</v>
      </c>
      <c r="F2869" s="2" t="n">
        <f>HYPERLINK("https://patents.google.com/patent/US20170204361","Google")</f>
        <v>0.0</v>
      </c>
      <c r="G2869" s="2" t="n">
        <f>HYPERLINK("https://patentcenter.uspto.gov/applications/15326955","Patent Center")</f>
        <v>0.0</v>
      </c>
      <c r="H2869" s="2" t="n">
        <f>HYPERLINK("https://worldwide.espacenet.com/patent/search?q=US20170204361","Espacenet")</f>
        <v>0.0</v>
      </c>
      <c r="I2869" s="2" t="n">
        <f>HYPERLINK("https://ppubs.uspto.gov/pubwebapp/external.html?q=20170204361.pn.","USPTO")</f>
        <v>0.0</v>
      </c>
      <c r="J2869" s="2" t="n">
        <f>HYPERLINK("https://image-ppubs.uspto.gov/dirsearch-public/print/downloadPdf/20170204361","USPTO PDF")</f>
        <v>0.0</v>
      </c>
      <c r="K2869" s="2" t="n">
        <f>HYPERLINK("https://sectors.patentforecast.com/pmd/US20170204361","PMD")</f>
        <v>0.0</v>
      </c>
      <c r="L2869" s="2" t="n">
        <f>HYPERLINK("https://globaldossier.uspto.gov/result/application/US/15326955/1","US20170204361")</f>
        <v>0.0</v>
      </c>
      <c r="M2869" t="s">
        <v>19142</v>
      </c>
      <c r="N2869" t="s">
        <v>17937</v>
      </c>
      <c r="O2869" t="s">
        <v>17938</v>
      </c>
      <c r="P2869" t="s">
        <v>19143</v>
      </c>
      <c r="Q2869" s="3" t="n">
        <v>42545.0</v>
      </c>
      <c r="R2869" s="3" t="n">
        <v>42936.0</v>
      </c>
      <c r="S2869" s="3" t="n">
        <v>43929.461069930556</v>
      </c>
      <c r="T2869" s="3" t="n">
        <v>43986.45347804398</v>
      </c>
      <c r="U2869" t="s">
        <v>19144</v>
      </c>
      <c r="V2869" t="s">
        <v>19145</v>
      </c>
    </row>
    <row r="2870">
      <c r="A2870" t="s">
        <v>22</v>
      </c>
      <c r="B2870" t="s">
        <v>19146</v>
      </c>
      <c r="C2870" t="s">
        <v>132</v>
      </c>
      <c r="D2870" t="s">
        <v>133</v>
      </c>
      <c r="E2870" t="s">
        <v>17604</v>
      </c>
      <c r="F2870" s="2" t="n">
        <f>HYPERLINK("https://patents.google.com/patent/US20170202951","Google")</f>
        <v>0.0</v>
      </c>
      <c r="G2870" s="2" t="n">
        <f>HYPERLINK("https://patentcenter.uspto.gov/applications/15324908","Patent Center")</f>
        <v>0.0</v>
      </c>
      <c r="H2870" s="2" t="n">
        <f>HYPERLINK("https://worldwide.espacenet.com/patent/search?q=US20170202951","Espacenet")</f>
        <v>0.0</v>
      </c>
      <c r="I2870" s="2" t="n">
        <f>HYPERLINK("https://ppubs.uspto.gov/pubwebapp/external.html?q=20170202951.pn.","USPTO")</f>
        <v>0.0</v>
      </c>
      <c r="J2870" s="2" t="n">
        <f>HYPERLINK("https://image-ppubs.uspto.gov/dirsearch-public/print/downloadPdf/20170202951","USPTO PDF")</f>
        <v>0.0</v>
      </c>
      <c r="K2870" s="2" t="n">
        <f>HYPERLINK("https://sectors.patentforecast.com/pmd/US20170202951","PMD")</f>
        <v>0.0</v>
      </c>
      <c r="L2870" s="2" t="n">
        <f>HYPERLINK("https://globaldossier.uspto.gov/result/application/US/15324908/1","US20170202951")</f>
        <v>0.0</v>
      </c>
      <c r="M2870" t="s">
        <v>19147</v>
      </c>
      <c r="N2870" t="s">
        <v>6331</v>
      </c>
      <c r="O2870" t="s">
        <v>6332</v>
      </c>
      <c r="P2870" t="s">
        <v>19148</v>
      </c>
      <c r="Q2870" s="3" t="n">
        <v>42193.0</v>
      </c>
      <c r="R2870" s="3" t="n">
        <v>42936.0</v>
      </c>
      <c r="S2870" s="3" t="n">
        <v>43900.43738943287</v>
      </c>
      <c r="T2870" s="3" t="n">
        <v>43903.48463219908</v>
      </c>
      <c r="U2870" t="s">
        <v>19149</v>
      </c>
      <c r="V2870" t="s">
        <v>17608</v>
      </c>
    </row>
    <row r="2871">
      <c r="A2871" t="s">
        <v>22</v>
      </c>
      <c r="B2871" t="s">
        <v>19150</v>
      </c>
      <c r="C2871" t="s">
        <v>60</v>
      </c>
      <c r="D2871" t="s">
        <v>61</v>
      </c>
      <c r="E2871" t="s">
        <v>17574</v>
      </c>
      <c r="F2871" s="2" t="n">
        <f>HYPERLINK("https://patents.google.com/patent/US20170202865","Google")</f>
        <v>0.0</v>
      </c>
      <c r="G2871" s="2" t="n">
        <f>HYPERLINK("https://patentcenter.uspto.gov/applications/15393847","Patent Center")</f>
        <v>0.0</v>
      </c>
      <c r="H2871" s="2" t="n">
        <f>HYPERLINK("https://worldwide.espacenet.com/patent/search?q=US20170202865","Espacenet")</f>
        <v>0.0</v>
      </c>
      <c r="I2871" s="2" t="n">
        <f>HYPERLINK("https://ppubs.uspto.gov/pubwebapp/external.html?q=20170202865.pn.","USPTO")</f>
        <v>0.0</v>
      </c>
      <c r="J2871" s="2" t="n">
        <f>HYPERLINK("https://image-ppubs.uspto.gov/dirsearch-public/print/downloadPdf/20170202865","USPTO PDF")</f>
        <v>0.0</v>
      </c>
      <c r="K2871" s="2" t="n">
        <f>HYPERLINK("https://sectors.patentforecast.com/pmd/US20170202865","PMD")</f>
        <v>0.0</v>
      </c>
      <c r="L2871" s="2" t="n">
        <f>HYPERLINK("https://globaldossier.uspto.gov/result/application/US/15393847/1","US20170202865")</f>
        <v>0.0</v>
      </c>
      <c r="M2871" t="s">
        <v>19151</v>
      </c>
      <c r="N2871" t="s">
        <v>664</v>
      </c>
      <c r="O2871" t="s">
        <v>665</v>
      </c>
      <c r="P2871" t="s">
        <v>17824</v>
      </c>
      <c r="Q2871" s="3" t="n">
        <v>42733.0</v>
      </c>
      <c r="R2871" s="3" t="n">
        <v>42936.0</v>
      </c>
      <c r="S2871" s="3" t="n">
        <v>43952.46638479167</v>
      </c>
      <c r="T2871" s="3" t="n">
        <v>44638.65271974537</v>
      </c>
      <c r="U2871" t="s">
        <v>19152</v>
      </c>
      <c r="V2871" t="s">
        <v>17826</v>
      </c>
    </row>
    <row r="2872">
      <c r="A2872" t="s">
        <v>22</v>
      </c>
      <c r="B2872" t="s">
        <v>19153</v>
      </c>
      <c r="C2872" t="s">
        <v>381</v>
      </c>
      <c r="D2872" t="s">
        <v>19154</v>
      </c>
      <c r="E2872" t="s">
        <v>18556</v>
      </c>
      <c r="F2872" s="2" t="n">
        <f>HYPERLINK("https://patents.google.com/patent/US20170198036","Google")</f>
        <v>0.0</v>
      </c>
      <c r="G2872" s="2" t="n">
        <f>HYPERLINK("https://patentcenter.uspto.gov/applications/15380203","Patent Center")</f>
        <v>0.0</v>
      </c>
      <c r="H2872" s="2" t="n">
        <f>HYPERLINK("https://worldwide.espacenet.com/patent/search?q=US20170198036","Espacenet")</f>
        <v>0.0</v>
      </c>
      <c r="I2872" s="2" t="n">
        <f>HYPERLINK("https://ppubs.uspto.gov/pubwebapp/external.html?q=20170198036.pn.","USPTO")</f>
        <v>0.0</v>
      </c>
      <c r="J2872" s="2" t="n">
        <f>HYPERLINK("https://image-ppubs.uspto.gov/dirsearch-public/print/downloadPdf/20170198036","USPTO PDF")</f>
        <v>0.0</v>
      </c>
      <c r="K2872" s="2" t="n">
        <f>HYPERLINK("https://sectors.patentforecast.com/pmd/US20170198036","PMD")</f>
        <v>0.0</v>
      </c>
      <c r="L2872" s="2" t="n">
        <f>HYPERLINK("https://globaldossier.uspto.gov/result/application/US/15380203/1","US20170198036")</f>
        <v>0.0</v>
      </c>
      <c r="M2872" t="s">
        <v>19155</v>
      </c>
      <c r="N2872" t="s">
        <v>16927</v>
      </c>
      <c r="O2872" t="s">
        <v>16928</v>
      </c>
      <c r="P2872" t="s">
        <v>19156</v>
      </c>
      <c r="Q2872" s="3" t="n">
        <v>42719.0</v>
      </c>
      <c r="R2872" s="3" t="n">
        <v>42929.0</v>
      </c>
      <c r="S2872" s="3" t="n">
        <v>43957.46385886574</v>
      </c>
      <c r="T2872" s="3" t="n">
        <v>44643.44490069444</v>
      </c>
      <c r="U2872" t="s">
        <v>19157</v>
      </c>
      <c r="V2872" t="s">
        <v>19158</v>
      </c>
    </row>
    <row r="2873">
      <c r="A2873" t="s">
        <v>22</v>
      </c>
      <c r="B2873" t="s">
        <v>19159</v>
      </c>
      <c r="C2873" t="s">
        <v>24</v>
      </c>
      <c r="D2873" t="s">
        <v>25</v>
      </c>
      <c r="E2873" t="s">
        <v>19160</v>
      </c>
      <c r="F2873" s="2" t="n">
        <f>HYPERLINK("https://patents.google.com/patent/US20170191973","Google")</f>
        <v>0.0</v>
      </c>
      <c r="G2873" s="2" t="n">
        <f>HYPERLINK("https://patentcenter.uspto.gov/applications/15291413","Patent Center")</f>
        <v>0.0</v>
      </c>
      <c r="H2873" s="2" t="n">
        <f>HYPERLINK("https://worldwide.espacenet.com/patent/search?q=US20170191973","Espacenet")</f>
        <v>0.0</v>
      </c>
      <c r="I2873" s="2" t="n">
        <f>HYPERLINK("https://ppubs.uspto.gov/pubwebapp/external.html?q=20170191973.pn.","USPTO")</f>
        <v>0.0</v>
      </c>
      <c r="J2873" s="2" t="n">
        <f>HYPERLINK("https://image-ppubs.uspto.gov/dirsearch-public/print/downloadPdf/20170191973","USPTO PDF")</f>
        <v>0.0</v>
      </c>
      <c r="K2873" s="2" t="n">
        <f>HYPERLINK("https://sectors.patentforecast.com/pmd/US20170191973","PMD")</f>
        <v>0.0</v>
      </c>
      <c r="L2873" s="2" t="n">
        <f>HYPERLINK("https://globaldossier.uspto.gov/result/application/US/15291413/1","US20170191973")</f>
        <v>0.0</v>
      </c>
      <c r="M2873" t="s">
        <v>19161</v>
      </c>
      <c r="N2873" t="s">
        <v>19162</v>
      </c>
      <c r="O2873" t="s">
        <v>19163</v>
      </c>
      <c r="P2873" t="s">
        <v>19164</v>
      </c>
      <c r="Q2873" s="3" t="n">
        <v>42655.0</v>
      </c>
      <c r="R2873" s="3" t="n">
        <v>42922.0</v>
      </c>
      <c r="S2873" s="3" t="n">
        <v>43266.45736449074</v>
      </c>
      <c r="T2873" s="3" t="n">
        <v>43901.72156457176</v>
      </c>
      <c r="U2873" t="s">
        <v>19165</v>
      </c>
      <c r="V2873" t="s">
        <v>19166</v>
      </c>
    </row>
    <row r="2874">
      <c r="A2874" t="s">
        <v>22</v>
      </c>
      <c r="B2874" t="s">
        <v>19167</v>
      </c>
      <c r="C2874" t="s">
        <v>60</v>
      </c>
      <c r="D2874" t="s">
        <v>61</v>
      </c>
      <c r="E2874" t="s">
        <v>17627</v>
      </c>
      <c r="F2874" s="2" t="n">
        <f>HYPERLINK("https://patents.google.com/patent/US20170190763","Google")</f>
        <v>0.0</v>
      </c>
      <c r="G2874" s="2" t="n">
        <f>HYPERLINK("https://patentcenter.uspto.gov/applications/15379157","Patent Center")</f>
        <v>0.0</v>
      </c>
      <c r="H2874" s="2" t="n">
        <f>HYPERLINK("https://worldwide.espacenet.com/patent/search?q=US20170190763","Espacenet")</f>
        <v>0.0</v>
      </c>
      <c r="I2874" s="2" t="n">
        <f>HYPERLINK("https://ppubs.uspto.gov/pubwebapp/external.html?q=20170190763.pn.","USPTO")</f>
        <v>0.0</v>
      </c>
      <c r="J2874" s="2" t="n">
        <f>HYPERLINK("https://image-ppubs.uspto.gov/dirsearch-public/print/downloadPdf/20170190763","USPTO PDF")</f>
        <v>0.0</v>
      </c>
      <c r="K2874" s="2" t="n">
        <f>HYPERLINK("https://sectors.patentforecast.com/pmd/US20170190763","PMD")</f>
        <v>0.0</v>
      </c>
      <c r="L2874" s="2" t="n">
        <f>HYPERLINK("https://globaldossier.uspto.gov/result/application/US/15379157/1","US20170190763")</f>
        <v>0.0</v>
      </c>
      <c r="M2874" t="s">
        <v>19168</v>
      </c>
      <c r="N2874" t="s">
        <v>664</v>
      </c>
      <c r="O2874" t="s">
        <v>665</v>
      </c>
      <c r="P2874" t="s">
        <v>19169</v>
      </c>
      <c r="Q2874" s="3" t="n">
        <v>42718.0</v>
      </c>
      <c r="R2874" s="3" t="n">
        <v>42922.0</v>
      </c>
      <c r="S2874" s="3" t="n">
        <v>43952.46638479167</v>
      </c>
      <c r="T2874" s="3" t="n">
        <v>44638.65643378472</v>
      </c>
      <c r="U2874" t="s">
        <v>19170</v>
      </c>
      <c r="V2874" t="s">
        <v>17631</v>
      </c>
    </row>
    <row r="2875">
      <c r="A2875" t="s">
        <v>22</v>
      </c>
      <c r="B2875" t="s">
        <v>19171</v>
      </c>
      <c r="C2875" t="s">
        <v>60</v>
      </c>
      <c r="D2875" t="s">
        <v>61</v>
      </c>
      <c r="E2875" t="s">
        <v>19172</v>
      </c>
      <c r="F2875" s="2" t="n">
        <f>HYPERLINK("https://patents.google.com/patent/US20170190737","Google")</f>
        <v>0.0</v>
      </c>
      <c r="G2875" s="2" t="n">
        <f>HYPERLINK("https://patentcenter.uspto.gov/applications/15465492","Patent Center")</f>
        <v>0.0</v>
      </c>
      <c r="H2875" s="2" t="n">
        <f>HYPERLINK("https://worldwide.espacenet.com/patent/search?q=US20170190737","Espacenet")</f>
        <v>0.0</v>
      </c>
      <c r="I2875" s="2" t="n">
        <f>HYPERLINK("https://ppubs.uspto.gov/pubwebapp/external.html?q=20170190737.pn.","USPTO")</f>
        <v>0.0</v>
      </c>
      <c r="J2875" s="2" t="n">
        <f>HYPERLINK("https://image-ppubs.uspto.gov/dirsearch-public/print/downloadPdf/20170190737","USPTO PDF")</f>
        <v>0.0</v>
      </c>
      <c r="K2875" s="2" t="n">
        <f>HYPERLINK("https://sectors.patentforecast.com/pmd/US20170190737","PMD")</f>
        <v>0.0</v>
      </c>
      <c r="L2875" s="2" t="n">
        <f>HYPERLINK("https://globaldossier.uspto.gov/result/application/US/15465492/1","US20170190737")</f>
        <v>0.0</v>
      </c>
      <c r="M2875" t="s">
        <v>19173</v>
      </c>
      <c r="N2875" t="s">
        <v>19174</v>
      </c>
      <c r="O2875" t="s">
        <v>19175</v>
      </c>
      <c r="P2875" t="s">
        <v>19176</v>
      </c>
      <c r="Q2875" s="3" t="n">
        <v>42815.0</v>
      </c>
      <c r="R2875" s="3" t="n">
        <v>42922.0</v>
      </c>
      <c r="S2875" s="3" t="n">
        <v>43952.46638479167</v>
      </c>
      <c r="T2875" s="3" t="n">
        <v>44638.65643378472</v>
      </c>
      <c r="U2875" t="s">
        <v>19177</v>
      </c>
      <c r="V2875" t="s">
        <v>19178</v>
      </c>
    </row>
    <row r="2876">
      <c r="A2876" t="s">
        <v>22</v>
      </c>
      <c r="B2876" t="s">
        <v>19179</v>
      </c>
      <c r="C2876" t="s">
        <v>60</v>
      </c>
      <c r="D2876" t="s">
        <v>61</v>
      </c>
      <c r="E2876" t="s">
        <v>19172</v>
      </c>
      <c r="F2876" s="2" t="n">
        <f>HYPERLINK("https://patents.google.com/patent/US20170190734","Google")</f>
        <v>0.0</v>
      </c>
      <c r="G2876" s="2" t="n">
        <f>HYPERLINK("https://patentcenter.uspto.gov/applications/15423469","Patent Center")</f>
        <v>0.0</v>
      </c>
      <c r="H2876" s="2" t="n">
        <f>HYPERLINK("https://worldwide.espacenet.com/patent/search?q=US20170190734","Espacenet")</f>
        <v>0.0</v>
      </c>
      <c r="I2876" s="2" t="n">
        <f>HYPERLINK("https://ppubs.uspto.gov/pubwebapp/external.html?q=20170190734.pn.","USPTO")</f>
        <v>0.0</v>
      </c>
      <c r="J2876" s="2" t="n">
        <f>HYPERLINK("https://image-ppubs.uspto.gov/dirsearch-public/print/downloadPdf/20170190734","USPTO PDF")</f>
        <v>0.0</v>
      </c>
      <c r="K2876" s="2" t="n">
        <f>HYPERLINK("https://sectors.patentforecast.com/pmd/US20170190734","PMD")</f>
        <v>0.0</v>
      </c>
      <c r="L2876" s="2" t="n">
        <f>HYPERLINK("https://globaldossier.uspto.gov/result/application/US/15423469/1","US20170190734")</f>
        <v>0.0</v>
      </c>
      <c r="M2876" t="s">
        <v>19180</v>
      </c>
      <c r="N2876" t="s">
        <v>19174</v>
      </c>
      <c r="O2876" t="s">
        <v>19175</v>
      </c>
      <c r="P2876" t="s">
        <v>19181</v>
      </c>
      <c r="Q2876" s="3" t="n">
        <v>42768.0</v>
      </c>
      <c r="R2876" s="3" t="n">
        <v>42922.0</v>
      </c>
      <c r="S2876" s="3" t="n">
        <v>43952.46638479167</v>
      </c>
      <c r="T2876" s="3" t="n">
        <v>44638.65643378472</v>
      </c>
      <c r="U2876" t="s">
        <v>19182</v>
      </c>
      <c r="V2876" t="s">
        <v>19183</v>
      </c>
    </row>
    <row r="2877">
      <c r="A2877" t="s">
        <v>22</v>
      </c>
      <c r="B2877" t="s">
        <v>19184</v>
      </c>
      <c r="C2877" t="s">
        <v>60</v>
      </c>
      <c r="D2877" t="s">
        <v>61</v>
      </c>
      <c r="E2877" t="s">
        <v>18186</v>
      </c>
      <c r="F2877" s="2" t="n">
        <f>HYPERLINK("https://patents.google.com/patent/US20170190708","Google")</f>
        <v>0.0</v>
      </c>
      <c r="G2877" s="2" t="n">
        <f>HYPERLINK("https://patentcenter.uspto.gov/applications/15347494","Patent Center")</f>
        <v>0.0</v>
      </c>
      <c r="H2877" s="2" t="n">
        <f>HYPERLINK("https://worldwide.espacenet.com/patent/search?q=US20170190708","Espacenet")</f>
        <v>0.0</v>
      </c>
      <c r="I2877" s="2" t="n">
        <f>HYPERLINK("https://ppubs.uspto.gov/pubwebapp/external.html?q=20170190708.pn.","USPTO")</f>
        <v>0.0</v>
      </c>
      <c r="J2877" s="2" t="n">
        <f>HYPERLINK("https://image-ppubs.uspto.gov/dirsearch-public/print/downloadPdf/20170190708","USPTO PDF")</f>
        <v>0.0</v>
      </c>
      <c r="K2877" s="2" t="n">
        <f>HYPERLINK("https://sectors.patentforecast.com/pmd/US20170190708","PMD")</f>
        <v>0.0</v>
      </c>
      <c r="L2877" s="2" t="n">
        <f>HYPERLINK("https://globaldossier.uspto.gov/result/application/US/15347494/1","US20170190708")</f>
        <v>0.0</v>
      </c>
      <c r="M2877" t="s">
        <v>19185</v>
      </c>
      <c r="N2877" t="s">
        <v>664</v>
      </c>
      <c r="O2877" t="s">
        <v>665</v>
      </c>
      <c r="P2877" t="s">
        <v>19186</v>
      </c>
      <c r="Q2877" s="3" t="n">
        <v>42683.0</v>
      </c>
      <c r="R2877" s="3" t="n">
        <v>42922.0</v>
      </c>
      <c r="S2877" s="3" t="n">
        <v>43952.46638479167</v>
      </c>
      <c r="T2877" s="3" t="n">
        <v>44638.65271974537</v>
      </c>
      <c r="U2877" t="s">
        <v>19187</v>
      </c>
      <c r="V2877" t="s">
        <v>18190</v>
      </c>
    </row>
    <row r="2878">
      <c r="A2878" t="s">
        <v>22</v>
      </c>
      <c r="B2878" t="s">
        <v>19188</v>
      </c>
      <c r="C2878" t="s">
        <v>60</v>
      </c>
      <c r="D2878" t="s">
        <v>61</v>
      </c>
      <c r="E2878" t="s">
        <v>19189</v>
      </c>
      <c r="F2878" s="2" t="n">
        <f>HYPERLINK("https://patents.google.com/patent/US20170189337","Google")</f>
        <v>0.0</v>
      </c>
      <c r="G2878" s="2" t="n">
        <f>HYPERLINK("https://patentcenter.uspto.gov/applications/15346335","Patent Center")</f>
        <v>0.0</v>
      </c>
      <c r="H2878" s="2" t="n">
        <f>HYPERLINK("https://worldwide.espacenet.com/patent/search?q=US20170189337","Espacenet")</f>
        <v>0.0</v>
      </c>
      <c r="I2878" s="2" t="n">
        <f>HYPERLINK("https://ppubs.uspto.gov/pubwebapp/external.html?q=20170189337.pn.","USPTO")</f>
        <v>0.0</v>
      </c>
      <c r="J2878" s="2" t="n">
        <f>HYPERLINK("https://image-ppubs.uspto.gov/dirsearch-public/print/downloadPdf/20170189337","USPTO PDF")</f>
        <v>0.0</v>
      </c>
      <c r="K2878" s="2" t="n">
        <f>HYPERLINK("https://sectors.patentforecast.com/pmd/US20170189337","PMD")</f>
        <v>0.0</v>
      </c>
      <c r="L2878" s="2" t="n">
        <f>HYPERLINK("https://globaldossier.uspto.gov/result/application/US/15346335/1","US20170189337")</f>
        <v>0.0</v>
      </c>
      <c r="M2878" t="s">
        <v>19190</v>
      </c>
      <c r="N2878" t="s">
        <v>664</v>
      </c>
      <c r="O2878" t="s">
        <v>665</v>
      </c>
      <c r="P2878" t="s">
        <v>19191</v>
      </c>
      <c r="Q2878" s="3" t="n">
        <v>42682.0</v>
      </c>
      <c r="R2878" s="3" t="n">
        <v>42922.0</v>
      </c>
      <c r="S2878" s="3" t="n">
        <v>43952.46638479167</v>
      </c>
      <c r="T2878" s="3" t="n">
        <v>44638.65643378472</v>
      </c>
      <c r="U2878" t="s">
        <v>19192</v>
      </c>
      <c r="V2878" t="s">
        <v>19193</v>
      </c>
    </row>
    <row r="2879">
      <c r="A2879" t="s">
        <v>22</v>
      </c>
      <c r="B2879" t="s">
        <v>19194</v>
      </c>
      <c r="C2879" t="s">
        <v>24</v>
      </c>
      <c r="D2879" t="s">
        <v>34</v>
      </c>
      <c r="E2879" t="s">
        <v>17035</v>
      </c>
      <c r="F2879" s="2" t="n">
        <f>HYPERLINK("https://patents.google.com/patent/US20170183713","Google")</f>
        <v>0.0</v>
      </c>
      <c r="G2879" s="2" t="n">
        <f>HYPERLINK("https://patentcenter.uspto.gov/applications/15436080","Patent Center")</f>
        <v>0.0</v>
      </c>
      <c r="H2879" s="2" t="n">
        <f>HYPERLINK("https://worldwide.espacenet.com/patent/search?q=US20170183713","Espacenet")</f>
        <v>0.0</v>
      </c>
      <c r="I2879" s="2" t="n">
        <f>HYPERLINK("https://ppubs.uspto.gov/pubwebapp/external.html?q=20170183713.pn.","USPTO")</f>
        <v>0.0</v>
      </c>
      <c r="J2879" s="2" t="n">
        <f>HYPERLINK("https://image-ppubs.uspto.gov/dirsearch-public/print/downloadPdf/20170183713","USPTO PDF")</f>
        <v>0.0</v>
      </c>
      <c r="K2879" s="2" t="n">
        <f>HYPERLINK("https://sectors.patentforecast.com/pmd/US20170183713","PMD")</f>
        <v>0.0</v>
      </c>
      <c r="L2879" s="2" t="n">
        <f>HYPERLINK("https://globaldossier.uspto.gov/result/application/US/15436080/1","US20170183713")</f>
        <v>0.0</v>
      </c>
      <c r="M2879" t="s">
        <v>19195</v>
      </c>
      <c r="N2879" t="s">
        <v>4728</v>
      </c>
      <c r="O2879" t="s">
        <v>4729</v>
      </c>
      <c r="P2879" t="s">
        <v>17037</v>
      </c>
      <c r="Q2879" s="3" t="n">
        <v>42783.0</v>
      </c>
      <c r="R2879" s="3" t="n">
        <v>42915.0</v>
      </c>
      <c r="S2879" s="3" t="n">
        <v>44370.45832509259</v>
      </c>
      <c r="T2879" s="3" t="n">
        <v>44372.38111516204</v>
      </c>
      <c r="U2879" t="s">
        <v>19196</v>
      </c>
      <c r="V2879" t="s">
        <v>17039</v>
      </c>
    </row>
    <row r="2880">
      <c r="A2880" t="s">
        <v>22</v>
      </c>
      <c r="B2880" t="s">
        <v>19197</v>
      </c>
      <c r="C2880" t="s">
        <v>132</v>
      </c>
      <c r="D2880" t="s">
        <v>142</v>
      </c>
      <c r="E2880" t="s">
        <v>19198</v>
      </c>
      <c r="F2880" s="2" t="n">
        <f>HYPERLINK("https://patents.google.com/patent/US20170173128","Google")</f>
        <v>0.0</v>
      </c>
      <c r="G2880" s="2" t="n">
        <f>HYPERLINK("https://patentcenter.uspto.gov/applications/15102230","Patent Center")</f>
        <v>0.0</v>
      </c>
      <c r="H2880" s="2" t="n">
        <f>HYPERLINK("https://worldwide.espacenet.com/patent/search?q=US20170173128","Espacenet")</f>
        <v>0.0</v>
      </c>
      <c r="I2880" s="2" t="n">
        <f>HYPERLINK("https://ppubs.uspto.gov/pubwebapp/external.html?q=20170173128.pn.","USPTO")</f>
        <v>0.0</v>
      </c>
      <c r="J2880" s="2" t="n">
        <f>HYPERLINK("https://image-ppubs.uspto.gov/dirsearch-public/print/downloadPdf/20170173128","USPTO PDF")</f>
        <v>0.0</v>
      </c>
      <c r="K2880" s="2" t="n">
        <f>HYPERLINK("https://sectors.patentforecast.com/pmd/US20170173128","PMD")</f>
        <v>0.0</v>
      </c>
      <c r="L2880" s="2" t="n">
        <f>HYPERLINK("https://globaldossier.uspto.gov/result/application/US/15102230/1","US20170173128")</f>
        <v>0.0</v>
      </c>
      <c r="M2880" t="s">
        <v>19199</v>
      </c>
      <c r="N2880" t="s">
        <v>145</v>
      </c>
      <c r="O2880" t="s">
        <v>146</v>
      </c>
      <c r="P2880" t="s">
        <v>19200</v>
      </c>
      <c r="Q2880" s="3" t="n">
        <v>41981.0</v>
      </c>
      <c r="R2880" s="3" t="n">
        <v>42908.0</v>
      </c>
      <c r="S2880" s="3" t="n">
        <v>43909.45368546296</v>
      </c>
      <c r="T2880" s="3" t="n">
        <v>43909.46965936343</v>
      </c>
      <c r="U2880" t="s">
        <v>19201</v>
      </c>
      <c r="V2880" t="s">
        <v>19202</v>
      </c>
    </row>
    <row r="2881">
      <c r="A2881" t="s">
        <v>22</v>
      </c>
      <c r="B2881" t="s">
        <v>19203</v>
      </c>
      <c r="C2881" t="s">
        <v>24</v>
      </c>
      <c r="D2881" t="s">
        <v>34</v>
      </c>
      <c r="E2881" t="s">
        <v>18180</v>
      </c>
      <c r="F2881" s="2" t="n">
        <f>HYPERLINK("https://patents.google.com/patent/US20170169182","Google")</f>
        <v>0.0</v>
      </c>
      <c r="G2881" s="2" t="n">
        <f>HYPERLINK("https://patentcenter.uspto.gov/applications/15387506","Patent Center")</f>
        <v>0.0</v>
      </c>
      <c r="H2881" s="2" t="n">
        <f>HYPERLINK("https://worldwide.espacenet.com/patent/search?q=US20170169182","Espacenet")</f>
        <v>0.0</v>
      </c>
      <c r="I2881" s="2" t="n">
        <f>HYPERLINK("https://ppubs.uspto.gov/pubwebapp/external.html?q=20170169182.pn.","USPTO")</f>
        <v>0.0</v>
      </c>
      <c r="J2881" s="2" t="n">
        <f>HYPERLINK("https://image-ppubs.uspto.gov/dirsearch-public/print/downloadPdf/20170169182","USPTO PDF")</f>
        <v>0.0</v>
      </c>
      <c r="K2881" s="2" t="n">
        <f>HYPERLINK("https://sectors.patentforecast.com/pmd/US20170169182","PMD")</f>
        <v>0.0</v>
      </c>
      <c r="L2881" s="2" t="n">
        <f>HYPERLINK("https://globaldossier.uspto.gov/result/application/US/15387506/1","US20170169182")</f>
        <v>0.0</v>
      </c>
      <c r="M2881" t="s">
        <v>19204</v>
      </c>
      <c r="N2881" t="s">
        <v>19205</v>
      </c>
      <c r="O2881" t="s">
        <v>19206</v>
      </c>
      <c r="P2881" t="s">
        <v>18182</v>
      </c>
      <c r="Q2881" s="3" t="n">
        <v>42725.0</v>
      </c>
      <c r="R2881" s="3" t="n">
        <v>42901.0</v>
      </c>
      <c r="S2881" s="3" t="n">
        <v>43906.37277822917</v>
      </c>
      <c r="T2881" s="3" t="n">
        <v>44643.38525319444</v>
      </c>
      <c r="U2881" t="s">
        <v>19207</v>
      </c>
      <c r="V2881" t="s">
        <v>18184</v>
      </c>
    </row>
    <row r="2882">
      <c r="A2882" t="s">
        <v>22</v>
      </c>
      <c r="B2882" t="s">
        <v>19208</v>
      </c>
      <c r="C2882" t="s">
        <v>24</v>
      </c>
      <c r="D2882" t="s">
        <v>25</v>
      </c>
      <c r="E2882" t="s">
        <v>19209</v>
      </c>
      <c r="F2882" s="2" t="n">
        <f>HYPERLINK("https://patents.google.com/patent/US20170168051","Google")</f>
        <v>0.0</v>
      </c>
      <c r="G2882" s="2" t="n">
        <f>HYPERLINK("https://patentcenter.uspto.gov/applications/15356972","Patent Center")</f>
        <v>0.0</v>
      </c>
      <c r="H2882" s="2" t="n">
        <f>HYPERLINK("https://worldwide.espacenet.com/patent/search?q=US20170168051","Espacenet")</f>
        <v>0.0</v>
      </c>
      <c r="I2882" s="2" t="n">
        <f>HYPERLINK("https://ppubs.uspto.gov/pubwebapp/external.html?q=20170168051.pn.","USPTO")</f>
        <v>0.0</v>
      </c>
      <c r="J2882" s="2" t="n">
        <f>HYPERLINK("https://image-ppubs.uspto.gov/dirsearch-public/print/downloadPdf/20170168051","USPTO PDF")</f>
        <v>0.0</v>
      </c>
      <c r="K2882" s="2" t="n">
        <f>HYPERLINK("https://sectors.patentforecast.com/pmd/US20170168051","PMD")</f>
        <v>0.0</v>
      </c>
      <c r="L2882" s="2" t="n">
        <f>HYPERLINK("https://globaldossier.uspto.gov/result/application/US/15356972/1","US20170168051")</f>
        <v>0.0</v>
      </c>
      <c r="M2882" t="s">
        <v>19210</v>
      </c>
      <c r="N2882" t="s">
        <v>3621</v>
      </c>
      <c r="O2882" t="s">
        <v>3622</v>
      </c>
      <c r="P2882" t="s">
        <v>19211</v>
      </c>
      <c r="Q2882" s="3" t="n">
        <v>42695.0</v>
      </c>
      <c r="R2882" s="3" t="n">
        <v>42901.0</v>
      </c>
      <c r="S2882" s="3" t="n">
        <v>43906.372912708335</v>
      </c>
      <c r="T2882" s="3" t="n">
        <v>43958.41062627315</v>
      </c>
      <c r="U2882" t="s">
        <v>19212</v>
      </c>
      <c r="V2882" t="s">
        <v>16602</v>
      </c>
    </row>
    <row r="2883">
      <c r="A2883" t="s">
        <v>22</v>
      </c>
      <c r="B2883" t="s">
        <v>19213</v>
      </c>
      <c r="C2883" t="s">
        <v>60</v>
      </c>
      <c r="D2883" t="s">
        <v>61</v>
      </c>
      <c r="E2883" t="s">
        <v>19214</v>
      </c>
      <c r="F2883" s="2" t="n">
        <f>HYPERLINK("https://patents.google.com/patent/US20170165223","Google")</f>
        <v>0.0</v>
      </c>
      <c r="G2883" s="2" t="n">
        <f>HYPERLINK("https://patentcenter.uspto.gov/applications/15243679","Patent Center")</f>
        <v>0.0</v>
      </c>
      <c r="H2883" s="2" t="n">
        <f>HYPERLINK("https://worldwide.espacenet.com/patent/search?q=US20170165223","Espacenet")</f>
        <v>0.0</v>
      </c>
      <c r="I2883" s="2" t="n">
        <f>HYPERLINK("https://ppubs.uspto.gov/pubwebapp/external.html?q=20170165223.pn.","USPTO")</f>
        <v>0.0</v>
      </c>
      <c r="J2883" s="2" t="n">
        <f>HYPERLINK("https://image-ppubs.uspto.gov/dirsearch-public/print/downloadPdf/20170165223","USPTO PDF")</f>
        <v>0.0</v>
      </c>
      <c r="K2883" s="2" t="n">
        <f>HYPERLINK("https://sectors.patentforecast.com/pmd/US20170165223","PMD")</f>
        <v>0.0</v>
      </c>
      <c r="L2883" s="2" t="n">
        <f>HYPERLINK("https://globaldossier.uspto.gov/result/application/US/15243679/1","US20170165223")</f>
        <v>0.0</v>
      </c>
      <c r="M2883" t="s">
        <v>19215</v>
      </c>
      <c r="N2883" t="s">
        <v>16801</v>
      </c>
      <c r="O2883" t="s">
        <v>16802</v>
      </c>
      <c r="P2883" t="s">
        <v>19216</v>
      </c>
      <c r="Q2883" s="3" t="n">
        <v>42604.0</v>
      </c>
      <c r="R2883" s="3" t="n">
        <v>42901.0</v>
      </c>
      <c r="S2883" s="3" t="n">
        <v>43966.479380150464</v>
      </c>
      <c r="T2883" s="3" t="n">
        <v>43985.67806038194</v>
      </c>
      <c r="U2883" t="s">
        <v>19217</v>
      </c>
      <c r="V2883" t="s">
        <v>19218</v>
      </c>
    </row>
    <row r="2884">
      <c r="A2884" t="s">
        <v>22</v>
      </c>
      <c r="B2884" t="s">
        <v>19219</v>
      </c>
      <c r="C2884" t="s">
        <v>24</v>
      </c>
      <c r="D2884" t="s">
        <v>25</v>
      </c>
      <c r="E2884" t="s">
        <v>19220</v>
      </c>
      <c r="F2884" s="2" t="n">
        <f>HYPERLINK("https://patents.google.com/patent/US20170161465","Google")</f>
        <v>0.0</v>
      </c>
      <c r="G2884" s="2" t="n">
        <f>HYPERLINK("https://patentcenter.uspto.gov/applications/14960616","Patent Center")</f>
        <v>0.0</v>
      </c>
      <c r="H2884" s="2" t="n">
        <f>HYPERLINK("https://worldwide.espacenet.com/patent/search?q=US20170161465","Espacenet")</f>
        <v>0.0</v>
      </c>
      <c r="I2884" s="2" t="n">
        <f>HYPERLINK("https://ppubs.uspto.gov/pubwebapp/external.html?q=20170161465.pn.","USPTO")</f>
        <v>0.0</v>
      </c>
      <c r="J2884" s="2" t="n">
        <f>HYPERLINK("https://image-ppubs.uspto.gov/dirsearch-public/print/downloadPdf/20170161465","USPTO PDF")</f>
        <v>0.0</v>
      </c>
      <c r="K2884" s="2" t="n">
        <f>HYPERLINK("https://sectors.patentforecast.com/pmd/US20170161465","PMD")</f>
        <v>0.0</v>
      </c>
      <c r="L2884" s="2" t="n">
        <f>HYPERLINK("https://globaldossier.uspto.gov/result/application/US/14960616/1","US20170161465")</f>
        <v>0.0</v>
      </c>
      <c r="M2884" t="s">
        <v>19221</v>
      </c>
      <c r="N2884" t="s">
        <v>5695</v>
      </c>
      <c r="O2884" t="s">
        <v>5696</v>
      </c>
      <c r="P2884" t="s">
        <v>19222</v>
      </c>
      <c r="Q2884" s="3" t="n">
        <v>42345.0</v>
      </c>
      <c r="R2884" s="3" t="n">
        <v>42894.0</v>
      </c>
      <c r="S2884" s="3" t="n">
        <v>43266.45736449074</v>
      </c>
      <c r="T2884" s="3" t="n">
        <v>43903.48463226852</v>
      </c>
      <c r="U2884" t="s">
        <v>19223</v>
      </c>
      <c r="V2884" t="s">
        <v>19224</v>
      </c>
    </row>
    <row r="2885">
      <c r="A2885" t="s">
        <v>22</v>
      </c>
      <c r="B2885" t="s">
        <v>19225</v>
      </c>
      <c r="C2885" t="s">
        <v>60</v>
      </c>
      <c r="D2885" t="s">
        <v>77</v>
      </c>
      <c r="E2885" t="s">
        <v>15229</v>
      </c>
      <c r="F2885" s="2" t="n">
        <f>HYPERLINK("https://patents.google.com/patent/US20170158752","Google")</f>
        <v>0.0</v>
      </c>
      <c r="G2885" s="2" t="n">
        <f>HYPERLINK("https://patentcenter.uspto.gov/applications/15306617","Patent Center")</f>
        <v>0.0</v>
      </c>
      <c r="H2885" s="2" t="n">
        <f>HYPERLINK("https://worldwide.espacenet.com/patent/search?q=US20170158752","Espacenet")</f>
        <v>0.0</v>
      </c>
      <c r="I2885" s="2" t="n">
        <f>HYPERLINK("https://ppubs.uspto.gov/pubwebapp/external.html?q=20170158752.pn.","USPTO")</f>
        <v>0.0</v>
      </c>
      <c r="J2885" s="2" t="n">
        <f>HYPERLINK("https://image-ppubs.uspto.gov/dirsearch-public/print/downloadPdf/20170158752","USPTO PDF")</f>
        <v>0.0</v>
      </c>
      <c r="K2885" s="2" t="n">
        <f>HYPERLINK("https://sectors.patentforecast.com/pmd/US20170158752","PMD")</f>
        <v>0.0</v>
      </c>
      <c r="L2885" s="2" t="n">
        <f>HYPERLINK("https://globaldossier.uspto.gov/result/application/US/15306617/1","US20170158752")</f>
        <v>0.0</v>
      </c>
      <c r="M2885" t="s">
        <v>19226</v>
      </c>
      <c r="N2885" t="s">
        <v>15231</v>
      </c>
      <c r="O2885" t="s">
        <v>15232</v>
      </c>
      <c r="P2885" t="s">
        <v>19227</v>
      </c>
      <c r="Q2885" s="3" t="n">
        <v>42121.0</v>
      </c>
      <c r="R2885" s="3" t="n">
        <v>42894.0</v>
      </c>
      <c r="S2885" s="3" t="n">
        <v>43935.7041706713</v>
      </c>
      <c r="T2885" s="3" t="n">
        <v>43985.64084817129</v>
      </c>
      <c r="U2885" t="s">
        <v>19228</v>
      </c>
      <c r="V2885" t="s">
        <v>15235</v>
      </c>
    </row>
    <row r="2886">
      <c r="A2886" t="s">
        <v>22</v>
      </c>
      <c r="B2886" t="s">
        <v>19229</v>
      </c>
      <c r="C2886" t="s">
        <v>60</v>
      </c>
      <c r="D2886" t="s">
        <v>61</v>
      </c>
      <c r="E2886" t="s">
        <v>19230</v>
      </c>
      <c r="F2886" s="2" t="n">
        <f>HYPERLINK("https://patents.google.com/patent/US20170158684","Google")</f>
        <v>0.0</v>
      </c>
      <c r="G2886" s="2" t="n">
        <f>HYPERLINK("https://patentcenter.uspto.gov/applications/15433536","Patent Center")</f>
        <v>0.0</v>
      </c>
      <c r="H2886" s="2" t="n">
        <f>HYPERLINK("https://worldwide.espacenet.com/patent/search?q=US20170158684","Espacenet")</f>
        <v>0.0</v>
      </c>
      <c r="I2886" s="2" t="n">
        <f>HYPERLINK("https://ppubs.uspto.gov/pubwebapp/external.html?q=20170158684.pn.","USPTO")</f>
        <v>0.0</v>
      </c>
      <c r="J2886" s="2" t="n">
        <f>HYPERLINK("https://image-ppubs.uspto.gov/dirsearch-public/print/downloadPdf/20170158684","USPTO PDF")</f>
        <v>0.0</v>
      </c>
      <c r="K2886" s="2" t="n">
        <f>HYPERLINK("https://sectors.patentforecast.com/pmd/US20170158684","PMD")</f>
        <v>0.0</v>
      </c>
      <c r="L2886" s="2" t="n">
        <f>HYPERLINK("https://globaldossier.uspto.gov/result/application/US/15433536/1","US20170158684")</f>
        <v>0.0</v>
      </c>
      <c r="M2886" t="s">
        <v>19231</v>
      </c>
      <c r="N2886" t="s">
        <v>19232</v>
      </c>
      <c r="O2886" t="s">
        <v>19233</v>
      </c>
      <c r="P2886" t="s">
        <v>19234</v>
      </c>
      <c r="Q2886" s="3" t="n">
        <v>42781.0</v>
      </c>
      <c r="R2886" s="3" t="n">
        <v>42894.0</v>
      </c>
      <c r="S2886" s="3" t="n">
        <v>43900.43738943287</v>
      </c>
      <c r="T2886" s="3" t="n">
        <v>43903.48463234954</v>
      </c>
      <c r="U2886" t="s">
        <v>19235</v>
      </c>
      <c r="V2886" t="s">
        <v>19236</v>
      </c>
    </row>
    <row r="2887">
      <c r="A2887" t="s">
        <v>22</v>
      </c>
      <c r="B2887" t="s">
        <v>19237</v>
      </c>
      <c r="C2887" t="s">
        <v>60</v>
      </c>
      <c r="D2887" t="s">
        <v>61</v>
      </c>
      <c r="E2887" t="s">
        <v>16903</v>
      </c>
      <c r="F2887" s="2" t="n">
        <f>HYPERLINK("https://patents.google.com/patent/US20170145027","Google")</f>
        <v>0.0</v>
      </c>
      <c r="G2887" s="2" t="n">
        <f>HYPERLINK("https://patentcenter.uspto.gov/applications/15207415","Patent Center")</f>
        <v>0.0</v>
      </c>
      <c r="H2887" s="2" t="n">
        <f>HYPERLINK("https://worldwide.espacenet.com/patent/search?q=US20170145027","Espacenet")</f>
        <v>0.0</v>
      </c>
      <c r="I2887" s="2" t="n">
        <f>HYPERLINK("https://ppubs.uspto.gov/pubwebapp/external.html?q=20170145027.pn.","USPTO")</f>
        <v>0.0</v>
      </c>
      <c r="J2887" s="2" t="n">
        <f>HYPERLINK("https://image-ppubs.uspto.gov/dirsearch-public/print/downloadPdf/20170145027","USPTO PDF")</f>
        <v>0.0</v>
      </c>
      <c r="K2887" s="2" t="n">
        <f>HYPERLINK("https://sectors.patentforecast.com/pmd/US20170145027","PMD")</f>
        <v>0.0</v>
      </c>
      <c r="L2887" s="2" t="n">
        <f>HYPERLINK("https://globaldossier.uspto.gov/result/application/US/15207415/1","US20170145027")</f>
        <v>0.0</v>
      </c>
      <c r="M2887" t="s">
        <v>19238</v>
      </c>
      <c r="N2887" t="s">
        <v>664</v>
      </c>
      <c r="O2887" t="s">
        <v>665</v>
      </c>
      <c r="P2887" t="s">
        <v>19239</v>
      </c>
      <c r="Q2887" s="3" t="n">
        <v>42562.0</v>
      </c>
      <c r="R2887" s="3" t="n">
        <v>42880.0</v>
      </c>
      <c r="S2887" s="3" t="n">
        <v>43952.45991027778</v>
      </c>
      <c r="T2887" s="3" t="n">
        <v>44638.65271974537</v>
      </c>
      <c r="U2887" t="s">
        <v>19240</v>
      </c>
      <c r="V2887" t="s">
        <v>17072</v>
      </c>
    </row>
    <row r="2888">
      <c r="A2888" t="s">
        <v>22</v>
      </c>
      <c r="B2888" t="s">
        <v>19241</v>
      </c>
      <c r="C2888" t="s">
        <v>60</v>
      </c>
      <c r="D2888" t="s">
        <v>61</v>
      </c>
      <c r="E2888" t="s">
        <v>17282</v>
      </c>
      <c r="F2888" s="2" t="n">
        <f>HYPERLINK("https://patents.google.com/patent/US20170137405","Google")</f>
        <v>0.0</v>
      </c>
      <c r="G2888" s="2" t="n">
        <f>HYPERLINK("https://patentcenter.uspto.gov/applications/15357290","Patent Center")</f>
        <v>0.0</v>
      </c>
      <c r="H2888" s="2" t="n">
        <f>HYPERLINK("https://worldwide.espacenet.com/patent/search?q=US20170137405","Espacenet")</f>
        <v>0.0</v>
      </c>
      <c r="I2888" s="2" t="n">
        <f>HYPERLINK("https://ppubs.uspto.gov/pubwebapp/external.html?q=20170137405.pn.","USPTO")</f>
        <v>0.0</v>
      </c>
      <c r="J2888" s="2" t="n">
        <f>HYPERLINK("https://image-ppubs.uspto.gov/dirsearch-public/print/downloadPdf/20170137405","USPTO PDF")</f>
        <v>0.0</v>
      </c>
      <c r="K2888" s="2" t="n">
        <f>HYPERLINK("https://sectors.patentforecast.com/pmd/US20170137405","PMD")</f>
        <v>0.0</v>
      </c>
      <c r="L2888" s="2" t="n">
        <f>HYPERLINK("https://globaldossier.uspto.gov/result/application/US/15357290/1","US20170137405")</f>
        <v>0.0</v>
      </c>
      <c r="M2888" t="s">
        <v>19242</v>
      </c>
      <c r="N2888" t="s">
        <v>664</v>
      </c>
      <c r="O2888" t="s">
        <v>665</v>
      </c>
      <c r="P2888" t="s">
        <v>18340</v>
      </c>
      <c r="Q2888" s="3" t="n">
        <v>42769.0</v>
      </c>
      <c r="R2888" s="3" t="n">
        <v>42873.0</v>
      </c>
      <c r="S2888" s="3" t="n">
        <v>43952.45991027778</v>
      </c>
      <c r="T2888" s="3" t="n">
        <v>44638.662781747684</v>
      </c>
      <c r="U2888" t="s">
        <v>19243</v>
      </c>
      <c r="V2888" t="s">
        <v>17286</v>
      </c>
    </row>
    <row r="2889">
      <c r="A2889" t="s">
        <v>22</v>
      </c>
      <c r="B2889" t="s">
        <v>19244</v>
      </c>
      <c r="C2889" t="s">
        <v>60</v>
      </c>
      <c r="D2889" t="s">
        <v>61</v>
      </c>
      <c r="E2889" t="s">
        <v>19245</v>
      </c>
      <c r="F2889" s="2" t="n">
        <f>HYPERLINK("https://patents.google.com/patent/US20170136001","Google")</f>
        <v>0.0</v>
      </c>
      <c r="G2889" s="2" t="n">
        <f>HYPERLINK("https://patentcenter.uspto.gov/applications/15298084","Patent Center")</f>
        <v>0.0</v>
      </c>
      <c r="H2889" s="2" t="n">
        <f>HYPERLINK("https://worldwide.espacenet.com/patent/search?q=US20170136001","Espacenet")</f>
        <v>0.0</v>
      </c>
      <c r="I2889" s="2" t="n">
        <f>HYPERLINK("https://ppubs.uspto.gov/pubwebapp/external.html?q=20170136001.pn.","USPTO")</f>
        <v>0.0</v>
      </c>
      <c r="J2889" s="2" t="n">
        <f>HYPERLINK("https://image-ppubs.uspto.gov/dirsearch-public/print/downloadPdf/20170136001","USPTO PDF")</f>
        <v>0.0</v>
      </c>
      <c r="K2889" s="2" t="n">
        <f>HYPERLINK("https://sectors.patentforecast.com/pmd/US20170136001","PMD")</f>
        <v>0.0</v>
      </c>
      <c r="L2889" s="2" t="n">
        <f>HYPERLINK("https://globaldossier.uspto.gov/result/application/US/15298084/1","US20170136001")</f>
        <v>0.0</v>
      </c>
      <c r="M2889" t="s">
        <v>19246</v>
      </c>
      <c r="N2889" t="s">
        <v>664</v>
      </c>
      <c r="O2889" t="s">
        <v>665</v>
      </c>
      <c r="P2889" t="s">
        <v>19247</v>
      </c>
      <c r="Q2889" s="3" t="n">
        <v>42662.0</v>
      </c>
      <c r="R2889" s="3" t="n">
        <v>42873.0</v>
      </c>
      <c r="S2889" s="3" t="n">
        <v>43952.45991027778</v>
      </c>
      <c r="T2889" s="3" t="n">
        <v>44638.65579662037</v>
      </c>
      <c r="U2889" t="s">
        <v>19248</v>
      </c>
      <c r="V2889" t="s">
        <v>19249</v>
      </c>
    </row>
    <row r="2890">
      <c r="A2890" t="s">
        <v>22</v>
      </c>
      <c r="B2890" t="s">
        <v>19250</v>
      </c>
      <c r="C2890" t="s">
        <v>60</v>
      </c>
      <c r="D2890" t="s">
        <v>61</v>
      </c>
      <c r="E2890" t="s">
        <v>19245</v>
      </c>
      <c r="F2890" s="2" t="n">
        <f>HYPERLINK("https://patents.google.com/patent/US20170136000","Google")</f>
        <v>0.0</v>
      </c>
      <c r="G2890" s="2" t="n">
        <f>HYPERLINK("https://patentcenter.uspto.gov/applications/15298070","Patent Center")</f>
        <v>0.0</v>
      </c>
      <c r="H2890" s="2" t="n">
        <f>HYPERLINK("https://worldwide.espacenet.com/patent/search?q=US20170136000","Espacenet")</f>
        <v>0.0</v>
      </c>
      <c r="I2890" s="2" t="n">
        <f>HYPERLINK("https://ppubs.uspto.gov/pubwebapp/external.html?q=20170136000.pn.","USPTO")</f>
        <v>0.0</v>
      </c>
      <c r="J2890" s="2" t="n">
        <f>HYPERLINK("https://image-ppubs.uspto.gov/dirsearch-public/print/downloadPdf/20170136000","USPTO PDF")</f>
        <v>0.0</v>
      </c>
      <c r="K2890" s="2" t="n">
        <f>HYPERLINK("https://sectors.patentforecast.com/pmd/US20170136000","PMD")</f>
        <v>0.0</v>
      </c>
      <c r="L2890" s="2" t="n">
        <f>HYPERLINK("https://globaldossier.uspto.gov/result/application/US/15298070/1","US20170136000")</f>
        <v>0.0</v>
      </c>
      <c r="M2890" t="s">
        <v>19251</v>
      </c>
      <c r="N2890" t="s">
        <v>664</v>
      </c>
      <c r="O2890" t="s">
        <v>665</v>
      </c>
      <c r="P2890" t="s">
        <v>19252</v>
      </c>
      <c r="Q2890" s="3" t="n">
        <v>42662.0</v>
      </c>
      <c r="R2890" s="3" t="n">
        <v>42873.0</v>
      </c>
      <c r="S2890" s="3" t="n">
        <v>43952.45991027778</v>
      </c>
      <c r="T2890" s="3" t="n">
        <v>44638.65579662037</v>
      </c>
      <c r="U2890" t="s">
        <v>19253</v>
      </c>
      <c r="V2890" t="s">
        <v>19254</v>
      </c>
    </row>
    <row r="2891">
      <c r="A2891" t="s">
        <v>22</v>
      </c>
      <c r="B2891" t="s">
        <v>19255</v>
      </c>
      <c r="C2891" t="s">
        <v>60</v>
      </c>
      <c r="D2891" t="s">
        <v>845</v>
      </c>
      <c r="E2891" t="s">
        <v>19256</v>
      </c>
      <c r="F2891" s="2" t="n">
        <f>HYPERLINK("https://patents.google.com/patent/US20170132367","Google")</f>
        <v>0.0</v>
      </c>
      <c r="G2891" s="2" t="n">
        <f>HYPERLINK("https://patentcenter.uspto.gov/applications/14936806","Patent Center")</f>
        <v>0.0</v>
      </c>
      <c r="H2891" s="2" t="n">
        <f>HYPERLINK("https://worldwide.espacenet.com/patent/search?q=US20170132367","Espacenet")</f>
        <v>0.0</v>
      </c>
      <c r="I2891" s="2" t="n">
        <f>HYPERLINK("https://ppubs.uspto.gov/pubwebapp/external.html?q=20170132367.pn.","USPTO")</f>
        <v>0.0</v>
      </c>
      <c r="J2891" s="2" t="n">
        <f>HYPERLINK("https://image-ppubs.uspto.gov/dirsearch-public/print/downloadPdf/20170132367","USPTO PDF")</f>
        <v>0.0</v>
      </c>
      <c r="K2891" s="2" t="n">
        <f>HYPERLINK("https://sectors.patentforecast.com/pmd/US20170132367","PMD")</f>
        <v>0.0</v>
      </c>
      <c r="L2891" s="2" t="n">
        <f>HYPERLINK("https://globaldossier.uspto.gov/result/application/US/14936806/1","US20170132367")</f>
        <v>0.0</v>
      </c>
      <c r="M2891" t="s">
        <v>19257</v>
      </c>
      <c r="N2891" t="s">
        <v>947</v>
      </c>
      <c r="O2891" t="s">
        <v>948</v>
      </c>
      <c r="P2891" t="s">
        <v>19258</v>
      </c>
      <c r="Q2891" s="3" t="n">
        <v>42318.0</v>
      </c>
      <c r="R2891" s="3" t="n">
        <v>42866.0</v>
      </c>
      <c r="S2891" s="3" t="n">
        <v>43908.45851130787</v>
      </c>
      <c r="T2891" s="3" t="n">
        <v>44543.61176339121</v>
      </c>
      <c r="U2891" t="s">
        <v>19259</v>
      </c>
      <c r="V2891" t="s">
        <v>19260</v>
      </c>
    </row>
    <row r="2892">
      <c r="A2892" t="s">
        <v>22</v>
      </c>
      <c r="B2892" t="s">
        <v>19261</v>
      </c>
      <c r="C2892" t="s">
        <v>132</v>
      </c>
      <c r="D2892" t="s">
        <v>1265</v>
      </c>
      <c r="E2892" t="s">
        <v>19262</v>
      </c>
      <c r="F2892" s="2" t="n">
        <f>HYPERLINK("https://patents.google.com/patent/US20170128562","Google")</f>
        <v>0.0</v>
      </c>
      <c r="G2892" s="2" t="n">
        <f>HYPERLINK("https://patentcenter.uspto.gov/applications/15317593","Patent Center")</f>
        <v>0.0</v>
      </c>
      <c r="H2892" s="2" t="n">
        <f>HYPERLINK("https://worldwide.espacenet.com/patent/search?q=US20170128562","Espacenet")</f>
        <v>0.0</v>
      </c>
      <c r="I2892" s="2" t="n">
        <f>HYPERLINK("https://ppubs.uspto.gov/pubwebapp/external.html?q=20170128562.pn.","USPTO")</f>
        <v>0.0</v>
      </c>
      <c r="J2892" s="2" t="n">
        <f>HYPERLINK("https://image-ppubs.uspto.gov/dirsearch-public/print/downloadPdf/20170128562","USPTO PDF")</f>
        <v>0.0</v>
      </c>
      <c r="K2892" s="2" t="n">
        <f>HYPERLINK("https://sectors.patentforecast.com/pmd/US20170128562","PMD")</f>
        <v>0.0</v>
      </c>
      <c r="L2892" s="2" t="n">
        <f>HYPERLINK("https://globaldossier.uspto.gov/result/application/US/15317593/1","US20170128562")</f>
        <v>0.0</v>
      </c>
      <c r="M2892" t="s">
        <v>19263</v>
      </c>
      <c r="N2892" t="s">
        <v>19264</v>
      </c>
      <c r="O2892" t="s">
        <v>19264</v>
      </c>
      <c r="P2892" t="s">
        <v>19265</v>
      </c>
      <c r="Q2892" s="3" t="n">
        <v>42132.0</v>
      </c>
      <c r="R2892" s="3" t="n">
        <v>42866.0</v>
      </c>
      <c r="S2892" s="3" t="n">
        <v>43900.43738943287</v>
      </c>
      <c r="T2892" s="3" t="n">
        <v>43903.48463248843</v>
      </c>
      <c r="U2892" t="s">
        <v>19266</v>
      </c>
      <c r="V2892" t="s">
        <v>19267</v>
      </c>
    </row>
    <row r="2893">
      <c r="A2893" t="s">
        <v>22</v>
      </c>
      <c r="B2893" t="s">
        <v>19268</v>
      </c>
      <c r="C2893" t="s">
        <v>132</v>
      </c>
      <c r="D2893" t="s">
        <v>1265</v>
      </c>
      <c r="E2893" t="s">
        <v>18254</v>
      </c>
      <c r="F2893" s="2" t="n">
        <f>HYPERLINK("https://patents.google.com/patent/US20170119872","Google")</f>
        <v>0.0</v>
      </c>
      <c r="G2893" s="2" t="n">
        <f>HYPERLINK("https://patentcenter.uspto.gov/applications/15290349","Patent Center")</f>
        <v>0.0</v>
      </c>
      <c r="H2893" s="2" t="n">
        <f>HYPERLINK("https://worldwide.espacenet.com/patent/search?q=US20170119872","Espacenet")</f>
        <v>0.0</v>
      </c>
      <c r="I2893" s="2" t="n">
        <f>HYPERLINK("https://ppubs.uspto.gov/pubwebapp/external.html?q=20170119872.pn.","USPTO")</f>
        <v>0.0</v>
      </c>
      <c r="J2893" s="2" t="n">
        <f>HYPERLINK("https://image-ppubs.uspto.gov/dirsearch-public/print/downloadPdf/20170119872","USPTO PDF")</f>
        <v>0.0</v>
      </c>
      <c r="K2893" s="2" t="n">
        <f>HYPERLINK("https://sectors.patentforecast.com/pmd/US20170119872","PMD")</f>
        <v>0.0</v>
      </c>
      <c r="L2893" s="2" t="n">
        <f>HYPERLINK("https://globaldossier.uspto.gov/result/application/US/15290349/1","US20170119872")</f>
        <v>0.0</v>
      </c>
      <c r="M2893" t="s">
        <v>19269</v>
      </c>
      <c r="N2893" t="s">
        <v>14996</v>
      </c>
      <c r="O2893" t="s">
        <v>14997</v>
      </c>
      <c r="P2893" t="s">
        <v>18256</v>
      </c>
      <c r="Q2893" s="3" t="n">
        <v>42654.0</v>
      </c>
      <c r="R2893" s="3" t="n">
        <v>42859.0</v>
      </c>
      <c r="S2893" s="3" t="n">
        <v>43900.43738943287</v>
      </c>
      <c r="T2893" s="3" t="n">
        <v>43903.484632430554</v>
      </c>
      <c r="U2893" t="s">
        <v>19270</v>
      </c>
      <c r="V2893" t="s">
        <v>18258</v>
      </c>
    </row>
    <row r="2894">
      <c r="A2894" t="s">
        <v>22</v>
      </c>
      <c r="B2894" t="s">
        <v>19271</v>
      </c>
      <c r="C2894" t="s">
        <v>60</v>
      </c>
      <c r="D2894" t="s">
        <v>696</v>
      </c>
      <c r="E2894" t="s">
        <v>16925</v>
      </c>
      <c r="F2894" s="2" t="n">
        <f>HYPERLINK("https://patents.google.com/patent/US20170115307","Google")</f>
        <v>0.0</v>
      </c>
      <c r="G2894" s="2" t="n">
        <f>HYPERLINK("https://patentcenter.uspto.gov/applications/15276272","Patent Center")</f>
        <v>0.0</v>
      </c>
      <c r="H2894" s="2" t="n">
        <f>HYPERLINK("https://worldwide.espacenet.com/patent/search?q=US20170115307","Espacenet")</f>
        <v>0.0</v>
      </c>
      <c r="I2894" s="2" t="n">
        <f>HYPERLINK("https://ppubs.uspto.gov/pubwebapp/external.html?q=20170115307.pn.","USPTO")</f>
        <v>0.0</v>
      </c>
      <c r="J2894" s="2" t="n">
        <f>HYPERLINK("https://image-ppubs.uspto.gov/dirsearch-public/print/downloadPdf/20170115307","USPTO PDF")</f>
        <v>0.0</v>
      </c>
      <c r="K2894" s="2" t="n">
        <f>HYPERLINK("https://sectors.patentforecast.com/pmd/US20170115307","PMD")</f>
        <v>0.0</v>
      </c>
      <c r="L2894" s="2" t="n">
        <f>HYPERLINK("https://globaldossier.uspto.gov/result/application/US/15276272/1","US20170115307")</f>
        <v>0.0</v>
      </c>
      <c r="M2894" t="s">
        <v>19272</v>
      </c>
      <c r="N2894" t="s">
        <v>16927</v>
      </c>
      <c r="O2894" t="s">
        <v>16928</v>
      </c>
      <c r="P2894" t="s">
        <v>19273</v>
      </c>
      <c r="Q2894" s="3" t="n">
        <v>42639.0</v>
      </c>
      <c r="R2894" s="3" t="n">
        <v>42852.0</v>
      </c>
      <c r="S2894" s="3" t="n">
        <v>43952.46927796296</v>
      </c>
      <c r="T2894" s="3" t="n">
        <v>43958.41150833333</v>
      </c>
      <c r="U2894" t="s">
        <v>19274</v>
      </c>
      <c r="V2894" t="s">
        <v>17876</v>
      </c>
    </row>
    <row r="2895">
      <c r="A2895" t="s">
        <v>22</v>
      </c>
      <c r="B2895" t="s">
        <v>19275</v>
      </c>
      <c r="C2895" t="s">
        <v>60</v>
      </c>
      <c r="D2895" t="s">
        <v>77</v>
      </c>
      <c r="E2895" t="s">
        <v>17430</v>
      </c>
      <c r="F2895" s="2" t="n">
        <f>HYPERLINK("https://patents.google.com/patent/US20170114406","Google")</f>
        <v>0.0</v>
      </c>
      <c r="G2895" s="2" t="n">
        <f>HYPERLINK("https://patentcenter.uspto.gov/applications/15312909","Patent Center")</f>
        <v>0.0</v>
      </c>
      <c r="H2895" s="2" t="n">
        <f>HYPERLINK("https://worldwide.espacenet.com/patent/search?q=US20170114406","Espacenet")</f>
        <v>0.0</v>
      </c>
      <c r="I2895" s="2" t="n">
        <f>HYPERLINK("https://ppubs.uspto.gov/pubwebapp/external.html?q=20170114406.pn.","USPTO")</f>
        <v>0.0</v>
      </c>
      <c r="J2895" s="2" t="n">
        <f>HYPERLINK("https://image-ppubs.uspto.gov/dirsearch-public/print/downloadPdf/20170114406","USPTO PDF")</f>
        <v>0.0</v>
      </c>
      <c r="K2895" s="2" t="n">
        <f>HYPERLINK("https://sectors.patentforecast.com/pmd/US20170114406","PMD")</f>
        <v>0.0</v>
      </c>
      <c r="L2895" s="2" t="n">
        <f>HYPERLINK("https://globaldossier.uspto.gov/result/application/US/15312909/1","US20170114406")</f>
        <v>0.0</v>
      </c>
      <c r="M2895" t="s">
        <v>19276</v>
      </c>
      <c r="N2895" t="s">
        <v>16801</v>
      </c>
      <c r="O2895" t="s">
        <v>16802</v>
      </c>
      <c r="P2895" t="s">
        <v>19277</v>
      </c>
      <c r="Q2895" s="3" t="n">
        <v>42146.0</v>
      </c>
      <c r="R2895" s="3" t="n">
        <v>42852.0</v>
      </c>
      <c r="S2895" s="3" t="n">
        <v>43985.669204328704</v>
      </c>
      <c r="T2895" s="3" t="n">
        <v>43985.67861778935</v>
      </c>
      <c r="U2895" t="s">
        <v>19278</v>
      </c>
      <c r="V2895" t="s">
        <v>17434</v>
      </c>
    </row>
    <row r="2896">
      <c r="A2896" t="s">
        <v>22</v>
      </c>
      <c r="B2896" t="s">
        <v>19279</v>
      </c>
      <c r="C2896" t="s">
        <v>60</v>
      </c>
      <c r="D2896" t="s">
        <v>61</v>
      </c>
      <c r="E2896" t="s">
        <v>19280</v>
      </c>
      <c r="F2896" s="2" t="n">
        <f>HYPERLINK("https://patents.google.com/patent/US20170114086","Google")</f>
        <v>0.0</v>
      </c>
      <c r="G2896" s="2" t="n">
        <f>HYPERLINK("https://patentcenter.uspto.gov/applications/15282492","Patent Center")</f>
        <v>0.0</v>
      </c>
      <c r="H2896" s="2" t="n">
        <f>HYPERLINK("https://worldwide.espacenet.com/patent/search?q=US20170114086","Espacenet")</f>
        <v>0.0</v>
      </c>
      <c r="I2896" s="2" t="n">
        <f>HYPERLINK("https://ppubs.uspto.gov/pubwebapp/external.html?q=20170114086.pn.","USPTO")</f>
        <v>0.0</v>
      </c>
      <c r="J2896" s="2" t="n">
        <f>HYPERLINK("https://image-ppubs.uspto.gov/dirsearch-public/print/downloadPdf/20170114086","USPTO PDF")</f>
        <v>0.0</v>
      </c>
      <c r="K2896" s="2" t="n">
        <f>HYPERLINK("https://sectors.patentforecast.com/pmd/US20170114086","PMD")</f>
        <v>0.0</v>
      </c>
      <c r="L2896" s="2" t="n">
        <f>HYPERLINK("https://globaldossier.uspto.gov/result/application/US/15282492/1","US20170114086")</f>
        <v>0.0</v>
      </c>
      <c r="M2896" t="s">
        <v>19281</v>
      </c>
      <c r="N2896" t="s">
        <v>664</v>
      </c>
      <c r="O2896" t="s">
        <v>665</v>
      </c>
      <c r="P2896" t="s">
        <v>17974</v>
      </c>
      <c r="Q2896" s="3" t="n">
        <v>42643.0</v>
      </c>
      <c r="R2896" s="3" t="n">
        <v>42852.0</v>
      </c>
      <c r="S2896" s="3" t="n">
        <v>43952.45991027778</v>
      </c>
      <c r="T2896" s="3" t="n">
        <v>44638.65271974537</v>
      </c>
      <c r="U2896" t="s">
        <v>19282</v>
      </c>
      <c r="V2896" t="s">
        <v>17976</v>
      </c>
    </row>
    <row r="2897">
      <c r="A2897" t="s">
        <v>22</v>
      </c>
      <c r="B2897" t="s">
        <v>19283</v>
      </c>
      <c r="C2897" t="s">
        <v>60</v>
      </c>
      <c r="D2897" t="s">
        <v>61</v>
      </c>
      <c r="E2897" t="s">
        <v>19284</v>
      </c>
      <c r="F2897" s="2" t="n">
        <f>HYPERLINK("https://patents.google.com/patent/US20170114048","Google")</f>
        <v>0.0</v>
      </c>
      <c r="G2897" s="2" t="n">
        <f>HYPERLINK("https://patentcenter.uspto.gov/applications/15280801","Patent Center")</f>
        <v>0.0</v>
      </c>
      <c r="H2897" s="2" t="n">
        <f>HYPERLINK("https://worldwide.espacenet.com/patent/search?q=US20170114048","Espacenet")</f>
        <v>0.0</v>
      </c>
      <c r="I2897" s="2" t="n">
        <f>HYPERLINK("https://ppubs.uspto.gov/pubwebapp/external.html?q=20170114048.pn.","USPTO")</f>
        <v>0.0</v>
      </c>
      <c r="J2897" s="2" t="n">
        <f>HYPERLINK("https://image-ppubs.uspto.gov/dirsearch-public/print/downloadPdf/20170114048","USPTO PDF")</f>
        <v>0.0</v>
      </c>
      <c r="K2897" s="2" t="n">
        <f>HYPERLINK("https://sectors.patentforecast.com/pmd/US20170114048","PMD")</f>
        <v>0.0</v>
      </c>
      <c r="L2897" s="2" t="n">
        <f>HYPERLINK("https://globaldossier.uspto.gov/result/application/US/15280801/1","US20170114048")</f>
        <v>0.0</v>
      </c>
      <c r="M2897" t="s">
        <v>19285</v>
      </c>
      <c r="N2897" t="s">
        <v>664</v>
      </c>
      <c r="O2897" t="s">
        <v>665</v>
      </c>
      <c r="P2897" t="s">
        <v>19286</v>
      </c>
      <c r="Q2897" s="3" t="n">
        <v>42642.0</v>
      </c>
      <c r="R2897" s="3" t="n">
        <v>42852.0</v>
      </c>
      <c r="S2897" s="3" t="n">
        <v>43952.45991027778</v>
      </c>
      <c r="T2897" s="3" t="n">
        <v>44638.66178115741</v>
      </c>
      <c r="U2897" t="s">
        <v>19287</v>
      </c>
      <c r="V2897" t="s">
        <v>19288</v>
      </c>
    </row>
    <row r="2898">
      <c r="A2898" t="s">
        <v>22</v>
      </c>
      <c r="B2898" t="s">
        <v>19289</v>
      </c>
      <c r="C2898" t="s">
        <v>24</v>
      </c>
      <c r="D2898" t="s">
        <v>51</v>
      </c>
      <c r="E2898" t="s">
        <v>19290</v>
      </c>
      <c r="F2898" s="2" t="n">
        <f>HYPERLINK("https://patents.google.com/patent/US20170112379","Google")</f>
        <v>0.0</v>
      </c>
      <c r="G2898" s="2" t="n">
        <f>HYPERLINK("https://patentcenter.uspto.gov/applications/15212769","Patent Center")</f>
        <v>0.0</v>
      </c>
      <c r="H2898" s="2" t="n">
        <f>HYPERLINK("https://worldwide.espacenet.com/patent/search?q=US20170112379","Espacenet")</f>
        <v>0.0</v>
      </c>
      <c r="I2898" s="2" t="n">
        <f>HYPERLINK("https://ppubs.uspto.gov/pubwebapp/external.html?q=20170112379.pn.","USPTO")</f>
        <v>0.0</v>
      </c>
      <c r="J2898" s="2" t="n">
        <f>HYPERLINK("https://image-ppubs.uspto.gov/dirsearch-public/print/downloadPdf/20170112379","USPTO PDF")</f>
        <v>0.0</v>
      </c>
      <c r="K2898" s="2" t="n">
        <f>HYPERLINK("https://sectors.patentforecast.com/pmd/US20170112379","PMD")</f>
        <v>0.0</v>
      </c>
      <c r="L2898" s="2" t="n">
        <f>HYPERLINK("https://globaldossier.uspto.gov/result/application/US/15212769/1","US20170112379")</f>
        <v>0.0</v>
      </c>
      <c r="M2898" t="s">
        <v>19291</v>
      </c>
      <c r="N2898" t="s">
        <v>1251</v>
      </c>
      <c r="O2898" t="s">
        <v>1252</v>
      </c>
      <c r="P2898" t="s">
        <v>19292</v>
      </c>
      <c r="Q2898" s="3" t="n">
        <v>42569.0</v>
      </c>
      <c r="R2898" s="3" t="n">
        <v>42852.0</v>
      </c>
      <c r="S2898" s="3" t="n">
        <v>43908.45851130787</v>
      </c>
      <c r="T2898" s="3" t="n">
        <v>44543.61055574074</v>
      </c>
      <c r="U2898" t="s">
        <v>19293</v>
      </c>
      <c r="V2898" t="s">
        <v>19294</v>
      </c>
    </row>
    <row r="2899">
      <c r="A2899" t="s">
        <v>22</v>
      </c>
      <c r="B2899" t="s">
        <v>19295</v>
      </c>
      <c r="C2899" t="s">
        <v>132</v>
      </c>
      <c r="D2899" t="s">
        <v>142</v>
      </c>
      <c r="E2899" t="s">
        <v>19296</v>
      </c>
      <c r="F2899" s="2" t="n">
        <f>HYPERLINK("https://patents.google.com/patent/US20170107289","Google")</f>
        <v>0.0</v>
      </c>
      <c r="G2899" s="2" t="n">
        <f>HYPERLINK("https://patentcenter.uspto.gov/applications/15298813","Patent Center")</f>
        <v>0.0</v>
      </c>
      <c r="H2899" s="2" t="n">
        <f>HYPERLINK("https://worldwide.espacenet.com/patent/search?q=US20170107289","Espacenet")</f>
        <v>0.0</v>
      </c>
      <c r="I2899" s="2" t="n">
        <f>HYPERLINK("https://ppubs.uspto.gov/pubwebapp/external.html?q=20170107289.pn.","USPTO")</f>
        <v>0.0</v>
      </c>
      <c r="J2899" s="2" t="n">
        <f>HYPERLINK("https://image-ppubs.uspto.gov/dirsearch-public/print/downloadPdf/20170107289","USPTO PDF")</f>
        <v>0.0</v>
      </c>
      <c r="K2899" s="2" t="n">
        <f>HYPERLINK("https://sectors.patentforecast.com/pmd/US20170107289","PMD")</f>
        <v>0.0</v>
      </c>
      <c r="L2899" s="2" t="n">
        <f>HYPERLINK("https://globaldossier.uspto.gov/result/application/US/15298813/1","US20170107289")</f>
        <v>0.0</v>
      </c>
      <c r="M2899" t="s">
        <v>19297</v>
      </c>
      <c r="N2899" t="s">
        <v>385</v>
      </c>
      <c r="O2899" t="s">
        <v>386</v>
      </c>
      <c r="P2899" t="s">
        <v>19298</v>
      </c>
      <c r="Q2899" s="3" t="n">
        <v>42663.0</v>
      </c>
      <c r="R2899" s="3" t="n">
        <v>42845.0</v>
      </c>
      <c r="S2899" s="3" t="n">
        <v>44005.23388266204</v>
      </c>
      <c r="T2899" s="3" t="n">
        <v>44006.636483553244</v>
      </c>
      <c r="U2899" t="s">
        <v>19299</v>
      </c>
      <c r="V2899" t="s">
        <v>19300</v>
      </c>
    </row>
    <row r="2900">
      <c r="A2900" t="s">
        <v>22</v>
      </c>
      <c r="B2900" t="s">
        <v>19301</v>
      </c>
      <c r="C2900" t="s">
        <v>60</v>
      </c>
      <c r="D2900" t="s">
        <v>61</v>
      </c>
      <c r="E2900" t="s">
        <v>19302</v>
      </c>
      <c r="F2900" s="2" t="n">
        <f>HYPERLINK("https://patents.google.com/patent/US20170106072","Google")</f>
        <v>0.0</v>
      </c>
      <c r="G2900" s="2" t="n">
        <f>HYPERLINK("https://patentcenter.uspto.gov/applications/15119661","Patent Center")</f>
        <v>0.0</v>
      </c>
      <c r="H2900" s="2" t="n">
        <f>HYPERLINK("https://worldwide.espacenet.com/patent/search?q=US20170106072","Espacenet")</f>
        <v>0.0</v>
      </c>
      <c r="I2900" s="2" t="n">
        <f>HYPERLINK("https://ppubs.uspto.gov/pubwebapp/external.html?q=20170106072.pn.","USPTO")</f>
        <v>0.0</v>
      </c>
      <c r="J2900" s="2" t="n">
        <f>HYPERLINK("https://image-ppubs.uspto.gov/dirsearch-public/print/downloadPdf/20170106072","USPTO PDF")</f>
        <v>0.0</v>
      </c>
      <c r="K2900" s="2" t="n">
        <f>HYPERLINK("https://sectors.patentforecast.com/pmd/US20170106072","PMD")</f>
        <v>0.0</v>
      </c>
      <c r="L2900" s="2" t="n">
        <f>HYPERLINK("https://globaldossier.uspto.gov/result/application/US/15119661/1","US20170106072")</f>
        <v>0.0</v>
      </c>
      <c r="M2900" t="s">
        <v>19303</v>
      </c>
      <c r="N2900" t="s">
        <v>17937</v>
      </c>
      <c r="O2900" t="s">
        <v>17938</v>
      </c>
      <c r="P2900" t="s">
        <v>19304</v>
      </c>
      <c r="Q2900" s="3" t="n">
        <v>42053.0</v>
      </c>
      <c r="R2900" s="3" t="n">
        <v>42845.0</v>
      </c>
      <c r="S2900" s="3" t="n">
        <v>43931.46126971065</v>
      </c>
      <c r="T2900" s="3" t="n">
        <v>44543.62077828704</v>
      </c>
      <c r="U2900" t="s">
        <v>19305</v>
      </c>
      <c r="V2900" t="s">
        <v>19306</v>
      </c>
    </row>
    <row r="2901">
      <c r="A2901" t="s">
        <v>22</v>
      </c>
      <c r="B2901" t="s">
        <v>19307</v>
      </c>
      <c r="C2901" t="s">
        <v>24</v>
      </c>
      <c r="D2901" t="s">
        <v>3193</v>
      </c>
      <c r="E2901" t="s">
        <v>19308</v>
      </c>
      <c r="F2901" s="2" t="n">
        <f>HYPERLINK("https://patents.google.com/patent/US20170103172","Google")</f>
        <v>0.0</v>
      </c>
      <c r="G2901" s="2" t="n">
        <f>HYPERLINK("https://patentcenter.uspto.gov/applications/15289110","Patent Center")</f>
        <v>0.0</v>
      </c>
      <c r="H2901" s="2" t="n">
        <f>HYPERLINK("https://worldwide.espacenet.com/patent/search?q=US20170103172","Espacenet")</f>
        <v>0.0</v>
      </c>
      <c r="I2901" s="2" t="n">
        <f>HYPERLINK("https://ppubs.uspto.gov/pubwebapp/external.html?q=20170103172.pn.","USPTO")</f>
        <v>0.0</v>
      </c>
      <c r="J2901" s="2" t="n">
        <f>HYPERLINK("https://image-ppubs.uspto.gov/dirsearch-public/print/downloadPdf/20170103172","USPTO PDF")</f>
        <v>0.0</v>
      </c>
      <c r="K2901" s="2" t="n">
        <f>HYPERLINK("https://sectors.patentforecast.com/pmd/US20170103172","PMD")</f>
        <v>0.0</v>
      </c>
      <c r="L2901" s="2" t="n">
        <f>HYPERLINK("https://globaldossier.uspto.gov/result/application/US/15289110/1","US20170103172")</f>
        <v>0.0</v>
      </c>
      <c r="M2901" t="s">
        <v>19309</v>
      </c>
      <c r="N2901" t="s">
        <v>3605</v>
      </c>
      <c r="O2901" t="s">
        <v>3606</v>
      </c>
      <c r="P2901" t="s">
        <v>19310</v>
      </c>
      <c r="Q2901" s="3" t="n">
        <v>42650.0</v>
      </c>
      <c r="R2901" s="3" t="n">
        <v>42838.0</v>
      </c>
      <c r="S2901" s="3" t="n">
        <v>43908.45851130787</v>
      </c>
      <c r="T2901" s="3" t="n">
        <v>43984.72175077546</v>
      </c>
      <c r="U2901" t="s">
        <v>19311</v>
      </c>
      <c r="V2901" t="s">
        <v>19312</v>
      </c>
    </row>
    <row r="2902">
      <c r="A2902" t="s">
        <v>22</v>
      </c>
      <c r="B2902" t="s">
        <v>19313</v>
      </c>
      <c r="C2902" t="s">
        <v>24</v>
      </c>
      <c r="D2902" t="s">
        <v>25</v>
      </c>
      <c r="E2902" t="s">
        <v>19314</v>
      </c>
      <c r="F2902" s="2" t="n">
        <f>HYPERLINK("https://patents.google.com/patent/US20170101691","Google")</f>
        <v>0.0</v>
      </c>
      <c r="G2902" s="2" t="n">
        <f>HYPERLINK("https://patentcenter.uspto.gov/applications/14878315","Patent Center")</f>
        <v>0.0</v>
      </c>
      <c r="H2902" s="2" t="n">
        <f>HYPERLINK("https://worldwide.espacenet.com/patent/search?q=US20170101691","Espacenet")</f>
        <v>0.0</v>
      </c>
      <c r="I2902" s="2" t="n">
        <f>HYPERLINK("https://ppubs.uspto.gov/pubwebapp/external.html?q=20170101691.pn.","USPTO")</f>
        <v>0.0</v>
      </c>
      <c r="J2902" s="2" t="n">
        <f>HYPERLINK("https://image-ppubs.uspto.gov/dirsearch-public/print/downloadPdf/20170101691","USPTO PDF")</f>
        <v>0.0</v>
      </c>
      <c r="K2902" s="2" t="n">
        <f>HYPERLINK("https://sectors.patentforecast.com/pmd/US20170101691","PMD")</f>
        <v>0.0</v>
      </c>
      <c r="L2902" s="2" t="n">
        <f>HYPERLINK("https://globaldossier.uspto.gov/result/application/US/14878315/1","US20170101691")</f>
        <v>0.0</v>
      </c>
      <c r="M2902" t="s">
        <v>19315</v>
      </c>
      <c r="N2902" t="s">
        <v>19316</v>
      </c>
      <c r="O2902" t="s">
        <v>19317</v>
      </c>
      <c r="P2902" t="s">
        <v>19318</v>
      </c>
      <c r="Q2902" s="3" t="n">
        <v>42285.0</v>
      </c>
      <c r="R2902" s="3" t="n">
        <v>42838.0</v>
      </c>
      <c r="S2902" s="3" t="n">
        <v>43900.43738943287</v>
      </c>
      <c r="T2902" s="3" t="n">
        <v>43901.72156486111</v>
      </c>
      <c r="U2902" t="s">
        <v>5807</v>
      </c>
      <c r="V2902" t="s">
        <v>19319</v>
      </c>
    </row>
    <row r="2903">
      <c r="A2903" t="s">
        <v>22</v>
      </c>
      <c r="B2903" t="s">
        <v>19320</v>
      </c>
      <c r="C2903" t="s">
        <v>24</v>
      </c>
      <c r="D2903" t="s">
        <v>25</v>
      </c>
      <c r="E2903" t="s">
        <v>19314</v>
      </c>
      <c r="F2903" s="2" t="n">
        <f>HYPERLINK("https://patents.google.com/patent/US20170099809","Google")</f>
        <v>0.0</v>
      </c>
      <c r="G2903" s="2" t="n">
        <f>HYPERLINK("https://patentcenter.uspto.gov/applications/14878263","Patent Center")</f>
        <v>0.0</v>
      </c>
      <c r="H2903" s="2" t="n">
        <f>HYPERLINK("https://worldwide.espacenet.com/patent/search?q=US20170099809","Espacenet")</f>
        <v>0.0</v>
      </c>
      <c r="I2903" s="2" t="n">
        <f>HYPERLINK("https://ppubs.uspto.gov/pubwebapp/external.html?q=20170099809.pn.","USPTO")</f>
        <v>0.0</v>
      </c>
      <c r="J2903" s="2" t="n">
        <f>HYPERLINK("https://image-ppubs.uspto.gov/dirsearch-public/print/downloadPdf/20170099809","USPTO PDF")</f>
        <v>0.0</v>
      </c>
      <c r="K2903" s="2" t="n">
        <f>HYPERLINK("https://sectors.patentforecast.com/pmd/US20170099809","PMD")</f>
        <v>0.0</v>
      </c>
      <c r="L2903" s="2" t="n">
        <f>HYPERLINK("https://globaldossier.uspto.gov/result/application/US/14878263/1","US20170099809")</f>
        <v>0.0</v>
      </c>
      <c r="M2903" t="s">
        <v>19321</v>
      </c>
      <c r="N2903" t="s">
        <v>19316</v>
      </c>
      <c r="O2903" t="s">
        <v>19317</v>
      </c>
      <c r="P2903" t="s">
        <v>19318</v>
      </c>
      <c r="Q2903" s="3" t="n">
        <v>42285.0</v>
      </c>
      <c r="R2903" s="3" t="n">
        <v>42838.0</v>
      </c>
      <c r="S2903" s="3" t="n">
        <v>43900.43738943287</v>
      </c>
      <c r="T2903" s="3" t="n">
        <v>43901.721564548614</v>
      </c>
      <c r="U2903" t="s">
        <v>19322</v>
      </c>
      <c r="V2903" t="s">
        <v>19319</v>
      </c>
    </row>
    <row r="2904">
      <c r="A2904" t="s">
        <v>22</v>
      </c>
      <c r="B2904" t="s">
        <v>19323</v>
      </c>
      <c r="C2904" t="s">
        <v>132</v>
      </c>
      <c r="D2904" t="s">
        <v>133</v>
      </c>
      <c r="E2904" t="s">
        <v>19324</v>
      </c>
      <c r="F2904" s="2" t="n">
        <f>HYPERLINK("https://patents.google.com/patent/US20170096455","Google")</f>
        <v>0.0</v>
      </c>
      <c r="G2904" s="2" t="n">
        <f>HYPERLINK("https://patentcenter.uspto.gov/applications/15124992","Patent Center")</f>
        <v>0.0</v>
      </c>
      <c r="H2904" s="2" t="n">
        <f>HYPERLINK("https://worldwide.espacenet.com/patent/search?q=US20170096455","Espacenet")</f>
        <v>0.0</v>
      </c>
      <c r="I2904" s="2" t="n">
        <f>HYPERLINK("https://ppubs.uspto.gov/pubwebapp/external.html?q=20170096455.pn.","USPTO")</f>
        <v>0.0</v>
      </c>
      <c r="J2904" s="2" t="n">
        <f>HYPERLINK("https://image-ppubs.uspto.gov/dirsearch-public/print/downloadPdf/20170096455","USPTO PDF")</f>
        <v>0.0</v>
      </c>
      <c r="K2904" s="2" t="n">
        <f>HYPERLINK("https://sectors.patentforecast.com/pmd/US20170096455","PMD")</f>
        <v>0.0</v>
      </c>
      <c r="L2904" s="2" t="n">
        <f>HYPERLINK("https://globaldossier.uspto.gov/result/application/US/15124992/1","US20170096455")</f>
        <v>0.0</v>
      </c>
      <c r="M2904" t="s">
        <v>19325</v>
      </c>
      <c r="N2904" t="s">
        <v>12054</v>
      </c>
      <c r="O2904" t="s">
        <v>12055</v>
      </c>
      <c r="P2904" t="s">
        <v>19326</v>
      </c>
      <c r="Q2904" s="3" t="n">
        <v>42083.0</v>
      </c>
      <c r="R2904" s="3" t="n">
        <v>42831.0</v>
      </c>
      <c r="S2904" s="3" t="n">
        <v>43935.7041706713</v>
      </c>
      <c r="T2904" s="3" t="n">
        <v>43950.462209791665</v>
      </c>
      <c r="U2904" t="s">
        <v>19327</v>
      </c>
      <c r="V2904" t="s">
        <v>19328</v>
      </c>
    </row>
    <row r="2905">
      <c r="A2905" t="s">
        <v>22</v>
      </c>
      <c r="B2905" t="s">
        <v>19329</v>
      </c>
      <c r="C2905" t="s">
        <v>60</v>
      </c>
      <c r="D2905" t="s">
        <v>61</v>
      </c>
      <c r="E2905" t="s">
        <v>17574</v>
      </c>
      <c r="F2905" s="2" t="n">
        <f>HYPERLINK("https://patents.google.com/patent/US20170095499","Google")</f>
        <v>0.0</v>
      </c>
      <c r="G2905" s="2" t="n">
        <f>HYPERLINK("https://patentcenter.uspto.gov/applications/15282128","Patent Center")</f>
        <v>0.0</v>
      </c>
      <c r="H2905" s="2" t="n">
        <f>HYPERLINK("https://worldwide.espacenet.com/patent/search?q=US20170095499","Espacenet")</f>
        <v>0.0</v>
      </c>
      <c r="I2905" s="2" t="n">
        <f>HYPERLINK("https://ppubs.uspto.gov/pubwebapp/external.html?q=20170095499.pn.","USPTO")</f>
        <v>0.0</v>
      </c>
      <c r="J2905" s="2" t="n">
        <f>HYPERLINK("https://image-ppubs.uspto.gov/dirsearch-public/print/downloadPdf/20170095499","USPTO PDF")</f>
        <v>0.0</v>
      </c>
      <c r="K2905" s="2" t="n">
        <f>HYPERLINK("https://sectors.patentforecast.com/pmd/US20170095499","PMD")</f>
        <v>0.0</v>
      </c>
      <c r="L2905" s="2" t="n">
        <f>HYPERLINK("https://globaldossier.uspto.gov/result/application/US/15282128/1","US20170095499")</f>
        <v>0.0</v>
      </c>
      <c r="M2905" t="s">
        <v>19330</v>
      </c>
      <c r="N2905" t="s">
        <v>664</v>
      </c>
      <c r="O2905" t="s">
        <v>665</v>
      </c>
      <c r="P2905" t="s">
        <v>19331</v>
      </c>
      <c r="Q2905" s="3" t="n">
        <v>42643.0</v>
      </c>
      <c r="R2905" s="3" t="n">
        <v>42831.0</v>
      </c>
      <c r="S2905" s="3" t="n">
        <v>43952.45991027778</v>
      </c>
      <c r="T2905" s="3" t="n">
        <v>44638.65271974537</v>
      </c>
      <c r="U2905" t="s">
        <v>19332</v>
      </c>
      <c r="V2905" t="s">
        <v>17578</v>
      </c>
    </row>
    <row r="2906">
      <c r="A2906" t="s">
        <v>22</v>
      </c>
      <c r="B2906" t="s">
        <v>19333</v>
      </c>
      <c r="C2906" t="s">
        <v>132</v>
      </c>
      <c r="D2906" t="s">
        <v>1265</v>
      </c>
      <c r="E2906" t="s">
        <v>19334</v>
      </c>
      <c r="F2906" s="2" t="n">
        <f>HYPERLINK("https://patents.google.com/patent/US20170091406","Google")</f>
        <v>0.0</v>
      </c>
      <c r="G2906" s="2" t="n">
        <f>HYPERLINK("https://patentcenter.uspto.gov/applications/15126813","Patent Center")</f>
        <v>0.0</v>
      </c>
      <c r="H2906" s="2" t="n">
        <f>HYPERLINK("https://worldwide.espacenet.com/patent/search?q=US20170091406","Espacenet")</f>
        <v>0.0</v>
      </c>
      <c r="I2906" s="2" t="n">
        <f>HYPERLINK("https://ppubs.uspto.gov/pubwebapp/external.html?q=20170091406.pn.","USPTO")</f>
        <v>0.0</v>
      </c>
      <c r="J2906" s="2" t="n">
        <f>HYPERLINK("https://image-ppubs.uspto.gov/dirsearch-public/print/downloadPdf/20170091406","USPTO PDF")</f>
        <v>0.0</v>
      </c>
      <c r="K2906" s="2" t="n">
        <f>HYPERLINK("https://sectors.patentforecast.com/pmd/US20170091406","PMD")</f>
        <v>0.0</v>
      </c>
      <c r="L2906" s="2" t="n">
        <f>HYPERLINK("https://globaldossier.uspto.gov/result/application/US/15126813/1","US20170091406")</f>
        <v>0.0</v>
      </c>
      <c r="M2906" t="s">
        <v>19335</v>
      </c>
      <c r="N2906" t="s">
        <v>19336</v>
      </c>
      <c r="O2906" t="s">
        <v>19337</v>
      </c>
      <c r="P2906" t="s">
        <v>19338</v>
      </c>
      <c r="Q2906" s="3" t="n">
        <v>42080.0</v>
      </c>
      <c r="R2906" s="3" t="n">
        <v>42824.0</v>
      </c>
      <c r="S2906" s="3" t="n">
        <v>43266.45736449074</v>
      </c>
      <c r="T2906" s="3" t="n">
        <v>43901.72156466435</v>
      </c>
      <c r="U2906" t="s">
        <v>19339</v>
      </c>
      <c r="V2906" t="s">
        <v>19340</v>
      </c>
    </row>
    <row r="2907">
      <c r="A2907" t="s">
        <v>22</v>
      </c>
      <c r="B2907" t="s">
        <v>19341</v>
      </c>
      <c r="C2907" t="s">
        <v>24</v>
      </c>
      <c r="D2907" t="s">
        <v>34</v>
      </c>
      <c r="E2907" t="s">
        <v>19342</v>
      </c>
      <c r="F2907" s="2" t="n">
        <f>HYPERLINK("https://patents.google.com/patent/US20170091403","Google")</f>
        <v>0.0</v>
      </c>
      <c r="G2907" s="2" t="n">
        <f>HYPERLINK("https://patentcenter.uspto.gov/applications/15311467","Patent Center")</f>
        <v>0.0</v>
      </c>
      <c r="H2907" s="2" t="n">
        <f>HYPERLINK("https://worldwide.espacenet.com/patent/search?q=US20170091403","Espacenet")</f>
        <v>0.0</v>
      </c>
      <c r="I2907" s="2" t="n">
        <f>HYPERLINK("https://ppubs.uspto.gov/pubwebapp/external.html?q=20170091403.pn.","USPTO")</f>
        <v>0.0</v>
      </c>
      <c r="J2907" s="2" t="n">
        <f>HYPERLINK("https://image-ppubs.uspto.gov/dirsearch-public/print/downloadPdf/20170091403","USPTO PDF")</f>
        <v>0.0</v>
      </c>
      <c r="K2907" s="2" t="n">
        <f>HYPERLINK("https://sectors.patentforecast.com/pmd/US20170091403","PMD")</f>
        <v>0.0</v>
      </c>
      <c r="L2907" s="2" t="n">
        <f>HYPERLINK("https://globaldossier.uspto.gov/result/application/US/15311467/1","US20170091403")</f>
        <v>0.0</v>
      </c>
      <c r="M2907" t="s">
        <v>19343</v>
      </c>
      <c r="N2907" t="s">
        <v>19344</v>
      </c>
      <c r="O2907" t="s">
        <v>19345</v>
      </c>
      <c r="P2907" t="s">
        <v>19346</v>
      </c>
      <c r="Q2907" s="3" t="n">
        <v>42139.0</v>
      </c>
      <c r="R2907" s="3" t="n">
        <v>42824.0</v>
      </c>
      <c r="S2907" s="3" t="n">
        <v>43938.46107320602</v>
      </c>
      <c r="T2907" s="3" t="n">
        <v>43985.375317592596</v>
      </c>
      <c r="U2907" t="s">
        <v>19347</v>
      </c>
      <c r="V2907" t="s">
        <v>19348</v>
      </c>
    </row>
    <row r="2908">
      <c r="A2908" t="s">
        <v>22</v>
      </c>
      <c r="B2908" t="s">
        <v>19349</v>
      </c>
      <c r="C2908" t="s">
        <v>60</v>
      </c>
      <c r="D2908" t="s">
        <v>61</v>
      </c>
      <c r="E2908" t="s">
        <v>16903</v>
      </c>
      <c r="F2908" s="2" t="n">
        <f>HYPERLINK("https://patents.google.com/patent/US20170088576","Google")</f>
        <v>0.0</v>
      </c>
      <c r="G2908" s="2" t="n">
        <f>HYPERLINK("https://patentcenter.uspto.gov/applications/15254684","Patent Center")</f>
        <v>0.0</v>
      </c>
      <c r="H2908" s="2" t="n">
        <f>HYPERLINK("https://worldwide.espacenet.com/patent/search?q=US20170088576","Espacenet")</f>
        <v>0.0</v>
      </c>
      <c r="I2908" s="2" t="n">
        <f>HYPERLINK("https://ppubs.uspto.gov/pubwebapp/external.html?q=20170088576.pn.","USPTO")</f>
        <v>0.0</v>
      </c>
      <c r="J2908" s="2" t="n">
        <f>HYPERLINK("https://image-ppubs.uspto.gov/dirsearch-public/print/downloadPdf/20170088576","USPTO PDF")</f>
        <v>0.0</v>
      </c>
      <c r="K2908" s="2" t="n">
        <f>HYPERLINK("https://sectors.patentforecast.com/pmd/US20170088576","PMD")</f>
        <v>0.0</v>
      </c>
      <c r="L2908" s="2" t="n">
        <f>HYPERLINK("https://globaldossier.uspto.gov/result/application/US/15254684/1","US20170088576")</f>
        <v>0.0</v>
      </c>
      <c r="M2908" t="s">
        <v>19350</v>
      </c>
      <c r="N2908" t="s">
        <v>664</v>
      </c>
      <c r="O2908" t="s">
        <v>665</v>
      </c>
      <c r="P2908" t="s">
        <v>17356</v>
      </c>
      <c r="Q2908" s="3" t="n">
        <v>42614.0</v>
      </c>
      <c r="R2908" s="3" t="n">
        <v>42824.0</v>
      </c>
      <c r="S2908" s="3" t="n">
        <v>43952.45991027778</v>
      </c>
      <c r="T2908" s="3" t="n">
        <v>44638.65271974537</v>
      </c>
      <c r="U2908" t="s">
        <v>19351</v>
      </c>
      <c r="V2908" t="s">
        <v>17358</v>
      </c>
    </row>
    <row r="2909">
      <c r="A2909" t="s">
        <v>22</v>
      </c>
      <c r="B2909" t="s">
        <v>19352</v>
      </c>
      <c r="C2909" t="s">
        <v>60</v>
      </c>
      <c r="D2909" t="s">
        <v>61</v>
      </c>
      <c r="E2909" t="s">
        <v>19353</v>
      </c>
      <c r="F2909" s="2" t="n">
        <f>HYPERLINK("https://patents.google.com/patent/US20170087223","Google")</f>
        <v>0.0</v>
      </c>
      <c r="G2909" s="2" t="n">
        <f>HYPERLINK("https://patentcenter.uspto.gov/applications/15275442","Patent Center")</f>
        <v>0.0</v>
      </c>
      <c r="H2909" s="2" t="n">
        <f>HYPERLINK("https://worldwide.espacenet.com/patent/search?q=US20170087223","Espacenet")</f>
        <v>0.0</v>
      </c>
      <c r="I2909" s="2" t="n">
        <f>HYPERLINK("https://ppubs.uspto.gov/pubwebapp/external.html?q=20170087223.pn.","USPTO")</f>
        <v>0.0</v>
      </c>
      <c r="J2909" s="2" t="n">
        <f>HYPERLINK("https://image-ppubs.uspto.gov/dirsearch-public/print/downloadPdf/20170087223","USPTO PDF")</f>
        <v>0.0</v>
      </c>
      <c r="K2909" s="2" t="n">
        <f>HYPERLINK("https://sectors.patentforecast.com/pmd/US20170087223","PMD")</f>
        <v>0.0</v>
      </c>
      <c r="L2909" s="2" t="n">
        <f>HYPERLINK("https://globaldossier.uspto.gov/result/application/US/15275442/1","US20170087223")</f>
        <v>0.0</v>
      </c>
      <c r="M2909" t="s">
        <v>19354</v>
      </c>
      <c r="N2909" t="s">
        <v>19060</v>
      </c>
      <c r="O2909" t="s">
        <v>19061</v>
      </c>
      <c r="P2909" t="s">
        <v>19062</v>
      </c>
      <c r="Q2909" s="3" t="n">
        <v>42638.0</v>
      </c>
      <c r="R2909" s="3" t="n">
        <v>42824.0</v>
      </c>
      <c r="S2909" s="3" t="n">
        <v>43900.43738943287</v>
      </c>
      <c r="T2909" s="3" t="n">
        <v>43903.48462943287</v>
      </c>
      <c r="U2909" t="s">
        <v>19355</v>
      </c>
      <c r="V2909" t="s">
        <v>19064</v>
      </c>
    </row>
    <row r="2910">
      <c r="A2910" t="s">
        <v>22</v>
      </c>
      <c r="B2910" t="s">
        <v>19356</v>
      </c>
      <c r="C2910" t="s">
        <v>132</v>
      </c>
      <c r="D2910" t="s">
        <v>133</v>
      </c>
      <c r="E2910" t="s">
        <v>18111</v>
      </c>
      <c r="F2910" s="2" t="n">
        <f>HYPERLINK("https://patents.google.com/patent/US20170080083","Google")</f>
        <v>0.0</v>
      </c>
      <c r="G2910" s="2" t="n">
        <f>HYPERLINK("https://patentcenter.uspto.gov/applications/15125526","Patent Center")</f>
        <v>0.0</v>
      </c>
      <c r="H2910" s="2" t="n">
        <f>HYPERLINK("https://worldwide.espacenet.com/patent/search?q=US20170080083","Espacenet")</f>
        <v>0.0</v>
      </c>
      <c r="I2910" s="2" t="n">
        <f>HYPERLINK("https://ppubs.uspto.gov/pubwebapp/external.html?q=20170080083.pn.","USPTO")</f>
        <v>0.0</v>
      </c>
      <c r="J2910" s="2" t="n">
        <f>HYPERLINK("https://image-ppubs.uspto.gov/dirsearch-public/print/downloadPdf/20170080083","USPTO PDF")</f>
        <v>0.0</v>
      </c>
      <c r="K2910" s="2" t="n">
        <f>HYPERLINK("https://sectors.patentforecast.com/pmd/US20170080083","PMD")</f>
        <v>0.0</v>
      </c>
      <c r="L2910" s="2" t="n">
        <f>HYPERLINK("https://globaldossier.uspto.gov/result/application/US/15125526/1","US20170080083")</f>
        <v>0.0</v>
      </c>
      <c r="M2910" t="s">
        <v>19357</v>
      </c>
      <c r="N2910" t="s">
        <v>10979</v>
      </c>
      <c r="O2910" t="s">
        <v>10980</v>
      </c>
      <c r="P2910" t="s">
        <v>18113</v>
      </c>
      <c r="Q2910" s="3" t="n">
        <v>42073.0</v>
      </c>
      <c r="R2910" s="3" t="n">
        <v>42817.0</v>
      </c>
      <c r="S2910" s="3" t="n">
        <v>43900.43738943287</v>
      </c>
      <c r="T2910" s="3" t="n">
        <v>43903.48463219908</v>
      </c>
      <c r="U2910" t="s">
        <v>18114</v>
      </c>
      <c r="V2910" t="s">
        <v>18115</v>
      </c>
    </row>
    <row r="2911">
      <c r="A2911" t="s">
        <v>22</v>
      </c>
      <c r="B2911" t="s">
        <v>19358</v>
      </c>
      <c r="C2911" t="s">
        <v>60</v>
      </c>
      <c r="D2911" t="s">
        <v>61</v>
      </c>
      <c r="E2911" t="s">
        <v>8636</v>
      </c>
      <c r="F2911" s="2" t="n">
        <f>HYPERLINK("https://patents.google.com/patent/US20170071964","Google")</f>
        <v>0.0</v>
      </c>
      <c r="G2911" s="2" t="n">
        <f>HYPERLINK("https://patentcenter.uspto.gov/applications/15267433","Patent Center")</f>
        <v>0.0</v>
      </c>
      <c r="H2911" s="2" t="n">
        <f>HYPERLINK("https://worldwide.espacenet.com/patent/search?q=US20170071964","Espacenet")</f>
        <v>0.0</v>
      </c>
      <c r="I2911" s="2" t="n">
        <f>HYPERLINK("https://ppubs.uspto.gov/pubwebapp/external.html?q=20170071964.pn.","USPTO")</f>
        <v>0.0</v>
      </c>
      <c r="J2911" s="2" t="n">
        <f>HYPERLINK("https://image-ppubs.uspto.gov/dirsearch-public/print/downloadPdf/20170071964","USPTO PDF")</f>
        <v>0.0</v>
      </c>
      <c r="K2911" s="2" t="n">
        <f>HYPERLINK("https://sectors.patentforecast.com/pmd/US20170071964","PMD")</f>
        <v>0.0</v>
      </c>
      <c r="L2911" s="2" t="n">
        <f>HYPERLINK("https://globaldossier.uspto.gov/result/application/US/15267433/1","US20170071964")</f>
        <v>0.0</v>
      </c>
      <c r="M2911" t="s">
        <v>19359</v>
      </c>
      <c r="N2911" t="s">
        <v>664</v>
      </c>
      <c r="O2911" t="s">
        <v>665</v>
      </c>
      <c r="P2911" t="s">
        <v>16194</v>
      </c>
      <c r="Q2911" s="3" t="n">
        <v>42629.0</v>
      </c>
      <c r="R2911" s="3" t="n">
        <v>42810.0</v>
      </c>
      <c r="S2911" s="3" t="n">
        <v>43950.66032956018</v>
      </c>
      <c r="T2911" s="3" t="n">
        <v>43950.66084768518</v>
      </c>
      <c r="U2911" t="s">
        <v>19360</v>
      </c>
      <c r="V2911" t="s">
        <v>8640</v>
      </c>
    </row>
    <row r="2912">
      <c r="A2912" t="s">
        <v>22</v>
      </c>
      <c r="B2912" t="s">
        <v>19361</v>
      </c>
      <c r="C2912" t="s">
        <v>60</v>
      </c>
      <c r="D2912" t="s">
        <v>61</v>
      </c>
      <c r="E2912" t="s">
        <v>18226</v>
      </c>
      <c r="F2912" s="2" t="n">
        <f>HYPERLINK("https://patents.google.com/patent/US20170071944","Google")</f>
        <v>0.0</v>
      </c>
      <c r="G2912" s="2" t="n">
        <f>HYPERLINK("https://patentcenter.uspto.gov/applications/15264401","Patent Center")</f>
        <v>0.0</v>
      </c>
      <c r="H2912" s="2" t="n">
        <f>HYPERLINK("https://worldwide.espacenet.com/patent/search?q=US20170071944","Espacenet")</f>
        <v>0.0</v>
      </c>
      <c r="I2912" s="2" t="n">
        <f>HYPERLINK("https://ppubs.uspto.gov/pubwebapp/external.html?q=20170071944.pn.","USPTO")</f>
        <v>0.0</v>
      </c>
      <c r="J2912" s="2" t="n">
        <f>HYPERLINK("https://image-ppubs.uspto.gov/dirsearch-public/print/downloadPdf/20170071944","USPTO PDF")</f>
        <v>0.0</v>
      </c>
      <c r="K2912" s="2" t="n">
        <f>HYPERLINK("https://sectors.patentforecast.com/pmd/US20170071944","PMD")</f>
        <v>0.0</v>
      </c>
      <c r="L2912" s="2" t="n">
        <f>HYPERLINK("https://globaldossier.uspto.gov/result/application/US/15264401/1","US20170071944")</f>
        <v>0.0</v>
      </c>
      <c r="M2912" t="s">
        <v>19362</v>
      </c>
      <c r="N2912" t="s">
        <v>664</v>
      </c>
      <c r="O2912" t="s">
        <v>665</v>
      </c>
      <c r="P2912" t="s">
        <v>19363</v>
      </c>
      <c r="Q2912" s="3" t="n">
        <v>42626.0</v>
      </c>
      <c r="R2912" s="3" t="n">
        <v>42810.0</v>
      </c>
      <c r="S2912" s="3" t="n">
        <v>43952.45991027778</v>
      </c>
      <c r="T2912" s="3" t="n">
        <v>44638.662781747684</v>
      </c>
      <c r="U2912" t="s">
        <v>19364</v>
      </c>
      <c r="V2912" t="s">
        <v>18230</v>
      </c>
    </row>
    <row r="2913">
      <c r="A2913" t="s">
        <v>22</v>
      </c>
      <c r="B2913" t="s">
        <v>19365</v>
      </c>
      <c r="C2913" t="s">
        <v>132</v>
      </c>
      <c r="D2913" t="s">
        <v>1265</v>
      </c>
      <c r="E2913" t="s">
        <v>19366</v>
      </c>
      <c r="F2913" s="2" t="n">
        <f>HYPERLINK("https://patents.google.com/patent/US20170067030","Google")</f>
        <v>0.0</v>
      </c>
      <c r="G2913" s="2" t="n">
        <f>HYPERLINK("https://patentcenter.uspto.gov/applications/15258584","Patent Center")</f>
        <v>0.0</v>
      </c>
      <c r="H2913" s="2" t="n">
        <f>HYPERLINK("https://worldwide.espacenet.com/patent/search?q=US20170067030","Espacenet")</f>
        <v>0.0</v>
      </c>
      <c r="I2913" s="2" t="n">
        <f>HYPERLINK("https://ppubs.uspto.gov/pubwebapp/external.html?q=20170067030.pn.","USPTO")</f>
        <v>0.0</v>
      </c>
      <c r="J2913" s="2" t="n">
        <f>HYPERLINK("https://image-ppubs.uspto.gov/dirsearch-public/print/downloadPdf/20170067030","USPTO PDF")</f>
        <v>0.0</v>
      </c>
      <c r="K2913" s="2" t="n">
        <f>HYPERLINK("https://sectors.patentforecast.com/pmd/US20170067030","PMD")</f>
        <v>0.0</v>
      </c>
      <c r="L2913" s="2" t="n">
        <f>HYPERLINK("https://globaldossier.uspto.gov/result/application/US/15258584/1","US20170067030")</f>
        <v>0.0</v>
      </c>
      <c r="M2913" t="s">
        <v>19367</v>
      </c>
      <c r="N2913" t="s">
        <v>2095</v>
      </c>
      <c r="O2913" t="s">
        <v>2096</v>
      </c>
      <c r="P2913" t="s">
        <v>19368</v>
      </c>
      <c r="Q2913" s="3" t="n">
        <v>42620.0</v>
      </c>
      <c r="R2913" s="3" t="n">
        <v>42803.0</v>
      </c>
      <c r="S2913" s="3" t="n">
        <v>43931.46126971065</v>
      </c>
      <c r="T2913" s="3" t="n">
        <v>44543.62038399305</v>
      </c>
      <c r="U2913" t="s">
        <v>19369</v>
      </c>
      <c r="V2913" t="s">
        <v>19370</v>
      </c>
    </row>
    <row r="2914">
      <c r="A2914" t="s">
        <v>22</v>
      </c>
      <c r="B2914" t="s">
        <v>19371</v>
      </c>
      <c r="C2914" t="s">
        <v>60</v>
      </c>
      <c r="D2914" t="s">
        <v>61</v>
      </c>
      <c r="E2914" t="s">
        <v>19372</v>
      </c>
      <c r="F2914" s="2" t="n">
        <f>HYPERLINK("https://patents.google.com/patent/US20170065677","Google")</f>
        <v>0.0</v>
      </c>
      <c r="G2914" s="2" t="n">
        <f>HYPERLINK("https://patentcenter.uspto.gov/applications/15217601","Patent Center")</f>
        <v>0.0</v>
      </c>
      <c r="H2914" s="2" t="n">
        <f>HYPERLINK("https://worldwide.espacenet.com/patent/search?q=US20170065677","Espacenet")</f>
        <v>0.0</v>
      </c>
      <c r="I2914" s="2" t="n">
        <f>HYPERLINK("https://ppubs.uspto.gov/pubwebapp/external.html?q=20170065677.pn.","USPTO")</f>
        <v>0.0</v>
      </c>
      <c r="J2914" s="2" t="n">
        <f>HYPERLINK("https://image-ppubs.uspto.gov/dirsearch-public/print/downloadPdf/20170065677","USPTO PDF")</f>
        <v>0.0</v>
      </c>
      <c r="K2914" s="2" t="n">
        <f>HYPERLINK("https://sectors.patentforecast.com/pmd/US20170065677","PMD")</f>
        <v>0.0</v>
      </c>
      <c r="L2914" s="2" t="n">
        <f>HYPERLINK("https://globaldossier.uspto.gov/result/application/US/15217601/1","US20170065677")</f>
        <v>0.0</v>
      </c>
      <c r="M2914" t="s">
        <v>19373</v>
      </c>
      <c r="N2914" t="s">
        <v>16831</v>
      </c>
      <c r="O2914" t="s">
        <v>16832</v>
      </c>
      <c r="P2914" t="s">
        <v>16833</v>
      </c>
      <c r="Q2914" s="3" t="n">
        <v>42573.0</v>
      </c>
      <c r="R2914" s="3" t="n">
        <v>42803.0</v>
      </c>
      <c r="S2914" s="3" t="n">
        <v>43900.43738943287</v>
      </c>
      <c r="T2914" s="3" t="n">
        <v>43901.721564039355</v>
      </c>
      <c r="U2914" t="s">
        <v>16834</v>
      </c>
      <c r="V2914" t="s">
        <v>19374</v>
      </c>
    </row>
    <row r="2915">
      <c r="A2915" t="s">
        <v>22</v>
      </c>
      <c r="B2915" t="s">
        <v>19375</v>
      </c>
      <c r="C2915" t="s">
        <v>60</v>
      </c>
      <c r="D2915" t="s">
        <v>61</v>
      </c>
      <c r="E2915" t="s">
        <v>19376</v>
      </c>
      <c r="F2915" s="2" t="n">
        <f>HYPERLINK("https://patents.google.com/patent/US20170056423","Google")</f>
        <v>0.0</v>
      </c>
      <c r="G2915" s="2" t="n">
        <f>HYPERLINK("https://patentcenter.uspto.gov/applications/15284105","Patent Center")</f>
        <v>0.0</v>
      </c>
      <c r="H2915" s="2" t="n">
        <f>HYPERLINK("https://worldwide.espacenet.com/patent/search?q=US20170056423","Espacenet")</f>
        <v>0.0</v>
      </c>
      <c r="I2915" s="2" t="n">
        <f>HYPERLINK("https://ppubs.uspto.gov/pubwebapp/external.html?q=20170056423.pn.","USPTO")</f>
        <v>0.0</v>
      </c>
      <c r="J2915" s="2" t="n">
        <f>HYPERLINK("https://image-ppubs.uspto.gov/dirsearch-public/print/downloadPdf/20170056423","USPTO PDF")</f>
        <v>0.0</v>
      </c>
      <c r="K2915" s="2" t="n">
        <f>HYPERLINK("https://sectors.patentforecast.com/pmd/US20170056423","PMD")</f>
        <v>0.0</v>
      </c>
      <c r="L2915" s="2" t="n">
        <f>HYPERLINK("https://globaldossier.uspto.gov/result/application/US/15284105/1","US20170056423")</f>
        <v>0.0</v>
      </c>
      <c r="M2915" t="s">
        <v>19377</v>
      </c>
      <c r="N2915" t="s">
        <v>664</v>
      </c>
      <c r="O2915" t="s">
        <v>665</v>
      </c>
      <c r="P2915" t="s">
        <v>19378</v>
      </c>
      <c r="Q2915" s="3" t="n">
        <v>42646.0</v>
      </c>
      <c r="R2915" s="3" t="n">
        <v>42796.0</v>
      </c>
      <c r="S2915" s="3" t="n">
        <v>43952.45991027778</v>
      </c>
      <c r="T2915" s="3" t="n">
        <v>44638.65579662037</v>
      </c>
      <c r="U2915" t="s">
        <v>19379</v>
      </c>
      <c r="V2915" t="s">
        <v>19380</v>
      </c>
    </row>
    <row r="2916">
      <c r="A2916" t="s">
        <v>22</v>
      </c>
      <c r="B2916" t="s">
        <v>19381</v>
      </c>
      <c r="C2916" t="s">
        <v>24</v>
      </c>
      <c r="D2916" t="s">
        <v>25</v>
      </c>
      <c r="E2916" t="s">
        <v>3619</v>
      </c>
      <c r="F2916" s="2" t="n">
        <f>HYPERLINK("https://patents.google.com/patent/US20170053091","Google")</f>
        <v>0.0</v>
      </c>
      <c r="G2916" s="2" t="n">
        <f>HYPERLINK("https://patentcenter.uspto.gov/applications/15246401","Patent Center")</f>
        <v>0.0</v>
      </c>
      <c r="H2916" s="2" t="n">
        <f>HYPERLINK("https://worldwide.espacenet.com/patent/search?q=US20170053091","Espacenet")</f>
        <v>0.0</v>
      </c>
      <c r="I2916" s="2" t="n">
        <f>HYPERLINK("https://ppubs.uspto.gov/pubwebapp/external.html?q=20170053091.pn.","USPTO")</f>
        <v>0.0</v>
      </c>
      <c r="J2916" s="2" t="n">
        <f>HYPERLINK("https://image-ppubs.uspto.gov/dirsearch-public/print/downloadPdf/20170053091","USPTO PDF")</f>
        <v>0.0</v>
      </c>
      <c r="K2916" s="2" t="n">
        <f>HYPERLINK("https://sectors.patentforecast.com/pmd/US20170053091","PMD")</f>
        <v>0.0</v>
      </c>
      <c r="L2916" s="2" t="n">
        <f>HYPERLINK("https://globaldossier.uspto.gov/result/application/US/15246401/1","US20170053091")</f>
        <v>0.0</v>
      </c>
      <c r="M2916" t="s">
        <v>19382</v>
      </c>
      <c r="N2916" t="s">
        <v>3621</v>
      </c>
      <c r="O2916" t="s">
        <v>3622</v>
      </c>
      <c r="P2916" t="s">
        <v>19383</v>
      </c>
      <c r="Q2916" s="3" t="n">
        <v>42606.0</v>
      </c>
      <c r="R2916" s="3" t="n">
        <v>42789.0</v>
      </c>
      <c r="S2916" s="3" t="n">
        <v>43266.457365173614</v>
      </c>
      <c r="T2916" s="3" t="n">
        <v>43903.49497351852</v>
      </c>
      <c r="U2916" t="s">
        <v>19384</v>
      </c>
      <c r="V2916" t="s">
        <v>3625</v>
      </c>
    </row>
    <row r="2917">
      <c r="A2917" t="s">
        <v>22</v>
      </c>
      <c r="B2917" t="s">
        <v>19385</v>
      </c>
      <c r="C2917" t="s">
        <v>312</v>
      </c>
      <c r="D2917" t="s">
        <v>976</v>
      </c>
      <c r="E2917" t="s">
        <v>19386</v>
      </c>
      <c r="F2917" s="2" t="n">
        <f>HYPERLINK("https://patents.google.com/patent/US20170039339","Google")</f>
        <v>0.0</v>
      </c>
      <c r="G2917" s="2" t="n">
        <f>HYPERLINK("https://patentcenter.uspto.gov/applications/14970038","Patent Center")</f>
        <v>0.0</v>
      </c>
      <c r="H2917" s="2" t="n">
        <f>HYPERLINK("https://worldwide.espacenet.com/patent/search?q=US20170039339","Espacenet")</f>
        <v>0.0</v>
      </c>
      <c r="I2917" s="2" t="n">
        <f>HYPERLINK("https://ppubs.uspto.gov/pubwebapp/external.html?q=20170039339.pn.","USPTO")</f>
        <v>0.0</v>
      </c>
      <c r="J2917" s="2" t="n">
        <f>HYPERLINK("https://image-ppubs.uspto.gov/dirsearch-public/print/downloadPdf/20170039339","USPTO PDF")</f>
        <v>0.0</v>
      </c>
      <c r="K2917" s="2" t="n">
        <f>HYPERLINK("https://sectors.patentforecast.com/pmd/US20170039339","PMD")</f>
        <v>0.0</v>
      </c>
      <c r="L2917" s="2" t="n">
        <f>HYPERLINK("https://globaldossier.uspto.gov/result/application/US/14970038/1","US20170039339")</f>
        <v>0.0</v>
      </c>
      <c r="M2917" t="s">
        <v>19387</v>
      </c>
      <c r="N2917" t="s">
        <v>19388</v>
      </c>
      <c r="O2917" t="s">
        <v>19389</v>
      </c>
      <c r="P2917" t="s">
        <v>19390</v>
      </c>
      <c r="Q2917" s="3" t="n">
        <v>42353.0</v>
      </c>
      <c r="R2917" s="3" t="n">
        <v>42775.0</v>
      </c>
      <c r="S2917" s="3" t="n">
        <v>43266.45736516204</v>
      </c>
      <c r="T2917" s="3" t="n">
        <v>43950.57829012731</v>
      </c>
      <c r="U2917" t="s">
        <v>19391</v>
      </c>
      <c r="V2917" t="s">
        <v>19392</v>
      </c>
    </row>
    <row r="2918">
      <c r="A2918" t="s">
        <v>22</v>
      </c>
      <c r="B2918" t="s">
        <v>19393</v>
      </c>
      <c r="C2918" t="s">
        <v>60</v>
      </c>
      <c r="D2918" t="s">
        <v>61</v>
      </c>
      <c r="E2918" t="s">
        <v>18883</v>
      </c>
      <c r="F2918" s="2" t="n">
        <f>HYPERLINK("https://patents.google.com/patent/US20170029427","Google")</f>
        <v>0.0</v>
      </c>
      <c r="G2918" s="2" t="n">
        <f>HYPERLINK("https://patentcenter.uspto.gov/applications/15191974","Patent Center")</f>
        <v>0.0</v>
      </c>
      <c r="H2918" s="2" t="n">
        <f>HYPERLINK("https://worldwide.espacenet.com/patent/search?q=US20170029427","Espacenet")</f>
        <v>0.0</v>
      </c>
      <c r="I2918" s="2" t="n">
        <f>HYPERLINK("https://ppubs.uspto.gov/pubwebapp/external.html?q=20170029427.pn.","USPTO")</f>
        <v>0.0</v>
      </c>
      <c r="J2918" s="2" t="n">
        <f>HYPERLINK("https://image-ppubs.uspto.gov/dirsearch-public/print/downloadPdf/20170029427","USPTO PDF")</f>
        <v>0.0</v>
      </c>
      <c r="K2918" s="2" t="n">
        <f>HYPERLINK("https://sectors.patentforecast.com/pmd/US20170029427","PMD")</f>
        <v>0.0</v>
      </c>
      <c r="L2918" s="2" t="n">
        <f>HYPERLINK("https://globaldossier.uspto.gov/result/application/US/15191974/1","US20170029427")</f>
        <v>0.0</v>
      </c>
      <c r="M2918" t="s">
        <v>19394</v>
      </c>
      <c r="N2918" t="s">
        <v>664</v>
      </c>
      <c r="O2918" t="s">
        <v>665</v>
      </c>
      <c r="P2918" t="s">
        <v>19395</v>
      </c>
      <c r="Q2918" s="3" t="n">
        <v>42545.0</v>
      </c>
      <c r="R2918" s="3" t="n">
        <v>42768.0</v>
      </c>
      <c r="S2918" s="3" t="n">
        <v>43952.45991027778</v>
      </c>
      <c r="T2918" s="3" t="n">
        <v>44638.65271974537</v>
      </c>
      <c r="U2918" t="s">
        <v>19396</v>
      </c>
      <c r="V2918" t="s">
        <v>18887</v>
      </c>
    </row>
    <row r="2919">
      <c r="A2919" t="s">
        <v>22</v>
      </c>
      <c r="B2919" t="s">
        <v>19397</v>
      </c>
      <c r="C2919" t="s">
        <v>60</v>
      </c>
      <c r="D2919" t="s">
        <v>61</v>
      </c>
      <c r="E2919" t="s">
        <v>16903</v>
      </c>
      <c r="F2919" s="2" t="n">
        <f>HYPERLINK("https://patents.google.com/patent/US20170029408","Google")</f>
        <v>0.0</v>
      </c>
      <c r="G2919" s="2" t="n">
        <f>HYPERLINK("https://patentcenter.uspto.gov/applications/15279303","Patent Center")</f>
        <v>0.0</v>
      </c>
      <c r="H2919" s="2" t="n">
        <f>HYPERLINK("https://worldwide.espacenet.com/patent/search?q=US20170029408","Espacenet")</f>
        <v>0.0</v>
      </c>
      <c r="I2919" s="2" t="n">
        <f>HYPERLINK("https://ppubs.uspto.gov/pubwebapp/external.html?q=20170029408.pn.","USPTO")</f>
        <v>0.0</v>
      </c>
      <c r="J2919" s="2" t="n">
        <f>HYPERLINK("https://image-ppubs.uspto.gov/dirsearch-public/print/downloadPdf/20170029408","USPTO PDF")</f>
        <v>0.0</v>
      </c>
      <c r="K2919" s="2" t="n">
        <f>HYPERLINK("https://sectors.patentforecast.com/pmd/US20170029408","PMD")</f>
        <v>0.0</v>
      </c>
      <c r="L2919" s="2" t="n">
        <f>HYPERLINK("https://globaldossier.uspto.gov/result/application/US/15279303/1","US20170029408")</f>
        <v>0.0</v>
      </c>
      <c r="M2919" t="s">
        <v>19398</v>
      </c>
      <c r="N2919" t="s">
        <v>664</v>
      </c>
      <c r="O2919" t="s">
        <v>665</v>
      </c>
      <c r="P2919" t="s">
        <v>19399</v>
      </c>
      <c r="Q2919" s="3" t="n">
        <v>42641.0</v>
      </c>
      <c r="R2919" s="3" t="n">
        <v>42768.0</v>
      </c>
      <c r="S2919" s="3" t="n">
        <v>43952.45991027778</v>
      </c>
      <c r="T2919" s="3" t="n">
        <v>44638.65271974537</v>
      </c>
      <c r="U2919" t="s">
        <v>19400</v>
      </c>
      <c r="V2919" t="s">
        <v>16907</v>
      </c>
    </row>
    <row r="2920">
      <c r="A2920" t="s">
        <v>22</v>
      </c>
      <c r="B2920" t="s">
        <v>19401</v>
      </c>
      <c r="C2920" t="s">
        <v>24</v>
      </c>
      <c r="D2920" t="s">
        <v>43</v>
      </c>
      <c r="E2920" t="s">
        <v>19402</v>
      </c>
      <c r="F2920" s="2" t="n">
        <f>HYPERLINK("https://patents.google.com/patent/US20170024531","Google")</f>
        <v>0.0</v>
      </c>
      <c r="G2920" s="2" t="n">
        <f>HYPERLINK("https://patentcenter.uspto.gov/applications/15217372","Patent Center")</f>
        <v>0.0</v>
      </c>
      <c r="H2920" s="2" t="n">
        <f>HYPERLINK("https://worldwide.espacenet.com/patent/search?q=US20170024531","Espacenet")</f>
        <v>0.0</v>
      </c>
      <c r="I2920" s="2" t="n">
        <f>HYPERLINK("https://ppubs.uspto.gov/pubwebapp/external.html?q=20170024531.pn.","USPTO")</f>
        <v>0.0</v>
      </c>
      <c r="J2920" s="2" t="n">
        <f>HYPERLINK("https://image-ppubs.uspto.gov/dirsearch-public/print/downloadPdf/20170024531","USPTO PDF")</f>
        <v>0.0</v>
      </c>
      <c r="K2920" s="2" t="n">
        <f>HYPERLINK("https://sectors.patentforecast.com/pmd/US20170024531","PMD")</f>
        <v>0.0</v>
      </c>
      <c r="L2920" s="2" t="n">
        <f>HYPERLINK("https://globaldossier.uspto.gov/result/application/US/15217372/1","US20170024531")</f>
        <v>0.0</v>
      </c>
      <c r="M2920" t="s">
        <v>19403</v>
      </c>
      <c r="N2920" t="s">
        <v>19404</v>
      </c>
      <c r="O2920" t="s">
        <v>19405</v>
      </c>
      <c r="P2920" t="s">
        <v>19406</v>
      </c>
      <c r="Q2920" s="3" t="n">
        <v>42573.0</v>
      </c>
      <c r="R2920" s="3" t="n">
        <v>42761.0</v>
      </c>
      <c r="S2920" s="3" t="n">
        <v>43977.48669230324</v>
      </c>
      <c r="T2920" s="3" t="n">
        <v>43977.49248743056</v>
      </c>
      <c r="U2920" t="s">
        <v>19407</v>
      </c>
      <c r="V2920" t="s">
        <v>19408</v>
      </c>
    </row>
    <row r="2921">
      <c r="A2921" t="s">
        <v>22</v>
      </c>
      <c r="B2921" t="s">
        <v>19409</v>
      </c>
      <c r="C2921" t="s">
        <v>60</v>
      </c>
      <c r="D2921" t="s">
        <v>845</v>
      </c>
      <c r="E2921" t="s">
        <v>19410</v>
      </c>
      <c r="F2921" s="2" t="n">
        <f>HYPERLINK("https://patents.google.com/patent/US20170024521","Google")</f>
        <v>0.0</v>
      </c>
      <c r="G2921" s="2" t="n">
        <f>HYPERLINK("https://patentcenter.uspto.gov/applications/15303060","Patent Center")</f>
        <v>0.0</v>
      </c>
      <c r="H2921" s="2" t="n">
        <f>HYPERLINK("https://worldwide.espacenet.com/patent/search?q=US20170024521","Espacenet")</f>
        <v>0.0</v>
      </c>
      <c r="I2921" s="2" t="n">
        <f>HYPERLINK("https://ppubs.uspto.gov/pubwebapp/external.html?q=20170024521.pn.","USPTO")</f>
        <v>0.0</v>
      </c>
      <c r="J2921" s="2" t="n">
        <f>HYPERLINK("https://image-ppubs.uspto.gov/dirsearch-public/print/downloadPdf/20170024521","USPTO PDF")</f>
        <v>0.0</v>
      </c>
      <c r="K2921" s="2" t="n">
        <f>HYPERLINK("https://sectors.patentforecast.com/pmd/US20170024521","PMD")</f>
        <v>0.0</v>
      </c>
      <c r="L2921" s="2" t="n">
        <f>HYPERLINK("https://globaldossier.uspto.gov/result/application/US/15303060/1","US20170024521")</f>
        <v>0.0</v>
      </c>
      <c r="M2921" t="s">
        <v>19411</v>
      </c>
      <c r="N2921" t="s">
        <v>15166</v>
      </c>
      <c r="O2921" t="s">
        <v>15167</v>
      </c>
      <c r="P2921" t="s">
        <v>19412</v>
      </c>
      <c r="Q2921" s="3" t="n">
        <v>42072.0</v>
      </c>
      <c r="R2921" s="3" t="n">
        <v>42761.0</v>
      </c>
      <c r="S2921" s="3" t="n">
        <v>43931.46126971065</v>
      </c>
      <c r="T2921" s="3" t="n">
        <v>44543.625447638886</v>
      </c>
      <c r="U2921" t="s">
        <v>19413</v>
      </c>
      <c r="V2921" t="s">
        <v>19414</v>
      </c>
    </row>
    <row r="2922">
      <c r="A2922" t="s">
        <v>22</v>
      </c>
      <c r="B2922" t="s">
        <v>19415</v>
      </c>
      <c r="C2922" t="s">
        <v>60</v>
      </c>
      <c r="D2922" t="s">
        <v>61</v>
      </c>
      <c r="E2922" t="s">
        <v>17915</v>
      </c>
      <c r="F2922" s="2" t="n">
        <f>HYPERLINK("https://patents.google.com/patent/US20170008897","Google")</f>
        <v>0.0</v>
      </c>
      <c r="G2922" s="2" t="n">
        <f>HYPERLINK("https://patentcenter.uspto.gov/applications/15182529","Patent Center")</f>
        <v>0.0</v>
      </c>
      <c r="H2922" s="2" t="n">
        <f>HYPERLINK("https://worldwide.espacenet.com/patent/search?q=US20170008897","Espacenet")</f>
        <v>0.0</v>
      </c>
      <c r="I2922" s="2" t="n">
        <f>HYPERLINK("https://ppubs.uspto.gov/pubwebapp/external.html?q=20170008897.pn.","USPTO")</f>
        <v>0.0</v>
      </c>
      <c r="J2922" s="2" t="n">
        <f>HYPERLINK("https://image-ppubs.uspto.gov/dirsearch-public/print/downloadPdf/20170008897","USPTO PDF")</f>
        <v>0.0</v>
      </c>
      <c r="K2922" s="2" t="n">
        <f>HYPERLINK("https://sectors.patentforecast.com/pmd/US20170008897","PMD")</f>
        <v>0.0</v>
      </c>
      <c r="L2922" s="2" t="n">
        <f>HYPERLINK("https://globaldossier.uspto.gov/result/application/US/15182529/1","US20170008897")</f>
        <v>0.0</v>
      </c>
      <c r="M2922" t="s">
        <v>19416</v>
      </c>
      <c r="N2922" t="s">
        <v>664</v>
      </c>
      <c r="O2922" t="s">
        <v>665</v>
      </c>
      <c r="P2922" t="s">
        <v>19417</v>
      </c>
      <c r="Q2922" s="3" t="n">
        <v>42535.0</v>
      </c>
      <c r="R2922" s="3" t="n">
        <v>42747.0</v>
      </c>
      <c r="S2922" s="3" t="n">
        <v>43952.459706712965</v>
      </c>
      <c r="T2922" s="3" t="n">
        <v>44638.65643378472</v>
      </c>
      <c r="U2922" t="s">
        <v>19418</v>
      </c>
      <c r="V2922" t="s">
        <v>17919</v>
      </c>
    </row>
    <row r="2923">
      <c r="A2923" t="s">
        <v>22</v>
      </c>
      <c r="B2923" t="s">
        <v>19419</v>
      </c>
      <c r="C2923" t="s">
        <v>132</v>
      </c>
      <c r="D2923" t="s">
        <v>142</v>
      </c>
      <c r="E2923" t="s">
        <v>15477</v>
      </c>
      <c r="F2923" s="2" t="n">
        <f>HYPERLINK("https://patents.google.com/patent/US20170007693","Google")</f>
        <v>0.0</v>
      </c>
      <c r="G2923" s="2" t="n">
        <f>HYPERLINK("https://patentcenter.uspto.gov/applications/15109900","Patent Center")</f>
        <v>0.0</v>
      </c>
      <c r="H2923" s="2" t="n">
        <f>HYPERLINK("https://worldwide.espacenet.com/patent/search?q=US20170007693","Espacenet")</f>
        <v>0.0</v>
      </c>
      <c r="I2923" s="2" t="n">
        <f>HYPERLINK("https://ppubs.uspto.gov/pubwebapp/external.html?q=20170007693.pn.","USPTO")</f>
        <v>0.0</v>
      </c>
      <c r="J2923" s="2" t="n">
        <f>HYPERLINK("https://image-ppubs.uspto.gov/dirsearch-public/print/downloadPdf/20170007693","USPTO PDF")</f>
        <v>0.0</v>
      </c>
      <c r="K2923" s="2" t="n">
        <f>HYPERLINK("https://sectors.patentforecast.com/pmd/US20170007693","PMD")</f>
        <v>0.0</v>
      </c>
      <c r="L2923" s="2" t="n">
        <f>HYPERLINK("https://globaldossier.uspto.gov/result/application/US/15109900/1","US20170007693")</f>
        <v>0.0</v>
      </c>
      <c r="M2923" t="s">
        <v>19420</v>
      </c>
      <c r="N2923" t="s">
        <v>2541</v>
      </c>
      <c r="O2923" t="s">
        <v>2542</v>
      </c>
      <c r="P2923" t="s">
        <v>19421</v>
      </c>
      <c r="Q2923" s="3" t="n">
        <v>42010.0</v>
      </c>
      <c r="R2923" s="3" t="n">
        <v>42747.0</v>
      </c>
      <c r="S2923" s="3" t="n">
        <v>43936.46037263889</v>
      </c>
      <c r="T2923" s="3" t="n">
        <v>43950.42259263889</v>
      </c>
      <c r="U2923" t="s">
        <v>19422</v>
      </c>
      <c r="V2923" t="s">
        <v>15481</v>
      </c>
    </row>
    <row r="2924">
      <c r="A2924" t="s">
        <v>22</v>
      </c>
      <c r="B2924" t="s">
        <v>19423</v>
      </c>
      <c r="C2924" t="s">
        <v>132</v>
      </c>
      <c r="D2924" t="s">
        <v>133</v>
      </c>
      <c r="E2924" t="s">
        <v>19424</v>
      </c>
      <c r="F2924" s="2" t="n">
        <f>HYPERLINK("https://patents.google.com/patent/US20160376321","Google")</f>
        <v>0.0</v>
      </c>
      <c r="G2924" s="2" t="n">
        <f>HYPERLINK("https://patentcenter.uspto.gov/applications/15038726","Patent Center")</f>
        <v>0.0</v>
      </c>
      <c r="H2924" s="2" t="n">
        <f>HYPERLINK("https://worldwide.espacenet.com/patent/search?q=US20160376321","Espacenet")</f>
        <v>0.0</v>
      </c>
      <c r="I2924" s="2" t="n">
        <f>HYPERLINK("https://ppubs.uspto.gov/pubwebapp/external.html?q=20160376321.pn.","USPTO")</f>
        <v>0.0</v>
      </c>
      <c r="J2924" s="2" t="n">
        <f>HYPERLINK("https://image-ppubs.uspto.gov/dirsearch-public/print/downloadPdf/20160376321","USPTO PDF")</f>
        <v>0.0</v>
      </c>
      <c r="K2924" s="2" t="n">
        <f>HYPERLINK("https://sectors.patentforecast.com/pmd/US20160376321","PMD")</f>
        <v>0.0</v>
      </c>
      <c r="L2924" s="2" t="n">
        <f>HYPERLINK("https://globaldossier.uspto.gov/result/application/US/15038726/1","US20160376321")</f>
        <v>0.0</v>
      </c>
      <c r="M2924" t="s">
        <v>19425</v>
      </c>
      <c r="N2924" t="s">
        <v>18220</v>
      </c>
      <c r="O2924" t="s">
        <v>18221</v>
      </c>
      <c r="P2924" t="s">
        <v>19426</v>
      </c>
      <c r="Q2924" s="3" t="n">
        <v>41964.0</v>
      </c>
      <c r="R2924" s="3" t="n">
        <v>42733.0</v>
      </c>
      <c r="S2924" s="3" t="n">
        <v>43931.46058423611</v>
      </c>
      <c r="T2924" s="3" t="n">
        <v>43950.46830032407</v>
      </c>
      <c r="U2924" t="s">
        <v>19427</v>
      </c>
      <c r="V2924" t="s">
        <v>19428</v>
      </c>
    </row>
    <row r="2925">
      <c r="A2925" t="s">
        <v>22</v>
      </c>
      <c r="B2925" t="s">
        <v>19429</v>
      </c>
      <c r="C2925" t="s">
        <v>24</v>
      </c>
      <c r="D2925" t="s">
        <v>1450</v>
      </c>
      <c r="E2925" t="s">
        <v>19430</v>
      </c>
      <c r="F2925" s="2" t="n">
        <f>HYPERLINK("https://patents.google.com/patent/US20160367188","Google")</f>
        <v>0.0</v>
      </c>
      <c r="G2925" s="2" t="n">
        <f>HYPERLINK("https://patentcenter.uspto.gov/applications/14850713","Patent Center")</f>
        <v>0.0</v>
      </c>
      <c r="H2925" s="2" t="n">
        <f>HYPERLINK("https://worldwide.espacenet.com/patent/search?q=US20160367188","Espacenet")</f>
        <v>0.0</v>
      </c>
      <c r="I2925" s="2" t="n">
        <f>HYPERLINK("https://ppubs.uspto.gov/pubwebapp/external.html?q=20160367188.pn.","USPTO")</f>
        <v>0.0</v>
      </c>
      <c r="J2925" s="2" t="n">
        <f>HYPERLINK("https://image-ppubs.uspto.gov/dirsearch-public/print/downloadPdf/20160367188","USPTO PDF")</f>
        <v>0.0</v>
      </c>
      <c r="K2925" s="2" t="n">
        <f>HYPERLINK("https://sectors.patentforecast.com/pmd/US20160367188","PMD")</f>
        <v>0.0</v>
      </c>
      <c r="L2925" s="2" t="n">
        <f>HYPERLINK("https://globaldossier.uspto.gov/result/application/US/14850713/1","US20160367188")</f>
        <v>0.0</v>
      </c>
      <c r="M2925" t="s">
        <v>19431</v>
      </c>
      <c r="N2925" t="s">
        <v>19432</v>
      </c>
      <c r="O2925" t="s">
        <v>19432</v>
      </c>
      <c r="P2925" t="s">
        <v>19433</v>
      </c>
      <c r="Q2925" s="3" t="n">
        <v>42257.0</v>
      </c>
      <c r="R2925" s="3" t="n">
        <v>42726.0</v>
      </c>
      <c r="S2925" s="3" t="n">
        <v>43938.46107320602</v>
      </c>
      <c r="T2925" s="3" t="n">
        <v>43985.377638784725</v>
      </c>
      <c r="U2925" t="s">
        <v>19434</v>
      </c>
      <c r="V2925" t="s">
        <v>19435</v>
      </c>
    </row>
    <row r="2926">
      <c r="A2926" t="s">
        <v>22</v>
      </c>
      <c r="B2926" t="s">
        <v>19436</v>
      </c>
      <c r="C2926" t="s">
        <v>60</v>
      </c>
      <c r="D2926" t="s">
        <v>61</v>
      </c>
      <c r="E2926" t="s">
        <v>16903</v>
      </c>
      <c r="F2926" s="2" t="n">
        <f>HYPERLINK("https://patents.google.com/patent/US20160362416","Google")</f>
        <v>0.0</v>
      </c>
      <c r="G2926" s="2" t="n">
        <f>HYPERLINK("https://patentcenter.uspto.gov/applications/15246074","Patent Center")</f>
        <v>0.0</v>
      </c>
      <c r="H2926" s="2" t="n">
        <f>HYPERLINK("https://worldwide.espacenet.com/patent/search?q=US20160362416","Espacenet")</f>
        <v>0.0</v>
      </c>
      <c r="I2926" s="2" t="n">
        <f>HYPERLINK("https://ppubs.uspto.gov/pubwebapp/external.html?q=20160362416.pn.","USPTO")</f>
        <v>0.0</v>
      </c>
      <c r="J2926" s="2" t="n">
        <f>HYPERLINK("https://image-ppubs.uspto.gov/dirsearch-public/print/downloadPdf/20160362416","USPTO PDF")</f>
        <v>0.0</v>
      </c>
      <c r="K2926" s="2" t="n">
        <f>HYPERLINK("https://sectors.patentforecast.com/pmd/US20160362416","PMD")</f>
        <v>0.0</v>
      </c>
      <c r="L2926" s="2" t="n">
        <f>HYPERLINK("https://globaldossier.uspto.gov/result/application/US/15246074/1","US20160362416")</f>
        <v>0.0</v>
      </c>
      <c r="M2926" t="s">
        <v>19437</v>
      </c>
      <c r="N2926" t="s">
        <v>664</v>
      </c>
      <c r="O2926" t="s">
        <v>665</v>
      </c>
      <c r="P2926" t="s">
        <v>18807</v>
      </c>
      <c r="Q2926" s="3" t="n">
        <v>42606.0</v>
      </c>
      <c r="R2926" s="3" t="n">
        <v>42719.0</v>
      </c>
      <c r="S2926" s="3" t="n">
        <v>43952.459706712965</v>
      </c>
      <c r="T2926" s="3" t="n">
        <v>44638.65271974537</v>
      </c>
      <c r="U2926" t="s">
        <v>19438</v>
      </c>
      <c r="V2926" t="s">
        <v>17072</v>
      </c>
    </row>
    <row r="2927">
      <c r="A2927" t="s">
        <v>22</v>
      </c>
      <c r="B2927" t="s">
        <v>19439</v>
      </c>
      <c r="C2927" t="s">
        <v>60</v>
      </c>
      <c r="D2927" t="s">
        <v>61</v>
      </c>
      <c r="E2927" t="s">
        <v>17306</v>
      </c>
      <c r="F2927" s="2" t="n">
        <f>HYPERLINK("https://patents.google.com/patent/US20160361375","Google")</f>
        <v>0.0</v>
      </c>
      <c r="G2927" s="2" t="n">
        <f>HYPERLINK("https://patentcenter.uspto.gov/applications/15185273","Patent Center")</f>
        <v>0.0</v>
      </c>
      <c r="H2927" s="2" t="n">
        <f>HYPERLINK("https://worldwide.espacenet.com/patent/search?q=US20160361375","Espacenet")</f>
        <v>0.0</v>
      </c>
      <c r="I2927" s="2" t="n">
        <f>HYPERLINK("https://ppubs.uspto.gov/pubwebapp/external.html?q=20160361375.pn.","USPTO")</f>
        <v>0.0</v>
      </c>
      <c r="J2927" s="2" t="n">
        <f>HYPERLINK("https://image-ppubs.uspto.gov/dirsearch-public/print/downloadPdf/20160361375","USPTO PDF")</f>
        <v>0.0</v>
      </c>
      <c r="K2927" s="2" t="n">
        <f>HYPERLINK("https://sectors.patentforecast.com/pmd/US20160361375","PMD")</f>
        <v>0.0</v>
      </c>
      <c r="L2927" s="2" t="n">
        <f>HYPERLINK("https://globaldossier.uspto.gov/result/application/US/15185273/1","US20160361375")</f>
        <v>0.0</v>
      </c>
      <c r="M2927" t="s">
        <v>19440</v>
      </c>
      <c r="N2927" t="s">
        <v>664</v>
      </c>
      <c r="O2927" t="s">
        <v>665</v>
      </c>
      <c r="P2927" t="s">
        <v>18002</v>
      </c>
      <c r="Q2927" s="3" t="n">
        <v>42538.0</v>
      </c>
      <c r="R2927" s="3" t="n">
        <v>42719.0</v>
      </c>
      <c r="S2927" s="3" t="n">
        <v>43952.459706712965</v>
      </c>
      <c r="T2927" s="3" t="n">
        <v>44638.65643378472</v>
      </c>
      <c r="U2927" t="s">
        <v>19441</v>
      </c>
      <c r="V2927" t="s">
        <v>17310</v>
      </c>
    </row>
    <row r="2928">
      <c r="A2928" t="s">
        <v>22</v>
      </c>
      <c r="B2928" t="s">
        <v>19442</v>
      </c>
      <c r="C2928" t="s">
        <v>60</v>
      </c>
      <c r="D2928" t="s">
        <v>61</v>
      </c>
      <c r="E2928" t="s">
        <v>17474</v>
      </c>
      <c r="F2928" s="2" t="n">
        <f>HYPERLINK("https://patents.google.com/patent/US20160361330","Google")</f>
        <v>0.0</v>
      </c>
      <c r="G2928" s="2" t="n">
        <f>HYPERLINK("https://patentcenter.uspto.gov/applications/15246240","Patent Center")</f>
        <v>0.0</v>
      </c>
      <c r="H2928" s="2" t="n">
        <f>HYPERLINK("https://worldwide.espacenet.com/patent/search?q=US20160361330","Espacenet")</f>
        <v>0.0</v>
      </c>
      <c r="I2928" s="2" t="n">
        <f>HYPERLINK("https://ppubs.uspto.gov/pubwebapp/external.html?q=20160361330.pn.","USPTO")</f>
        <v>0.0</v>
      </c>
      <c r="J2928" s="2" t="n">
        <f>HYPERLINK("https://image-ppubs.uspto.gov/dirsearch-public/print/downloadPdf/20160361330","USPTO PDF")</f>
        <v>0.0</v>
      </c>
      <c r="K2928" s="2" t="n">
        <f>HYPERLINK("https://sectors.patentforecast.com/pmd/US20160361330","PMD")</f>
        <v>0.0</v>
      </c>
      <c r="L2928" s="2" t="n">
        <f>HYPERLINK("https://globaldossier.uspto.gov/result/application/US/15246240/1","US20160361330")</f>
        <v>0.0</v>
      </c>
      <c r="M2928" t="s">
        <v>19443</v>
      </c>
      <c r="N2928" t="s">
        <v>664</v>
      </c>
      <c r="O2928" t="s">
        <v>665</v>
      </c>
      <c r="P2928" t="s">
        <v>19444</v>
      </c>
      <c r="Q2928" s="3" t="n">
        <v>42606.0</v>
      </c>
      <c r="R2928" s="3" t="n">
        <v>42719.0</v>
      </c>
      <c r="S2928" s="3" t="n">
        <v>43952.459706712965</v>
      </c>
      <c r="T2928" s="3" t="n">
        <v>44638.65643378472</v>
      </c>
      <c r="U2928" t="s">
        <v>19445</v>
      </c>
      <c r="V2928" t="s">
        <v>17478</v>
      </c>
    </row>
    <row r="2929">
      <c r="A2929" t="s">
        <v>22</v>
      </c>
      <c r="B2929" t="s">
        <v>19446</v>
      </c>
      <c r="C2929" t="s">
        <v>60</v>
      </c>
      <c r="D2929" t="s">
        <v>696</v>
      </c>
      <c r="E2929" t="s">
        <v>16957</v>
      </c>
      <c r="F2929" s="2" t="n">
        <f>HYPERLINK("https://patents.google.com/patent/US20160355585","Google")</f>
        <v>0.0</v>
      </c>
      <c r="G2929" s="2" t="n">
        <f>HYPERLINK("https://patentcenter.uspto.gov/applications/14988337","Patent Center")</f>
        <v>0.0</v>
      </c>
      <c r="H2929" s="2" t="n">
        <f>HYPERLINK("https://worldwide.espacenet.com/patent/search?q=US20160355585","Espacenet")</f>
        <v>0.0</v>
      </c>
      <c r="I2929" s="2" t="n">
        <f>HYPERLINK("https://ppubs.uspto.gov/pubwebapp/external.html?q=20160355585.pn.","USPTO")</f>
        <v>0.0</v>
      </c>
      <c r="J2929" s="2" t="n">
        <f>HYPERLINK("https://image-ppubs.uspto.gov/dirsearch-public/print/downloadPdf/20160355585","USPTO PDF")</f>
        <v>0.0</v>
      </c>
      <c r="K2929" s="2" t="n">
        <f>HYPERLINK("https://sectors.patentforecast.com/pmd/US20160355585","PMD")</f>
        <v>0.0</v>
      </c>
      <c r="L2929" s="2" t="n">
        <f>HYPERLINK("https://globaldossier.uspto.gov/result/application/US/14988337/1","US20160355585")</f>
        <v>0.0</v>
      </c>
      <c r="M2929" t="s">
        <v>19447</v>
      </c>
      <c r="N2929" t="s">
        <v>16927</v>
      </c>
      <c r="O2929" t="s">
        <v>16928</v>
      </c>
      <c r="P2929" t="s">
        <v>16959</v>
      </c>
      <c r="Q2929" s="3" t="n">
        <v>42374.0</v>
      </c>
      <c r="R2929" s="3" t="n">
        <v>42712.0</v>
      </c>
      <c r="S2929" s="3" t="n">
        <v>43966.479500671296</v>
      </c>
      <c r="T2929" s="3" t="n">
        <v>44643.44490069444</v>
      </c>
      <c r="U2929" t="s">
        <v>19448</v>
      </c>
      <c r="V2929" t="s">
        <v>16961</v>
      </c>
    </row>
    <row r="2930">
      <c r="A2930" t="s">
        <v>22</v>
      </c>
      <c r="B2930" t="s">
        <v>19449</v>
      </c>
      <c r="C2930" t="s">
        <v>60</v>
      </c>
      <c r="D2930" t="s">
        <v>61</v>
      </c>
      <c r="E2930" t="s">
        <v>18663</v>
      </c>
      <c r="F2930" s="2" t="n">
        <f>HYPERLINK("https://patents.google.com/patent/US20160355543","Google")</f>
        <v>0.0</v>
      </c>
      <c r="G2930" s="2" t="n">
        <f>HYPERLINK("https://patentcenter.uspto.gov/applications/15170728","Patent Center")</f>
        <v>0.0</v>
      </c>
      <c r="H2930" s="2" t="n">
        <f>HYPERLINK("https://worldwide.espacenet.com/patent/search?q=US20160355543","Espacenet")</f>
        <v>0.0</v>
      </c>
      <c r="I2930" s="2" t="n">
        <f>HYPERLINK("https://ppubs.uspto.gov/pubwebapp/external.html?q=20160355543.pn.","USPTO")</f>
        <v>0.0</v>
      </c>
      <c r="J2930" s="2" t="n">
        <f>HYPERLINK("https://image-ppubs.uspto.gov/dirsearch-public/print/downloadPdf/20160355543","USPTO PDF")</f>
        <v>0.0</v>
      </c>
      <c r="K2930" s="2" t="n">
        <f>HYPERLINK("https://sectors.patentforecast.com/pmd/US20160355543","PMD")</f>
        <v>0.0</v>
      </c>
      <c r="L2930" s="2" t="n">
        <f>HYPERLINK("https://globaldossier.uspto.gov/result/application/US/15170728/1","US20160355543")</f>
        <v>0.0</v>
      </c>
      <c r="M2930" t="s">
        <v>19450</v>
      </c>
      <c r="N2930" t="s">
        <v>664</v>
      </c>
      <c r="O2930" t="s">
        <v>665</v>
      </c>
      <c r="P2930" t="s">
        <v>19451</v>
      </c>
      <c r="Q2930" s="3" t="n">
        <v>42522.0</v>
      </c>
      <c r="R2930" s="3" t="n">
        <v>42712.0</v>
      </c>
      <c r="S2930" s="3" t="n">
        <v>43952.459706712965</v>
      </c>
      <c r="T2930" s="3" t="n">
        <v>44638.662781747684</v>
      </c>
      <c r="U2930" t="s">
        <v>19452</v>
      </c>
      <c r="V2930" t="s">
        <v>18667</v>
      </c>
    </row>
    <row r="2931">
      <c r="A2931" t="s">
        <v>22</v>
      </c>
      <c r="B2931" t="s">
        <v>19453</v>
      </c>
      <c r="C2931" t="s">
        <v>24</v>
      </c>
      <c r="D2931" t="s">
        <v>1356</v>
      </c>
      <c r="E2931" t="s">
        <v>19454</v>
      </c>
      <c r="F2931" s="2" t="n">
        <f>HYPERLINK("https://patents.google.com/patent/US20160342770","Google")</f>
        <v>0.0</v>
      </c>
      <c r="G2931" s="2" t="n">
        <f>HYPERLINK("https://patentcenter.uspto.gov/applications/14716253","Patent Center")</f>
        <v>0.0</v>
      </c>
      <c r="H2931" s="2" t="n">
        <f>HYPERLINK("https://worldwide.espacenet.com/patent/search?q=US20160342770","Espacenet")</f>
        <v>0.0</v>
      </c>
      <c r="I2931" s="2" t="n">
        <f>HYPERLINK("https://ppubs.uspto.gov/pubwebapp/external.html?q=20160342770.pn.","USPTO")</f>
        <v>0.0</v>
      </c>
      <c r="J2931" s="2" t="n">
        <f>HYPERLINK("https://image-ppubs.uspto.gov/dirsearch-public/print/downloadPdf/20160342770","USPTO PDF")</f>
        <v>0.0</v>
      </c>
      <c r="K2931" s="2" t="n">
        <f>HYPERLINK("https://sectors.patentforecast.com/pmd/US20160342770","PMD")</f>
        <v>0.0</v>
      </c>
      <c r="L2931" s="2" t="n">
        <f>HYPERLINK("https://globaldossier.uspto.gov/result/application/US/14716253/1","US20160342770")</f>
        <v>0.0</v>
      </c>
      <c r="M2931" t="s">
        <v>19455</v>
      </c>
      <c r="N2931" t="s">
        <v>5695</v>
      </c>
      <c r="O2931" t="s">
        <v>5696</v>
      </c>
      <c r="P2931" t="s">
        <v>19456</v>
      </c>
      <c r="Q2931" s="3" t="n">
        <v>42143.0</v>
      </c>
      <c r="R2931" s="3" t="n">
        <v>42698.0</v>
      </c>
      <c r="S2931" s="3" t="n">
        <v>43266.45736516204</v>
      </c>
      <c r="T2931" s="3" t="n">
        <v>43901.72156416667</v>
      </c>
      <c r="U2931" t="s">
        <v>19457</v>
      </c>
      <c r="V2931" t="s">
        <v>19458</v>
      </c>
    </row>
    <row r="2932">
      <c r="A2932" t="s">
        <v>22</v>
      </c>
      <c r="B2932" t="s">
        <v>19459</v>
      </c>
      <c r="C2932" t="s">
        <v>60</v>
      </c>
      <c r="D2932" t="s">
        <v>61</v>
      </c>
      <c r="E2932" t="s">
        <v>17318</v>
      </c>
      <c r="F2932" s="2" t="n">
        <f>HYPERLINK("https://patents.google.com/patent/US20160340379","Google")</f>
        <v>0.0</v>
      </c>
      <c r="G2932" s="2" t="n">
        <f>HYPERLINK("https://patentcenter.uspto.gov/applications/15046399","Patent Center")</f>
        <v>0.0</v>
      </c>
      <c r="H2932" s="2" t="n">
        <f>HYPERLINK("https://worldwide.espacenet.com/patent/search?q=US20160340379","Espacenet")</f>
        <v>0.0</v>
      </c>
      <c r="I2932" s="2" t="n">
        <f>HYPERLINK("https://ppubs.uspto.gov/pubwebapp/external.html?q=20160340379.pn.","USPTO")</f>
        <v>0.0</v>
      </c>
      <c r="J2932" s="2" t="n">
        <f>HYPERLINK("https://image-ppubs.uspto.gov/dirsearch-public/print/downloadPdf/20160340379","USPTO PDF")</f>
        <v>0.0</v>
      </c>
      <c r="K2932" s="2" t="n">
        <f>HYPERLINK("https://sectors.patentforecast.com/pmd/US20160340379","PMD")</f>
        <v>0.0</v>
      </c>
      <c r="L2932" s="2" t="n">
        <f>HYPERLINK("https://globaldossier.uspto.gov/result/application/US/15046399/1","US20160340379")</f>
        <v>0.0</v>
      </c>
      <c r="M2932" t="s">
        <v>19460</v>
      </c>
      <c r="N2932" t="s">
        <v>664</v>
      </c>
      <c r="O2932" t="s">
        <v>665</v>
      </c>
      <c r="P2932" t="s">
        <v>19461</v>
      </c>
      <c r="Q2932" s="3" t="n">
        <v>42417.0</v>
      </c>
      <c r="R2932" s="3" t="n">
        <v>42698.0</v>
      </c>
      <c r="S2932" s="3" t="n">
        <v>43952.459706712965</v>
      </c>
      <c r="T2932" s="3" t="n">
        <v>44638.65814180556</v>
      </c>
      <c r="U2932" t="s">
        <v>19462</v>
      </c>
      <c r="V2932" t="s">
        <v>17322</v>
      </c>
    </row>
    <row r="2933">
      <c r="A2933" t="s">
        <v>22</v>
      </c>
      <c r="B2933" t="s">
        <v>19463</v>
      </c>
      <c r="C2933" t="s">
        <v>60</v>
      </c>
      <c r="D2933" t="s">
        <v>61</v>
      </c>
      <c r="E2933" t="s">
        <v>19464</v>
      </c>
      <c r="F2933" s="2" t="n">
        <f>HYPERLINK("https://patents.google.com/patent/US20160340345","Google")</f>
        <v>0.0</v>
      </c>
      <c r="G2933" s="2" t="n">
        <f>HYPERLINK("https://patentcenter.uspto.gov/applications/15228825","Patent Center")</f>
        <v>0.0</v>
      </c>
      <c r="H2933" s="2" t="n">
        <f>HYPERLINK("https://worldwide.espacenet.com/patent/search?q=US20160340345","Espacenet")</f>
        <v>0.0</v>
      </c>
      <c r="I2933" s="2" t="n">
        <f>HYPERLINK("https://ppubs.uspto.gov/pubwebapp/external.html?q=20160340345.pn.","USPTO")</f>
        <v>0.0</v>
      </c>
      <c r="J2933" s="2" t="n">
        <f>HYPERLINK("https://image-ppubs.uspto.gov/dirsearch-public/print/downloadPdf/20160340345","USPTO PDF")</f>
        <v>0.0</v>
      </c>
      <c r="K2933" s="2" t="n">
        <f>HYPERLINK("https://sectors.patentforecast.com/pmd/US20160340345","PMD")</f>
        <v>0.0</v>
      </c>
      <c r="L2933" s="2" t="n">
        <f>HYPERLINK("https://globaldossier.uspto.gov/result/application/US/15228825/1","US20160340345")</f>
        <v>0.0</v>
      </c>
      <c r="M2933" t="s">
        <v>19465</v>
      </c>
      <c r="N2933" t="s">
        <v>664</v>
      </c>
      <c r="O2933" t="s">
        <v>665</v>
      </c>
      <c r="P2933" t="s">
        <v>19466</v>
      </c>
      <c r="Q2933" s="3" t="n">
        <v>42586.0</v>
      </c>
      <c r="R2933" s="3" t="n">
        <v>42698.0</v>
      </c>
      <c r="S2933" s="3" t="n">
        <v>43950.647371782405</v>
      </c>
      <c r="T2933" s="3" t="n">
        <v>44638.65271974537</v>
      </c>
      <c r="U2933" t="s">
        <v>19467</v>
      </c>
      <c r="V2933" t="s">
        <v>19468</v>
      </c>
    </row>
    <row r="2934">
      <c r="A2934" t="s">
        <v>22</v>
      </c>
      <c r="B2934" t="s">
        <v>19469</v>
      </c>
      <c r="C2934" t="s">
        <v>132</v>
      </c>
      <c r="D2934" t="s">
        <v>133</v>
      </c>
      <c r="E2934" t="s">
        <v>17650</v>
      </c>
      <c r="F2934" s="2" t="n">
        <f>HYPERLINK("https://patents.google.com/patent/US20160339097","Google")</f>
        <v>0.0</v>
      </c>
      <c r="G2934" s="2" t="n">
        <f>HYPERLINK("https://patentcenter.uspto.gov/applications/15228898","Patent Center")</f>
        <v>0.0</v>
      </c>
      <c r="H2934" s="2" t="n">
        <f>HYPERLINK("https://worldwide.espacenet.com/patent/search?q=US20160339097","Espacenet")</f>
        <v>0.0</v>
      </c>
      <c r="I2934" s="2" t="n">
        <f>HYPERLINK("https://ppubs.uspto.gov/pubwebapp/external.html?q=20160339097.pn.","USPTO")</f>
        <v>0.0</v>
      </c>
      <c r="J2934" s="2" t="n">
        <f>HYPERLINK("https://image-ppubs.uspto.gov/dirsearch-public/print/downloadPdf/20160339097","USPTO PDF")</f>
        <v>0.0</v>
      </c>
      <c r="K2934" s="2" t="n">
        <f>HYPERLINK("https://sectors.patentforecast.com/pmd/US20160339097","PMD")</f>
        <v>0.0</v>
      </c>
      <c r="L2934" s="2" t="n">
        <f>HYPERLINK("https://globaldossier.uspto.gov/result/application/US/15228898/1","US20160339097")</f>
        <v>0.0</v>
      </c>
      <c r="M2934" t="s">
        <v>19470</v>
      </c>
      <c r="N2934" t="s">
        <v>17564</v>
      </c>
      <c r="O2934" t="s">
        <v>17565</v>
      </c>
      <c r="P2934" t="s">
        <v>17652</v>
      </c>
      <c r="Q2934" s="3" t="n">
        <v>42586.0</v>
      </c>
      <c r="R2934" s="3" t="n">
        <v>42698.0</v>
      </c>
      <c r="S2934" s="3" t="n">
        <v>43900.43738943287</v>
      </c>
      <c r="T2934" s="3" t="n">
        <v>43903.48462967593</v>
      </c>
      <c r="U2934" t="s">
        <v>19471</v>
      </c>
      <c r="V2934" t="s">
        <v>17654</v>
      </c>
    </row>
    <row r="2935">
      <c r="A2935" t="s">
        <v>22</v>
      </c>
      <c r="B2935" t="s">
        <v>19472</v>
      </c>
      <c r="C2935" t="s">
        <v>132</v>
      </c>
      <c r="D2935" t="s">
        <v>142</v>
      </c>
      <c r="E2935" t="s">
        <v>143</v>
      </c>
      <c r="F2935" s="2" t="n">
        <f>HYPERLINK("https://patents.google.com/patent/US20160331828","Google")</f>
        <v>0.0</v>
      </c>
      <c r="G2935" s="2" t="n">
        <f>HYPERLINK("https://patentcenter.uspto.gov/applications/15091123","Patent Center")</f>
        <v>0.0</v>
      </c>
      <c r="H2935" s="2" t="n">
        <f>HYPERLINK("https://worldwide.espacenet.com/patent/search?q=US20160331828","Espacenet")</f>
        <v>0.0</v>
      </c>
      <c r="I2935" s="2" t="n">
        <f>HYPERLINK("https://ppubs.uspto.gov/pubwebapp/external.html?q=20160331828.pn.","USPTO")</f>
        <v>0.0</v>
      </c>
      <c r="J2935" s="2" t="n">
        <f>HYPERLINK("https://image-ppubs.uspto.gov/dirsearch-public/print/downloadPdf/20160331828","USPTO PDF")</f>
        <v>0.0</v>
      </c>
      <c r="K2935" s="2" t="n">
        <f>HYPERLINK("https://sectors.patentforecast.com/pmd/US20160331828","PMD")</f>
        <v>0.0</v>
      </c>
      <c r="L2935" s="2" t="n">
        <f>HYPERLINK("https://globaldossier.uspto.gov/result/application/US/15091123/1","US20160331828")</f>
        <v>0.0</v>
      </c>
      <c r="M2935" t="s">
        <v>19473</v>
      </c>
      <c r="N2935" t="s">
        <v>145</v>
      </c>
      <c r="O2935" t="s">
        <v>146</v>
      </c>
      <c r="P2935" t="s">
        <v>147</v>
      </c>
      <c r="Q2935" s="3" t="n">
        <v>42465.0</v>
      </c>
      <c r="R2935" s="3" t="n">
        <v>42691.0</v>
      </c>
      <c r="S2935" s="3" t="n">
        <v>43909.45368546296</v>
      </c>
      <c r="T2935" s="3" t="n">
        <v>43909.462149652776</v>
      </c>
      <c r="U2935" t="s">
        <v>19474</v>
      </c>
      <c r="V2935" t="s">
        <v>17980</v>
      </c>
    </row>
    <row r="2936">
      <c r="A2936" t="s">
        <v>22</v>
      </c>
      <c r="B2936" t="s">
        <v>19475</v>
      </c>
      <c r="C2936" t="s">
        <v>132</v>
      </c>
      <c r="D2936" t="s">
        <v>142</v>
      </c>
      <c r="E2936" t="s">
        <v>143</v>
      </c>
      <c r="F2936" s="2" t="n">
        <f>HYPERLINK("https://patents.google.com/patent/US20160317647","Google")</f>
        <v>0.0</v>
      </c>
      <c r="G2936" s="2" t="n">
        <f>HYPERLINK("https://patentcenter.uspto.gov/applications/15089050","Patent Center")</f>
        <v>0.0</v>
      </c>
      <c r="H2936" s="2" t="n">
        <f>HYPERLINK("https://worldwide.espacenet.com/patent/search?q=US20160317647","Espacenet")</f>
        <v>0.0</v>
      </c>
      <c r="I2936" s="2" t="n">
        <f>HYPERLINK("https://ppubs.uspto.gov/pubwebapp/external.html?q=20160317647.pn.","USPTO")</f>
        <v>0.0</v>
      </c>
      <c r="J2936" s="2" t="n">
        <f>HYPERLINK("https://image-ppubs.uspto.gov/dirsearch-public/print/downloadPdf/20160317647","USPTO PDF")</f>
        <v>0.0</v>
      </c>
      <c r="K2936" s="2" t="n">
        <f>HYPERLINK("https://sectors.patentforecast.com/pmd/US20160317647","PMD")</f>
        <v>0.0</v>
      </c>
      <c r="L2936" s="2" t="n">
        <f>HYPERLINK("https://globaldossier.uspto.gov/result/application/US/15089050/1","US20160317647")</f>
        <v>0.0</v>
      </c>
      <c r="M2936" t="s">
        <v>19476</v>
      </c>
      <c r="N2936" t="s">
        <v>145</v>
      </c>
      <c r="O2936" t="s">
        <v>146</v>
      </c>
      <c r="P2936" t="s">
        <v>147</v>
      </c>
      <c r="Q2936" s="3" t="n">
        <v>42461.0</v>
      </c>
      <c r="R2936" s="3" t="n">
        <v>42677.0</v>
      </c>
      <c r="S2936" s="3" t="n">
        <v>43909.45368546296</v>
      </c>
      <c r="T2936" s="3" t="n">
        <v>43909.462149652776</v>
      </c>
      <c r="U2936" t="s">
        <v>19474</v>
      </c>
      <c r="V2936" t="s">
        <v>17980</v>
      </c>
    </row>
    <row r="2937">
      <c r="A2937" t="s">
        <v>22</v>
      </c>
      <c r="B2937" t="s">
        <v>19477</v>
      </c>
      <c r="C2937" t="s">
        <v>24</v>
      </c>
      <c r="D2937" t="s">
        <v>25</v>
      </c>
      <c r="E2937" t="s">
        <v>19478</v>
      </c>
      <c r="F2937" s="2" t="n">
        <f>HYPERLINK("https://patents.google.com/patent/US20160314185","Google")</f>
        <v>0.0</v>
      </c>
      <c r="G2937" s="2" t="n">
        <f>HYPERLINK("https://patentcenter.uspto.gov/applications/14697429","Patent Center")</f>
        <v>0.0</v>
      </c>
      <c r="H2937" s="2" t="n">
        <f>HYPERLINK("https://worldwide.espacenet.com/patent/search?q=US20160314185","Espacenet")</f>
        <v>0.0</v>
      </c>
      <c r="I2937" s="2" t="n">
        <f>HYPERLINK("https://ppubs.uspto.gov/pubwebapp/external.html?q=20160314185.pn.","USPTO")</f>
        <v>0.0</v>
      </c>
      <c r="J2937" s="2" t="n">
        <f>HYPERLINK("https://image-ppubs.uspto.gov/dirsearch-public/print/downloadPdf/20160314185","USPTO PDF")</f>
        <v>0.0</v>
      </c>
      <c r="K2937" s="2" t="n">
        <f>HYPERLINK("https://sectors.patentforecast.com/pmd/US20160314185","PMD")</f>
        <v>0.0</v>
      </c>
      <c r="L2937" s="2" t="n">
        <f>HYPERLINK("https://globaldossier.uspto.gov/result/application/US/14697429/1","US20160314185")</f>
        <v>0.0</v>
      </c>
      <c r="M2937" t="s">
        <v>19479</v>
      </c>
      <c r="N2937" t="s">
        <v>19388</v>
      </c>
      <c r="O2937" t="s">
        <v>19389</v>
      </c>
      <c r="P2937" t="s">
        <v>19480</v>
      </c>
      <c r="Q2937" s="3" t="n">
        <v>42121.0</v>
      </c>
      <c r="R2937" s="3" t="n">
        <v>42670.0</v>
      </c>
      <c r="S2937" s="3" t="n">
        <v>43266.45736516204</v>
      </c>
      <c r="T2937" s="3" t="n">
        <v>43901.72156363426</v>
      </c>
      <c r="U2937" t="s">
        <v>19481</v>
      </c>
      <c r="V2937" t="s">
        <v>19482</v>
      </c>
    </row>
    <row r="2938">
      <c r="A2938" t="s">
        <v>22</v>
      </c>
      <c r="B2938" t="s">
        <v>19483</v>
      </c>
      <c r="C2938" t="s">
        <v>60</v>
      </c>
      <c r="D2938" t="s">
        <v>61</v>
      </c>
      <c r="E2938" t="s">
        <v>19484</v>
      </c>
      <c r="F2938" s="2" t="n">
        <f>HYPERLINK("https://patents.google.com/patent/US20160311840","Google")</f>
        <v>0.0</v>
      </c>
      <c r="G2938" s="2" t="n">
        <f>HYPERLINK("https://patentcenter.uspto.gov/applications/15135357","Patent Center")</f>
        <v>0.0</v>
      </c>
      <c r="H2938" s="2" t="n">
        <f>HYPERLINK("https://worldwide.espacenet.com/patent/search?q=US20160311840","Espacenet")</f>
        <v>0.0</v>
      </c>
      <c r="I2938" s="2" t="n">
        <f>HYPERLINK("https://ppubs.uspto.gov/pubwebapp/external.html?q=20160311840.pn.","USPTO")</f>
        <v>0.0</v>
      </c>
      <c r="J2938" s="2" t="n">
        <f>HYPERLINK("https://image-ppubs.uspto.gov/dirsearch-public/print/downloadPdf/20160311840","USPTO PDF")</f>
        <v>0.0</v>
      </c>
      <c r="K2938" s="2" t="n">
        <f>HYPERLINK("https://sectors.patentforecast.com/pmd/US20160311840","PMD")</f>
        <v>0.0</v>
      </c>
      <c r="L2938" s="2" t="n">
        <f>HYPERLINK("https://globaldossier.uspto.gov/result/application/US/15135357/1","US20160311840")</f>
        <v>0.0</v>
      </c>
      <c r="M2938" t="s">
        <v>19485</v>
      </c>
      <c r="N2938" t="s">
        <v>664</v>
      </c>
      <c r="O2938" t="s">
        <v>665</v>
      </c>
      <c r="P2938" t="s">
        <v>19486</v>
      </c>
      <c r="Q2938" s="3" t="n">
        <v>42481.0</v>
      </c>
      <c r="R2938" s="3" t="n">
        <v>42670.0</v>
      </c>
      <c r="S2938" s="3" t="n">
        <v>43952.459706712965</v>
      </c>
      <c r="T2938" s="3" t="n">
        <v>44638.65579662037</v>
      </c>
      <c r="U2938" t="s">
        <v>19487</v>
      </c>
      <c r="V2938" t="s">
        <v>19488</v>
      </c>
    </row>
    <row r="2939">
      <c r="A2939" t="s">
        <v>22</v>
      </c>
      <c r="B2939" t="s">
        <v>19489</v>
      </c>
      <c r="C2939" t="s">
        <v>60</v>
      </c>
      <c r="D2939" t="s">
        <v>61</v>
      </c>
      <c r="E2939" t="s">
        <v>18736</v>
      </c>
      <c r="F2939" s="2" t="n">
        <f>HYPERLINK("https://patents.google.com/patent/US20160303095","Google")</f>
        <v>0.0</v>
      </c>
      <c r="G2939" s="2" t="n">
        <f>HYPERLINK("https://patentcenter.uspto.gov/applications/15098112","Patent Center")</f>
        <v>0.0</v>
      </c>
      <c r="H2939" s="2" t="n">
        <f>HYPERLINK("https://worldwide.espacenet.com/patent/search?q=US20160303095","Espacenet")</f>
        <v>0.0</v>
      </c>
      <c r="I2939" s="2" t="n">
        <f>HYPERLINK("https://ppubs.uspto.gov/pubwebapp/external.html?q=20160303095.pn.","USPTO")</f>
        <v>0.0</v>
      </c>
      <c r="J2939" s="2" t="n">
        <f>HYPERLINK("https://image-ppubs.uspto.gov/dirsearch-public/print/downloadPdf/20160303095","USPTO PDF")</f>
        <v>0.0</v>
      </c>
      <c r="K2939" s="2" t="n">
        <f>HYPERLINK("https://sectors.patentforecast.com/pmd/US20160303095","PMD")</f>
        <v>0.0</v>
      </c>
      <c r="L2939" s="2" t="n">
        <f>HYPERLINK("https://globaldossier.uspto.gov/result/application/US/15098112/1","US20160303095")</f>
        <v>0.0</v>
      </c>
      <c r="M2939" t="s">
        <v>19490</v>
      </c>
      <c r="N2939" t="s">
        <v>664</v>
      </c>
      <c r="O2939" t="s">
        <v>665</v>
      </c>
      <c r="P2939" t="s">
        <v>19491</v>
      </c>
      <c r="Q2939" s="3" t="n">
        <v>42473.0</v>
      </c>
      <c r="R2939" s="3" t="n">
        <v>42663.0</v>
      </c>
      <c r="S2939" s="3" t="n">
        <v>43952.459706712965</v>
      </c>
      <c r="T2939" s="3" t="n">
        <v>44638.65643378472</v>
      </c>
      <c r="U2939" t="s">
        <v>19492</v>
      </c>
      <c r="V2939" t="s">
        <v>18740</v>
      </c>
    </row>
    <row r="2940">
      <c r="A2940" t="s">
        <v>22</v>
      </c>
      <c r="B2940" t="s">
        <v>19493</v>
      </c>
      <c r="C2940" t="s">
        <v>24</v>
      </c>
      <c r="D2940" t="s">
        <v>69</v>
      </c>
      <c r="E2940" t="s">
        <v>19494</v>
      </c>
      <c r="F2940" s="2" t="n">
        <f>HYPERLINK("https://patents.google.com/patent/US20160302739","Google")</f>
        <v>0.0</v>
      </c>
      <c r="G2940" s="2" t="n">
        <f>HYPERLINK("https://patentcenter.uspto.gov/applications/15195314","Patent Center")</f>
        <v>0.0</v>
      </c>
      <c r="H2940" s="2" t="n">
        <f>HYPERLINK("https://worldwide.espacenet.com/patent/search?q=US20160302739","Espacenet")</f>
        <v>0.0</v>
      </c>
      <c r="I2940" s="2" t="n">
        <f>HYPERLINK("https://ppubs.uspto.gov/pubwebapp/external.html?q=20160302739.pn.","USPTO")</f>
        <v>0.0</v>
      </c>
      <c r="J2940" s="2" t="n">
        <f>HYPERLINK("https://image-ppubs.uspto.gov/dirsearch-public/print/downloadPdf/20160302739","USPTO PDF")</f>
        <v>0.0</v>
      </c>
      <c r="K2940" s="2" t="n">
        <f>HYPERLINK("https://sectors.patentforecast.com/pmd/US20160302739","PMD")</f>
        <v>0.0</v>
      </c>
      <c r="L2940" s="2" t="n">
        <f>HYPERLINK("https://globaldossier.uspto.gov/result/application/US/15195314/1","US20160302739")</f>
        <v>0.0</v>
      </c>
      <c r="M2940" t="s">
        <v>19495</v>
      </c>
      <c r="N2940" t="s">
        <v>19496</v>
      </c>
      <c r="O2940" t="s">
        <v>19497</v>
      </c>
      <c r="P2940" t="s">
        <v>19498</v>
      </c>
      <c r="Q2940" s="3" t="n">
        <v>42549.0</v>
      </c>
      <c r="R2940" s="3" t="n">
        <v>42663.0</v>
      </c>
      <c r="S2940" s="3" t="n">
        <v>43966.48307773148</v>
      </c>
      <c r="T2940" s="3" t="n">
        <v>44678.41543190972</v>
      </c>
      <c r="U2940" t="s">
        <v>19499</v>
      </c>
      <c r="V2940" t="s">
        <v>19500</v>
      </c>
    </row>
    <row r="2941">
      <c r="A2941" t="s">
        <v>22</v>
      </c>
      <c r="B2941" t="s">
        <v>19501</v>
      </c>
      <c r="C2941" t="s">
        <v>60</v>
      </c>
      <c r="D2941" t="s">
        <v>61</v>
      </c>
      <c r="E2941" t="s">
        <v>19502</v>
      </c>
      <c r="F2941" s="2" t="n">
        <f>HYPERLINK("https://patents.google.com/patent/US20160297789","Google")</f>
        <v>0.0</v>
      </c>
      <c r="G2941" s="2" t="n">
        <f>HYPERLINK("https://patentcenter.uspto.gov/applications/15189771","Patent Center")</f>
        <v>0.0</v>
      </c>
      <c r="H2941" s="2" t="n">
        <f>HYPERLINK("https://worldwide.espacenet.com/patent/search?q=US20160297789","Espacenet")</f>
        <v>0.0</v>
      </c>
      <c r="I2941" s="2" t="n">
        <f>HYPERLINK("https://ppubs.uspto.gov/pubwebapp/external.html?q=20160297789.pn.","USPTO")</f>
        <v>0.0</v>
      </c>
      <c r="J2941" s="2" t="n">
        <f>HYPERLINK("https://image-ppubs.uspto.gov/dirsearch-public/print/downloadPdf/20160297789","USPTO PDF")</f>
        <v>0.0</v>
      </c>
      <c r="K2941" s="2" t="n">
        <f>HYPERLINK("https://sectors.patentforecast.com/pmd/US20160297789","PMD")</f>
        <v>0.0</v>
      </c>
      <c r="L2941" s="2" t="n">
        <f>HYPERLINK("https://globaldossier.uspto.gov/result/application/US/15189771/1","US20160297789")</f>
        <v>0.0</v>
      </c>
      <c r="M2941" t="s">
        <v>19503</v>
      </c>
      <c r="N2941" t="s">
        <v>19232</v>
      </c>
      <c r="O2941" t="s">
        <v>19233</v>
      </c>
      <c r="P2941" t="s">
        <v>19504</v>
      </c>
      <c r="Q2941" s="3" t="n">
        <v>42543.0</v>
      </c>
      <c r="R2941" s="3" t="n">
        <v>42656.0</v>
      </c>
      <c r="S2941" s="3" t="n">
        <v>43900.43738943287</v>
      </c>
      <c r="T2941" s="3" t="n">
        <v>43903.48463258102</v>
      </c>
      <c r="U2941" t="s">
        <v>19505</v>
      </c>
      <c r="V2941" t="s">
        <v>19506</v>
      </c>
    </row>
    <row r="2942">
      <c r="A2942" t="s">
        <v>22</v>
      </c>
      <c r="B2942" t="s">
        <v>19507</v>
      </c>
      <c r="C2942" t="s">
        <v>132</v>
      </c>
      <c r="D2942" t="s">
        <v>133</v>
      </c>
      <c r="E2942" t="s">
        <v>19508</v>
      </c>
      <c r="F2942" s="2" t="n">
        <f>HYPERLINK("https://patents.google.com/patent/US20160296617","Google")</f>
        <v>0.0</v>
      </c>
      <c r="G2942" s="2" t="n">
        <f>HYPERLINK("https://patentcenter.uspto.gov/applications/14375083","Patent Center")</f>
        <v>0.0</v>
      </c>
      <c r="H2942" s="2" t="n">
        <f>HYPERLINK("https://worldwide.espacenet.com/patent/search?q=US20160296617","Espacenet")</f>
        <v>0.0</v>
      </c>
      <c r="I2942" s="2" t="n">
        <f>HYPERLINK("https://ppubs.uspto.gov/pubwebapp/external.html?q=20160296617.pn.","USPTO")</f>
        <v>0.0</v>
      </c>
      <c r="J2942" s="2" t="n">
        <f>HYPERLINK("https://image-ppubs.uspto.gov/dirsearch-public/print/downloadPdf/20160296617","USPTO PDF")</f>
        <v>0.0</v>
      </c>
      <c r="K2942" s="2" t="n">
        <f>HYPERLINK("https://sectors.patentforecast.com/pmd/US20160296617","PMD")</f>
        <v>0.0</v>
      </c>
      <c r="L2942" s="2" t="n">
        <f>HYPERLINK("https://globaldossier.uspto.gov/result/application/US/14375083/1","US20160296617")</f>
        <v>0.0</v>
      </c>
      <c r="M2942" t="s">
        <v>19509</v>
      </c>
      <c r="N2942" t="s">
        <v>17380</v>
      </c>
      <c r="O2942" t="s">
        <v>17381</v>
      </c>
      <c r="P2942" t="s">
        <v>19510</v>
      </c>
      <c r="Q2942" s="3" t="n">
        <v>41698.0</v>
      </c>
      <c r="R2942" s="3" t="n">
        <v>42656.0</v>
      </c>
      <c r="S2942" s="3" t="n">
        <v>43935.7041706713</v>
      </c>
      <c r="T2942" s="3" t="n">
        <v>43950.462209791665</v>
      </c>
      <c r="U2942" t="s">
        <v>19511</v>
      </c>
      <c r="V2942" t="s">
        <v>17384</v>
      </c>
    </row>
    <row r="2943">
      <c r="A2943" t="s">
        <v>22</v>
      </c>
      <c r="B2943" t="s">
        <v>19512</v>
      </c>
      <c r="C2943" t="s">
        <v>60</v>
      </c>
      <c r="D2943" t="s">
        <v>61</v>
      </c>
      <c r="E2943" t="s">
        <v>19513</v>
      </c>
      <c r="F2943" s="2" t="n">
        <f>HYPERLINK("https://patents.google.com/patent/US20160280735","Google")</f>
        <v>0.0</v>
      </c>
      <c r="G2943" s="2" t="n">
        <f>HYPERLINK("https://patentcenter.uspto.gov/applications/15007810","Patent Center")</f>
        <v>0.0</v>
      </c>
      <c r="H2943" s="2" t="n">
        <f>HYPERLINK("https://worldwide.espacenet.com/patent/search?q=US20160280735","Espacenet")</f>
        <v>0.0</v>
      </c>
      <c r="I2943" s="2" t="n">
        <f>HYPERLINK("https://ppubs.uspto.gov/pubwebapp/external.html?q=20160280735.pn.","USPTO")</f>
        <v>0.0</v>
      </c>
      <c r="J2943" s="2" t="n">
        <f>HYPERLINK("https://image-ppubs.uspto.gov/dirsearch-public/print/downloadPdf/20160280735","USPTO PDF")</f>
        <v>0.0</v>
      </c>
      <c r="K2943" s="2" t="n">
        <f>HYPERLINK("https://sectors.patentforecast.com/pmd/US20160280735","PMD")</f>
        <v>0.0</v>
      </c>
      <c r="L2943" s="2" t="n">
        <f>HYPERLINK("https://globaldossier.uspto.gov/result/application/US/15007810/1","US20160280735")</f>
        <v>0.0</v>
      </c>
      <c r="M2943" t="s">
        <v>19514</v>
      </c>
      <c r="N2943" t="s">
        <v>664</v>
      </c>
      <c r="O2943" t="s">
        <v>665</v>
      </c>
      <c r="P2943" t="s">
        <v>19515</v>
      </c>
      <c r="Q2943" s="3" t="n">
        <v>42396.0</v>
      </c>
      <c r="R2943" s="3" t="n">
        <v>42642.0</v>
      </c>
      <c r="S2943" s="3" t="n">
        <v>43952.459706712965</v>
      </c>
      <c r="T2943" s="3" t="n">
        <v>44638.65271974537</v>
      </c>
      <c r="U2943" t="s">
        <v>19516</v>
      </c>
      <c r="V2943" t="s">
        <v>19517</v>
      </c>
    </row>
    <row r="2944">
      <c r="A2944" t="s">
        <v>22</v>
      </c>
      <c r="B2944" t="s">
        <v>19518</v>
      </c>
      <c r="C2944" t="s">
        <v>60</v>
      </c>
      <c r="D2944" t="s">
        <v>61</v>
      </c>
      <c r="E2944" t="s">
        <v>19519</v>
      </c>
      <c r="F2944" s="2" t="n">
        <f>HYPERLINK("https://patents.google.com/patent/US20160272564","Google")</f>
        <v>0.0</v>
      </c>
      <c r="G2944" s="2" t="n">
        <f>HYPERLINK("https://patentcenter.uspto.gov/applications/15098972","Patent Center")</f>
        <v>0.0</v>
      </c>
      <c r="H2944" s="2" t="n">
        <f>HYPERLINK("https://worldwide.espacenet.com/patent/search?q=US20160272564","Espacenet")</f>
        <v>0.0</v>
      </c>
      <c r="I2944" s="2" t="n">
        <f>HYPERLINK("https://ppubs.uspto.gov/pubwebapp/external.html?q=20160272564.pn.","USPTO")</f>
        <v>0.0</v>
      </c>
      <c r="J2944" s="2" t="n">
        <f>HYPERLINK("https://image-ppubs.uspto.gov/dirsearch-public/print/downloadPdf/20160272564","USPTO PDF")</f>
        <v>0.0</v>
      </c>
      <c r="K2944" s="2" t="n">
        <f>HYPERLINK("https://sectors.patentforecast.com/pmd/US20160272564","PMD")</f>
        <v>0.0</v>
      </c>
      <c r="L2944" s="2" t="n">
        <f>HYPERLINK("https://globaldossier.uspto.gov/result/application/US/15098972/1","US20160272564")</f>
        <v>0.0</v>
      </c>
      <c r="M2944" t="s">
        <v>19520</v>
      </c>
      <c r="N2944" t="s">
        <v>19521</v>
      </c>
      <c r="O2944" t="s">
        <v>19522</v>
      </c>
      <c r="P2944" t="s">
        <v>19523</v>
      </c>
      <c r="Q2944" s="3" t="n">
        <v>42474.0</v>
      </c>
      <c r="R2944" s="3" t="n">
        <v>42635.0</v>
      </c>
      <c r="S2944" s="3" t="n">
        <v>43900.43738943287</v>
      </c>
      <c r="T2944" s="3" t="n">
        <v>43903.48463232639</v>
      </c>
      <c r="U2944" t="s">
        <v>19524</v>
      </c>
      <c r="V2944" t="s">
        <v>19525</v>
      </c>
    </row>
    <row r="2945">
      <c r="A2945" t="s">
        <v>22</v>
      </c>
      <c r="B2945" t="s">
        <v>19526</v>
      </c>
      <c r="C2945" t="s">
        <v>60</v>
      </c>
      <c r="D2945" t="s">
        <v>61</v>
      </c>
      <c r="E2945" t="s">
        <v>17846</v>
      </c>
      <c r="F2945" s="2" t="n">
        <f>HYPERLINK("https://patents.google.com/patent/US20160271087","Google")</f>
        <v>0.0</v>
      </c>
      <c r="G2945" s="2" t="n">
        <f>HYPERLINK("https://patentcenter.uspto.gov/applications/15169617","Patent Center")</f>
        <v>0.0</v>
      </c>
      <c r="H2945" s="2" t="n">
        <f>HYPERLINK("https://worldwide.espacenet.com/patent/search?q=US20160271087","Espacenet")</f>
        <v>0.0</v>
      </c>
      <c r="I2945" s="2" t="n">
        <f>HYPERLINK("https://ppubs.uspto.gov/pubwebapp/external.html?q=20160271087.pn.","USPTO")</f>
        <v>0.0</v>
      </c>
      <c r="J2945" s="2" t="n">
        <f>HYPERLINK("https://image-ppubs.uspto.gov/dirsearch-public/print/downloadPdf/20160271087","USPTO PDF")</f>
        <v>0.0</v>
      </c>
      <c r="K2945" s="2" t="n">
        <f>HYPERLINK("https://sectors.patentforecast.com/pmd/US20160271087","PMD")</f>
        <v>0.0</v>
      </c>
      <c r="L2945" s="2" t="n">
        <f>HYPERLINK("https://globaldossier.uspto.gov/result/application/US/15169617/1","US20160271087")</f>
        <v>0.0</v>
      </c>
      <c r="M2945" t="s">
        <v>19527</v>
      </c>
      <c r="N2945" t="s">
        <v>18201</v>
      </c>
      <c r="O2945" t="s">
        <v>18202</v>
      </c>
      <c r="P2945" t="s">
        <v>18203</v>
      </c>
      <c r="Q2945" s="3" t="n">
        <v>42521.0</v>
      </c>
      <c r="R2945" s="3" t="n">
        <v>42635.0</v>
      </c>
      <c r="S2945" s="3" t="n">
        <v>43929.461066875</v>
      </c>
      <c r="T2945" s="3" t="n">
        <v>43986.47004087963</v>
      </c>
      <c r="U2945" t="s">
        <v>18204</v>
      </c>
      <c r="V2945" t="s">
        <v>17852</v>
      </c>
    </row>
    <row r="2946">
      <c r="A2946" t="s">
        <v>22</v>
      </c>
      <c r="B2946" t="s">
        <v>19528</v>
      </c>
      <c r="C2946" t="s">
        <v>60</v>
      </c>
      <c r="D2946" t="s">
        <v>61</v>
      </c>
      <c r="E2946" t="s">
        <v>19529</v>
      </c>
      <c r="F2946" s="2" t="n">
        <f>HYPERLINK("https://patents.google.com/patent/US20160257673","Google")</f>
        <v>0.0</v>
      </c>
      <c r="G2946" s="2" t="n">
        <f>HYPERLINK("https://patentcenter.uspto.gov/applications/14990322","Patent Center")</f>
        <v>0.0</v>
      </c>
      <c r="H2946" s="2" t="n">
        <f>HYPERLINK("https://worldwide.espacenet.com/patent/search?q=US20160257673","Espacenet")</f>
        <v>0.0</v>
      </c>
      <c r="I2946" s="2" t="n">
        <f>HYPERLINK("https://ppubs.uspto.gov/pubwebapp/external.html?q=20160257673.pn.","USPTO")</f>
        <v>0.0</v>
      </c>
      <c r="J2946" s="2" t="n">
        <f>HYPERLINK("https://image-ppubs.uspto.gov/dirsearch-public/print/downloadPdf/20160257673","USPTO PDF")</f>
        <v>0.0</v>
      </c>
      <c r="K2946" s="2" t="n">
        <f>HYPERLINK("https://sectors.patentforecast.com/pmd/US20160257673","PMD")</f>
        <v>0.0</v>
      </c>
      <c r="L2946" s="2" t="n">
        <f>HYPERLINK("https://globaldossier.uspto.gov/result/application/US/14990322/1","US20160257673")</f>
        <v>0.0</v>
      </c>
      <c r="M2946" t="s">
        <v>19530</v>
      </c>
      <c r="N2946" t="s">
        <v>664</v>
      </c>
      <c r="O2946" t="s">
        <v>665</v>
      </c>
      <c r="P2946" t="s">
        <v>19531</v>
      </c>
      <c r="Q2946" s="3" t="n">
        <v>42376.0</v>
      </c>
      <c r="R2946" s="3" t="n">
        <v>42621.0</v>
      </c>
      <c r="S2946" s="3" t="n">
        <v>43952.459706712965</v>
      </c>
      <c r="T2946" s="3" t="n">
        <v>44638.65579662037</v>
      </c>
      <c r="U2946" t="s">
        <v>19532</v>
      </c>
      <c r="V2946" t="s">
        <v>19533</v>
      </c>
    </row>
    <row r="2947">
      <c r="A2947" t="s">
        <v>22</v>
      </c>
      <c r="B2947" t="s">
        <v>19534</v>
      </c>
      <c r="C2947" t="s">
        <v>132</v>
      </c>
      <c r="D2947" t="s">
        <v>2629</v>
      </c>
      <c r="E2947" t="s">
        <v>19535</v>
      </c>
      <c r="F2947" s="2" t="n">
        <f>HYPERLINK("https://patents.google.com/patent/US20160256539","Google")</f>
        <v>0.0</v>
      </c>
      <c r="G2947" s="2" t="n">
        <f>HYPERLINK("https://patentcenter.uspto.gov/applications/15035793","Patent Center")</f>
        <v>0.0</v>
      </c>
      <c r="H2947" s="2" t="n">
        <f>HYPERLINK("https://worldwide.espacenet.com/patent/search?q=US20160256539","Espacenet")</f>
        <v>0.0</v>
      </c>
      <c r="I2947" s="2" t="n">
        <f>HYPERLINK("https://ppubs.uspto.gov/pubwebapp/external.html?q=20160256539.pn.","USPTO")</f>
        <v>0.0</v>
      </c>
      <c r="J2947" s="2" t="n">
        <f>HYPERLINK("https://image-ppubs.uspto.gov/dirsearch-public/print/downloadPdf/20160256539","USPTO PDF")</f>
        <v>0.0</v>
      </c>
      <c r="K2947" s="2" t="n">
        <f>HYPERLINK("https://sectors.patentforecast.com/pmd/US20160256539","PMD")</f>
        <v>0.0</v>
      </c>
      <c r="L2947" s="2" t="n">
        <f>HYPERLINK("https://globaldossier.uspto.gov/result/application/US/15035793/1","US20160256539")</f>
        <v>0.0</v>
      </c>
      <c r="M2947" t="s">
        <v>19536</v>
      </c>
      <c r="N2947" t="s">
        <v>2541</v>
      </c>
      <c r="O2947" t="s">
        <v>2542</v>
      </c>
      <c r="P2947" t="s">
        <v>19537</v>
      </c>
      <c r="Q2947" s="3" t="n">
        <v>41949.0</v>
      </c>
      <c r="R2947" s="3" t="n">
        <v>42621.0</v>
      </c>
      <c r="S2947" s="3" t="n">
        <v>43936.46037263889</v>
      </c>
      <c r="T2947" s="3" t="n">
        <v>43950.42305734954</v>
      </c>
      <c r="U2947" t="s">
        <v>19538</v>
      </c>
      <c r="V2947" t="s">
        <v>19539</v>
      </c>
    </row>
    <row r="2948">
      <c r="A2948" t="s">
        <v>22</v>
      </c>
      <c r="B2948" t="s">
        <v>19540</v>
      </c>
      <c r="C2948" t="s">
        <v>132</v>
      </c>
      <c r="D2948" t="s">
        <v>1265</v>
      </c>
      <c r="E2948" t="s">
        <v>16152</v>
      </c>
      <c r="F2948" s="2" t="n">
        <f>HYPERLINK("https://patents.google.com/patent/US20160256537","Google")</f>
        <v>0.0</v>
      </c>
      <c r="G2948" s="2" t="n">
        <f>HYPERLINK("https://patentcenter.uspto.gov/applications/14996446","Patent Center")</f>
        <v>0.0</v>
      </c>
      <c r="H2948" s="2" t="n">
        <f>HYPERLINK("https://worldwide.espacenet.com/patent/search?q=US20160256537","Espacenet")</f>
        <v>0.0</v>
      </c>
      <c r="I2948" s="2" t="n">
        <f>HYPERLINK("https://ppubs.uspto.gov/pubwebapp/external.html?q=20160256537.pn.","USPTO")</f>
        <v>0.0</v>
      </c>
      <c r="J2948" s="2" t="n">
        <f>HYPERLINK("https://image-ppubs.uspto.gov/dirsearch-public/print/downloadPdf/20160256537","USPTO PDF")</f>
        <v>0.0</v>
      </c>
      <c r="K2948" s="2" t="n">
        <f>HYPERLINK("https://sectors.patentforecast.com/pmd/US20160256537","PMD")</f>
        <v>0.0</v>
      </c>
      <c r="L2948" s="2" t="n">
        <f>HYPERLINK("https://globaldossier.uspto.gov/result/application/US/14996446/1","US20160256537")</f>
        <v>0.0</v>
      </c>
      <c r="M2948" t="s">
        <v>19541</v>
      </c>
      <c r="N2948" t="s">
        <v>15147</v>
      </c>
      <c r="O2948" t="s">
        <v>15148</v>
      </c>
      <c r="P2948" t="s">
        <v>16154</v>
      </c>
      <c r="Q2948" s="3" t="n">
        <v>42384.0</v>
      </c>
      <c r="R2948" s="3" t="n">
        <v>42621.0</v>
      </c>
      <c r="S2948" s="3" t="n">
        <v>43900.43738943287</v>
      </c>
      <c r="T2948" s="3" t="n">
        <v>43903.48463241898</v>
      </c>
      <c r="U2948" t="s">
        <v>19542</v>
      </c>
      <c r="V2948" t="s">
        <v>16156</v>
      </c>
    </row>
    <row r="2949">
      <c r="A2949" t="s">
        <v>22</v>
      </c>
      <c r="B2949" t="s">
        <v>19543</v>
      </c>
      <c r="C2949" t="s">
        <v>24</v>
      </c>
      <c r="D2949" t="s">
        <v>100</v>
      </c>
      <c r="E2949" t="s">
        <v>19021</v>
      </c>
      <c r="F2949" s="2" t="n">
        <f>HYPERLINK("https://patents.google.com/patent/US20160253897","Google")</f>
        <v>0.0</v>
      </c>
      <c r="G2949" s="2" t="n">
        <f>HYPERLINK("https://patentcenter.uspto.gov/applications/15150527","Patent Center")</f>
        <v>0.0</v>
      </c>
      <c r="H2949" s="2" t="n">
        <f>HYPERLINK("https://worldwide.espacenet.com/patent/search?q=US20160253897","Espacenet")</f>
        <v>0.0</v>
      </c>
      <c r="I2949" s="2" t="n">
        <f>HYPERLINK("https://ppubs.uspto.gov/pubwebapp/external.html?q=20160253897.pn.","USPTO")</f>
        <v>0.0</v>
      </c>
      <c r="J2949" s="2" t="n">
        <f>HYPERLINK("https://image-ppubs.uspto.gov/dirsearch-public/print/downloadPdf/20160253897","USPTO PDF")</f>
        <v>0.0</v>
      </c>
      <c r="K2949" s="2" t="n">
        <f>HYPERLINK("https://sectors.patentforecast.com/pmd/US20160253897","PMD")</f>
        <v>0.0</v>
      </c>
      <c r="L2949" s="2" t="n">
        <f>HYPERLINK("https://globaldossier.uspto.gov/result/application/US/15150527/1","US20160253897")</f>
        <v>0.0</v>
      </c>
      <c r="M2949" t="s">
        <v>19544</v>
      </c>
      <c r="N2949" t="s">
        <v>1444</v>
      </c>
      <c r="O2949" t="s">
        <v>1445</v>
      </c>
      <c r="P2949" t="s">
        <v>19023</v>
      </c>
      <c r="Q2949" s="3" t="n">
        <v>42500.0</v>
      </c>
      <c r="R2949" s="3" t="n">
        <v>42614.0</v>
      </c>
      <c r="S2949" s="3" t="n">
        <v>43266.45736516204</v>
      </c>
      <c r="T2949" s="3" t="n">
        <v>43906.35981086805</v>
      </c>
      <c r="U2949" t="s">
        <v>19024</v>
      </c>
      <c r="V2949" t="s">
        <v>19025</v>
      </c>
    </row>
    <row r="2950">
      <c r="A2950" t="s">
        <v>22</v>
      </c>
      <c r="B2950" t="s">
        <v>19545</v>
      </c>
      <c r="C2950" t="s">
        <v>60</v>
      </c>
      <c r="D2950" t="s">
        <v>77</v>
      </c>
      <c r="E2950" t="s">
        <v>19546</v>
      </c>
      <c r="F2950" s="2" t="n">
        <f>HYPERLINK("https://patents.google.com/patent/US20160252495","Google")</f>
        <v>0.0</v>
      </c>
      <c r="G2950" s="2" t="n">
        <f>HYPERLINK("https://patentcenter.uspto.gov/applications/14773244","Patent Center")</f>
        <v>0.0</v>
      </c>
      <c r="H2950" s="2" t="n">
        <f>HYPERLINK("https://worldwide.espacenet.com/patent/search?q=US20160252495","Espacenet")</f>
        <v>0.0</v>
      </c>
      <c r="I2950" s="2" t="n">
        <f>HYPERLINK("https://ppubs.uspto.gov/pubwebapp/external.html?q=20160252495.pn.","USPTO")</f>
        <v>0.0</v>
      </c>
      <c r="J2950" s="2" t="n">
        <f>HYPERLINK("https://image-ppubs.uspto.gov/dirsearch-public/print/downloadPdf/20160252495","USPTO PDF")</f>
        <v>0.0</v>
      </c>
      <c r="K2950" s="2" t="n">
        <f>HYPERLINK("https://sectors.patentforecast.com/pmd/US20160252495","PMD")</f>
        <v>0.0</v>
      </c>
      <c r="L2950" s="2" t="n">
        <f>HYPERLINK("https://globaldossier.uspto.gov/result/application/US/14773244/1","US20160252495")</f>
        <v>0.0</v>
      </c>
      <c r="M2950" t="s">
        <v>19547</v>
      </c>
      <c r="N2950" t="s">
        <v>16801</v>
      </c>
      <c r="O2950" t="s">
        <v>16802</v>
      </c>
      <c r="P2950" t="s">
        <v>19548</v>
      </c>
      <c r="Q2950" s="3" t="n">
        <v>41726.0</v>
      </c>
      <c r="R2950" s="3" t="n">
        <v>42614.0</v>
      </c>
      <c r="S2950" s="3" t="n">
        <v>43985.66955119213</v>
      </c>
      <c r="T2950" s="3" t="n">
        <v>43985.67861778935</v>
      </c>
      <c r="U2950" t="s">
        <v>19549</v>
      </c>
      <c r="V2950" t="s">
        <v>19550</v>
      </c>
    </row>
    <row r="2951">
      <c r="A2951" t="s">
        <v>22</v>
      </c>
      <c r="B2951" t="s">
        <v>19551</v>
      </c>
      <c r="C2951" t="s">
        <v>24</v>
      </c>
      <c r="D2951" t="s">
        <v>25</v>
      </c>
      <c r="E2951" t="s">
        <v>16598</v>
      </c>
      <c r="F2951" s="2" t="n">
        <f>HYPERLINK("https://patents.google.com/patent/US20160245810","Google")</f>
        <v>0.0</v>
      </c>
      <c r="G2951" s="2" t="n">
        <f>HYPERLINK("https://patentcenter.uspto.gov/applications/15041421","Patent Center")</f>
        <v>0.0</v>
      </c>
      <c r="H2951" s="2" t="n">
        <f>HYPERLINK("https://worldwide.espacenet.com/patent/search?q=US20160245810","Espacenet")</f>
        <v>0.0</v>
      </c>
      <c r="I2951" s="2" t="n">
        <f>HYPERLINK("https://ppubs.uspto.gov/pubwebapp/external.html?q=20160245810.pn.","USPTO")</f>
        <v>0.0</v>
      </c>
      <c r="J2951" s="2" t="n">
        <f>HYPERLINK("https://image-ppubs.uspto.gov/dirsearch-public/print/downloadPdf/20160245810","USPTO PDF")</f>
        <v>0.0</v>
      </c>
      <c r="K2951" s="2" t="n">
        <f>HYPERLINK("https://sectors.patentforecast.com/pmd/US20160245810","PMD")</f>
        <v>0.0</v>
      </c>
      <c r="L2951" s="2" t="n">
        <f>HYPERLINK("https://globaldossier.uspto.gov/result/application/US/15041421/1","US20160245810")</f>
        <v>0.0</v>
      </c>
      <c r="M2951" t="s">
        <v>19552</v>
      </c>
      <c r="N2951" t="s">
        <v>3621</v>
      </c>
      <c r="O2951" t="s">
        <v>3622</v>
      </c>
      <c r="P2951" t="s">
        <v>19553</v>
      </c>
      <c r="Q2951" s="3" t="n">
        <v>42411.0</v>
      </c>
      <c r="R2951" s="3" t="n">
        <v>42607.0</v>
      </c>
      <c r="S2951" s="3" t="n">
        <v>43906.37277822917</v>
      </c>
      <c r="T2951" s="3" t="n">
        <v>43958.41062627315</v>
      </c>
      <c r="U2951" t="s">
        <v>19554</v>
      </c>
      <c r="V2951" t="s">
        <v>19555</v>
      </c>
    </row>
    <row r="2952">
      <c r="A2952" t="s">
        <v>22</v>
      </c>
      <c r="B2952" t="s">
        <v>19556</v>
      </c>
      <c r="C2952" t="s">
        <v>60</v>
      </c>
      <c r="D2952" t="s">
        <v>696</v>
      </c>
      <c r="E2952" t="s">
        <v>7431</v>
      </c>
      <c r="F2952" s="2" t="n">
        <f>HYPERLINK("https://patents.google.com/patent/US20160244528","Google")</f>
        <v>0.0</v>
      </c>
      <c r="G2952" s="2" t="n">
        <f>HYPERLINK("https://patentcenter.uspto.gov/applications/15049718","Patent Center")</f>
        <v>0.0</v>
      </c>
      <c r="H2952" s="2" t="n">
        <f>HYPERLINK("https://worldwide.espacenet.com/patent/search?q=US20160244528","Espacenet")</f>
        <v>0.0</v>
      </c>
      <c r="I2952" s="2" t="n">
        <f>HYPERLINK("https://ppubs.uspto.gov/pubwebapp/external.html?q=20160244528.pn.","USPTO")</f>
        <v>0.0</v>
      </c>
      <c r="J2952" s="2" t="n">
        <f>HYPERLINK("https://image-ppubs.uspto.gov/dirsearch-public/print/downloadPdf/20160244528","USPTO PDF")</f>
        <v>0.0</v>
      </c>
      <c r="K2952" s="2" t="n">
        <f>HYPERLINK("https://sectors.patentforecast.com/pmd/US20160244528","PMD")</f>
        <v>0.0</v>
      </c>
      <c r="L2952" s="2" t="n">
        <f>HYPERLINK("https://globaldossier.uspto.gov/result/application/US/15049718/1","US20160244528")</f>
        <v>0.0</v>
      </c>
      <c r="M2952" t="s">
        <v>19557</v>
      </c>
      <c r="N2952" t="s">
        <v>385</v>
      </c>
      <c r="O2952" t="s">
        <v>386</v>
      </c>
      <c r="P2952" t="s">
        <v>17710</v>
      </c>
      <c r="Q2952" s="3" t="n">
        <v>42422.0</v>
      </c>
      <c r="R2952" s="3" t="n">
        <v>42607.0</v>
      </c>
      <c r="S2952" s="3" t="n">
        <v>44004.3759275</v>
      </c>
      <c r="T2952" s="3" t="n">
        <v>44678.623324849534</v>
      </c>
      <c r="U2952" t="s">
        <v>19558</v>
      </c>
      <c r="V2952" t="s">
        <v>7435</v>
      </c>
    </row>
    <row r="2953">
      <c r="A2953" t="s">
        <v>22</v>
      </c>
      <c r="B2953" t="s">
        <v>19559</v>
      </c>
      <c r="C2953" t="s">
        <v>24</v>
      </c>
      <c r="D2953" t="s">
        <v>51</v>
      </c>
      <c r="E2953" t="s">
        <v>19560</v>
      </c>
      <c r="F2953" s="2" t="n">
        <f>HYPERLINK("https://patents.google.com/patent/US20160238601","Google")</f>
        <v>0.0</v>
      </c>
      <c r="G2953" s="2" t="n">
        <f>HYPERLINK("https://patentcenter.uspto.gov/applications/15029190","Patent Center")</f>
        <v>0.0</v>
      </c>
      <c r="H2953" s="2" t="n">
        <f>HYPERLINK("https://worldwide.espacenet.com/patent/search?q=US20160238601","Espacenet")</f>
        <v>0.0</v>
      </c>
      <c r="I2953" s="2" t="n">
        <f>HYPERLINK("https://ppubs.uspto.gov/pubwebapp/external.html?q=20160238601.pn.","USPTO")</f>
        <v>0.0</v>
      </c>
      <c r="J2953" s="2" t="n">
        <f>HYPERLINK("https://image-ppubs.uspto.gov/dirsearch-public/print/downloadPdf/20160238601","USPTO PDF")</f>
        <v>0.0</v>
      </c>
      <c r="K2953" s="2" t="n">
        <f>HYPERLINK("https://sectors.patentforecast.com/pmd/US20160238601","PMD")</f>
        <v>0.0</v>
      </c>
      <c r="L2953" s="2" t="n">
        <f>HYPERLINK("https://globaldossier.uspto.gov/result/application/US/15029190/1","US20160238601")</f>
        <v>0.0</v>
      </c>
      <c r="M2953" t="s">
        <v>19561</v>
      </c>
      <c r="N2953" t="s">
        <v>12054</v>
      </c>
      <c r="O2953" t="s">
        <v>12055</v>
      </c>
      <c r="P2953" t="s">
        <v>19562</v>
      </c>
      <c r="Q2953" s="3" t="n">
        <v>41926.0</v>
      </c>
      <c r="R2953" s="3" t="n">
        <v>42600.0</v>
      </c>
      <c r="S2953" s="3" t="n">
        <v>43935.7041706713</v>
      </c>
      <c r="T2953" s="3" t="n">
        <v>43950.46714417824</v>
      </c>
      <c r="U2953" t="s">
        <v>19563</v>
      </c>
      <c r="V2953" t="s">
        <v>19564</v>
      </c>
    </row>
    <row r="2954">
      <c r="A2954" t="s">
        <v>22</v>
      </c>
      <c r="B2954" t="s">
        <v>19565</v>
      </c>
      <c r="C2954" t="s">
        <v>132</v>
      </c>
      <c r="D2954" t="s">
        <v>142</v>
      </c>
      <c r="E2954" t="s">
        <v>19566</v>
      </c>
      <c r="F2954" s="2" t="n">
        <f>HYPERLINK("https://patents.google.com/patent/US20160235838","Google")</f>
        <v>0.0</v>
      </c>
      <c r="G2954" s="2" t="n">
        <f>HYPERLINK("https://patentcenter.uspto.gov/applications/15026162","Patent Center")</f>
        <v>0.0</v>
      </c>
      <c r="H2954" s="2" t="n">
        <f>HYPERLINK("https://worldwide.espacenet.com/patent/search?q=US20160235838","Espacenet")</f>
        <v>0.0</v>
      </c>
      <c r="I2954" s="2" t="n">
        <f>HYPERLINK("https://ppubs.uspto.gov/pubwebapp/external.html?q=20160235838.pn.","USPTO")</f>
        <v>0.0</v>
      </c>
      <c r="J2954" s="2" t="n">
        <f>HYPERLINK("https://image-ppubs.uspto.gov/dirsearch-public/print/downloadPdf/20160235838","USPTO PDF")</f>
        <v>0.0</v>
      </c>
      <c r="K2954" s="2" t="n">
        <f>HYPERLINK("https://sectors.patentforecast.com/pmd/US20160235838","PMD")</f>
        <v>0.0</v>
      </c>
      <c r="L2954" s="2" t="n">
        <f>HYPERLINK("https://globaldossier.uspto.gov/result/application/US/15026162/1","US20160235838")</f>
        <v>0.0</v>
      </c>
      <c r="M2954" t="s">
        <v>19567</v>
      </c>
      <c r="N2954" t="s">
        <v>10151</v>
      </c>
      <c r="O2954" t="s">
        <v>10152</v>
      </c>
      <c r="P2954" t="s">
        <v>19568</v>
      </c>
      <c r="Q2954" s="3" t="n">
        <v>41914.0</v>
      </c>
      <c r="R2954" s="3" t="n">
        <v>42600.0</v>
      </c>
      <c r="S2954" s="3" t="n">
        <v>43936.46037263889</v>
      </c>
      <c r="T2954" s="3" t="n">
        <v>43950.42318399306</v>
      </c>
      <c r="U2954" t="s">
        <v>19569</v>
      </c>
      <c r="V2954" t="s">
        <v>15033</v>
      </c>
    </row>
    <row r="2955">
      <c r="A2955" t="s">
        <v>22</v>
      </c>
      <c r="B2955" t="s">
        <v>19570</v>
      </c>
      <c r="C2955" t="s">
        <v>132</v>
      </c>
      <c r="D2955" t="s">
        <v>133</v>
      </c>
      <c r="E2955" t="s">
        <v>19571</v>
      </c>
      <c r="F2955" s="2" t="n">
        <f>HYPERLINK("https://patents.google.com/patent/US20160235837","Google")</f>
        <v>0.0</v>
      </c>
      <c r="G2955" s="2" t="n">
        <f>HYPERLINK("https://patentcenter.uspto.gov/applications/15029169","Patent Center")</f>
        <v>0.0</v>
      </c>
      <c r="H2955" s="2" t="n">
        <f>HYPERLINK("https://worldwide.espacenet.com/patent/search?q=US20160235837","Espacenet")</f>
        <v>0.0</v>
      </c>
      <c r="I2955" s="2" t="n">
        <f>HYPERLINK("https://ppubs.uspto.gov/pubwebapp/external.html?q=20160235837.pn.","USPTO")</f>
        <v>0.0</v>
      </c>
      <c r="J2955" s="2" t="n">
        <f>HYPERLINK("https://image-ppubs.uspto.gov/dirsearch-public/print/downloadPdf/20160235837","USPTO PDF")</f>
        <v>0.0</v>
      </c>
      <c r="K2955" s="2" t="n">
        <f>HYPERLINK("https://sectors.patentforecast.com/pmd/US20160235837","PMD")</f>
        <v>0.0</v>
      </c>
      <c r="L2955" s="2" t="n">
        <f>HYPERLINK("https://globaldossier.uspto.gov/result/application/US/15029169/1","US20160235837")</f>
        <v>0.0</v>
      </c>
      <c r="M2955" t="s">
        <v>19572</v>
      </c>
      <c r="N2955" t="s">
        <v>19573</v>
      </c>
      <c r="O2955" t="s">
        <v>19573</v>
      </c>
      <c r="P2955" t="s">
        <v>19574</v>
      </c>
      <c r="Q2955" s="3" t="n">
        <v>41928.0</v>
      </c>
      <c r="R2955" s="3" t="n">
        <v>42600.0</v>
      </c>
      <c r="S2955" s="3" t="n">
        <v>43935.7041706713</v>
      </c>
      <c r="T2955" s="3" t="n">
        <v>43950.46859182871</v>
      </c>
      <c r="U2955" t="s">
        <v>19575</v>
      </c>
      <c r="V2955" t="s">
        <v>19576</v>
      </c>
    </row>
    <row r="2956">
      <c r="A2956" t="s">
        <v>22</v>
      </c>
      <c r="B2956" t="s">
        <v>19577</v>
      </c>
      <c r="C2956" t="s">
        <v>60</v>
      </c>
      <c r="D2956" t="s">
        <v>61</v>
      </c>
      <c r="E2956" t="s">
        <v>19578</v>
      </c>
      <c r="F2956" s="2" t="n">
        <f>HYPERLINK("https://patents.google.com/patent/US20160235748","Google")</f>
        <v>0.0</v>
      </c>
      <c r="G2956" s="2" t="n">
        <f>HYPERLINK("https://patentcenter.uspto.gov/applications/15000821","Patent Center")</f>
        <v>0.0</v>
      </c>
      <c r="H2956" s="2" t="n">
        <f>HYPERLINK("https://worldwide.espacenet.com/patent/search?q=US20160235748","Espacenet")</f>
        <v>0.0</v>
      </c>
      <c r="I2956" s="2" t="n">
        <f>HYPERLINK("https://ppubs.uspto.gov/pubwebapp/external.html?q=20160235748.pn.","USPTO")</f>
        <v>0.0</v>
      </c>
      <c r="J2956" s="2" t="n">
        <f>HYPERLINK("https://image-ppubs.uspto.gov/dirsearch-public/print/downloadPdf/20160235748","USPTO PDF")</f>
        <v>0.0</v>
      </c>
      <c r="K2956" s="2" t="n">
        <f>HYPERLINK("https://sectors.patentforecast.com/pmd/US20160235748","PMD")</f>
        <v>0.0</v>
      </c>
      <c r="L2956" s="2" t="n">
        <f>HYPERLINK("https://globaldossier.uspto.gov/result/application/US/15000821/1","US20160235748")</f>
        <v>0.0</v>
      </c>
      <c r="M2956" t="s">
        <v>19579</v>
      </c>
      <c r="N2956" t="s">
        <v>664</v>
      </c>
      <c r="O2956" t="s">
        <v>665</v>
      </c>
      <c r="P2956" t="s">
        <v>19580</v>
      </c>
      <c r="Q2956" s="3" t="n">
        <v>42388.0</v>
      </c>
      <c r="R2956" s="3" t="n">
        <v>42600.0</v>
      </c>
      <c r="S2956" s="3" t="n">
        <v>43952.459706712965</v>
      </c>
      <c r="T2956" s="3" t="n">
        <v>44638.65271974537</v>
      </c>
      <c r="U2956" t="s">
        <v>19581</v>
      </c>
      <c r="V2956" t="s">
        <v>19582</v>
      </c>
    </row>
    <row r="2957">
      <c r="A2957" t="s">
        <v>22</v>
      </c>
      <c r="B2957" t="s">
        <v>19583</v>
      </c>
      <c r="C2957" t="s">
        <v>24</v>
      </c>
      <c r="D2957" t="s">
        <v>25</v>
      </c>
      <c r="E2957" t="s">
        <v>18681</v>
      </c>
      <c r="F2957" s="2" t="n">
        <f>HYPERLINK("https://patents.google.com/patent/US20160228003","Google")</f>
        <v>0.0</v>
      </c>
      <c r="G2957" s="2" t="n">
        <f>HYPERLINK("https://patentcenter.uspto.gov/applications/15098110","Patent Center")</f>
        <v>0.0</v>
      </c>
      <c r="H2957" s="2" t="n">
        <f>HYPERLINK("https://worldwide.espacenet.com/patent/search?q=US20160228003","Espacenet")</f>
        <v>0.0</v>
      </c>
      <c r="I2957" s="2" t="n">
        <f>HYPERLINK("https://ppubs.uspto.gov/pubwebapp/external.html?q=20160228003.pn.","USPTO")</f>
        <v>0.0</v>
      </c>
      <c r="J2957" s="2" t="n">
        <f>HYPERLINK("https://image-ppubs.uspto.gov/dirsearch-public/print/downloadPdf/20160228003","USPTO PDF")</f>
        <v>0.0</v>
      </c>
      <c r="K2957" s="2" t="n">
        <f>HYPERLINK("https://sectors.patentforecast.com/pmd/US20160228003","PMD")</f>
        <v>0.0</v>
      </c>
      <c r="L2957" s="2" t="n">
        <f>HYPERLINK("https://globaldossier.uspto.gov/result/application/US/15098110/1","US20160228003")</f>
        <v>0.0</v>
      </c>
      <c r="M2957" t="s">
        <v>19584</v>
      </c>
      <c r="N2957" t="s">
        <v>18683</v>
      </c>
      <c r="O2957" t="s">
        <v>18684</v>
      </c>
      <c r="P2957" t="s">
        <v>19585</v>
      </c>
      <c r="Q2957" s="3" t="n">
        <v>42473.0</v>
      </c>
      <c r="R2957" s="3" t="n">
        <v>42593.0</v>
      </c>
      <c r="S2957" s="3" t="n">
        <v>43266.45736516204</v>
      </c>
      <c r="T2957" s="3" t="n">
        <v>43950.58824271991</v>
      </c>
      <c r="U2957" t="s">
        <v>19586</v>
      </c>
      <c r="V2957" t="s">
        <v>18687</v>
      </c>
    </row>
    <row r="2958">
      <c r="A2958" t="s">
        <v>22</v>
      </c>
      <c r="B2958" t="s">
        <v>19587</v>
      </c>
      <c r="C2958" t="s">
        <v>60</v>
      </c>
      <c r="D2958" t="s">
        <v>61</v>
      </c>
      <c r="E2958" t="s">
        <v>19172</v>
      </c>
      <c r="F2958" s="2" t="n">
        <f>HYPERLINK("https://patents.google.com/patent/US20160220633","Google")</f>
        <v>0.0</v>
      </c>
      <c r="G2958" s="2" t="n">
        <f>HYPERLINK("https://patentcenter.uspto.gov/applications/15094777","Patent Center")</f>
        <v>0.0</v>
      </c>
      <c r="H2958" s="2" t="n">
        <f>HYPERLINK("https://worldwide.espacenet.com/patent/search?q=US20160220633","Espacenet")</f>
        <v>0.0</v>
      </c>
      <c r="I2958" s="2" t="n">
        <f>HYPERLINK("https://ppubs.uspto.gov/pubwebapp/external.html?q=20160220633.pn.","USPTO")</f>
        <v>0.0</v>
      </c>
      <c r="J2958" s="2" t="n">
        <f>HYPERLINK("https://image-ppubs.uspto.gov/dirsearch-public/print/downloadPdf/20160220633","USPTO PDF")</f>
        <v>0.0</v>
      </c>
      <c r="K2958" s="2" t="n">
        <f>HYPERLINK("https://sectors.patentforecast.com/pmd/US20160220633","PMD")</f>
        <v>0.0</v>
      </c>
      <c r="L2958" s="2" t="n">
        <f>HYPERLINK("https://globaldossier.uspto.gov/result/application/US/15094777/1","US20160220633")</f>
        <v>0.0</v>
      </c>
      <c r="M2958" t="s">
        <v>19588</v>
      </c>
      <c r="N2958" t="s">
        <v>19174</v>
      </c>
      <c r="O2958" t="s">
        <v>19175</v>
      </c>
      <c r="P2958" t="s">
        <v>19589</v>
      </c>
      <c r="Q2958" s="3" t="n">
        <v>42468.0</v>
      </c>
      <c r="R2958" s="3" t="n">
        <v>42586.0</v>
      </c>
      <c r="S2958" s="3" t="n">
        <v>43952.459706712965</v>
      </c>
      <c r="T2958" s="3" t="n">
        <v>44638.65643378472</v>
      </c>
      <c r="U2958" t="s">
        <v>19590</v>
      </c>
      <c r="V2958" t="s">
        <v>19183</v>
      </c>
    </row>
    <row r="2959">
      <c r="A2959" t="s">
        <v>22</v>
      </c>
      <c r="B2959" t="s">
        <v>19591</v>
      </c>
      <c r="C2959" t="s">
        <v>24</v>
      </c>
      <c r="D2959" t="s">
        <v>25</v>
      </c>
      <c r="E2959" t="s">
        <v>19592</v>
      </c>
      <c r="F2959" s="2" t="n">
        <f>HYPERLINK("https://patents.google.com/patent/US20160210559","Google")</f>
        <v>0.0</v>
      </c>
      <c r="G2959" s="2" t="n">
        <f>HYPERLINK("https://patentcenter.uspto.gov/applications/15060555","Patent Center")</f>
        <v>0.0</v>
      </c>
      <c r="H2959" s="2" t="n">
        <f>HYPERLINK("https://worldwide.espacenet.com/patent/search?q=US20160210559","Espacenet")</f>
        <v>0.0</v>
      </c>
      <c r="I2959" s="2" t="n">
        <f>HYPERLINK("https://ppubs.uspto.gov/pubwebapp/external.html?q=20160210559.pn.","USPTO")</f>
        <v>0.0</v>
      </c>
      <c r="J2959" s="2" t="n">
        <f>HYPERLINK("https://image-ppubs.uspto.gov/dirsearch-public/print/downloadPdf/20160210559","USPTO PDF")</f>
        <v>0.0</v>
      </c>
      <c r="K2959" s="2" t="n">
        <f>HYPERLINK("https://sectors.patentforecast.com/pmd/US20160210559","PMD")</f>
        <v>0.0</v>
      </c>
      <c r="L2959" s="2" t="n">
        <f>HYPERLINK("https://globaldossier.uspto.gov/result/application/US/15060555/1","US20160210559")</f>
        <v>0.0</v>
      </c>
      <c r="M2959" t="s">
        <v>19593</v>
      </c>
      <c r="N2959" t="s">
        <v>19594</v>
      </c>
      <c r="O2959" t="s">
        <v>19595</v>
      </c>
      <c r="P2959" t="s">
        <v>19596</v>
      </c>
      <c r="Q2959" s="3" t="n">
        <v>42432.0</v>
      </c>
      <c r="R2959" s="3" t="n">
        <v>42572.0</v>
      </c>
      <c r="S2959" s="3" t="n">
        <v>43266.45736516204</v>
      </c>
      <c r="T2959" s="3" t="n">
        <v>43901.72156484954</v>
      </c>
      <c r="U2959" t="s">
        <v>19597</v>
      </c>
      <c r="V2959" t="s">
        <v>19598</v>
      </c>
    </row>
    <row r="2960">
      <c r="A2960" t="s">
        <v>22</v>
      </c>
      <c r="B2960" t="s">
        <v>19599</v>
      </c>
      <c r="C2960" t="s">
        <v>60</v>
      </c>
      <c r="D2960" t="s">
        <v>61</v>
      </c>
      <c r="E2960" t="s">
        <v>19600</v>
      </c>
      <c r="F2960" s="2" t="n">
        <f>HYPERLINK("https://patents.google.com/patent/US20160207955","Google")</f>
        <v>0.0</v>
      </c>
      <c r="G2960" s="2" t="n">
        <f>HYPERLINK("https://patentcenter.uspto.gov/applications/14914988","Patent Center")</f>
        <v>0.0</v>
      </c>
      <c r="H2960" s="2" t="n">
        <f>HYPERLINK("https://worldwide.espacenet.com/patent/search?q=US20160207955","Espacenet")</f>
        <v>0.0</v>
      </c>
      <c r="I2960" s="2" t="n">
        <f>HYPERLINK("https://ppubs.uspto.gov/pubwebapp/external.html?q=20160207955.pn.","USPTO")</f>
        <v>0.0</v>
      </c>
      <c r="J2960" s="2" t="n">
        <f>HYPERLINK("https://image-ppubs.uspto.gov/dirsearch-public/print/downloadPdf/20160207955","USPTO PDF")</f>
        <v>0.0</v>
      </c>
      <c r="K2960" s="2" t="n">
        <f>HYPERLINK("https://sectors.patentforecast.com/pmd/US20160207955","PMD")</f>
        <v>0.0</v>
      </c>
      <c r="L2960" s="2" t="n">
        <f>HYPERLINK("https://globaldossier.uspto.gov/result/application/US/14914988/1","US20160207955")</f>
        <v>0.0</v>
      </c>
      <c r="M2960" t="s">
        <v>19601</v>
      </c>
      <c r="N2960" t="s">
        <v>19602</v>
      </c>
      <c r="O2960" t="s">
        <v>19603</v>
      </c>
      <c r="P2960" t="s">
        <v>19604</v>
      </c>
      <c r="Q2960" s="3" t="n">
        <v>41879.0</v>
      </c>
      <c r="R2960" s="3" t="n">
        <v>42572.0</v>
      </c>
      <c r="S2960" s="3" t="n">
        <v>43900.43738943287</v>
      </c>
      <c r="T2960" s="3" t="n">
        <v>43903.48463233796</v>
      </c>
      <c r="U2960" t="s">
        <v>19605</v>
      </c>
      <c r="V2960" t="s">
        <v>19606</v>
      </c>
    </row>
    <row r="2961">
      <c r="A2961" t="s">
        <v>22</v>
      </c>
      <c r="B2961" t="s">
        <v>19607</v>
      </c>
      <c r="C2961" t="s">
        <v>132</v>
      </c>
      <c r="D2961" t="s">
        <v>133</v>
      </c>
      <c r="E2961" t="s">
        <v>19608</v>
      </c>
      <c r="F2961" s="2" t="n">
        <f>HYPERLINK("https://patents.google.com/patent/US20160206729","Google")</f>
        <v>0.0</v>
      </c>
      <c r="G2961" s="2" t="n">
        <f>HYPERLINK("https://patentcenter.uspto.gov/applications/15023629","Patent Center")</f>
        <v>0.0</v>
      </c>
      <c r="H2961" s="2" t="n">
        <f>HYPERLINK("https://worldwide.espacenet.com/patent/search?q=US20160206729","Espacenet")</f>
        <v>0.0</v>
      </c>
      <c r="I2961" s="2" t="n">
        <f>HYPERLINK("https://ppubs.uspto.gov/pubwebapp/external.html?q=20160206729.pn.","USPTO")</f>
        <v>0.0</v>
      </c>
      <c r="J2961" s="2" t="n">
        <f>HYPERLINK("https://image-ppubs.uspto.gov/dirsearch-public/print/downloadPdf/20160206729","USPTO PDF")</f>
        <v>0.0</v>
      </c>
      <c r="K2961" s="2" t="n">
        <f>HYPERLINK("https://sectors.patentforecast.com/pmd/US20160206729","PMD")</f>
        <v>0.0</v>
      </c>
      <c r="L2961" s="2" t="n">
        <f>HYPERLINK("https://globaldossier.uspto.gov/result/application/US/15023629/1","US20160206729")</f>
        <v>0.0</v>
      </c>
      <c r="M2961" t="s">
        <v>19609</v>
      </c>
      <c r="N2961" t="s">
        <v>1275</v>
      </c>
      <c r="O2961" t="s">
        <v>1275</v>
      </c>
      <c r="P2961" t="s">
        <v>19610</v>
      </c>
      <c r="Q2961" s="3" t="n">
        <v>41901.0</v>
      </c>
      <c r="R2961" s="3" t="n">
        <v>42572.0</v>
      </c>
      <c r="S2961" s="3" t="n">
        <v>43935.7041706713</v>
      </c>
      <c r="T2961" s="3" t="n">
        <v>43950.462844837966</v>
      </c>
      <c r="U2961" t="s">
        <v>19611</v>
      </c>
      <c r="V2961" t="s">
        <v>19612</v>
      </c>
    </row>
    <row r="2962">
      <c r="A2962" t="s">
        <v>22</v>
      </c>
      <c r="B2962" t="s">
        <v>19613</v>
      </c>
      <c r="C2962" t="s">
        <v>24</v>
      </c>
      <c r="D2962" t="s">
        <v>51</v>
      </c>
      <c r="E2962" t="s">
        <v>19614</v>
      </c>
      <c r="F2962" s="2" t="n">
        <f>HYPERLINK("https://patents.google.com/patent/US20160202265","Google")</f>
        <v>0.0</v>
      </c>
      <c r="G2962" s="2" t="n">
        <f>HYPERLINK("https://patentcenter.uspto.gov/applications/14913879","Patent Center")</f>
        <v>0.0</v>
      </c>
      <c r="H2962" s="2" t="n">
        <f>HYPERLINK("https://worldwide.espacenet.com/patent/search?q=US20160202265","Espacenet")</f>
        <v>0.0</v>
      </c>
      <c r="I2962" s="2" t="n">
        <f>HYPERLINK("https://ppubs.uspto.gov/pubwebapp/external.html?q=20160202265.pn.","USPTO")</f>
        <v>0.0</v>
      </c>
      <c r="J2962" s="2" t="n">
        <f>HYPERLINK("https://image-ppubs.uspto.gov/dirsearch-public/print/downloadPdf/20160202265","USPTO PDF")</f>
        <v>0.0</v>
      </c>
      <c r="K2962" s="2" t="n">
        <f>HYPERLINK("https://sectors.patentforecast.com/pmd/US20160202265","PMD")</f>
        <v>0.0</v>
      </c>
      <c r="L2962" s="2" t="n">
        <f>HYPERLINK("https://globaldossier.uspto.gov/result/application/US/14913879/1","US20160202265")</f>
        <v>0.0</v>
      </c>
      <c r="M2962" t="s">
        <v>19615</v>
      </c>
      <c r="N2962" t="s">
        <v>19616</v>
      </c>
      <c r="O2962" t="s">
        <v>19616</v>
      </c>
      <c r="P2962" t="s">
        <v>19617</v>
      </c>
      <c r="Q2962" s="3" t="n">
        <v>41869.0</v>
      </c>
      <c r="R2962" s="3" t="n">
        <v>42565.0</v>
      </c>
      <c r="S2962" s="3" t="n">
        <v>43900.43738943287</v>
      </c>
      <c r="T2962" s="3" t="n">
        <v>44643.4020462037</v>
      </c>
      <c r="U2962" t="s">
        <v>19618</v>
      </c>
      <c r="V2962" t="s">
        <v>19619</v>
      </c>
    </row>
    <row r="2963">
      <c r="A2963" t="s">
        <v>22</v>
      </c>
      <c r="B2963" t="s">
        <v>19620</v>
      </c>
      <c r="C2963" t="s">
        <v>60</v>
      </c>
      <c r="D2963" t="s">
        <v>61</v>
      </c>
      <c r="E2963" t="s">
        <v>18017</v>
      </c>
      <c r="F2963" s="2" t="n">
        <f>HYPERLINK("https://patents.google.com/patent/US20160199327","Google")</f>
        <v>0.0</v>
      </c>
      <c r="G2963" s="2" t="n">
        <f>HYPERLINK("https://patentcenter.uspto.gov/applications/15061661","Patent Center")</f>
        <v>0.0</v>
      </c>
      <c r="H2963" s="2" t="n">
        <f>HYPERLINK("https://worldwide.espacenet.com/patent/search?q=US20160199327","Espacenet")</f>
        <v>0.0</v>
      </c>
      <c r="I2963" s="2" t="n">
        <f>HYPERLINK("https://ppubs.uspto.gov/pubwebapp/external.html?q=20160199327.pn.","USPTO")</f>
        <v>0.0</v>
      </c>
      <c r="J2963" s="2" t="n">
        <f>HYPERLINK("https://image-ppubs.uspto.gov/dirsearch-public/print/downloadPdf/20160199327","USPTO PDF")</f>
        <v>0.0</v>
      </c>
      <c r="K2963" s="2" t="n">
        <f>HYPERLINK("https://sectors.patentforecast.com/pmd/US20160199327","PMD")</f>
        <v>0.0</v>
      </c>
      <c r="L2963" s="2" t="n">
        <f>HYPERLINK("https://globaldossier.uspto.gov/result/application/US/15061661/1","US20160199327")</f>
        <v>0.0</v>
      </c>
      <c r="M2963" t="s">
        <v>19621</v>
      </c>
      <c r="N2963" t="s">
        <v>17848</v>
      </c>
      <c r="O2963" t="s">
        <v>17849</v>
      </c>
      <c r="P2963" t="s">
        <v>18007</v>
      </c>
      <c r="Q2963" s="3" t="n">
        <v>42433.0</v>
      </c>
      <c r="R2963" s="3" t="n">
        <v>42565.0</v>
      </c>
      <c r="S2963" s="3" t="n">
        <v>43929.461066875</v>
      </c>
      <c r="T2963" s="3" t="n">
        <v>43986.46483391204</v>
      </c>
      <c r="U2963" t="s">
        <v>18008</v>
      </c>
      <c r="V2963" t="s">
        <v>17852</v>
      </c>
    </row>
    <row r="2964">
      <c r="A2964" t="s">
        <v>22</v>
      </c>
      <c r="B2964" t="s">
        <v>19622</v>
      </c>
      <c r="C2964" t="s">
        <v>24</v>
      </c>
      <c r="D2964" t="s">
        <v>204</v>
      </c>
      <c r="E2964" t="s">
        <v>4198</v>
      </c>
      <c r="F2964" s="2" t="n">
        <f>HYPERLINK("https://patents.google.com/patent/US20160196405","Google")</f>
        <v>0.0</v>
      </c>
      <c r="G2964" s="2" t="n">
        <f>HYPERLINK("https://patentcenter.uspto.gov/applications/15004022","Patent Center")</f>
        <v>0.0</v>
      </c>
      <c r="H2964" s="2" t="n">
        <f>HYPERLINK("https://worldwide.espacenet.com/patent/search?q=US20160196405","Espacenet")</f>
        <v>0.0</v>
      </c>
      <c r="I2964" s="2" t="n">
        <f>HYPERLINK("https://ppubs.uspto.gov/pubwebapp/external.html?q=20160196405.pn.","USPTO")</f>
        <v>0.0</v>
      </c>
      <c r="J2964" s="2" t="n">
        <f>HYPERLINK("https://image-ppubs.uspto.gov/dirsearch-public/print/downloadPdf/20160196405","USPTO PDF")</f>
        <v>0.0</v>
      </c>
      <c r="K2964" s="2" t="n">
        <f>HYPERLINK("https://sectors.patentforecast.com/pmd/US20160196405","PMD")</f>
        <v>0.0</v>
      </c>
      <c r="L2964" s="2" t="n">
        <f>HYPERLINK("https://globaldossier.uspto.gov/result/application/US/15004022/1","US20160196405")</f>
        <v>0.0</v>
      </c>
      <c r="M2964" t="s">
        <v>19623</v>
      </c>
      <c r="N2964" t="s">
        <v>1792</v>
      </c>
      <c r="O2964" t="s">
        <v>1793</v>
      </c>
      <c r="P2964" t="s">
        <v>4200</v>
      </c>
      <c r="Q2964" s="3" t="n">
        <v>42391.0</v>
      </c>
      <c r="R2964" s="3" t="n">
        <v>42558.0</v>
      </c>
      <c r="S2964" s="3" t="n">
        <v>43266.45736591435</v>
      </c>
      <c r="T2964" s="3" t="n">
        <v>43901.721564976855</v>
      </c>
      <c r="U2964" t="s">
        <v>19624</v>
      </c>
      <c r="V2964" t="s">
        <v>4201</v>
      </c>
    </row>
    <row r="2965">
      <c r="A2965" t="s">
        <v>22</v>
      </c>
      <c r="B2965" t="s">
        <v>19625</v>
      </c>
      <c r="C2965" t="s">
        <v>132</v>
      </c>
      <c r="D2965" t="s">
        <v>142</v>
      </c>
      <c r="E2965" t="s">
        <v>19626</v>
      </c>
      <c r="F2965" s="2" t="n">
        <f>HYPERLINK("https://patents.google.com/patent/US20160194625","Google")</f>
        <v>0.0</v>
      </c>
      <c r="G2965" s="2" t="n">
        <f>HYPERLINK("https://patentcenter.uspto.gov/applications/14915959","Patent Center")</f>
        <v>0.0</v>
      </c>
      <c r="H2965" s="2" t="n">
        <f>HYPERLINK("https://worldwide.espacenet.com/patent/search?q=US20160194625","Espacenet")</f>
        <v>0.0</v>
      </c>
      <c r="I2965" s="2" t="n">
        <f>HYPERLINK("https://ppubs.uspto.gov/pubwebapp/external.html?q=20160194625.pn.","USPTO")</f>
        <v>0.0</v>
      </c>
      <c r="J2965" s="2" t="n">
        <f>HYPERLINK("https://image-ppubs.uspto.gov/dirsearch-public/print/downloadPdf/20160194625","USPTO PDF")</f>
        <v>0.0</v>
      </c>
      <c r="K2965" s="2" t="n">
        <f>HYPERLINK("https://sectors.patentforecast.com/pmd/US20160194625","PMD")</f>
        <v>0.0</v>
      </c>
      <c r="L2965" s="2" t="n">
        <f>HYPERLINK("https://globaldossier.uspto.gov/result/application/US/14915959/1","US20160194625")</f>
        <v>0.0</v>
      </c>
      <c r="M2965" t="s">
        <v>19627</v>
      </c>
      <c r="N2965" t="s">
        <v>145</v>
      </c>
      <c r="O2965" t="s">
        <v>146</v>
      </c>
      <c r="P2965" t="s">
        <v>19628</v>
      </c>
      <c r="Q2965" s="3" t="n">
        <v>41885.0</v>
      </c>
      <c r="R2965" s="3" t="n">
        <v>42558.0</v>
      </c>
      <c r="S2965" s="3" t="n">
        <v>43909.45368546296</v>
      </c>
      <c r="T2965" s="3" t="n">
        <v>43950.496651284724</v>
      </c>
      <c r="U2965" t="s">
        <v>19629</v>
      </c>
      <c r="V2965" t="s">
        <v>19630</v>
      </c>
    </row>
    <row r="2966">
      <c r="A2966" t="s">
        <v>22</v>
      </c>
      <c r="B2966" t="s">
        <v>19631</v>
      </c>
      <c r="C2966" t="s">
        <v>24</v>
      </c>
      <c r="D2966" t="s">
        <v>25</v>
      </c>
      <c r="E2966" t="s">
        <v>19632</v>
      </c>
      <c r="F2966" s="2" t="n">
        <f>HYPERLINK("https://patents.google.com/patent/US20160188969","Google")</f>
        <v>0.0</v>
      </c>
      <c r="G2966" s="2" t="n">
        <f>HYPERLINK("https://patentcenter.uspto.gov/applications/15066004","Patent Center")</f>
        <v>0.0</v>
      </c>
      <c r="H2966" s="2" t="n">
        <f>HYPERLINK("https://worldwide.espacenet.com/patent/search?q=US20160188969","Espacenet")</f>
        <v>0.0</v>
      </c>
      <c r="I2966" s="2" t="n">
        <f>HYPERLINK("https://ppubs.uspto.gov/pubwebapp/external.html?q=20160188969.pn.","USPTO")</f>
        <v>0.0</v>
      </c>
      <c r="J2966" s="2" t="n">
        <f>HYPERLINK("https://image-ppubs.uspto.gov/dirsearch-public/print/downloadPdf/20160188969","USPTO PDF")</f>
        <v>0.0</v>
      </c>
      <c r="K2966" s="2" t="n">
        <f>HYPERLINK("https://sectors.patentforecast.com/pmd/US20160188969","PMD")</f>
        <v>0.0</v>
      </c>
      <c r="L2966" s="2" t="n">
        <f>HYPERLINK("https://globaldossier.uspto.gov/result/application/US/15066004/1","US20160188969")</f>
        <v>0.0</v>
      </c>
      <c r="M2966" t="s">
        <v>19633</v>
      </c>
      <c r="N2966" t="s">
        <v>19634</v>
      </c>
      <c r="O2966" t="s">
        <v>19635</v>
      </c>
      <c r="P2966" t="s">
        <v>19636</v>
      </c>
      <c r="Q2966" s="3" t="n">
        <v>42439.0</v>
      </c>
      <c r="R2966" s="3" t="n">
        <v>42551.0</v>
      </c>
      <c r="S2966" s="3" t="n">
        <v>43908.45851127315</v>
      </c>
      <c r="T2966" s="3" t="n">
        <v>43984.71584298611</v>
      </c>
      <c r="U2966" t="s">
        <v>19637</v>
      </c>
      <c r="V2966" t="s">
        <v>19638</v>
      </c>
    </row>
    <row r="2967">
      <c r="A2967" t="s">
        <v>22</v>
      </c>
      <c r="B2967" t="s">
        <v>19639</v>
      </c>
      <c r="C2967" t="s">
        <v>24</v>
      </c>
      <c r="D2967" t="s">
        <v>25</v>
      </c>
      <c r="E2967" t="s">
        <v>17790</v>
      </c>
      <c r="F2967" s="2" t="n">
        <f>HYPERLINK("https://patents.google.com/patent/US20160180060","Google")</f>
        <v>0.0</v>
      </c>
      <c r="G2967" s="2" t="n">
        <f>HYPERLINK("https://patentcenter.uspto.gov/applications/14905550","Patent Center")</f>
        <v>0.0</v>
      </c>
      <c r="H2967" s="2" t="n">
        <f>HYPERLINK("https://worldwide.espacenet.com/patent/search?q=US20160180060","Espacenet")</f>
        <v>0.0</v>
      </c>
      <c r="I2967" s="2" t="n">
        <f>HYPERLINK("https://ppubs.uspto.gov/pubwebapp/external.html?q=20160180060.pn.","USPTO")</f>
        <v>0.0</v>
      </c>
      <c r="J2967" s="2" t="n">
        <f>HYPERLINK("https://image-ppubs.uspto.gov/dirsearch-public/print/downloadPdf/20160180060","USPTO PDF")</f>
        <v>0.0</v>
      </c>
      <c r="K2967" s="2" t="n">
        <f>HYPERLINK("https://sectors.patentforecast.com/pmd/US20160180060","PMD")</f>
        <v>0.0</v>
      </c>
      <c r="L2967" s="2" t="n">
        <f>HYPERLINK("https://globaldossier.uspto.gov/result/application/US/14905550/1","US20160180060")</f>
        <v>0.0</v>
      </c>
      <c r="M2967" t="s">
        <v>19640</v>
      </c>
      <c r="N2967" t="s">
        <v>17792</v>
      </c>
      <c r="O2967" t="s">
        <v>17793</v>
      </c>
      <c r="P2967" t="s">
        <v>19641</v>
      </c>
      <c r="Q2967" s="3" t="n">
        <v>41837.0</v>
      </c>
      <c r="R2967" s="3" t="n">
        <v>42544.0</v>
      </c>
      <c r="S2967" s="3" t="n">
        <v>43266.45736590278</v>
      </c>
      <c r="T2967" s="3" t="n">
        <v>43950.60656701389</v>
      </c>
      <c r="U2967" t="s">
        <v>19642</v>
      </c>
      <c r="V2967" t="s">
        <v>17796</v>
      </c>
    </row>
    <row r="2968">
      <c r="A2968" t="s">
        <v>22</v>
      </c>
      <c r="B2968" t="s">
        <v>19643</v>
      </c>
      <c r="C2968" t="s">
        <v>24</v>
      </c>
      <c r="D2968" t="s">
        <v>187</v>
      </c>
      <c r="E2968" t="s">
        <v>19644</v>
      </c>
      <c r="F2968" s="2" t="n">
        <f>HYPERLINK("https://patents.google.com/patent/US20160180020","Google")</f>
        <v>0.0</v>
      </c>
      <c r="G2968" s="2" t="n">
        <f>HYPERLINK("https://patentcenter.uspto.gov/applications/14586267","Patent Center")</f>
        <v>0.0</v>
      </c>
      <c r="H2968" s="2" t="n">
        <f>HYPERLINK("https://worldwide.espacenet.com/patent/search?q=US20160180020","Espacenet")</f>
        <v>0.0</v>
      </c>
      <c r="I2968" s="2" t="n">
        <f>HYPERLINK("https://ppubs.uspto.gov/pubwebapp/external.html?q=20160180020.pn.","USPTO")</f>
        <v>0.0</v>
      </c>
      <c r="J2968" s="2" t="n">
        <f>HYPERLINK("https://image-ppubs.uspto.gov/dirsearch-public/print/downloadPdf/20160180020","USPTO PDF")</f>
        <v>0.0</v>
      </c>
      <c r="K2968" s="2" t="n">
        <f>HYPERLINK("https://sectors.patentforecast.com/pmd/US20160180020","PMD")</f>
        <v>0.0</v>
      </c>
      <c r="L2968" s="2" t="n">
        <f>HYPERLINK("https://globaldossier.uspto.gov/result/application/US/14586267/1","US20160180020")</f>
        <v>0.0</v>
      </c>
      <c r="M2968" t="s">
        <v>19645</v>
      </c>
      <c r="N2968" t="s">
        <v>6851</v>
      </c>
      <c r="O2968" t="s">
        <v>6852</v>
      </c>
      <c r="P2968" t="s">
        <v>19646</v>
      </c>
      <c r="Q2968" s="3" t="n">
        <v>42003.0</v>
      </c>
      <c r="R2968" s="3" t="n">
        <v>42544.0</v>
      </c>
      <c r="S2968" s="3" t="n">
        <v>43266.45736590278</v>
      </c>
      <c r="T2968" s="3" t="n">
        <v>43266.61438974537</v>
      </c>
      <c r="U2968" t="s">
        <v>19647</v>
      </c>
      <c r="V2968" t="s">
        <v>19648</v>
      </c>
    </row>
    <row r="2969">
      <c r="A2969" t="s">
        <v>22</v>
      </c>
      <c r="B2969" t="s">
        <v>19649</v>
      </c>
      <c r="C2969" t="s">
        <v>24</v>
      </c>
      <c r="D2969" t="s">
        <v>25</v>
      </c>
      <c r="E2969" t="s">
        <v>19650</v>
      </c>
      <c r="F2969" s="2" t="n">
        <f>HYPERLINK("https://patents.google.com/patent/US20160179910","Google")</f>
        <v>0.0</v>
      </c>
      <c r="G2969" s="2" t="n">
        <f>HYPERLINK("https://patentcenter.uspto.gov/applications/14791475","Patent Center")</f>
        <v>0.0</v>
      </c>
      <c r="H2969" s="2" t="n">
        <f>HYPERLINK("https://worldwide.espacenet.com/patent/search?q=US20160179910","Espacenet")</f>
        <v>0.0</v>
      </c>
      <c r="I2969" s="2" t="n">
        <f>HYPERLINK("https://ppubs.uspto.gov/pubwebapp/external.html?q=20160179910.pn.","USPTO")</f>
        <v>0.0</v>
      </c>
      <c r="J2969" s="2" t="n">
        <f>HYPERLINK("https://image-ppubs.uspto.gov/dirsearch-public/print/downloadPdf/20160179910","USPTO PDF")</f>
        <v>0.0</v>
      </c>
      <c r="K2969" s="2" t="n">
        <f>HYPERLINK("https://sectors.patentforecast.com/pmd/US20160179910","PMD")</f>
        <v>0.0</v>
      </c>
      <c r="L2969" s="2" t="n">
        <f>HYPERLINK("https://globaldossier.uspto.gov/result/application/US/14791475/1","US20160179910")</f>
        <v>0.0</v>
      </c>
      <c r="M2969" t="s">
        <v>19651</v>
      </c>
      <c r="N2969" t="s">
        <v>19652</v>
      </c>
      <c r="O2969" t="s">
        <v>19653</v>
      </c>
      <c r="P2969" t="s">
        <v>19654</v>
      </c>
      <c r="Q2969" s="3" t="n">
        <v>42190.0</v>
      </c>
      <c r="R2969" s="3" t="n">
        <v>42544.0</v>
      </c>
      <c r="S2969" s="3" t="n">
        <v>43908.458623784725</v>
      </c>
      <c r="T2969" s="3" t="n">
        <v>43984.70328722222</v>
      </c>
      <c r="U2969" t="s">
        <v>19655</v>
      </c>
      <c r="V2969" t="s">
        <v>19656</v>
      </c>
    </row>
    <row r="2970">
      <c r="A2970" t="s">
        <v>22</v>
      </c>
      <c r="B2970" t="s">
        <v>19657</v>
      </c>
      <c r="C2970" t="s">
        <v>60</v>
      </c>
      <c r="D2970" t="s">
        <v>61</v>
      </c>
      <c r="E2970" t="s">
        <v>19658</v>
      </c>
      <c r="F2970" s="2" t="n">
        <f>HYPERLINK("https://patents.google.com/patent/US20160176885","Google")</f>
        <v>0.0</v>
      </c>
      <c r="G2970" s="2" t="n">
        <f>HYPERLINK("https://patentcenter.uspto.gov/applications/14815504","Patent Center")</f>
        <v>0.0</v>
      </c>
      <c r="H2970" s="2" t="n">
        <f>HYPERLINK("https://worldwide.espacenet.com/patent/search?q=US20160176885","Espacenet")</f>
        <v>0.0</v>
      </c>
      <c r="I2970" s="2" t="n">
        <f>HYPERLINK("https://ppubs.uspto.gov/pubwebapp/external.html?q=20160176885.pn.","USPTO")</f>
        <v>0.0</v>
      </c>
      <c r="J2970" s="2" t="n">
        <f>HYPERLINK("https://image-ppubs.uspto.gov/dirsearch-public/print/downloadPdf/20160176885","USPTO PDF")</f>
        <v>0.0</v>
      </c>
      <c r="K2970" s="2" t="n">
        <f>HYPERLINK("https://sectors.patentforecast.com/pmd/US20160176885","PMD")</f>
        <v>0.0</v>
      </c>
      <c r="L2970" s="2" t="n">
        <f>HYPERLINK("https://globaldossier.uspto.gov/result/application/US/14815504/1","US20160176885")</f>
        <v>0.0</v>
      </c>
      <c r="M2970" t="s">
        <v>19659</v>
      </c>
      <c r="N2970" t="s">
        <v>664</v>
      </c>
      <c r="O2970" t="s">
        <v>665</v>
      </c>
      <c r="P2970" t="s">
        <v>19660</v>
      </c>
      <c r="Q2970" s="3" t="n">
        <v>42216.0</v>
      </c>
      <c r="R2970" s="3" t="n">
        <v>42544.0</v>
      </c>
      <c r="S2970" s="3" t="n">
        <v>43952.46303712963</v>
      </c>
      <c r="T2970" s="3" t="n">
        <v>44638.65579662037</v>
      </c>
      <c r="U2970" t="s">
        <v>19661</v>
      </c>
      <c r="V2970" t="s">
        <v>17844</v>
      </c>
    </row>
    <row r="2971">
      <c r="A2971" t="s">
        <v>22</v>
      </c>
      <c r="B2971" t="s">
        <v>19662</v>
      </c>
      <c r="C2971" t="s">
        <v>132</v>
      </c>
      <c r="D2971" t="s">
        <v>1265</v>
      </c>
      <c r="E2971" t="s">
        <v>19663</v>
      </c>
      <c r="F2971" s="2" t="n">
        <f>HYPERLINK("https://patents.google.com/patent/US20160175427","Google")</f>
        <v>0.0</v>
      </c>
      <c r="G2971" s="2" t="n">
        <f>HYPERLINK("https://patentcenter.uspto.gov/applications/14910136","Patent Center")</f>
        <v>0.0</v>
      </c>
      <c r="H2971" s="2" t="n">
        <f>HYPERLINK("https://worldwide.espacenet.com/patent/search?q=US20160175427","Espacenet")</f>
        <v>0.0</v>
      </c>
      <c r="I2971" s="2" t="n">
        <f>HYPERLINK("https://ppubs.uspto.gov/pubwebapp/external.html?q=20160175427.pn.","USPTO")</f>
        <v>0.0</v>
      </c>
      <c r="J2971" s="2" t="n">
        <f>HYPERLINK("https://image-ppubs.uspto.gov/dirsearch-public/print/downloadPdf/20160175427","USPTO PDF")</f>
        <v>0.0</v>
      </c>
      <c r="K2971" s="2" t="n">
        <f>HYPERLINK("https://sectors.patentforecast.com/pmd/US20160175427","PMD")</f>
        <v>0.0</v>
      </c>
      <c r="L2971" s="2" t="n">
        <f>HYPERLINK("https://globaldossier.uspto.gov/result/application/US/14910136/1","US20160175427")</f>
        <v>0.0</v>
      </c>
      <c r="M2971" t="s">
        <v>19664</v>
      </c>
      <c r="N2971" t="s">
        <v>2541</v>
      </c>
      <c r="O2971" t="s">
        <v>2542</v>
      </c>
      <c r="P2971" t="s">
        <v>19665</v>
      </c>
      <c r="Q2971" s="3" t="n">
        <v>41855.0</v>
      </c>
      <c r="R2971" s="3" t="n">
        <v>42544.0</v>
      </c>
      <c r="S2971" s="3" t="n">
        <v>43936.46037263889</v>
      </c>
      <c r="T2971" s="3" t="n">
        <v>44543.6710168287</v>
      </c>
      <c r="U2971" t="s">
        <v>19666</v>
      </c>
      <c r="V2971" t="s">
        <v>19667</v>
      </c>
    </row>
    <row r="2972">
      <c r="A2972" t="s">
        <v>22</v>
      </c>
      <c r="B2972" t="s">
        <v>19668</v>
      </c>
      <c r="C2972" t="s">
        <v>24</v>
      </c>
      <c r="D2972" t="s">
        <v>25</v>
      </c>
      <c r="E2972" t="s">
        <v>19669</v>
      </c>
      <c r="F2972" s="2" t="n">
        <f>HYPERLINK("https://patents.google.com/patent/US20160171179","Google")</f>
        <v>0.0</v>
      </c>
      <c r="G2972" s="2" t="n">
        <f>HYPERLINK("https://patentcenter.uspto.gov/applications/14965092","Patent Center")</f>
        <v>0.0</v>
      </c>
      <c r="H2972" s="2" t="n">
        <f>HYPERLINK("https://worldwide.espacenet.com/patent/search?q=US20160171179","Espacenet")</f>
        <v>0.0</v>
      </c>
      <c r="I2972" s="2" t="n">
        <f>HYPERLINK("https://ppubs.uspto.gov/pubwebapp/external.html?q=20160171179.pn.","USPTO")</f>
        <v>0.0</v>
      </c>
      <c r="J2972" s="2" t="n">
        <f>HYPERLINK("https://image-ppubs.uspto.gov/dirsearch-public/print/downloadPdf/20160171179","USPTO PDF")</f>
        <v>0.0</v>
      </c>
      <c r="K2972" s="2" t="n">
        <f>HYPERLINK("https://sectors.patentforecast.com/pmd/US20160171179","PMD")</f>
        <v>0.0</v>
      </c>
      <c r="L2972" s="2" t="n">
        <f>HYPERLINK("https://globaldossier.uspto.gov/result/application/US/14965092/1","US20160171179")</f>
        <v>0.0</v>
      </c>
      <c r="M2972" t="s">
        <v>19670</v>
      </c>
      <c r="N2972" t="s">
        <v>19671</v>
      </c>
      <c r="O2972" t="s">
        <v>19672</v>
      </c>
      <c r="P2972" t="s">
        <v>19673</v>
      </c>
      <c r="Q2972" s="3" t="n">
        <v>42348.0</v>
      </c>
      <c r="R2972" s="3" t="n">
        <v>42537.0</v>
      </c>
      <c r="S2972" s="3" t="n">
        <v>43266.45736590278</v>
      </c>
      <c r="T2972" s="3" t="n">
        <v>43901.721563935185</v>
      </c>
      <c r="U2972" t="s">
        <v>19674</v>
      </c>
      <c r="V2972" t="s">
        <v>19675</v>
      </c>
    </row>
    <row r="2973">
      <c r="A2973" t="s">
        <v>22</v>
      </c>
      <c r="B2973" t="s">
        <v>19676</v>
      </c>
      <c r="C2973" t="s">
        <v>60</v>
      </c>
      <c r="D2973" t="s">
        <v>61</v>
      </c>
      <c r="E2973" t="s">
        <v>19677</v>
      </c>
      <c r="F2973" s="2" t="n">
        <f>HYPERLINK("https://patents.google.com/patent/US20160169921","Google")</f>
        <v>0.0</v>
      </c>
      <c r="G2973" s="2" t="n">
        <f>HYPERLINK("https://patentcenter.uspto.gov/applications/14861709","Patent Center")</f>
        <v>0.0</v>
      </c>
      <c r="H2973" s="2" t="n">
        <f>HYPERLINK("https://worldwide.espacenet.com/patent/search?q=US20160169921","Espacenet")</f>
        <v>0.0</v>
      </c>
      <c r="I2973" s="2" t="n">
        <f>HYPERLINK("https://ppubs.uspto.gov/pubwebapp/external.html?q=20160169921.pn.","USPTO")</f>
        <v>0.0</v>
      </c>
      <c r="J2973" s="2" t="n">
        <f>HYPERLINK("https://image-ppubs.uspto.gov/dirsearch-public/print/downloadPdf/20160169921","USPTO PDF")</f>
        <v>0.0</v>
      </c>
      <c r="K2973" s="2" t="n">
        <f>HYPERLINK("https://sectors.patentforecast.com/pmd/US20160169921","PMD")</f>
        <v>0.0</v>
      </c>
      <c r="L2973" s="2" t="n">
        <f>HYPERLINK("https://globaldossier.uspto.gov/result/application/US/14861709/1","US20160169921")</f>
        <v>0.0</v>
      </c>
      <c r="M2973" t="s">
        <v>19678</v>
      </c>
      <c r="N2973" t="s">
        <v>4005</v>
      </c>
      <c r="O2973" t="s">
        <v>4006</v>
      </c>
      <c r="P2973" t="s">
        <v>19679</v>
      </c>
      <c r="Q2973" s="3" t="n">
        <v>42269.0</v>
      </c>
      <c r="R2973" s="3" t="n">
        <v>42537.0</v>
      </c>
      <c r="S2973" s="3" t="n">
        <v>43929.46106967593</v>
      </c>
      <c r="T2973" s="3" t="n">
        <v>44543.61781101852</v>
      </c>
      <c r="U2973" t="s">
        <v>19680</v>
      </c>
      <c r="V2973" t="s">
        <v>19681</v>
      </c>
    </row>
    <row r="2974">
      <c r="A2974" t="s">
        <v>22</v>
      </c>
      <c r="B2974" t="s">
        <v>19682</v>
      </c>
      <c r="C2974" t="s">
        <v>60</v>
      </c>
      <c r="D2974" t="s">
        <v>696</v>
      </c>
      <c r="E2974" t="s">
        <v>17854</v>
      </c>
      <c r="F2974" s="2" t="n">
        <f>HYPERLINK("https://patents.google.com/patent/US20160168243","Google")</f>
        <v>0.0</v>
      </c>
      <c r="G2974" s="2" t="n">
        <f>HYPERLINK("https://patentcenter.uspto.gov/applications/14968098","Patent Center")</f>
        <v>0.0</v>
      </c>
      <c r="H2974" s="2" t="n">
        <f>HYPERLINK("https://worldwide.espacenet.com/patent/search?q=US20160168243","Espacenet")</f>
        <v>0.0</v>
      </c>
      <c r="I2974" s="2" t="n">
        <f>HYPERLINK("https://ppubs.uspto.gov/pubwebapp/external.html?q=20160168243.pn.","USPTO")</f>
        <v>0.0</v>
      </c>
      <c r="J2974" s="2" t="n">
        <f>HYPERLINK("https://image-ppubs.uspto.gov/dirsearch-public/print/downloadPdf/20160168243","USPTO PDF")</f>
        <v>0.0</v>
      </c>
      <c r="K2974" s="2" t="n">
        <f>HYPERLINK("https://sectors.patentforecast.com/pmd/US20160168243","PMD")</f>
        <v>0.0</v>
      </c>
      <c r="L2974" s="2" t="n">
        <f>HYPERLINK("https://globaldossier.uspto.gov/result/application/US/14968098/1","US20160168243")</f>
        <v>0.0</v>
      </c>
      <c r="M2974" t="s">
        <v>19683</v>
      </c>
      <c r="N2974" t="s">
        <v>16927</v>
      </c>
      <c r="O2974" t="s">
        <v>16928</v>
      </c>
      <c r="P2974" t="s">
        <v>17699</v>
      </c>
      <c r="Q2974" s="3" t="n">
        <v>42352.0</v>
      </c>
      <c r="R2974" s="3" t="n">
        <v>42537.0</v>
      </c>
      <c r="S2974" s="3" t="n">
        <v>43966.48702555556</v>
      </c>
      <c r="T2974" s="3" t="n">
        <v>44643.44490069444</v>
      </c>
      <c r="U2974" t="s">
        <v>19684</v>
      </c>
      <c r="V2974" t="s">
        <v>17130</v>
      </c>
    </row>
    <row r="2975">
      <c r="A2975" t="s">
        <v>22</v>
      </c>
      <c r="B2975" t="s">
        <v>19685</v>
      </c>
      <c r="C2975" t="s">
        <v>60</v>
      </c>
      <c r="D2975" t="s">
        <v>61</v>
      </c>
      <c r="E2975" t="s">
        <v>17846</v>
      </c>
      <c r="F2975" s="2" t="n">
        <f>HYPERLINK("https://patents.google.com/patent/US20160158361","Google")</f>
        <v>0.0</v>
      </c>
      <c r="G2975" s="2" t="n">
        <f>HYPERLINK("https://patentcenter.uspto.gov/applications/15043327","Patent Center")</f>
        <v>0.0</v>
      </c>
      <c r="H2975" s="2" t="n">
        <f>HYPERLINK("https://worldwide.espacenet.com/patent/search?q=US20160158361","Espacenet")</f>
        <v>0.0</v>
      </c>
      <c r="I2975" s="2" t="n">
        <f>HYPERLINK("https://ppubs.uspto.gov/pubwebapp/external.html?q=20160158361.pn.","USPTO")</f>
        <v>0.0</v>
      </c>
      <c r="J2975" s="2" t="n">
        <f>HYPERLINK("https://image-ppubs.uspto.gov/dirsearch-public/print/downloadPdf/20160158361","USPTO PDF")</f>
        <v>0.0</v>
      </c>
      <c r="K2975" s="2" t="n">
        <f>HYPERLINK("https://sectors.patentforecast.com/pmd/US20160158361","PMD")</f>
        <v>0.0</v>
      </c>
      <c r="L2975" s="2" t="n">
        <f>HYPERLINK("https://globaldossier.uspto.gov/result/application/US/15043327/1","US20160158361")</f>
        <v>0.0</v>
      </c>
      <c r="M2975" t="s">
        <v>19686</v>
      </c>
      <c r="N2975" t="s">
        <v>17848</v>
      </c>
      <c r="O2975" t="s">
        <v>17849</v>
      </c>
      <c r="P2975" t="s">
        <v>17850</v>
      </c>
      <c r="Q2975" s="3" t="n">
        <v>42412.0</v>
      </c>
      <c r="R2975" s="3" t="n">
        <v>42530.0</v>
      </c>
      <c r="S2975" s="3" t="n">
        <v>43929.46106967593</v>
      </c>
      <c r="T2975" s="3" t="n">
        <v>43986.46484059028</v>
      </c>
      <c r="U2975" t="s">
        <v>19040</v>
      </c>
      <c r="V2975" t="s">
        <v>17852</v>
      </c>
    </row>
    <row r="2976">
      <c r="A2976" t="s">
        <v>22</v>
      </c>
      <c r="B2976" t="s">
        <v>19687</v>
      </c>
      <c r="C2976" t="s">
        <v>24</v>
      </c>
      <c r="D2976" t="s">
        <v>100</v>
      </c>
      <c r="E2976" t="s">
        <v>19688</v>
      </c>
      <c r="F2976" s="2" t="n">
        <f>HYPERLINK("https://patents.google.com/patent/US20160157492","Google")</f>
        <v>0.0</v>
      </c>
      <c r="G2976" s="2" t="n">
        <f>HYPERLINK("https://patentcenter.uspto.gov/applications/15003389","Patent Center")</f>
        <v>0.0</v>
      </c>
      <c r="H2976" s="2" t="n">
        <f>HYPERLINK("https://worldwide.espacenet.com/patent/search?q=US20160157492","Espacenet")</f>
        <v>0.0</v>
      </c>
      <c r="I2976" s="2" t="n">
        <f>HYPERLINK("https://ppubs.uspto.gov/pubwebapp/external.html?q=20160157492.pn.","USPTO")</f>
        <v>0.0</v>
      </c>
      <c r="J2976" s="2" t="n">
        <f>HYPERLINK("https://image-ppubs.uspto.gov/dirsearch-public/print/downloadPdf/20160157492","USPTO PDF")</f>
        <v>0.0</v>
      </c>
      <c r="K2976" s="2" t="n">
        <f>HYPERLINK("https://sectors.patentforecast.com/pmd/US20160157492","PMD")</f>
        <v>0.0</v>
      </c>
      <c r="L2976" s="2" t="n">
        <f>HYPERLINK("https://globaldossier.uspto.gov/result/application/US/15003389/1","US20160157492")</f>
        <v>0.0</v>
      </c>
      <c r="M2976" t="s">
        <v>19689</v>
      </c>
      <c r="N2976" t="s">
        <v>19690</v>
      </c>
      <c r="O2976" t="s">
        <v>19690</v>
      </c>
      <c r="P2976" t="s">
        <v>19691</v>
      </c>
      <c r="Q2976" s="3" t="n">
        <v>42390.0</v>
      </c>
      <c r="R2976" s="3" t="n">
        <v>42530.0</v>
      </c>
      <c r="S2976" s="3" t="n">
        <v>43929.46106967593</v>
      </c>
      <c r="T2976" s="3" t="n">
        <v>44643.446655405096</v>
      </c>
      <c r="U2976" t="s">
        <v>19692</v>
      </c>
      <c r="V2976" t="s">
        <v>19693</v>
      </c>
    </row>
    <row r="2977">
      <c r="A2977" t="s">
        <v>22</v>
      </c>
      <c r="B2977" t="s">
        <v>19694</v>
      </c>
      <c r="C2977" t="s">
        <v>60</v>
      </c>
      <c r="D2977" t="s">
        <v>77</v>
      </c>
      <c r="E2977" t="s">
        <v>19695</v>
      </c>
      <c r="F2977" s="2" t="n">
        <f>HYPERLINK("https://patents.google.com/patent/US20160145320","Google")</f>
        <v>0.0</v>
      </c>
      <c r="G2977" s="2" t="n">
        <f>HYPERLINK("https://patentcenter.uspto.gov/applications/14781391","Patent Center")</f>
        <v>0.0</v>
      </c>
      <c r="H2977" s="2" t="n">
        <f>HYPERLINK("https://worldwide.espacenet.com/patent/search?q=US20160145320","Espacenet")</f>
        <v>0.0</v>
      </c>
      <c r="I2977" s="2" t="n">
        <f>HYPERLINK("https://ppubs.uspto.gov/pubwebapp/external.html?q=20160145320.pn.","USPTO")</f>
        <v>0.0</v>
      </c>
      <c r="J2977" s="2" t="n">
        <f>HYPERLINK("https://image-ppubs.uspto.gov/dirsearch-public/print/downloadPdf/20160145320","USPTO PDF")</f>
        <v>0.0</v>
      </c>
      <c r="K2977" s="2" t="n">
        <f>HYPERLINK("https://sectors.patentforecast.com/pmd/US20160145320","PMD")</f>
        <v>0.0</v>
      </c>
      <c r="L2977" s="2" t="n">
        <f>HYPERLINK("https://globaldossier.uspto.gov/result/application/US/14781391/1","US20160145320")</f>
        <v>0.0</v>
      </c>
      <c r="M2977" t="s">
        <v>19696</v>
      </c>
      <c r="N2977" t="s">
        <v>19697</v>
      </c>
      <c r="O2977" t="s">
        <v>19697</v>
      </c>
      <c r="P2977" t="s">
        <v>19698</v>
      </c>
      <c r="Q2977" s="3" t="n">
        <v>41731.0</v>
      </c>
      <c r="R2977" s="3" t="n">
        <v>42516.0</v>
      </c>
      <c r="S2977" s="3" t="n">
        <v>43900.43738943287</v>
      </c>
      <c r="T2977" s="3" t="n">
        <v>43903.48463233796</v>
      </c>
      <c r="U2977" t="s">
        <v>19699</v>
      </c>
      <c r="V2977" t="s">
        <v>19700</v>
      </c>
    </row>
    <row r="2978">
      <c r="A2978" t="s">
        <v>22</v>
      </c>
      <c r="B2978" t="s">
        <v>19701</v>
      </c>
      <c r="C2978" t="s">
        <v>132</v>
      </c>
      <c r="D2978" t="s">
        <v>142</v>
      </c>
      <c r="E2978" t="s">
        <v>19702</v>
      </c>
      <c r="F2978" s="2" t="n">
        <f>HYPERLINK("https://patents.google.com/patent/US20160132631","Google")</f>
        <v>0.0</v>
      </c>
      <c r="G2978" s="2" t="n">
        <f>HYPERLINK("https://patentcenter.uspto.gov/applications/14895746","Patent Center")</f>
        <v>0.0</v>
      </c>
      <c r="H2978" s="2" t="n">
        <f>HYPERLINK("https://worldwide.espacenet.com/patent/search?q=US20160132631","Espacenet")</f>
        <v>0.0</v>
      </c>
      <c r="I2978" s="2" t="n">
        <f>HYPERLINK("https://ppubs.uspto.gov/pubwebapp/external.html?q=20160132631.pn.","USPTO")</f>
        <v>0.0</v>
      </c>
      <c r="J2978" s="2" t="n">
        <f>HYPERLINK("https://image-ppubs.uspto.gov/dirsearch-public/print/downloadPdf/20160132631","USPTO PDF")</f>
        <v>0.0</v>
      </c>
      <c r="K2978" s="2" t="n">
        <f>HYPERLINK("https://sectors.patentforecast.com/pmd/US20160132631","PMD")</f>
        <v>0.0</v>
      </c>
      <c r="L2978" s="2" t="n">
        <f>HYPERLINK("https://globaldossier.uspto.gov/result/application/US/14895746/1","US20160132631")</f>
        <v>0.0</v>
      </c>
      <c r="M2978" t="s">
        <v>19703</v>
      </c>
      <c r="N2978" t="s">
        <v>19704</v>
      </c>
      <c r="O2978" t="s">
        <v>19705</v>
      </c>
      <c r="P2978" t="s">
        <v>19706</v>
      </c>
      <c r="Q2978" s="3" t="n">
        <v>41799.0</v>
      </c>
      <c r="R2978" s="3" t="n">
        <v>42502.0</v>
      </c>
      <c r="S2978" s="3" t="n">
        <v>43943.46090590278</v>
      </c>
      <c r="T2978" s="3" t="n">
        <v>43985.411823773145</v>
      </c>
      <c r="U2978" t="s">
        <v>19707</v>
      </c>
      <c r="V2978" t="s">
        <v>19708</v>
      </c>
    </row>
    <row r="2979">
      <c r="A2979" t="s">
        <v>22</v>
      </c>
      <c r="B2979" t="s">
        <v>19709</v>
      </c>
      <c r="C2979" t="s">
        <v>132</v>
      </c>
      <c r="D2979" t="s">
        <v>1265</v>
      </c>
      <c r="E2979" t="s">
        <v>19710</v>
      </c>
      <c r="F2979" s="2" t="n">
        <f>HYPERLINK("https://patents.google.com/patent/US20160130306","Google")</f>
        <v>0.0</v>
      </c>
      <c r="G2979" s="2" t="n">
        <f>HYPERLINK("https://patentcenter.uspto.gov/applications/14896062","Patent Center")</f>
        <v>0.0</v>
      </c>
      <c r="H2979" s="2" t="n">
        <f>HYPERLINK("https://worldwide.espacenet.com/patent/search?q=US20160130306","Espacenet")</f>
        <v>0.0</v>
      </c>
      <c r="I2979" s="2" t="n">
        <f>HYPERLINK("https://ppubs.uspto.gov/pubwebapp/external.html?q=20160130306.pn.","USPTO")</f>
        <v>0.0</v>
      </c>
      <c r="J2979" s="2" t="n">
        <f>HYPERLINK("https://image-ppubs.uspto.gov/dirsearch-public/print/downloadPdf/20160130306","USPTO PDF")</f>
        <v>0.0</v>
      </c>
      <c r="K2979" s="2" t="n">
        <f>HYPERLINK("https://sectors.patentforecast.com/pmd/US20160130306","PMD")</f>
        <v>0.0</v>
      </c>
      <c r="L2979" s="2" t="n">
        <f>HYPERLINK("https://globaldossier.uspto.gov/result/application/US/14896062/1","US20160130306")</f>
        <v>0.0</v>
      </c>
      <c r="M2979" t="s">
        <v>19711</v>
      </c>
      <c r="N2979" t="s">
        <v>1251</v>
      </c>
      <c r="O2979" t="s">
        <v>1252</v>
      </c>
      <c r="P2979" t="s">
        <v>19712</v>
      </c>
      <c r="Q2979" s="3" t="n">
        <v>41795.0</v>
      </c>
      <c r="R2979" s="3" t="n">
        <v>42502.0</v>
      </c>
      <c r="S2979" s="3" t="n">
        <v>43900.43738943287</v>
      </c>
      <c r="T2979" s="3" t="n">
        <v>43903.48463255787</v>
      </c>
      <c r="U2979" t="s">
        <v>19713</v>
      </c>
      <c r="V2979" t="s">
        <v>19714</v>
      </c>
    </row>
    <row r="2980">
      <c r="A2980" t="s">
        <v>22</v>
      </c>
      <c r="B2980" t="s">
        <v>19715</v>
      </c>
      <c r="C2980" t="s">
        <v>60</v>
      </c>
      <c r="D2980" t="s">
        <v>61</v>
      </c>
      <c r="E2980" t="s">
        <v>17306</v>
      </c>
      <c r="F2980" s="2" t="n">
        <f>HYPERLINK("https://patents.google.com/patent/US20160130300","Google")</f>
        <v>0.0</v>
      </c>
      <c r="G2980" s="2" t="n">
        <f>HYPERLINK("https://patentcenter.uspto.gov/applications/14996961","Patent Center")</f>
        <v>0.0</v>
      </c>
      <c r="H2980" s="2" t="n">
        <f>HYPERLINK("https://worldwide.espacenet.com/patent/search?q=US20160130300","Espacenet")</f>
        <v>0.0</v>
      </c>
      <c r="I2980" s="2" t="n">
        <f>HYPERLINK("https://ppubs.uspto.gov/pubwebapp/external.html?q=20160130300.pn.","USPTO")</f>
        <v>0.0</v>
      </c>
      <c r="J2980" s="2" t="n">
        <f>HYPERLINK("https://image-ppubs.uspto.gov/dirsearch-public/print/downloadPdf/20160130300","USPTO PDF")</f>
        <v>0.0</v>
      </c>
      <c r="K2980" s="2" t="n">
        <f>HYPERLINK("https://sectors.patentforecast.com/pmd/US20160130300","PMD")</f>
        <v>0.0</v>
      </c>
      <c r="L2980" s="2" t="n">
        <f>HYPERLINK("https://globaldossier.uspto.gov/result/application/US/14996961/1","US20160130300")</f>
        <v>0.0</v>
      </c>
      <c r="M2980" t="s">
        <v>19716</v>
      </c>
      <c r="N2980" t="s">
        <v>664</v>
      </c>
      <c r="O2980" t="s">
        <v>665</v>
      </c>
      <c r="P2980" t="s">
        <v>19717</v>
      </c>
      <c r="Q2980" s="3" t="n">
        <v>42384.0</v>
      </c>
      <c r="R2980" s="3" t="n">
        <v>42502.0</v>
      </c>
      <c r="S2980" s="3" t="n">
        <v>43952.46303712963</v>
      </c>
      <c r="T2980" s="3" t="n">
        <v>44638.65643378472</v>
      </c>
      <c r="U2980" t="s">
        <v>19718</v>
      </c>
      <c r="V2980" t="s">
        <v>17310</v>
      </c>
    </row>
    <row r="2981">
      <c r="A2981" t="s">
        <v>22</v>
      </c>
      <c r="B2981" t="s">
        <v>19719</v>
      </c>
      <c r="C2981" t="s">
        <v>60</v>
      </c>
      <c r="D2981" t="s">
        <v>61</v>
      </c>
      <c r="E2981" t="s">
        <v>18186</v>
      </c>
      <c r="F2981" s="2" t="n">
        <f>HYPERLINK("https://patents.google.com/patent/US20160130275","Google")</f>
        <v>0.0</v>
      </c>
      <c r="G2981" s="2" t="n">
        <f>HYPERLINK("https://patentcenter.uspto.gov/applications/14995486","Patent Center")</f>
        <v>0.0</v>
      </c>
      <c r="H2981" s="2" t="n">
        <f>HYPERLINK("https://worldwide.espacenet.com/patent/search?q=US20160130275","Espacenet")</f>
        <v>0.0</v>
      </c>
      <c r="I2981" s="2" t="n">
        <f>HYPERLINK("https://ppubs.uspto.gov/pubwebapp/external.html?q=20160130275.pn.","USPTO")</f>
        <v>0.0</v>
      </c>
      <c r="J2981" s="2" t="n">
        <f>HYPERLINK("https://image-ppubs.uspto.gov/dirsearch-public/print/downloadPdf/20160130275","USPTO PDF")</f>
        <v>0.0</v>
      </c>
      <c r="K2981" s="2" t="n">
        <f>HYPERLINK("https://sectors.patentforecast.com/pmd/US20160130275","PMD")</f>
        <v>0.0</v>
      </c>
      <c r="L2981" s="2" t="n">
        <f>HYPERLINK("https://globaldossier.uspto.gov/result/application/US/14995486/1","US20160130275")</f>
        <v>0.0</v>
      </c>
      <c r="M2981" t="s">
        <v>19720</v>
      </c>
      <c r="N2981" t="s">
        <v>664</v>
      </c>
      <c r="O2981" t="s">
        <v>665</v>
      </c>
      <c r="P2981" t="s">
        <v>19721</v>
      </c>
      <c r="Q2981" s="3" t="n">
        <v>42383.0</v>
      </c>
      <c r="R2981" s="3" t="n">
        <v>42502.0</v>
      </c>
      <c r="S2981" s="3" t="n">
        <v>43952.46303712963</v>
      </c>
      <c r="T2981" s="3" t="n">
        <v>44638.65271974537</v>
      </c>
      <c r="U2981" t="s">
        <v>19722</v>
      </c>
      <c r="V2981" t="s">
        <v>18190</v>
      </c>
    </row>
    <row r="2982">
      <c r="A2982" t="s">
        <v>22</v>
      </c>
      <c r="B2982" t="s">
        <v>19723</v>
      </c>
      <c r="C2982" t="s">
        <v>60</v>
      </c>
      <c r="D2982" t="s">
        <v>61</v>
      </c>
      <c r="E2982" t="s">
        <v>17474</v>
      </c>
      <c r="F2982" s="2" t="n">
        <f>HYPERLINK("https://patents.google.com/patent/US20160122374","Google")</f>
        <v>0.0</v>
      </c>
      <c r="G2982" s="2" t="n">
        <f>HYPERLINK("https://patentcenter.uspto.gov/applications/14926062","Patent Center")</f>
        <v>0.0</v>
      </c>
      <c r="H2982" s="2" t="n">
        <f>HYPERLINK("https://worldwide.espacenet.com/patent/search?q=US20160122374","Espacenet")</f>
        <v>0.0</v>
      </c>
      <c r="I2982" s="2" t="n">
        <f>HYPERLINK("https://ppubs.uspto.gov/pubwebapp/external.html?q=20160122374.pn.","USPTO")</f>
        <v>0.0</v>
      </c>
      <c r="J2982" s="2" t="n">
        <f>HYPERLINK("https://image-ppubs.uspto.gov/dirsearch-public/print/downloadPdf/20160122374","USPTO PDF")</f>
        <v>0.0</v>
      </c>
      <c r="K2982" s="2" t="n">
        <f>HYPERLINK("https://sectors.patentforecast.com/pmd/US20160122374","PMD")</f>
        <v>0.0</v>
      </c>
      <c r="L2982" s="2" t="n">
        <f>HYPERLINK("https://globaldossier.uspto.gov/result/application/US/14926062/1","US20160122374")</f>
        <v>0.0</v>
      </c>
      <c r="M2982" t="s">
        <v>19724</v>
      </c>
      <c r="N2982" t="s">
        <v>664</v>
      </c>
      <c r="O2982" t="s">
        <v>665</v>
      </c>
      <c r="P2982" t="s">
        <v>18159</v>
      </c>
      <c r="Q2982" s="3" t="n">
        <v>42306.0</v>
      </c>
      <c r="R2982" s="3" t="n">
        <v>42495.0</v>
      </c>
      <c r="S2982" s="3" t="n">
        <v>43952.46303712963</v>
      </c>
      <c r="T2982" s="3" t="n">
        <v>44638.65643378472</v>
      </c>
      <c r="U2982" t="s">
        <v>19725</v>
      </c>
      <c r="V2982" t="s">
        <v>17478</v>
      </c>
    </row>
    <row r="2983">
      <c r="A2983" t="s">
        <v>22</v>
      </c>
      <c r="B2983" t="s">
        <v>19726</v>
      </c>
      <c r="C2983" t="s">
        <v>60</v>
      </c>
      <c r="D2983" t="s">
        <v>61</v>
      </c>
      <c r="E2983" t="s">
        <v>17574</v>
      </c>
      <c r="F2983" s="2" t="n">
        <f>HYPERLINK("https://patents.google.com/patent/US20160120892","Google")</f>
        <v>0.0</v>
      </c>
      <c r="G2983" s="2" t="n">
        <f>HYPERLINK("https://patentcenter.uspto.gov/applications/14868062","Patent Center")</f>
        <v>0.0</v>
      </c>
      <c r="H2983" s="2" t="n">
        <f>HYPERLINK("https://worldwide.espacenet.com/patent/search?q=US20160120892","Espacenet")</f>
        <v>0.0</v>
      </c>
      <c r="I2983" s="2" t="n">
        <f>HYPERLINK("https://ppubs.uspto.gov/pubwebapp/external.html?q=20160120892.pn.","USPTO")</f>
        <v>0.0</v>
      </c>
      <c r="J2983" s="2" t="n">
        <f>HYPERLINK("https://image-ppubs.uspto.gov/dirsearch-public/print/downloadPdf/20160120892","USPTO PDF")</f>
        <v>0.0</v>
      </c>
      <c r="K2983" s="2" t="n">
        <f>HYPERLINK("https://sectors.patentforecast.com/pmd/US20160120892","PMD")</f>
        <v>0.0</v>
      </c>
      <c r="L2983" s="2" t="n">
        <f>HYPERLINK("https://globaldossier.uspto.gov/result/application/US/14868062/1","US20160120892")</f>
        <v>0.0</v>
      </c>
      <c r="M2983" t="s">
        <v>19727</v>
      </c>
      <c r="N2983" t="s">
        <v>664</v>
      </c>
      <c r="O2983" t="s">
        <v>665</v>
      </c>
      <c r="P2983" t="s">
        <v>17824</v>
      </c>
      <c r="Q2983" s="3" t="n">
        <v>42275.0</v>
      </c>
      <c r="R2983" s="3" t="n">
        <v>42495.0</v>
      </c>
      <c r="S2983" s="3" t="n">
        <v>43952.46303712963</v>
      </c>
      <c r="T2983" s="3" t="n">
        <v>44638.65271974537</v>
      </c>
      <c r="U2983" t="s">
        <v>19728</v>
      </c>
      <c r="V2983" t="s">
        <v>17826</v>
      </c>
    </row>
    <row r="2984">
      <c r="A2984" t="s">
        <v>22</v>
      </c>
      <c r="B2984" t="s">
        <v>19729</v>
      </c>
      <c r="C2984" t="s">
        <v>60</v>
      </c>
      <c r="D2984" t="s">
        <v>696</v>
      </c>
      <c r="E2984" t="s">
        <v>17697</v>
      </c>
      <c r="F2984" s="2" t="n">
        <f>HYPERLINK("https://patents.google.com/patent/US20160115228","Google")</f>
        <v>0.0</v>
      </c>
      <c r="G2984" s="2" t="n">
        <f>HYPERLINK("https://patentcenter.uspto.gov/applications/14933141","Patent Center")</f>
        <v>0.0</v>
      </c>
      <c r="H2984" s="2" t="n">
        <f>HYPERLINK("https://worldwide.espacenet.com/patent/search?q=US20160115228","Espacenet")</f>
        <v>0.0</v>
      </c>
      <c r="I2984" s="2" t="n">
        <f>HYPERLINK("https://ppubs.uspto.gov/pubwebapp/external.html?q=20160115228.pn.","USPTO")</f>
        <v>0.0</v>
      </c>
      <c r="J2984" s="2" t="n">
        <f>HYPERLINK("https://image-ppubs.uspto.gov/dirsearch-public/print/downloadPdf/20160115228","USPTO PDF")</f>
        <v>0.0</v>
      </c>
      <c r="K2984" s="2" t="n">
        <f>HYPERLINK("https://sectors.patentforecast.com/pmd/US20160115228","PMD")</f>
        <v>0.0</v>
      </c>
      <c r="L2984" s="2" t="n">
        <f>HYPERLINK("https://globaldossier.uspto.gov/result/application/US/14933141/1","US20160115228")</f>
        <v>0.0</v>
      </c>
      <c r="M2984" t="s">
        <v>19730</v>
      </c>
      <c r="N2984" t="s">
        <v>16927</v>
      </c>
      <c r="O2984" t="s">
        <v>16928</v>
      </c>
      <c r="P2984" t="s">
        <v>17699</v>
      </c>
      <c r="Q2984" s="3" t="n">
        <v>42313.0</v>
      </c>
      <c r="R2984" s="3" t="n">
        <v>42488.0</v>
      </c>
      <c r="S2984" s="3" t="n">
        <v>43966.48702555556</v>
      </c>
      <c r="T2984" s="3" t="n">
        <v>44643.44490069444</v>
      </c>
      <c r="U2984" t="s">
        <v>19731</v>
      </c>
      <c r="V2984" t="s">
        <v>17701</v>
      </c>
    </row>
    <row r="2985">
      <c r="A2985" t="s">
        <v>22</v>
      </c>
      <c r="B2985" t="s">
        <v>19732</v>
      </c>
      <c r="C2985" t="s">
        <v>60</v>
      </c>
      <c r="D2985" t="s">
        <v>61</v>
      </c>
      <c r="E2985" t="s">
        <v>16903</v>
      </c>
      <c r="F2985" s="2" t="n">
        <f>HYPERLINK("https://patents.google.com/patent/US20160115175","Google")</f>
        <v>0.0</v>
      </c>
      <c r="G2985" s="2" t="n">
        <f>HYPERLINK("https://patentcenter.uspto.gov/applications/14925203","Patent Center")</f>
        <v>0.0</v>
      </c>
      <c r="H2985" s="2" t="n">
        <f>HYPERLINK("https://worldwide.espacenet.com/patent/search?q=US20160115175","Espacenet")</f>
        <v>0.0</v>
      </c>
      <c r="I2985" s="2" t="n">
        <f>HYPERLINK("https://ppubs.uspto.gov/pubwebapp/external.html?q=20160115175.pn.","USPTO")</f>
        <v>0.0</v>
      </c>
      <c r="J2985" s="2" t="n">
        <f>HYPERLINK("https://image-ppubs.uspto.gov/dirsearch-public/print/downloadPdf/20160115175","USPTO PDF")</f>
        <v>0.0</v>
      </c>
      <c r="K2985" s="2" t="n">
        <f>HYPERLINK("https://sectors.patentforecast.com/pmd/US20160115175","PMD")</f>
        <v>0.0</v>
      </c>
      <c r="L2985" s="2" t="n">
        <f>HYPERLINK("https://globaldossier.uspto.gov/result/application/US/14925203/1","US20160115175")</f>
        <v>0.0</v>
      </c>
      <c r="M2985" t="s">
        <v>19733</v>
      </c>
      <c r="N2985" t="s">
        <v>664</v>
      </c>
      <c r="O2985" t="s">
        <v>665</v>
      </c>
      <c r="P2985" t="s">
        <v>19734</v>
      </c>
      <c r="Q2985" s="3" t="n">
        <v>42305.0</v>
      </c>
      <c r="R2985" s="3" t="n">
        <v>42488.0</v>
      </c>
      <c r="S2985" s="3" t="n">
        <v>43952.46303712963</v>
      </c>
      <c r="T2985" s="3" t="n">
        <v>44638.65271974537</v>
      </c>
      <c r="U2985" t="s">
        <v>19735</v>
      </c>
      <c r="V2985" t="s">
        <v>17072</v>
      </c>
    </row>
    <row r="2986">
      <c r="A2986" t="s">
        <v>22</v>
      </c>
      <c r="B2986" t="s">
        <v>19736</v>
      </c>
      <c r="C2986" t="s">
        <v>132</v>
      </c>
      <c r="D2986" t="s">
        <v>11423</v>
      </c>
      <c r="E2986" t="s">
        <v>19737</v>
      </c>
      <c r="F2986" s="2" t="n">
        <f>HYPERLINK("https://patents.google.com/patent/US20160114034","Google")</f>
        <v>0.0</v>
      </c>
      <c r="G2986" s="2" t="n">
        <f>HYPERLINK("https://patentcenter.uspto.gov/applications/14933722","Patent Center")</f>
        <v>0.0</v>
      </c>
      <c r="H2986" s="2" t="n">
        <f>HYPERLINK("https://worldwide.espacenet.com/patent/search?q=US20160114034","Espacenet")</f>
        <v>0.0</v>
      </c>
      <c r="I2986" s="2" t="n">
        <f>HYPERLINK("https://ppubs.uspto.gov/pubwebapp/external.html?q=20160114034.pn.","USPTO")</f>
        <v>0.0</v>
      </c>
      <c r="J2986" s="2" t="n">
        <f>HYPERLINK("https://image-ppubs.uspto.gov/dirsearch-public/print/downloadPdf/20160114034","USPTO PDF")</f>
        <v>0.0</v>
      </c>
      <c r="K2986" s="2" t="n">
        <f>HYPERLINK("https://sectors.patentforecast.com/pmd/US20160114034","PMD")</f>
        <v>0.0</v>
      </c>
      <c r="L2986" s="2" t="n">
        <f>HYPERLINK("https://globaldossier.uspto.gov/result/application/US/14933722/1","US20160114034")</f>
        <v>0.0</v>
      </c>
      <c r="M2986" t="s">
        <v>19738</v>
      </c>
      <c r="N2986" t="s">
        <v>1275</v>
      </c>
      <c r="O2986" t="s">
        <v>1275</v>
      </c>
      <c r="P2986" t="s">
        <v>19739</v>
      </c>
      <c r="Q2986" s="3" t="n">
        <v>42313.0</v>
      </c>
      <c r="R2986" s="3" t="n">
        <v>42488.0</v>
      </c>
      <c r="S2986" s="3" t="n">
        <v>44019.68541525463</v>
      </c>
      <c r="T2986" s="3" t="n">
        <v>44020.62008091435</v>
      </c>
      <c r="U2986" t="s">
        <v>19740</v>
      </c>
      <c r="V2986" t="s">
        <v>16326</v>
      </c>
    </row>
    <row r="2987">
      <c r="A2987" t="s">
        <v>22</v>
      </c>
      <c r="B2987" t="s">
        <v>19741</v>
      </c>
      <c r="C2987" t="s">
        <v>24</v>
      </c>
      <c r="D2987" t="s">
        <v>19742</v>
      </c>
      <c r="E2987" t="s">
        <v>12811</v>
      </c>
      <c r="F2987" s="2" t="n">
        <f>HYPERLINK("https://patents.google.com/patent/US20160109149","Google")</f>
        <v>0.0</v>
      </c>
      <c r="G2987" s="2" t="n">
        <f>HYPERLINK("https://patentcenter.uspto.gov/applications/14890297","Patent Center")</f>
        <v>0.0</v>
      </c>
      <c r="H2987" s="2" t="n">
        <f>HYPERLINK("https://worldwide.espacenet.com/patent/search?q=US20160109149","Espacenet")</f>
        <v>0.0</v>
      </c>
      <c r="I2987" s="2" t="n">
        <f>HYPERLINK("https://ppubs.uspto.gov/pubwebapp/external.html?q=20160109149.pn.","USPTO")</f>
        <v>0.0</v>
      </c>
      <c r="J2987" s="2" t="n">
        <f>HYPERLINK("https://image-ppubs.uspto.gov/dirsearch-public/print/downloadPdf/20160109149","USPTO PDF")</f>
        <v>0.0</v>
      </c>
      <c r="K2987" s="2" t="n">
        <f>HYPERLINK("https://sectors.patentforecast.com/pmd/US20160109149","PMD")</f>
        <v>0.0</v>
      </c>
      <c r="L2987" s="2" t="n">
        <f>HYPERLINK("https://globaldossier.uspto.gov/result/application/US/14890297/1","US20160109149")</f>
        <v>0.0</v>
      </c>
      <c r="M2987" t="s">
        <v>19743</v>
      </c>
      <c r="N2987" t="s">
        <v>12813</v>
      </c>
      <c r="O2987" t="s">
        <v>12814</v>
      </c>
      <c r="P2987" t="s">
        <v>12815</v>
      </c>
      <c r="Q2987" s="3" t="n">
        <v>41769.0</v>
      </c>
      <c r="R2987" s="3" t="n">
        <v>42481.0</v>
      </c>
      <c r="S2987" s="3" t="n">
        <v>43266.45736590278</v>
      </c>
      <c r="T2987" s="3" t="n">
        <v>43901.721564189815</v>
      </c>
      <c r="U2987" t="s">
        <v>19744</v>
      </c>
      <c r="V2987" t="s">
        <v>12817</v>
      </c>
    </row>
    <row r="2988">
      <c r="A2988" t="s">
        <v>22</v>
      </c>
      <c r="B2988" t="s">
        <v>19745</v>
      </c>
      <c r="C2988" t="s">
        <v>132</v>
      </c>
      <c r="D2988" t="s">
        <v>142</v>
      </c>
      <c r="E2988" t="s">
        <v>18607</v>
      </c>
      <c r="F2988" s="2" t="n">
        <f>HYPERLINK("https://patents.google.com/patent/US20160108096","Google")</f>
        <v>0.0</v>
      </c>
      <c r="G2988" s="2" t="n">
        <f>HYPERLINK("https://patentcenter.uspto.gov/applications/14857606","Patent Center")</f>
        <v>0.0</v>
      </c>
      <c r="H2988" s="2" t="n">
        <f>HYPERLINK("https://worldwide.espacenet.com/patent/search?q=US20160108096","Espacenet")</f>
        <v>0.0</v>
      </c>
      <c r="I2988" s="2" t="n">
        <f>HYPERLINK("https://ppubs.uspto.gov/pubwebapp/external.html?q=20160108096.pn.","USPTO")</f>
        <v>0.0</v>
      </c>
      <c r="J2988" s="2" t="n">
        <f>HYPERLINK("https://image-ppubs.uspto.gov/dirsearch-public/print/downloadPdf/20160108096","USPTO PDF")</f>
        <v>0.0</v>
      </c>
      <c r="K2988" s="2" t="n">
        <f>HYPERLINK("https://sectors.patentforecast.com/pmd/US20160108096","PMD")</f>
        <v>0.0</v>
      </c>
      <c r="L2988" s="2" t="n">
        <f>HYPERLINK("https://globaldossier.uspto.gov/result/application/US/14857606/1","US20160108096")</f>
        <v>0.0</v>
      </c>
      <c r="M2988" t="s">
        <v>19746</v>
      </c>
      <c r="N2988" t="s">
        <v>18609</v>
      </c>
      <c r="O2988" t="s">
        <v>18610</v>
      </c>
      <c r="P2988" t="s">
        <v>18611</v>
      </c>
      <c r="Q2988" s="3" t="n">
        <v>42264.0</v>
      </c>
      <c r="R2988" s="3" t="n">
        <v>42481.0</v>
      </c>
      <c r="S2988" s="3" t="n">
        <v>43943.46090590278</v>
      </c>
      <c r="T2988" s="3" t="n">
        <v>43985.44408243056</v>
      </c>
      <c r="U2988" t="s">
        <v>19747</v>
      </c>
      <c r="V2988" t="s">
        <v>18613</v>
      </c>
    </row>
    <row r="2989">
      <c r="A2989" t="s">
        <v>22</v>
      </c>
      <c r="B2989" t="s">
        <v>19748</v>
      </c>
      <c r="C2989" t="s">
        <v>60</v>
      </c>
      <c r="D2989" t="s">
        <v>61</v>
      </c>
      <c r="E2989" t="s">
        <v>18556</v>
      </c>
      <c r="F2989" s="2" t="n">
        <f>HYPERLINK("https://patents.google.com/patent/US20160102145","Google")</f>
        <v>0.0</v>
      </c>
      <c r="G2989" s="2" t="n">
        <f>HYPERLINK("https://patentcenter.uspto.gov/applications/14833973","Patent Center")</f>
        <v>0.0</v>
      </c>
      <c r="H2989" s="2" t="n">
        <f>HYPERLINK("https://worldwide.espacenet.com/patent/search?q=US20160102145","Espacenet")</f>
        <v>0.0</v>
      </c>
      <c r="I2989" s="2" t="n">
        <f>HYPERLINK("https://ppubs.uspto.gov/pubwebapp/external.html?q=20160102145.pn.","USPTO")</f>
        <v>0.0</v>
      </c>
      <c r="J2989" s="2" t="n">
        <f>HYPERLINK("https://image-ppubs.uspto.gov/dirsearch-public/print/downloadPdf/20160102145","USPTO PDF")</f>
        <v>0.0</v>
      </c>
      <c r="K2989" s="2" t="n">
        <f>HYPERLINK("https://sectors.patentforecast.com/pmd/US20160102145","PMD")</f>
        <v>0.0</v>
      </c>
      <c r="L2989" s="2" t="n">
        <f>HYPERLINK("https://globaldossier.uspto.gov/result/application/US/14833973/1","US20160102145")</f>
        <v>0.0</v>
      </c>
      <c r="M2989" t="s">
        <v>19749</v>
      </c>
      <c r="N2989" t="s">
        <v>17488</v>
      </c>
      <c r="O2989" t="s">
        <v>17489</v>
      </c>
      <c r="P2989" t="s">
        <v>19750</v>
      </c>
      <c r="Q2989" s="3" t="n">
        <v>42240.0</v>
      </c>
      <c r="R2989" s="3" t="n">
        <v>42474.0</v>
      </c>
      <c r="S2989" s="3" t="n">
        <v>43929.46106967593</v>
      </c>
      <c r="T2989" s="3" t="n">
        <v>43950.534972800924</v>
      </c>
      <c r="U2989" t="s">
        <v>19751</v>
      </c>
      <c r="V2989" t="s">
        <v>17862</v>
      </c>
    </row>
    <row r="2990">
      <c r="A2990" t="s">
        <v>22</v>
      </c>
      <c r="B2990" t="s">
        <v>19752</v>
      </c>
      <c r="C2990" t="s">
        <v>24</v>
      </c>
      <c r="D2990" t="s">
        <v>25</v>
      </c>
      <c r="E2990" t="s">
        <v>19753</v>
      </c>
      <c r="F2990" s="2" t="n">
        <f>HYPERLINK("https://patents.google.com/patent/US20160092657","Google")</f>
        <v>0.0</v>
      </c>
      <c r="G2990" s="2" t="n">
        <f>HYPERLINK("https://patentcenter.uspto.gov/applications/14500596","Patent Center")</f>
        <v>0.0</v>
      </c>
      <c r="H2990" s="2" t="n">
        <f>HYPERLINK("https://worldwide.espacenet.com/patent/search?q=US20160092657","Espacenet")</f>
        <v>0.0</v>
      </c>
      <c r="I2990" s="2" t="n">
        <f>HYPERLINK("https://ppubs.uspto.gov/pubwebapp/external.html?q=20160092657.pn.","USPTO")</f>
        <v>0.0</v>
      </c>
      <c r="J2990" s="2" t="n">
        <f>HYPERLINK("https://image-ppubs.uspto.gov/dirsearch-public/print/downloadPdf/20160092657","USPTO PDF")</f>
        <v>0.0</v>
      </c>
      <c r="K2990" s="2" t="n">
        <f>HYPERLINK("https://sectors.patentforecast.com/pmd/US20160092657","PMD")</f>
        <v>0.0</v>
      </c>
      <c r="L2990" s="2" t="n">
        <f>HYPERLINK("https://globaldossier.uspto.gov/result/application/US/14500596/1","US20160092657")</f>
        <v>0.0</v>
      </c>
      <c r="M2990" t="s">
        <v>19754</v>
      </c>
      <c r="N2990" t="s">
        <v>19755</v>
      </c>
      <c r="O2990" t="s">
        <v>19756</v>
      </c>
      <c r="P2990" t="s">
        <v>19757</v>
      </c>
      <c r="Q2990" s="3" t="n">
        <v>41911.0</v>
      </c>
      <c r="R2990" s="3" t="n">
        <v>42460.0</v>
      </c>
      <c r="S2990" s="3" t="n">
        <v>43266.45736590278</v>
      </c>
      <c r="T2990" s="3" t="n">
        <v>43901.721564548614</v>
      </c>
      <c r="U2990" t="s">
        <v>19758</v>
      </c>
      <c r="V2990" t="s">
        <v>19759</v>
      </c>
    </row>
    <row r="2991">
      <c r="A2991" t="s">
        <v>22</v>
      </c>
      <c r="B2991" t="s">
        <v>19760</v>
      </c>
      <c r="C2991" t="s">
        <v>132</v>
      </c>
      <c r="D2991" t="s">
        <v>19761</v>
      </c>
      <c r="E2991" t="s">
        <v>19762</v>
      </c>
      <c r="F2991" s="2" t="n">
        <f>HYPERLINK("https://patents.google.com/patent/US20160089427","Google")</f>
        <v>0.0</v>
      </c>
      <c r="G2991" s="2" t="n">
        <f>HYPERLINK("https://patentcenter.uspto.gov/applications/14850811","Patent Center")</f>
        <v>0.0</v>
      </c>
      <c r="H2991" s="2" t="n">
        <f>HYPERLINK("https://worldwide.espacenet.com/patent/search?q=US20160089427","Espacenet")</f>
        <v>0.0</v>
      </c>
      <c r="I2991" s="2" t="n">
        <f>HYPERLINK("https://ppubs.uspto.gov/pubwebapp/external.html?q=20160089427.pn.","USPTO")</f>
        <v>0.0</v>
      </c>
      <c r="J2991" s="2" t="n">
        <f>HYPERLINK("https://image-ppubs.uspto.gov/dirsearch-public/print/downloadPdf/20160089427","USPTO PDF")</f>
        <v>0.0</v>
      </c>
      <c r="K2991" s="2" t="n">
        <f>HYPERLINK("https://sectors.patentforecast.com/pmd/US20160089427","PMD")</f>
        <v>0.0</v>
      </c>
      <c r="L2991" s="2" t="n">
        <f>HYPERLINK("https://globaldossier.uspto.gov/result/application/US/14850811/1","US20160089427")</f>
        <v>0.0</v>
      </c>
      <c r="M2991" t="s">
        <v>19763</v>
      </c>
      <c r="N2991" t="s">
        <v>3605</v>
      </c>
      <c r="O2991" t="s">
        <v>3606</v>
      </c>
      <c r="P2991" t="s">
        <v>19764</v>
      </c>
      <c r="Q2991" s="3" t="n">
        <v>42257.0</v>
      </c>
      <c r="R2991" s="3" t="n">
        <v>42460.0</v>
      </c>
      <c r="S2991" s="3" t="n">
        <v>43900.43738943287</v>
      </c>
      <c r="T2991" s="3" t="n">
        <v>43903.48463265046</v>
      </c>
      <c r="U2991" t="s">
        <v>19765</v>
      </c>
      <c r="V2991" t="s">
        <v>19766</v>
      </c>
    </row>
    <row r="2992">
      <c r="A2992" t="s">
        <v>22</v>
      </c>
      <c r="B2992" t="s">
        <v>19767</v>
      </c>
      <c r="C2992" t="s">
        <v>24</v>
      </c>
      <c r="D2992" t="s">
        <v>25</v>
      </c>
      <c r="E2992" t="s">
        <v>16427</v>
      </c>
      <c r="F2992" s="2" t="n">
        <f>HYPERLINK("https://patents.google.com/patent/US20160085912","Google")</f>
        <v>0.0</v>
      </c>
      <c r="G2992" s="2" t="n">
        <f>HYPERLINK("https://patentcenter.uspto.gov/applications/14723424","Patent Center")</f>
        <v>0.0</v>
      </c>
      <c r="H2992" s="2" t="n">
        <f>HYPERLINK("https://worldwide.espacenet.com/patent/search?q=US20160085912","Espacenet")</f>
        <v>0.0</v>
      </c>
      <c r="I2992" s="2" t="n">
        <f>HYPERLINK("https://ppubs.uspto.gov/pubwebapp/external.html?q=20160085912.pn.","USPTO")</f>
        <v>0.0</v>
      </c>
      <c r="J2992" s="2" t="n">
        <f>HYPERLINK("https://image-ppubs.uspto.gov/dirsearch-public/print/downloadPdf/20160085912","USPTO PDF")</f>
        <v>0.0</v>
      </c>
      <c r="K2992" s="2" t="n">
        <f>HYPERLINK("https://sectors.patentforecast.com/pmd/US20160085912","PMD")</f>
        <v>0.0</v>
      </c>
      <c r="L2992" s="2" t="n">
        <f>HYPERLINK("https://globaldossier.uspto.gov/result/application/US/14723424/1","US20160085912")</f>
        <v>0.0</v>
      </c>
      <c r="M2992" t="s">
        <v>19768</v>
      </c>
      <c r="N2992" t="s">
        <v>16429</v>
      </c>
      <c r="O2992" t="s">
        <v>16430</v>
      </c>
      <c r="P2992" t="s">
        <v>19769</v>
      </c>
      <c r="Q2992" s="3" t="n">
        <v>42151.0</v>
      </c>
      <c r="R2992" s="3" t="n">
        <v>42453.0</v>
      </c>
      <c r="S2992" s="3" t="n">
        <v>43908.458623784725</v>
      </c>
      <c r="T2992" s="3" t="n">
        <v>44543.61529223379</v>
      </c>
      <c r="U2992" t="s">
        <v>19770</v>
      </c>
      <c r="V2992" t="s">
        <v>16433</v>
      </c>
    </row>
    <row r="2993">
      <c r="A2993" t="s">
        <v>22</v>
      </c>
      <c r="B2993" t="s">
        <v>19771</v>
      </c>
      <c r="C2993" t="s">
        <v>60</v>
      </c>
      <c r="D2993" t="s">
        <v>61</v>
      </c>
      <c r="E2993" t="s">
        <v>16903</v>
      </c>
      <c r="F2993" s="2" t="n">
        <f>HYPERLINK("https://patents.google.com/patent/US20160083395","Google")</f>
        <v>0.0</v>
      </c>
      <c r="G2993" s="2" t="n">
        <f>HYPERLINK("https://patentcenter.uspto.gov/applications/14957988","Patent Center")</f>
        <v>0.0</v>
      </c>
      <c r="H2993" s="2" t="n">
        <f>HYPERLINK("https://worldwide.espacenet.com/patent/search?q=US20160083395","Espacenet")</f>
        <v>0.0</v>
      </c>
      <c r="I2993" s="2" t="n">
        <f>HYPERLINK("https://ppubs.uspto.gov/pubwebapp/external.html?q=20160083395.pn.","USPTO")</f>
        <v>0.0</v>
      </c>
      <c r="J2993" s="2" t="n">
        <f>HYPERLINK("https://image-ppubs.uspto.gov/dirsearch-public/print/downloadPdf/20160083395","USPTO PDF")</f>
        <v>0.0</v>
      </c>
      <c r="K2993" s="2" t="n">
        <f>HYPERLINK("https://sectors.patentforecast.com/pmd/US20160083395","PMD")</f>
        <v>0.0</v>
      </c>
      <c r="L2993" s="2" t="n">
        <f>HYPERLINK("https://globaldossier.uspto.gov/result/application/US/14957988/1","US20160083395")</f>
        <v>0.0</v>
      </c>
      <c r="M2993" t="s">
        <v>19772</v>
      </c>
      <c r="N2993" t="s">
        <v>664</v>
      </c>
      <c r="O2993" t="s">
        <v>665</v>
      </c>
      <c r="P2993" t="s">
        <v>19773</v>
      </c>
      <c r="Q2993" s="3" t="n">
        <v>42341.0</v>
      </c>
      <c r="R2993" s="3" t="n">
        <v>42453.0</v>
      </c>
      <c r="S2993" s="3" t="n">
        <v>43952.46303712963</v>
      </c>
      <c r="T2993" s="3" t="n">
        <v>44638.65271974537</v>
      </c>
      <c r="U2993" t="s">
        <v>19774</v>
      </c>
      <c r="V2993" t="s">
        <v>17072</v>
      </c>
    </row>
    <row r="2994">
      <c r="A2994" t="s">
        <v>22</v>
      </c>
      <c r="B2994" t="s">
        <v>19775</v>
      </c>
      <c r="C2994" t="s">
        <v>60</v>
      </c>
      <c r="D2994" t="s">
        <v>61</v>
      </c>
      <c r="E2994" t="s">
        <v>16903</v>
      </c>
      <c r="F2994" s="2" t="n">
        <f>HYPERLINK("https://patents.google.com/patent/US20160083394","Google")</f>
        <v>0.0</v>
      </c>
      <c r="G2994" s="2" t="n">
        <f>HYPERLINK("https://patentcenter.uspto.gov/applications/14949756","Patent Center")</f>
        <v>0.0</v>
      </c>
      <c r="H2994" s="2" t="n">
        <f>HYPERLINK("https://worldwide.espacenet.com/patent/search?q=US20160083394","Espacenet")</f>
        <v>0.0</v>
      </c>
      <c r="I2994" s="2" t="n">
        <f>HYPERLINK("https://ppubs.uspto.gov/pubwebapp/external.html?q=20160083394.pn.","USPTO")</f>
        <v>0.0</v>
      </c>
      <c r="J2994" s="2" t="n">
        <f>HYPERLINK("https://image-ppubs.uspto.gov/dirsearch-public/print/downloadPdf/20160083394","USPTO PDF")</f>
        <v>0.0</v>
      </c>
      <c r="K2994" s="2" t="n">
        <f>HYPERLINK("https://sectors.patentforecast.com/pmd/US20160083394","PMD")</f>
        <v>0.0</v>
      </c>
      <c r="L2994" s="2" t="n">
        <f>HYPERLINK("https://globaldossier.uspto.gov/result/application/US/14949756/1","US20160083394")</f>
        <v>0.0</v>
      </c>
      <c r="M2994" t="s">
        <v>19776</v>
      </c>
      <c r="N2994" t="s">
        <v>664</v>
      </c>
      <c r="O2994" t="s">
        <v>665</v>
      </c>
      <c r="P2994" t="s">
        <v>19777</v>
      </c>
      <c r="Q2994" s="3" t="n">
        <v>42331.0</v>
      </c>
      <c r="R2994" s="3" t="n">
        <v>42453.0</v>
      </c>
      <c r="S2994" s="3" t="n">
        <v>43952.46303712963</v>
      </c>
      <c r="T2994" s="3" t="n">
        <v>44638.65271974537</v>
      </c>
      <c r="U2994" t="s">
        <v>19778</v>
      </c>
      <c r="V2994" t="s">
        <v>17072</v>
      </c>
    </row>
    <row r="2995">
      <c r="A2995" t="s">
        <v>22</v>
      </c>
      <c r="B2995" t="s">
        <v>19779</v>
      </c>
      <c r="C2995" t="s">
        <v>60</v>
      </c>
      <c r="D2995" t="s">
        <v>61</v>
      </c>
      <c r="E2995" t="s">
        <v>19780</v>
      </c>
      <c r="F2995" s="2" t="n">
        <f>HYPERLINK("https://patents.google.com/patent/US20160082103","Google")</f>
        <v>0.0</v>
      </c>
      <c r="G2995" s="2" t="n">
        <f>HYPERLINK("https://patentcenter.uspto.gov/applications/14860205","Patent Center")</f>
        <v>0.0</v>
      </c>
      <c r="H2995" s="2" t="n">
        <f>HYPERLINK("https://worldwide.espacenet.com/patent/search?q=US20160082103","Espacenet")</f>
        <v>0.0</v>
      </c>
      <c r="I2995" s="2" t="n">
        <f>HYPERLINK("https://ppubs.uspto.gov/pubwebapp/external.html?q=20160082103.pn.","USPTO")</f>
        <v>0.0</v>
      </c>
      <c r="J2995" s="2" t="n">
        <f>HYPERLINK("https://image-ppubs.uspto.gov/dirsearch-public/print/downloadPdf/20160082103","USPTO PDF")</f>
        <v>0.0</v>
      </c>
      <c r="K2995" s="2" t="n">
        <f>HYPERLINK("https://sectors.patentforecast.com/pmd/US20160082103","PMD")</f>
        <v>0.0</v>
      </c>
      <c r="L2995" s="2" t="n">
        <f>HYPERLINK("https://globaldossier.uspto.gov/result/application/US/14860205/1","US20160082103")</f>
        <v>0.0</v>
      </c>
      <c r="M2995" t="s">
        <v>19781</v>
      </c>
      <c r="N2995" t="s">
        <v>19782</v>
      </c>
      <c r="O2995" t="s">
        <v>19783</v>
      </c>
      <c r="P2995" t="s">
        <v>19784</v>
      </c>
      <c r="Q2995" s="3" t="n">
        <v>42268.0</v>
      </c>
      <c r="R2995" s="3" t="n">
        <v>42453.0</v>
      </c>
      <c r="S2995" s="3" t="n">
        <v>43943.46090590278</v>
      </c>
      <c r="T2995" s="3" t="n">
        <v>43985.43702430555</v>
      </c>
      <c r="U2995" t="s">
        <v>19785</v>
      </c>
      <c r="V2995" t="s">
        <v>19786</v>
      </c>
    </row>
    <row r="2996">
      <c r="A2996" t="s">
        <v>22</v>
      </c>
      <c r="B2996" t="s">
        <v>19787</v>
      </c>
      <c r="C2996" t="s">
        <v>60</v>
      </c>
      <c r="D2996" t="s">
        <v>61</v>
      </c>
      <c r="E2996" t="s">
        <v>19788</v>
      </c>
      <c r="F2996" s="2" t="n">
        <f>HYPERLINK("https://patents.google.com/patent/US20160082074","Google")</f>
        <v>0.0</v>
      </c>
      <c r="G2996" s="2" t="n">
        <f>HYPERLINK("https://patentcenter.uspto.gov/applications/14707356","Patent Center")</f>
        <v>0.0</v>
      </c>
      <c r="H2996" s="2" t="n">
        <f>HYPERLINK("https://worldwide.espacenet.com/patent/search?q=US20160082074","Espacenet")</f>
        <v>0.0</v>
      </c>
      <c r="I2996" s="2" t="n">
        <f>HYPERLINK("https://ppubs.uspto.gov/pubwebapp/external.html?q=20160082074.pn.","USPTO")</f>
        <v>0.0</v>
      </c>
      <c r="J2996" s="2" t="n">
        <f>HYPERLINK("https://image-ppubs.uspto.gov/dirsearch-public/print/downloadPdf/20160082074","USPTO PDF")</f>
        <v>0.0</v>
      </c>
      <c r="K2996" s="2" t="n">
        <f>HYPERLINK("https://sectors.patentforecast.com/pmd/US20160082074","PMD")</f>
        <v>0.0</v>
      </c>
      <c r="L2996" s="2" t="n">
        <f>HYPERLINK("https://globaldossier.uspto.gov/result/application/US/14707356/1","US20160082074")</f>
        <v>0.0</v>
      </c>
      <c r="M2996" t="s">
        <v>19789</v>
      </c>
      <c r="N2996" t="s">
        <v>19790</v>
      </c>
      <c r="O2996" t="s">
        <v>19790</v>
      </c>
      <c r="P2996" t="s">
        <v>19791</v>
      </c>
      <c r="Q2996" s="3" t="n">
        <v>42132.0</v>
      </c>
      <c r="R2996" s="3" t="n">
        <v>42453.0</v>
      </c>
      <c r="S2996" s="3" t="n">
        <v>43935.7041706713</v>
      </c>
      <c r="T2996" s="3" t="n">
        <v>43950.46302287037</v>
      </c>
      <c r="U2996" t="s">
        <v>19792</v>
      </c>
      <c r="V2996" t="s">
        <v>19793</v>
      </c>
    </row>
    <row r="2997">
      <c r="A2997" t="s">
        <v>22</v>
      </c>
      <c r="B2997" t="s">
        <v>19794</v>
      </c>
      <c r="C2997" t="s">
        <v>132</v>
      </c>
      <c r="D2997" t="s">
        <v>1265</v>
      </c>
      <c r="E2997" t="s">
        <v>19795</v>
      </c>
      <c r="F2997" s="2" t="n">
        <f>HYPERLINK("https://patents.google.com/patent/US20160075742","Google")</f>
        <v>0.0</v>
      </c>
      <c r="G2997" s="2" t="n">
        <f>HYPERLINK("https://patentcenter.uspto.gov/applications/14888205","Patent Center")</f>
        <v>0.0</v>
      </c>
      <c r="H2997" s="2" t="n">
        <f>HYPERLINK("https://worldwide.espacenet.com/patent/search?q=US20160075742","Espacenet")</f>
        <v>0.0</v>
      </c>
      <c r="I2997" s="2" t="n">
        <f>HYPERLINK("https://ppubs.uspto.gov/pubwebapp/external.html?q=20160075742.pn.","USPTO")</f>
        <v>0.0</v>
      </c>
      <c r="J2997" s="2" t="n">
        <f>HYPERLINK("https://image-ppubs.uspto.gov/dirsearch-public/print/downloadPdf/20160075742","USPTO PDF")</f>
        <v>0.0</v>
      </c>
      <c r="K2997" s="2" t="n">
        <f>HYPERLINK("https://sectors.patentforecast.com/pmd/US20160075742","PMD")</f>
        <v>0.0</v>
      </c>
      <c r="L2997" s="2" t="n">
        <f>HYPERLINK("https://globaldossier.uspto.gov/result/application/US/14888205/1","US20160075742")</f>
        <v>0.0</v>
      </c>
      <c r="M2997" t="s">
        <v>19796</v>
      </c>
      <c r="N2997" t="s">
        <v>1251</v>
      </c>
      <c r="O2997" t="s">
        <v>1252</v>
      </c>
      <c r="P2997" t="s">
        <v>19797</v>
      </c>
      <c r="Q2997" s="3" t="n">
        <v>41759.0</v>
      </c>
      <c r="R2997" s="3" t="n">
        <v>42446.0</v>
      </c>
      <c r="S2997" s="3" t="n">
        <v>43900.43738943287</v>
      </c>
      <c r="T2997" s="3" t="n">
        <v>43903.48463248843</v>
      </c>
      <c r="U2997" t="s">
        <v>19798</v>
      </c>
      <c r="V2997" t="s">
        <v>19799</v>
      </c>
    </row>
    <row r="2998">
      <c r="A2998" t="s">
        <v>22</v>
      </c>
      <c r="B2998" t="s">
        <v>19800</v>
      </c>
      <c r="C2998" t="s">
        <v>24</v>
      </c>
      <c r="D2998" t="s">
        <v>25</v>
      </c>
      <c r="E2998" t="s">
        <v>19209</v>
      </c>
      <c r="F2998" s="2" t="n">
        <f>HYPERLINK("https://patents.google.com/patent/US20160070884","Google")</f>
        <v>0.0</v>
      </c>
      <c r="G2998" s="2" t="n">
        <f>HYPERLINK("https://patentcenter.uspto.gov/applications/14789904","Patent Center")</f>
        <v>0.0</v>
      </c>
      <c r="H2998" s="2" t="n">
        <f>HYPERLINK("https://worldwide.espacenet.com/patent/search?q=US20160070884","Espacenet")</f>
        <v>0.0</v>
      </c>
      <c r="I2998" s="2" t="n">
        <f>HYPERLINK("https://ppubs.uspto.gov/pubwebapp/external.html?q=20160070884.pn.","USPTO")</f>
        <v>0.0</v>
      </c>
      <c r="J2998" s="2" t="n">
        <f>HYPERLINK("https://image-ppubs.uspto.gov/dirsearch-public/print/downloadPdf/20160070884","USPTO PDF")</f>
        <v>0.0</v>
      </c>
      <c r="K2998" s="2" t="n">
        <f>HYPERLINK("https://sectors.patentforecast.com/pmd/US20160070884","PMD")</f>
        <v>0.0</v>
      </c>
      <c r="L2998" s="2" t="n">
        <f>HYPERLINK("https://globaldossier.uspto.gov/result/application/US/14789904/1","US20160070884")</f>
        <v>0.0</v>
      </c>
      <c r="M2998" t="s">
        <v>19801</v>
      </c>
      <c r="N2998" t="s">
        <v>3621</v>
      </c>
      <c r="O2998" t="s">
        <v>3622</v>
      </c>
      <c r="P2998" t="s">
        <v>19802</v>
      </c>
      <c r="Q2998" s="3" t="n">
        <v>42186.0</v>
      </c>
      <c r="R2998" s="3" t="n">
        <v>42439.0</v>
      </c>
      <c r="S2998" s="3" t="n">
        <v>43906.372892025465</v>
      </c>
      <c r="T2998" s="3" t="n">
        <v>43958.41062627315</v>
      </c>
      <c r="U2998" t="s">
        <v>19554</v>
      </c>
      <c r="V2998" t="s">
        <v>19555</v>
      </c>
    </row>
    <row r="2999">
      <c r="A2999" t="s">
        <v>22</v>
      </c>
      <c r="B2999" t="s">
        <v>19803</v>
      </c>
      <c r="C2999" t="s">
        <v>60</v>
      </c>
      <c r="D2999" t="s">
        <v>61</v>
      </c>
      <c r="E2999" t="s">
        <v>19804</v>
      </c>
      <c r="F2999" s="2" t="n">
        <f>HYPERLINK("https://patents.google.com/patent/US20160067255","Google")</f>
        <v>0.0</v>
      </c>
      <c r="G2999" s="2" t="n">
        <f>HYPERLINK("https://patentcenter.uspto.gov/applications/14842609","Patent Center")</f>
        <v>0.0</v>
      </c>
      <c r="H2999" s="2" t="n">
        <f>HYPERLINK("https://worldwide.espacenet.com/patent/search?q=US20160067255","Espacenet")</f>
        <v>0.0</v>
      </c>
      <c r="I2999" s="2" t="n">
        <f>HYPERLINK("https://ppubs.uspto.gov/pubwebapp/external.html?q=20160067255.pn.","USPTO")</f>
        <v>0.0</v>
      </c>
      <c r="J2999" s="2" t="n">
        <f>HYPERLINK("https://image-ppubs.uspto.gov/dirsearch-public/print/downloadPdf/20160067255","USPTO PDF")</f>
        <v>0.0</v>
      </c>
      <c r="K2999" s="2" t="n">
        <f>HYPERLINK("https://sectors.patentforecast.com/pmd/US20160067255","PMD")</f>
        <v>0.0</v>
      </c>
      <c r="L2999" s="2" t="n">
        <f>HYPERLINK("https://globaldossier.uspto.gov/result/application/US/14842609/1","US20160067255")</f>
        <v>0.0</v>
      </c>
      <c r="M2999" t="s">
        <v>19805</v>
      </c>
      <c r="N2999" t="s">
        <v>664</v>
      </c>
      <c r="O2999" t="s">
        <v>665</v>
      </c>
      <c r="P2999" t="s">
        <v>19806</v>
      </c>
      <c r="Q2999" s="3" t="n">
        <v>42248.0</v>
      </c>
      <c r="R2999" s="3" t="n">
        <v>42439.0</v>
      </c>
      <c r="S2999" s="3" t="n">
        <v>43952.46303712963</v>
      </c>
      <c r="T2999" s="3" t="n">
        <v>44638.662781747684</v>
      </c>
      <c r="U2999" t="s">
        <v>19807</v>
      </c>
      <c r="V2999" t="s">
        <v>19808</v>
      </c>
    </row>
    <row r="3000">
      <c r="A3000" t="s">
        <v>22</v>
      </c>
      <c r="B3000" t="s">
        <v>19809</v>
      </c>
      <c r="C3000" t="s">
        <v>132</v>
      </c>
      <c r="D3000" t="s">
        <v>8747</v>
      </c>
      <c r="E3000" t="s">
        <v>19810</v>
      </c>
      <c r="F3000" s="2" t="n">
        <f>HYPERLINK("https://patents.google.com/patent/US20160058787","Google")</f>
        <v>0.0</v>
      </c>
      <c r="G3000" s="2" t="n">
        <f>HYPERLINK("https://patentcenter.uspto.gov/applications/14469917","Patent Center")</f>
        <v>0.0</v>
      </c>
      <c r="H3000" s="2" t="n">
        <f>HYPERLINK("https://worldwide.espacenet.com/patent/search?q=US20160058787","Espacenet")</f>
        <v>0.0</v>
      </c>
      <c r="I3000" s="2" t="n">
        <f>HYPERLINK("https://ppubs.uspto.gov/pubwebapp/external.html?q=20160058787.pn.","USPTO")</f>
        <v>0.0</v>
      </c>
      <c r="J3000" s="2" t="n">
        <f>HYPERLINK("https://image-ppubs.uspto.gov/dirsearch-public/print/downloadPdf/20160058787","USPTO PDF")</f>
        <v>0.0</v>
      </c>
      <c r="K3000" s="2" t="n">
        <f>HYPERLINK("https://sectors.patentforecast.com/pmd/US20160058787","PMD")</f>
        <v>0.0</v>
      </c>
      <c r="L3000" s="2" t="n">
        <f>HYPERLINK("https://globaldossier.uspto.gov/result/application/US/14469917/1","US20160058787")</f>
        <v>0.0</v>
      </c>
      <c r="M3000" t="s">
        <v>19811</v>
      </c>
      <c r="N3000" t="s">
        <v>19812</v>
      </c>
      <c r="O3000" t="s">
        <v>19813</v>
      </c>
      <c r="P3000" t="s">
        <v>19814</v>
      </c>
      <c r="Q3000" s="3" t="n">
        <v>41878.0</v>
      </c>
      <c r="R3000" s="3" t="n">
        <v>42432.0</v>
      </c>
      <c r="S3000" s="3" t="n">
        <v>43900.43738943287</v>
      </c>
      <c r="T3000" s="3" t="n">
        <v>43901.72156517361</v>
      </c>
      <c r="U3000" t="s">
        <v>19815</v>
      </c>
      <c r="V3000" t="s">
        <v>19816</v>
      </c>
    </row>
    <row r="3001">
      <c r="A3001" t="s">
        <v>22</v>
      </c>
      <c r="B3001" t="s">
        <v>19817</v>
      </c>
      <c r="C3001" t="s">
        <v>24</v>
      </c>
      <c r="D3001" t="s">
        <v>100</v>
      </c>
      <c r="E3001" t="s">
        <v>18127</v>
      </c>
      <c r="F3001" s="2" t="n">
        <f>HYPERLINK("https://patents.google.com/patent/US20160058008","Google")</f>
        <v>0.0</v>
      </c>
      <c r="G3001" s="2" t="n">
        <f>HYPERLINK("https://patentcenter.uspto.gov/applications/14838717","Patent Center")</f>
        <v>0.0</v>
      </c>
      <c r="H3001" s="2" t="n">
        <f>HYPERLINK("https://worldwide.espacenet.com/patent/search?q=US20160058008","Espacenet")</f>
        <v>0.0</v>
      </c>
      <c r="I3001" s="2" t="n">
        <f>HYPERLINK("https://ppubs.uspto.gov/pubwebapp/external.html?q=20160058008.pn.","USPTO")</f>
        <v>0.0</v>
      </c>
      <c r="J3001" s="2" t="n">
        <f>HYPERLINK("https://image-ppubs.uspto.gov/dirsearch-public/print/downloadPdf/20160058008","USPTO PDF")</f>
        <v>0.0</v>
      </c>
      <c r="K3001" s="2" t="n">
        <f>HYPERLINK("https://sectors.patentforecast.com/pmd/US20160058008","PMD")</f>
        <v>0.0</v>
      </c>
      <c r="L3001" s="2" t="n">
        <f>HYPERLINK("https://globaldossier.uspto.gov/result/application/US/14838717/1","US20160058008")</f>
        <v>0.0</v>
      </c>
      <c r="M3001" t="s">
        <v>19818</v>
      </c>
      <c r="N3001" t="s">
        <v>19819</v>
      </c>
      <c r="O3001" t="s">
        <v>19820</v>
      </c>
      <c r="P3001" t="s">
        <v>18131</v>
      </c>
      <c r="Q3001" s="3" t="n">
        <v>42244.0</v>
      </c>
      <c r="R3001" s="3" t="n">
        <v>42432.0</v>
      </c>
      <c r="S3001" s="3" t="n">
        <v>43943.46090590278</v>
      </c>
      <c r="T3001" s="3" t="n">
        <v>43950.54191467592</v>
      </c>
      <c r="U3001" t="s">
        <v>19821</v>
      </c>
      <c r="V3001" t="s">
        <v>18133</v>
      </c>
    </row>
    <row r="3002">
      <c r="A3002" t="s">
        <v>22</v>
      </c>
      <c r="B3002" t="s">
        <v>19822</v>
      </c>
      <c r="C3002" t="s">
        <v>60</v>
      </c>
      <c r="D3002" t="s">
        <v>61</v>
      </c>
      <c r="E3002" t="s">
        <v>19823</v>
      </c>
      <c r="F3002" s="2" t="n">
        <f>HYPERLINK("https://patents.google.com/patent/US20160053241","Google")</f>
        <v>0.0</v>
      </c>
      <c r="G3002" s="2" t="n">
        <f>HYPERLINK("https://patentcenter.uspto.gov/applications/14751634","Patent Center")</f>
        <v>0.0</v>
      </c>
      <c r="H3002" s="2" t="n">
        <f>HYPERLINK("https://worldwide.espacenet.com/patent/search?q=US20160053241","Espacenet")</f>
        <v>0.0</v>
      </c>
      <c r="I3002" s="2" t="n">
        <f>HYPERLINK("https://ppubs.uspto.gov/pubwebapp/external.html?q=20160053241.pn.","USPTO")</f>
        <v>0.0</v>
      </c>
      <c r="J3002" s="2" t="n">
        <f>HYPERLINK("https://image-ppubs.uspto.gov/dirsearch-public/print/downloadPdf/20160053241","USPTO PDF")</f>
        <v>0.0</v>
      </c>
      <c r="K3002" s="2" t="n">
        <f>HYPERLINK("https://sectors.patentforecast.com/pmd/US20160053241","PMD")</f>
        <v>0.0</v>
      </c>
      <c r="L3002" s="2" t="n">
        <f>HYPERLINK("https://globaldossier.uspto.gov/result/application/US/14751634/1","US20160053241")</f>
        <v>0.0</v>
      </c>
      <c r="M3002" t="s">
        <v>19824</v>
      </c>
      <c r="N3002" t="s">
        <v>18723</v>
      </c>
      <c r="O3002" t="s">
        <v>18723</v>
      </c>
      <c r="P3002" t="s">
        <v>19825</v>
      </c>
      <c r="Q3002" s="3" t="n">
        <v>42181.0</v>
      </c>
      <c r="R3002" s="3" t="n">
        <v>42425.0</v>
      </c>
      <c r="S3002" s="3" t="n">
        <v>43900.43738943287</v>
      </c>
      <c r="T3002" s="3" t="n">
        <v>43903.48463236111</v>
      </c>
      <c r="U3002" t="s">
        <v>18725</v>
      </c>
      <c r="V3002" t="s">
        <v>18726</v>
      </c>
    </row>
    <row r="3003">
      <c r="A3003" t="s">
        <v>22</v>
      </c>
      <c r="B3003" t="s">
        <v>19826</v>
      </c>
      <c r="C3003" t="s">
        <v>60</v>
      </c>
      <c r="D3003" t="s">
        <v>61</v>
      </c>
      <c r="E3003" t="s">
        <v>16995</v>
      </c>
      <c r="F3003" s="2" t="n">
        <f>HYPERLINK("https://patents.google.com/patent/US20160052953","Google")</f>
        <v>0.0</v>
      </c>
      <c r="G3003" s="2" t="n">
        <f>HYPERLINK("https://patentcenter.uspto.gov/applications/14830121","Patent Center")</f>
        <v>0.0</v>
      </c>
      <c r="H3003" s="2" t="n">
        <f>HYPERLINK("https://worldwide.espacenet.com/patent/search?q=US20160052953","Espacenet")</f>
        <v>0.0</v>
      </c>
      <c r="I3003" s="2" t="n">
        <f>HYPERLINK("https://ppubs.uspto.gov/pubwebapp/external.html?q=20160052953.pn.","USPTO")</f>
        <v>0.0</v>
      </c>
      <c r="J3003" s="2" t="n">
        <f>HYPERLINK("https://image-ppubs.uspto.gov/dirsearch-public/print/downloadPdf/20160052953","USPTO PDF")</f>
        <v>0.0</v>
      </c>
      <c r="K3003" s="2" t="n">
        <f>HYPERLINK("https://sectors.patentforecast.com/pmd/US20160052953","PMD")</f>
        <v>0.0</v>
      </c>
      <c r="L3003" s="2" t="n">
        <f>HYPERLINK("https://globaldossier.uspto.gov/result/application/US/14830121/1","US20160052953")</f>
        <v>0.0</v>
      </c>
      <c r="M3003" t="s">
        <v>19827</v>
      </c>
      <c r="N3003" t="s">
        <v>664</v>
      </c>
      <c r="O3003" t="s">
        <v>665</v>
      </c>
      <c r="P3003" t="s">
        <v>19828</v>
      </c>
      <c r="Q3003" s="3" t="n">
        <v>42235.0</v>
      </c>
      <c r="R3003" s="3" t="n">
        <v>42425.0</v>
      </c>
      <c r="S3003" s="3" t="n">
        <v>43952.46303712963</v>
      </c>
      <c r="T3003" s="3" t="n">
        <v>44638.65008547454</v>
      </c>
      <c r="U3003" t="s">
        <v>19829</v>
      </c>
      <c r="V3003" t="s">
        <v>16999</v>
      </c>
    </row>
    <row r="3004">
      <c r="A3004" t="s">
        <v>22</v>
      </c>
      <c r="B3004" t="s">
        <v>19830</v>
      </c>
      <c r="C3004" t="s">
        <v>132</v>
      </c>
      <c r="D3004" t="s">
        <v>2629</v>
      </c>
      <c r="E3004" t="s">
        <v>7852</v>
      </c>
      <c r="F3004" s="2" t="n">
        <f>HYPERLINK("https://patents.google.com/patent/US20160045589","Google")</f>
        <v>0.0</v>
      </c>
      <c r="G3004" s="2" t="n">
        <f>HYPERLINK("https://patentcenter.uspto.gov/applications/14774356","Patent Center")</f>
        <v>0.0</v>
      </c>
      <c r="H3004" s="2" t="n">
        <f>HYPERLINK("https://worldwide.espacenet.com/patent/search?q=US20160045589","Espacenet")</f>
        <v>0.0</v>
      </c>
      <c r="I3004" s="2" t="n">
        <f>HYPERLINK("https://ppubs.uspto.gov/pubwebapp/external.html?q=20160045589.pn.","USPTO")</f>
        <v>0.0</v>
      </c>
      <c r="J3004" s="2" t="n">
        <f>HYPERLINK("https://image-ppubs.uspto.gov/dirsearch-public/print/downloadPdf/20160045589","USPTO PDF")</f>
        <v>0.0</v>
      </c>
      <c r="K3004" s="2" t="n">
        <f>HYPERLINK("https://sectors.patentforecast.com/pmd/US20160045589","PMD")</f>
        <v>0.0</v>
      </c>
      <c r="L3004" s="2" t="n">
        <f>HYPERLINK("https://globaldossier.uspto.gov/result/application/US/14774356/1","US20160045589")</f>
        <v>0.0</v>
      </c>
      <c r="M3004" t="s">
        <v>19831</v>
      </c>
      <c r="N3004" t="s">
        <v>10151</v>
      </c>
      <c r="O3004" t="s">
        <v>10152</v>
      </c>
      <c r="P3004" t="s">
        <v>19832</v>
      </c>
      <c r="Q3004" s="3" t="n">
        <v>41715.0</v>
      </c>
      <c r="R3004" s="3" t="n">
        <v>42418.0</v>
      </c>
      <c r="S3004" s="3" t="n">
        <v>43936.46037263889</v>
      </c>
      <c r="T3004" s="3" t="n">
        <v>44543.669638645835</v>
      </c>
      <c r="U3004" t="s">
        <v>19833</v>
      </c>
      <c r="V3004" t="s">
        <v>19834</v>
      </c>
    </row>
    <row r="3005">
      <c r="A3005" t="s">
        <v>22</v>
      </c>
      <c r="B3005" t="s">
        <v>19835</v>
      </c>
      <c r="C3005" t="s">
        <v>60</v>
      </c>
      <c r="D3005" t="s">
        <v>61</v>
      </c>
      <c r="E3005" t="s">
        <v>19836</v>
      </c>
      <c r="F3005" s="2" t="n">
        <f>HYPERLINK("https://patents.google.com/patent/US20160045512","Google")</f>
        <v>0.0</v>
      </c>
      <c r="G3005" s="2" t="n">
        <f>HYPERLINK("https://patentcenter.uspto.gov/applications/14883464","Patent Center")</f>
        <v>0.0</v>
      </c>
      <c r="H3005" s="2" t="n">
        <f>HYPERLINK("https://worldwide.espacenet.com/patent/search?q=US20160045512","Espacenet")</f>
        <v>0.0</v>
      </c>
      <c r="I3005" s="2" t="n">
        <f>HYPERLINK("https://ppubs.uspto.gov/pubwebapp/external.html?q=20160045512.pn.","USPTO")</f>
        <v>0.0</v>
      </c>
      <c r="J3005" s="2" t="n">
        <f>HYPERLINK("https://image-ppubs.uspto.gov/dirsearch-public/print/downloadPdf/20160045512","USPTO PDF")</f>
        <v>0.0</v>
      </c>
      <c r="K3005" s="2" t="n">
        <f>HYPERLINK("https://sectors.patentforecast.com/pmd/US20160045512","PMD")</f>
        <v>0.0</v>
      </c>
      <c r="L3005" s="2" t="n">
        <f>HYPERLINK("https://globaldossier.uspto.gov/result/application/US/14883464/1","US20160045512")</f>
        <v>0.0</v>
      </c>
      <c r="M3005" t="s">
        <v>19837</v>
      </c>
      <c r="N3005" t="s">
        <v>18794</v>
      </c>
      <c r="O3005" t="s">
        <v>18795</v>
      </c>
      <c r="P3005" t="s">
        <v>19838</v>
      </c>
      <c r="Q3005" s="3" t="n">
        <v>42291.0</v>
      </c>
      <c r="R3005" s="3" t="n">
        <v>42418.0</v>
      </c>
      <c r="S3005" s="3" t="n">
        <v>43900.43738943287</v>
      </c>
      <c r="T3005" s="3" t="n">
        <v>43903.61215616898</v>
      </c>
      <c r="U3005" t="s">
        <v>18797</v>
      </c>
      <c r="V3005" t="s">
        <v>18798</v>
      </c>
    </row>
    <row r="3006">
      <c r="A3006" t="s">
        <v>22</v>
      </c>
      <c r="B3006" t="s">
        <v>19839</v>
      </c>
      <c r="C3006" t="s">
        <v>60</v>
      </c>
      <c r="D3006" t="s">
        <v>61</v>
      </c>
      <c r="E3006" t="s">
        <v>19840</v>
      </c>
      <c r="F3006" s="2" t="n">
        <f>HYPERLINK("https://patents.google.com/patent/US20160039948","Google")</f>
        <v>0.0</v>
      </c>
      <c r="G3006" s="2" t="n">
        <f>HYPERLINK("https://patentcenter.uspto.gov/applications/14774293","Patent Center")</f>
        <v>0.0</v>
      </c>
      <c r="H3006" s="2" t="n">
        <f>HYPERLINK("https://worldwide.espacenet.com/patent/search?q=US20160039948","Espacenet")</f>
        <v>0.0</v>
      </c>
      <c r="I3006" s="2" t="n">
        <f>HYPERLINK("https://ppubs.uspto.gov/pubwebapp/external.html?q=20160039948.pn.","USPTO")</f>
        <v>0.0</v>
      </c>
      <c r="J3006" s="2" t="n">
        <f>HYPERLINK("https://image-ppubs.uspto.gov/dirsearch-public/print/downloadPdf/20160039948","USPTO PDF")</f>
        <v>0.0</v>
      </c>
      <c r="K3006" s="2" t="n">
        <f>HYPERLINK("https://sectors.patentforecast.com/pmd/US20160039948","PMD")</f>
        <v>0.0</v>
      </c>
      <c r="L3006" s="2" t="n">
        <f>HYPERLINK("https://globaldossier.uspto.gov/result/application/US/14774293/1","US20160039948")</f>
        <v>0.0</v>
      </c>
      <c r="M3006" t="s">
        <v>19841</v>
      </c>
      <c r="N3006" t="s">
        <v>19842</v>
      </c>
      <c r="O3006" t="s">
        <v>19842</v>
      </c>
      <c r="P3006" t="s">
        <v>19843</v>
      </c>
      <c r="Q3006" s="3" t="n">
        <v>41715.0</v>
      </c>
      <c r="R3006" s="3" t="n">
        <v>42411.0</v>
      </c>
      <c r="S3006" s="3" t="n">
        <v>43959.46224482639</v>
      </c>
      <c r="T3006" s="3" t="n">
        <v>43979.48777623843</v>
      </c>
      <c r="U3006" t="s">
        <v>19844</v>
      </c>
      <c r="V3006" t="s">
        <v>19845</v>
      </c>
    </row>
    <row r="3007">
      <c r="A3007" t="s">
        <v>22</v>
      </c>
      <c r="B3007" t="s">
        <v>19846</v>
      </c>
      <c r="C3007" t="s">
        <v>132</v>
      </c>
      <c r="D3007" t="s">
        <v>2629</v>
      </c>
      <c r="E3007" t="s">
        <v>7852</v>
      </c>
      <c r="F3007" s="2" t="n">
        <f>HYPERLINK("https://patents.google.com/patent/US20160039886","Google")</f>
        <v>0.0</v>
      </c>
      <c r="G3007" s="2" t="n">
        <f>HYPERLINK("https://patentcenter.uspto.gov/applications/14816120","Patent Center")</f>
        <v>0.0</v>
      </c>
      <c r="H3007" s="2" t="n">
        <f>HYPERLINK("https://worldwide.espacenet.com/patent/search?q=US20160039886","Espacenet")</f>
        <v>0.0</v>
      </c>
      <c r="I3007" s="2" t="n">
        <f>HYPERLINK("https://ppubs.uspto.gov/pubwebapp/external.html?q=20160039886.pn.","USPTO")</f>
        <v>0.0</v>
      </c>
      <c r="J3007" s="2" t="n">
        <f>HYPERLINK("https://image-ppubs.uspto.gov/dirsearch-public/print/downloadPdf/20160039886","USPTO PDF")</f>
        <v>0.0</v>
      </c>
      <c r="K3007" s="2" t="n">
        <f>HYPERLINK("https://sectors.patentforecast.com/pmd/US20160039886","PMD")</f>
        <v>0.0</v>
      </c>
      <c r="L3007" s="2" t="n">
        <f>HYPERLINK("https://globaldossier.uspto.gov/result/application/US/14816120/1","US20160039886")</f>
        <v>0.0</v>
      </c>
      <c r="M3007" t="s">
        <v>19847</v>
      </c>
      <c r="N3007" t="s">
        <v>10151</v>
      </c>
      <c r="O3007" t="s">
        <v>10152</v>
      </c>
      <c r="P3007" t="s">
        <v>7856</v>
      </c>
      <c r="Q3007" s="3" t="n">
        <v>42219.0</v>
      </c>
      <c r="R3007" s="3" t="n">
        <v>42411.0</v>
      </c>
      <c r="S3007" s="3" t="n">
        <v>43936.46037263889</v>
      </c>
      <c r="T3007" s="3" t="n">
        <v>43950.42323975694</v>
      </c>
      <c r="U3007" t="s">
        <v>19848</v>
      </c>
      <c r="V3007" t="s">
        <v>7858</v>
      </c>
    </row>
    <row r="3008">
      <c r="A3008" t="s">
        <v>22</v>
      </c>
      <c r="B3008" t="s">
        <v>19849</v>
      </c>
      <c r="C3008" t="s">
        <v>132</v>
      </c>
      <c r="D3008" t="s">
        <v>1265</v>
      </c>
      <c r="E3008" t="s">
        <v>19663</v>
      </c>
      <c r="F3008" s="2" t="n">
        <f>HYPERLINK("https://patents.google.com/patent/US20160038584","Google")</f>
        <v>0.0</v>
      </c>
      <c r="G3008" s="2" t="n">
        <f>HYPERLINK("https://patentcenter.uspto.gov/applications/14774256","Patent Center")</f>
        <v>0.0</v>
      </c>
      <c r="H3008" s="2" t="n">
        <f>HYPERLINK("https://worldwide.espacenet.com/patent/search?q=US20160038584","Espacenet")</f>
        <v>0.0</v>
      </c>
      <c r="I3008" s="2" t="n">
        <f>HYPERLINK("https://ppubs.uspto.gov/pubwebapp/external.html?q=20160038584.pn.","USPTO")</f>
        <v>0.0</v>
      </c>
      <c r="J3008" s="2" t="n">
        <f>HYPERLINK("https://image-ppubs.uspto.gov/dirsearch-public/print/downloadPdf/20160038584","USPTO PDF")</f>
        <v>0.0</v>
      </c>
      <c r="K3008" s="2" t="n">
        <f>HYPERLINK("https://sectors.patentforecast.com/pmd/US20160038584","PMD")</f>
        <v>0.0</v>
      </c>
      <c r="L3008" s="2" t="n">
        <f>HYPERLINK("https://globaldossier.uspto.gov/result/application/US/14774256/1","US20160038584")</f>
        <v>0.0</v>
      </c>
      <c r="M3008" t="s">
        <v>19850</v>
      </c>
      <c r="N3008" t="s">
        <v>7854</v>
      </c>
      <c r="O3008" t="s">
        <v>7855</v>
      </c>
      <c r="P3008" t="s">
        <v>19851</v>
      </c>
      <c r="Q3008" s="3" t="n">
        <v>41710.0</v>
      </c>
      <c r="R3008" s="3" t="n">
        <v>42411.0</v>
      </c>
      <c r="S3008" s="3" t="n">
        <v>43936.46037263889</v>
      </c>
      <c r="T3008" s="3" t="n">
        <v>43950.42328372685</v>
      </c>
      <c r="U3008" t="s">
        <v>19852</v>
      </c>
      <c r="V3008" t="s">
        <v>19853</v>
      </c>
    </row>
    <row r="3009">
      <c r="A3009" t="s">
        <v>22</v>
      </c>
      <c r="B3009" t="s">
        <v>19854</v>
      </c>
      <c r="C3009" t="s">
        <v>24</v>
      </c>
      <c r="D3009" t="s">
        <v>25</v>
      </c>
      <c r="E3009" t="s">
        <v>19855</v>
      </c>
      <c r="F3009" s="2" t="n">
        <f>HYPERLINK("https://patents.google.com/patent/US20160034653","Google")</f>
        <v>0.0</v>
      </c>
      <c r="G3009" s="2" t="n">
        <f>HYPERLINK("https://patentcenter.uspto.gov/applications/14448336","Patent Center")</f>
        <v>0.0</v>
      </c>
      <c r="H3009" s="2" t="n">
        <f>HYPERLINK("https://worldwide.espacenet.com/patent/search?q=US20160034653","Espacenet")</f>
        <v>0.0</v>
      </c>
      <c r="I3009" s="2" t="n">
        <f>HYPERLINK("https://ppubs.uspto.gov/pubwebapp/external.html?q=20160034653.pn.","USPTO")</f>
        <v>0.0</v>
      </c>
      <c r="J3009" s="2" t="n">
        <f>HYPERLINK("https://image-ppubs.uspto.gov/dirsearch-public/print/downloadPdf/20160034653","USPTO PDF")</f>
        <v>0.0</v>
      </c>
      <c r="K3009" s="2" t="n">
        <f>HYPERLINK("https://sectors.patentforecast.com/pmd/US20160034653","PMD")</f>
        <v>0.0</v>
      </c>
      <c r="L3009" s="2" t="n">
        <f>HYPERLINK("https://globaldossier.uspto.gov/result/application/US/14448336/1","US20160034653")</f>
        <v>0.0</v>
      </c>
      <c r="M3009" t="s">
        <v>19856</v>
      </c>
      <c r="N3009" t="s">
        <v>2103</v>
      </c>
      <c r="O3009" t="s">
        <v>2104</v>
      </c>
      <c r="P3009" t="s">
        <v>19857</v>
      </c>
      <c r="Q3009" s="3" t="n">
        <v>41851.0</v>
      </c>
      <c r="R3009" s="3" t="n">
        <v>42404.0</v>
      </c>
      <c r="S3009" s="3" t="n">
        <v>43936.45886303241</v>
      </c>
      <c r="T3009" s="3" t="n">
        <v>44543.68257953704</v>
      </c>
      <c r="U3009" t="s">
        <v>19858</v>
      </c>
      <c r="V3009" t="s">
        <v>19859</v>
      </c>
    </row>
    <row r="3010">
      <c r="A3010" t="s">
        <v>22</v>
      </c>
      <c r="B3010" t="s">
        <v>19860</v>
      </c>
      <c r="C3010" t="s">
        <v>132</v>
      </c>
      <c r="D3010" t="s">
        <v>142</v>
      </c>
      <c r="E3010" t="s">
        <v>19861</v>
      </c>
      <c r="F3010" s="2" t="n">
        <f>HYPERLINK("https://patents.google.com/patent/US20160032273","Google")</f>
        <v>0.0</v>
      </c>
      <c r="G3010" s="2" t="n">
        <f>HYPERLINK("https://patentcenter.uspto.gov/applications/14777059","Patent Center")</f>
        <v>0.0</v>
      </c>
      <c r="H3010" s="2" t="n">
        <f>HYPERLINK("https://worldwide.espacenet.com/patent/search?q=US20160032273","Espacenet")</f>
        <v>0.0</v>
      </c>
      <c r="I3010" s="2" t="n">
        <f>HYPERLINK("https://ppubs.uspto.gov/pubwebapp/external.html?q=20160032273.pn.","USPTO")</f>
        <v>0.0</v>
      </c>
      <c r="J3010" s="2" t="n">
        <f>HYPERLINK("https://image-ppubs.uspto.gov/dirsearch-public/print/downloadPdf/20160032273","USPTO PDF")</f>
        <v>0.0</v>
      </c>
      <c r="K3010" s="2" t="n">
        <f>HYPERLINK("https://sectors.patentforecast.com/pmd/US20160032273","PMD")</f>
        <v>0.0</v>
      </c>
      <c r="L3010" s="2" t="n">
        <f>HYPERLINK("https://globaldossier.uspto.gov/result/application/US/14777059/1","US20160032273")</f>
        <v>0.0</v>
      </c>
      <c r="M3010" t="s">
        <v>19862</v>
      </c>
      <c r="N3010" t="s">
        <v>145</v>
      </c>
      <c r="O3010" t="s">
        <v>146</v>
      </c>
      <c r="P3010" t="s">
        <v>19863</v>
      </c>
      <c r="Q3010" s="3" t="n">
        <v>41712.0</v>
      </c>
      <c r="R3010" s="3" t="n">
        <v>42404.0</v>
      </c>
      <c r="S3010" s="3" t="n">
        <v>43909.454047997686</v>
      </c>
      <c r="T3010" s="3" t="n">
        <v>43991.4972775</v>
      </c>
      <c r="U3010" t="s">
        <v>19864</v>
      </c>
      <c r="V3010" t="s">
        <v>19865</v>
      </c>
    </row>
    <row r="3011">
      <c r="A3011" t="s">
        <v>22</v>
      </c>
      <c r="B3011" t="s">
        <v>19866</v>
      </c>
      <c r="C3011" t="s">
        <v>312</v>
      </c>
      <c r="D3011" t="s">
        <v>313</v>
      </c>
      <c r="E3011" t="s">
        <v>19867</v>
      </c>
      <c r="F3011" s="2" t="n">
        <f>HYPERLINK("https://patents.google.com/patent/US20160026942","Google")</f>
        <v>0.0</v>
      </c>
      <c r="G3011" s="2" t="n">
        <f>HYPERLINK("https://patentcenter.uspto.gov/applications/14661775","Patent Center")</f>
        <v>0.0</v>
      </c>
      <c r="H3011" s="2" t="n">
        <f>HYPERLINK("https://worldwide.espacenet.com/patent/search?q=US20160026942","Espacenet")</f>
        <v>0.0</v>
      </c>
      <c r="I3011" s="2" t="n">
        <f>HYPERLINK("https://ppubs.uspto.gov/pubwebapp/external.html?q=20160026942.pn.","USPTO")</f>
        <v>0.0</v>
      </c>
      <c r="J3011" s="2" t="n">
        <f>HYPERLINK("https://image-ppubs.uspto.gov/dirsearch-public/print/downloadPdf/20160026942","USPTO PDF")</f>
        <v>0.0</v>
      </c>
      <c r="K3011" s="2" t="n">
        <f>HYPERLINK("https://sectors.patentforecast.com/pmd/US20160026942","PMD")</f>
        <v>0.0</v>
      </c>
      <c r="L3011" s="2" t="n">
        <f>HYPERLINK("https://globaldossier.uspto.gov/result/application/US/14661775/1","US20160026942")</f>
        <v>0.0</v>
      </c>
      <c r="M3011" t="s">
        <v>19868</v>
      </c>
      <c r="N3011" t="s">
        <v>2398</v>
      </c>
      <c r="O3011" t="s">
        <v>2399</v>
      </c>
      <c r="P3011" t="s">
        <v>19869</v>
      </c>
      <c r="Q3011" s="3" t="n">
        <v>42081.0</v>
      </c>
      <c r="R3011" s="3" t="n">
        <v>42397.0</v>
      </c>
      <c r="S3011" s="3" t="n">
        <v>43964.45869518518</v>
      </c>
      <c r="T3011" s="3" t="n">
        <v>43986.408438125</v>
      </c>
      <c r="U3011" t="s">
        <v>19870</v>
      </c>
      <c r="V3011" t="s">
        <v>19871</v>
      </c>
    </row>
    <row r="3012">
      <c r="A3012" t="s">
        <v>22</v>
      </c>
      <c r="B3012" t="s">
        <v>19872</v>
      </c>
      <c r="C3012" t="s">
        <v>24</v>
      </c>
      <c r="D3012" t="s">
        <v>25</v>
      </c>
      <c r="E3012" t="s">
        <v>19873</v>
      </c>
      <c r="F3012" s="2" t="n">
        <f>HYPERLINK("https://patents.google.com/patent/US20160026768","Google")</f>
        <v>0.0</v>
      </c>
      <c r="G3012" s="2" t="n">
        <f>HYPERLINK("https://patentcenter.uspto.gov/applications/14869680","Patent Center")</f>
        <v>0.0</v>
      </c>
      <c r="H3012" s="2" t="n">
        <f>HYPERLINK("https://worldwide.espacenet.com/patent/search?q=US20160026768","Espacenet")</f>
        <v>0.0</v>
      </c>
      <c r="I3012" s="2" t="n">
        <f>HYPERLINK("https://ppubs.uspto.gov/pubwebapp/external.html?q=20160026768.pn.","USPTO")</f>
        <v>0.0</v>
      </c>
      <c r="J3012" s="2" t="n">
        <f>HYPERLINK("https://image-ppubs.uspto.gov/dirsearch-public/print/downloadPdf/20160026768","USPTO PDF")</f>
        <v>0.0</v>
      </c>
      <c r="K3012" s="2" t="n">
        <f>HYPERLINK("https://sectors.patentforecast.com/pmd/US20160026768","PMD")</f>
        <v>0.0</v>
      </c>
      <c r="L3012" s="2" t="n">
        <f>HYPERLINK("https://globaldossier.uspto.gov/result/application/US/14869680/1","US20160026768")</f>
        <v>0.0</v>
      </c>
      <c r="M3012" t="s">
        <v>19874</v>
      </c>
      <c r="N3012" t="s">
        <v>19875</v>
      </c>
      <c r="O3012" t="s">
        <v>19876</v>
      </c>
      <c r="P3012" t="s">
        <v>19877</v>
      </c>
      <c r="Q3012" s="3" t="n">
        <v>42276.0</v>
      </c>
      <c r="R3012" s="3" t="n">
        <v>42397.0</v>
      </c>
      <c r="S3012" s="3" t="n">
        <v>43266.45736590278</v>
      </c>
      <c r="T3012" s="3" t="n">
        <v>43901.72156362268</v>
      </c>
      <c r="U3012" t="s">
        <v>19878</v>
      </c>
      <c r="V3012" t="s">
        <v>19879</v>
      </c>
    </row>
    <row r="3013">
      <c r="A3013" t="s">
        <v>22</v>
      </c>
      <c r="B3013" t="s">
        <v>19880</v>
      </c>
      <c r="C3013" t="s">
        <v>24</v>
      </c>
      <c r="D3013" t="s">
        <v>25</v>
      </c>
      <c r="E3013" t="s">
        <v>19881</v>
      </c>
      <c r="F3013" s="2" t="n">
        <f>HYPERLINK("https://patents.google.com/patent/US20160025603","Google")</f>
        <v>0.0</v>
      </c>
      <c r="G3013" s="2" t="n">
        <f>HYPERLINK("https://patentcenter.uspto.gov/applications/14804383","Patent Center")</f>
        <v>0.0</v>
      </c>
      <c r="H3013" s="2" t="n">
        <f>HYPERLINK("https://worldwide.espacenet.com/patent/search?q=US20160025603","Espacenet")</f>
        <v>0.0</v>
      </c>
      <c r="I3013" s="2" t="n">
        <f>HYPERLINK("https://ppubs.uspto.gov/pubwebapp/external.html?q=20160025603.pn.","USPTO")</f>
        <v>0.0</v>
      </c>
      <c r="J3013" s="2" t="n">
        <f>HYPERLINK("https://image-ppubs.uspto.gov/dirsearch-public/print/downloadPdf/20160025603","USPTO PDF")</f>
        <v>0.0</v>
      </c>
      <c r="K3013" s="2" t="n">
        <f>HYPERLINK("https://sectors.patentforecast.com/pmd/US20160025603","PMD")</f>
        <v>0.0</v>
      </c>
      <c r="L3013" s="2" t="n">
        <f>HYPERLINK("https://globaldossier.uspto.gov/result/application/US/14804383/1","US20160025603")</f>
        <v>0.0</v>
      </c>
      <c r="M3013" t="s">
        <v>19882</v>
      </c>
      <c r="N3013" t="s">
        <v>19883</v>
      </c>
      <c r="O3013" t="s">
        <v>19884</v>
      </c>
      <c r="P3013" t="s">
        <v>19885</v>
      </c>
      <c r="Q3013" s="3" t="n">
        <v>42206.0</v>
      </c>
      <c r="R3013" s="3" t="n">
        <v>42397.0</v>
      </c>
      <c r="S3013" s="3" t="n">
        <v>43936.46164642361</v>
      </c>
      <c r="T3013" s="3" t="n">
        <v>44543.62696538195</v>
      </c>
      <c r="U3013" t="s">
        <v>19886</v>
      </c>
      <c r="V3013" t="s">
        <v>19887</v>
      </c>
    </row>
    <row r="3014">
      <c r="A3014" t="s">
        <v>22</v>
      </c>
      <c r="B3014" t="s">
        <v>19888</v>
      </c>
      <c r="C3014" t="s">
        <v>132</v>
      </c>
      <c r="D3014" t="s">
        <v>142</v>
      </c>
      <c r="E3014" t="s">
        <v>19889</v>
      </c>
      <c r="F3014" s="2" t="n">
        <f>HYPERLINK("https://patents.google.com/patent/US20160024547","Google")</f>
        <v>0.0</v>
      </c>
      <c r="G3014" s="2" t="n">
        <f>HYPERLINK("https://patentcenter.uspto.gov/applications/14777190","Patent Center")</f>
        <v>0.0</v>
      </c>
      <c r="H3014" s="2" t="n">
        <f>HYPERLINK("https://worldwide.espacenet.com/patent/search?q=US20160024547","Espacenet")</f>
        <v>0.0</v>
      </c>
      <c r="I3014" s="2" t="n">
        <f>HYPERLINK("https://ppubs.uspto.gov/pubwebapp/external.html?q=20160024547.pn.","USPTO")</f>
        <v>0.0</v>
      </c>
      <c r="J3014" s="2" t="n">
        <f>HYPERLINK("https://image-ppubs.uspto.gov/dirsearch-public/print/downloadPdf/20160024547","USPTO PDF")</f>
        <v>0.0</v>
      </c>
      <c r="K3014" s="2" t="n">
        <f>HYPERLINK("https://sectors.patentforecast.com/pmd/US20160024547","PMD")</f>
        <v>0.0</v>
      </c>
      <c r="L3014" s="2" t="n">
        <f>HYPERLINK("https://globaldossier.uspto.gov/result/application/US/14777190/1","US20160024547")</f>
        <v>0.0</v>
      </c>
      <c r="M3014" t="s">
        <v>19890</v>
      </c>
      <c r="N3014" t="s">
        <v>145</v>
      </c>
      <c r="O3014" t="s">
        <v>146</v>
      </c>
      <c r="P3014" t="s">
        <v>19891</v>
      </c>
      <c r="Q3014" s="3" t="n">
        <v>41711.0</v>
      </c>
      <c r="R3014" s="3" t="n">
        <v>42397.0</v>
      </c>
      <c r="S3014" s="3" t="n">
        <v>43909.454047997686</v>
      </c>
      <c r="T3014" s="3" t="n">
        <v>43950.49677673611</v>
      </c>
      <c r="U3014" t="s">
        <v>19892</v>
      </c>
      <c r="V3014" t="s">
        <v>19893</v>
      </c>
    </row>
    <row r="3015">
      <c r="A3015" t="s">
        <v>22</v>
      </c>
      <c r="B3015" t="s">
        <v>19894</v>
      </c>
      <c r="C3015" t="s">
        <v>132</v>
      </c>
      <c r="D3015" t="s">
        <v>142</v>
      </c>
      <c r="E3015" t="s">
        <v>19895</v>
      </c>
      <c r="F3015" s="2" t="n">
        <f>HYPERLINK("https://patents.google.com/patent/US20160024492","Google")</f>
        <v>0.0</v>
      </c>
      <c r="G3015" s="2" t="n">
        <f>HYPERLINK("https://patentcenter.uspto.gov/applications/14777301","Patent Center")</f>
        <v>0.0</v>
      </c>
      <c r="H3015" s="2" t="n">
        <f>HYPERLINK("https://worldwide.espacenet.com/patent/search?q=US20160024492","Espacenet")</f>
        <v>0.0</v>
      </c>
      <c r="I3015" s="2" t="n">
        <f>HYPERLINK("https://ppubs.uspto.gov/pubwebapp/external.html?q=20160024492.pn.","USPTO")</f>
        <v>0.0</v>
      </c>
      <c r="J3015" s="2" t="n">
        <f>HYPERLINK("https://image-ppubs.uspto.gov/dirsearch-public/print/downloadPdf/20160024492","USPTO PDF")</f>
        <v>0.0</v>
      </c>
      <c r="K3015" s="2" t="n">
        <f>HYPERLINK("https://sectors.patentforecast.com/pmd/US20160024492","PMD")</f>
        <v>0.0</v>
      </c>
      <c r="L3015" s="2" t="n">
        <f>HYPERLINK("https://globaldossier.uspto.gov/result/application/US/14777301/1","US20160024492")</f>
        <v>0.0</v>
      </c>
      <c r="M3015" t="s">
        <v>19896</v>
      </c>
      <c r="N3015" t="s">
        <v>145</v>
      </c>
      <c r="O3015" t="s">
        <v>146</v>
      </c>
      <c r="P3015" t="s">
        <v>19897</v>
      </c>
      <c r="Q3015" s="3" t="n">
        <v>41711.0</v>
      </c>
      <c r="R3015" s="3" t="n">
        <v>42397.0</v>
      </c>
      <c r="S3015" s="3" t="n">
        <v>43909.454047997686</v>
      </c>
      <c r="T3015" s="3" t="n">
        <v>43991.49825505787</v>
      </c>
      <c r="U3015" t="s">
        <v>19898</v>
      </c>
      <c r="V3015" t="s">
        <v>19899</v>
      </c>
    </row>
    <row r="3016">
      <c r="A3016" t="s">
        <v>22</v>
      </c>
      <c r="B3016" t="s">
        <v>19900</v>
      </c>
      <c r="C3016" t="s">
        <v>132</v>
      </c>
      <c r="D3016" t="s">
        <v>142</v>
      </c>
      <c r="E3016" t="s">
        <v>19901</v>
      </c>
      <c r="F3016" s="2" t="n">
        <f>HYPERLINK("https://patents.google.com/patent/US20160024140","Google")</f>
        <v>0.0</v>
      </c>
      <c r="G3016" s="2" t="n">
        <f>HYPERLINK("https://patentcenter.uspto.gov/applications/14776864","Patent Center")</f>
        <v>0.0</v>
      </c>
      <c r="H3016" s="2" t="n">
        <f>HYPERLINK("https://worldwide.espacenet.com/patent/search?q=US20160024140","Espacenet")</f>
        <v>0.0</v>
      </c>
      <c r="I3016" s="2" t="n">
        <f>HYPERLINK("https://ppubs.uspto.gov/pubwebapp/external.html?q=20160024140.pn.","USPTO")</f>
        <v>0.0</v>
      </c>
      <c r="J3016" s="2" t="n">
        <f>HYPERLINK("https://image-ppubs.uspto.gov/dirsearch-public/print/downloadPdf/20160024140","USPTO PDF")</f>
        <v>0.0</v>
      </c>
      <c r="K3016" s="2" t="n">
        <f>HYPERLINK("https://sectors.patentforecast.com/pmd/US20160024140","PMD")</f>
        <v>0.0</v>
      </c>
      <c r="L3016" s="2" t="n">
        <f>HYPERLINK("https://globaldossier.uspto.gov/result/application/US/14776864/1","US20160024140")</f>
        <v>0.0</v>
      </c>
      <c r="M3016" t="s">
        <v>19902</v>
      </c>
      <c r="N3016" t="s">
        <v>145</v>
      </c>
      <c r="O3016" t="s">
        <v>146</v>
      </c>
      <c r="P3016" t="s">
        <v>19903</v>
      </c>
      <c r="Q3016" s="3" t="n">
        <v>41711.0</v>
      </c>
      <c r="R3016" s="3" t="n">
        <v>42397.0</v>
      </c>
      <c r="S3016" s="3" t="n">
        <v>43909.454047997686</v>
      </c>
      <c r="T3016" s="3" t="n">
        <v>43991.499943344905</v>
      </c>
      <c r="U3016" t="s">
        <v>19904</v>
      </c>
      <c r="V3016" t="s">
        <v>19905</v>
      </c>
    </row>
    <row r="3017">
      <c r="A3017" t="s">
        <v>22</v>
      </c>
      <c r="B3017" t="s">
        <v>19906</v>
      </c>
      <c r="C3017" t="s">
        <v>60</v>
      </c>
      <c r="D3017" t="s">
        <v>61</v>
      </c>
      <c r="E3017" t="s">
        <v>18677</v>
      </c>
      <c r="F3017" s="2" t="n">
        <f>HYPERLINK("https://patents.google.com/patent/US20160024107","Google")</f>
        <v>0.0</v>
      </c>
      <c r="G3017" s="2" t="n">
        <f>HYPERLINK("https://patentcenter.uspto.gov/applications/14806227","Patent Center")</f>
        <v>0.0</v>
      </c>
      <c r="H3017" s="2" t="n">
        <f>HYPERLINK("https://worldwide.espacenet.com/patent/search?q=US20160024107","Espacenet")</f>
        <v>0.0</v>
      </c>
      <c r="I3017" s="2" t="n">
        <f>HYPERLINK("https://ppubs.uspto.gov/pubwebapp/external.html?q=20160024107.pn.","USPTO")</f>
        <v>0.0</v>
      </c>
      <c r="J3017" s="2" t="n">
        <f>HYPERLINK("https://image-ppubs.uspto.gov/dirsearch-public/print/downloadPdf/20160024107","USPTO PDF")</f>
        <v>0.0</v>
      </c>
      <c r="K3017" s="2" t="n">
        <f>HYPERLINK("https://sectors.patentforecast.com/pmd/US20160024107","PMD")</f>
        <v>0.0</v>
      </c>
      <c r="L3017" s="2" t="n">
        <f>HYPERLINK("https://globaldossier.uspto.gov/result/application/US/14806227/1","US20160024107")</f>
        <v>0.0</v>
      </c>
      <c r="M3017" t="s">
        <v>19907</v>
      </c>
      <c r="N3017" t="s">
        <v>664</v>
      </c>
      <c r="O3017" t="s">
        <v>665</v>
      </c>
      <c r="P3017" t="s">
        <v>19828</v>
      </c>
      <c r="Q3017" s="3" t="n">
        <v>42207.0</v>
      </c>
      <c r="R3017" s="3" t="n">
        <v>42397.0</v>
      </c>
      <c r="S3017" s="3" t="n">
        <v>43952.46303712963</v>
      </c>
      <c r="T3017" s="3" t="n">
        <v>44638.65643378472</v>
      </c>
      <c r="U3017" t="s">
        <v>19908</v>
      </c>
      <c r="V3017" t="s">
        <v>17675</v>
      </c>
    </row>
    <row r="3018">
      <c r="A3018" t="s">
        <v>22</v>
      </c>
      <c r="B3018" t="s">
        <v>19909</v>
      </c>
      <c r="C3018" t="s">
        <v>132</v>
      </c>
      <c r="D3018" t="s">
        <v>142</v>
      </c>
      <c r="E3018" t="s">
        <v>19910</v>
      </c>
      <c r="F3018" s="2" t="n">
        <f>HYPERLINK("https://patents.google.com/patent/US20160022840","Google")</f>
        <v>0.0</v>
      </c>
      <c r="G3018" s="2" t="n">
        <f>HYPERLINK("https://patentcenter.uspto.gov/applications/14773785","Patent Center")</f>
        <v>0.0</v>
      </c>
      <c r="H3018" s="2" t="n">
        <f>HYPERLINK("https://worldwide.espacenet.com/patent/search?q=US20160022840","Espacenet")</f>
        <v>0.0</v>
      </c>
      <c r="I3018" s="2" t="n">
        <f>HYPERLINK("https://ppubs.uspto.gov/pubwebapp/external.html?q=20160022840.pn.","USPTO")</f>
        <v>0.0</v>
      </c>
      <c r="J3018" s="2" t="n">
        <f>HYPERLINK("https://image-ppubs.uspto.gov/dirsearch-public/print/downloadPdf/20160022840","USPTO PDF")</f>
        <v>0.0</v>
      </c>
      <c r="K3018" s="2" t="n">
        <f>HYPERLINK("https://sectors.patentforecast.com/pmd/US20160022840","PMD")</f>
        <v>0.0</v>
      </c>
      <c r="L3018" s="2" t="n">
        <f>HYPERLINK("https://globaldossier.uspto.gov/result/application/US/14773785/1","US20160022840")</f>
        <v>0.0</v>
      </c>
      <c r="M3018" t="s">
        <v>19911</v>
      </c>
      <c r="N3018" t="s">
        <v>145</v>
      </c>
      <c r="O3018" t="s">
        <v>146</v>
      </c>
      <c r="P3018" t="s">
        <v>19912</v>
      </c>
      <c r="Q3018" s="3" t="n">
        <v>41705.0</v>
      </c>
      <c r="R3018" s="3" t="n">
        <v>42397.0</v>
      </c>
      <c r="S3018" s="3" t="n">
        <v>43909.454047997686</v>
      </c>
      <c r="T3018" s="3" t="n">
        <v>43991.499953356484</v>
      </c>
      <c r="U3018" t="s">
        <v>19913</v>
      </c>
      <c r="V3018" t="s">
        <v>19914</v>
      </c>
    </row>
    <row r="3019">
      <c r="A3019" t="s">
        <v>22</v>
      </c>
      <c r="B3019" t="s">
        <v>19915</v>
      </c>
      <c r="C3019" t="s">
        <v>132</v>
      </c>
      <c r="D3019" t="s">
        <v>2629</v>
      </c>
      <c r="E3019" t="s">
        <v>18121</v>
      </c>
      <c r="F3019" s="2" t="n">
        <f>HYPERLINK("https://patents.google.com/patent/US20160022802","Google")</f>
        <v>0.0</v>
      </c>
      <c r="G3019" s="2" t="n">
        <f>HYPERLINK("https://patentcenter.uspto.gov/applications/14775069","Patent Center")</f>
        <v>0.0</v>
      </c>
      <c r="H3019" s="2" t="n">
        <f>HYPERLINK("https://worldwide.espacenet.com/patent/search?q=US20160022802","Espacenet")</f>
        <v>0.0</v>
      </c>
      <c r="I3019" s="2" t="n">
        <f>HYPERLINK("https://ppubs.uspto.gov/pubwebapp/external.html?q=20160022802.pn.","USPTO")</f>
        <v>0.0</v>
      </c>
      <c r="J3019" s="2" t="n">
        <f>HYPERLINK("https://image-ppubs.uspto.gov/dirsearch-public/print/downloadPdf/20160022802","USPTO PDF")</f>
        <v>0.0</v>
      </c>
      <c r="K3019" s="2" t="n">
        <f>HYPERLINK("https://sectors.patentforecast.com/pmd/US20160022802","PMD")</f>
        <v>0.0</v>
      </c>
      <c r="L3019" s="2" t="n">
        <f>HYPERLINK("https://globaldossier.uspto.gov/result/application/US/14775069/1","US20160022802")</f>
        <v>0.0</v>
      </c>
      <c r="M3019" t="s">
        <v>19916</v>
      </c>
      <c r="N3019" t="s">
        <v>2541</v>
      </c>
      <c r="O3019" t="s">
        <v>2542</v>
      </c>
      <c r="P3019" t="s">
        <v>18123</v>
      </c>
      <c r="Q3019" s="3" t="n">
        <v>41712.0</v>
      </c>
      <c r="R3019" s="3" t="n">
        <v>42397.0</v>
      </c>
      <c r="S3019" s="3" t="n">
        <v>43936.46037263889</v>
      </c>
      <c r="T3019" s="3" t="n">
        <v>44543.67842496528</v>
      </c>
      <c r="U3019" t="s">
        <v>19917</v>
      </c>
      <c r="V3019" t="s">
        <v>18125</v>
      </c>
    </row>
    <row r="3020">
      <c r="A3020" t="s">
        <v>22</v>
      </c>
      <c r="B3020" t="s">
        <v>19918</v>
      </c>
      <c r="C3020" t="s">
        <v>24</v>
      </c>
      <c r="D3020" t="s">
        <v>25</v>
      </c>
      <c r="E3020" t="s">
        <v>19873</v>
      </c>
      <c r="F3020" s="2" t="n">
        <f>HYPERLINK("https://patents.google.com/patent/US20160019344","Google")</f>
        <v>0.0</v>
      </c>
      <c r="G3020" s="2" t="n">
        <f>HYPERLINK("https://patentcenter.uspto.gov/applications/14093442","Patent Center")</f>
        <v>0.0</v>
      </c>
      <c r="H3020" s="2" t="n">
        <f>HYPERLINK("https://worldwide.espacenet.com/patent/search?q=US20160019344","Espacenet")</f>
        <v>0.0</v>
      </c>
      <c r="I3020" s="2" t="n">
        <f>HYPERLINK("https://ppubs.uspto.gov/pubwebapp/external.html?q=20160019344.pn.","USPTO")</f>
        <v>0.0</v>
      </c>
      <c r="J3020" s="2" t="n">
        <f>HYPERLINK("https://image-ppubs.uspto.gov/dirsearch-public/print/downloadPdf/20160019344","USPTO PDF")</f>
        <v>0.0</v>
      </c>
      <c r="K3020" s="2" t="n">
        <f>HYPERLINK("https://sectors.patentforecast.com/pmd/US20160019344","PMD")</f>
        <v>0.0</v>
      </c>
      <c r="L3020" s="2" t="n">
        <f>HYPERLINK("https://globaldossier.uspto.gov/result/application/US/14093442/1","US20160019344")</f>
        <v>0.0</v>
      </c>
      <c r="M3020" t="s">
        <v>19919</v>
      </c>
      <c r="N3020" t="s">
        <v>19875</v>
      </c>
      <c r="O3020" t="s">
        <v>19876</v>
      </c>
      <c r="P3020" t="s">
        <v>19920</v>
      </c>
      <c r="Q3020" s="3" t="n">
        <v>41608.0</v>
      </c>
      <c r="R3020" s="3" t="n">
        <v>42390.0</v>
      </c>
      <c r="S3020" s="3" t="n">
        <v>43266.45736630787</v>
      </c>
      <c r="T3020" s="3" t="n">
        <v>43901.721564872685</v>
      </c>
      <c r="U3020" t="s">
        <v>19921</v>
      </c>
      <c r="V3020" t="s">
        <v>19879</v>
      </c>
    </row>
    <row r="3021">
      <c r="A3021" t="s">
        <v>22</v>
      </c>
      <c r="B3021" t="s">
        <v>19922</v>
      </c>
      <c r="C3021" t="s">
        <v>132</v>
      </c>
      <c r="D3021" t="s">
        <v>133</v>
      </c>
      <c r="E3021" t="s">
        <v>19923</v>
      </c>
      <c r="F3021" s="2" t="n">
        <f>HYPERLINK("https://patents.google.com/patent/US20160008457","Google")</f>
        <v>0.0</v>
      </c>
      <c r="G3021" s="2" t="n">
        <f>HYPERLINK("https://patentcenter.uspto.gov/applications/14798132","Patent Center")</f>
        <v>0.0</v>
      </c>
      <c r="H3021" s="2" t="n">
        <f>HYPERLINK("https://worldwide.espacenet.com/patent/search?q=US20160008457","Espacenet")</f>
        <v>0.0</v>
      </c>
      <c r="I3021" s="2" t="n">
        <f>HYPERLINK("https://ppubs.uspto.gov/pubwebapp/external.html?q=20160008457.pn.","USPTO")</f>
        <v>0.0</v>
      </c>
      <c r="J3021" s="2" t="n">
        <f>HYPERLINK("https://image-ppubs.uspto.gov/dirsearch-public/print/downloadPdf/20160008457","USPTO PDF")</f>
        <v>0.0</v>
      </c>
      <c r="K3021" s="2" t="n">
        <f>HYPERLINK("https://sectors.patentforecast.com/pmd/US20160008457","PMD")</f>
        <v>0.0</v>
      </c>
      <c r="L3021" s="2" t="n">
        <f>HYPERLINK("https://globaldossier.uspto.gov/result/application/US/14798132/1","US20160008457")</f>
        <v>0.0</v>
      </c>
      <c r="M3021" t="s">
        <v>19924</v>
      </c>
      <c r="N3021" t="s">
        <v>19925</v>
      </c>
      <c r="O3021" t="s">
        <v>19926</v>
      </c>
      <c r="P3021" t="s">
        <v>19927</v>
      </c>
      <c r="Q3021" s="3" t="n">
        <v>42198.0</v>
      </c>
      <c r="R3021" s="3" t="n">
        <v>42383.0</v>
      </c>
      <c r="S3021" s="3" t="n">
        <v>43900.43738943287</v>
      </c>
      <c r="T3021" s="3" t="n">
        <v>43901.72156349537</v>
      </c>
      <c r="U3021" t="s">
        <v>19928</v>
      </c>
      <c r="V3021" t="s">
        <v>19929</v>
      </c>
    </row>
    <row r="3022">
      <c r="A3022" t="s">
        <v>22</v>
      </c>
      <c r="B3022" t="s">
        <v>19930</v>
      </c>
      <c r="C3022" t="s">
        <v>132</v>
      </c>
      <c r="D3022" t="s">
        <v>1265</v>
      </c>
      <c r="E3022" t="s">
        <v>17930</v>
      </c>
      <c r="F3022" s="2" t="n">
        <f>HYPERLINK("https://patents.google.com/patent/US20160008456","Google")</f>
        <v>0.0</v>
      </c>
      <c r="G3022" s="2" t="n">
        <f>HYPERLINK("https://patentcenter.uspto.gov/applications/14869039","Patent Center")</f>
        <v>0.0</v>
      </c>
      <c r="H3022" s="2" t="n">
        <f>HYPERLINK("https://worldwide.espacenet.com/patent/search?q=US20160008456","Espacenet")</f>
        <v>0.0</v>
      </c>
      <c r="I3022" s="2" t="n">
        <f>HYPERLINK("https://ppubs.uspto.gov/pubwebapp/external.html?q=20160008456.pn.","USPTO")</f>
        <v>0.0</v>
      </c>
      <c r="J3022" s="2" t="n">
        <f>HYPERLINK("https://image-ppubs.uspto.gov/dirsearch-public/print/downloadPdf/20160008456","USPTO PDF")</f>
        <v>0.0</v>
      </c>
      <c r="K3022" s="2" t="n">
        <f>HYPERLINK("https://sectors.patentforecast.com/pmd/US20160008456","PMD")</f>
        <v>0.0</v>
      </c>
      <c r="L3022" s="2" t="n">
        <f>HYPERLINK("https://globaldossier.uspto.gov/result/application/US/14869039/1","US20160008456")</f>
        <v>0.0</v>
      </c>
      <c r="M3022" t="s">
        <v>19931</v>
      </c>
      <c r="N3022" t="s">
        <v>1275</v>
      </c>
      <c r="O3022" t="s">
        <v>1275</v>
      </c>
      <c r="P3022" t="s">
        <v>19067</v>
      </c>
      <c r="Q3022" s="3" t="n">
        <v>42276.0</v>
      </c>
      <c r="R3022" s="3" t="n">
        <v>42383.0</v>
      </c>
      <c r="S3022" s="3" t="n">
        <v>43900.43738943287</v>
      </c>
      <c r="T3022" s="3" t="n">
        <v>43903.48463280092</v>
      </c>
      <c r="U3022" t="s">
        <v>19932</v>
      </c>
      <c r="V3022" t="s">
        <v>17402</v>
      </c>
    </row>
    <row r="3023">
      <c r="A3023" t="s">
        <v>22</v>
      </c>
      <c r="B3023" t="s">
        <v>19933</v>
      </c>
      <c r="C3023" t="s">
        <v>60</v>
      </c>
      <c r="D3023" t="s">
        <v>61</v>
      </c>
      <c r="E3023" t="s">
        <v>18226</v>
      </c>
      <c r="F3023" s="2" t="n">
        <f>HYPERLINK("https://patents.google.com/patent/US20160008374","Google")</f>
        <v>0.0</v>
      </c>
      <c r="G3023" s="2" t="n">
        <f>HYPERLINK("https://patentcenter.uspto.gov/applications/14795676","Patent Center")</f>
        <v>0.0</v>
      </c>
      <c r="H3023" s="2" t="n">
        <f>HYPERLINK("https://worldwide.espacenet.com/patent/search?q=US20160008374","Espacenet")</f>
        <v>0.0</v>
      </c>
      <c r="I3023" s="2" t="n">
        <f>HYPERLINK("https://ppubs.uspto.gov/pubwebapp/external.html?q=20160008374.pn.","USPTO")</f>
        <v>0.0</v>
      </c>
      <c r="J3023" s="2" t="n">
        <f>HYPERLINK("https://image-ppubs.uspto.gov/dirsearch-public/print/downloadPdf/20160008374","USPTO PDF")</f>
        <v>0.0</v>
      </c>
      <c r="K3023" s="2" t="n">
        <f>HYPERLINK("https://sectors.patentforecast.com/pmd/US20160008374","PMD")</f>
        <v>0.0</v>
      </c>
      <c r="L3023" s="2" t="n">
        <f>HYPERLINK("https://globaldossier.uspto.gov/result/application/US/14795676/1","US20160008374")</f>
        <v>0.0</v>
      </c>
      <c r="M3023" t="s">
        <v>19934</v>
      </c>
      <c r="N3023" t="s">
        <v>664</v>
      </c>
      <c r="O3023" t="s">
        <v>665</v>
      </c>
      <c r="P3023" t="s">
        <v>19935</v>
      </c>
      <c r="Q3023" s="3" t="n">
        <v>42194.0</v>
      </c>
      <c r="R3023" s="3" t="n">
        <v>42383.0</v>
      </c>
      <c r="S3023" s="3" t="n">
        <v>43952.46303712963</v>
      </c>
      <c r="T3023" s="3" t="n">
        <v>44638.662781747684</v>
      </c>
      <c r="U3023" t="s">
        <v>19936</v>
      </c>
      <c r="V3023" t="s">
        <v>19937</v>
      </c>
    </row>
    <row r="3024">
      <c r="A3024" t="s">
        <v>22</v>
      </c>
      <c r="B3024" t="s">
        <v>19938</v>
      </c>
      <c r="C3024" t="s">
        <v>24</v>
      </c>
      <c r="D3024" t="s">
        <v>204</v>
      </c>
      <c r="E3024" t="s">
        <v>19939</v>
      </c>
      <c r="F3024" s="2" t="n">
        <f>HYPERLINK("https://patents.google.com/patent/US20160005293","Google")</f>
        <v>0.0</v>
      </c>
      <c r="G3024" s="2" t="n">
        <f>HYPERLINK("https://patentcenter.uspto.gov/applications/14521453","Patent Center")</f>
        <v>0.0</v>
      </c>
      <c r="H3024" s="2" t="n">
        <f>HYPERLINK("https://worldwide.espacenet.com/patent/search?q=US20160005293","Espacenet")</f>
        <v>0.0</v>
      </c>
      <c r="I3024" s="2" t="n">
        <f>HYPERLINK("https://ppubs.uspto.gov/pubwebapp/external.html?q=20160005293.pn.","USPTO")</f>
        <v>0.0</v>
      </c>
      <c r="J3024" s="2" t="n">
        <f>HYPERLINK("https://image-ppubs.uspto.gov/dirsearch-public/print/downloadPdf/20160005293","USPTO PDF")</f>
        <v>0.0</v>
      </c>
      <c r="K3024" s="2" t="n">
        <f>HYPERLINK("https://sectors.patentforecast.com/pmd/US20160005293","PMD")</f>
        <v>0.0</v>
      </c>
      <c r="L3024" s="2" t="n">
        <f>HYPERLINK("https://globaldossier.uspto.gov/result/application/US/14521453/1","US20160005293")</f>
        <v>0.0</v>
      </c>
      <c r="M3024" t="s">
        <v>19940</v>
      </c>
      <c r="N3024" t="s">
        <v>19941</v>
      </c>
      <c r="O3024" t="s">
        <v>19941</v>
      </c>
      <c r="P3024" t="s">
        <v>19942</v>
      </c>
      <c r="Q3024" s="3" t="n">
        <v>41934.0</v>
      </c>
      <c r="R3024" s="3" t="n">
        <v>42376.0</v>
      </c>
      <c r="S3024" s="3" t="n">
        <v>43266.45736630787</v>
      </c>
      <c r="T3024" s="3" t="n">
        <v>43901.72156467593</v>
      </c>
      <c r="U3024" t="s">
        <v>19943</v>
      </c>
      <c r="V3024" t="s">
        <v>19944</v>
      </c>
    </row>
    <row r="3025">
      <c r="A3025" t="s">
        <v>22</v>
      </c>
      <c r="B3025" t="s">
        <v>19945</v>
      </c>
      <c r="C3025" t="s">
        <v>24</v>
      </c>
      <c r="D3025" t="s">
        <v>34</v>
      </c>
      <c r="E3025" t="s">
        <v>19946</v>
      </c>
      <c r="F3025" s="2" t="n">
        <f>HYPERLINK("https://patents.google.com/patent/US20160004827","Google")</f>
        <v>0.0</v>
      </c>
      <c r="G3025" s="2" t="n">
        <f>HYPERLINK("https://patentcenter.uspto.gov/applications/14768304","Patent Center")</f>
        <v>0.0</v>
      </c>
      <c r="H3025" s="2" t="n">
        <f>HYPERLINK("https://worldwide.espacenet.com/patent/search?q=US20160004827","Espacenet")</f>
        <v>0.0</v>
      </c>
      <c r="I3025" s="2" t="n">
        <f>HYPERLINK("https://ppubs.uspto.gov/pubwebapp/external.html?q=20160004827.pn.","USPTO")</f>
        <v>0.0</v>
      </c>
      <c r="J3025" s="2" t="n">
        <f>HYPERLINK("https://image-ppubs.uspto.gov/dirsearch-public/print/downloadPdf/20160004827","USPTO PDF")</f>
        <v>0.0</v>
      </c>
      <c r="K3025" s="2" t="n">
        <f>HYPERLINK("https://sectors.patentforecast.com/pmd/US20160004827","PMD")</f>
        <v>0.0</v>
      </c>
      <c r="L3025" s="2" t="n">
        <f>HYPERLINK("https://globaldossier.uspto.gov/result/application/US/14768304/1","US20160004827")</f>
        <v>0.0</v>
      </c>
      <c r="M3025" t="s">
        <v>19947</v>
      </c>
      <c r="N3025" t="s">
        <v>19948</v>
      </c>
      <c r="O3025" t="s">
        <v>19948</v>
      </c>
      <c r="P3025" t="s">
        <v>18182</v>
      </c>
      <c r="Q3025" s="3" t="n">
        <v>41712.0</v>
      </c>
      <c r="R3025" s="3" t="n">
        <v>42376.0</v>
      </c>
      <c r="S3025" s="3" t="n">
        <v>43266.45736630787</v>
      </c>
      <c r="T3025" s="3" t="n">
        <v>43903.484632291664</v>
      </c>
      <c r="U3025" t="s">
        <v>19949</v>
      </c>
      <c r="V3025" t="s">
        <v>19950</v>
      </c>
    </row>
    <row r="3026">
      <c r="A3026" t="s">
        <v>22</v>
      </c>
      <c r="B3026" t="s">
        <v>19951</v>
      </c>
      <c r="C3026" t="s">
        <v>132</v>
      </c>
      <c r="D3026" t="s">
        <v>1265</v>
      </c>
      <c r="E3026" t="s">
        <v>19952</v>
      </c>
      <c r="F3026" s="2" t="n">
        <f>HYPERLINK("https://patents.google.com/patent/US20160000902","Google")</f>
        <v>0.0</v>
      </c>
      <c r="G3026" s="2" t="n">
        <f>HYPERLINK("https://patentcenter.uspto.gov/applications/14767247","Patent Center")</f>
        <v>0.0</v>
      </c>
      <c r="H3026" s="2" t="n">
        <f>HYPERLINK("https://worldwide.espacenet.com/patent/search?q=US20160000902","Espacenet")</f>
        <v>0.0</v>
      </c>
      <c r="I3026" s="2" t="n">
        <f>HYPERLINK("https://ppubs.uspto.gov/pubwebapp/external.html?q=20160000902.pn.","USPTO")</f>
        <v>0.0</v>
      </c>
      <c r="J3026" s="2" t="n">
        <f>HYPERLINK("https://image-ppubs.uspto.gov/dirsearch-public/print/downloadPdf/20160000902","USPTO PDF")</f>
        <v>0.0</v>
      </c>
      <c r="K3026" s="2" t="n">
        <f>HYPERLINK("https://sectors.patentforecast.com/pmd/US20160000902","PMD")</f>
        <v>0.0</v>
      </c>
      <c r="L3026" s="2" t="n">
        <f>HYPERLINK("https://globaldossier.uspto.gov/result/application/US/14767247/1","US20160000902")</f>
        <v>0.0</v>
      </c>
      <c r="M3026" t="s">
        <v>19953</v>
      </c>
      <c r="N3026" t="s">
        <v>1275</v>
      </c>
      <c r="O3026" t="s">
        <v>1275</v>
      </c>
      <c r="P3026" t="s">
        <v>19954</v>
      </c>
      <c r="Q3026" s="3" t="n">
        <v>41681.0</v>
      </c>
      <c r="R3026" s="3" t="n">
        <v>42376.0</v>
      </c>
      <c r="S3026" s="3" t="n">
        <v>43966.47961030093</v>
      </c>
      <c r="T3026" s="3" t="n">
        <v>44020.617168993056</v>
      </c>
      <c r="U3026" t="s">
        <v>19955</v>
      </c>
      <c r="V3026" t="s">
        <v>19956</v>
      </c>
    </row>
    <row r="3027">
      <c r="A3027" t="s">
        <v>22</v>
      </c>
      <c r="B3027" t="s">
        <v>19957</v>
      </c>
      <c r="C3027" t="s">
        <v>60</v>
      </c>
      <c r="D3027" t="s">
        <v>4942</v>
      </c>
      <c r="E3027" t="s">
        <v>19958</v>
      </c>
      <c r="F3027" s="2" t="n">
        <f>HYPERLINK("https://patents.google.com/patent/US20160000754","Google")</f>
        <v>0.0</v>
      </c>
      <c r="G3027" s="2" t="n">
        <f>HYPERLINK("https://patentcenter.uspto.gov/applications/14853932","Patent Center")</f>
        <v>0.0</v>
      </c>
      <c r="H3027" s="2" t="n">
        <f>HYPERLINK("https://worldwide.espacenet.com/patent/search?q=US20160000754","Espacenet")</f>
        <v>0.0</v>
      </c>
      <c r="I3027" s="2" t="n">
        <f>HYPERLINK("https://ppubs.uspto.gov/pubwebapp/external.html?q=20160000754.pn.","USPTO")</f>
        <v>0.0</v>
      </c>
      <c r="J3027" s="2" t="n">
        <f>HYPERLINK("https://image-ppubs.uspto.gov/dirsearch-public/print/downloadPdf/20160000754","USPTO PDF")</f>
        <v>0.0</v>
      </c>
      <c r="K3027" s="2" t="n">
        <f>HYPERLINK("https://sectors.patentforecast.com/pmd/US20160000754","PMD")</f>
        <v>0.0</v>
      </c>
      <c r="L3027" s="2" t="n">
        <f>HYPERLINK("https://globaldossier.uspto.gov/result/application/US/14853932/1","US20160000754")</f>
        <v>0.0</v>
      </c>
      <c r="M3027" t="s">
        <v>19959</v>
      </c>
      <c r="N3027" t="s">
        <v>12972</v>
      </c>
      <c r="O3027" t="s">
        <v>12973</v>
      </c>
      <c r="P3027" t="s">
        <v>18326</v>
      </c>
      <c r="Q3027" s="3" t="n">
        <v>42261.0</v>
      </c>
      <c r="R3027" s="3" t="n">
        <v>42376.0</v>
      </c>
      <c r="S3027" s="3" t="n">
        <v>43959.46224482639</v>
      </c>
      <c r="T3027" s="3" t="n">
        <v>43985.45298246528</v>
      </c>
      <c r="U3027" t="s">
        <v>19960</v>
      </c>
      <c r="V3027" t="s">
        <v>18328</v>
      </c>
    </row>
    <row r="3028">
      <c r="A3028" t="s">
        <v>22</v>
      </c>
      <c r="B3028" t="s">
        <v>19961</v>
      </c>
      <c r="C3028" t="s">
        <v>24</v>
      </c>
      <c r="D3028" t="s">
        <v>1450</v>
      </c>
      <c r="E3028" t="s">
        <v>19962</v>
      </c>
      <c r="F3028" s="2" t="n">
        <f>HYPERLINK("https://patents.google.com/patent/US20150379240","Google")</f>
        <v>0.0</v>
      </c>
      <c r="G3028" s="2" t="n">
        <f>HYPERLINK("https://patentcenter.uspto.gov/applications/14852179","Patent Center")</f>
        <v>0.0</v>
      </c>
      <c r="H3028" s="2" t="n">
        <f>HYPERLINK("https://worldwide.espacenet.com/patent/search?q=US20150379240","Espacenet")</f>
        <v>0.0</v>
      </c>
      <c r="I3028" s="2" t="n">
        <f>HYPERLINK("https://ppubs.uspto.gov/pubwebapp/external.html?q=20150379240.pn.","USPTO")</f>
        <v>0.0</v>
      </c>
      <c r="J3028" s="2" t="n">
        <f>HYPERLINK("https://image-ppubs.uspto.gov/dirsearch-public/print/downloadPdf/20150379240","USPTO PDF")</f>
        <v>0.0</v>
      </c>
      <c r="K3028" s="2" t="n">
        <f>HYPERLINK("https://sectors.patentforecast.com/pmd/US20150379240","PMD")</f>
        <v>0.0</v>
      </c>
      <c r="L3028" s="2" t="n">
        <f>HYPERLINK("https://globaldossier.uspto.gov/result/application/US/14852179/1","US20150379240")</f>
        <v>0.0</v>
      </c>
      <c r="M3028" t="s">
        <v>19963</v>
      </c>
      <c r="N3028" t="s">
        <v>323</v>
      </c>
      <c r="O3028" t="s">
        <v>324</v>
      </c>
      <c r="P3028" t="s">
        <v>19964</v>
      </c>
      <c r="Q3028" s="3" t="n">
        <v>42258.0</v>
      </c>
      <c r="R3028" s="3" t="n">
        <v>42369.0</v>
      </c>
      <c r="S3028" s="3" t="n">
        <v>43266.45736630787</v>
      </c>
      <c r="T3028" s="3" t="n">
        <v>43903.484629375</v>
      </c>
      <c r="U3028" t="s">
        <v>19965</v>
      </c>
      <c r="V3028" t="s">
        <v>19966</v>
      </c>
    </row>
    <row r="3029">
      <c r="A3029" t="s">
        <v>22</v>
      </c>
      <c r="B3029" t="s">
        <v>19967</v>
      </c>
      <c r="C3029" t="s">
        <v>60</v>
      </c>
      <c r="D3029" t="s">
        <v>61</v>
      </c>
      <c r="E3029" t="s">
        <v>19968</v>
      </c>
      <c r="F3029" s="2" t="n">
        <f>HYPERLINK("https://patents.google.com/patent/US20150376622","Google")</f>
        <v>0.0</v>
      </c>
      <c r="G3029" s="2" t="n">
        <f>HYPERLINK("https://patentcenter.uspto.gov/applications/14768465","Patent Center")</f>
        <v>0.0</v>
      </c>
      <c r="H3029" s="2" t="n">
        <f>HYPERLINK("https://worldwide.espacenet.com/patent/search?q=US20150376622","Espacenet")</f>
        <v>0.0</v>
      </c>
      <c r="I3029" s="2" t="n">
        <f>HYPERLINK("https://ppubs.uspto.gov/pubwebapp/external.html?q=20150376622.pn.","USPTO")</f>
        <v>0.0</v>
      </c>
      <c r="J3029" s="2" t="n">
        <f>HYPERLINK("https://image-ppubs.uspto.gov/dirsearch-public/print/downloadPdf/20150376622","USPTO PDF")</f>
        <v>0.0</v>
      </c>
      <c r="K3029" s="2" t="n">
        <f>HYPERLINK("https://sectors.patentforecast.com/pmd/US20150376622","PMD")</f>
        <v>0.0</v>
      </c>
      <c r="L3029" s="2" t="n">
        <f>HYPERLINK("https://globaldossier.uspto.gov/result/application/US/14768465/1","US20150376622")</f>
        <v>0.0</v>
      </c>
      <c r="M3029" t="s">
        <v>19969</v>
      </c>
      <c r="N3029" t="s">
        <v>16349</v>
      </c>
      <c r="O3029" t="s">
        <v>16350</v>
      </c>
      <c r="P3029" t="s">
        <v>19970</v>
      </c>
      <c r="Q3029" s="3" t="n">
        <v>41709.0</v>
      </c>
      <c r="R3029" s="3" t="n">
        <v>42369.0</v>
      </c>
      <c r="S3029" s="3" t="n">
        <v>43900.43738943287</v>
      </c>
      <c r="T3029" s="3" t="n">
        <v>43906.37980549769</v>
      </c>
      <c r="U3029" t="s">
        <v>19971</v>
      </c>
      <c r="V3029" t="s">
        <v>16353</v>
      </c>
    </row>
    <row r="3030">
      <c r="A3030" t="s">
        <v>22</v>
      </c>
      <c r="B3030" t="s">
        <v>19972</v>
      </c>
      <c r="C3030" t="s">
        <v>132</v>
      </c>
      <c r="D3030" t="s">
        <v>1265</v>
      </c>
      <c r="E3030" t="s">
        <v>17398</v>
      </c>
      <c r="F3030" s="2" t="n">
        <f>HYPERLINK("https://patents.google.com/patent/US20150374813","Google")</f>
        <v>0.0</v>
      </c>
      <c r="G3030" s="2" t="n">
        <f>HYPERLINK("https://patentcenter.uspto.gov/applications/14733632","Patent Center")</f>
        <v>0.0</v>
      </c>
      <c r="H3030" s="2" t="n">
        <f>HYPERLINK("https://worldwide.espacenet.com/patent/search?q=US20150374813","Espacenet")</f>
        <v>0.0</v>
      </c>
      <c r="I3030" s="2" t="n">
        <f>HYPERLINK("https://ppubs.uspto.gov/pubwebapp/external.html?q=20150374813.pn.","USPTO")</f>
        <v>0.0</v>
      </c>
      <c r="J3030" s="2" t="n">
        <f>HYPERLINK("https://image-ppubs.uspto.gov/dirsearch-public/print/downloadPdf/20150374813","USPTO PDF")</f>
        <v>0.0</v>
      </c>
      <c r="K3030" s="2" t="n">
        <f>HYPERLINK("https://sectors.patentforecast.com/pmd/US20150374813","PMD")</f>
        <v>0.0</v>
      </c>
      <c r="L3030" s="2" t="n">
        <f>HYPERLINK("https://globaldossier.uspto.gov/result/application/US/14733632/1","US20150374813")</f>
        <v>0.0</v>
      </c>
      <c r="M3030" t="s">
        <v>19973</v>
      </c>
      <c r="N3030" t="s">
        <v>1275</v>
      </c>
      <c r="O3030" t="s">
        <v>1275</v>
      </c>
      <c r="P3030" t="s">
        <v>18571</v>
      </c>
      <c r="Q3030" s="3" t="n">
        <v>42163.0</v>
      </c>
      <c r="R3030" s="3" t="n">
        <v>42369.0</v>
      </c>
      <c r="S3030" s="3" t="n">
        <v>43900.43738943287</v>
      </c>
      <c r="T3030" s="3" t="n">
        <v>43903.48463245371</v>
      </c>
      <c r="U3030" t="s">
        <v>19974</v>
      </c>
      <c r="V3030" t="s">
        <v>17402</v>
      </c>
    </row>
    <row r="3031">
      <c r="A3031" t="s">
        <v>22</v>
      </c>
      <c r="B3031" t="s">
        <v>19975</v>
      </c>
      <c r="C3031" t="s">
        <v>24</v>
      </c>
      <c r="D3031" t="s">
        <v>25</v>
      </c>
      <c r="E3031" t="s">
        <v>17339</v>
      </c>
      <c r="F3031" s="2" t="n">
        <f>HYPERLINK("https://patents.google.com/patent/US20150371006","Google")</f>
        <v>0.0</v>
      </c>
      <c r="G3031" s="2" t="n">
        <f>HYPERLINK("https://patentcenter.uspto.gov/applications/14767820","Patent Center")</f>
        <v>0.0</v>
      </c>
      <c r="H3031" s="2" t="n">
        <f>HYPERLINK("https://worldwide.espacenet.com/patent/search?q=US20150371006","Espacenet")</f>
        <v>0.0</v>
      </c>
      <c r="I3031" s="2" t="n">
        <f>HYPERLINK("https://ppubs.uspto.gov/pubwebapp/external.html?q=20150371006.pn.","USPTO")</f>
        <v>0.0</v>
      </c>
      <c r="J3031" s="2" t="n">
        <f>HYPERLINK("https://image-ppubs.uspto.gov/dirsearch-public/print/downloadPdf/20150371006","USPTO PDF")</f>
        <v>0.0</v>
      </c>
      <c r="K3031" s="2" t="n">
        <f>HYPERLINK("https://sectors.patentforecast.com/pmd/US20150371006","PMD")</f>
        <v>0.0</v>
      </c>
      <c r="L3031" s="2" t="n">
        <f>HYPERLINK("https://globaldossier.uspto.gov/result/application/US/14767820/1","US20150371006")</f>
        <v>0.0</v>
      </c>
      <c r="M3031" t="s">
        <v>19976</v>
      </c>
      <c r="N3031" t="s">
        <v>979</v>
      </c>
      <c r="O3031" t="s">
        <v>980</v>
      </c>
      <c r="P3031" t="s">
        <v>17341</v>
      </c>
      <c r="Q3031" s="3" t="n">
        <v>41684.0</v>
      </c>
      <c r="R3031" s="3" t="n">
        <v>42362.0</v>
      </c>
      <c r="S3031" s="3" t="n">
        <v>43266.45736630787</v>
      </c>
      <c r="T3031" s="3" t="n">
        <v>43901.72156377315</v>
      </c>
      <c r="U3031" t="s">
        <v>19977</v>
      </c>
      <c r="V3031" t="s">
        <v>17343</v>
      </c>
    </row>
    <row r="3032">
      <c r="A3032" t="s">
        <v>22</v>
      </c>
      <c r="B3032" t="s">
        <v>19978</v>
      </c>
      <c r="C3032" t="s">
        <v>60</v>
      </c>
      <c r="D3032" t="s">
        <v>61</v>
      </c>
      <c r="E3032" t="s">
        <v>19172</v>
      </c>
      <c r="F3032" s="2" t="n">
        <f>HYPERLINK("https://patents.google.com/patent/US20150361132","Google")</f>
        <v>0.0</v>
      </c>
      <c r="G3032" s="2" t="n">
        <f>HYPERLINK("https://patentcenter.uspto.gov/applications/14719242","Patent Center")</f>
        <v>0.0</v>
      </c>
      <c r="H3032" s="2" t="n">
        <f>HYPERLINK("https://worldwide.espacenet.com/patent/search?q=US20150361132","Espacenet")</f>
        <v>0.0</v>
      </c>
      <c r="I3032" s="2" t="n">
        <f>HYPERLINK("https://ppubs.uspto.gov/pubwebapp/external.html?q=20150361132.pn.","USPTO")</f>
        <v>0.0</v>
      </c>
      <c r="J3032" s="2" t="n">
        <f>HYPERLINK("https://image-ppubs.uspto.gov/dirsearch-public/print/downloadPdf/20150361132","USPTO PDF")</f>
        <v>0.0</v>
      </c>
      <c r="K3032" s="2" t="n">
        <f>HYPERLINK("https://sectors.patentforecast.com/pmd/US20150361132","PMD")</f>
        <v>0.0</v>
      </c>
      <c r="L3032" s="2" t="n">
        <f>HYPERLINK("https://globaldossier.uspto.gov/result/application/US/14719242/1","US20150361132")</f>
        <v>0.0</v>
      </c>
      <c r="M3032" t="s">
        <v>19979</v>
      </c>
      <c r="N3032" t="s">
        <v>19174</v>
      </c>
      <c r="O3032" t="s">
        <v>19175</v>
      </c>
      <c r="P3032" t="s">
        <v>19589</v>
      </c>
      <c r="Q3032" s="3" t="n">
        <v>42145.0</v>
      </c>
      <c r="R3032" s="3" t="n">
        <v>42355.0</v>
      </c>
      <c r="S3032" s="3" t="n">
        <v>43952.45970642361</v>
      </c>
      <c r="T3032" s="3" t="n">
        <v>44638.65643378472</v>
      </c>
      <c r="U3032" t="s">
        <v>19980</v>
      </c>
      <c r="V3032" t="s">
        <v>19183</v>
      </c>
    </row>
    <row r="3033">
      <c r="A3033" t="s">
        <v>22</v>
      </c>
      <c r="B3033" t="s">
        <v>19981</v>
      </c>
      <c r="C3033" t="s">
        <v>60</v>
      </c>
      <c r="D3033" t="s">
        <v>61</v>
      </c>
      <c r="E3033" t="s">
        <v>16903</v>
      </c>
      <c r="F3033" s="2" t="n">
        <f>HYPERLINK("https://patents.google.com/patent/US20150361087","Google")</f>
        <v>0.0</v>
      </c>
      <c r="G3033" s="2" t="n">
        <f>HYPERLINK("https://patentcenter.uspto.gov/applications/14734264","Patent Center")</f>
        <v>0.0</v>
      </c>
      <c r="H3033" s="2" t="n">
        <f>HYPERLINK("https://worldwide.espacenet.com/patent/search?q=US20150361087","Espacenet")</f>
        <v>0.0</v>
      </c>
      <c r="I3033" s="2" t="n">
        <f>HYPERLINK("https://ppubs.uspto.gov/pubwebapp/external.html?q=20150361087.pn.","USPTO")</f>
        <v>0.0</v>
      </c>
      <c r="J3033" s="2" t="n">
        <f>HYPERLINK("https://image-ppubs.uspto.gov/dirsearch-public/print/downloadPdf/20150361087","USPTO PDF")</f>
        <v>0.0</v>
      </c>
      <c r="K3033" s="2" t="n">
        <f>HYPERLINK("https://sectors.patentforecast.com/pmd/US20150361087","PMD")</f>
        <v>0.0</v>
      </c>
      <c r="L3033" s="2" t="n">
        <f>HYPERLINK("https://globaldossier.uspto.gov/result/application/US/14734264/1","US20150361087")</f>
        <v>0.0</v>
      </c>
      <c r="M3033" t="s">
        <v>19982</v>
      </c>
      <c r="N3033" t="s">
        <v>664</v>
      </c>
      <c r="O3033" t="s">
        <v>665</v>
      </c>
      <c r="P3033" t="s">
        <v>19983</v>
      </c>
      <c r="Q3033" s="3" t="n">
        <v>42164.0</v>
      </c>
      <c r="R3033" s="3" t="n">
        <v>42355.0</v>
      </c>
      <c r="S3033" s="3" t="n">
        <v>43952.45970642361</v>
      </c>
      <c r="T3033" s="3" t="n">
        <v>44638.65271974537</v>
      </c>
      <c r="U3033" t="s">
        <v>19984</v>
      </c>
      <c r="V3033" t="s">
        <v>17072</v>
      </c>
    </row>
    <row r="3034">
      <c r="A3034" t="s">
        <v>22</v>
      </c>
      <c r="B3034" t="s">
        <v>19985</v>
      </c>
      <c r="C3034" t="s">
        <v>60</v>
      </c>
      <c r="D3034" t="s">
        <v>61</v>
      </c>
      <c r="E3034" t="s">
        <v>17494</v>
      </c>
      <c r="F3034" s="2" t="n">
        <f>HYPERLINK("https://patents.google.com/patent/US20150361085","Google")</f>
        <v>0.0</v>
      </c>
      <c r="G3034" s="2" t="n">
        <f>HYPERLINK("https://patentcenter.uspto.gov/applications/14733101","Patent Center")</f>
        <v>0.0</v>
      </c>
      <c r="H3034" s="2" t="n">
        <f>HYPERLINK("https://worldwide.espacenet.com/patent/search?q=US20150361085","Espacenet")</f>
        <v>0.0</v>
      </c>
      <c r="I3034" s="2" t="n">
        <f>HYPERLINK("https://ppubs.uspto.gov/pubwebapp/external.html?q=20150361085.pn.","USPTO")</f>
        <v>0.0</v>
      </c>
      <c r="J3034" s="2" t="n">
        <f>HYPERLINK("https://image-ppubs.uspto.gov/dirsearch-public/print/downloadPdf/20150361085","USPTO PDF")</f>
        <v>0.0</v>
      </c>
      <c r="K3034" s="2" t="n">
        <f>HYPERLINK("https://sectors.patentforecast.com/pmd/US20150361085","PMD")</f>
        <v>0.0</v>
      </c>
      <c r="L3034" s="2" t="n">
        <f>HYPERLINK("https://globaldossier.uspto.gov/result/application/US/14733101/1","US20150361085")</f>
        <v>0.0</v>
      </c>
      <c r="M3034" t="s">
        <v>19986</v>
      </c>
      <c r="N3034" t="s">
        <v>664</v>
      </c>
      <c r="O3034" t="s">
        <v>665</v>
      </c>
      <c r="P3034" t="s">
        <v>19987</v>
      </c>
      <c r="Q3034" s="3" t="n">
        <v>42163.0</v>
      </c>
      <c r="R3034" s="3" t="n">
        <v>42355.0</v>
      </c>
      <c r="S3034" s="3" t="n">
        <v>43952.45970642361</v>
      </c>
      <c r="T3034" s="3" t="n">
        <v>44638.65271974537</v>
      </c>
      <c r="U3034" t="s">
        <v>19988</v>
      </c>
      <c r="V3034" t="s">
        <v>19080</v>
      </c>
    </row>
    <row r="3035">
      <c r="A3035" t="s">
        <v>22</v>
      </c>
      <c r="B3035" t="s">
        <v>19989</v>
      </c>
      <c r="C3035" t="s">
        <v>60</v>
      </c>
      <c r="D3035" t="s">
        <v>61</v>
      </c>
      <c r="E3035" t="s">
        <v>17514</v>
      </c>
      <c r="F3035" s="2" t="n">
        <f>HYPERLINK("https://patents.google.com/patent/US20150361073","Google")</f>
        <v>0.0</v>
      </c>
      <c r="G3035" s="2" t="n">
        <f>HYPERLINK("https://patentcenter.uspto.gov/applications/14733139","Patent Center")</f>
        <v>0.0</v>
      </c>
      <c r="H3035" s="2" t="n">
        <f>HYPERLINK("https://worldwide.espacenet.com/patent/search?q=US20150361073","Espacenet")</f>
        <v>0.0</v>
      </c>
      <c r="I3035" s="2" t="n">
        <f>HYPERLINK("https://ppubs.uspto.gov/pubwebapp/external.html?q=20150361073.pn.","USPTO")</f>
        <v>0.0</v>
      </c>
      <c r="J3035" s="2" t="n">
        <f>HYPERLINK("https://image-ppubs.uspto.gov/dirsearch-public/print/downloadPdf/20150361073","USPTO PDF")</f>
        <v>0.0</v>
      </c>
      <c r="K3035" s="2" t="n">
        <f>HYPERLINK("https://sectors.patentforecast.com/pmd/US20150361073","PMD")</f>
        <v>0.0</v>
      </c>
      <c r="L3035" s="2" t="n">
        <f>HYPERLINK("https://globaldossier.uspto.gov/result/application/US/14733139/1","US20150361073")</f>
        <v>0.0</v>
      </c>
      <c r="M3035" t="s">
        <v>19990</v>
      </c>
      <c r="N3035" t="s">
        <v>664</v>
      </c>
      <c r="O3035" t="s">
        <v>665</v>
      </c>
      <c r="P3035" t="s">
        <v>19991</v>
      </c>
      <c r="Q3035" s="3" t="n">
        <v>42163.0</v>
      </c>
      <c r="R3035" s="3" t="n">
        <v>42355.0</v>
      </c>
      <c r="S3035" s="3" t="n">
        <v>43950.647371782405</v>
      </c>
      <c r="T3035" s="3" t="n">
        <v>44638.65271974537</v>
      </c>
      <c r="U3035" t="s">
        <v>19992</v>
      </c>
      <c r="V3035" t="s">
        <v>17518</v>
      </c>
    </row>
    <row r="3036">
      <c r="A3036" t="s">
        <v>22</v>
      </c>
      <c r="B3036" t="s">
        <v>19993</v>
      </c>
      <c r="C3036" t="s">
        <v>132</v>
      </c>
      <c r="D3036" t="s">
        <v>2629</v>
      </c>
      <c r="E3036" t="s">
        <v>17132</v>
      </c>
      <c r="F3036" s="2" t="n">
        <f>HYPERLINK("https://patents.google.com/patent/US20150359872","Google")</f>
        <v>0.0</v>
      </c>
      <c r="G3036" s="2" t="n">
        <f>HYPERLINK("https://patentcenter.uspto.gov/applications/14839247","Patent Center")</f>
        <v>0.0</v>
      </c>
      <c r="H3036" s="2" t="n">
        <f>HYPERLINK("https://worldwide.espacenet.com/patent/search?q=US20150359872","Espacenet")</f>
        <v>0.0</v>
      </c>
      <c r="I3036" s="2" t="n">
        <f>HYPERLINK("https://ppubs.uspto.gov/pubwebapp/external.html?q=20150359872.pn.","USPTO")</f>
        <v>0.0</v>
      </c>
      <c r="J3036" s="2" t="n">
        <f>HYPERLINK("https://image-ppubs.uspto.gov/dirsearch-public/print/downloadPdf/20150359872","USPTO PDF")</f>
        <v>0.0</v>
      </c>
      <c r="K3036" s="2" t="n">
        <f>HYPERLINK("https://sectors.patentforecast.com/pmd/US20150359872","PMD")</f>
        <v>0.0</v>
      </c>
      <c r="L3036" s="2" t="n">
        <f>HYPERLINK("https://globaldossier.uspto.gov/result/application/US/14839247/1","US20150359872")</f>
        <v>0.0</v>
      </c>
      <c r="M3036" t="s">
        <v>19994</v>
      </c>
      <c r="N3036" t="s">
        <v>1275</v>
      </c>
      <c r="O3036" t="s">
        <v>1275</v>
      </c>
      <c r="P3036" t="s">
        <v>19995</v>
      </c>
      <c r="Q3036" s="3" t="n">
        <v>42244.0</v>
      </c>
      <c r="R3036" s="3" t="n">
        <v>42355.0</v>
      </c>
      <c r="S3036" s="3" t="n">
        <v>43966.47961030093</v>
      </c>
      <c r="T3036" s="3" t="n">
        <v>44020.62389086805</v>
      </c>
      <c r="U3036" t="s">
        <v>19996</v>
      </c>
      <c r="V3036" t="s">
        <v>17136</v>
      </c>
    </row>
    <row r="3037">
      <c r="A3037" t="s">
        <v>22</v>
      </c>
      <c r="B3037" t="s">
        <v>19997</v>
      </c>
      <c r="C3037" t="s">
        <v>60</v>
      </c>
      <c r="D3037" t="s">
        <v>61</v>
      </c>
      <c r="E3037" t="s">
        <v>16903</v>
      </c>
      <c r="F3037" s="2" t="n">
        <f>HYPERLINK("https://patents.google.com/patent/US20150353529","Google")</f>
        <v>0.0</v>
      </c>
      <c r="G3037" s="2" t="n">
        <f>HYPERLINK("https://patentcenter.uspto.gov/applications/14814392","Patent Center")</f>
        <v>0.0</v>
      </c>
      <c r="H3037" s="2" t="n">
        <f>HYPERLINK("https://worldwide.espacenet.com/patent/search?q=US20150353529","Espacenet")</f>
        <v>0.0</v>
      </c>
      <c r="I3037" s="2" t="n">
        <f>HYPERLINK("https://ppubs.uspto.gov/pubwebapp/external.html?q=20150353529.pn.","USPTO")</f>
        <v>0.0</v>
      </c>
      <c r="J3037" s="2" t="n">
        <f>HYPERLINK("https://image-ppubs.uspto.gov/dirsearch-public/print/downloadPdf/20150353529","USPTO PDF")</f>
        <v>0.0</v>
      </c>
      <c r="K3037" s="2" t="n">
        <f>HYPERLINK("https://sectors.patentforecast.com/pmd/US20150353529","PMD")</f>
        <v>0.0</v>
      </c>
      <c r="L3037" s="2" t="n">
        <f>HYPERLINK("https://globaldossier.uspto.gov/result/application/US/14814392/1","US20150353529")</f>
        <v>0.0</v>
      </c>
      <c r="M3037" t="s">
        <v>19998</v>
      </c>
      <c r="N3037" t="s">
        <v>664</v>
      </c>
      <c r="O3037" t="s">
        <v>665</v>
      </c>
      <c r="P3037" t="s">
        <v>19999</v>
      </c>
      <c r="Q3037" s="3" t="n">
        <v>42215.0</v>
      </c>
      <c r="R3037" s="3" t="n">
        <v>42348.0</v>
      </c>
      <c r="S3037" s="3" t="n">
        <v>43952.45970642361</v>
      </c>
      <c r="T3037" s="3" t="n">
        <v>44638.65271974537</v>
      </c>
      <c r="U3037" t="s">
        <v>20000</v>
      </c>
      <c r="V3037" t="s">
        <v>16907</v>
      </c>
    </row>
    <row r="3038">
      <c r="A3038" t="s">
        <v>22</v>
      </c>
      <c r="B3038" t="s">
        <v>20001</v>
      </c>
      <c r="C3038" t="s">
        <v>60</v>
      </c>
      <c r="D3038" t="s">
        <v>696</v>
      </c>
      <c r="E3038" t="s">
        <v>17697</v>
      </c>
      <c r="F3038" s="2" t="n">
        <f>HYPERLINK("https://patents.google.com/patent/US20150352205","Google")</f>
        <v>0.0</v>
      </c>
      <c r="G3038" s="2" t="n">
        <f>HYPERLINK("https://patentcenter.uspto.gov/applications/14679767","Patent Center")</f>
        <v>0.0</v>
      </c>
      <c r="H3038" s="2" t="n">
        <f>HYPERLINK("https://worldwide.espacenet.com/patent/search?q=US20150352205","Espacenet")</f>
        <v>0.0</v>
      </c>
      <c r="I3038" s="2" t="n">
        <f>HYPERLINK("https://ppubs.uspto.gov/pubwebapp/external.html?q=20150352205.pn.","USPTO")</f>
        <v>0.0</v>
      </c>
      <c r="J3038" s="2" t="n">
        <f>HYPERLINK("https://image-ppubs.uspto.gov/dirsearch-public/print/downloadPdf/20150352205","USPTO PDF")</f>
        <v>0.0</v>
      </c>
      <c r="K3038" s="2" t="n">
        <f>HYPERLINK("https://sectors.patentforecast.com/pmd/US20150352205","PMD")</f>
        <v>0.0</v>
      </c>
      <c r="L3038" s="2" t="n">
        <f>HYPERLINK("https://globaldossier.uspto.gov/result/application/US/14679767/1","US20150352205")</f>
        <v>0.0</v>
      </c>
      <c r="M3038" t="s">
        <v>20002</v>
      </c>
      <c r="N3038" t="s">
        <v>16927</v>
      </c>
      <c r="O3038" t="s">
        <v>16928</v>
      </c>
      <c r="P3038" t="s">
        <v>16959</v>
      </c>
      <c r="Q3038" s="3" t="n">
        <v>42100.0</v>
      </c>
      <c r="R3038" s="3" t="n">
        <v>42348.0</v>
      </c>
      <c r="S3038" s="3" t="n">
        <v>43966.47961030093</v>
      </c>
      <c r="T3038" s="3" t="n">
        <v>44643.44490069444</v>
      </c>
      <c r="U3038" t="s">
        <v>20003</v>
      </c>
      <c r="V3038" t="s">
        <v>17701</v>
      </c>
    </row>
    <row r="3039">
      <c r="A3039" t="s">
        <v>22</v>
      </c>
      <c r="B3039" t="s">
        <v>20004</v>
      </c>
      <c r="C3039" t="s">
        <v>24</v>
      </c>
      <c r="D3039" t="s">
        <v>25</v>
      </c>
      <c r="E3039" t="s">
        <v>20005</v>
      </c>
      <c r="F3039" s="2" t="n">
        <f>HYPERLINK("https://patents.google.com/patent/US20150350040","Google")</f>
        <v>0.0</v>
      </c>
      <c r="G3039" s="2" t="n">
        <f>HYPERLINK("https://patentcenter.uspto.gov/applications/14720962","Patent Center")</f>
        <v>0.0</v>
      </c>
      <c r="H3039" s="2" t="n">
        <f>HYPERLINK("https://worldwide.espacenet.com/patent/search?q=US20150350040","Espacenet")</f>
        <v>0.0</v>
      </c>
      <c r="I3039" s="2" t="n">
        <f>HYPERLINK("https://ppubs.uspto.gov/pubwebapp/external.html?q=20150350040.pn.","USPTO")</f>
        <v>0.0</v>
      </c>
      <c r="J3039" s="2" t="n">
        <f>HYPERLINK("https://image-ppubs.uspto.gov/dirsearch-public/print/downloadPdf/20150350040","USPTO PDF")</f>
        <v>0.0</v>
      </c>
      <c r="K3039" s="2" t="n">
        <f>HYPERLINK("https://sectors.patentforecast.com/pmd/US20150350040","PMD")</f>
        <v>0.0</v>
      </c>
      <c r="L3039" s="2" t="n">
        <f>HYPERLINK("https://globaldossier.uspto.gov/result/application/US/14720962/1","US20150350040")</f>
        <v>0.0</v>
      </c>
      <c r="M3039" t="s">
        <v>20006</v>
      </c>
      <c r="N3039" t="s">
        <v>5775</v>
      </c>
      <c r="O3039" t="s">
        <v>5776</v>
      </c>
      <c r="P3039" t="s">
        <v>20007</v>
      </c>
      <c r="Q3039" s="3" t="n">
        <v>42149.0</v>
      </c>
      <c r="R3039" s="3" t="n">
        <v>42341.0</v>
      </c>
      <c r="S3039" s="3" t="n">
        <v>43266.45736630787</v>
      </c>
      <c r="T3039" s="3" t="n">
        <v>43901.721565162035</v>
      </c>
      <c r="U3039" t="s">
        <v>20008</v>
      </c>
      <c r="V3039" t="s">
        <v>20009</v>
      </c>
    </row>
    <row r="3040">
      <c r="A3040" t="s">
        <v>22</v>
      </c>
      <c r="B3040" t="s">
        <v>20010</v>
      </c>
      <c r="C3040" t="s">
        <v>24</v>
      </c>
      <c r="D3040" t="s">
        <v>204</v>
      </c>
      <c r="E3040" t="s">
        <v>20011</v>
      </c>
      <c r="F3040" s="2" t="n">
        <f>HYPERLINK("https://patents.google.com/patent/US20150348075","Google")</f>
        <v>0.0</v>
      </c>
      <c r="G3040" s="2" t="n">
        <f>HYPERLINK("https://patentcenter.uspto.gov/applications/14292520","Patent Center")</f>
        <v>0.0</v>
      </c>
      <c r="H3040" s="2" t="n">
        <f>HYPERLINK("https://worldwide.espacenet.com/patent/search?q=US20150348075","Espacenet")</f>
        <v>0.0</v>
      </c>
      <c r="I3040" s="2" t="n">
        <f>HYPERLINK("https://ppubs.uspto.gov/pubwebapp/external.html?q=20150348075.pn.","USPTO")</f>
        <v>0.0</v>
      </c>
      <c r="J3040" s="2" t="n">
        <f>HYPERLINK("https://image-ppubs.uspto.gov/dirsearch-public/print/downloadPdf/20150348075","USPTO PDF")</f>
        <v>0.0</v>
      </c>
      <c r="K3040" s="2" t="n">
        <f>HYPERLINK("https://sectors.patentforecast.com/pmd/US20150348075","PMD")</f>
        <v>0.0</v>
      </c>
      <c r="L3040" s="2" t="n">
        <f>HYPERLINK("https://globaldossier.uspto.gov/result/application/US/14292520/1","US20150348075")</f>
        <v>0.0</v>
      </c>
      <c r="M3040" t="s">
        <v>20012</v>
      </c>
      <c r="N3040" t="s">
        <v>20013</v>
      </c>
      <c r="O3040" t="s">
        <v>20014</v>
      </c>
      <c r="P3040" t="s">
        <v>20015</v>
      </c>
      <c r="Q3040" s="3" t="n">
        <v>41789.0</v>
      </c>
      <c r="R3040" s="3" t="n">
        <v>42341.0</v>
      </c>
      <c r="S3040" s="3" t="n">
        <v>44019.22993729167</v>
      </c>
      <c r="T3040" s="3" t="n">
        <v>44019.66724178241</v>
      </c>
      <c r="U3040" t="s">
        <v>20016</v>
      </c>
      <c r="V3040" t="s">
        <v>20017</v>
      </c>
    </row>
    <row r="3041">
      <c r="A3041" t="s">
        <v>22</v>
      </c>
      <c r="B3041" t="s">
        <v>20018</v>
      </c>
      <c r="C3041" t="s">
        <v>60</v>
      </c>
      <c r="D3041" t="s">
        <v>61</v>
      </c>
      <c r="E3041" t="s">
        <v>19172</v>
      </c>
      <c r="F3041" s="2" t="n">
        <f>HYPERLINK("https://patents.google.com/patent/US20150344521","Google")</f>
        <v>0.0</v>
      </c>
      <c r="G3041" s="2" t="n">
        <f>HYPERLINK("https://patentcenter.uspto.gov/applications/14821458","Patent Center")</f>
        <v>0.0</v>
      </c>
      <c r="H3041" s="2" t="n">
        <f>HYPERLINK("https://worldwide.espacenet.com/patent/search?q=US20150344521","Espacenet")</f>
        <v>0.0</v>
      </c>
      <c r="I3041" s="2" t="n">
        <f>HYPERLINK("https://ppubs.uspto.gov/pubwebapp/external.html?q=20150344521.pn.","USPTO")</f>
        <v>0.0</v>
      </c>
      <c r="J3041" s="2" t="n">
        <f>HYPERLINK("https://image-ppubs.uspto.gov/dirsearch-public/print/downloadPdf/20150344521","USPTO PDF")</f>
        <v>0.0</v>
      </c>
      <c r="K3041" s="2" t="n">
        <f>HYPERLINK("https://sectors.patentforecast.com/pmd/US20150344521","PMD")</f>
        <v>0.0</v>
      </c>
      <c r="L3041" s="2" t="n">
        <f>HYPERLINK("https://globaldossier.uspto.gov/result/application/US/14821458/1","US20150344521")</f>
        <v>0.0</v>
      </c>
      <c r="M3041" t="s">
        <v>20019</v>
      </c>
      <c r="N3041" t="s">
        <v>19174</v>
      </c>
      <c r="O3041" t="s">
        <v>19175</v>
      </c>
      <c r="P3041" t="s">
        <v>20020</v>
      </c>
      <c r="Q3041" s="3" t="n">
        <v>42223.0</v>
      </c>
      <c r="R3041" s="3" t="n">
        <v>42341.0</v>
      </c>
      <c r="S3041" s="3" t="n">
        <v>43952.45970642361</v>
      </c>
      <c r="T3041" s="3" t="n">
        <v>44638.65643378472</v>
      </c>
      <c r="U3041" t="s">
        <v>20021</v>
      </c>
      <c r="V3041" t="s">
        <v>19183</v>
      </c>
    </row>
    <row r="3042">
      <c r="A3042" t="s">
        <v>22</v>
      </c>
      <c r="B3042" t="s">
        <v>20022</v>
      </c>
      <c r="C3042" t="s">
        <v>60</v>
      </c>
      <c r="D3042" t="s">
        <v>61</v>
      </c>
      <c r="E3042" t="s">
        <v>17494</v>
      </c>
      <c r="F3042" s="2" t="n">
        <f>HYPERLINK("https://patents.google.com/patent/US20150344488","Google")</f>
        <v>0.0</v>
      </c>
      <c r="G3042" s="2" t="n">
        <f>HYPERLINK("https://patentcenter.uspto.gov/applications/14825386","Patent Center")</f>
        <v>0.0</v>
      </c>
      <c r="H3042" s="2" t="n">
        <f>HYPERLINK("https://worldwide.espacenet.com/patent/search?q=US20150344488","Espacenet")</f>
        <v>0.0</v>
      </c>
      <c r="I3042" s="2" t="n">
        <f>HYPERLINK("https://ppubs.uspto.gov/pubwebapp/external.html?q=20150344488.pn.","USPTO")</f>
        <v>0.0</v>
      </c>
      <c r="J3042" s="2" t="n">
        <f>HYPERLINK("https://image-ppubs.uspto.gov/dirsearch-public/print/downloadPdf/20150344488","USPTO PDF")</f>
        <v>0.0</v>
      </c>
      <c r="K3042" s="2" t="n">
        <f>HYPERLINK("https://sectors.patentforecast.com/pmd/US20150344488","PMD")</f>
        <v>0.0</v>
      </c>
      <c r="L3042" s="2" t="n">
        <f>HYPERLINK("https://globaldossier.uspto.gov/result/application/US/14825386/1","US20150344488")</f>
        <v>0.0</v>
      </c>
      <c r="M3042" t="s">
        <v>20023</v>
      </c>
      <c r="N3042" t="s">
        <v>664</v>
      </c>
      <c r="O3042" t="s">
        <v>665</v>
      </c>
      <c r="P3042" t="s">
        <v>18925</v>
      </c>
      <c r="Q3042" s="3" t="n">
        <v>42229.0</v>
      </c>
      <c r="R3042" s="3" t="n">
        <v>42341.0</v>
      </c>
      <c r="S3042" s="3" t="n">
        <v>43952.45970642361</v>
      </c>
      <c r="T3042" s="3" t="n">
        <v>44638.65271974537</v>
      </c>
      <c r="U3042" t="s">
        <v>20024</v>
      </c>
      <c r="V3042" t="s">
        <v>20025</v>
      </c>
    </row>
    <row r="3043">
      <c r="A3043" t="s">
        <v>22</v>
      </c>
      <c r="B3043" t="s">
        <v>20026</v>
      </c>
      <c r="C3043" t="s">
        <v>60</v>
      </c>
      <c r="D3043" t="s">
        <v>61</v>
      </c>
      <c r="E3043" t="s">
        <v>18017</v>
      </c>
      <c r="F3043" s="2" t="n">
        <f>HYPERLINK("https://patents.google.com/patent/US20150342880","Google")</f>
        <v>0.0</v>
      </c>
      <c r="G3043" s="2" t="n">
        <f>HYPERLINK("https://patentcenter.uspto.gov/applications/14821687","Patent Center")</f>
        <v>0.0</v>
      </c>
      <c r="H3043" s="2" t="n">
        <f>HYPERLINK("https://worldwide.espacenet.com/patent/search?q=US20150342880","Espacenet")</f>
        <v>0.0</v>
      </c>
      <c r="I3043" s="2" t="n">
        <f>HYPERLINK("https://ppubs.uspto.gov/pubwebapp/external.html?q=20150342880.pn.","USPTO")</f>
        <v>0.0</v>
      </c>
      <c r="J3043" s="2" t="n">
        <f>HYPERLINK("https://image-ppubs.uspto.gov/dirsearch-public/print/downloadPdf/20150342880","USPTO PDF")</f>
        <v>0.0</v>
      </c>
      <c r="K3043" s="2" t="n">
        <f>HYPERLINK("https://sectors.patentforecast.com/pmd/US20150342880","PMD")</f>
        <v>0.0</v>
      </c>
      <c r="L3043" s="2" t="n">
        <f>HYPERLINK("https://globaldossier.uspto.gov/result/application/US/14821687/1","US20150342880")</f>
        <v>0.0</v>
      </c>
      <c r="M3043" t="s">
        <v>20027</v>
      </c>
      <c r="N3043" t="s">
        <v>18201</v>
      </c>
      <c r="O3043" t="s">
        <v>18202</v>
      </c>
      <c r="P3043" t="s">
        <v>18007</v>
      </c>
      <c r="Q3043" s="3" t="n">
        <v>42223.0</v>
      </c>
      <c r="R3043" s="3" t="n">
        <v>42341.0</v>
      </c>
      <c r="S3043" s="3" t="n">
        <v>43931.460584340275</v>
      </c>
      <c r="T3043" s="3" t="n">
        <v>44543.625171817126</v>
      </c>
      <c r="U3043" t="s">
        <v>18838</v>
      </c>
      <c r="V3043" t="s">
        <v>17852</v>
      </c>
    </row>
    <row r="3044">
      <c r="A3044" t="s">
        <v>22</v>
      </c>
      <c r="B3044" t="s">
        <v>20028</v>
      </c>
      <c r="C3044" t="s">
        <v>24</v>
      </c>
      <c r="D3044" t="s">
        <v>25</v>
      </c>
      <c r="E3044" t="s">
        <v>20029</v>
      </c>
      <c r="F3044" s="2" t="n">
        <f>HYPERLINK("https://patents.google.com/patent/US20150341439","Google")</f>
        <v>0.0</v>
      </c>
      <c r="G3044" s="2" t="n">
        <f>HYPERLINK("https://patentcenter.uspto.gov/applications/14816950","Patent Center")</f>
        <v>0.0</v>
      </c>
      <c r="H3044" s="2" t="n">
        <f>HYPERLINK("https://worldwide.espacenet.com/patent/search?q=US20150341439","Espacenet")</f>
        <v>0.0</v>
      </c>
      <c r="I3044" s="2" t="n">
        <f>HYPERLINK("https://ppubs.uspto.gov/pubwebapp/external.html?q=20150341439.pn.","USPTO")</f>
        <v>0.0</v>
      </c>
      <c r="J3044" s="2" t="n">
        <f>HYPERLINK("https://image-ppubs.uspto.gov/dirsearch-public/print/downloadPdf/20150341439","USPTO PDF")</f>
        <v>0.0</v>
      </c>
      <c r="K3044" s="2" t="n">
        <f>HYPERLINK("https://sectors.patentforecast.com/pmd/US20150341439","PMD")</f>
        <v>0.0</v>
      </c>
      <c r="L3044" s="2" t="n">
        <f>HYPERLINK("https://globaldossier.uspto.gov/result/application/US/14816950/1","US20150341439")</f>
        <v>0.0</v>
      </c>
      <c r="M3044" t="s">
        <v>20030</v>
      </c>
      <c r="N3044" t="s">
        <v>20031</v>
      </c>
      <c r="O3044" t="s">
        <v>20032</v>
      </c>
      <c r="P3044" t="s">
        <v>20033</v>
      </c>
      <c r="Q3044" s="3" t="n">
        <v>42219.0</v>
      </c>
      <c r="R3044" s="3" t="n">
        <v>42334.0</v>
      </c>
      <c r="S3044" s="3" t="n">
        <v>43266.45736630787</v>
      </c>
      <c r="T3044" s="3" t="n">
        <v>43950.59985519676</v>
      </c>
      <c r="U3044" t="s">
        <v>20034</v>
      </c>
      <c r="V3044" t="s">
        <v>20035</v>
      </c>
    </row>
    <row r="3045">
      <c r="A3045" t="s">
        <v>22</v>
      </c>
      <c r="B3045" t="s">
        <v>20036</v>
      </c>
      <c r="C3045" t="s">
        <v>24</v>
      </c>
      <c r="D3045" t="s">
        <v>69</v>
      </c>
      <c r="E3045" t="s">
        <v>20037</v>
      </c>
      <c r="F3045" s="2" t="n">
        <f>HYPERLINK("https://patents.google.com/patent/US20150339585","Google")</f>
        <v>0.0</v>
      </c>
      <c r="G3045" s="2" t="n">
        <f>HYPERLINK("https://patentcenter.uspto.gov/applications/14720784","Patent Center")</f>
        <v>0.0</v>
      </c>
      <c r="H3045" s="2" t="n">
        <f>HYPERLINK("https://worldwide.espacenet.com/patent/search?q=US20150339585","Espacenet")</f>
        <v>0.0</v>
      </c>
      <c r="I3045" s="2" t="n">
        <f>HYPERLINK("https://ppubs.uspto.gov/pubwebapp/external.html?q=20150339585.pn.","USPTO")</f>
        <v>0.0</v>
      </c>
      <c r="J3045" s="2" t="n">
        <f>HYPERLINK("https://image-ppubs.uspto.gov/dirsearch-public/print/downloadPdf/20150339585","USPTO PDF")</f>
        <v>0.0</v>
      </c>
      <c r="K3045" s="2" t="n">
        <f>HYPERLINK("https://sectors.patentforecast.com/pmd/US20150339585","PMD")</f>
        <v>0.0</v>
      </c>
      <c r="L3045" s="2" t="n">
        <f>HYPERLINK("https://globaldossier.uspto.gov/result/application/US/14720784/1","US20150339585")</f>
        <v>0.0</v>
      </c>
      <c r="M3045" t="s">
        <v>20038</v>
      </c>
      <c r="N3045" t="s">
        <v>20039</v>
      </c>
      <c r="O3045" t="s">
        <v>20039</v>
      </c>
      <c r="P3045" t="s">
        <v>20040</v>
      </c>
      <c r="Q3045" s="3" t="n">
        <v>42147.0</v>
      </c>
      <c r="R3045" s="3" t="n">
        <v>42334.0</v>
      </c>
      <c r="S3045" s="3" t="n">
        <v>43266.45736630787</v>
      </c>
      <c r="T3045" s="3" t="n">
        <v>43901.721565127315</v>
      </c>
      <c r="U3045" t="s">
        <v>20041</v>
      </c>
      <c r="V3045" t="s">
        <v>20042</v>
      </c>
    </row>
    <row r="3046">
      <c r="A3046" t="s">
        <v>22</v>
      </c>
      <c r="B3046" t="s">
        <v>20043</v>
      </c>
      <c r="C3046" t="s">
        <v>60</v>
      </c>
      <c r="D3046" t="s">
        <v>696</v>
      </c>
      <c r="E3046" t="s">
        <v>16925</v>
      </c>
      <c r="F3046" s="2" t="n">
        <f>HYPERLINK("https://patents.google.com/patent/US20150337036","Google")</f>
        <v>0.0</v>
      </c>
      <c r="G3046" s="2" t="n">
        <f>HYPERLINK("https://patentcenter.uspto.gov/applications/14725435","Patent Center")</f>
        <v>0.0</v>
      </c>
      <c r="H3046" s="2" t="n">
        <f>HYPERLINK("https://worldwide.espacenet.com/patent/search?q=US20150337036","Espacenet")</f>
        <v>0.0</v>
      </c>
      <c r="I3046" s="2" t="n">
        <f>HYPERLINK("https://ppubs.uspto.gov/pubwebapp/external.html?q=20150337036.pn.","USPTO")</f>
        <v>0.0</v>
      </c>
      <c r="J3046" s="2" t="n">
        <f>HYPERLINK("https://image-ppubs.uspto.gov/dirsearch-public/print/downloadPdf/20150337036","USPTO PDF")</f>
        <v>0.0</v>
      </c>
      <c r="K3046" s="2" t="n">
        <f>HYPERLINK("https://sectors.patentforecast.com/pmd/US20150337036","PMD")</f>
        <v>0.0</v>
      </c>
      <c r="L3046" s="2" t="n">
        <f>HYPERLINK("https://globaldossier.uspto.gov/result/application/US/14725435/1","US20150337036")</f>
        <v>0.0</v>
      </c>
      <c r="M3046" t="s">
        <v>20044</v>
      </c>
      <c r="N3046" t="s">
        <v>16927</v>
      </c>
      <c r="O3046" t="s">
        <v>16928</v>
      </c>
      <c r="P3046" t="s">
        <v>20045</v>
      </c>
      <c r="Q3046" s="3" t="n">
        <v>42153.0</v>
      </c>
      <c r="R3046" s="3" t="n">
        <v>42334.0</v>
      </c>
      <c r="S3046" s="3" t="n">
        <v>43931.460584340275</v>
      </c>
      <c r="T3046" s="3" t="n">
        <v>43950.54056642361</v>
      </c>
      <c r="U3046" t="s">
        <v>20046</v>
      </c>
      <c r="V3046" t="s">
        <v>20047</v>
      </c>
    </row>
    <row r="3047">
      <c r="A3047" t="s">
        <v>22</v>
      </c>
      <c r="B3047" t="s">
        <v>20048</v>
      </c>
      <c r="C3047" t="s">
        <v>60</v>
      </c>
      <c r="D3047" t="s">
        <v>77</v>
      </c>
      <c r="E3047" t="s">
        <v>17345</v>
      </c>
      <c r="F3047" s="2" t="n">
        <f>HYPERLINK("https://patents.google.com/patent/US20150337029","Google")</f>
        <v>0.0</v>
      </c>
      <c r="G3047" s="2" t="n">
        <f>HYPERLINK("https://patentcenter.uspto.gov/applications/14717760","Patent Center")</f>
        <v>0.0</v>
      </c>
      <c r="H3047" s="2" t="n">
        <f>HYPERLINK("https://worldwide.espacenet.com/patent/search?q=US20150337029","Espacenet")</f>
        <v>0.0</v>
      </c>
      <c r="I3047" s="2" t="n">
        <f>HYPERLINK("https://ppubs.uspto.gov/pubwebapp/external.html?q=20150337029.pn.","USPTO")</f>
        <v>0.0</v>
      </c>
      <c r="J3047" s="2" t="n">
        <f>HYPERLINK("https://image-ppubs.uspto.gov/dirsearch-public/print/downloadPdf/20150337029","USPTO PDF")</f>
        <v>0.0</v>
      </c>
      <c r="K3047" s="2" t="n">
        <f>HYPERLINK("https://sectors.patentforecast.com/pmd/US20150337029","PMD")</f>
        <v>0.0</v>
      </c>
      <c r="L3047" s="2" t="n">
        <f>HYPERLINK("https://globaldossier.uspto.gov/result/application/US/14717760/1","US20150337029")</f>
        <v>0.0</v>
      </c>
      <c r="M3047" t="s">
        <v>20049</v>
      </c>
      <c r="N3047" t="s">
        <v>4321</v>
      </c>
      <c r="O3047" t="s">
        <v>4322</v>
      </c>
      <c r="P3047" t="s">
        <v>18900</v>
      </c>
      <c r="Q3047" s="3" t="n">
        <v>42144.0</v>
      </c>
      <c r="R3047" s="3" t="n">
        <v>42334.0</v>
      </c>
      <c r="S3047" s="3" t="n">
        <v>43935.7041706713</v>
      </c>
      <c r="T3047" s="3" t="n">
        <v>43985.6379399537</v>
      </c>
      <c r="U3047" t="s">
        <v>20050</v>
      </c>
      <c r="V3047" t="s">
        <v>20051</v>
      </c>
    </row>
    <row r="3048">
      <c r="A3048" t="s">
        <v>22</v>
      </c>
      <c r="B3048" t="s">
        <v>20052</v>
      </c>
      <c r="C3048" t="s">
        <v>60</v>
      </c>
      <c r="D3048" t="s">
        <v>61</v>
      </c>
      <c r="E3048" t="s">
        <v>19230</v>
      </c>
      <c r="F3048" s="2" t="n">
        <f>HYPERLINK("https://patents.google.com/patent/US20150336920","Google")</f>
        <v>0.0</v>
      </c>
      <c r="G3048" s="2" t="n">
        <f>HYPERLINK("https://patentcenter.uspto.gov/applications/14651656","Patent Center")</f>
        <v>0.0</v>
      </c>
      <c r="H3048" s="2" t="n">
        <f>HYPERLINK("https://worldwide.espacenet.com/patent/search?q=US20150336920","Espacenet")</f>
        <v>0.0</v>
      </c>
      <c r="I3048" s="2" t="n">
        <f>HYPERLINK("https://ppubs.uspto.gov/pubwebapp/external.html?q=20150336920.pn.","USPTO")</f>
        <v>0.0</v>
      </c>
      <c r="J3048" s="2" t="n">
        <f>HYPERLINK("https://image-ppubs.uspto.gov/dirsearch-public/print/downloadPdf/20150336920","USPTO PDF")</f>
        <v>0.0</v>
      </c>
      <c r="K3048" s="2" t="n">
        <f>HYPERLINK("https://sectors.patentforecast.com/pmd/US20150336920","PMD")</f>
        <v>0.0</v>
      </c>
      <c r="L3048" s="2" t="n">
        <f>HYPERLINK("https://globaldossier.uspto.gov/result/application/US/14651656/1","US20150336920")</f>
        <v>0.0</v>
      </c>
      <c r="M3048" t="s">
        <v>20053</v>
      </c>
      <c r="N3048" t="s">
        <v>19232</v>
      </c>
      <c r="O3048" t="s">
        <v>19233</v>
      </c>
      <c r="P3048" t="s">
        <v>20054</v>
      </c>
      <c r="Q3048" s="3" t="n">
        <v>41624.0</v>
      </c>
      <c r="R3048" s="3" t="n">
        <v>42334.0</v>
      </c>
      <c r="S3048" s="3" t="n">
        <v>43900.43738943287</v>
      </c>
      <c r="T3048" s="3" t="n">
        <v>43903.48463232639</v>
      </c>
      <c r="U3048" t="s">
        <v>20055</v>
      </c>
      <c r="V3048" t="s">
        <v>19236</v>
      </c>
    </row>
    <row r="3049">
      <c r="A3049" t="s">
        <v>22</v>
      </c>
      <c r="B3049" t="s">
        <v>20056</v>
      </c>
      <c r="C3049" t="s">
        <v>132</v>
      </c>
      <c r="D3049" t="s">
        <v>133</v>
      </c>
      <c r="E3049" t="s">
        <v>18946</v>
      </c>
      <c r="F3049" s="2" t="n">
        <f>HYPERLINK("https://patents.google.com/patent/US20150335730","Google")</f>
        <v>0.0</v>
      </c>
      <c r="G3049" s="2" t="n">
        <f>HYPERLINK("https://patentcenter.uspto.gov/applications/14634162","Patent Center")</f>
        <v>0.0</v>
      </c>
      <c r="H3049" s="2" t="n">
        <f>HYPERLINK("https://worldwide.espacenet.com/patent/search?q=US20150335730","Espacenet")</f>
        <v>0.0</v>
      </c>
      <c r="I3049" s="2" t="n">
        <f>HYPERLINK("https://ppubs.uspto.gov/pubwebapp/external.html?q=20150335730.pn.","USPTO")</f>
        <v>0.0</v>
      </c>
      <c r="J3049" s="2" t="n">
        <f>HYPERLINK("https://image-ppubs.uspto.gov/dirsearch-public/print/downloadPdf/20150335730","USPTO PDF")</f>
        <v>0.0</v>
      </c>
      <c r="K3049" s="2" t="n">
        <f>HYPERLINK("https://sectors.patentforecast.com/pmd/US20150335730","PMD")</f>
        <v>0.0</v>
      </c>
      <c r="L3049" s="2" t="n">
        <f>HYPERLINK("https://globaldossier.uspto.gov/result/application/US/14634162/1","US20150335730")</f>
        <v>0.0</v>
      </c>
      <c r="M3049" t="s">
        <v>20057</v>
      </c>
      <c r="N3049" t="s">
        <v>1275</v>
      </c>
      <c r="O3049" t="s">
        <v>1275</v>
      </c>
      <c r="P3049" t="s">
        <v>18948</v>
      </c>
      <c r="Q3049" s="3" t="n">
        <v>42062.0</v>
      </c>
      <c r="R3049" s="3" t="n">
        <v>42334.0</v>
      </c>
      <c r="S3049" s="3" t="n">
        <v>43966.47961030093</v>
      </c>
      <c r="T3049" s="3" t="n">
        <v>44020.63337826389</v>
      </c>
      <c r="U3049" t="s">
        <v>20058</v>
      </c>
      <c r="V3049" t="s">
        <v>17136</v>
      </c>
    </row>
    <row r="3050">
      <c r="A3050" t="s">
        <v>22</v>
      </c>
      <c r="B3050" t="s">
        <v>20059</v>
      </c>
      <c r="C3050" t="s">
        <v>132</v>
      </c>
      <c r="D3050" t="s">
        <v>133</v>
      </c>
      <c r="E3050" t="s">
        <v>20060</v>
      </c>
      <c r="F3050" s="2" t="n">
        <f>HYPERLINK("https://patents.google.com/patent/US20150328307","Google")</f>
        <v>0.0</v>
      </c>
      <c r="G3050" s="2" t="n">
        <f>HYPERLINK("https://patentcenter.uspto.gov/applications/14716481","Patent Center")</f>
        <v>0.0</v>
      </c>
      <c r="H3050" s="2" t="n">
        <f>HYPERLINK("https://worldwide.espacenet.com/patent/search?q=US20150328307","Espacenet")</f>
        <v>0.0</v>
      </c>
      <c r="I3050" s="2" t="n">
        <f>HYPERLINK("https://ppubs.uspto.gov/pubwebapp/external.html?q=20150328307.pn.","USPTO")</f>
        <v>0.0</v>
      </c>
      <c r="J3050" s="2" t="n">
        <f>HYPERLINK("https://image-ppubs.uspto.gov/dirsearch-public/print/downloadPdf/20150328307","USPTO PDF")</f>
        <v>0.0</v>
      </c>
      <c r="K3050" s="2" t="n">
        <f>HYPERLINK("https://sectors.patentforecast.com/pmd/US20150328307","PMD")</f>
        <v>0.0</v>
      </c>
      <c r="L3050" s="2" t="n">
        <f>HYPERLINK("https://globaldossier.uspto.gov/result/application/US/14716481/1","US20150328307")</f>
        <v>0.0</v>
      </c>
      <c r="M3050" t="s">
        <v>20061</v>
      </c>
      <c r="N3050" t="s">
        <v>16179</v>
      </c>
      <c r="O3050" t="s">
        <v>16180</v>
      </c>
      <c r="P3050" t="s">
        <v>20062</v>
      </c>
      <c r="Q3050" s="3" t="n">
        <v>42143.0</v>
      </c>
      <c r="R3050" s="3" t="n">
        <v>42327.0</v>
      </c>
      <c r="S3050" s="3" t="n">
        <v>43900.43738943287</v>
      </c>
      <c r="T3050" s="3" t="n">
        <v>43903.4846322338</v>
      </c>
      <c r="U3050" t="s">
        <v>20063</v>
      </c>
      <c r="V3050" t="s">
        <v>20064</v>
      </c>
    </row>
    <row r="3051">
      <c r="A3051" t="s">
        <v>22</v>
      </c>
      <c r="B3051" t="s">
        <v>20065</v>
      </c>
      <c r="C3051" t="s">
        <v>24</v>
      </c>
      <c r="D3051" t="s">
        <v>25</v>
      </c>
      <c r="E3051" t="s">
        <v>20066</v>
      </c>
      <c r="F3051" s="2" t="n">
        <f>HYPERLINK("https://patents.google.com/patent/US20150327518","Google")</f>
        <v>0.0</v>
      </c>
      <c r="G3051" s="2" t="n">
        <f>HYPERLINK("https://patentcenter.uspto.gov/applications/14506402","Patent Center")</f>
        <v>0.0</v>
      </c>
      <c r="H3051" s="2" t="n">
        <f>HYPERLINK("https://worldwide.espacenet.com/patent/search?q=US20150327518","Espacenet")</f>
        <v>0.0</v>
      </c>
      <c r="I3051" s="2" t="n">
        <f>HYPERLINK("https://ppubs.uspto.gov/pubwebapp/external.html?q=20150327518.pn.","USPTO")</f>
        <v>0.0</v>
      </c>
      <c r="J3051" s="2" t="n">
        <f>HYPERLINK("https://image-ppubs.uspto.gov/dirsearch-public/print/downloadPdf/20150327518","USPTO PDF")</f>
        <v>0.0</v>
      </c>
      <c r="K3051" s="2" t="n">
        <f>HYPERLINK("https://sectors.patentforecast.com/pmd/US20150327518","PMD")</f>
        <v>0.0</v>
      </c>
      <c r="L3051" s="2" t="n">
        <f>HYPERLINK("https://globaldossier.uspto.gov/result/application/US/14506402/1","US20150327518")</f>
        <v>0.0</v>
      </c>
      <c r="M3051" t="s">
        <v>20067</v>
      </c>
      <c r="N3051" t="s">
        <v>20068</v>
      </c>
      <c r="O3051" t="s">
        <v>20069</v>
      </c>
      <c r="P3051" t="s">
        <v>20070</v>
      </c>
      <c r="Q3051" s="3" t="n">
        <v>41915.0</v>
      </c>
      <c r="R3051" s="3" t="n">
        <v>42327.0</v>
      </c>
      <c r="S3051" s="3" t="n">
        <v>43266.45736630787</v>
      </c>
      <c r="T3051" s="3" t="n">
        <v>43901.72156456018</v>
      </c>
      <c r="U3051" t="s">
        <v>20071</v>
      </c>
      <c r="V3051" t="s">
        <v>20072</v>
      </c>
    </row>
    <row r="3052">
      <c r="A3052" t="s">
        <v>22</v>
      </c>
      <c r="B3052" t="s">
        <v>20073</v>
      </c>
      <c r="C3052" t="s">
        <v>24</v>
      </c>
      <c r="D3052" t="s">
        <v>25</v>
      </c>
      <c r="E3052" t="s">
        <v>19873</v>
      </c>
      <c r="F3052" s="2" t="n">
        <f>HYPERLINK("https://patents.google.com/patent/US20150317445","Google")</f>
        <v>0.0</v>
      </c>
      <c r="G3052" s="2" t="n">
        <f>HYPERLINK("https://patentcenter.uspto.gov/applications/14648573","Patent Center")</f>
        <v>0.0</v>
      </c>
      <c r="H3052" s="2" t="n">
        <f>HYPERLINK("https://worldwide.espacenet.com/patent/search?q=US20150317445","Espacenet")</f>
        <v>0.0</v>
      </c>
      <c r="I3052" s="2" t="n">
        <f>HYPERLINK("https://ppubs.uspto.gov/pubwebapp/external.html?q=20150317445.pn.","USPTO")</f>
        <v>0.0</v>
      </c>
      <c r="J3052" s="2" t="n">
        <f>HYPERLINK("https://image-ppubs.uspto.gov/dirsearch-public/print/downloadPdf/20150317445","USPTO PDF")</f>
        <v>0.0</v>
      </c>
      <c r="K3052" s="2" t="n">
        <f>HYPERLINK("https://sectors.patentforecast.com/pmd/US20150317445","PMD")</f>
        <v>0.0</v>
      </c>
      <c r="L3052" s="2" t="n">
        <f>HYPERLINK("https://globaldossier.uspto.gov/result/application/US/14648573/1","US20150317445")</f>
        <v>0.0</v>
      </c>
      <c r="M3052" t="s">
        <v>20074</v>
      </c>
      <c r="N3052" t="s">
        <v>19875</v>
      </c>
      <c r="O3052" t="s">
        <v>19876</v>
      </c>
      <c r="P3052" t="s">
        <v>20075</v>
      </c>
      <c r="Q3052" s="3" t="n">
        <v>41608.0</v>
      </c>
      <c r="R3052" s="3" t="n">
        <v>42313.0</v>
      </c>
      <c r="S3052" s="3" t="n">
        <v>43266.45736694444</v>
      </c>
      <c r="T3052" s="3" t="n">
        <v>43901.721564328705</v>
      </c>
      <c r="U3052" t="s">
        <v>19921</v>
      </c>
      <c r="V3052" t="s">
        <v>19879</v>
      </c>
    </row>
    <row r="3053">
      <c r="A3053" t="s">
        <v>22</v>
      </c>
      <c r="B3053" t="s">
        <v>20076</v>
      </c>
      <c r="C3053" t="s">
        <v>132</v>
      </c>
      <c r="D3053" t="s">
        <v>133</v>
      </c>
      <c r="E3053" t="s">
        <v>18946</v>
      </c>
      <c r="F3053" s="2" t="n">
        <f>HYPERLINK("https://patents.google.com/patent/US20150306207","Google")</f>
        <v>0.0</v>
      </c>
      <c r="G3053" s="2" t="n">
        <f>HYPERLINK("https://patentcenter.uspto.gov/applications/14634171","Patent Center")</f>
        <v>0.0</v>
      </c>
      <c r="H3053" s="2" t="n">
        <f>HYPERLINK("https://worldwide.espacenet.com/patent/search?q=US20150306207","Espacenet")</f>
        <v>0.0</v>
      </c>
      <c r="I3053" s="2" t="n">
        <f>HYPERLINK("https://ppubs.uspto.gov/pubwebapp/external.html?q=20150306207.pn.","USPTO")</f>
        <v>0.0</v>
      </c>
      <c r="J3053" s="2" t="n">
        <f>HYPERLINK("https://image-ppubs.uspto.gov/dirsearch-public/print/downloadPdf/20150306207","USPTO PDF")</f>
        <v>0.0</v>
      </c>
      <c r="K3053" s="2" t="n">
        <f>HYPERLINK("https://sectors.patentforecast.com/pmd/US20150306207","PMD")</f>
        <v>0.0</v>
      </c>
      <c r="L3053" s="2" t="n">
        <f>HYPERLINK("https://globaldossier.uspto.gov/result/application/US/14634171/1","US20150306207")</f>
        <v>0.0</v>
      </c>
      <c r="M3053" t="s">
        <v>20077</v>
      </c>
      <c r="N3053" t="s">
        <v>1275</v>
      </c>
      <c r="O3053" t="s">
        <v>1275</v>
      </c>
      <c r="P3053" t="s">
        <v>18948</v>
      </c>
      <c r="Q3053" s="3" t="n">
        <v>42062.0</v>
      </c>
      <c r="R3053" s="3" t="n">
        <v>42306.0</v>
      </c>
      <c r="S3053" s="3" t="n">
        <v>43966.47961030093</v>
      </c>
      <c r="T3053" s="3" t="n">
        <v>44020.63337826389</v>
      </c>
      <c r="U3053" t="s">
        <v>20078</v>
      </c>
      <c r="V3053" t="s">
        <v>17136</v>
      </c>
    </row>
    <row r="3054">
      <c r="A3054" t="s">
        <v>22</v>
      </c>
      <c r="B3054" t="s">
        <v>20079</v>
      </c>
      <c r="C3054" t="s">
        <v>132</v>
      </c>
      <c r="D3054" t="s">
        <v>1265</v>
      </c>
      <c r="E3054" t="s">
        <v>17930</v>
      </c>
      <c r="F3054" s="2" t="n">
        <f>HYPERLINK("https://patents.google.com/patent/US20150306206","Google")</f>
        <v>0.0</v>
      </c>
      <c r="G3054" s="2" t="n">
        <f>HYPERLINK("https://patentcenter.uspto.gov/applications/14700577","Patent Center")</f>
        <v>0.0</v>
      </c>
      <c r="H3054" s="2" t="n">
        <f>HYPERLINK("https://worldwide.espacenet.com/patent/search?q=US20150306206","Espacenet")</f>
        <v>0.0</v>
      </c>
      <c r="I3054" s="2" t="n">
        <f>HYPERLINK("https://ppubs.uspto.gov/pubwebapp/external.html?q=20150306206.pn.","USPTO")</f>
        <v>0.0</v>
      </c>
      <c r="J3054" s="2" t="n">
        <f>HYPERLINK("https://image-ppubs.uspto.gov/dirsearch-public/print/downloadPdf/20150306206","USPTO PDF")</f>
        <v>0.0</v>
      </c>
      <c r="K3054" s="2" t="n">
        <f>HYPERLINK("https://sectors.patentforecast.com/pmd/US20150306206","PMD")</f>
        <v>0.0</v>
      </c>
      <c r="L3054" s="2" t="n">
        <f>HYPERLINK("https://globaldossier.uspto.gov/result/application/US/14700577/1","US20150306206")</f>
        <v>0.0</v>
      </c>
      <c r="M3054" t="s">
        <v>20080</v>
      </c>
      <c r="N3054" t="s">
        <v>1275</v>
      </c>
      <c r="O3054" t="s">
        <v>1275</v>
      </c>
      <c r="P3054" t="s">
        <v>19101</v>
      </c>
      <c r="Q3054" s="3" t="n">
        <v>42124.0</v>
      </c>
      <c r="R3054" s="3" t="n">
        <v>42306.0</v>
      </c>
      <c r="S3054" s="3" t="n">
        <v>44019.68541525463</v>
      </c>
      <c r="T3054" s="3" t="n">
        <v>44020.62078894676</v>
      </c>
      <c r="U3054" t="s">
        <v>20081</v>
      </c>
      <c r="V3054" t="s">
        <v>19103</v>
      </c>
    </row>
    <row r="3055">
      <c r="A3055" t="s">
        <v>22</v>
      </c>
      <c r="B3055" t="s">
        <v>20082</v>
      </c>
      <c r="C3055" t="s">
        <v>132</v>
      </c>
      <c r="D3055" t="s">
        <v>1265</v>
      </c>
      <c r="E3055" t="s">
        <v>20083</v>
      </c>
      <c r="F3055" s="2" t="n">
        <f>HYPERLINK("https://patents.google.com/patent/US20150306205","Google")</f>
        <v>0.0</v>
      </c>
      <c r="G3055" s="2" t="n">
        <f>HYPERLINK("https://patentcenter.uspto.gov/applications/14650809","Patent Center")</f>
        <v>0.0</v>
      </c>
      <c r="H3055" s="2" t="n">
        <f>HYPERLINK("https://worldwide.espacenet.com/patent/search?q=US20150306205","Espacenet")</f>
        <v>0.0</v>
      </c>
      <c r="I3055" s="2" t="n">
        <f>HYPERLINK("https://ppubs.uspto.gov/pubwebapp/external.html?q=20150306205.pn.","USPTO")</f>
        <v>0.0</v>
      </c>
      <c r="J3055" s="2" t="n">
        <f>HYPERLINK("https://image-ppubs.uspto.gov/dirsearch-public/print/downloadPdf/20150306205","USPTO PDF")</f>
        <v>0.0</v>
      </c>
      <c r="K3055" s="2" t="n">
        <f>HYPERLINK("https://sectors.patentforecast.com/pmd/US20150306205","PMD")</f>
        <v>0.0</v>
      </c>
      <c r="L3055" s="2" t="n">
        <f>HYPERLINK("https://globaldossier.uspto.gov/result/application/US/14650809/1","US20150306205")</f>
        <v>0.0</v>
      </c>
      <c r="M3055" t="s">
        <v>20084</v>
      </c>
      <c r="N3055" t="s">
        <v>20085</v>
      </c>
      <c r="O3055" t="s">
        <v>20086</v>
      </c>
      <c r="P3055" t="s">
        <v>20087</v>
      </c>
      <c r="Q3055" s="3" t="n">
        <v>41625.0</v>
      </c>
      <c r="R3055" s="3" t="n">
        <v>42306.0</v>
      </c>
      <c r="S3055" s="3" t="n">
        <v>43900.43738943287</v>
      </c>
      <c r="T3055" s="3" t="n">
        <v>43901.72156508102</v>
      </c>
      <c r="U3055" t="s">
        <v>20088</v>
      </c>
      <c r="V3055" t="s">
        <v>20089</v>
      </c>
    </row>
    <row r="3056">
      <c r="A3056" t="s">
        <v>22</v>
      </c>
      <c r="B3056" t="s">
        <v>20090</v>
      </c>
      <c r="C3056" t="s">
        <v>132</v>
      </c>
      <c r="D3056" t="s">
        <v>1265</v>
      </c>
      <c r="E3056" t="s">
        <v>20091</v>
      </c>
      <c r="F3056" s="2" t="n">
        <f>HYPERLINK("https://patents.google.com/patent/US20150306204","Google")</f>
        <v>0.0</v>
      </c>
      <c r="G3056" s="2" t="n">
        <f>HYPERLINK("https://patentcenter.uspto.gov/applications/14650807","Patent Center")</f>
        <v>0.0</v>
      </c>
      <c r="H3056" s="2" t="n">
        <f>HYPERLINK("https://worldwide.espacenet.com/patent/search?q=US20150306204","Espacenet")</f>
        <v>0.0</v>
      </c>
      <c r="I3056" s="2" t="n">
        <f>HYPERLINK("https://ppubs.uspto.gov/pubwebapp/external.html?q=20150306204.pn.","USPTO")</f>
        <v>0.0</v>
      </c>
      <c r="J3056" s="2" t="n">
        <f>HYPERLINK("https://image-ppubs.uspto.gov/dirsearch-public/print/downloadPdf/20150306204","USPTO PDF")</f>
        <v>0.0</v>
      </c>
      <c r="K3056" s="2" t="n">
        <f>HYPERLINK("https://sectors.patentforecast.com/pmd/US20150306204","PMD")</f>
        <v>0.0</v>
      </c>
      <c r="L3056" s="2" t="n">
        <f>HYPERLINK("https://globaldossier.uspto.gov/result/application/US/14650807/1","US20150306204")</f>
        <v>0.0</v>
      </c>
      <c r="M3056" t="s">
        <v>20092</v>
      </c>
      <c r="N3056" t="s">
        <v>20085</v>
      </c>
      <c r="O3056" t="s">
        <v>20086</v>
      </c>
      <c r="P3056" t="s">
        <v>20087</v>
      </c>
      <c r="Q3056" s="3" t="n">
        <v>41625.0</v>
      </c>
      <c r="R3056" s="3" t="n">
        <v>42306.0</v>
      </c>
      <c r="S3056" s="3" t="n">
        <v>43900.43738943287</v>
      </c>
      <c r="T3056" s="3" t="n">
        <v>43901.72156381945</v>
      </c>
      <c r="U3056" t="s">
        <v>20093</v>
      </c>
      <c r="V3056" t="s">
        <v>20094</v>
      </c>
    </row>
    <row r="3057">
      <c r="A3057" t="s">
        <v>22</v>
      </c>
      <c r="B3057" t="s">
        <v>20095</v>
      </c>
      <c r="C3057" t="s">
        <v>24</v>
      </c>
      <c r="D3057" t="s">
        <v>25</v>
      </c>
      <c r="E3057" t="s">
        <v>19209</v>
      </c>
      <c r="F3057" s="2" t="n">
        <f>HYPERLINK("https://patents.google.com/patent/US20150299777","Google")</f>
        <v>0.0</v>
      </c>
      <c r="G3057" s="2" t="n">
        <f>HYPERLINK("https://patentcenter.uspto.gov/applications/14604194","Patent Center")</f>
        <v>0.0</v>
      </c>
      <c r="H3057" s="2" t="n">
        <f>HYPERLINK("https://worldwide.espacenet.com/patent/search?q=US20150299777","Espacenet")</f>
        <v>0.0</v>
      </c>
      <c r="I3057" s="2" t="n">
        <f>HYPERLINK("https://ppubs.uspto.gov/pubwebapp/external.html?q=20150299777.pn.","USPTO")</f>
        <v>0.0</v>
      </c>
      <c r="J3057" s="2" t="n">
        <f>HYPERLINK("https://image-ppubs.uspto.gov/dirsearch-public/print/downloadPdf/20150299777","USPTO PDF")</f>
        <v>0.0</v>
      </c>
      <c r="K3057" s="2" t="n">
        <f>HYPERLINK("https://sectors.patentforecast.com/pmd/US20150299777","PMD")</f>
        <v>0.0</v>
      </c>
      <c r="L3057" s="2" t="n">
        <f>HYPERLINK("https://globaldossier.uspto.gov/result/application/US/14604194/1","US20150299777")</f>
        <v>0.0</v>
      </c>
      <c r="M3057" t="s">
        <v>20096</v>
      </c>
      <c r="N3057" t="s">
        <v>3621</v>
      </c>
      <c r="O3057" t="s">
        <v>3622</v>
      </c>
      <c r="P3057" t="s">
        <v>20097</v>
      </c>
      <c r="Q3057" s="3" t="n">
        <v>42027.0</v>
      </c>
      <c r="R3057" s="3" t="n">
        <v>42299.0</v>
      </c>
      <c r="S3057" s="3" t="n">
        <v>43906.372892025465</v>
      </c>
      <c r="T3057" s="3" t="n">
        <v>43958.41062627315</v>
      </c>
      <c r="U3057" t="s">
        <v>19554</v>
      </c>
      <c r="V3057" t="s">
        <v>19555</v>
      </c>
    </row>
    <row r="3058">
      <c r="A3058" t="s">
        <v>22</v>
      </c>
      <c r="B3058" t="s">
        <v>20098</v>
      </c>
      <c r="C3058" t="s">
        <v>60</v>
      </c>
      <c r="D3058" t="s">
        <v>61</v>
      </c>
      <c r="E3058" t="s">
        <v>16903</v>
      </c>
      <c r="F3058" s="2" t="n">
        <f>HYPERLINK("https://patents.google.com/patent/US20150299213","Google")</f>
        <v>0.0</v>
      </c>
      <c r="G3058" s="2" t="n">
        <f>HYPERLINK("https://patentcenter.uspto.gov/applications/14696233","Patent Center")</f>
        <v>0.0</v>
      </c>
      <c r="H3058" s="2" t="n">
        <f>HYPERLINK("https://worldwide.espacenet.com/patent/search?q=US20150299213","Espacenet")</f>
        <v>0.0</v>
      </c>
      <c r="I3058" s="2" t="n">
        <f>HYPERLINK("https://ppubs.uspto.gov/pubwebapp/external.html?q=20150299213.pn.","USPTO")</f>
        <v>0.0</v>
      </c>
      <c r="J3058" s="2" t="n">
        <f>HYPERLINK("https://image-ppubs.uspto.gov/dirsearch-public/print/downloadPdf/20150299213","USPTO PDF")</f>
        <v>0.0</v>
      </c>
      <c r="K3058" s="2" t="n">
        <f>HYPERLINK("https://sectors.patentforecast.com/pmd/US20150299213","PMD")</f>
        <v>0.0</v>
      </c>
      <c r="L3058" s="2" t="n">
        <f>HYPERLINK("https://globaldossier.uspto.gov/result/application/US/14696233/1","US20150299213")</f>
        <v>0.0</v>
      </c>
      <c r="M3058" t="s">
        <v>20099</v>
      </c>
      <c r="N3058" t="s">
        <v>664</v>
      </c>
      <c r="O3058" t="s">
        <v>665</v>
      </c>
      <c r="P3058" t="s">
        <v>19777</v>
      </c>
      <c r="Q3058" s="3" t="n">
        <v>42118.0</v>
      </c>
      <c r="R3058" s="3" t="n">
        <v>42299.0</v>
      </c>
      <c r="S3058" s="3" t="n">
        <v>43952.45970642361</v>
      </c>
      <c r="T3058" s="3" t="n">
        <v>44638.65271974537</v>
      </c>
      <c r="U3058" t="s">
        <v>20100</v>
      </c>
      <c r="V3058" t="s">
        <v>17072</v>
      </c>
    </row>
    <row r="3059">
      <c r="A3059" t="s">
        <v>22</v>
      </c>
      <c r="B3059" t="s">
        <v>20101</v>
      </c>
      <c r="C3059" t="s">
        <v>60</v>
      </c>
      <c r="D3059" t="s">
        <v>61</v>
      </c>
      <c r="E3059" t="s">
        <v>19484</v>
      </c>
      <c r="F3059" s="2" t="n">
        <f>HYPERLINK("https://patents.google.com/patent/US20150291638","Google")</f>
        <v>0.0</v>
      </c>
      <c r="G3059" s="2" t="n">
        <f>HYPERLINK("https://patentcenter.uspto.gov/applications/14681955","Patent Center")</f>
        <v>0.0</v>
      </c>
      <c r="H3059" s="2" t="n">
        <f>HYPERLINK("https://worldwide.espacenet.com/patent/search?q=US20150291638","Espacenet")</f>
        <v>0.0</v>
      </c>
      <c r="I3059" s="2" t="n">
        <f>HYPERLINK("https://ppubs.uspto.gov/pubwebapp/external.html?q=20150291638.pn.","USPTO")</f>
        <v>0.0</v>
      </c>
      <c r="J3059" s="2" t="n">
        <f>HYPERLINK("https://image-ppubs.uspto.gov/dirsearch-public/print/downloadPdf/20150291638","USPTO PDF")</f>
        <v>0.0</v>
      </c>
      <c r="K3059" s="2" t="n">
        <f>HYPERLINK("https://sectors.patentforecast.com/pmd/US20150291638","PMD")</f>
        <v>0.0</v>
      </c>
      <c r="L3059" s="2" t="n">
        <f>HYPERLINK("https://globaldossier.uspto.gov/result/application/US/14681955/1","US20150291638")</f>
        <v>0.0</v>
      </c>
      <c r="M3059" t="s">
        <v>20102</v>
      </c>
      <c r="N3059" t="s">
        <v>664</v>
      </c>
      <c r="O3059" t="s">
        <v>665</v>
      </c>
      <c r="P3059" t="s">
        <v>20103</v>
      </c>
      <c r="Q3059" s="3" t="n">
        <v>42102.0</v>
      </c>
      <c r="R3059" s="3" t="n">
        <v>42292.0</v>
      </c>
      <c r="S3059" s="3" t="n">
        <v>43952.45970642361</v>
      </c>
      <c r="T3059" s="3" t="n">
        <v>44638.65579662037</v>
      </c>
      <c r="U3059" t="s">
        <v>20104</v>
      </c>
      <c r="V3059" t="s">
        <v>20105</v>
      </c>
    </row>
    <row r="3060">
      <c r="A3060" t="s">
        <v>22</v>
      </c>
      <c r="B3060" t="s">
        <v>20106</v>
      </c>
      <c r="C3060" t="s">
        <v>60</v>
      </c>
      <c r="D3060" t="s">
        <v>61</v>
      </c>
      <c r="E3060" t="s">
        <v>20107</v>
      </c>
      <c r="F3060" s="2" t="n">
        <f>HYPERLINK("https://patents.google.com/patent/US20150291534","Google")</f>
        <v>0.0</v>
      </c>
      <c r="G3060" s="2" t="n">
        <f>HYPERLINK("https://patentcenter.uspto.gov/applications/14441475","Patent Center")</f>
        <v>0.0</v>
      </c>
      <c r="H3060" s="2" t="n">
        <f>HYPERLINK("https://worldwide.espacenet.com/patent/search?q=US20150291534","Espacenet")</f>
        <v>0.0</v>
      </c>
      <c r="I3060" s="2" t="n">
        <f>HYPERLINK("https://ppubs.uspto.gov/pubwebapp/external.html?q=20150291534.pn.","USPTO")</f>
        <v>0.0</v>
      </c>
      <c r="J3060" s="2" t="n">
        <f>HYPERLINK("https://image-ppubs.uspto.gov/dirsearch-public/print/downloadPdf/20150291534","USPTO PDF")</f>
        <v>0.0</v>
      </c>
      <c r="K3060" s="2" t="n">
        <f>HYPERLINK("https://sectors.patentforecast.com/pmd/US20150291534","PMD")</f>
        <v>0.0</v>
      </c>
      <c r="L3060" s="2" t="n">
        <f>HYPERLINK("https://globaldossier.uspto.gov/result/application/US/14441475/1","US20150291534")</f>
        <v>0.0</v>
      </c>
      <c r="M3060" t="s">
        <v>20108</v>
      </c>
      <c r="N3060" t="s">
        <v>20109</v>
      </c>
      <c r="O3060" t="s">
        <v>20109</v>
      </c>
      <c r="P3060" t="s">
        <v>20110</v>
      </c>
      <c r="Q3060" s="3" t="n">
        <v>41584.0</v>
      </c>
      <c r="R3060" s="3" t="n">
        <v>42292.0</v>
      </c>
      <c r="S3060" s="3" t="n">
        <v>43966.47961030093</v>
      </c>
      <c r="T3060" s="3" t="n">
        <v>44678.611276585645</v>
      </c>
      <c r="U3060" t="s">
        <v>20111</v>
      </c>
      <c r="V3060" t="s">
        <v>20112</v>
      </c>
    </row>
    <row r="3061">
      <c r="A3061" t="s">
        <v>22</v>
      </c>
      <c r="B3061" t="s">
        <v>20113</v>
      </c>
      <c r="C3061" t="s">
        <v>60</v>
      </c>
      <c r="D3061" t="s">
        <v>77</v>
      </c>
      <c r="E3061" t="s">
        <v>19042</v>
      </c>
      <c r="F3061" s="2" t="n">
        <f>HYPERLINK("https://patents.google.com/patent/US20150284448","Google")</f>
        <v>0.0</v>
      </c>
      <c r="G3061" s="2" t="n">
        <f>HYPERLINK("https://patentcenter.uspto.gov/applications/14651740","Patent Center")</f>
        <v>0.0</v>
      </c>
      <c r="H3061" s="2" t="n">
        <f>HYPERLINK("https://worldwide.espacenet.com/patent/search?q=US20150284448","Espacenet")</f>
        <v>0.0</v>
      </c>
      <c r="I3061" s="2" t="n">
        <f>HYPERLINK("https://ppubs.uspto.gov/pubwebapp/external.html?q=20150284448.pn.","USPTO")</f>
        <v>0.0</v>
      </c>
      <c r="J3061" s="2" t="n">
        <f>HYPERLINK("https://image-ppubs.uspto.gov/dirsearch-public/print/downloadPdf/20150284448","USPTO PDF")</f>
        <v>0.0</v>
      </c>
      <c r="K3061" s="2" t="n">
        <f>HYPERLINK("https://sectors.patentforecast.com/pmd/US20150284448","PMD")</f>
        <v>0.0</v>
      </c>
      <c r="L3061" s="2" t="n">
        <f>HYPERLINK("https://globaldossier.uspto.gov/result/application/US/14651740/1","US20150284448")</f>
        <v>0.0</v>
      </c>
      <c r="M3061" t="s">
        <v>20114</v>
      </c>
      <c r="N3061" t="s">
        <v>7854</v>
      </c>
      <c r="O3061" t="s">
        <v>7855</v>
      </c>
      <c r="P3061" t="s">
        <v>20115</v>
      </c>
      <c r="Q3061" s="3" t="n">
        <v>41621.0</v>
      </c>
      <c r="R3061" s="3" t="n">
        <v>42285.0</v>
      </c>
      <c r="S3061" s="3" t="n">
        <v>43936.46037263889</v>
      </c>
      <c r="T3061" s="3" t="n">
        <v>44672.43610230324</v>
      </c>
      <c r="U3061" t="s">
        <v>20116</v>
      </c>
      <c r="V3061" t="s">
        <v>2544</v>
      </c>
    </row>
    <row r="3062">
      <c r="A3062" t="s">
        <v>22</v>
      </c>
      <c r="B3062" t="s">
        <v>20117</v>
      </c>
      <c r="C3062" t="s">
        <v>132</v>
      </c>
      <c r="D3062" t="s">
        <v>133</v>
      </c>
      <c r="E3062" t="s">
        <v>18300</v>
      </c>
      <c r="F3062" s="2" t="n">
        <f>HYPERLINK("https://patents.google.com/patent/US20150283229","Google")</f>
        <v>0.0</v>
      </c>
      <c r="G3062" s="2" t="n">
        <f>HYPERLINK("https://patentcenter.uspto.gov/applications/14672631","Patent Center")</f>
        <v>0.0</v>
      </c>
      <c r="H3062" s="2" t="n">
        <f>HYPERLINK("https://worldwide.espacenet.com/patent/search?q=US20150283229","Espacenet")</f>
        <v>0.0</v>
      </c>
      <c r="I3062" s="2" t="n">
        <f>HYPERLINK("https://ppubs.uspto.gov/pubwebapp/external.html?q=20150283229.pn.","USPTO")</f>
        <v>0.0</v>
      </c>
      <c r="J3062" s="2" t="n">
        <f>HYPERLINK("https://image-ppubs.uspto.gov/dirsearch-public/print/downloadPdf/20150283229","USPTO PDF")</f>
        <v>0.0</v>
      </c>
      <c r="K3062" s="2" t="n">
        <f>HYPERLINK("https://sectors.patentforecast.com/pmd/US20150283229","PMD")</f>
        <v>0.0</v>
      </c>
      <c r="L3062" s="2" t="n">
        <f>HYPERLINK("https://globaldossier.uspto.gov/result/application/US/14672631/1","US20150283229")</f>
        <v>0.0</v>
      </c>
      <c r="M3062" t="s">
        <v>20118</v>
      </c>
      <c r="N3062" t="s">
        <v>16179</v>
      </c>
      <c r="O3062" t="s">
        <v>16180</v>
      </c>
      <c r="P3062" t="s">
        <v>18302</v>
      </c>
      <c r="Q3062" s="3" t="n">
        <v>42093.0</v>
      </c>
      <c r="R3062" s="3" t="n">
        <v>42285.0</v>
      </c>
      <c r="S3062" s="3" t="n">
        <v>43900.43738943287</v>
      </c>
      <c r="T3062" s="3" t="n">
        <v>43903.484629583334</v>
      </c>
      <c r="U3062" t="s">
        <v>20119</v>
      </c>
      <c r="V3062" t="s">
        <v>20120</v>
      </c>
    </row>
    <row r="3063">
      <c r="A3063" t="s">
        <v>22</v>
      </c>
      <c r="B3063" t="s">
        <v>20121</v>
      </c>
      <c r="C3063" t="s">
        <v>312</v>
      </c>
      <c r="D3063" t="s">
        <v>3202</v>
      </c>
      <c r="E3063" t="s">
        <v>20122</v>
      </c>
      <c r="F3063" s="2" t="n">
        <f>HYPERLINK("https://patents.google.com/patent/US20150278229","Google")</f>
        <v>0.0</v>
      </c>
      <c r="G3063" s="2" t="n">
        <f>HYPERLINK("https://patentcenter.uspto.gov/applications/14667366","Patent Center")</f>
        <v>0.0</v>
      </c>
      <c r="H3063" s="2" t="n">
        <f>HYPERLINK("https://worldwide.espacenet.com/patent/search?q=US20150278229","Espacenet")</f>
        <v>0.0</v>
      </c>
      <c r="I3063" s="2" t="n">
        <f>HYPERLINK("https://ppubs.uspto.gov/pubwebapp/external.html?q=20150278229.pn.","USPTO")</f>
        <v>0.0</v>
      </c>
      <c r="J3063" s="2" t="n">
        <f>HYPERLINK("https://image-ppubs.uspto.gov/dirsearch-public/print/downloadPdf/20150278229","USPTO PDF")</f>
        <v>0.0</v>
      </c>
      <c r="K3063" s="2" t="n">
        <f>HYPERLINK("https://sectors.patentforecast.com/pmd/US20150278229","PMD")</f>
        <v>0.0</v>
      </c>
      <c r="L3063" s="2" t="n">
        <f>HYPERLINK("https://globaldossier.uspto.gov/result/application/US/14667366/1","US20150278229")</f>
        <v>0.0</v>
      </c>
      <c r="M3063" t="s">
        <v>20123</v>
      </c>
      <c r="N3063" t="s">
        <v>20124</v>
      </c>
      <c r="O3063" t="s">
        <v>20125</v>
      </c>
      <c r="P3063" t="s">
        <v>20126</v>
      </c>
      <c r="Q3063" s="3" t="n">
        <v>42087.0</v>
      </c>
      <c r="R3063" s="3" t="n">
        <v>42278.0</v>
      </c>
      <c r="S3063" s="3" t="n">
        <v>43266.45736694444</v>
      </c>
      <c r="T3063" s="3" t="n">
        <v>43950.551011574076</v>
      </c>
      <c r="U3063" t="s">
        <v>20127</v>
      </c>
      <c r="V3063" t="s">
        <v>20128</v>
      </c>
    </row>
    <row r="3064">
      <c r="A3064" t="s">
        <v>22</v>
      </c>
      <c r="B3064" t="s">
        <v>20129</v>
      </c>
      <c r="C3064" t="s">
        <v>132</v>
      </c>
      <c r="D3064" t="s">
        <v>133</v>
      </c>
      <c r="E3064" t="s">
        <v>14620</v>
      </c>
      <c r="F3064" s="2" t="n">
        <f>HYPERLINK("https://patents.google.com/patent/US20150275183","Google")</f>
        <v>0.0</v>
      </c>
      <c r="G3064" s="2" t="n">
        <f>HYPERLINK("https://patentcenter.uspto.gov/applications/14430010","Patent Center")</f>
        <v>0.0</v>
      </c>
      <c r="H3064" s="2" t="n">
        <f>HYPERLINK("https://worldwide.espacenet.com/patent/search?q=US20150275183","Espacenet")</f>
        <v>0.0</v>
      </c>
      <c r="I3064" s="2" t="n">
        <f>HYPERLINK("https://ppubs.uspto.gov/pubwebapp/external.html?q=20150275183.pn.","USPTO")</f>
        <v>0.0</v>
      </c>
      <c r="J3064" s="2" t="n">
        <f>HYPERLINK("https://image-ppubs.uspto.gov/dirsearch-public/print/downloadPdf/20150275183","USPTO PDF")</f>
        <v>0.0</v>
      </c>
      <c r="K3064" s="2" t="n">
        <f>HYPERLINK("https://sectors.patentforecast.com/pmd/US20150275183","PMD")</f>
        <v>0.0</v>
      </c>
      <c r="L3064" s="2" t="n">
        <f>HYPERLINK("https://globaldossier.uspto.gov/result/application/US/14430010/1","US20150275183")</f>
        <v>0.0</v>
      </c>
      <c r="M3064" t="s">
        <v>20130</v>
      </c>
      <c r="N3064" t="s">
        <v>14622</v>
      </c>
      <c r="O3064" t="s">
        <v>14622</v>
      </c>
      <c r="P3064" t="s">
        <v>14623</v>
      </c>
      <c r="Q3064" s="3" t="n">
        <v>41540.0</v>
      </c>
      <c r="R3064" s="3" t="n">
        <v>42278.0</v>
      </c>
      <c r="S3064" s="3" t="n">
        <v>43935.7041706713</v>
      </c>
      <c r="T3064" s="3" t="n">
        <v>43950.465245694446</v>
      </c>
      <c r="U3064" t="s">
        <v>20131</v>
      </c>
      <c r="V3064" t="s">
        <v>14625</v>
      </c>
    </row>
    <row r="3065">
      <c r="A3065" t="s">
        <v>22</v>
      </c>
      <c r="B3065" t="s">
        <v>20132</v>
      </c>
      <c r="C3065" t="s">
        <v>60</v>
      </c>
      <c r="D3065" t="s">
        <v>696</v>
      </c>
      <c r="E3065" t="s">
        <v>16925</v>
      </c>
      <c r="F3065" s="2" t="n">
        <f>HYPERLINK("https://patents.google.com/patent/US20150274823","Google")</f>
        <v>0.0</v>
      </c>
      <c r="G3065" s="2" t="n">
        <f>HYPERLINK("https://patentcenter.uspto.gov/applications/14701290","Patent Center")</f>
        <v>0.0</v>
      </c>
      <c r="H3065" s="2" t="n">
        <f>HYPERLINK("https://worldwide.espacenet.com/patent/search?q=US20150274823","Espacenet")</f>
        <v>0.0</v>
      </c>
      <c r="I3065" s="2" t="n">
        <f>HYPERLINK("https://ppubs.uspto.gov/pubwebapp/external.html?q=20150274823.pn.","USPTO")</f>
        <v>0.0</v>
      </c>
      <c r="J3065" s="2" t="n">
        <f>HYPERLINK("https://image-ppubs.uspto.gov/dirsearch-public/print/downloadPdf/20150274823","USPTO PDF")</f>
        <v>0.0</v>
      </c>
      <c r="K3065" s="2" t="n">
        <f>HYPERLINK("https://sectors.patentforecast.com/pmd/US20150274823","PMD")</f>
        <v>0.0</v>
      </c>
      <c r="L3065" s="2" t="n">
        <f>HYPERLINK("https://globaldossier.uspto.gov/result/application/US/14701290/1","US20150274823")</f>
        <v>0.0</v>
      </c>
      <c r="M3065" t="s">
        <v>20133</v>
      </c>
      <c r="N3065" t="s">
        <v>16927</v>
      </c>
      <c r="O3065" t="s">
        <v>16928</v>
      </c>
      <c r="P3065" t="s">
        <v>20134</v>
      </c>
      <c r="Q3065" s="3" t="n">
        <v>42124.0</v>
      </c>
      <c r="R3065" s="3" t="n">
        <v>42278.0</v>
      </c>
      <c r="S3065" s="3" t="n">
        <v>43966.48284532408</v>
      </c>
      <c r="T3065" s="3" t="n">
        <v>44643.44490069444</v>
      </c>
      <c r="U3065" t="s">
        <v>20135</v>
      </c>
      <c r="V3065" t="s">
        <v>16993</v>
      </c>
    </row>
    <row r="3066">
      <c r="A3066" t="s">
        <v>22</v>
      </c>
      <c r="B3066" t="s">
        <v>20136</v>
      </c>
      <c r="C3066" t="s">
        <v>60</v>
      </c>
      <c r="D3066" t="s">
        <v>696</v>
      </c>
      <c r="E3066" t="s">
        <v>16957</v>
      </c>
      <c r="F3066" s="2" t="n">
        <f>HYPERLINK("https://patents.google.com/patent/US20150274822","Google")</f>
        <v>0.0</v>
      </c>
      <c r="G3066" s="2" t="n">
        <f>HYPERLINK("https://patentcenter.uspto.gov/applications/14604305","Patent Center")</f>
        <v>0.0</v>
      </c>
      <c r="H3066" s="2" t="n">
        <f>HYPERLINK("https://worldwide.espacenet.com/patent/search?q=US20150274822","Espacenet")</f>
        <v>0.0</v>
      </c>
      <c r="I3066" s="2" t="n">
        <f>HYPERLINK("https://ppubs.uspto.gov/pubwebapp/external.html?q=20150274822.pn.","USPTO")</f>
        <v>0.0</v>
      </c>
      <c r="J3066" s="2" t="n">
        <f>HYPERLINK("https://image-ppubs.uspto.gov/dirsearch-public/print/downloadPdf/20150274822","USPTO PDF")</f>
        <v>0.0</v>
      </c>
      <c r="K3066" s="2" t="n">
        <f>HYPERLINK("https://sectors.patentforecast.com/pmd/US20150274822","PMD")</f>
        <v>0.0</v>
      </c>
      <c r="L3066" s="2" t="n">
        <f>HYPERLINK("https://globaldossier.uspto.gov/result/application/US/14604305/1","US20150274822")</f>
        <v>0.0</v>
      </c>
      <c r="M3066" t="s">
        <v>20137</v>
      </c>
      <c r="N3066" t="s">
        <v>16927</v>
      </c>
      <c r="O3066" t="s">
        <v>16928</v>
      </c>
      <c r="P3066" t="s">
        <v>16959</v>
      </c>
      <c r="Q3066" s="3" t="n">
        <v>42027.0</v>
      </c>
      <c r="R3066" s="3" t="n">
        <v>42278.0</v>
      </c>
      <c r="S3066" s="3" t="n">
        <v>43966.48284532408</v>
      </c>
      <c r="T3066" s="3" t="n">
        <v>44643.44490069444</v>
      </c>
      <c r="U3066" t="s">
        <v>20138</v>
      </c>
      <c r="V3066" t="s">
        <v>16961</v>
      </c>
    </row>
    <row r="3067">
      <c r="A3067" t="s">
        <v>22</v>
      </c>
      <c r="B3067" t="s">
        <v>20139</v>
      </c>
      <c r="C3067" t="s">
        <v>60</v>
      </c>
      <c r="D3067" t="s">
        <v>61</v>
      </c>
      <c r="E3067" t="s">
        <v>19172</v>
      </c>
      <c r="F3067" s="2" t="n">
        <f>HYPERLINK("https://patents.google.com/patent/US20150274774","Google")</f>
        <v>0.0</v>
      </c>
      <c r="G3067" s="2" t="n">
        <f>HYPERLINK("https://patentcenter.uspto.gov/applications/14740680","Patent Center")</f>
        <v>0.0</v>
      </c>
      <c r="H3067" s="2" t="n">
        <f>HYPERLINK("https://worldwide.espacenet.com/patent/search?q=US20150274774","Espacenet")</f>
        <v>0.0</v>
      </c>
      <c r="I3067" s="2" t="n">
        <f>HYPERLINK("https://ppubs.uspto.gov/pubwebapp/external.html?q=20150274774.pn.","USPTO")</f>
        <v>0.0</v>
      </c>
      <c r="J3067" s="2" t="n">
        <f>HYPERLINK("https://image-ppubs.uspto.gov/dirsearch-public/print/downloadPdf/20150274774","USPTO PDF")</f>
        <v>0.0</v>
      </c>
      <c r="K3067" s="2" t="n">
        <f>HYPERLINK("https://sectors.patentforecast.com/pmd/US20150274774","PMD")</f>
        <v>0.0</v>
      </c>
      <c r="L3067" s="2" t="n">
        <f>HYPERLINK("https://globaldossier.uspto.gov/result/application/US/14740680/1","US20150274774")</f>
        <v>0.0</v>
      </c>
      <c r="M3067" t="s">
        <v>20140</v>
      </c>
      <c r="N3067" t="s">
        <v>19174</v>
      </c>
      <c r="O3067" t="s">
        <v>19175</v>
      </c>
      <c r="P3067" t="s">
        <v>20141</v>
      </c>
      <c r="Q3067" s="3" t="n">
        <v>42171.0</v>
      </c>
      <c r="R3067" s="3" t="n">
        <v>42278.0</v>
      </c>
      <c r="S3067" s="3" t="n">
        <v>43952.45970642361</v>
      </c>
      <c r="T3067" s="3" t="n">
        <v>44638.65643378472</v>
      </c>
      <c r="U3067" t="s">
        <v>20142</v>
      </c>
      <c r="V3067" t="s">
        <v>19183</v>
      </c>
    </row>
    <row r="3068">
      <c r="A3068" t="s">
        <v>22</v>
      </c>
      <c r="B3068" t="s">
        <v>20143</v>
      </c>
      <c r="C3068" t="s">
        <v>60</v>
      </c>
      <c r="D3068" t="s">
        <v>696</v>
      </c>
      <c r="E3068" t="s">
        <v>20144</v>
      </c>
      <c r="F3068" s="2" t="n">
        <f>HYPERLINK("https://patents.google.com/patent/US20150273058","Google")</f>
        <v>0.0</v>
      </c>
      <c r="G3068" s="2" t="n">
        <f>HYPERLINK("https://patentcenter.uspto.gov/applications/14672543","Patent Center")</f>
        <v>0.0</v>
      </c>
      <c r="H3068" s="2" t="n">
        <f>HYPERLINK("https://worldwide.espacenet.com/patent/search?q=US20150273058","Espacenet")</f>
        <v>0.0</v>
      </c>
      <c r="I3068" s="2" t="n">
        <f>HYPERLINK("https://ppubs.uspto.gov/pubwebapp/external.html?q=20150273058.pn.","USPTO")</f>
        <v>0.0</v>
      </c>
      <c r="J3068" s="2" t="n">
        <f>HYPERLINK("https://image-ppubs.uspto.gov/dirsearch-public/print/downloadPdf/20150273058","USPTO PDF")</f>
        <v>0.0</v>
      </c>
      <c r="K3068" s="2" t="n">
        <f>HYPERLINK("https://sectors.patentforecast.com/pmd/US20150273058","PMD")</f>
        <v>0.0</v>
      </c>
      <c r="L3068" s="2" t="n">
        <f>HYPERLINK("https://globaldossier.uspto.gov/result/application/US/14672543/1","US20150273058")</f>
        <v>0.0</v>
      </c>
      <c r="M3068" t="s">
        <v>20145</v>
      </c>
      <c r="N3068" t="s">
        <v>16927</v>
      </c>
      <c r="O3068" t="s">
        <v>16928</v>
      </c>
      <c r="P3068" t="s">
        <v>19750</v>
      </c>
      <c r="Q3068" s="3" t="n">
        <v>42093.0</v>
      </c>
      <c r="R3068" s="3" t="n">
        <v>42278.0</v>
      </c>
      <c r="S3068" s="3" t="n">
        <v>43931.460584340275</v>
      </c>
      <c r="T3068" s="3" t="n">
        <v>44638.640141793985</v>
      </c>
      <c r="U3068" t="s">
        <v>20146</v>
      </c>
      <c r="V3068" t="s">
        <v>18560</v>
      </c>
    </row>
    <row r="3069">
      <c r="A3069" t="s">
        <v>22</v>
      </c>
      <c r="B3069" t="s">
        <v>20147</v>
      </c>
      <c r="C3069" t="s">
        <v>312</v>
      </c>
      <c r="D3069" t="s">
        <v>313</v>
      </c>
      <c r="E3069" t="s">
        <v>20148</v>
      </c>
      <c r="F3069" s="2" t="n">
        <f>HYPERLINK("https://patents.google.com/patent/US20150269347","Google")</f>
        <v>0.0</v>
      </c>
      <c r="G3069" s="2" t="n">
        <f>HYPERLINK("https://patentcenter.uspto.gov/applications/14615256","Patent Center")</f>
        <v>0.0</v>
      </c>
      <c r="H3069" s="2" t="n">
        <f>HYPERLINK("https://worldwide.espacenet.com/patent/search?q=US20150269347","Espacenet")</f>
        <v>0.0</v>
      </c>
      <c r="I3069" s="2" t="n">
        <f>HYPERLINK("https://ppubs.uspto.gov/pubwebapp/external.html?q=20150269347.pn.","USPTO")</f>
        <v>0.0</v>
      </c>
      <c r="J3069" s="2" t="n">
        <f>HYPERLINK("https://image-ppubs.uspto.gov/dirsearch-public/print/downloadPdf/20150269347","USPTO PDF")</f>
        <v>0.0</v>
      </c>
      <c r="K3069" s="2" t="n">
        <f>HYPERLINK("https://sectors.patentforecast.com/pmd/US20150269347","PMD")</f>
        <v>0.0</v>
      </c>
      <c r="L3069" s="2" t="n">
        <f>HYPERLINK("https://globaldossier.uspto.gov/result/application/US/14615256/1","US20150269347")</f>
        <v>0.0</v>
      </c>
      <c r="M3069" t="s">
        <v>20149</v>
      </c>
      <c r="N3069" t="s">
        <v>947</v>
      </c>
      <c r="O3069" t="s">
        <v>948</v>
      </c>
      <c r="P3069" t="s">
        <v>20150</v>
      </c>
      <c r="Q3069" s="3" t="n">
        <v>42040.0</v>
      </c>
      <c r="R3069" s="3" t="n">
        <v>42271.0</v>
      </c>
      <c r="S3069" s="3" t="n">
        <v>44019.22993729167</v>
      </c>
      <c r="T3069" s="3" t="n">
        <v>44019.672337488424</v>
      </c>
      <c r="U3069" t="s">
        <v>20151</v>
      </c>
      <c r="V3069" t="s">
        <v>20152</v>
      </c>
    </row>
    <row r="3070">
      <c r="A3070" t="s">
        <v>22</v>
      </c>
      <c r="B3070" t="s">
        <v>20153</v>
      </c>
      <c r="C3070" t="s">
        <v>312</v>
      </c>
      <c r="D3070" t="s">
        <v>313</v>
      </c>
      <c r="E3070" t="s">
        <v>20148</v>
      </c>
      <c r="F3070" s="2" t="n">
        <f>HYPERLINK("https://patents.google.com/patent/US20150269345","Google")</f>
        <v>0.0</v>
      </c>
      <c r="G3070" s="2" t="n">
        <f>HYPERLINK("https://patentcenter.uspto.gov/applications/14219727","Patent Center")</f>
        <v>0.0</v>
      </c>
      <c r="H3070" s="2" t="n">
        <f>HYPERLINK("https://worldwide.espacenet.com/patent/search?q=US20150269345","Espacenet")</f>
        <v>0.0</v>
      </c>
      <c r="I3070" s="2" t="n">
        <f>HYPERLINK("https://ppubs.uspto.gov/pubwebapp/external.html?q=20150269345.pn.","USPTO")</f>
        <v>0.0</v>
      </c>
      <c r="J3070" s="2" t="n">
        <f>HYPERLINK("https://image-ppubs.uspto.gov/dirsearch-public/print/downloadPdf/20150269345","USPTO PDF")</f>
        <v>0.0</v>
      </c>
      <c r="K3070" s="2" t="n">
        <f>HYPERLINK("https://sectors.patentforecast.com/pmd/US20150269345","PMD")</f>
        <v>0.0</v>
      </c>
      <c r="L3070" s="2" t="n">
        <f>HYPERLINK("https://globaldossier.uspto.gov/result/application/US/14219727/1","US20150269345")</f>
        <v>0.0</v>
      </c>
      <c r="M3070" t="s">
        <v>20154</v>
      </c>
      <c r="N3070" t="s">
        <v>947</v>
      </c>
      <c r="O3070" t="s">
        <v>948</v>
      </c>
      <c r="P3070" t="s">
        <v>20150</v>
      </c>
      <c r="Q3070" s="3" t="n">
        <v>41717.0</v>
      </c>
      <c r="R3070" s="3" t="n">
        <v>42271.0</v>
      </c>
      <c r="S3070" s="3" t="n">
        <v>44019.22993729167</v>
      </c>
      <c r="T3070" s="3" t="n">
        <v>44019.672337488424</v>
      </c>
      <c r="U3070" t="s">
        <v>20155</v>
      </c>
      <c r="V3070" t="s">
        <v>20152</v>
      </c>
    </row>
    <row r="3071">
      <c r="A3071" t="s">
        <v>22</v>
      </c>
      <c r="B3071" t="s">
        <v>20156</v>
      </c>
      <c r="C3071" t="s">
        <v>132</v>
      </c>
      <c r="D3071" t="s">
        <v>2629</v>
      </c>
      <c r="E3071" t="s">
        <v>17132</v>
      </c>
      <c r="F3071" s="2" t="n">
        <f>HYPERLINK("https://patents.google.com/patent/US20150266930","Google")</f>
        <v>0.0</v>
      </c>
      <c r="G3071" s="2" t="n">
        <f>HYPERLINK("https://patentcenter.uspto.gov/applications/14730809","Patent Center")</f>
        <v>0.0</v>
      </c>
      <c r="H3071" s="2" t="n">
        <f>HYPERLINK("https://worldwide.espacenet.com/patent/search?q=US20150266930","Espacenet")</f>
        <v>0.0</v>
      </c>
      <c r="I3071" s="2" t="n">
        <f>HYPERLINK("https://ppubs.uspto.gov/pubwebapp/external.html?q=20150266930.pn.","USPTO")</f>
        <v>0.0</v>
      </c>
      <c r="J3071" s="2" t="n">
        <f>HYPERLINK("https://image-ppubs.uspto.gov/dirsearch-public/print/downloadPdf/20150266930","USPTO PDF")</f>
        <v>0.0</v>
      </c>
      <c r="K3071" s="2" t="n">
        <f>HYPERLINK("https://sectors.patentforecast.com/pmd/US20150266930","PMD")</f>
        <v>0.0</v>
      </c>
      <c r="L3071" s="2" t="n">
        <f>HYPERLINK("https://globaldossier.uspto.gov/result/application/US/14730809/1","US20150266930")</f>
        <v>0.0</v>
      </c>
      <c r="M3071" t="s">
        <v>20157</v>
      </c>
      <c r="N3071" t="s">
        <v>1275</v>
      </c>
      <c r="O3071" t="s">
        <v>1275</v>
      </c>
      <c r="P3071" t="s">
        <v>20158</v>
      </c>
      <c r="Q3071" s="3" t="n">
        <v>42159.0</v>
      </c>
      <c r="R3071" s="3" t="n">
        <v>42271.0</v>
      </c>
      <c r="S3071" s="3" t="n">
        <v>43966.48284532408</v>
      </c>
      <c r="T3071" s="3" t="n">
        <v>44020.62389086805</v>
      </c>
      <c r="U3071" t="s">
        <v>20159</v>
      </c>
      <c r="V3071" t="s">
        <v>17136</v>
      </c>
    </row>
    <row r="3072">
      <c r="A3072" t="s">
        <v>22</v>
      </c>
      <c r="B3072" t="s">
        <v>20160</v>
      </c>
      <c r="C3072" t="s">
        <v>132</v>
      </c>
      <c r="D3072" t="s">
        <v>2629</v>
      </c>
      <c r="E3072" t="s">
        <v>17132</v>
      </c>
      <c r="F3072" s="2" t="n">
        <f>HYPERLINK("https://patents.google.com/patent/US20150265698","Google")</f>
        <v>0.0</v>
      </c>
      <c r="G3072" s="2" t="n">
        <f>HYPERLINK("https://patentcenter.uspto.gov/applications/14730805","Patent Center")</f>
        <v>0.0</v>
      </c>
      <c r="H3072" s="2" t="n">
        <f>HYPERLINK("https://worldwide.espacenet.com/patent/search?q=US20150265698","Espacenet")</f>
        <v>0.0</v>
      </c>
      <c r="I3072" s="2" t="n">
        <f>HYPERLINK("https://ppubs.uspto.gov/pubwebapp/external.html?q=20150265698.pn.","USPTO")</f>
        <v>0.0</v>
      </c>
      <c r="J3072" s="2" t="n">
        <f>HYPERLINK("https://image-ppubs.uspto.gov/dirsearch-public/print/downloadPdf/20150265698","USPTO PDF")</f>
        <v>0.0</v>
      </c>
      <c r="K3072" s="2" t="n">
        <f>HYPERLINK("https://sectors.patentforecast.com/pmd/US20150265698","PMD")</f>
        <v>0.0</v>
      </c>
      <c r="L3072" s="2" t="n">
        <f>HYPERLINK("https://globaldossier.uspto.gov/result/application/US/14730805/1","US20150265698")</f>
        <v>0.0</v>
      </c>
      <c r="M3072" t="s">
        <v>20161</v>
      </c>
      <c r="N3072" t="s">
        <v>1275</v>
      </c>
      <c r="O3072" t="s">
        <v>1275</v>
      </c>
      <c r="P3072" t="s">
        <v>20158</v>
      </c>
      <c r="Q3072" s="3" t="n">
        <v>42159.0</v>
      </c>
      <c r="R3072" s="3" t="n">
        <v>42271.0</v>
      </c>
      <c r="S3072" s="3" t="n">
        <v>43966.48284532408</v>
      </c>
      <c r="T3072" s="3" t="n">
        <v>44020.62389086805</v>
      </c>
      <c r="U3072" t="s">
        <v>20162</v>
      </c>
      <c r="V3072" t="s">
        <v>17136</v>
      </c>
    </row>
    <row r="3073">
      <c r="A3073" t="s">
        <v>22</v>
      </c>
      <c r="B3073" t="s">
        <v>20163</v>
      </c>
      <c r="C3073" t="s">
        <v>60</v>
      </c>
      <c r="D3073" t="s">
        <v>696</v>
      </c>
      <c r="E3073" t="s">
        <v>16925</v>
      </c>
      <c r="F3073" s="2" t="n">
        <f>HYPERLINK("https://patents.google.com/patent/US20150259413","Google")</f>
        <v>0.0</v>
      </c>
      <c r="G3073" s="2" t="n">
        <f>HYPERLINK("https://patentcenter.uspto.gov/applications/14604366","Patent Center")</f>
        <v>0.0</v>
      </c>
      <c r="H3073" s="2" t="n">
        <f>HYPERLINK("https://worldwide.espacenet.com/patent/search?q=US20150259413","Espacenet")</f>
        <v>0.0</v>
      </c>
      <c r="I3073" s="2" t="n">
        <f>HYPERLINK("https://ppubs.uspto.gov/pubwebapp/external.html?q=20150259413.pn.","USPTO")</f>
        <v>0.0</v>
      </c>
      <c r="J3073" s="2" t="n">
        <f>HYPERLINK("https://image-ppubs.uspto.gov/dirsearch-public/print/downloadPdf/20150259413","USPTO PDF")</f>
        <v>0.0</v>
      </c>
      <c r="K3073" s="2" t="n">
        <f>HYPERLINK("https://sectors.patentforecast.com/pmd/US20150259413","PMD")</f>
        <v>0.0</v>
      </c>
      <c r="L3073" s="2" t="n">
        <f>HYPERLINK("https://globaldossier.uspto.gov/result/application/US/14604366/1","US20150259413")</f>
        <v>0.0</v>
      </c>
      <c r="M3073" t="s">
        <v>20164</v>
      </c>
      <c r="N3073" t="s">
        <v>16927</v>
      </c>
      <c r="O3073" t="s">
        <v>16928</v>
      </c>
      <c r="P3073" t="s">
        <v>20165</v>
      </c>
      <c r="Q3073" s="3" t="n">
        <v>42027.0</v>
      </c>
      <c r="R3073" s="3" t="n">
        <v>42264.0</v>
      </c>
      <c r="S3073" s="3" t="n">
        <v>43966.48284532408</v>
      </c>
      <c r="T3073" s="3" t="n">
        <v>44643.44490069444</v>
      </c>
      <c r="U3073" t="s">
        <v>20166</v>
      </c>
      <c r="V3073" t="s">
        <v>20167</v>
      </c>
    </row>
    <row r="3074">
      <c r="A3074" t="s">
        <v>22</v>
      </c>
      <c r="B3074" t="s">
        <v>20168</v>
      </c>
      <c r="C3074" t="s">
        <v>60</v>
      </c>
      <c r="D3074" t="s">
        <v>61</v>
      </c>
      <c r="E3074" t="s">
        <v>18883</v>
      </c>
      <c r="F3074" s="2" t="n">
        <f>HYPERLINK("https://patents.google.com/patent/US20150238501","Google")</f>
        <v>0.0</v>
      </c>
      <c r="G3074" s="2" t="n">
        <f>HYPERLINK("https://patentcenter.uspto.gov/applications/14635830","Patent Center")</f>
        <v>0.0</v>
      </c>
      <c r="H3074" s="2" t="n">
        <f>HYPERLINK("https://worldwide.espacenet.com/patent/search?q=US20150238501","Espacenet")</f>
        <v>0.0</v>
      </c>
      <c r="I3074" s="2" t="n">
        <f>HYPERLINK("https://ppubs.uspto.gov/pubwebapp/external.html?q=20150238501.pn.","USPTO")</f>
        <v>0.0</v>
      </c>
      <c r="J3074" s="2" t="n">
        <f>HYPERLINK("https://image-ppubs.uspto.gov/dirsearch-public/print/downloadPdf/20150238501","USPTO PDF")</f>
        <v>0.0</v>
      </c>
      <c r="K3074" s="2" t="n">
        <f>HYPERLINK("https://sectors.patentforecast.com/pmd/US20150238501","PMD")</f>
        <v>0.0</v>
      </c>
      <c r="L3074" s="2" t="n">
        <f>HYPERLINK("https://globaldossier.uspto.gov/result/application/US/14635830/1","US20150238501")</f>
        <v>0.0</v>
      </c>
      <c r="M3074" t="s">
        <v>20169</v>
      </c>
      <c r="N3074" t="s">
        <v>664</v>
      </c>
      <c r="O3074" t="s">
        <v>665</v>
      </c>
      <c r="P3074" t="s">
        <v>20170</v>
      </c>
      <c r="Q3074" s="3" t="n">
        <v>42065.0</v>
      </c>
      <c r="R3074" s="3" t="n">
        <v>42243.0</v>
      </c>
      <c r="S3074" s="3" t="n">
        <v>43952.45970642361</v>
      </c>
      <c r="T3074" s="3" t="n">
        <v>44638.65271974537</v>
      </c>
      <c r="U3074" t="s">
        <v>20171</v>
      </c>
      <c r="V3074" t="s">
        <v>18887</v>
      </c>
    </row>
    <row r="3075">
      <c r="A3075" t="s">
        <v>22</v>
      </c>
      <c r="B3075" t="s">
        <v>20172</v>
      </c>
      <c r="C3075" t="s">
        <v>24</v>
      </c>
      <c r="D3075" t="s">
        <v>1356</v>
      </c>
      <c r="E3075" t="s">
        <v>20173</v>
      </c>
      <c r="F3075" s="2" t="n">
        <f>HYPERLINK("https://patents.google.com/patent/US20150234981","Google")</f>
        <v>0.0</v>
      </c>
      <c r="G3075" s="2" t="n">
        <f>HYPERLINK("https://patentcenter.uspto.gov/applications/14689405","Patent Center")</f>
        <v>0.0</v>
      </c>
      <c r="H3075" s="2" t="n">
        <f>HYPERLINK("https://worldwide.espacenet.com/patent/search?q=US20150234981","Espacenet")</f>
        <v>0.0</v>
      </c>
      <c r="I3075" s="2" t="n">
        <f>HYPERLINK("https://ppubs.uspto.gov/pubwebapp/external.html?q=20150234981.pn.","USPTO")</f>
        <v>0.0</v>
      </c>
      <c r="J3075" s="2" t="n">
        <f>HYPERLINK("https://image-ppubs.uspto.gov/dirsearch-public/print/downloadPdf/20150234981","USPTO PDF")</f>
        <v>0.0</v>
      </c>
      <c r="K3075" s="2" t="n">
        <f>HYPERLINK("https://sectors.patentforecast.com/pmd/US20150234981","PMD")</f>
        <v>0.0</v>
      </c>
      <c r="L3075" s="2" t="n">
        <f>HYPERLINK("https://globaldossier.uspto.gov/result/application/US/14689405/1","US20150234981")</f>
        <v>0.0</v>
      </c>
      <c r="M3075" t="s">
        <v>20174</v>
      </c>
      <c r="N3075" t="s">
        <v>20175</v>
      </c>
      <c r="O3075" t="s">
        <v>20176</v>
      </c>
      <c r="P3075" t="s">
        <v>20177</v>
      </c>
      <c r="Q3075" s="3" t="n">
        <v>42111.0</v>
      </c>
      <c r="R3075" s="3" t="n">
        <v>42236.0</v>
      </c>
      <c r="S3075" s="3" t="n">
        <v>43266.45736694444</v>
      </c>
      <c r="T3075" s="3" t="n">
        <v>43901.7215640625</v>
      </c>
      <c r="U3075" t="s">
        <v>20178</v>
      </c>
      <c r="V3075" t="s">
        <v>20179</v>
      </c>
    </row>
    <row r="3076">
      <c r="A3076" t="s">
        <v>22</v>
      </c>
      <c r="B3076" t="s">
        <v>20180</v>
      </c>
      <c r="C3076" t="s">
        <v>60</v>
      </c>
      <c r="D3076" t="s">
        <v>61</v>
      </c>
      <c r="E3076" t="s">
        <v>19464</v>
      </c>
      <c r="F3076" s="2" t="n">
        <f>HYPERLINK("https://patents.google.com/patent/US20150232453","Google")</f>
        <v>0.0</v>
      </c>
      <c r="G3076" s="2" t="n">
        <f>HYPERLINK("https://patentcenter.uspto.gov/applications/14704627","Patent Center")</f>
        <v>0.0</v>
      </c>
      <c r="H3076" s="2" t="n">
        <f>HYPERLINK("https://worldwide.espacenet.com/patent/search?q=US20150232453","Espacenet")</f>
        <v>0.0</v>
      </c>
      <c r="I3076" s="2" t="n">
        <f>HYPERLINK("https://ppubs.uspto.gov/pubwebapp/external.html?q=20150232453.pn.","USPTO")</f>
        <v>0.0</v>
      </c>
      <c r="J3076" s="2" t="n">
        <f>HYPERLINK("https://image-ppubs.uspto.gov/dirsearch-public/print/downloadPdf/20150232453","USPTO PDF")</f>
        <v>0.0</v>
      </c>
      <c r="K3076" s="2" t="n">
        <f>HYPERLINK("https://sectors.patentforecast.com/pmd/US20150232453","PMD")</f>
        <v>0.0</v>
      </c>
      <c r="L3076" s="2" t="n">
        <f>HYPERLINK("https://globaldossier.uspto.gov/result/application/US/14704627/1","US20150232453")</f>
        <v>0.0</v>
      </c>
      <c r="M3076" t="s">
        <v>20181</v>
      </c>
      <c r="N3076" t="s">
        <v>664</v>
      </c>
      <c r="O3076" t="s">
        <v>665</v>
      </c>
      <c r="P3076" t="s">
        <v>19466</v>
      </c>
      <c r="Q3076" s="3" t="n">
        <v>42129.0</v>
      </c>
      <c r="R3076" s="3" t="n">
        <v>42236.0</v>
      </c>
      <c r="S3076" s="3" t="n">
        <v>43950.647371782405</v>
      </c>
      <c r="T3076" s="3" t="n">
        <v>44638.65271974537</v>
      </c>
      <c r="U3076" t="s">
        <v>20182</v>
      </c>
      <c r="V3076" t="s">
        <v>19468</v>
      </c>
    </row>
    <row r="3077">
      <c r="A3077" t="s">
        <v>22</v>
      </c>
      <c r="B3077" t="s">
        <v>20183</v>
      </c>
      <c r="C3077" t="s">
        <v>60</v>
      </c>
      <c r="D3077" t="s">
        <v>61</v>
      </c>
      <c r="E3077" t="s">
        <v>20184</v>
      </c>
      <c r="F3077" s="2" t="n">
        <f>HYPERLINK("https://patents.google.com/patent/US20150216873","Google")</f>
        <v>0.0</v>
      </c>
      <c r="G3077" s="2" t="n">
        <f>HYPERLINK("https://patentcenter.uspto.gov/applications/14614133","Patent Center")</f>
        <v>0.0</v>
      </c>
      <c r="H3077" s="2" t="n">
        <f>HYPERLINK("https://worldwide.espacenet.com/patent/search?q=US20150216873","Espacenet")</f>
        <v>0.0</v>
      </c>
      <c r="I3077" s="2" t="n">
        <f>HYPERLINK("https://ppubs.uspto.gov/pubwebapp/external.html?q=20150216873.pn.","USPTO")</f>
        <v>0.0</v>
      </c>
      <c r="J3077" s="2" t="n">
        <f>HYPERLINK("https://image-ppubs.uspto.gov/dirsearch-public/print/downloadPdf/20150216873","USPTO PDF")</f>
        <v>0.0</v>
      </c>
      <c r="K3077" s="2" t="n">
        <f>HYPERLINK("https://sectors.patentforecast.com/pmd/US20150216873","PMD")</f>
        <v>0.0</v>
      </c>
      <c r="L3077" s="2" t="n">
        <f>HYPERLINK("https://globaldossier.uspto.gov/result/application/US/14614133/1","US20150216873")</f>
        <v>0.0</v>
      </c>
      <c r="M3077" t="s">
        <v>20185</v>
      </c>
      <c r="N3077" t="s">
        <v>664</v>
      </c>
      <c r="O3077" t="s">
        <v>665</v>
      </c>
      <c r="P3077" t="s">
        <v>20186</v>
      </c>
      <c r="Q3077" s="3" t="n">
        <v>42039.0</v>
      </c>
      <c r="R3077" s="3" t="n">
        <v>42222.0</v>
      </c>
      <c r="S3077" s="3" t="n">
        <v>43952.45970642361</v>
      </c>
      <c r="T3077" s="3" t="n">
        <v>44638.662781747684</v>
      </c>
      <c r="U3077" t="s">
        <v>20187</v>
      </c>
      <c r="V3077" t="s">
        <v>20188</v>
      </c>
    </row>
    <row r="3078">
      <c r="A3078" t="s">
        <v>22</v>
      </c>
      <c r="B3078" t="s">
        <v>20189</v>
      </c>
      <c r="C3078" t="s">
        <v>60</v>
      </c>
      <c r="D3078" t="s">
        <v>2262</v>
      </c>
      <c r="E3078" t="s">
        <v>20190</v>
      </c>
      <c r="F3078" s="2" t="n">
        <f>HYPERLINK("https://patents.google.com/patent/US20150216241","Google")</f>
        <v>0.0</v>
      </c>
      <c r="G3078" s="2" t="n">
        <f>HYPERLINK("https://patentcenter.uspto.gov/applications/14173040","Patent Center")</f>
        <v>0.0</v>
      </c>
      <c r="H3078" s="2" t="n">
        <f>HYPERLINK("https://worldwide.espacenet.com/patent/search?q=US20150216241","Espacenet")</f>
        <v>0.0</v>
      </c>
      <c r="I3078" s="2" t="n">
        <f>HYPERLINK("https://ppubs.uspto.gov/pubwebapp/external.html?q=20150216241.pn.","USPTO")</f>
        <v>0.0</v>
      </c>
      <c r="J3078" s="2" t="n">
        <f>HYPERLINK("https://image-ppubs.uspto.gov/dirsearch-public/print/downloadPdf/20150216241","USPTO PDF")</f>
        <v>0.0</v>
      </c>
      <c r="K3078" s="2" t="n">
        <f>HYPERLINK("https://sectors.patentforecast.com/pmd/US20150216241","PMD")</f>
        <v>0.0</v>
      </c>
      <c r="L3078" s="2" t="n">
        <f>HYPERLINK("https://globaldossier.uspto.gov/result/application/US/14173040/1","US20150216241")</f>
        <v>0.0</v>
      </c>
      <c r="M3078" t="s">
        <v>20191</v>
      </c>
      <c r="N3078" t="s">
        <v>20192</v>
      </c>
      <c r="O3078" t="s">
        <v>20192</v>
      </c>
      <c r="P3078" t="s">
        <v>20193</v>
      </c>
      <c r="Q3078" s="3" t="n">
        <v>41675.0</v>
      </c>
      <c r="R3078" s="3" t="n">
        <v>42222.0</v>
      </c>
      <c r="S3078" s="3" t="n">
        <v>43900.43738943287</v>
      </c>
      <c r="T3078" s="3" t="n">
        <v>43901.72156467593</v>
      </c>
      <c r="U3078" t="s">
        <v>20194</v>
      </c>
      <c r="V3078" t="s">
        <v>20195</v>
      </c>
    </row>
    <row r="3079">
      <c r="A3079" t="s">
        <v>22</v>
      </c>
      <c r="B3079" t="s">
        <v>20196</v>
      </c>
      <c r="C3079" t="s">
        <v>24</v>
      </c>
      <c r="D3079" t="s">
        <v>25</v>
      </c>
      <c r="E3079" t="s">
        <v>20197</v>
      </c>
      <c r="F3079" s="2" t="n">
        <f>HYPERLINK("https://patents.google.com/patent/US20150213192","Google")</f>
        <v>0.0</v>
      </c>
      <c r="G3079" s="2" t="n">
        <f>HYPERLINK("https://patentcenter.uspto.gov/applications/14566651","Patent Center")</f>
        <v>0.0</v>
      </c>
      <c r="H3079" s="2" t="n">
        <f>HYPERLINK("https://worldwide.espacenet.com/patent/search?q=US20150213192","Espacenet")</f>
        <v>0.0</v>
      </c>
      <c r="I3079" s="2" t="n">
        <f>HYPERLINK("https://ppubs.uspto.gov/pubwebapp/external.html?q=20150213192.pn.","USPTO")</f>
        <v>0.0</v>
      </c>
      <c r="J3079" s="2" t="n">
        <f>HYPERLINK("https://image-ppubs.uspto.gov/dirsearch-public/print/downloadPdf/20150213192","USPTO PDF")</f>
        <v>0.0</v>
      </c>
      <c r="K3079" s="2" t="n">
        <f>HYPERLINK("https://sectors.patentforecast.com/pmd/US20150213192","PMD")</f>
        <v>0.0</v>
      </c>
      <c r="L3079" s="2" t="n">
        <f>HYPERLINK("https://globaldossier.uspto.gov/result/application/US/14566651/1","US20150213192")</f>
        <v>0.0</v>
      </c>
      <c r="M3079" t="s">
        <v>20198</v>
      </c>
      <c r="N3079" t="s">
        <v>20199</v>
      </c>
      <c r="O3079" t="s">
        <v>20200</v>
      </c>
      <c r="P3079" t="s">
        <v>20201</v>
      </c>
      <c r="Q3079" s="3" t="n">
        <v>41983.0</v>
      </c>
      <c r="R3079" s="3" t="n">
        <v>42215.0</v>
      </c>
      <c r="S3079" s="3" t="n">
        <v>43266.45736693287</v>
      </c>
      <c r="T3079" s="3" t="n">
        <v>43903.49497351852</v>
      </c>
      <c r="U3079" t="s">
        <v>20202</v>
      </c>
      <c r="V3079" t="s">
        <v>20203</v>
      </c>
    </row>
    <row r="3080">
      <c r="A3080" t="s">
        <v>22</v>
      </c>
      <c r="B3080" t="s">
        <v>20204</v>
      </c>
      <c r="C3080" t="s">
        <v>132</v>
      </c>
      <c r="D3080" t="s">
        <v>142</v>
      </c>
      <c r="E3080" t="s">
        <v>20205</v>
      </c>
      <c r="F3080" s="2" t="n">
        <f>HYPERLINK("https://patents.google.com/patent/US20150211039","Google")</f>
        <v>0.0</v>
      </c>
      <c r="G3080" s="2" t="n">
        <f>HYPERLINK("https://patentcenter.uspto.gov/applications/14421291","Patent Center")</f>
        <v>0.0</v>
      </c>
      <c r="H3080" s="2" t="n">
        <f>HYPERLINK("https://worldwide.espacenet.com/patent/search?q=US20150211039","Espacenet")</f>
        <v>0.0</v>
      </c>
      <c r="I3080" s="2" t="n">
        <f>HYPERLINK("https://ppubs.uspto.gov/pubwebapp/external.html?q=20150211039.pn.","USPTO")</f>
        <v>0.0</v>
      </c>
      <c r="J3080" s="2" t="n">
        <f>HYPERLINK("https://image-ppubs.uspto.gov/dirsearch-public/print/downloadPdf/20150211039","USPTO PDF")</f>
        <v>0.0</v>
      </c>
      <c r="K3080" s="2" t="n">
        <f>HYPERLINK("https://sectors.patentforecast.com/pmd/US20150211039","PMD")</f>
        <v>0.0</v>
      </c>
      <c r="L3080" s="2" t="n">
        <f>HYPERLINK("https://globaldossier.uspto.gov/result/application/US/14421291/1","US20150211039")</f>
        <v>0.0</v>
      </c>
      <c r="M3080" t="s">
        <v>20206</v>
      </c>
      <c r="N3080" t="s">
        <v>145</v>
      </c>
      <c r="O3080" t="s">
        <v>146</v>
      </c>
      <c r="P3080" t="s">
        <v>20207</v>
      </c>
      <c r="Q3080" s="3" t="n">
        <v>41499.0</v>
      </c>
      <c r="R3080" s="3" t="n">
        <v>42215.0</v>
      </c>
      <c r="S3080" s="3" t="n">
        <v>43909.454047997686</v>
      </c>
      <c r="T3080" s="3" t="n">
        <v>43950.49681460648</v>
      </c>
      <c r="U3080" t="s">
        <v>20208</v>
      </c>
      <c r="V3080" t="s">
        <v>20209</v>
      </c>
    </row>
    <row r="3081">
      <c r="A3081" t="s">
        <v>22</v>
      </c>
      <c r="B3081" t="s">
        <v>20210</v>
      </c>
      <c r="C3081" t="s">
        <v>60</v>
      </c>
      <c r="D3081" t="s">
        <v>77</v>
      </c>
      <c r="E3081" t="s">
        <v>16642</v>
      </c>
      <c r="F3081" s="2" t="n">
        <f>HYPERLINK("https://patents.google.com/patent/US20150209425","Google")</f>
        <v>0.0</v>
      </c>
      <c r="G3081" s="2" t="n">
        <f>HYPERLINK("https://patentcenter.uspto.gov/applications/14587116","Patent Center")</f>
        <v>0.0</v>
      </c>
      <c r="H3081" s="2" t="n">
        <f>HYPERLINK("https://worldwide.espacenet.com/patent/search?q=US20150209425","Espacenet")</f>
        <v>0.0</v>
      </c>
      <c r="I3081" s="2" t="n">
        <f>HYPERLINK("https://ppubs.uspto.gov/pubwebapp/external.html?q=20150209425.pn.","USPTO")</f>
        <v>0.0</v>
      </c>
      <c r="J3081" s="2" t="n">
        <f>HYPERLINK("https://image-ppubs.uspto.gov/dirsearch-public/print/downloadPdf/20150209425","USPTO PDF")</f>
        <v>0.0</v>
      </c>
      <c r="K3081" s="2" t="n">
        <f>HYPERLINK("https://sectors.patentforecast.com/pmd/US20150209425","PMD")</f>
        <v>0.0</v>
      </c>
      <c r="L3081" s="2" t="n">
        <f>HYPERLINK("https://globaldossier.uspto.gov/result/application/US/14587116/1","US20150209425")</f>
        <v>0.0</v>
      </c>
      <c r="M3081" t="s">
        <v>20211</v>
      </c>
      <c r="N3081" t="s">
        <v>1275</v>
      </c>
      <c r="O3081" t="s">
        <v>1275</v>
      </c>
      <c r="P3081" t="s">
        <v>20212</v>
      </c>
      <c r="Q3081" s="3" t="n">
        <v>42004.0</v>
      </c>
      <c r="R3081" s="3" t="n">
        <v>42215.0</v>
      </c>
      <c r="S3081" s="3" t="n">
        <v>44019.68541525463</v>
      </c>
      <c r="T3081" s="3" t="n">
        <v>44020.62294634259</v>
      </c>
      <c r="U3081" t="s">
        <v>20213</v>
      </c>
      <c r="V3081" t="s">
        <v>20214</v>
      </c>
    </row>
    <row r="3082">
      <c r="A3082" t="s">
        <v>22</v>
      </c>
      <c r="B3082" t="s">
        <v>20215</v>
      </c>
      <c r="C3082" t="s">
        <v>60</v>
      </c>
      <c r="D3082" t="s">
        <v>61</v>
      </c>
      <c r="E3082" t="s">
        <v>17318</v>
      </c>
      <c r="F3082" s="2" t="n">
        <f>HYPERLINK("https://patents.google.com/patent/US20150203525","Google")</f>
        <v>0.0</v>
      </c>
      <c r="G3082" s="2" t="n">
        <f>HYPERLINK("https://patentcenter.uspto.gov/applications/14615357","Patent Center")</f>
        <v>0.0</v>
      </c>
      <c r="H3082" s="2" t="n">
        <f>HYPERLINK("https://worldwide.espacenet.com/patent/search?q=US20150203525","Espacenet")</f>
        <v>0.0</v>
      </c>
      <c r="I3082" s="2" t="n">
        <f>HYPERLINK("https://ppubs.uspto.gov/pubwebapp/external.html?q=20150203525.pn.","USPTO")</f>
        <v>0.0</v>
      </c>
      <c r="J3082" s="2" t="n">
        <f>HYPERLINK("https://image-ppubs.uspto.gov/dirsearch-public/print/downloadPdf/20150203525","USPTO PDF")</f>
        <v>0.0</v>
      </c>
      <c r="K3082" s="2" t="n">
        <f>HYPERLINK("https://sectors.patentforecast.com/pmd/US20150203525","PMD")</f>
        <v>0.0</v>
      </c>
      <c r="L3082" s="2" t="n">
        <f>HYPERLINK("https://globaldossier.uspto.gov/result/application/US/14615357/1","US20150203525")</f>
        <v>0.0</v>
      </c>
      <c r="M3082" t="s">
        <v>20216</v>
      </c>
      <c r="N3082" t="s">
        <v>664</v>
      </c>
      <c r="O3082" t="s">
        <v>665</v>
      </c>
      <c r="P3082" t="s">
        <v>20217</v>
      </c>
      <c r="Q3082" s="3" t="n">
        <v>42040.0</v>
      </c>
      <c r="R3082" s="3" t="n">
        <v>42208.0</v>
      </c>
      <c r="S3082" s="3" t="n">
        <v>43952.45970642361</v>
      </c>
      <c r="T3082" s="3" t="n">
        <v>44638.65817765046</v>
      </c>
      <c r="U3082" t="s">
        <v>20218</v>
      </c>
      <c r="V3082" t="s">
        <v>17322</v>
      </c>
    </row>
    <row r="3083">
      <c r="A3083" t="s">
        <v>22</v>
      </c>
      <c r="B3083" t="s">
        <v>20219</v>
      </c>
      <c r="C3083" t="s">
        <v>24</v>
      </c>
      <c r="D3083" t="s">
        <v>25</v>
      </c>
      <c r="E3083" t="s">
        <v>20220</v>
      </c>
      <c r="F3083" s="2" t="n">
        <f>HYPERLINK("https://patents.google.com/patent/US20150198596","Google")</f>
        <v>0.0</v>
      </c>
      <c r="G3083" s="2" t="n">
        <f>HYPERLINK("https://patentcenter.uspto.gov/applications/14669847","Patent Center")</f>
        <v>0.0</v>
      </c>
      <c r="H3083" s="2" t="n">
        <f>HYPERLINK("https://worldwide.espacenet.com/patent/search?q=US20150198596","Espacenet")</f>
        <v>0.0</v>
      </c>
      <c r="I3083" s="2" t="n">
        <f>HYPERLINK("https://ppubs.uspto.gov/pubwebapp/external.html?q=20150198596.pn.","USPTO")</f>
        <v>0.0</v>
      </c>
      <c r="J3083" s="2" t="n">
        <f>HYPERLINK("https://image-ppubs.uspto.gov/dirsearch-public/print/downloadPdf/20150198596","USPTO PDF")</f>
        <v>0.0</v>
      </c>
      <c r="K3083" s="2" t="n">
        <f>HYPERLINK("https://sectors.patentforecast.com/pmd/US20150198596","PMD")</f>
        <v>0.0</v>
      </c>
      <c r="L3083" s="2" t="n">
        <f>HYPERLINK("https://globaldossier.uspto.gov/result/application/US/14669847/1","US20150198596")</f>
        <v>0.0</v>
      </c>
      <c r="M3083" t="s">
        <v>20221</v>
      </c>
      <c r="N3083" t="s">
        <v>947</v>
      </c>
      <c r="O3083" t="s">
        <v>948</v>
      </c>
      <c r="P3083" t="s">
        <v>20222</v>
      </c>
      <c r="Q3083" s="3" t="n">
        <v>42089.0</v>
      </c>
      <c r="R3083" s="3" t="n">
        <v>42201.0</v>
      </c>
      <c r="S3083" s="3" t="n">
        <v>43966.48284532408</v>
      </c>
      <c r="T3083" s="3" t="n">
        <v>43990.71925444445</v>
      </c>
      <c r="U3083" t="s">
        <v>20223</v>
      </c>
      <c r="V3083" t="s">
        <v>20224</v>
      </c>
    </row>
    <row r="3084">
      <c r="A3084" t="s">
        <v>22</v>
      </c>
      <c r="B3084" t="s">
        <v>20225</v>
      </c>
      <c r="C3084" t="s">
        <v>60</v>
      </c>
      <c r="D3084" t="s">
        <v>696</v>
      </c>
      <c r="E3084" t="s">
        <v>16925</v>
      </c>
      <c r="F3084" s="2" t="n">
        <f>HYPERLINK("https://patents.google.com/patent/US20150197567","Google")</f>
        <v>0.0</v>
      </c>
      <c r="G3084" s="2" t="n">
        <f>HYPERLINK("https://patentcenter.uspto.gov/applications/14604419","Patent Center")</f>
        <v>0.0</v>
      </c>
      <c r="H3084" s="2" t="n">
        <f>HYPERLINK("https://worldwide.espacenet.com/patent/search?q=US20150197567","Espacenet")</f>
        <v>0.0</v>
      </c>
      <c r="I3084" s="2" t="n">
        <f>HYPERLINK("https://ppubs.uspto.gov/pubwebapp/external.html?q=20150197567.pn.","USPTO")</f>
        <v>0.0</v>
      </c>
      <c r="J3084" s="2" t="n">
        <f>HYPERLINK("https://image-ppubs.uspto.gov/dirsearch-public/print/downloadPdf/20150197567","USPTO PDF")</f>
        <v>0.0</v>
      </c>
      <c r="K3084" s="2" t="n">
        <f>HYPERLINK("https://sectors.patentforecast.com/pmd/US20150197567","PMD")</f>
        <v>0.0</v>
      </c>
      <c r="L3084" s="2" t="n">
        <f>HYPERLINK("https://globaldossier.uspto.gov/result/application/US/14604419/1","US20150197567")</f>
        <v>0.0</v>
      </c>
      <c r="M3084" t="s">
        <v>20226</v>
      </c>
      <c r="N3084" t="s">
        <v>16927</v>
      </c>
      <c r="O3084" t="s">
        <v>16928</v>
      </c>
      <c r="P3084" t="s">
        <v>20227</v>
      </c>
      <c r="Q3084" s="3" t="n">
        <v>42027.0</v>
      </c>
      <c r="R3084" s="3" t="n">
        <v>42201.0</v>
      </c>
      <c r="S3084" s="3" t="n">
        <v>43966.48284532408</v>
      </c>
      <c r="T3084" s="3" t="n">
        <v>44643.44490069444</v>
      </c>
      <c r="U3084" t="s">
        <v>20228</v>
      </c>
      <c r="V3084" t="s">
        <v>20229</v>
      </c>
    </row>
    <row r="3085">
      <c r="A3085" t="s">
        <v>22</v>
      </c>
      <c r="B3085" t="s">
        <v>20230</v>
      </c>
      <c r="C3085" t="s">
        <v>60</v>
      </c>
      <c r="D3085" t="s">
        <v>61</v>
      </c>
      <c r="E3085" t="s">
        <v>19372</v>
      </c>
      <c r="F3085" s="2" t="n">
        <f>HYPERLINK("https://patents.google.com/patent/US20150196619","Google")</f>
        <v>0.0</v>
      </c>
      <c r="G3085" s="2" t="n">
        <f>HYPERLINK("https://patentcenter.uspto.gov/applications/14588616","Patent Center")</f>
        <v>0.0</v>
      </c>
      <c r="H3085" s="2" t="n">
        <f>HYPERLINK("https://worldwide.espacenet.com/patent/search?q=US20150196619","Espacenet")</f>
        <v>0.0</v>
      </c>
      <c r="I3085" s="2" t="n">
        <f>HYPERLINK("https://ppubs.uspto.gov/pubwebapp/external.html?q=20150196619.pn.","USPTO")</f>
        <v>0.0</v>
      </c>
      <c r="J3085" s="2" t="n">
        <f>HYPERLINK("https://image-ppubs.uspto.gov/dirsearch-public/print/downloadPdf/20150196619","USPTO PDF")</f>
        <v>0.0</v>
      </c>
      <c r="K3085" s="2" t="n">
        <f>HYPERLINK("https://sectors.patentforecast.com/pmd/US20150196619","PMD")</f>
        <v>0.0</v>
      </c>
      <c r="L3085" s="2" t="n">
        <f>HYPERLINK("https://globaldossier.uspto.gov/result/application/US/14588616/1","US20150196619")</f>
        <v>0.0</v>
      </c>
      <c r="M3085" t="s">
        <v>20231</v>
      </c>
      <c r="N3085" t="s">
        <v>16831</v>
      </c>
      <c r="O3085" t="s">
        <v>16832</v>
      </c>
      <c r="P3085" t="s">
        <v>16833</v>
      </c>
      <c r="Q3085" s="3" t="n">
        <v>42006.0</v>
      </c>
      <c r="R3085" s="3" t="n">
        <v>42201.0</v>
      </c>
      <c r="S3085" s="3" t="n">
        <v>43900.43738943287</v>
      </c>
      <c r="T3085" s="3" t="n">
        <v>43903.48463237269</v>
      </c>
      <c r="U3085" t="s">
        <v>16834</v>
      </c>
      <c r="V3085" t="s">
        <v>19374</v>
      </c>
    </row>
    <row r="3086">
      <c r="A3086" t="s">
        <v>22</v>
      </c>
      <c r="B3086" t="s">
        <v>20232</v>
      </c>
      <c r="C3086" t="s">
        <v>24</v>
      </c>
      <c r="D3086" t="s">
        <v>25</v>
      </c>
      <c r="E3086" t="s">
        <v>16917</v>
      </c>
      <c r="F3086" s="2" t="n">
        <f>HYPERLINK("https://patents.google.com/patent/US20150186566","Google")</f>
        <v>0.0</v>
      </c>
      <c r="G3086" s="2" t="n">
        <f>HYPERLINK("https://patentcenter.uspto.gov/applications/14358613","Patent Center")</f>
        <v>0.0</v>
      </c>
      <c r="H3086" s="2" t="n">
        <f>HYPERLINK("https://worldwide.espacenet.com/patent/search?q=US20150186566","Espacenet")</f>
        <v>0.0</v>
      </c>
      <c r="I3086" s="2" t="n">
        <f>HYPERLINK("https://ppubs.uspto.gov/pubwebapp/external.html?q=20150186566.pn.","USPTO")</f>
        <v>0.0</v>
      </c>
      <c r="J3086" s="2" t="n">
        <f>HYPERLINK("https://image-ppubs.uspto.gov/dirsearch-public/print/downloadPdf/20150186566","USPTO PDF")</f>
        <v>0.0</v>
      </c>
      <c r="K3086" s="2" t="n">
        <f>HYPERLINK("https://sectors.patentforecast.com/pmd/US20150186566","PMD")</f>
        <v>0.0</v>
      </c>
      <c r="L3086" s="2" t="n">
        <f>HYPERLINK("https://globaldossier.uspto.gov/result/application/US/14358613/1","US20150186566")</f>
        <v>0.0</v>
      </c>
      <c r="M3086" t="s">
        <v>20233</v>
      </c>
      <c r="N3086" t="s">
        <v>16919</v>
      </c>
      <c r="O3086" t="s">
        <v>16920</v>
      </c>
      <c r="P3086" t="s">
        <v>20234</v>
      </c>
      <c r="Q3086" s="3" t="n">
        <v>41766.0</v>
      </c>
      <c r="R3086" s="3" t="n">
        <v>42187.0</v>
      </c>
      <c r="S3086" s="3" t="n">
        <v>43266.45736693287</v>
      </c>
      <c r="T3086" s="3" t="n">
        <v>43950.401388356484</v>
      </c>
      <c r="U3086" t="s">
        <v>20235</v>
      </c>
      <c r="V3086" t="s">
        <v>16923</v>
      </c>
    </row>
    <row r="3087">
      <c r="A3087" t="s">
        <v>22</v>
      </c>
      <c r="B3087" t="s">
        <v>20236</v>
      </c>
      <c r="C3087" t="s">
        <v>60</v>
      </c>
      <c r="D3087" t="s">
        <v>61</v>
      </c>
      <c r="E3087" t="s">
        <v>18663</v>
      </c>
      <c r="F3087" s="2" t="n">
        <f>HYPERLINK("https://patents.google.com/patent/US20150182547","Google")</f>
        <v>0.0</v>
      </c>
      <c r="G3087" s="2" t="n">
        <f>HYPERLINK("https://patentcenter.uspto.gov/applications/14585011","Patent Center")</f>
        <v>0.0</v>
      </c>
      <c r="H3087" s="2" t="n">
        <f>HYPERLINK("https://worldwide.espacenet.com/patent/search?q=US20150182547","Espacenet")</f>
        <v>0.0</v>
      </c>
      <c r="I3087" s="2" t="n">
        <f>HYPERLINK("https://ppubs.uspto.gov/pubwebapp/external.html?q=20150182547.pn.","USPTO")</f>
        <v>0.0</v>
      </c>
      <c r="J3087" s="2" t="n">
        <f>HYPERLINK("https://image-ppubs.uspto.gov/dirsearch-public/print/downloadPdf/20150182547","USPTO PDF")</f>
        <v>0.0</v>
      </c>
      <c r="K3087" s="2" t="n">
        <f>HYPERLINK("https://sectors.patentforecast.com/pmd/US20150182547","PMD")</f>
        <v>0.0</v>
      </c>
      <c r="L3087" s="2" t="n">
        <f>HYPERLINK("https://globaldossier.uspto.gov/result/application/US/14585011/1","US20150182547")</f>
        <v>0.0</v>
      </c>
      <c r="M3087" t="s">
        <v>20237</v>
      </c>
      <c r="N3087" t="s">
        <v>664</v>
      </c>
      <c r="O3087" t="s">
        <v>665</v>
      </c>
      <c r="P3087" t="s">
        <v>20238</v>
      </c>
      <c r="Q3087" s="3" t="n">
        <v>42002.0</v>
      </c>
      <c r="R3087" s="3" t="n">
        <v>42187.0</v>
      </c>
      <c r="S3087" s="3" t="n">
        <v>43952.45970642361</v>
      </c>
      <c r="T3087" s="3" t="n">
        <v>44638.662781747684</v>
      </c>
      <c r="U3087" t="s">
        <v>20239</v>
      </c>
      <c r="V3087" t="s">
        <v>18667</v>
      </c>
    </row>
    <row r="3088">
      <c r="A3088" t="s">
        <v>22</v>
      </c>
      <c r="B3088" t="s">
        <v>20240</v>
      </c>
      <c r="C3088" t="s">
        <v>60</v>
      </c>
      <c r="D3088" t="s">
        <v>61</v>
      </c>
      <c r="E3088" t="s">
        <v>17306</v>
      </c>
      <c r="F3088" s="2" t="n">
        <f>HYPERLINK("https://patents.google.com/patent/US20150175655","Google")</f>
        <v>0.0</v>
      </c>
      <c r="G3088" s="2" t="n">
        <f>HYPERLINK("https://patentcenter.uspto.gov/applications/14412331","Patent Center")</f>
        <v>0.0</v>
      </c>
      <c r="H3088" s="2" t="n">
        <f>HYPERLINK("https://worldwide.espacenet.com/patent/search?q=US20150175655","Espacenet")</f>
        <v>0.0</v>
      </c>
      <c r="I3088" s="2" t="n">
        <f>HYPERLINK("https://ppubs.uspto.gov/pubwebapp/external.html?q=20150175655.pn.","USPTO")</f>
        <v>0.0</v>
      </c>
      <c r="J3088" s="2" t="n">
        <f>HYPERLINK("https://image-ppubs.uspto.gov/dirsearch-public/print/downloadPdf/20150175655","USPTO PDF")</f>
        <v>0.0</v>
      </c>
      <c r="K3088" s="2" t="n">
        <f>HYPERLINK("https://sectors.patentforecast.com/pmd/US20150175655","PMD")</f>
        <v>0.0</v>
      </c>
      <c r="L3088" s="2" t="n">
        <f>HYPERLINK("https://globaldossier.uspto.gov/result/application/US/14412331/1","US20150175655")</f>
        <v>0.0</v>
      </c>
      <c r="M3088" t="s">
        <v>20241</v>
      </c>
      <c r="N3088" t="s">
        <v>664</v>
      </c>
      <c r="O3088" t="s">
        <v>665</v>
      </c>
      <c r="P3088" t="s">
        <v>20242</v>
      </c>
      <c r="Q3088" s="3" t="n">
        <v>41457.0</v>
      </c>
      <c r="R3088" s="3" t="n">
        <v>42180.0</v>
      </c>
      <c r="S3088" s="3" t="n">
        <v>43952.45970642361</v>
      </c>
      <c r="T3088" s="3" t="n">
        <v>44638.65643378472</v>
      </c>
      <c r="U3088" t="s">
        <v>20243</v>
      </c>
      <c r="V3088" t="s">
        <v>20244</v>
      </c>
    </row>
    <row r="3089">
      <c r="A3089" t="s">
        <v>22</v>
      </c>
      <c r="B3089" t="s">
        <v>20245</v>
      </c>
      <c r="C3089" t="s">
        <v>60</v>
      </c>
      <c r="D3089" t="s">
        <v>61</v>
      </c>
      <c r="E3089" t="s">
        <v>17494</v>
      </c>
      <c r="F3089" s="2" t="n">
        <f>HYPERLINK("https://patents.google.com/patent/US20150175646","Google")</f>
        <v>0.0</v>
      </c>
      <c r="G3089" s="2" t="n">
        <f>HYPERLINK("https://patentcenter.uspto.gov/applications/14563639","Patent Center")</f>
        <v>0.0</v>
      </c>
      <c r="H3089" s="2" t="n">
        <f>HYPERLINK("https://worldwide.espacenet.com/patent/search?q=US20150175646","Espacenet")</f>
        <v>0.0</v>
      </c>
      <c r="I3089" s="2" t="n">
        <f>HYPERLINK("https://ppubs.uspto.gov/pubwebapp/external.html?q=20150175646.pn.","USPTO")</f>
        <v>0.0</v>
      </c>
      <c r="J3089" s="2" t="n">
        <f>HYPERLINK("https://image-ppubs.uspto.gov/dirsearch-public/print/downloadPdf/20150175646","USPTO PDF")</f>
        <v>0.0</v>
      </c>
      <c r="K3089" s="2" t="n">
        <f>HYPERLINK("https://sectors.patentforecast.com/pmd/US20150175646","PMD")</f>
        <v>0.0</v>
      </c>
      <c r="L3089" s="2" t="n">
        <f>HYPERLINK("https://globaldossier.uspto.gov/result/application/US/14563639/1","US20150175646")</f>
        <v>0.0</v>
      </c>
      <c r="M3089" t="s">
        <v>20246</v>
      </c>
      <c r="N3089" t="s">
        <v>664</v>
      </c>
      <c r="O3089" t="s">
        <v>665</v>
      </c>
      <c r="P3089" t="s">
        <v>20247</v>
      </c>
      <c r="Q3089" s="3" t="n">
        <v>41981.0</v>
      </c>
      <c r="R3089" s="3" t="n">
        <v>42180.0</v>
      </c>
      <c r="S3089" s="3" t="n">
        <v>43952.45970642361</v>
      </c>
      <c r="T3089" s="3" t="n">
        <v>44638.65271974537</v>
      </c>
      <c r="U3089" t="s">
        <v>20248</v>
      </c>
      <c r="V3089" t="s">
        <v>20249</v>
      </c>
    </row>
    <row r="3090">
      <c r="A3090" t="s">
        <v>22</v>
      </c>
      <c r="B3090" t="s">
        <v>20250</v>
      </c>
      <c r="C3090" t="s">
        <v>60</v>
      </c>
      <c r="D3090" t="s">
        <v>61</v>
      </c>
      <c r="E3090" t="s">
        <v>19125</v>
      </c>
      <c r="F3090" s="2" t="n">
        <f>HYPERLINK("https://patents.google.com/patent/US20150175626","Google")</f>
        <v>0.0</v>
      </c>
      <c r="G3090" s="2" t="n">
        <f>HYPERLINK("https://patentcenter.uspto.gov/applications/14576143","Patent Center")</f>
        <v>0.0</v>
      </c>
      <c r="H3090" s="2" t="n">
        <f>HYPERLINK("https://worldwide.espacenet.com/patent/search?q=US20150175626","Espacenet")</f>
        <v>0.0</v>
      </c>
      <c r="I3090" s="2" t="n">
        <f>HYPERLINK("https://ppubs.uspto.gov/pubwebapp/external.html?q=20150175626.pn.","USPTO")</f>
        <v>0.0</v>
      </c>
      <c r="J3090" s="2" t="n">
        <f>HYPERLINK("https://image-ppubs.uspto.gov/dirsearch-public/print/downloadPdf/20150175626","USPTO PDF")</f>
        <v>0.0</v>
      </c>
      <c r="K3090" s="2" t="n">
        <f>HYPERLINK("https://sectors.patentforecast.com/pmd/US20150175626","PMD")</f>
        <v>0.0</v>
      </c>
      <c r="L3090" s="2" t="n">
        <f>HYPERLINK("https://globaldossier.uspto.gov/result/application/US/14576143/1","US20150175626")</f>
        <v>0.0</v>
      </c>
      <c r="M3090" t="s">
        <v>20251</v>
      </c>
      <c r="N3090" t="s">
        <v>664</v>
      </c>
      <c r="O3090" t="s">
        <v>665</v>
      </c>
      <c r="P3090" t="s">
        <v>20252</v>
      </c>
      <c r="Q3090" s="3" t="n">
        <v>41991.0</v>
      </c>
      <c r="R3090" s="3" t="n">
        <v>42180.0</v>
      </c>
      <c r="S3090" s="3" t="n">
        <v>43950.647371782405</v>
      </c>
      <c r="T3090" s="3" t="n">
        <v>44638.65271974537</v>
      </c>
      <c r="U3090" t="s">
        <v>20253</v>
      </c>
      <c r="V3090" t="s">
        <v>19129</v>
      </c>
    </row>
    <row r="3091">
      <c r="A3091" t="s">
        <v>22</v>
      </c>
      <c r="B3091" t="s">
        <v>20254</v>
      </c>
      <c r="C3091" t="s">
        <v>60</v>
      </c>
      <c r="D3091" t="s">
        <v>61</v>
      </c>
      <c r="E3091" t="s">
        <v>19033</v>
      </c>
      <c r="F3091" s="2" t="n">
        <f>HYPERLINK("https://patents.google.com/patent/US20150175625","Google")</f>
        <v>0.0</v>
      </c>
      <c r="G3091" s="2" t="n">
        <f>HYPERLINK("https://patentcenter.uspto.gov/applications/14575966","Patent Center")</f>
        <v>0.0</v>
      </c>
      <c r="H3091" s="2" t="n">
        <f>HYPERLINK("https://worldwide.espacenet.com/patent/search?q=US20150175625","Espacenet")</f>
        <v>0.0</v>
      </c>
      <c r="I3091" s="2" t="n">
        <f>HYPERLINK("https://ppubs.uspto.gov/pubwebapp/external.html?q=20150175625.pn.","USPTO")</f>
        <v>0.0</v>
      </c>
      <c r="J3091" s="2" t="n">
        <f>HYPERLINK("https://image-ppubs.uspto.gov/dirsearch-public/print/downloadPdf/20150175625","USPTO PDF")</f>
        <v>0.0</v>
      </c>
      <c r="K3091" s="2" t="n">
        <f>HYPERLINK("https://sectors.patentforecast.com/pmd/US20150175625","PMD")</f>
        <v>0.0</v>
      </c>
      <c r="L3091" s="2" t="n">
        <f>HYPERLINK("https://globaldossier.uspto.gov/result/application/US/14575966/1","US20150175625")</f>
        <v>0.0</v>
      </c>
      <c r="M3091" t="s">
        <v>20255</v>
      </c>
      <c r="N3091" t="s">
        <v>664</v>
      </c>
      <c r="O3091" t="s">
        <v>665</v>
      </c>
      <c r="P3091" t="s">
        <v>20256</v>
      </c>
      <c r="Q3091" s="3" t="n">
        <v>41991.0</v>
      </c>
      <c r="R3091" s="3" t="n">
        <v>42180.0</v>
      </c>
      <c r="S3091" s="3" t="n">
        <v>43952.45970642361</v>
      </c>
      <c r="T3091" s="3" t="n">
        <v>44638.65271974537</v>
      </c>
      <c r="U3091" t="s">
        <v>20257</v>
      </c>
      <c r="V3091" t="s">
        <v>19037</v>
      </c>
    </row>
    <row r="3092">
      <c r="A3092" t="s">
        <v>22</v>
      </c>
      <c r="B3092" t="s">
        <v>20258</v>
      </c>
      <c r="C3092" t="s">
        <v>132</v>
      </c>
      <c r="D3092" t="s">
        <v>2629</v>
      </c>
      <c r="E3092" t="s">
        <v>20259</v>
      </c>
      <c r="F3092" s="2" t="n">
        <f>HYPERLINK("https://patents.google.com/patent/US20150166612","Google")</f>
        <v>0.0</v>
      </c>
      <c r="G3092" s="2" t="n">
        <f>HYPERLINK("https://patentcenter.uspto.gov/applications/14552079","Patent Center")</f>
        <v>0.0</v>
      </c>
      <c r="H3092" s="2" t="n">
        <f>HYPERLINK("https://worldwide.espacenet.com/patent/search?q=US20150166612","Espacenet")</f>
        <v>0.0</v>
      </c>
      <c r="I3092" s="2" t="n">
        <f>HYPERLINK("https://ppubs.uspto.gov/pubwebapp/external.html?q=20150166612.pn.","USPTO")</f>
        <v>0.0</v>
      </c>
      <c r="J3092" s="2" t="n">
        <f>HYPERLINK("https://image-ppubs.uspto.gov/dirsearch-public/print/downloadPdf/20150166612","USPTO PDF")</f>
        <v>0.0</v>
      </c>
      <c r="K3092" s="2" t="n">
        <f>HYPERLINK("https://sectors.patentforecast.com/pmd/US20150166612","PMD")</f>
        <v>0.0</v>
      </c>
      <c r="L3092" s="2" t="n">
        <f>HYPERLINK("https://globaldossier.uspto.gov/result/application/US/14552079/1","US20150166612")</f>
        <v>0.0</v>
      </c>
      <c r="M3092" t="s">
        <v>20260</v>
      </c>
      <c r="N3092" t="s">
        <v>2541</v>
      </c>
      <c r="O3092" t="s">
        <v>2542</v>
      </c>
      <c r="P3092" t="s">
        <v>20261</v>
      </c>
      <c r="Q3092" s="3" t="n">
        <v>41967.0</v>
      </c>
      <c r="R3092" s="3" t="n">
        <v>42173.0</v>
      </c>
      <c r="S3092" s="3" t="n">
        <v>43936.46037263889</v>
      </c>
      <c r="T3092" s="3" t="n">
        <v>43950.42402332176</v>
      </c>
      <c r="U3092" t="s">
        <v>20262</v>
      </c>
      <c r="V3092" t="s">
        <v>20263</v>
      </c>
    </row>
    <row r="3093">
      <c r="A3093" t="s">
        <v>22</v>
      </c>
      <c r="B3093" t="s">
        <v>20264</v>
      </c>
      <c r="C3093" t="s">
        <v>60</v>
      </c>
      <c r="D3093" t="s">
        <v>61</v>
      </c>
      <c r="E3093" t="s">
        <v>19578</v>
      </c>
      <c r="F3093" s="2" t="n">
        <f>HYPERLINK("https://patents.google.com/patent/US20150166546","Google")</f>
        <v>0.0</v>
      </c>
      <c r="G3093" s="2" t="n">
        <f>HYPERLINK("https://patentcenter.uspto.gov/applications/14566340","Patent Center")</f>
        <v>0.0</v>
      </c>
      <c r="H3093" s="2" t="n">
        <f>HYPERLINK("https://worldwide.espacenet.com/patent/search?q=US20150166546","Espacenet")</f>
        <v>0.0</v>
      </c>
      <c r="I3093" s="2" t="n">
        <f>HYPERLINK("https://ppubs.uspto.gov/pubwebapp/external.html?q=20150166546.pn.","USPTO")</f>
        <v>0.0</v>
      </c>
      <c r="J3093" s="2" t="n">
        <f>HYPERLINK("https://image-ppubs.uspto.gov/dirsearch-public/print/downloadPdf/20150166546","USPTO PDF")</f>
        <v>0.0</v>
      </c>
      <c r="K3093" s="2" t="n">
        <f>HYPERLINK("https://sectors.patentforecast.com/pmd/US20150166546","PMD")</f>
        <v>0.0</v>
      </c>
      <c r="L3093" s="2" t="n">
        <f>HYPERLINK("https://globaldossier.uspto.gov/result/application/US/14566340/1","US20150166546")</f>
        <v>0.0</v>
      </c>
      <c r="M3093" t="s">
        <v>20265</v>
      </c>
      <c r="N3093" t="s">
        <v>664</v>
      </c>
      <c r="O3093" t="s">
        <v>665</v>
      </c>
      <c r="P3093" t="s">
        <v>20266</v>
      </c>
      <c r="Q3093" s="3" t="n">
        <v>41983.0</v>
      </c>
      <c r="R3093" s="3" t="n">
        <v>42173.0</v>
      </c>
      <c r="S3093" s="3" t="n">
        <v>43952.46140905093</v>
      </c>
      <c r="T3093" s="3" t="n">
        <v>44638.65271974537</v>
      </c>
      <c r="U3093" t="s">
        <v>20267</v>
      </c>
      <c r="V3093" t="s">
        <v>19582</v>
      </c>
    </row>
    <row r="3094">
      <c r="A3094" t="s">
        <v>22</v>
      </c>
      <c r="B3094" t="s">
        <v>20268</v>
      </c>
      <c r="C3094" t="s">
        <v>861</v>
      </c>
      <c r="D3094" t="s">
        <v>20269</v>
      </c>
      <c r="E3094" t="s">
        <v>17500</v>
      </c>
      <c r="F3094" s="2" t="n">
        <f>HYPERLINK("https://patents.google.com/patent/US20150163312","Google")</f>
        <v>0.0</v>
      </c>
      <c r="G3094" s="2" t="n">
        <f>HYPERLINK("https://patentcenter.uspto.gov/applications/14561564","Patent Center")</f>
        <v>0.0</v>
      </c>
      <c r="H3094" s="2" t="n">
        <f>HYPERLINK("https://worldwide.espacenet.com/patent/search?q=US20150163312","Espacenet")</f>
        <v>0.0</v>
      </c>
      <c r="I3094" s="2" t="n">
        <f>HYPERLINK("https://ppubs.uspto.gov/pubwebapp/external.html?q=20150163312.pn.","USPTO")</f>
        <v>0.0</v>
      </c>
      <c r="J3094" s="2" t="n">
        <f>HYPERLINK("https://image-ppubs.uspto.gov/dirsearch-public/print/downloadPdf/20150163312","USPTO PDF")</f>
        <v>0.0</v>
      </c>
      <c r="K3094" s="2" t="n">
        <f>HYPERLINK("https://sectors.patentforecast.com/pmd/US20150163312","PMD")</f>
        <v>0.0</v>
      </c>
      <c r="L3094" s="2" t="n">
        <f>HYPERLINK("https://globaldossier.uspto.gov/result/application/US/14561564/1","US20150163312")</f>
        <v>0.0</v>
      </c>
      <c r="M3094" t="s">
        <v>20270</v>
      </c>
      <c r="N3094" t="s">
        <v>17502</v>
      </c>
      <c r="O3094" t="s">
        <v>17503</v>
      </c>
      <c r="P3094" t="s">
        <v>17504</v>
      </c>
      <c r="Q3094" s="3" t="n">
        <v>41978.0</v>
      </c>
      <c r="R3094" s="3" t="n">
        <v>42166.0</v>
      </c>
      <c r="S3094" s="3" t="n">
        <v>43266.45736743056</v>
      </c>
      <c r="T3094" s="3" t="n">
        <v>43903.484632719905</v>
      </c>
      <c r="U3094" t="s">
        <v>20271</v>
      </c>
      <c r="V3094" t="s">
        <v>17506</v>
      </c>
    </row>
    <row r="3095">
      <c r="A3095" t="s">
        <v>22</v>
      </c>
      <c r="B3095" t="s">
        <v>20272</v>
      </c>
      <c r="C3095" t="s">
        <v>60</v>
      </c>
      <c r="D3095" t="s">
        <v>61</v>
      </c>
      <c r="E3095" t="s">
        <v>17921</v>
      </c>
      <c r="F3095" s="2" t="n">
        <f>HYPERLINK("https://patents.google.com/patent/US20150152116","Google")</f>
        <v>0.0</v>
      </c>
      <c r="G3095" s="2" t="n">
        <f>HYPERLINK("https://patentcenter.uspto.gov/applications/14613719","Patent Center")</f>
        <v>0.0</v>
      </c>
      <c r="H3095" s="2" t="n">
        <f>HYPERLINK("https://worldwide.espacenet.com/patent/search?q=US20150152116","Espacenet")</f>
        <v>0.0</v>
      </c>
      <c r="I3095" s="2" t="n">
        <f>HYPERLINK("https://ppubs.uspto.gov/pubwebapp/external.html?q=20150152116.pn.","USPTO")</f>
        <v>0.0</v>
      </c>
      <c r="J3095" s="2" t="n">
        <f>HYPERLINK("https://image-ppubs.uspto.gov/dirsearch-public/print/downloadPdf/20150152116","USPTO PDF")</f>
        <v>0.0</v>
      </c>
      <c r="K3095" s="2" t="n">
        <f>HYPERLINK("https://sectors.patentforecast.com/pmd/US20150152116","PMD")</f>
        <v>0.0</v>
      </c>
      <c r="L3095" s="2" t="n">
        <f>HYPERLINK("https://globaldossier.uspto.gov/result/application/US/14613719/1","US20150152116")</f>
        <v>0.0</v>
      </c>
      <c r="M3095" t="s">
        <v>20273</v>
      </c>
      <c r="N3095" t="s">
        <v>664</v>
      </c>
      <c r="O3095" t="s">
        <v>665</v>
      </c>
      <c r="P3095" t="s">
        <v>20274</v>
      </c>
      <c r="Q3095" s="3" t="n">
        <v>42039.0</v>
      </c>
      <c r="R3095" s="3" t="n">
        <v>42159.0</v>
      </c>
      <c r="S3095" s="3" t="n">
        <v>43952.46140905093</v>
      </c>
      <c r="T3095" s="3" t="n">
        <v>44638.65643378472</v>
      </c>
      <c r="U3095" t="s">
        <v>20275</v>
      </c>
      <c r="V3095" t="s">
        <v>17925</v>
      </c>
    </row>
    <row r="3096">
      <c r="A3096" t="s">
        <v>22</v>
      </c>
      <c r="B3096" t="s">
        <v>20276</v>
      </c>
      <c r="C3096" t="s">
        <v>60</v>
      </c>
      <c r="D3096" t="s">
        <v>61</v>
      </c>
      <c r="E3096" t="s">
        <v>20277</v>
      </c>
      <c r="F3096" s="2" t="n">
        <f>HYPERLINK("https://patents.google.com/patent/US20150150897","Google")</f>
        <v>0.0</v>
      </c>
      <c r="G3096" s="2" t="n">
        <f>HYPERLINK("https://patentcenter.uspto.gov/applications/14557156","Patent Center")</f>
        <v>0.0</v>
      </c>
      <c r="H3096" s="2" t="n">
        <f>HYPERLINK("https://worldwide.espacenet.com/patent/search?q=US20150150897","Espacenet")</f>
        <v>0.0</v>
      </c>
      <c r="I3096" s="2" t="n">
        <f>HYPERLINK("https://ppubs.uspto.gov/pubwebapp/external.html?q=20150150897.pn.","USPTO")</f>
        <v>0.0</v>
      </c>
      <c r="J3096" s="2" t="n">
        <f>HYPERLINK("https://image-ppubs.uspto.gov/dirsearch-public/print/downloadPdf/20150150897","USPTO PDF")</f>
        <v>0.0</v>
      </c>
      <c r="K3096" s="2" t="n">
        <f>HYPERLINK("https://sectors.patentforecast.com/pmd/US20150150897","PMD")</f>
        <v>0.0</v>
      </c>
      <c r="L3096" s="2" t="n">
        <f>HYPERLINK("https://globaldossier.uspto.gov/result/application/US/14557156/1","US20150150897")</f>
        <v>0.0</v>
      </c>
      <c r="M3096" t="s">
        <v>20278</v>
      </c>
      <c r="N3096" t="s">
        <v>664</v>
      </c>
      <c r="O3096" t="s">
        <v>665</v>
      </c>
      <c r="P3096" t="s">
        <v>20279</v>
      </c>
      <c r="Q3096" s="3" t="n">
        <v>41974.0</v>
      </c>
      <c r="R3096" s="3" t="n">
        <v>42159.0</v>
      </c>
      <c r="S3096" s="3" t="n">
        <v>43952.46140905093</v>
      </c>
      <c r="T3096" s="3" t="n">
        <v>44638.65643378472</v>
      </c>
      <c r="U3096" t="s">
        <v>20280</v>
      </c>
      <c r="V3096" t="s">
        <v>20281</v>
      </c>
    </row>
    <row r="3097">
      <c r="A3097" t="s">
        <v>22</v>
      </c>
      <c r="B3097" t="s">
        <v>20282</v>
      </c>
      <c r="C3097" t="s">
        <v>60</v>
      </c>
      <c r="D3097" t="s">
        <v>61</v>
      </c>
      <c r="E3097" t="s">
        <v>18874</v>
      </c>
      <c r="F3097" s="2" t="n">
        <f>HYPERLINK("https://patents.google.com/patent/US20150150896","Google")</f>
        <v>0.0</v>
      </c>
      <c r="G3097" s="2" t="n">
        <f>HYPERLINK("https://patentcenter.uspto.gov/applications/14538736","Patent Center")</f>
        <v>0.0</v>
      </c>
      <c r="H3097" s="2" t="n">
        <f>HYPERLINK("https://worldwide.espacenet.com/patent/search?q=US20150150896","Espacenet")</f>
        <v>0.0</v>
      </c>
      <c r="I3097" s="2" t="n">
        <f>HYPERLINK("https://ppubs.uspto.gov/pubwebapp/external.html?q=20150150896.pn.","USPTO")</f>
        <v>0.0</v>
      </c>
      <c r="J3097" s="2" t="n">
        <f>HYPERLINK("https://image-ppubs.uspto.gov/dirsearch-public/print/downloadPdf/20150150896","USPTO PDF")</f>
        <v>0.0</v>
      </c>
      <c r="K3097" s="2" t="n">
        <f>HYPERLINK("https://sectors.patentforecast.com/pmd/US20150150896","PMD")</f>
        <v>0.0</v>
      </c>
      <c r="L3097" s="2" t="n">
        <f>HYPERLINK("https://globaldossier.uspto.gov/result/application/US/14538736/1","US20150150896")</f>
        <v>0.0</v>
      </c>
      <c r="M3097" t="s">
        <v>20283</v>
      </c>
      <c r="N3097" t="s">
        <v>664</v>
      </c>
      <c r="O3097" t="s">
        <v>665</v>
      </c>
      <c r="P3097" t="s">
        <v>20284</v>
      </c>
      <c r="Q3097" s="3" t="n">
        <v>41954.0</v>
      </c>
      <c r="R3097" s="3" t="n">
        <v>42159.0</v>
      </c>
      <c r="S3097" s="3" t="n">
        <v>43952.46140905093</v>
      </c>
      <c r="T3097" s="3" t="n">
        <v>44638.65643378472</v>
      </c>
      <c r="U3097" t="s">
        <v>20285</v>
      </c>
      <c r="V3097" t="s">
        <v>18878</v>
      </c>
    </row>
    <row r="3098">
      <c r="A3098" t="s">
        <v>22</v>
      </c>
      <c r="B3098" t="s">
        <v>20286</v>
      </c>
      <c r="C3098" t="s">
        <v>60</v>
      </c>
      <c r="D3098" t="s">
        <v>61</v>
      </c>
      <c r="E3098" t="s">
        <v>20287</v>
      </c>
      <c r="F3098" s="2" t="n">
        <f>HYPERLINK("https://patents.google.com/patent/US20150150878","Google")</f>
        <v>0.0</v>
      </c>
      <c r="G3098" s="2" t="n">
        <f>HYPERLINK("https://patentcenter.uspto.gov/applications/14390565","Patent Center")</f>
        <v>0.0</v>
      </c>
      <c r="H3098" s="2" t="n">
        <f>HYPERLINK("https://worldwide.espacenet.com/patent/search?q=US20150150878","Espacenet")</f>
        <v>0.0</v>
      </c>
      <c r="I3098" s="2" t="n">
        <f>HYPERLINK("https://ppubs.uspto.gov/pubwebapp/external.html?q=20150150878.pn.","USPTO")</f>
        <v>0.0</v>
      </c>
      <c r="J3098" s="2" t="n">
        <f>HYPERLINK("https://image-ppubs.uspto.gov/dirsearch-public/print/downloadPdf/20150150878","USPTO PDF")</f>
        <v>0.0</v>
      </c>
      <c r="K3098" s="2" t="n">
        <f>HYPERLINK("https://sectors.patentforecast.com/pmd/US20150150878","PMD")</f>
        <v>0.0</v>
      </c>
      <c r="L3098" s="2" t="n">
        <f>HYPERLINK("https://globaldossier.uspto.gov/result/application/US/14390565/1","US20150150878")</f>
        <v>0.0</v>
      </c>
      <c r="M3098" t="s">
        <v>20288</v>
      </c>
      <c r="N3098" t="s">
        <v>3946</v>
      </c>
      <c r="O3098" t="s">
        <v>3947</v>
      </c>
      <c r="P3098" t="s">
        <v>20289</v>
      </c>
      <c r="Q3098" s="3" t="n">
        <v>41368.0</v>
      </c>
      <c r="R3098" s="3" t="n">
        <v>42159.0</v>
      </c>
      <c r="S3098" s="3" t="n">
        <v>43966.47949819444</v>
      </c>
      <c r="T3098" s="3" t="n">
        <v>44638.70598145833</v>
      </c>
      <c r="U3098" t="s">
        <v>20290</v>
      </c>
      <c r="V3098" t="s">
        <v>20291</v>
      </c>
    </row>
    <row r="3099">
      <c r="A3099" t="s">
        <v>22</v>
      </c>
      <c r="B3099" t="s">
        <v>20292</v>
      </c>
      <c r="C3099" t="s">
        <v>60</v>
      </c>
      <c r="D3099" t="s">
        <v>61</v>
      </c>
      <c r="E3099" t="s">
        <v>17494</v>
      </c>
      <c r="F3099" s="2" t="n">
        <f>HYPERLINK("https://patents.google.com/patent/US20150141659","Google")</f>
        <v>0.0</v>
      </c>
      <c r="G3099" s="2" t="n">
        <f>HYPERLINK("https://patentcenter.uspto.gov/applications/14600911","Patent Center")</f>
        <v>0.0</v>
      </c>
      <c r="H3099" s="2" t="n">
        <f>HYPERLINK("https://worldwide.espacenet.com/patent/search?q=US20150141659","Espacenet")</f>
        <v>0.0</v>
      </c>
      <c r="I3099" s="2" t="n">
        <f>HYPERLINK("https://ppubs.uspto.gov/pubwebapp/external.html?q=20150141659.pn.","USPTO")</f>
        <v>0.0</v>
      </c>
      <c r="J3099" s="2" t="n">
        <f>HYPERLINK("https://image-ppubs.uspto.gov/dirsearch-public/print/downloadPdf/20150141659","USPTO PDF")</f>
        <v>0.0</v>
      </c>
      <c r="K3099" s="2" t="n">
        <f>HYPERLINK("https://sectors.patentforecast.com/pmd/US20150141659","PMD")</f>
        <v>0.0</v>
      </c>
      <c r="L3099" s="2" t="n">
        <f>HYPERLINK("https://globaldossier.uspto.gov/result/application/US/14600911/1","US20150141659")</f>
        <v>0.0</v>
      </c>
      <c r="M3099" t="s">
        <v>20293</v>
      </c>
      <c r="N3099" t="s">
        <v>664</v>
      </c>
      <c r="O3099" t="s">
        <v>665</v>
      </c>
      <c r="P3099" t="s">
        <v>20294</v>
      </c>
      <c r="Q3099" s="3" t="n">
        <v>42024.0</v>
      </c>
      <c r="R3099" s="3" t="n">
        <v>42145.0</v>
      </c>
      <c r="S3099" s="3" t="n">
        <v>43952.46140905093</v>
      </c>
      <c r="T3099" s="3" t="n">
        <v>44638.65271974537</v>
      </c>
      <c r="U3099" t="s">
        <v>20295</v>
      </c>
      <c r="V3099" t="s">
        <v>18927</v>
      </c>
    </row>
    <row r="3100">
      <c r="A3100" t="s">
        <v>22</v>
      </c>
      <c r="B3100" t="s">
        <v>20296</v>
      </c>
      <c r="C3100" t="s">
        <v>60</v>
      </c>
      <c r="D3100" t="s">
        <v>61</v>
      </c>
      <c r="E3100" t="s">
        <v>20297</v>
      </c>
      <c r="F3100" s="2" t="n">
        <f>HYPERLINK("https://patents.google.com/patent/US20150141499","Google")</f>
        <v>0.0</v>
      </c>
      <c r="G3100" s="2" t="n">
        <f>HYPERLINK("https://patentcenter.uspto.gov/applications/14608555","Patent Center")</f>
        <v>0.0</v>
      </c>
      <c r="H3100" s="2" t="n">
        <f>HYPERLINK("https://worldwide.espacenet.com/patent/search?q=US20150141499","Espacenet")</f>
        <v>0.0</v>
      </c>
      <c r="I3100" s="2" t="n">
        <f>HYPERLINK("https://ppubs.uspto.gov/pubwebapp/external.html?q=20150141499.pn.","USPTO")</f>
        <v>0.0</v>
      </c>
      <c r="J3100" s="2" t="n">
        <f>HYPERLINK("https://image-ppubs.uspto.gov/dirsearch-public/print/downloadPdf/20150141499","USPTO PDF")</f>
        <v>0.0</v>
      </c>
      <c r="K3100" s="2" t="n">
        <f>HYPERLINK("https://sectors.patentforecast.com/pmd/US20150141499","PMD")</f>
        <v>0.0</v>
      </c>
      <c r="L3100" s="2" t="n">
        <f>HYPERLINK("https://globaldossier.uspto.gov/result/application/US/14608555/1","US20150141499")</f>
        <v>0.0</v>
      </c>
      <c r="M3100" t="s">
        <v>20298</v>
      </c>
      <c r="N3100" t="s">
        <v>145</v>
      </c>
      <c r="O3100" t="s">
        <v>146</v>
      </c>
      <c r="P3100" t="s">
        <v>20299</v>
      </c>
      <c r="Q3100" s="3" t="n">
        <v>42033.0</v>
      </c>
      <c r="R3100" s="3" t="n">
        <v>42145.0</v>
      </c>
      <c r="S3100" s="3" t="n">
        <v>43909.454047997686</v>
      </c>
      <c r="T3100" s="3" t="n">
        <v>43950.475894027775</v>
      </c>
      <c r="U3100" t="s">
        <v>20300</v>
      </c>
      <c r="V3100" t="s">
        <v>20301</v>
      </c>
    </row>
    <row r="3101">
      <c r="A3101" t="s">
        <v>22</v>
      </c>
      <c r="B3101" t="s">
        <v>20302</v>
      </c>
      <c r="C3101" t="s">
        <v>60</v>
      </c>
      <c r="D3101" t="s">
        <v>61</v>
      </c>
      <c r="E3101" t="s">
        <v>16903</v>
      </c>
      <c r="F3101" s="2" t="n">
        <f>HYPERLINK("https://patents.google.com/patent/US20150141326","Google")</f>
        <v>0.0</v>
      </c>
      <c r="G3101" s="2" t="n">
        <f>HYPERLINK("https://patentcenter.uspto.gov/applications/14541057","Patent Center")</f>
        <v>0.0</v>
      </c>
      <c r="H3101" s="2" t="n">
        <f>HYPERLINK("https://worldwide.espacenet.com/patent/search?q=US20150141326","Espacenet")</f>
        <v>0.0</v>
      </c>
      <c r="I3101" s="2" t="n">
        <f>HYPERLINK("https://ppubs.uspto.gov/pubwebapp/external.html?q=20150141326.pn.","USPTO")</f>
        <v>0.0</v>
      </c>
      <c r="J3101" s="2" t="n">
        <f>HYPERLINK("https://image-ppubs.uspto.gov/dirsearch-public/print/downloadPdf/20150141326","USPTO PDF")</f>
        <v>0.0</v>
      </c>
      <c r="K3101" s="2" t="n">
        <f>HYPERLINK("https://sectors.patentforecast.com/pmd/US20150141326","PMD")</f>
        <v>0.0</v>
      </c>
      <c r="L3101" s="2" t="n">
        <f>HYPERLINK("https://globaldossier.uspto.gov/result/application/US/14541057/1","US20150141326")</f>
        <v>0.0</v>
      </c>
      <c r="M3101" t="s">
        <v>20303</v>
      </c>
      <c r="N3101" t="s">
        <v>664</v>
      </c>
      <c r="O3101" t="s">
        <v>665</v>
      </c>
      <c r="P3101" t="s">
        <v>19777</v>
      </c>
      <c r="Q3101" s="3" t="n">
        <v>41956.0</v>
      </c>
      <c r="R3101" s="3" t="n">
        <v>42145.0</v>
      </c>
      <c r="S3101" s="3" t="n">
        <v>43952.46140905093</v>
      </c>
      <c r="T3101" s="3" t="n">
        <v>44638.65271974537</v>
      </c>
      <c r="U3101" t="s">
        <v>20304</v>
      </c>
      <c r="V3101" t="s">
        <v>17072</v>
      </c>
    </row>
    <row r="3102">
      <c r="A3102" t="s">
        <v>22</v>
      </c>
      <c r="B3102" t="s">
        <v>20305</v>
      </c>
      <c r="C3102" t="s">
        <v>60</v>
      </c>
      <c r="D3102" t="s">
        <v>61</v>
      </c>
      <c r="E3102" t="s">
        <v>17915</v>
      </c>
      <c r="F3102" s="2" t="n">
        <f>HYPERLINK("https://patents.google.com/patent/US20150133395","Google")</f>
        <v>0.0</v>
      </c>
      <c r="G3102" s="2" t="n">
        <f>HYPERLINK("https://patentcenter.uspto.gov/applications/14534715","Patent Center")</f>
        <v>0.0</v>
      </c>
      <c r="H3102" s="2" t="n">
        <f>HYPERLINK("https://worldwide.espacenet.com/patent/search?q=US20150133395","Espacenet")</f>
        <v>0.0</v>
      </c>
      <c r="I3102" s="2" t="n">
        <f>HYPERLINK("https://ppubs.uspto.gov/pubwebapp/external.html?q=20150133395.pn.","USPTO")</f>
        <v>0.0</v>
      </c>
      <c r="J3102" s="2" t="n">
        <f>HYPERLINK("https://image-ppubs.uspto.gov/dirsearch-public/print/downloadPdf/20150133395","USPTO PDF")</f>
        <v>0.0</v>
      </c>
      <c r="K3102" s="2" t="n">
        <f>HYPERLINK("https://sectors.patentforecast.com/pmd/US20150133395","PMD")</f>
        <v>0.0</v>
      </c>
      <c r="L3102" s="2" t="n">
        <f>HYPERLINK("https://globaldossier.uspto.gov/result/application/US/14534715/1","US20150133395")</f>
        <v>0.0</v>
      </c>
      <c r="M3102" t="s">
        <v>20306</v>
      </c>
      <c r="N3102" t="s">
        <v>20307</v>
      </c>
      <c r="O3102" t="s">
        <v>20308</v>
      </c>
      <c r="P3102" t="s">
        <v>19417</v>
      </c>
      <c r="Q3102" s="3" t="n">
        <v>41949.0</v>
      </c>
      <c r="R3102" s="3" t="n">
        <v>42138.0</v>
      </c>
      <c r="S3102" s="3" t="n">
        <v>43952.46140905093</v>
      </c>
      <c r="T3102" s="3" t="n">
        <v>44638.65643378472</v>
      </c>
      <c r="U3102" t="s">
        <v>20309</v>
      </c>
      <c r="V3102" t="s">
        <v>17919</v>
      </c>
    </row>
    <row r="3103">
      <c r="A3103" t="s">
        <v>22</v>
      </c>
      <c r="B3103" t="s">
        <v>20310</v>
      </c>
      <c r="C3103" t="s">
        <v>60</v>
      </c>
      <c r="D3103" t="s">
        <v>696</v>
      </c>
      <c r="E3103" t="s">
        <v>16925</v>
      </c>
      <c r="F3103" s="2" t="n">
        <f>HYPERLINK("https://patents.google.com/patent/US20150132224","Google")</f>
        <v>0.0</v>
      </c>
      <c r="G3103" s="2" t="n">
        <f>HYPERLINK("https://patentcenter.uspto.gov/applications/14546074","Patent Center")</f>
        <v>0.0</v>
      </c>
      <c r="H3103" s="2" t="n">
        <f>HYPERLINK("https://worldwide.espacenet.com/patent/search?q=US20150132224","Espacenet")</f>
        <v>0.0</v>
      </c>
      <c r="I3103" s="2" t="n">
        <f>HYPERLINK("https://ppubs.uspto.gov/pubwebapp/external.html?q=20150132224.pn.","USPTO")</f>
        <v>0.0</v>
      </c>
      <c r="J3103" s="2" t="n">
        <f>HYPERLINK("https://image-ppubs.uspto.gov/dirsearch-public/print/downloadPdf/20150132224","USPTO PDF")</f>
        <v>0.0</v>
      </c>
      <c r="K3103" s="2" t="n">
        <f>HYPERLINK("https://sectors.patentforecast.com/pmd/US20150132224","PMD")</f>
        <v>0.0</v>
      </c>
      <c r="L3103" s="2" t="n">
        <f>HYPERLINK("https://globaldossier.uspto.gov/result/application/US/14546074/1","US20150132224")</f>
        <v>0.0</v>
      </c>
      <c r="M3103" t="s">
        <v>20311</v>
      </c>
      <c r="N3103" t="s">
        <v>16927</v>
      </c>
      <c r="O3103" t="s">
        <v>16928</v>
      </c>
      <c r="P3103" t="s">
        <v>20312</v>
      </c>
      <c r="Q3103" s="3" t="n">
        <v>41961.0</v>
      </c>
      <c r="R3103" s="3" t="n">
        <v>42138.0</v>
      </c>
      <c r="S3103" s="3" t="n">
        <v>43966.47949819444</v>
      </c>
      <c r="T3103" s="3" t="n">
        <v>44643.44490069444</v>
      </c>
      <c r="U3103" t="s">
        <v>20313</v>
      </c>
      <c r="V3103" t="s">
        <v>16993</v>
      </c>
    </row>
    <row r="3104">
      <c r="A3104" t="s">
        <v>22</v>
      </c>
      <c r="B3104" t="s">
        <v>20314</v>
      </c>
      <c r="C3104" t="s">
        <v>24</v>
      </c>
      <c r="D3104" t="s">
        <v>34</v>
      </c>
      <c r="E3104" t="s">
        <v>16089</v>
      </c>
      <c r="F3104" s="2" t="n">
        <f>HYPERLINK("https://patents.google.com/patent/US20150126724","Google")</f>
        <v>0.0</v>
      </c>
      <c r="G3104" s="2" t="n">
        <f>HYPERLINK("https://patentcenter.uspto.gov/applications/14530449","Patent Center")</f>
        <v>0.0</v>
      </c>
      <c r="H3104" s="2" t="n">
        <f>HYPERLINK("https://worldwide.espacenet.com/patent/search?q=US20150126724","Espacenet")</f>
        <v>0.0</v>
      </c>
      <c r="I3104" s="2" t="n">
        <f>HYPERLINK("https://ppubs.uspto.gov/pubwebapp/external.html?q=20150126724.pn.","USPTO")</f>
        <v>0.0</v>
      </c>
      <c r="J3104" s="2" t="n">
        <f>HYPERLINK("https://image-ppubs.uspto.gov/dirsearch-public/print/downloadPdf/20150126724","USPTO PDF")</f>
        <v>0.0</v>
      </c>
      <c r="K3104" s="2" t="n">
        <f>HYPERLINK("https://sectors.patentforecast.com/pmd/US20150126724","PMD")</f>
        <v>0.0</v>
      </c>
      <c r="L3104" s="2" t="n">
        <f>HYPERLINK("https://globaldossier.uspto.gov/result/application/US/14530449/1","US20150126724")</f>
        <v>0.0</v>
      </c>
      <c r="M3104" t="s">
        <v>20315</v>
      </c>
      <c r="N3104" t="s">
        <v>4728</v>
      </c>
      <c r="O3104" t="s">
        <v>4729</v>
      </c>
      <c r="P3104" t="s">
        <v>20316</v>
      </c>
      <c r="Q3104" s="3" t="n">
        <v>41943.0</v>
      </c>
      <c r="R3104" s="3" t="n">
        <v>42131.0</v>
      </c>
      <c r="S3104" s="3" t="n">
        <v>44370.45832509259</v>
      </c>
      <c r="T3104" s="3" t="n">
        <v>44372.38111516204</v>
      </c>
      <c r="U3104" t="s">
        <v>20317</v>
      </c>
      <c r="V3104" t="s">
        <v>16093</v>
      </c>
    </row>
    <row r="3105">
      <c r="A3105" t="s">
        <v>22</v>
      </c>
      <c r="B3105" t="s">
        <v>20318</v>
      </c>
      <c r="C3105" t="s">
        <v>60</v>
      </c>
      <c r="D3105" t="s">
        <v>61</v>
      </c>
      <c r="E3105" t="s">
        <v>20319</v>
      </c>
      <c r="F3105" s="2" t="n">
        <f>HYPERLINK("https://patents.google.com/patent/US20150126564","Google")</f>
        <v>0.0</v>
      </c>
      <c r="G3105" s="2" t="n">
        <f>HYPERLINK("https://patentcenter.uspto.gov/applications/14122399","Patent Center")</f>
        <v>0.0</v>
      </c>
      <c r="H3105" s="2" t="n">
        <f>HYPERLINK("https://worldwide.espacenet.com/patent/search?q=US20150126564","Espacenet")</f>
        <v>0.0</v>
      </c>
      <c r="I3105" s="2" t="n">
        <f>HYPERLINK("https://ppubs.uspto.gov/pubwebapp/external.html?q=20150126564.pn.","USPTO")</f>
        <v>0.0</v>
      </c>
      <c r="J3105" s="2" t="n">
        <f>HYPERLINK("https://image-ppubs.uspto.gov/dirsearch-public/print/downloadPdf/20150126564","USPTO PDF")</f>
        <v>0.0</v>
      </c>
      <c r="K3105" s="2" t="n">
        <f>HYPERLINK("https://sectors.patentforecast.com/pmd/US20150126564","PMD")</f>
        <v>0.0</v>
      </c>
      <c r="L3105" s="2" t="n">
        <f>HYPERLINK("https://globaldossier.uspto.gov/result/application/US/14122399/1","US20150126564")</f>
        <v>0.0</v>
      </c>
      <c r="M3105" t="s">
        <v>20320</v>
      </c>
      <c r="N3105" t="s">
        <v>20321</v>
      </c>
      <c r="O3105" t="s">
        <v>20321</v>
      </c>
      <c r="P3105" t="s">
        <v>20322</v>
      </c>
      <c r="Q3105" s="3" t="n">
        <v>41060.0</v>
      </c>
      <c r="R3105" s="3" t="n">
        <v>42131.0</v>
      </c>
      <c r="S3105" s="3" t="n">
        <v>43966.47949819444</v>
      </c>
      <c r="T3105" s="3" t="n">
        <v>44678.46998487269</v>
      </c>
      <c r="U3105" t="s">
        <v>20323</v>
      </c>
      <c r="V3105" t="s">
        <v>20324</v>
      </c>
    </row>
    <row r="3106">
      <c r="A3106" t="s">
        <v>22</v>
      </c>
      <c r="B3106" t="s">
        <v>20325</v>
      </c>
      <c r="C3106" t="s">
        <v>60</v>
      </c>
      <c r="D3106" t="s">
        <v>61</v>
      </c>
      <c r="E3106" t="s">
        <v>20326</v>
      </c>
      <c r="F3106" s="2" t="n">
        <f>HYPERLINK("https://patents.google.com/patent/US20150126509","Google")</f>
        <v>0.0</v>
      </c>
      <c r="G3106" s="2" t="n">
        <f>HYPERLINK("https://patentcenter.uspto.gov/applications/14595072","Patent Center")</f>
        <v>0.0</v>
      </c>
      <c r="H3106" s="2" t="n">
        <f>HYPERLINK("https://worldwide.espacenet.com/patent/search?q=US20150126509","Espacenet")</f>
        <v>0.0</v>
      </c>
      <c r="I3106" s="2" t="n">
        <f>HYPERLINK("https://ppubs.uspto.gov/pubwebapp/external.html?q=20150126509.pn.","USPTO")</f>
        <v>0.0</v>
      </c>
      <c r="J3106" s="2" t="n">
        <f>HYPERLINK("https://image-ppubs.uspto.gov/dirsearch-public/print/downloadPdf/20150126509","USPTO PDF")</f>
        <v>0.0</v>
      </c>
      <c r="K3106" s="2" t="n">
        <f>HYPERLINK("https://sectors.patentforecast.com/pmd/US20150126509","PMD")</f>
        <v>0.0</v>
      </c>
      <c r="L3106" s="2" t="n">
        <f>HYPERLINK("https://globaldossier.uspto.gov/result/application/US/14595072/1","US20150126509")</f>
        <v>0.0</v>
      </c>
      <c r="M3106" t="s">
        <v>20327</v>
      </c>
      <c r="N3106" t="s">
        <v>664</v>
      </c>
      <c r="O3106" t="s">
        <v>665</v>
      </c>
      <c r="P3106" t="s">
        <v>20328</v>
      </c>
      <c r="Q3106" s="3" t="n">
        <v>42016.0</v>
      </c>
      <c r="R3106" s="3" t="n">
        <v>42131.0</v>
      </c>
      <c r="S3106" s="3" t="n">
        <v>43952.46140905093</v>
      </c>
      <c r="T3106" s="3" t="n">
        <v>44638.65579662037</v>
      </c>
      <c r="U3106" t="s">
        <v>20329</v>
      </c>
      <c r="V3106" t="s">
        <v>20330</v>
      </c>
    </row>
    <row r="3107">
      <c r="A3107" t="s">
        <v>22</v>
      </c>
      <c r="B3107" t="s">
        <v>20331</v>
      </c>
      <c r="C3107" t="s">
        <v>24</v>
      </c>
      <c r="D3107" t="s">
        <v>25</v>
      </c>
      <c r="E3107" t="s">
        <v>20332</v>
      </c>
      <c r="F3107" s="2" t="n">
        <f>HYPERLINK("https://patents.google.com/patent/US20150125937","Google")</f>
        <v>0.0</v>
      </c>
      <c r="G3107" s="2" t="n">
        <f>HYPERLINK("https://patentcenter.uspto.gov/applications/14591647","Patent Center")</f>
        <v>0.0</v>
      </c>
      <c r="H3107" s="2" t="n">
        <f>HYPERLINK("https://worldwide.espacenet.com/patent/search?q=US20150125937","Espacenet")</f>
        <v>0.0</v>
      </c>
      <c r="I3107" s="2" t="n">
        <f>HYPERLINK("https://ppubs.uspto.gov/pubwebapp/external.html?q=20150125937.pn.","USPTO")</f>
        <v>0.0</v>
      </c>
      <c r="J3107" s="2" t="n">
        <f>HYPERLINK("https://image-ppubs.uspto.gov/dirsearch-public/print/downloadPdf/20150125937","USPTO PDF")</f>
        <v>0.0</v>
      </c>
      <c r="K3107" s="2" t="n">
        <f>HYPERLINK("https://sectors.patentforecast.com/pmd/US20150125937","PMD")</f>
        <v>0.0</v>
      </c>
      <c r="L3107" s="2" t="n">
        <f>HYPERLINK("https://globaldossier.uspto.gov/result/application/US/14591647/1","US20150125937")</f>
        <v>0.0</v>
      </c>
      <c r="M3107" t="s">
        <v>20333</v>
      </c>
      <c r="N3107" t="s">
        <v>855</v>
      </c>
      <c r="O3107" t="s">
        <v>856</v>
      </c>
      <c r="P3107" t="s">
        <v>20334</v>
      </c>
      <c r="Q3107" s="3" t="n">
        <v>42011.0</v>
      </c>
      <c r="R3107" s="3" t="n">
        <v>42131.0</v>
      </c>
      <c r="S3107" s="3" t="n">
        <v>43266.45736743056</v>
      </c>
      <c r="T3107" s="3" t="n">
        <v>43903.6294291088</v>
      </c>
      <c r="U3107" t="s">
        <v>20335</v>
      </c>
      <c r="V3107" t="s">
        <v>20336</v>
      </c>
    </row>
    <row r="3108">
      <c r="A3108" t="s">
        <v>22</v>
      </c>
      <c r="B3108" t="s">
        <v>20337</v>
      </c>
      <c r="C3108" t="s">
        <v>24</v>
      </c>
      <c r="D3108" t="s">
        <v>25</v>
      </c>
      <c r="E3108" t="s">
        <v>20338</v>
      </c>
      <c r="F3108" s="2" t="n">
        <f>HYPERLINK("https://patents.google.com/patent/US20150120325","Google")</f>
        <v>0.0</v>
      </c>
      <c r="G3108" s="2" t="n">
        <f>HYPERLINK("https://patentcenter.uspto.gov/applications/14390754","Patent Center")</f>
        <v>0.0</v>
      </c>
      <c r="H3108" s="2" t="n">
        <f>HYPERLINK("https://worldwide.espacenet.com/patent/search?q=US20150120325","Espacenet")</f>
        <v>0.0</v>
      </c>
      <c r="I3108" s="2" t="n">
        <f>HYPERLINK("https://ppubs.uspto.gov/pubwebapp/external.html?q=20150120325.pn.","USPTO")</f>
        <v>0.0</v>
      </c>
      <c r="J3108" s="2" t="n">
        <f>HYPERLINK("https://image-ppubs.uspto.gov/dirsearch-public/print/downloadPdf/20150120325","USPTO PDF")</f>
        <v>0.0</v>
      </c>
      <c r="K3108" s="2" t="n">
        <f>HYPERLINK("https://sectors.patentforecast.com/pmd/US20150120325","PMD")</f>
        <v>0.0</v>
      </c>
      <c r="L3108" s="2" t="n">
        <f>HYPERLINK("https://globaldossier.uspto.gov/result/application/US/14390754/1","US20150120325")</f>
        <v>0.0</v>
      </c>
      <c r="M3108" t="s">
        <v>20339</v>
      </c>
      <c r="N3108" t="s">
        <v>20340</v>
      </c>
      <c r="O3108" t="s">
        <v>20341</v>
      </c>
      <c r="P3108" t="s">
        <v>20342</v>
      </c>
      <c r="Q3108" s="3" t="n">
        <v>41368.0</v>
      </c>
      <c r="R3108" s="3" t="n">
        <v>42124.0</v>
      </c>
      <c r="S3108" s="3" t="n">
        <v>43908.458623784725</v>
      </c>
      <c r="T3108" s="3" t="n">
        <v>43984.70958702546</v>
      </c>
      <c r="U3108" t="s">
        <v>20343</v>
      </c>
      <c r="V3108" t="s">
        <v>20344</v>
      </c>
    </row>
    <row r="3109">
      <c r="A3109" t="s">
        <v>22</v>
      </c>
      <c r="B3109" t="s">
        <v>20345</v>
      </c>
      <c r="C3109" t="s">
        <v>60</v>
      </c>
      <c r="D3109" t="s">
        <v>61</v>
      </c>
      <c r="E3109" t="s">
        <v>20346</v>
      </c>
      <c r="F3109" s="2" t="n">
        <f>HYPERLINK("https://patents.google.com/patent/US20150111891","Google")</f>
        <v>0.0</v>
      </c>
      <c r="G3109" s="2" t="n">
        <f>HYPERLINK("https://patentcenter.uspto.gov/applications/14370466","Patent Center")</f>
        <v>0.0</v>
      </c>
      <c r="H3109" s="2" t="n">
        <f>HYPERLINK("https://worldwide.espacenet.com/patent/search?q=US20150111891","Espacenet")</f>
        <v>0.0</v>
      </c>
      <c r="I3109" s="2" t="n">
        <f>HYPERLINK("https://ppubs.uspto.gov/pubwebapp/external.html?q=20150111891.pn.","USPTO")</f>
        <v>0.0</v>
      </c>
      <c r="J3109" s="2" t="n">
        <f>HYPERLINK("https://image-ppubs.uspto.gov/dirsearch-public/print/downloadPdf/20150111891","USPTO PDF")</f>
        <v>0.0</v>
      </c>
      <c r="K3109" s="2" t="n">
        <f>HYPERLINK("https://sectors.patentforecast.com/pmd/US20150111891","PMD")</f>
        <v>0.0</v>
      </c>
      <c r="L3109" s="2" t="n">
        <f>HYPERLINK("https://globaldossier.uspto.gov/result/application/US/14370466/1","US20150111891")</f>
        <v>0.0</v>
      </c>
      <c r="M3109" t="s">
        <v>20347</v>
      </c>
      <c r="N3109" t="s">
        <v>664</v>
      </c>
      <c r="O3109" t="s">
        <v>665</v>
      </c>
      <c r="P3109" t="s">
        <v>20348</v>
      </c>
      <c r="Q3109" s="3" t="n">
        <v>41277.0</v>
      </c>
      <c r="R3109" s="3" t="n">
        <v>42117.0</v>
      </c>
      <c r="S3109" s="3" t="n">
        <v>43952.46140905093</v>
      </c>
      <c r="T3109" s="3" t="n">
        <v>44638.662781747684</v>
      </c>
      <c r="U3109" t="s">
        <v>20349</v>
      </c>
      <c r="V3109" t="s">
        <v>20350</v>
      </c>
    </row>
    <row r="3110">
      <c r="A3110" t="s">
        <v>22</v>
      </c>
      <c r="B3110" t="s">
        <v>20351</v>
      </c>
      <c r="C3110" t="s">
        <v>60</v>
      </c>
      <c r="D3110" t="s">
        <v>61</v>
      </c>
      <c r="E3110" t="s">
        <v>20352</v>
      </c>
      <c r="F3110" s="2" t="n">
        <f>HYPERLINK("https://patents.google.com/patent/US20150111856","Google")</f>
        <v>0.0</v>
      </c>
      <c r="G3110" s="2" t="n">
        <f>HYPERLINK("https://patentcenter.uspto.gov/applications/14523783","Patent Center")</f>
        <v>0.0</v>
      </c>
      <c r="H3110" s="2" t="n">
        <f>HYPERLINK("https://worldwide.espacenet.com/patent/search?q=US20150111856","Espacenet")</f>
        <v>0.0</v>
      </c>
      <c r="I3110" s="2" t="n">
        <f>HYPERLINK("https://ppubs.uspto.gov/pubwebapp/external.html?q=20150111856.pn.","USPTO")</f>
        <v>0.0</v>
      </c>
      <c r="J3110" s="2" t="n">
        <f>HYPERLINK("https://image-ppubs.uspto.gov/dirsearch-public/print/downloadPdf/20150111856","USPTO PDF")</f>
        <v>0.0</v>
      </c>
      <c r="K3110" s="2" t="n">
        <f>HYPERLINK("https://sectors.patentforecast.com/pmd/US20150111856","PMD")</f>
        <v>0.0</v>
      </c>
      <c r="L3110" s="2" t="n">
        <f>HYPERLINK("https://globaldossier.uspto.gov/result/application/US/14523783/1","US20150111856")</f>
        <v>0.0</v>
      </c>
      <c r="M3110" t="s">
        <v>20353</v>
      </c>
      <c r="N3110" t="s">
        <v>664</v>
      </c>
      <c r="O3110" t="s">
        <v>665</v>
      </c>
      <c r="P3110" t="s">
        <v>19029</v>
      </c>
      <c r="Q3110" s="3" t="n">
        <v>41936.0</v>
      </c>
      <c r="R3110" s="3" t="n">
        <v>42117.0</v>
      </c>
      <c r="S3110" s="3" t="n">
        <v>43952.46140905093</v>
      </c>
      <c r="T3110" s="3" t="n">
        <v>44638.65271974537</v>
      </c>
      <c r="U3110" t="s">
        <v>20354</v>
      </c>
      <c r="V3110" t="s">
        <v>20355</v>
      </c>
    </row>
    <row r="3111">
      <c r="A3111" t="s">
        <v>22</v>
      </c>
      <c r="B3111" t="s">
        <v>20356</v>
      </c>
      <c r="C3111" t="s">
        <v>60</v>
      </c>
      <c r="D3111" t="s">
        <v>61</v>
      </c>
      <c r="E3111" t="s">
        <v>20352</v>
      </c>
      <c r="F3111" s="2" t="n">
        <f>HYPERLINK("https://patents.google.com/patent/US20150111855","Google")</f>
        <v>0.0</v>
      </c>
      <c r="G3111" s="2" t="n">
        <f>HYPERLINK("https://patentcenter.uspto.gov/applications/14523758","Patent Center")</f>
        <v>0.0</v>
      </c>
      <c r="H3111" s="2" t="n">
        <f>HYPERLINK("https://worldwide.espacenet.com/patent/search?q=US20150111855","Espacenet")</f>
        <v>0.0</v>
      </c>
      <c r="I3111" s="2" t="n">
        <f>HYPERLINK("https://ppubs.uspto.gov/pubwebapp/external.html?q=20150111855.pn.","USPTO")</f>
        <v>0.0</v>
      </c>
      <c r="J3111" s="2" t="n">
        <f>HYPERLINK("https://image-ppubs.uspto.gov/dirsearch-public/print/downloadPdf/20150111855","USPTO PDF")</f>
        <v>0.0</v>
      </c>
      <c r="K3111" s="2" t="n">
        <f>HYPERLINK("https://sectors.patentforecast.com/pmd/US20150111855","PMD")</f>
        <v>0.0</v>
      </c>
      <c r="L3111" s="2" t="n">
        <f>HYPERLINK("https://globaldossier.uspto.gov/result/application/US/14523758/1","US20150111855")</f>
        <v>0.0</v>
      </c>
      <c r="M3111" t="s">
        <v>20357</v>
      </c>
      <c r="N3111" t="s">
        <v>664</v>
      </c>
      <c r="O3111" t="s">
        <v>665</v>
      </c>
      <c r="P3111" t="s">
        <v>19029</v>
      </c>
      <c r="Q3111" s="3" t="n">
        <v>41936.0</v>
      </c>
      <c r="R3111" s="3" t="n">
        <v>42117.0</v>
      </c>
      <c r="S3111" s="3" t="n">
        <v>43952.46140905093</v>
      </c>
      <c r="T3111" s="3" t="n">
        <v>44638.65271974537</v>
      </c>
      <c r="U3111" t="s">
        <v>20358</v>
      </c>
      <c r="V3111" t="s">
        <v>20355</v>
      </c>
    </row>
    <row r="3112">
      <c r="A3112" t="s">
        <v>22</v>
      </c>
      <c r="B3112" t="s">
        <v>20359</v>
      </c>
      <c r="C3112" t="s">
        <v>60</v>
      </c>
      <c r="D3112" t="s">
        <v>61</v>
      </c>
      <c r="E3112" t="s">
        <v>17921</v>
      </c>
      <c r="F3112" s="2" t="n">
        <f>HYPERLINK("https://patents.google.com/patent/US20150111839","Google")</f>
        <v>0.0</v>
      </c>
      <c r="G3112" s="2" t="n">
        <f>HYPERLINK("https://patentcenter.uspto.gov/applications/14579348","Patent Center")</f>
        <v>0.0</v>
      </c>
      <c r="H3112" s="2" t="n">
        <f>HYPERLINK("https://worldwide.espacenet.com/patent/search?q=US20150111839","Espacenet")</f>
        <v>0.0</v>
      </c>
      <c r="I3112" s="2" t="n">
        <f>HYPERLINK("https://ppubs.uspto.gov/pubwebapp/external.html?q=20150111839.pn.","USPTO")</f>
        <v>0.0</v>
      </c>
      <c r="J3112" s="2" t="n">
        <f>HYPERLINK("https://image-ppubs.uspto.gov/dirsearch-public/print/downloadPdf/20150111839","USPTO PDF")</f>
        <v>0.0</v>
      </c>
      <c r="K3112" s="2" t="n">
        <f>HYPERLINK("https://sectors.patentforecast.com/pmd/US20150111839","PMD")</f>
        <v>0.0</v>
      </c>
      <c r="L3112" s="2" t="n">
        <f>HYPERLINK("https://globaldossier.uspto.gov/result/application/US/14579348/1","US20150111839")</f>
        <v>0.0</v>
      </c>
      <c r="M3112" t="s">
        <v>20360</v>
      </c>
      <c r="N3112" t="s">
        <v>664</v>
      </c>
      <c r="O3112" t="s">
        <v>665</v>
      </c>
      <c r="P3112" t="s">
        <v>20361</v>
      </c>
      <c r="Q3112" s="3" t="n">
        <v>41995.0</v>
      </c>
      <c r="R3112" s="3" t="n">
        <v>42117.0</v>
      </c>
      <c r="S3112" s="3" t="n">
        <v>43952.46140905093</v>
      </c>
      <c r="T3112" s="3" t="n">
        <v>44638.65643378472</v>
      </c>
      <c r="U3112" t="s">
        <v>20362</v>
      </c>
      <c r="V3112" t="s">
        <v>17925</v>
      </c>
    </row>
    <row r="3113">
      <c r="A3113" t="s">
        <v>22</v>
      </c>
      <c r="B3113" t="s">
        <v>20363</v>
      </c>
      <c r="C3113" t="s">
        <v>60</v>
      </c>
      <c r="D3113" t="s">
        <v>61</v>
      </c>
      <c r="E3113" t="s">
        <v>19376</v>
      </c>
      <c r="F3113" s="2" t="n">
        <f>HYPERLINK("https://patents.google.com/patent/US20150105350","Google")</f>
        <v>0.0</v>
      </c>
      <c r="G3113" s="2" t="n">
        <f>HYPERLINK("https://patentcenter.uspto.gov/applications/14376116","Patent Center")</f>
        <v>0.0</v>
      </c>
      <c r="H3113" s="2" t="n">
        <f>HYPERLINK("https://worldwide.espacenet.com/patent/search?q=US20150105350","Espacenet")</f>
        <v>0.0</v>
      </c>
      <c r="I3113" s="2" t="n">
        <f>HYPERLINK("https://ppubs.uspto.gov/pubwebapp/external.html?q=20150105350.pn.","USPTO")</f>
        <v>0.0</v>
      </c>
      <c r="J3113" s="2" t="n">
        <f>HYPERLINK("https://image-ppubs.uspto.gov/dirsearch-public/print/downloadPdf/20150105350","USPTO PDF")</f>
        <v>0.0</v>
      </c>
      <c r="K3113" s="2" t="n">
        <f>HYPERLINK("https://sectors.patentforecast.com/pmd/US20150105350","PMD")</f>
        <v>0.0</v>
      </c>
      <c r="L3113" s="2" t="n">
        <f>HYPERLINK("https://globaldossier.uspto.gov/result/application/US/14376116/1","US20150105350")</f>
        <v>0.0</v>
      </c>
      <c r="M3113" t="s">
        <v>20364</v>
      </c>
      <c r="N3113" t="s">
        <v>664</v>
      </c>
      <c r="O3113" t="s">
        <v>665</v>
      </c>
      <c r="P3113" t="s">
        <v>20365</v>
      </c>
      <c r="Q3113" s="3" t="n">
        <v>41306.0</v>
      </c>
      <c r="R3113" s="3" t="n">
        <v>42110.0</v>
      </c>
      <c r="S3113" s="3" t="n">
        <v>43952.46140905093</v>
      </c>
      <c r="T3113" s="3" t="n">
        <v>44638.65579662037</v>
      </c>
      <c r="U3113" t="s">
        <v>20366</v>
      </c>
      <c r="V3113" t="s">
        <v>19380</v>
      </c>
    </row>
    <row r="3114">
      <c r="A3114" t="s">
        <v>22</v>
      </c>
      <c r="B3114" t="s">
        <v>20367</v>
      </c>
      <c r="C3114" t="s">
        <v>24</v>
      </c>
      <c r="D3114" t="s">
        <v>25</v>
      </c>
      <c r="E3114" t="s">
        <v>3619</v>
      </c>
      <c r="F3114" s="2" t="n">
        <f>HYPERLINK("https://patents.google.com/patent/US20150100345","Google")</f>
        <v>0.0</v>
      </c>
      <c r="G3114" s="2" t="n">
        <f>HYPERLINK("https://patentcenter.uspto.gov/applications/14511753","Patent Center")</f>
        <v>0.0</v>
      </c>
      <c r="H3114" s="2" t="n">
        <f>HYPERLINK("https://worldwide.espacenet.com/patent/search?q=US20150100345","Espacenet")</f>
        <v>0.0</v>
      </c>
      <c r="I3114" s="2" t="n">
        <f>HYPERLINK("https://ppubs.uspto.gov/pubwebapp/external.html?q=20150100345.pn.","USPTO")</f>
        <v>0.0</v>
      </c>
      <c r="J3114" s="2" t="n">
        <f>HYPERLINK("https://image-ppubs.uspto.gov/dirsearch-public/print/downloadPdf/20150100345","USPTO PDF")</f>
        <v>0.0</v>
      </c>
      <c r="K3114" s="2" t="n">
        <f>HYPERLINK("https://sectors.patentforecast.com/pmd/US20150100345","PMD")</f>
        <v>0.0</v>
      </c>
      <c r="L3114" s="2" t="n">
        <f>HYPERLINK("https://globaldossier.uspto.gov/result/application/US/14511753/1","US20150100345")</f>
        <v>0.0</v>
      </c>
      <c r="M3114" t="s">
        <v>20368</v>
      </c>
      <c r="N3114" t="s">
        <v>3621</v>
      </c>
      <c r="O3114" t="s">
        <v>3622</v>
      </c>
      <c r="P3114" t="s">
        <v>20369</v>
      </c>
      <c r="Q3114" s="3" t="n">
        <v>41922.0</v>
      </c>
      <c r="R3114" s="3" t="n">
        <v>42103.0</v>
      </c>
      <c r="S3114" s="3" t="n">
        <v>43266.45736743056</v>
      </c>
      <c r="T3114" s="3" t="n">
        <v>43903.49497344907</v>
      </c>
      <c r="U3114" t="s">
        <v>19384</v>
      </c>
      <c r="V3114" t="s">
        <v>3625</v>
      </c>
    </row>
    <row r="3115">
      <c r="A3115" t="s">
        <v>22</v>
      </c>
      <c r="B3115" t="s">
        <v>20370</v>
      </c>
      <c r="C3115" t="s">
        <v>24</v>
      </c>
      <c r="D3115" t="s">
        <v>25</v>
      </c>
      <c r="E3115" t="s">
        <v>20371</v>
      </c>
      <c r="F3115" s="2" t="n">
        <f>HYPERLINK("https://patents.google.com/patent/US20150100330","Google")</f>
        <v>0.0</v>
      </c>
      <c r="G3115" s="2" t="n">
        <f>HYPERLINK("https://patentcenter.uspto.gov/applications/14048066","Patent Center")</f>
        <v>0.0</v>
      </c>
      <c r="H3115" s="2" t="n">
        <f>HYPERLINK("https://worldwide.espacenet.com/patent/search?q=US20150100330","Espacenet")</f>
        <v>0.0</v>
      </c>
      <c r="I3115" s="2" t="n">
        <f>HYPERLINK("https://ppubs.uspto.gov/pubwebapp/external.html?q=20150100330.pn.","USPTO")</f>
        <v>0.0</v>
      </c>
      <c r="J3115" s="2" t="n">
        <f>HYPERLINK("https://image-ppubs.uspto.gov/dirsearch-public/print/downloadPdf/20150100330","USPTO PDF")</f>
        <v>0.0</v>
      </c>
      <c r="K3115" s="2" t="n">
        <f>HYPERLINK("https://sectors.patentforecast.com/pmd/US20150100330","PMD")</f>
        <v>0.0</v>
      </c>
      <c r="L3115" s="2" t="n">
        <f>HYPERLINK("https://globaldossier.uspto.gov/result/application/US/14048066/1","US20150100330")</f>
        <v>0.0</v>
      </c>
      <c r="M3115" t="s">
        <v>20372</v>
      </c>
      <c r="N3115" t="s">
        <v>20373</v>
      </c>
      <c r="O3115" t="s">
        <v>20373</v>
      </c>
      <c r="P3115" t="s">
        <v>20374</v>
      </c>
      <c r="Q3115" s="3" t="n">
        <v>41555.0</v>
      </c>
      <c r="R3115" s="3" t="n">
        <v>42103.0</v>
      </c>
      <c r="S3115" s="3" t="n">
        <v>43266.45736741898</v>
      </c>
      <c r="T3115" s="3" t="n">
        <v>43901.721563611114</v>
      </c>
      <c r="U3115" t="s">
        <v>20375</v>
      </c>
      <c r="V3115" t="s">
        <v>20376</v>
      </c>
    </row>
    <row r="3116">
      <c r="A3116" t="s">
        <v>22</v>
      </c>
      <c r="B3116" t="s">
        <v>20377</v>
      </c>
      <c r="C3116" t="s">
        <v>132</v>
      </c>
      <c r="D3116" t="s">
        <v>1265</v>
      </c>
      <c r="E3116" t="s">
        <v>20378</v>
      </c>
      <c r="F3116" s="2" t="n">
        <f>HYPERLINK("https://patents.google.com/patent/US20150098966","Google")</f>
        <v>0.0</v>
      </c>
      <c r="G3116" s="2" t="n">
        <f>HYPERLINK("https://patentcenter.uspto.gov/applications/14401054","Patent Center")</f>
        <v>0.0</v>
      </c>
      <c r="H3116" s="2" t="n">
        <f>HYPERLINK("https://worldwide.espacenet.com/patent/search?q=US20150098966","Espacenet")</f>
        <v>0.0</v>
      </c>
      <c r="I3116" s="2" t="n">
        <f>HYPERLINK("https://ppubs.uspto.gov/pubwebapp/external.html?q=20150098966.pn.","USPTO")</f>
        <v>0.0</v>
      </c>
      <c r="J3116" s="2" t="n">
        <f>HYPERLINK("https://image-ppubs.uspto.gov/dirsearch-public/print/downloadPdf/20150098966","USPTO PDF")</f>
        <v>0.0</v>
      </c>
      <c r="K3116" s="2" t="n">
        <f>HYPERLINK("https://sectors.patentforecast.com/pmd/US20150098966","PMD")</f>
        <v>0.0</v>
      </c>
      <c r="L3116" s="2" t="n">
        <f>HYPERLINK("https://globaldossier.uspto.gov/result/application/US/14401054/1","US20150098966")</f>
        <v>0.0</v>
      </c>
      <c r="M3116" t="s">
        <v>20379</v>
      </c>
      <c r="N3116" t="s">
        <v>4005</v>
      </c>
      <c r="O3116" t="s">
        <v>4006</v>
      </c>
      <c r="P3116" t="s">
        <v>17774</v>
      </c>
      <c r="Q3116" s="3" t="n">
        <v>41408.0</v>
      </c>
      <c r="R3116" s="3" t="n">
        <v>42103.0</v>
      </c>
      <c r="S3116" s="3" t="n">
        <v>43900.43738943287</v>
      </c>
      <c r="T3116" s="3" t="n">
        <v>43901.72156534722</v>
      </c>
      <c r="U3116" t="s">
        <v>20380</v>
      </c>
      <c r="V3116" t="s">
        <v>17776</v>
      </c>
    </row>
    <row r="3117">
      <c r="A3117" t="s">
        <v>22</v>
      </c>
      <c r="B3117" t="s">
        <v>20381</v>
      </c>
      <c r="C3117" t="s">
        <v>60</v>
      </c>
      <c r="D3117" t="s">
        <v>61</v>
      </c>
      <c r="E3117" t="s">
        <v>16903</v>
      </c>
      <c r="F3117" s="2" t="n">
        <f>HYPERLINK("https://patents.google.com/patent/US20150080569","Google")</f>
        <v>0.0</v>
      </c>
      <c r="G3117" s="2" t="n">
        <f>HYPERLINK("https://patentcenter.uspto.gov/applications/14312612","Patent Center")</f>
        <v>0.0</v>
      </c>
      <c r="H3117" s="2" t="n">
        <f>HYPERLINK("https://worldwide.espacenet.com/patent/search?q=US20150080569","Espacenet")</f>
        <v>0.0</v>
      </c>
      <c r="I3117" s="2" t="n">
        <f>HYPERLINK("https://ppubs.uspto.gov/pubwebapp/external.html?q=20150080569.pn.","USPTO")</f>
        <v>0.0</v>
      </c>
      <c r="J3117" s="2" t="n">
        <f>HYPERLINK("https://image-ppubs.uspto.gov/dirsearch-public/print/downloadPdf/20150080569","USPTO PDF")</f>
        <v>0.0</v>
      </c>
      <c r="K3117" s="2" t="n">
        <f>HYPERLINK("https://sectors.patentforecast.com/pmd/US20150080569","PMD")</f>
        <v>0.0</v>
      </c>
      <c r="L3117" s="2" t="n">
        <f>HYPERLINK("https://globaldossier.uspto.gov/result/application/US/14312612/1","US20150080569")</f>
        <v>0.0</v>
      </c>
      <c r="M3117" t="s">
        <v>20382</v>
      </c>
      <c r="N3117" t="s">
        <v>664</v>
      </c>
      <c r="O3117" t="s">
        <v>665</v>
      </c>
      <c r="P3117" t="s">
        <v>20383</v>
      </c>
      <c r="Q3117" s="3" t="n">
        <v>41813.0</v>
      </c>
      <c r="R3117" s="3" t="n">
        <v>42082.0</v>
      </c>
      <c r="S3117" s="3" t="n">
        <v>43952.46140905093</v>
      </c>
      <c r="T3117" s="3" t="n">
        <v>44638.65271974537</v>
      </c>
      <c r="U3117" t="s">
        <v>20384</v>
      </c>
      <c r="V3117" t="s">
        <v>16907</v>
      </c>
    </row>
    <row r="3118">
      <c r="A3118" t="s">
        <v>22</v>
      </c>
      <c r="B3118" t="s">
        <v>20385</v>
      </c>
      <c r="C3118" t="s">
        <v>24</v>
      </c>
      <c r="D3118" t="s">
        <v>25</v>
      </c>
      <c r="E3118" t="s">
        <v>19209</v>
      </c>
      <c r="F3118" s="2" t="n">
        <f>HYPERLINK("https://patents.google.com/patent/US20150072889","Google")</f>
        <v>0.0</v>
      </c>
      <c r="G3118" s="2" t="n">
        <f>HYPERLINK("https://patentcenter.uspto.gov/applications/14479241","Patent Center")</f>
        <v>0.0</v>
      </c>
      <c r="H3118" s="2" t="n">
        <f>HYPERLINK("https://worldwide.espacenet.com/patent/search?q=US20150072889","Espacenet")</f>
        <v>0.0</v>
      </c>
      <c r="I3118" s="2" t="n">
        <f>HYPERLINK("https://ppubs.uspto.gov/pubwebapp/external.html?q=20150072889.pn.","USPTO")</f>
        <v>0.0</v>
      </c>
      <c r="J3118" s="2" t="n">
        <f>HYPERLINK("https://image-ppubs.uspto.gov/dirsearch-public/print/downloadPdf/20150072889","USPTO PDF")</f>
        <v>0.0</v>
      </c>
      <c r="K3118" s="2" t="n">
        <f>HYPERLINK("https://sectors.patentforecast.com/pmd/US20150072889","PMD")</f>
        <v>0.0</v>
      </c>
      <c r="L3118" s="2" t="n">
        <f>HYPERLINK("https://globaldossier.uspto.gov/result/application/US/14479241/1","US20150072889")</f>
        <v>0.0</v>
      </c>
      <c r="M3118" t="s">
        <v>20386</v>
      </c>
      <c r="N3118" t="s">
        <v>3621</v>
      </c>
      <c r="O3118" t="s">
        <v>3622</v>
      </c>
      <c r="P3118" t="s">
        <v>20387</v>
      </c>
      <c r="Q3118" s="3" t="n">
        <v>41887.0</v>
      </c>
      <c r="R3118" s="3" t="n">
        <v>42075.0</v>
      </c>
      <c r="S3118" s="3" t="n">
        <v>43906.37301956018</v>
      </c>
      <c r="T3118" s="3" t="n">
        <v>43958.41062627315</v>
      </c>
      <c r="U3118" t="s">
        <v>20388</v>
      </c>
      <c r="V3118" t="s">
        <v>16602</v>
      </c>
    </row>
    <row r="3119">
      <c r="A3119" t="s">
        <v>22</v>
      </c>
      <c r="B3119" t="s">
        <v>20389</v>
      </c>
      <c r="C3119" t="s">
        <v>24</v>
      </c>
      <c r="D3119" t="s">
        <v>25</v>
      </c>
      <c r="E3119" t="s">
        <v>19209</v>
      </c>
      <c r="F3119" s="2" t="n">
        <f>HYPERLINK("https://patents.google.com/patent/US20150072338","Google")</f>
        <v>0.0</v>
      </c>
      <c r="G3119" s="2" t="n">
        <f>HYPERLINK("https://patentcenter.uspto.gov/applications/14479245","Patent Center")</f>
        <v>0.0</v>
      </c>
      <c r="H3119" s="2" t="n">
        <f>HYPERLINK("https://worldwide.espacenet.com/patent/search?q=US20150072338","Espacenet")</f>
        <v>0.0</v>
      </c>
      <c r="I3119" s="2" t="n">
        <f>HYPERLINK("https://ppubs.uspto.gov/pubwebapp/external.html?q=20150072338.pn.","USPTO")</f>
        <v>0.0</v>
      </c>
      <c r="J3119" s="2" t="n">
        <f>HYPERLINK("https://image-ppubs.uspto.gov/dirsearch-public/print/downloadPdf/20150072338","USPTO PDF")</f>
        <v>0.0</v>
      </c>
      <c r="K3119" s="2" t="n">
        <f>HYPERLINK("https://sectors.patentforecast.com/pmd/US20150072338","PMD")</f>
        <v>0.0</v>
      </c>
      <c r="L3119" s="2" t="n">
        <f>HYPERLINK("https://globaldossier.uspto.gov/result/application/US/14479245/1","US20150072338")</f>
        <v>0.0</v>
      </c>
      <c r="M3119" t="s">
        <v>20390</v>
      </c>
      <c r="N3119" t="s">
        <v>3621</v>
      </c>
      <c r="O3119" t="s">
        <v>3622</v>
      </c>
      <c r="P3119" t="s">
        <v>20391</v>
      </c>
      <c r="Q3119" s="3" t="n">
        <v>41887.0</v>
      </c>
      <c r="R3119" s="3" t="n">
        <v>42075.0</v>
      </c>
      <c r="S3119" s="3" t="n">
        <v>43906.37301956018</v>
      </c>
      <c r="T3119" s="3" t="n">
        <v>43958.41062627315</v>
      </c>
      <c r="U3119" t="s">
        <v>20392</v>
      </c>
      <c r="V3119" t="s">
        <v>16602</v>
      </c>
    </row>
    <row r="3120">
      <c r="A3120" t="s">
        <v>22</v>
      </c>
      <c r="B3120" t="s">
        <v>20393</v>
      </c>
      <c r="C3120" t="s">
        <v>132</v>
      </c>
      <c r="D3120" t="s">
        <v>142</v>
      </c>
      <c r="E3120" t="s">
        <v>20297</v>
      </c>
      <c r="F3120" s="2" t="n">
        <f>HYPERLINK("https://patents.google.com/patent/US20150064725","Google")</f>
        <v>0.0</v>
      </c>
      <c r="G3120" s="2" t="n">
        <f>HYPERLINK("https://patentcenter.uspto.gov/applications/14535484","Patent Center")</f>
        <v>0.0</v>
      </c>
      <c r="H3120" s="2" t="n">
        <f>HYPERLINK("https://worldwide.espacenet.com/patent/search?q=US20150064725","Espacenet")</f>
        <v>0.0</v>
      </c>
      <c r="I3120" s="2" t="n">
        <f>HYPERLINK("https://ppubs.uspto.gov/pubwebapp/external.html?q=20150064725.pn.","USPTO")</f>
        <v>0.0</v>
      </c>
      <c r="J3120" s="2" t="n">
        <f>HYPERLINK("https://image-ppubs.uspto.gov/dirsearch-public/print/downloadPdf/20150064725","USPTO PDF")</f>
        <v>0.0</v>
      </c>
      <c r="K3120" s="2" t="n">
        <f>HYPERLINK("https://sectors.patentforecast.com/pmd/US20150064725","PMD")</f>
        <v>0.0</v>
      </c>
      <c r="L3120" s="2" t="n">
        <f>HYPERLINK("https://globaldossier.uspto.gov/result/application/US/14535484/1","US20150064725")</f>
        <v>0.0</v>
      </c>
      <c r="M3120" t="s">
        <v>20394</v>
      </c>
      <c r="N3120" t="s">
        <v>145</v>
      </c>
      <c r="O3120" t="s">
        <v>146</v>
      </c>
      <c r="P3120" t="s">
        <v>20395</v>
      </c>
      <c r="Q3120" s="3" t="n">
        <v>41950.0</v>
      </c>
      <c r="R3120" s="3" t="n">
        <v>42068.0</v>
      </c>
      <c r="S3120" s="3" t="n">
        <v>43909.454047997686</v>
      </c>
      <c r="T3120" s="3" t="n">
        <v>43950.49672664352</v>
      </c>
      <c r="U3120" t="s">
        <v>20396</v>
      </c>
      <c r="V3120" t="s">
        <v>20397</v>
      </c>
    </row>
    <row r="3121">
      <c r="A3121" t="s">
        <v>22</v>
      </c>
      <c r="B3121" t="s">
        <v>20398</v>
      </c>
      <c r="C3121" t="s">
        <v>60</v>
      </c>
      <c r="D3121" t="s">
        <v>61</v>
      </c>
      <c r="E3121" t="s">
        <v>17574</v>
      </c>
      <c r="F3121" s="2" t="n">
        <f>HYPERLINK("https://patents.google.com/patent/US20150064253","Google")</f>
        <v>0.0</v>
      </c>
      <c r="G3121" s="2" t="n">
        <f>HYPERLINK("https://patentcenter.uspto.gov/applications/14168340","Patent Center")</f>
        <v>0.0</v>
      </c>
      <c r="H3121" s="2" t="n">
        <f>HYPERLINK("https://worldwide.espacenet.com/patent/search?q=US20150064253","Espacenet")</f>
        <v>0.0</v>
      </c>
      <c r="I3121" s="2" t="n">
        <f>HYPERLINK("https://ppubs.uspto.gov/pubwebapp/external.html?q=20150064253.pn.","USPTO")</f>
        <v>0.0</v>
      </c>
      <c r="J3121" s="2" t="n">
        <f>HYPERLINK("https://image-ppubs.uspto.gov/dirsearch-public/print/downloadPdf/20150064253","USPTO PDF")</f>
        <v>0.0</v>
      </c>
      <c r="K3121" s="2" t="n">
        <f>HYPERLINK("https://sectors.patentforecast.com/pmd/US20150064253","PMD")</f>
        <v>0.0</v>
      </c>
      <c r="L3121" s="2" t="n">
        <f>HYPERLINK("https://globaldossier.uspto.gov/result/application/US/14168340/1","US20150064253")</f>
        <v>0.0</v>
      </c>
      <c r="M3121" t="s">
        <v>20399</v>
      </c>
      <c r="N3121" t="s">
        <v>664</v>
      </c>
      <c r="O3121" t="s">
        <v>665</v>
      </c>
      <c r="P3121" t="s">
        <v>20400</v>
      </c>
      <c r="Q3121" s="3" t="n">
        <v>41669.0</v>
      </c>
      <c r="R3121" s="3" t="n">
        <v>42068.0</v>
      </c>
      <c r="S3121" s="3" t="n">
        <v>43952.46140905093</v>
      </c>
      <c r="T3121" s="3" t="n">
        <v>44638.65271974537</v>
      </c>
      <c r="U3121" t="s">
        <v>20401</v>
      </c>
      <c r="V3121" t="s">
        <v>17578</v>
      </c>
    </row>
    <row r="3122">
      <c r="A3122" t="s">
        <v>22</v>
      </c>
      <c r="B3122" t="s">
        <v>20402</v>
      </c>
      <c r="C3122" t="s">
        <v>60</v>
      </c>
      <c r="D3122" t="s">
        <v>61</v>
      </c>
      <c r="E3122" t="s">
        <v>20403</v>
      </c>
      <c r="F3122" s="2" t="n">
        <f>HYPERLINK("https://patents.google.com/patent/US20150064252","Google")</f>
        <v>0.0</v>
      </c>
      <c r="G3122" s="2" t="n">
        <f>HYPERLINK("https://patentcenter.uspto.gov/applications/14168313","Patent Center")</f>
        <v>0.0</v>
      </c>
      <c r="H3122" s="2" t="n">
        <f>HYPERLINK("https://worldwide.espacenet.com/patent/search?q=US20150064252","Espacenet")</f>
        <v>0.0</v>
      </c>
      <c r="I3122" s="2" t="n">
        <f>HYPERLINK("https://ppubs.uspto.gov/pubwebapp/external.html?q=20150064252.pn.","USPTO")</f>
        <v>0.0</v>
      </c>
      <c r="J3122" s="2" t="n">
        <f>HYPERLINK("https://image-ppubs.uspto.gov/dirsearch-public/print/downloadPdf/20150064252","USPTO PDF")</f>
        <v>0.0</v>
      </c>
      <c r="K3122" s="2" t="n">
        <f>HYPERLINK("https://sectors.patentforecast.com/pmd/US20150064252","PMD")</f>
        <v>0.0</v>
      </c>
      <c r="L3122" s="2" t="n">
        <f>HYPERLINK("https://globaldossier.uspto.gov/result/application/US/14168313/1","US20150064252")</f>
        <v>0.0</v>
      </c>
      <c r="M3122" t="s">
        <v>20404</v>
      </c>
      <c r="N3122" t="s">
        <v>664</v>
      </c>
      <c r="O3122" t="s">
        <v>665</v>
      </c>
      <c r="P3122" t="s">
        <v>20405</v>
      </c>
      <c r="Q3122" s="3" t="n">
        <v>41669.0</v>
      </c>
      <c r="R3122" s="3" t="n">
        <v>42068.0</v>
      </c>
      <c r="S3122" s="3" t="n">
        <v>43952.46140905093</v>
      </c>
      <c r="T3122" s="3" t="n">
        <v>44638.65271974537</v>
      </c>
      <c r="U3122" t="s">
        <v>20406</v>
      </c>
      <c r="V3122" t="s">
        <v>20407</v>
      </c>
    </row>
    <row r="3123">
      <c r="A3123" t="s">
        <v>22</v>
      </c>
      <c r="B3123" t="s">
        <v>20408</v>
      </c>
      <c r="C3123" t="s">
        <v>60</v>
      </c>
      <c r="D3123" t="s">
        <v>61</v>
      </c>
      <c r="E3123" t="s">
        <v>20297</v>
      </c>
      <c r="F3123" s="2" t="n">
        <f>HYPERLINK("https://patents.google.com/patent/US20150056253","Google")</f>
        <v>0.0</v>
      </c>
      <c r="G3123" s="2" t="n">
        <f>HYPERLINK("https://patentcenter.uspto.gov/applications/14533264","Patent Center")</f>
        <v>0.0</v>
      </c>
      <c r="H3123" s="2" t="n">
        <f>HYPERLINK("https://worldwide.espacenet.com/patent/search?q=US20150056253","Espacenet")</f>
        <v>0.0</v>
      </c>
      <c r="I3123" s="2" t="n">
        <f>HYPERLINK("https://ppubs.uspto.gov/pubwebapp/external.html?q=20150056253.pn.","USPTO")</f>
        <v>0.0</v>
      </c>
      <c r="J3123" s="2" t="n">
        <f>HYPERLINK("https://image-ppubs.uspto.gov/dirsearch-public/print/downloadPdf/20150056253","USPTO PDF")</f>
        <v>0.0</v>
      </c>
      <c r="K3123" s="2" t="n">
        <f>HYPERLINK("https://sectors.patentforecast.com/pmd/US20150056253","PMD")</f>
        <v>0.0</v>
      </c>
      <c r="L3123" s="2" t="n">
        <f>HYPERLINK("https://globaldossier.uspto.gov/result/application/US/14533264/1","US20150056253")</f>
        <v>0.0</v>
      </c>
      <c r="M3123" t="s">
        <v>20409</v>
      </c>
      <c r="N3123" t="s">
        <v>145</v>
      </c>
      <c r="O3123" t="s">
        <v>146</v>
      </c>
      <c r="P3123" t="s">
        <v>20299</v>
      </c>
      <c r="Q3123" s="3" t="n">
        <v>41948.0</v>
      </c>
      <c r="R3123" s="3" t="n">
        <v>42061.0</v>
      </c>
      <c r="S3123" s="3" t="n">
        <v>43909.454047997686</v>
      </c>
      <c r="T3123" s="3" t="n">
        <v>43950.475894027775</v>
      </c>
      <c r="U3123" t="s">
        <v>20410</v>
      </c>
      <c r="V3123" t="s">
        <v>20411</v>
      </c>
    </row>
    <row r="3124">
      <c r="A3124" t="s">
        <v>22</v>
      </c>
      <c r="B3124" t="s">
        <v>20412</v>
      </c>
      <c r="C3124" t="s">
        <v>60</v>
      </c>
      <c r="D3124" t="s">
        <v>61</v>
      </c>
      <c r="E3124" t="s">
        <v>17846</v>
      </c>
      <c r="F3124" s="2" t="n">
        <f>HYPERLINK("https://patents.google.com/patent/US20150051287","Google")</f>
        <v>0.0</v>
      </c>
      <c r="G3124" s="2" t="n">
        <f>HYPERLINK("https://patentcenter.uspto.gov/applications/14520150","Patent Center")</f>
        <v>0.0</v>
      </c>
      <c r="H3124" s="2" t="n">
        <f>HYPERLINK("https://worldwide.espacenet.com/patent/search?q=US20150051287","Espacenet")</f>
        <v>0.0</v>
      </c>
      <c r="I3124" s="2" t="n">
        <f>HYPERLINK("https://ppubs.uspto.gov/pubwebapp/external.html?q=20150051287.pn.","USPTO")</f>
        <v>0.0</v>
      </c>
      <c r="J3124" s="2" t="n">
        <f>HYPERLINK("https://image-ppubs.uspto.gov/dirsearch-public/print/downloadPdf/20150051287","USPTO PDF")</f>
        <v>0.0</v>
      </c>
      <c r="K3124" s="2" t="n">
        <f>HYPERLINK("https://sectors.patentforecast.com/pmd/US20150051287","PMD")</f>
        <v>0.0</v>
      </c>
      <c r="L3124" s="2" t="n">
        <f>HYPERLINK("https://globaldossier.uspto.gov/result/application/US/14520150/1","US20150051287")</f>
        <v>0.0</v>
      </c>
      <c r="M3124" t="s">
        <v>20413</v>
      </c>
      <c r="N3124" t="s">
        <v>18201</v>
      </c>
      <c r="O3124" t="s">
        <v>18202</v>
      </c>
      <c r="P3124" t="s">
        <v>20414</v>
      </c>
      <c r="Q3124" s="3" t="n">
        <v>41933.0</v>
      </c>
      <c r="R3124" s="3" t="n">
        <v>42054.0</v>
      </c>
      <c r="S3124" s="3" t="n">
        <v>43929.46106686343</v>
      </c>
      <c r="T3124" s="3" t="n">
        <v>43986.470046296294</v>
      </c>
      <c r="U3124" t="s">
        <v>18204</v>
      </c>
      <c r="V3124" t="s">
        <v>17852</v>
      </c>
    </row>
    <row r="3125">
      <c r="A3125" t="s">
        <v>22</v>
      </c>
      <c r="B3125" t="s">
        <v>20415</v>
      </c>
      <c r="C3125" t="s">
        <v>60</v>
      </c>
      <c r="D3125" t="s">
        <v>61</v>
      </c>
      <c r="E3125" t="s">
        <v>17846</v>
      </c>
      <c r="F3125" s="2" t="n">
        <f>HYPERLINK("https://patents.google.com/patent/US20150051281","Google")</f>
        <v>0.0</v>
      </c>
      <c r="G3125" s="2" t="n">
        <f>HYPERLINK("https://patentcenter.uspto.gov/applications/14520141","Patent Center")</f>
        <v>0.0</v>
      </c>
      <c r="H3125" s="2" t="n">
        <f>HYPERLINK("https://worldwide.espacenet.com/patent/search?q=US20150051281","Espacenet")</f>
        <v>0.0</v>
      </c>
      <c r="I3125" s="2" t="n">
        <f>HYPERLINK("https://ppubs.uspto.gov/pubwebapp/external.html?q=20150051281.pn.","USPTO")</f>
        <v>0.0</v>
      </c>
      <c r="J3125" s="2" t="n">
        <f>HYPERLINK("https://image-ppubs.uspto.gov/dirsearch-public/print/downloadPdf/20150051281","USPTO PDF")</f>
        <v>0.0</v>
      </c>
      <c r="K3125" s="2" t="n">
        <f>HYPERLINK("https://sectors.patentforecast.com/pmd/US20150051281","PMD")</f>
        <v>0.0</v>
      </c>
      <c r="L3125" s="2" t="n">
        <f>HYPERLINK("https://globaldossier.uspto.gov/result/application/US/14520141/1","US20150051281")</f>
        <v>0.0</v>
      </c>
      <c r="M3125" t="s">
        <v>20416</v>
      </c>
      <c r="N3125" t="s">
        <v>18201</v>
      </c>
      <c r="O3125" t="s">
        <v>18202</v>
      </c>
      <c r="P3125" t="s">
        <v>18203</v>
      </c>
      <c r="Q3125" s="3" t="n">
        <v>41933.0</v>
      </c>
      <c r="R3125" s="3" t="n">
        <v>42054.0</v>
      </c>
      <c r="S3125" s="3" t="n">
        <v>43929.46106686343</v>
      </c>
      <c r="T3125" s="3" t="n">
        <v>43986.47008394676</v>
      </c>
      <c r="U3125" t="s">
        <v>18204</v>
      </c>
      <c r="V3125" t="s">
        <v>17852</v>
      </c>
    </row>
    <row r="3126">
      <c r="A3126" t="s">
        <v>22</v>
      </c>
      <c r="B3126" t="s">
        <v>20417</v>
      </c>
      <c r="C3126" t="s">
        <v>132</v>
      </c>
      <c r="D3126" t="s">
        <v>133</v>
      </c>
      <c r="E3126" t="s">
        <v>20418</v>
      </c>
      <c r="F3126" s="2" t="n">
        <f>HYPERLINK("https://patents.google.com/patent/US20150050308","Google")</f>
        <v>0.0</v>
      </c>
      <c r="G3126" s="2" t="n">
        <f>HYPERLINK("https://patentcenter.uspto.gov/applications/14458984","Patent Center")</f>
        <v>0.0</v>
      </c>
      <c r="H3126" s="2" t="n">
        <f>HYPERLINK("https://worldwide.espacenet.com/patent/search?q=US20150050308","Espacenet")</f>
        <v>0.0</v>
      </c>
      <c r="I3126" s="2" t="n">
        <f>HYPERLINK("https://ppubs.uspto.gov/pubwebapp/external.html?q=20150050308.pn.","USPTO")</f>
        <v>0.0</v>
      </c>
      <c r="J3126" s="2" t="n">
        <f>HYPERLINK("https://image-ppubs.uspto.gov/dirsearch-public/print/downloadPdf/20150050308","USPTO PDF")</f>
        <v>0.0</v>
      </c>
      <c r="K3126" s="2" t="n">
        <f>HYPERLINK("https://sectors.patentforecast.com/pmd/US20150050308","PMD")</f>
        <v>0.0</v>
      </c>
      <c r="L3126" s="2" t="n">
        <f>HYPERLINK("https://globaldossier.uspto.gov/result/application/US/14458984/1","US20150050308")</f>
        <v>0.0</v>
      </c>
      <c r="M3126" t="s">
        <v>20419</v>
      </c>
      <c r="N3126" t="s">
        <v>20420</v>
      </c>
      <c r="O3126" t="s">
        <v>20421</v>
      </c>
      <c r="P3126" t="s">
        <v>20422</v>
      </c>
      <c r="Q3126" s="3" t="n">
        <v>41864.0</v>
      </c>
      <c r="R3126" s="3" t="n">
        <v>42054.0</v>
      </c>
      <c r="S3126" s="3" t="n">
        <v>43966.47949819444</v>
      </c>
      <c r="T3126" s="3" t="n">
        <v>44638.68962553241</v>
      </c>
      <c r="U3126" t="s">
        <v>20423</v>
      </c>
      <c r="V3126" t="s">
        <v>20424</v>
      </c>
    </row>
    <row r="3127">
      <c r="A3127" t="s">
        <v>22</v>
      </c>
      <c r="B3127" t="s">
        <v>20425</v>
      </c>
      <c r="C3127" t="s">
        <v>60</v>
      </c>
      <c r="D3127" t="s">
        <v>61</v>
      </c>
      <c r="E3127" t="s">
        <v>20426</v>
      </c>
      <c r="F3127" s="2" t="n">
        <f>HYPERLINK("https://patents.google.com/patent/US20150045374","Google")</f>
        <v>0.0</v>
      </c>
      <c r="G3127" s="2" t="n">
        <f>HYPERLINK("https://patentcenter.uspto.gov/applications/14370464","Patent Center")</f>
        <v>0.0</v>
      </c>
      <c r="H3127" s="2" t="n">
        <f>HYPERLINK("https://worldwide.espacenet.com/patent/search?q=US20150045374","Espacenet")</f>
        <v>0.0</v>
      </c>
      <c r="I3127" s="2" t="n">
        <f>HYPERLINK("https://ppubs.uspto.gov/pubwebapp/external.html?q=20150045374.pn.","USPTO")</f>
        <v>0.0</v>
      </c>
      <c r="J3127" s="2" t="n">
        <f>HYPERLINK("https://image-ppubs.uspto.gov/dirsearch-public/print/downloadPdf/20150045374","USPTO PDF")</f>
        <v>0.0</v>
      </c>
      <c r="K3127" s="2" t="n">
        <f>HYPERLINK("https://sectors.patentforecast.com/pmd/US20150045374","PMD")</f>
        <v>0.0</v>
      </c>
      <c r="L3127" s="2" t="n">
        <f>HYPERLINK("https://globaldossier.uspto.gov/result/application/US/14370464/1","US20150045374")</f>
        <v>0.0</v>
      </c>
      <c r="M3127" t="s">
        <v>20427</v>
      </c>
      <c r="N3127" t="s">
        <v>664</v>
      </c>
      <c r="O3127" t="s">
        <v>665</v>
      </c>
      <c r="P3127" t="s">
        <v>20428</v>
      </c>
      <c r="Q3127" s="3" t="n">
        <v>41277.0</v>
      </c>
      <c r="R3127" s="3" t="n">
        <v>42047.0</v>
      </c>
      <c r="S3127" s="3" t="n">
        <v>43952.46140905093</v>
      </c>
      <c r="T3127" s="3" t="n">
        <v>44678.59623765046</v>
      </c>
      <c r="U3127" t="s">
        <v>20429</v>
      </c>
      <c r="V3127" t="s">
        <v>20350</v>
      </c>
    </row>
    <row r="3128">
      <c r="A3128" t="s">
        <v>22</v>
      </c>
      <c r="B3128" t="s">
        <v>20430</v>
      </c>
      <c r="C3128" t="s">
        <v>24</v>
      </c>
      <c r="D3128" t="s">
        <v>100</v>
      </c>
      <c r="E3128" t="s">
        <v>20431</v>
      </c>
      <c r="F3128" s="2" t="n">
        <f>HYPERLINK("https://patents.google.com/patent/US20150030651","Google")</f>
        <v>0.0</v>
      </c>
      <c r="G3128" s="2" t="n">
        <f>HYPERLINK("https://patentcenter.uspto.gov/applications/14499492","Patent Center")</f>
        <v>0.0</v>
      </c>
      <c r="H3128" s="2" t="n">
        <f>HYPERLINK("https://worldwide.espacenet.com/patent/search?q=US20150030651","Espacenet")</f>
        <v>0.0</v>
      </c>
      <c r="I3128" s="2" t="n">
        <f>HYPERLINK("https://ppubs.uspto.gov/pubwebapp/external.html?q=20150030651.pn.","USPTO")</f>
        <v>0.0</v>
      </c>
      <c r="J3128" s="2" t="n">
        <f>HYPERLINK("https://image-ppubs.uspto.gov/dirsearch-public/print/downloadPdf/20150030651","USPTO PDF")</f>
        <v>0.0</v>
      </c>
      <c r="K3128" s="2" t="n">
        <f>HYPERLINK("https://sectors.patentforecast.com/pmd/US20150030651","PMD")</f>
        <v>0.0</v>
      </c>
      <c r="L3128" s="2" t="n">
        <f>HYPERLINK("https://globaldossier.uspto.gov/result/application/US/14499492/1","US20150030651")</f>
        <v>0.0</v>
      </c>
      <c r="M3128" t="s">
        <v>20432</v>
      </c>
      <c r="N3128" t="s">
        <v>20433</v>
      </c>
      <c r="O3128" t="s">
        <v>20433</v>
      </c>
      <c r="P3128" t="s">
        <v>20434</v>
      </c>
      <c r="Q3128" s="3" t="n">
        <v>41911.0</v>
      </c>
      <c r="R3128" s="3" t="n">
        <v>42033.0</v>
      </c>
      <c r="S3128" s="3" t="n">
        <v>43900.43738943287</v>
      </c>
      <c r="T3128" s="3" t="n">
        <v>43901.721565023145</v>
      </c>
      <c r="U3128" t="s">
        <v>20435</v>
      </c>
      <c r="V3128" t="s">
        <v>20436</v>
      </c>
    </row>
    <row r="3129">
      <c r="A3129" t="s">
        <v>22</v>
      </c>
      <c r="B3129" t="s">
        <v>20437</v>
      </c>
      <c r="C3129" t="s">
        <v>60</v>
      </c>
      <c r="D3129" t="s">
        <v>61</v>
      </c>
      <c r="E3129" t="s">
        <v>20438</v>
      </c>
      <c r="F3129" s="2" t="n">
        <f>HYPERLINK("https://patents.google.com/patent/US20150025039","Google")</f>
        <v>0.0</v>
      </c>
      <c r="G3129" s="2" t="n">
        <f>HYPERLINK("https://patentcenter.uspto.gov/applications/14309790","Patent Center")</f>
        <v>0.0</v>
      </c>
      <c r="H3129" s="2" t="n">
        <f>HYPERLINK("https://worldwide.espacenet.com/patent/search?q=US20150025039","Espacenet")</f>
        <v>0.0</v>
      </c>
      <c r="I3129" s="2" t="n">
        <f>HYPERLINK("https://ppubs.uspto.gov/pubwebapp/external.html?q=20150025039.pn.","USPTO")</f>
        <v>0.0</v>
      </c>
      <c r="J3129" s="2" t="n">
        <f>HYPERLINK("https://image-ppubs.uspto.gov/dirsearch-public/print/downloadPdf/20150025039","USPTO PDF")</f>
        <v>0.0</v>
      </c>
      <c r="K3129" s="2" t="n">
        <f>HYPERLINK("https://sectors.patentforecast.com/pmd/US20150025039","PMD")</f>
        <v>0.0</v>
      </c>
      <c r="L3129" s="2" t="n">
        <f>HYPERLINK("https://globaldossier.uspto.gov/result/application/US/14309790/1","US20150025039")</f>
        <v>0.0</v>
      </c>
      <c r="M3129" t="s">
        <v>20439</v>
      </c>
      <c r="N3129" t="s">
        <v>664</v>
      </c>
      <c r="O3129" t="s">
        <v>665</v>
      </c>
      <c r="P3129" t="s">
        <v>20440</v>
      </c>
      <c r="Q3129" s="3" t="n">
        <v>41809.0</v>
      </c>
      <c r="R3129" s="3" t="n">
        <v>42026.0</v>
      </c>
      <c r="S3129" s="3" t="n">
        <v>43950.647371782405</v>
      </c>
      <c r="T3129" s="3" t="n">
        <v>44638.65271974537</v>
      </c>
      <c r="U3129" t="s">
        <v>20441</v>
      </c>
      <c r="V3129" t="s">
        <v>20442</v>
      </c>
    </row>
    <row r="3130">
      <c r="A3130" t="s">
        <v>22</v>
      </c>
      <c r="B3130" t="s">
        <v>20443</v>
      </c>
      <c r="C3130" t="s">
        <v>60</v>
      </c>
      <c r="D3130" t="s">
        <v>61</v>
      </c>
      <c r="E3130" t="s">
        <v>20444</v>
      </c>
      <c r="F3130" s="2" t="n">
        <f>HYPERLINK("https://patents.google.com/patent/US20150018300","Google")</f>
        <v>0.0</v>
      </c>
      <c r="G3130" s="2" t="n">
        <f>HYPERLINK("https://patentcenter.uspto.gov/applications/14332255","Patent Center")</f>
        <v>0.0</v>
      </c>
      <c r="H3130" s="2" t="n">
        <f>HYPERLINK("https://worldwide.espacenet.com/patent/search?q=US20150018300","Espacenet")</f>
        <v>0.0</v>
      </c>
      <c r="I3130" s="2" t="n">
        <f>HYPERLINK("https://ppubs.uspto.gov/pubwebapp/external.html?q=20150018300.pn.","USPTO")</f>
        <v>0.0</v>
      </c>
      <c r="J3130" s="2" t="n">
        <f>HYPERLINK("https://image-ppubs.uspto.gov/dirsearch-public/print/downloadPdf/20150018300","USPTO PDF")</f>
        <v>0.0</v>
      </c>
      <c r="K3130" s="2" t="n">
        <f>HYPERLINK("https://sectors.patentforecast.com/pmd/US20150018300","PMD")</f>
        <v>0.0</v>
      </c>
      <c r="L3130" s="2" t="n">
        <f>HYPERLINK("https://globaldossier.uspto.gov/result/application/US/14332255/1","US20150018300")</f>
        <v>0.0</v>
      </c>
      <c r="M3130" t="s">
        <v>20445</v>
      </c>
      <c r="N3130" t="s">
        <v>664</v>
      </c>
      <c r="O3130" t="s">
        <v>665</v>
      </c>
      <c r="P3130" t="s">
        <v>20446</v>
      </c>
      <c r="Q3130" s="3" t="n">
        <v>41835.0</v>
      </c>
      <c r="R3130" s="3" t="n">
        <v>42019.0</v>
      </c>
      <c r="S3130" s="3" t="n">
        <v>43952.46140905093</v>
      </c>
      <c r="T3130" s="3" t="n">
        <v>44638.66197244213</v>
      </c>
      <c r="U3130" t="s">
        <v>20447</v>
      </c>
      <c r="V3130" t="s">
        <v>20448</v>
      </c>
    </row>
    <row r="3131">
      <c r="A3131" t="s">
        <v>22</v>
      </c>
      <c r="B3131" t="s">
        <v>20449</v>
      </c>
      <c r="C3131" t="s">
        <v>60</v>
      </c>
      <c r="D3131" t="s">
        <v>77</v>
      </c>
      <c r="E3131" t="s">
        <v>20450</v>
      </c>
      <c r="F3131" s="2" t="n">
        <f>HYPERLINK("https://patents.google.com/patent/US20150018226","Google")</f>
        <v>0.0</v>
      </c>
      <c r="G3131" s="2" t="n">
        <f>HYPERLINK("https://patentcenter.uspto.gov/applications/14122653","Patent Center")</f>
        <v>0.0</v>
      </c>
      <c r="H3131" s="2" t="n">
        <f>HYPERLINK("https://worldwide.espacenet.com/patent/search?q=US20150018226","Espacenet")</f>
        <v>0.0</v>
      </c>
      <c r="I3131" s="2" t="n">
        <f>HYPERLINK("https://ppubs.uspto.gov/pubwebapp/external.html?q=20150018226.pn.","USPTO")</f>
        <v>0.0</v>
      </c>
      <c r="J3131" s="2" t="n">
        <f>HYPERLINK("https://image-ppubs.uspto.gov/dirsearch-public/print/downloadPdf/20150018226","USPTO PDF")</f>
        <v>0.0</v>
      </c>
      <c r="K3131" s="2" t="n">
        <f>HYPERLINK("https://sectors.patentforecast.com/pmd/US20150018226","PMD")</f>
        <v>0.0</v>
      </c>
      <c r="L3131" s="2" t="n">
        <f>HYPERLINK("https://globaldossier.uspto.gov/result/application/US/14122653/1","US20150018226")</f>
        <v>0.0</v>
      </c>
      <c r="M3131" t="s">
        <v>20451</v>
      </c>
      <c r="N3131" t="s">
        <v>16801</v>
      </c>
      <c r="O3131" t="s">
        <v>16802</v>
      </c>
      <c r="P3131" t="s">
        <v>20452</v>
      </c>
      <c r="Q3131" s="3" t="n">
        <v>40690.0</v>
      </c>
      <c r="R3131" s="3" t="n">
        <v>42019.0</v>
      </c>
      <c r="S3131" s="3" t="n">
        <v>43985.66955119213</v>
      </c>
      <c r="T3131" s="3" t="n">
        <v>43985.67861778935</v>
      </c>
      <c r="U3131" t="s">
        <v>20453</v>
      </c>
      <c r="V3131" t="s">
        <v>20454</v>
      </c>
    </row>
    <row r="3132">
      <c r="A3132" t="s">
        <v>22</v>
      </c>
      <c r="B3132" t="s">
        <v>20455</v>
      </c>
      <c r="C3132" t="s">
        <v>132</v>
      </c>
      <c r="D3132" t="s">
        <v>2629</v>
      </c>
      <c r="E3132" t="s">
        <v>20456</v>
      </c>
      <c r="F3132" s="2" t="n">
        <f>HYPERLINK("https://patents.google.com/patent/US20150017197","Google")</f>
        <v>0.0</v>
      </c>
      <c r="G3132" s="2" t="n">
        <f>HYPERLINK("https://patentcenter.uspto.gov/applications/14480056","Patent Center")</f>
        <v>0.0</v>
      </c>
      <c r="H3132" s="2" t="n">
        <f>HYPERLINK("https://worldwide.espacenet.com/patent/search?q=US20150017197","Espacenet")</f>
        <v>0.0</v>
      </c>
      <c r="I3132" s="2" t="n">
        <f>HYPERLINK("https://ppubs.uspto.gov/pubwebapp/external.html?q=20150017197.pn.","USPTO")</f>
        <v>0.0</v>
      </c>
      <c r="J3132" s="2" t="n">
        <f>HYPERLINK("https://image-ppubs.uspto.gov/dirsearch-public/print/downloadPdf/20150017197","USPTO PDF")</f>
        <v>0.0</v>
      </c>
      <c r="K3132" s="2" t="n">
        <f>HYPERLINK("https://sectors.patentforecast.com/pmd/US20150017197","PMD")</f>
        <v>0.0</v>
      </c>
      <c r="L3132" s="2" t="n">
        <f>HYPERLINK("https://globaldossier.uspto.gov/result/application/US/14480056/1","US20150017197")</f>
        <v>0.0</v>
      </c>
      <c r="M3132" t="s">
        <v>20457</v>
      </c>
      <c r="N3132" t="s">
        <v>2541</v>
      </c>
      <c r="O3132" t="s">
        <v>2542</v>
      </c>
      <c r="P3132" t="s">
        <v>20458</v>
      </c>
      <c r="Q3132" s="3" t="n">
        <v>41890.0</v>
      </c>
      <c r="R3132" s="3" t="n">
        <v>42019.0</v>
      </c>
      <c r="S3132" s="3" t="n">
        <v>43936.46037263889</v>
      </c>
      <c r="T3132" s="3" t="n">
        <v>43950.424197685184</v>
      </c>
      <c r="U3132" t="s">
        <v>20459</v>
      </c>
      <c r="V3132" t="s">
        <v>20460</v>
      </c>
    </row>
    <row r="3133">
      <c r="A3133" t="s">
        <v>22</v>
      </c>
      <c r="B3133" t="s">
        <v>20461</v>
      </c>
      <c r="C3133" t="s">
        <v>132</v>
      </c>
      <c r="D3133" t="s">
        <v>142</v>
      </c>
      <c r="E3133" t="s">
        <v>20462</v>
      </c>
      <c r="F3133" s="2" t="n">
        <f>HYPERLINK("https://patents.google.com/patent/US20150017191","Google")</f>
        <v>0.0</v>
      </c>
      <c r="G3133" s="2" t="n">
        <f>HYPERLINK("https://patentcenter.uspto.gov/applications/14377488","Patent Center")</f>
        <v>0.0</v>
      </c>
      <c r="H3133" s="2" t="n">
        <f>HYPERLINK("https://worldwide.espacenet.com/patent/search?q=US20150017191","Espacenet")</f>
        <v>0.0</v>
      </c>
      <c r="I3133" s="2" t="n">
        <f>HYPERLINK("https://ppubs.uspto.gov/pubwebapp/external.html?q=20150017191.pn.","USPTO")</f>
        <v>0.0</v>
      </c>
      <c r="J3133" s="2" t="n">
        <f>HYPERLINK("https://image-ppubs.uspto.gov/dirsearch-public/print/downloadPdf/20150017191","USPTO PDF")</f>
        <v>0.0</v>
      </c>
      <c r="K3133" s="2" t="n">
        <f>HYPERLINK("https://sectors.patentforecast.com/pmd/US20150017191","PMD")</f>
        <v>0.0</v>
      </c>
      <c r="L3133" s="2" t="n">
        <f>HYPERLINK("https://globaldossier.uspto.gov/result/application/US/14377488/1","US20150017191")</f>
        <v>0.0</v>
      </c>
      <c r="M3133" t="s">
        <v>20463</v>
      </c>
      <c r="N3133" t="s">
        <v>20464</v>
      </c>
      <c r="O3133" t="s">
        <v>20465</v>
      </c>
      <c r="P3133" t="s">
        <v>20466</v>
      </c>
      <c r="Q3133" s="3" t="n">
        <v>41312.0</v>
      </c>
      <c r="R3133" s="3" t="n">
        <v>42019.0</v>
      </c>
      <c r="S3133" s="3" t="n">
        <v>43966.487026215276</v>
      </c>
      <c r="T3133" s="3" t="n">
        <v>44678.41750662037</v>
      </c>
      <c r="U3133" t="s">
        <v>20467</v>
      </c>
      <c r="V3133" t="s">
        <v>20468</v>
      </c>
    </row>
    <row r="3134">
      <c r="A3134" t="s">
        <v>22</v>
      </c>
      <c r="B3134" t="s">
        <v>20469</v>
      </c>
      <c r="C3134" t="s">
        <v>24</v>
      </c>
      <c r="D3134" t="s">
        <v>25</v>
      </c>
      <c r="E3134" t="s">
        <v>20470</v>
      </c>
      <c r="F3134" s="2" t="n">
        <f>HYPERLINK("https://patents.google.com/patent/US20150012292","Google")</f>
        <v>0.0</v>
      </c>
      <c r="G3134" s="2" t="n">
        <f>HYPERLINK("https://patentcenter.uspto.gov/applications/14378376","Patent Center")</f>
        <v>0.0</v>
      </c>
      <c r="H3134" s="2" t="n">
        <f>HYPERLINK("https://worldwide.espacenet.com/patent/search?q=US20150012292","Espacenet")</f>
        <v>0.0</v>
      </c>
      <c r="I3134" s="2" t="n">
        <f>HYPERLINK("https://ppubs.uspto.gov/pubwebapp/external.html?q=20150012292.pn.","USPTO")</f>
        <v>0.0</v>
      </c>
      <c r="J3134" s="2" t="n">
        <f>HYPERLINK("https://image-ppubs.uspto.gov/dirsearch-public/print/downloadPdf/20150012292","USPTO PDF")</f>
        <v>0.0</v>
      </c>
      <c r="K3134" s="2" t="n">
        <f>HYPERLINK("https://sectors.patentforecast.com/pmd/US20150012292","PMD")</f>
        <v>0.0</v>
      </c>
      <c r="L3134" s="2" t="n">
        <f>HYPERLINK("https://globaldossier.uspto.gov/result/application/US/14378376/1","US20150012292")</f>
        <v>0.0</v>
      </c>
      <c r="M3134" t="s">
        <v>20471</v>
      </c>
      <c r="N3134" t="s">
        <v>20472</v>
      </c>
      <c r="O3134" t="s">
        <v>20473</v>
      </c>
      <c r="P3134" t="s">
        <v>20474</v>
      </c>
      <c r="Q3134" s="3" t="n">
        <v>41318.0</v>
      </c>
      <c r="R3134" s="3" t="n">
        <v>42012.0</v>
      </c>
      <c r="S3134" s="3" t="n">
        <v>43266.45736741898</v>
      </c>
      <c r="T3134" s="3" t="n">
        <v>43901.72156532407</v>
      </c>
      <c r="U3134" t="s">
        <v>20475</v>
      </c>
      <c r="V3134" t="s">
        <v>20476</v>
      </c>
    </row>
    <row r="3135">
      <c r="A3135" t="s">
        <v>22</v>
      </c>
      <c r="B3135" t="s">
        <v>20477</v>
      </c>
      <c r="C3135" t="s">
        <v>132</v>
      </c>
      <c r="D3135" t="s">
        <v>1265</v>
      </c>
      <c r="E3135" t="s">
        <v>20478</v>
      </c>
      <c r="F3135" s="2" t="n">
        <f>HYPERLINK("https://patents.google.com/patent/US20140377295","Google")</f>
        <v>0.0</v>
      </c>
      <c r="G3135" s="2" t="n">
        <f>HYPERLINK("https://patentcenter.uspto.gov/applications/14119150","Patent Center")</f>
        <v>0.0</v>
      </c>
      <c r="H3135" s="2" t="n">
        <f>HYPERLINK("https://worldwide.espacenet.com/patent/search?q=US20140377295","Espacenet")</f>
        <v>0.0</v>
      </c>
      <c r="I3135" s="2" t="n">
        <f>HYPERLINK("https://ppubs.uspto.gov/pubwebapp/external.html?q=20140377295.pn.","USPTO")</f>
        <v>0.0</v>
      </c>
      <c r="J3135" s="2" t="n">
        <f>HYPERLINK("https://image-ppubs.uspto.gov/dirsearch-public/print/downloadPdf/20140377295","USPTO PDF")</f>
        <v>0.0</v>
      </c>
      <c r="K3135" s="2" t="n">
        <f>HYPERLINK("https://sectors.patentforecast.com/pmd/US20140377295","PMD")</f>
        <v>0.0</v>
      </c>
      <c r="L3135" s="2" t="n">
        <f>HYPERLINK("https://globaldossier.uspto.gov/result/application/US/14119150/1","US20140377295")</f>
        <v>0.0</v>
      </c>
      <c r="M3135" t="s">
        <v>20479</v>
      </c>
      <c r="N3135" t="s">
        <v>20480</v>
      </c>
      <c r="O3135" t="s">
        <v>20481</v>
      </c>
      <c r="P3135" t="s">
        <v>20482</v>
      </c>
      <c r="Q3135" s="3" t="n">
        <v>41052.0</v>
      </c>
      <c r="R3135" s="3" t="n">
        <v>41998.0</v>
      </c>
      <c r="S3135" s="3" t="n">
        <v>43900.43738943287</v>
      </c>
      <c r="T3135" s="3" t="n">
        <v>43901.72156376157</v>
      </c>
      <c r="U3135" t="s">
        <v>20483</v>
      </c>
      <c r="V3135" t="s">
        <v>20484</v>
      </c>
    </row>
    <row r="3136">
      <c r="A3136" t="s">
        <v>22</v>
      </c>
      <c r="B3136" t="s">
        <v>20485</v>
      </c>
      <c r="C3136" t="s">
        <v>60</v>
      </c>
      <c r="D3136" t="s">
        <v>61</v>
      </c>
      <c r="E3136" t="s">
        <v>20486</v>
      </c>
      <c r="F3136" s="2" t="n">
        <f>HYPERLINK("https://patents.google.com/patent/US20140370041","Google")</f>
        <v>0.0</v>
      </c>
      <c r="G3136" s="2" t="n">
        <f>HYPERLINK("https://patentcenter.uspto.gov/applications/14161842","Patent Center")</f>
        <v>0.0</v>
      </c>
      <c r="H3136" s="2" t="n">
        <f>HYPERLINK("https://worldwide.espacenet.com/patent/search?q=US20140370041","Espacenet")</f>
        <v>0.0</v>
      </c>
      <c r="I3136" s="2" t="n">
        <f>HYPERLINK("https://ppubs.uspto.gov/pubwebapp/external.html?q=20140370041.pn.","USPTO")</f>
        <v>0.0</v>
      </c>
      <c r="J3136" s="2" t="n">
        <f>HYPERLINK("https://image-ppubs.uspto.gov/dirsearch-public/print/downloadPdf/20140370041","USPTO PDF")</f>
        <v>0.0</v>
      </c>
      <c r="K3136" s="2" t="n">
        <f>HYPERLINK("https://sectors.patentforecast.com/pmd/US20140370041","PMD")</f>
        <v>0.0</v>
      </c>
      <c r="L3136" s="2" t="n">
        <f>HYPERLINK("https://globaldossier.uspto.gov/result/application/US/14161842/1","US20140370041")</f>
        <v>0.0</v>
      </c>
      <c r="M3136" t="s">
        <v>20487</v>
      </c>
      <c r="N3136" t="s">
        <v>10143</v>
      </c>
      <c r="O3136" t="s">
        <v>10144</v>
      </c>
      <c r="P3136" t="s">
        <v>20488</v>
      </c>
      <c r="Q3136" s="3" t="n">
        <v>41662.0</v>
      </c>
      <c r="R3136" s="3" t="n">
        <v>41991.0</v>
      </c>
      <c r="S3136" s="3" t="n">
        <v>43900.43738943287</v>
      </c>
      <c r="T3136" s="3" t="n">
        <v>43903.48463236111</v>
      </c>
      <c r="U3136" t="s">
        <v>20489</v>
      </c>
      <c r="V3136" t="s">
        <v>20490</v>
      </c>
    </row>
    <row r="3137">
      <c r="A3137" t="s">
        <v>22</v>
      </c>
      <c r="B3137" t="s">
        <v>20491</v>
      </c>
      <c r="C3137" t="s">
        <v>132</v>
      </c>
      <c r="D3137" t="s">
        <v>1265</v>
      </c>
      <c r="E3137" t="s">
        <v>20492</v>
      </c>
      <c r="F3137" s="2" t="n">
        <f>HYPERLINK("https://patents.google.com/patent/US20140363474","Google")</f>
        <v>0.0</v>
      </c>
      <c r="G3137" s="2" t="n">
        <f>HYPERLINK("https://patentcenter.uspto.gov/applications/14465055","Patent Center")</f>
        <v>0.0</v>
      </c>
      <c r="H3137" s="2" t="n">
        <f>HYPERLINK("https://worldwide.espacenet.com/patent/search?q=US20140363474","Espacenet")</f>
        <v>0.0</v>
      </c>
      <c r="I3137" s="2" t="n">
        <f>HYPERLINK("https://ppubs.uspto.gov/pubwebapp/external.html?q=20140363474.pn.","USPTO")</f>
        <v>0.0</v>
      </c>
      <c r="J3137" s="2" t="n">
        <f>HYPERLINK("https://image-ppubs.uspto.gov/dirsearch-public/print/downloadPdf/20140363474","USPTO PDF")</f>
        <v>0.0</v>
      </c>
      <c r="K3137" s="2" t="n">
        <f>HYPERLINK("https://sectors.patentforecast.com/pmd/US20140363474","PMD")</f>
        <v>0.0</v>
      </c>
      <c r="L3137" s="2" t="n">
        <f>HYPERLINK("https://globaldossier.uspto.gov/result/application/US/14465055/1","US20140363474")</f>
        <v>0.0</v>
      </c>
      <c r="M3137" t="s">
        <v>20493</v>
      </c>
      <c r="N3137" t="s">
        <v>15147</v>
      </c>
      <c r="O3137" t="s">
        <v>15148</v>
      </c>
      <c r="P3137" t="s">
        <v>16154</v>
      </c>
      <c r="Q3137" s="3" t="n">
        <v>41872.0</v>
      </c>
      <c r="R3137" s="3" t="n">
        <v>41984.0</v>
      </c>
      <c r="S3137" s="3" t="n">
        <v>43900.43738943287</v>
      </c>
      <c r="T3137" s="3" t="n">
        <v>43903.48463226852</v>
      </c>
      <c r="U3137" t="s">
        <v>20494</v>
      </c>
      <c r="V3137" t="s">
        <v>20495</v>
      </c>
    </row>
    <row r="3138">
      <c r="A3138" t="s">
        <v>22</v>
      </c>
      <c r="B3138" t="s">
        <v>20496</v>
      </c>
      <c r="C3138" t="s">
        <v>132</v>
      </c>
      <c r="D3138" t="s">
        <v>1265</v>
      </c>
      <c r="E3138" t="s">
        <v>20497</v>
      </c>
      <c r="F3138" s="2" t="n">
        <f>HYPERLINK("https://patents.google.com/patent/US20140363468","Google")</f>
        <v>0.0</v>
      </c>
      <c r="G3138" s="2" t="n">
        <f>HYPERLINK("https://patentcenter.uspto.gov/applications/14461852","Patent Center")</f>
        <v>0.0</v>
      </c>
      <c r="H3138" s="2" t="n">
        <f>HYPERLINK("https://worldwide.espacenet.com/patent/search?q=US20140363468","Espacenet")</f>
        <v>0.0</v>
      </c>
      <c r="I3138" s="2" t="n">
        <f>HYPERLINK("https://ppubs.uspto.gov/pubwebapp/external.html?q=20140363468.pn.","USPTO")</f>
        <v>0.0</v>
      </c>
      <c r="J3138" s="2" t="n">
        <f>HYPERLINK("https://image-ppubs.uspto.gov/dirsearch-public/print/downloadPdf/20140363468","USPTO PDF")</f>
        <v>0.0</v>
      </c>
      <c r="K3138" s="2" t="n">
        <f>HYPERLINK("https://sectors.patentforecast.com/pmd/US20140363468","PMD")</f>
        <v>0.0</v>
      </c>
      <c r="L3138" s="2" t="n">
        <f>HYPERLINK("https://globaldossier.uspto.gov/result/application/US/14461852/1","US20140363468")</f>
        <v>0.0</v>
      </c>
      <c r="M3138" t="s">
        <v>20498</v>
      </c>
      <c r="N3138" t="s">
        <v>16845</v>
      </c>
      <c r="O3138" t="s">
        <v>16846</v>
      </c>
      <c r="P3138" t="s">
        <v>20499</v>
      </c>
      <c r="Q3138" s="3" t="n">
        <v>41869.0</v>
      </c>
      <c r="R3138" s="3" t="n">
        <v>41984.0</v>
      </c>
      <c r="S3138" s="3" t="n">
        <v>43900.43738943287</v>
      </c>
      <c r="T3138" s="3" t="n">
        <v>43901.72156460648</v>
      </c>
      <c r="U3138" t="s">
        <v>20500</v>
      </c>
      <c r="V3138" t="s">
        <v>20501</v>
      </c>
    </row>
    <row r="3139">
      <c r="A3139" t="s">
        <v>22</v>
      </c>
      <c r="B3139" t="s">
        <v>20502</v>
      </c>
      <c r="C3139" t="s">
        <v>60</v>
      </c>
      <c r="D3139" t="s">
        <v>61</v>
      </c>
      <c r="E3139" t="s">
        <v>20503</v>
      </c>
      <c r="F3139" s="2" t="n">
        <f>HYPERLINK("https://patents.google.com/patent/US20140357595","Google")</f>
        <v>0.0</v>
      </c>
      <c r="G3139" s="2" t="n">
        <f>HYPERLINK("https://patentcenter.uspto.gov/applications/14293876","Patent Center")</f>
        <v>0.0</v>
      </c>
      <c r="H3139" s="2" t="n">
        <f>HYPERLINK("https://worldwide.espacenet.com/patent/search?q=US20140357595","Espacenet")</f>
        <v>0.0</v>
      </c>
      <c r="I3139" s="2" t="n">
        <f>HYPERLINK("https://ppubs.uspto.gov/pubwebapp/external.html?q=20140357595.pn.","USPTO")</f>
        <v>0.0</v>
      </c>
      <c r="J3139" s="2" t="n">
        <f>HYPERLINK("https://image-ppubs.uspto.gov/dirsearch-public/print/downloadPdf/20140357595","USPTO PDF")</f>
        <v>0.0</v>
      </c>
      <c r="K3139" s="2" t="n">
        <f>HYPERLINK("https://sectors.patentforecast.com/pmd/US20140357595","PMD")</f>
        <v>0.0</v>
      </c>
      <c r="L3139" s="2" t="n">
        <f>HYPERLINK("https://globaldossier.uspto.gov/result/application/US/14293876/1","US20140357595")</f>
        <v>0.0</v>
      </c>
      <c r="M3139" t="s">
        <v>20504</v>
      </c>
      <c r="N3139" t="s">
        <v>664</v>
      </c>
      <c r="O3139" t="s">
        <v>665</v>
      </c>
      <c r="P3139" t="s">
        <v>20505</v>
      </c>
      <c r="Q3139" s="3" t="n">
        <v>41792.0</v>
      </c>
      <c r="R3139" s="3" t="n">
        <v>41977.0</v>
      </c>
      <c r="S3139" s="3" t="n">
        <v>43952.46303239583</v>
      </c>
      <c r="T3139" s="3" t="n">
        <v>44638.65643378472</v>
      </c>
      <c r="U3139" t="s">
        <v>20506</v>
      </c>
      <c r="V3139" t="s">
        <v>20507</v>
      </c>
    </row>
    <row r="3140">
      <c r="A3140" t="s">
        <v>22</v>
      </c>
      <c r="B3140" t="s">
        <v>20508</v>
      </c>
      <c r="C3140" t="s">
        <v>60</v>
      </c>
      <c r="D3140" t="s">
        <v>61</v>
      </c>
      <c r="E3140" t="s">
        <v>19214</v>
      </c>
      <c r="F3140" s="2" t="n">
        <f>HYPERLINK("https://patents.google.com/patent/US20140350095","Google")</f>
        <v>0.0</v>
      </c>
      <c r="G3140" s="2" t="n">
        <f>HYPERLINK("https://patentcenter.uspto.gov/applications/14372820","Patent Center")</f>
        <v>0.0</v>
      </c>
      <c r="H3140" s="2" t="n">
        <f>HYPERLINK("https://worldwide.espacenet.com/patent/search?q=US20140350095","Espacenet")</f>
        <v>0.0</v>
      </c>
      <c r="I3140" s="2" t="n">
        <f>HYPERLINK("https://ppubs.uspto.gov/pubwebapp/external.html?q=20140350095.pn.","USPTO")</f>
        <v>0.0</v>
      </c>
      <c r="J3140" s="2" t="n">
        <f>HYPERLINK("https://image-ppubs.uspto.gov/dirsearch-public/print/downloadPdf/20140350095","USPTO PDF")</f>
        <v>0.0</v>
      </c>
      <c r="K3140" s="2" t="n">
        <f>HYPERLINK("https://sectors.patentforecast.com/pmd/US20140350095","PMD")</f>
        <v>0.0</v>
      </c>
      <c r="L3140" s="2" t="n">
        <f>HYPERLINK("https://globaldossier.uspto.gov/result/application/US/14372820/1","US20140350095")</f>
        <v>0.0</v>
      </c>
      <c r="M3140" t="s">
        <v>20509</v>
      </c>
      <c r="N3140" t="s">
        <v>16801</v>
      </c>
      <c r="O3140" t="s">
        <v>16802</v>
      </c>
      <c r="P3140" t="s">
        <v>19216</v>
      </c>
      <c r="Q3140" s="3" t="n">
        <v>41291.0</v>
      </c>
      <c r="R3140" s="3" t="n">
        <v>41970.0</v>
      </c>
      <c r="S3140" s="3" t="n">
        <v>43966.487026215276</v>
      </c>
      <c r="T3140" s="3" t="n">
        <v>43985.67804731482</v>
      </c>
      <c r="U3140" t="s">
        <v>20510</v>
      </c>
      <c r="V3140" t="s">
        <v>20511</v>
      </c>
    </row>
    <row r="3141">
      <c r="A3141" t="s">
        <v>22</v>
      </c>
      <c r="B3141" t="s">
        <v>20512</v>
      </c>
      <c r="C3141" t="s">
        <v>60</v>
      </c>
      <c r="D3141" t="s">
        <v>61</v>
      </c>
      <c r="E3141" t="s">
        <v>19245</v>
      </c>
      <c r="F3141" s="2" t="n">
        <f>HYPERLINK("https://patents.google.com/patent/US20140343063","Google")</f>
        <v>0.0</v>
      </c>
      <c r="G3141" s="2" t="n">
        <f>HYPERLINK("https://patentcenter.uspto.gov/applications/14281798","Patent Center")</f>
        <v>0.0</v>
      </c>
      <c r="H3141" s="2" t="n">
        <f>HYPERLINK("https://worldwide.espacenet.com/patent/search?q=US20140343063","Espacenet")</f>
        <v>0.0</v>
      </c>
      <c r="I3141" s="2" t="n">
        <f>HYPERLINK("https://ppubs.uspto.gov/pubwebapp/external.html?q=20140343063.pn.","USPTO")</f>
        <v>0.0</v>
      </c>
      <c r="J3141" s="2" t="n">
        <f>HYPERLINK("https://image-ppubs.uspto.gov/dirsearch-public/print/downloadPdf/20140343063","USPTO PDF")</f>
        <v>0.0</v>
      </c>
      <c r="K3141" s="2" t="n">
        <f>HYPERLINK("https://sectors.patentforecast.com/pmd/US20140343063","PMD")</f>
        <v>0.0</v>
      </c>
      <c r="L3141" s="2" t="n">
        <f>HYPERLINK("https://globaldossier.uspto.gov/result/application/US/14281798/1","US20140343063")</f>
        <v>0.0</v>
      </c>
      <c r="M3141" t="s">
        <v>20513</v>
      </c>
      <c r="N3141" t="s">
        <v>664</v>
      </c>
      <c r="O3141" t="s">
        <v>665</v>
      </c>
      <c r="P3141" t="s">
        <v>19247</v>
      </c>
      <c r="Q3141" s="3" t="n">
        <v>41778.0</v>
      </c>
      <c r="R3141" s="3" t="n">
        <v>41963.0</v>
      </c>
      <c r="S3141" s="3" t="n">
        <v>43952.46303239583</v>
      </c>
      <c r="T3141" s="3" t="n">
        <v>44638.65579662037</v>
      </c>
      <c r="U3141" t="s">
        <v>20514</v>
      </c>
      <c r="V3141" t="s">
        <v>19249</v>
      </c>
    </row>
    <row r="3142">
      <c r="A3142" t="s">
        <v>22</v>
      </c>
      <c r="B3142" t="s">
        <v>20515</v>
      </c>
      <c r="C3142" t="s">
        <v>60</v>
      </c>
      <c r="D3142" t="s">
        <v>61</v>
      </c>
      <c r="E3142" t="s">
        <v>19245</v>
      </c>
      <c r="F3142" s="2" t="n">
        <f>HYPERLINK("https://patents.google.com/patent/US20140343062","Google")</f>
        <v>0.0</v>
      </c>
      <c r="G3142" s="2" t="n">
        <f>HYPERLINK("https://patentcenter.uspto.gov/applications/14281790","Patent Center")</f>
        <v>0.0</v>
      </c>
      <c r="H3142" s="2" t="n">
        <f>HYPERLINK("https://worldwide.espacenet.com/patent/search?q=US20140343062","Espacenet")</f>
        <v>0.0</v>
      </c>
      <c r="I3142" s="2" t="n">
        <f>HYPERLINK("https://ppubs.uspto.gov/pubwebapp/external.html?q=20140343062.pn.","USPTO")</f>
        <v>0.0</v>
      </c>
      <c r="J3142" s="2" t="n">
        <f>HYPERLINK("https://image-ppubs.uspto.gov/dirsearch-public/print/downloadPdf/20140343062","USPTO PDF")</f>
        <v>0.0</v>
      </c>
      <c r="K3142" s="2" t="n">
        <f>HYPERLINK("https://sectors.patentforecast.com/pmd/US20140343062","PMD")</f>
        <v>0.0</v>
      </c>
      <c r="L3142" s="2" t="n">
        <f>HYPERLINK("https://globaldossier.uspto.gov/result/application/US/14281790/1","US20140343062")</f>
        <v>0.0</v>
      </c>
      <c r="M3142" t="s">
        <v>20516</v>
      </c>
      <c r="N3142" t="s">
        <v>664</v>
      </c>
      <c r="O3142" t="s">
        <v>665</v>
      </c>
      <c r="P3142" t="s">
        <v>19252</v>
      </c>
      <c r="Q3142" s="3" t="n">
        <v>41778.0</v>
      </c>
      <c r="R3142" s="3" t="n">
        <v>41963.0</v>
      </c>
      <c r="S3142" s="3" t="n">
        <v>43952.46303239583</v>
      </c>
      <c r="T3142" s="3" t="n">
        <v>44638.65579662037</v>
      </c>
      <c r="U3142" t="s">
        <v>20517</v>
      </c>
      <c r="V3142" t="s">
        <v>19254</v>
      </c>
    </row>
    <row r="3143">
      <c r="A3143" t="s">
        <v>22</v>
      </c>
      <c r="B3143" t="s">
        <v>20518</v>
      </c>
      <c r="C3143" t="s">
        <v>132</v>
      </c>
      <c r="D3143" t="s">
        <v>142</v>
      </c>
      <c r="E3143" t="s">
        <v>20519</v>
      </c>
      <c r="F3143" s="2" t="n">
        <f>HYPERLINK("https://patents.google.com/patent/US20140341936","Google")</f>
        <v>0.0</v>
      </c>
      <c r="G3143" s="2" t="n">
        <f>HYPERLINK("https://patentcenter.uspto.gov/applications/14232048","Patent Center")</f>
        <v>0.0</v>
      </c>
      <c r="H3143" s="2" t="n">
        <f>HYPERLINK("https://worldwide.espacenet.com/patent/search?q=US20140341936","Espacenet")</f>
        <v>0.0</v>
      </c>
      <c r="I3143" s="2" t="n">
        <f>HYPERLINK("https://ppubs.uspto.gov/pubwebapp/external.html?q=20140341936.pn.","USPTO")</f>
        <v>0.0</v>
      </c>
      <c r="J3143" s="2" t="n">
        <f>HYPERLINK("https://image-ppubs.uspto.gov/dirsearch-public/print/downloadPdf/20140341936","USPTO PDF")</f>
        <v>0.0</v>
      </c>
      <c r="K3143" s="2" t="n">
        <f>HYPERLINK("https://sectors.patentforecast.com/pmd/US20140341936","PMD")</f>
        <v>0.0</v>
      </c>
      <c r="L3143" s="2" t="n">
        <f>HYPERLINK("https://globaldossier.uspto.gov/result/application/US/14232048/1","US20140341936")</f>
        <v>0.0</v>
      </c>
      <c r="M3143" t="s">
        <v>20520</v>
      </c>
      <c r="N3143" t="s">
        <v>7854</v>
      </c>
      <c r="O3143" t="s">
        <v>7855</v>
      </c>
      <c r="P3143" t="s">
        <v>20521</v>
      </c>
      <c r="Q3143" s="3" t="n">
        <v>41102.0</v>
      </c>
      <c r="R3143" s="3" t="n">
        <v>41963.0</v>
      </c>
      <c r="S3143" s="3" t="n">
        <v>43936.46037263889</v>
      </c>
      <c r="T3143" s="3" t="n">
        <v>44543.67824652778</v>
      </c>
      <c r="U3143" t="s">
        <v>20522</v>
      </c>
      <c r="V3143" t="s">
        <v>20523</v>
      </c>
    </row>
    <row r="3144">
      <c r="A3144" t="s">
        <v>22</v>
      </c>
      <c r="B3144" t="s">
        <v>20524</v>
      </c>
      <c r="C3144" t="s">
        <v>60</v>
      </c>
      <c r="D3144" t="s">
        <v>77</v>
      </c>
      <c r="E3144" t="s">
        <v>20525</v>
      </c>
      <c r="F3144" s="2" t="n">
        <f>HYPERLINK("https://patents.google.com/patent/US20140322210","Google")</f>
        <v>0.0</v>
      </c>
      <c r="G3144" s="2" t="n">
        <f>HYPERLINK("https://patentcenter.uspto.gov/applications/14363297","Patent Center")</f>
        <v>0.0</v>
      </c>
      <c r="H3144" s="2" t="n">
        <f>HYPERLINK("https://worldwide.espacenet.com/patent/search?q=US20140322210","Espacenet")</f>
        <v>0.0</v>
      </c>
      <c r="I3144" s="2" t="n">
        <f>HYPERLINK("https://ppubs.uspto.gov/pubwebapp/external.html?q=20140322210.pn.","USPTO")</f>
        <v>0.0</v>
      </c>
      <c r="J3144" s="2" t="n">
        <f>HYPERLINK("https://image-ppubs.uspto.gov/dirsearch-public/print/downloadPdf/20140322210","USPTO PDF")</f>
        <v>0.0</v>
      </c>
      <c r="K3144" s="2" t="n">
        <f>HYPERLINK("https://sectors.patentforecast.com/pmd/US20140322210","PMD")</f>
        <v>0.0</v>
      </c>
      <c r="L3144" s="2" t="n">
        <f>HYPERLINK("https://globaldossier.uspto.gov/result/application/US/14363297/1","US20140322210")</f>
        <v>0.0</v>
      </c>
      <c r="M3144" t="s">
        <v>20526</v>
      </c>
      <c r="N3144" t="s">
        <v>20527</v>
      </c>
      <c r="O3144" t="s">
        <v>20528</v>
      </c>
      <c r="P3144" t="s">
        <v>20529</v>
      </c>
      <c r="Q3144" s="3" t="n">
        <v>41248.0</v>
      </c>
      <c r="R3144" s="3" t="n">
        <v>41942.0</v>
      </c>
      <c r="S3144" s="3" t="n">
        <v>43900.437389907405</v>
      </c>
      <c r="T3144" s="3" t="n">
        <v>43901.721564375</v>
      </c>
      <c r="U3144" t="s">
        <v>20530</v>
      </c>
      <c r="V3144" t="s">
        <v>20531</v>
      </c>
    </row>
    <row r="3145">
      <c r="A3145" t="s">
        <v>22</v>
      </c>
      <c r="B3145" t="s">
        <v>20532</v>
      </c>
      <c r="C3145" t="s">
        <v>60</v>
      </c>
      <c r="D3145" t="s">
        <v>61</v>
      </c>
      <c r="E3145" t="s">
        <v>16903</v>
      </c>
      <c r="F3145" s="2" t="n">
        <f>HYPERLINK("https://patents.google.com/patent/US20140316144","Google")</f>
        <v>0.0</v>
      </c>
      <c r="G3145" s="2" t="n">
        <f>HYPERLINK("https://patentcenter.uspto.gov/applications/14316573","Patent Center")</f>
        <v>0.0</v>
      </c>
      <c r="H3145" s="2" t="n">
        <f>HYPERLINK("https://worldwide.espacenet.com/patent/search?q=US20140316144","Espacenet")</f>
        <v>0.0</v>
      </c>
      <c r="I3145" s="2" t="n">
        <f>HYPERLINK("https://ppubs.uspto.gov/pubwebapp/external.html?q=20140316144.pn.","USPTO")</f>
        <v>0.0</v>
      </c>
      <c r="J3145" s="2" t="n">
        <f>HYPERLINK("https://image-ppubs.uspto.gov/dirsearch-public/print/downloadPdf/20140316144","USPTO PDF")</f>
        <v>0.0</v>
      </c>
      <c r="K3145" s="2" t="n">
        <f>HYPERLINK("https://sectors.patentforecast.com/pmd/US20140316144","PMD")</f>
        <v>0.0</v>
      </c>
      <c r="L3145" s="2" t="n">
        <f>HYPERLINK("https://globaldossier.uspto.gov/result/application/US/14316573/1","US20140316144")</f>
        <v>0.0</v>
      </c>
      <c r="M3145" t="s">
        <v>20533</v>
      </c>
      <c r="N3145" t="s">
        <v>664</v>
      </c>
      <c r="O3145" t="s">
        <v>665</v>
      </c>
      <c r="P3145" t="s">
        <v>20534</v>
      </c>
      <c r="Q3145" s="3" t="n">
        <v>41816.0</v>
      </c>
      <c r="R3145" s="3" t="n">
        <v>41935.0</v>
      </c>
      <c r="S3145" s="3" t="n">
        <v>43952.46303239583</v>
      </c>
      <c r="T3145" s="3" t="n">
        <v>44638.65271974537</v>
      </c>
      <c r="U3145" t="s">
        <v>20535</v>
      </c>
      <c r="V3145" t="s">
        <v>17072</v>
      </c>
    </row>
    <row r="3146">
      <c r="A3146" t="s">
        <v>22</v>
      </c>
      <c r="B3146" t="s">
        <v>20536</v>
      </c>
      <c r="C3146" t="s">
        <v>60</v>
      </c>
      <c r="D3146" t="s">
        <v>61</v>
      </c>
      <c r="E3146" t="s">
        <v>16903</v>
      </c>
      <c r="F3146" s="2" t="n">
        <f>HYPERLINK("https://patents.google.com/patent/US20140309432","Google")</f>
        <v>0.0</v>
      </c>
      <c r="G3146" s="2" t="n">
        <f>HYPERLINK("https://patentcenter.uspto.gov/applications/14261325","Patent Center")</f>
        <v>0.0</v>
      </c>
      <c r="H3146" s="2" t="n">
        <f>HYPERLINK("https://worldwide.espacenet.com/patent/search?q=US20140309432","Espacenet")</f>
        <v>0.0</v>
      </c>
      <c r="I3146" s="2" t="n">
        <f>HYPERLINK("https://ppubs.uspto.gov/pubwebapp/external.html?q=20140309432.pn.","USPTO")</f>
        <v>0.0</v>
      </c>
      <c r="J3146" s="2" t="n">
        <f>HYPERLINK("https://image-ppubs.uspto.gov/dirsearch-public/print/downloadPdf/20140309432","USPTO PDF")</f>
        <v>0.0</v>
      </c>
      <c r="K3146" s="2" t="n">
        <f>HYPERLINK("https://sectors.patentforecast.com/pmd/US20140309432","PMD")</f>
        <v>0.0</v>
      </c>
      <c r="L3146" s="2" t="n">
        <f>HYPERLINK("https://globaldossier.uspto.gov/result/application/US/14261325/1","US20140309432")</f>
        <v>0.0</v>
      </c>
      <c r="M3146" t="s">
        <v>20537</v>
      </c>
      <c r="N3146" t="s">
        <v>664</v>
      </c>
      <c r="O3146" t="s">
        <v>665</v>
      </c>
      <c r="P3146" t="s">
        <v>20538</v>
      </c>
      <c r="Q3146" s="3" t="n">
        <v>41753.0</v>
      </c>
      <c r="R3146" s="3" t="n">
        <v>41928.0</v>
      </c>
      <c r="S3146" s="3" t="n">
        <v>43952.46303239583</v>
      </c>
      <c r="T3146" s="3" t="n">
        <v>44638.65271974537</v>
      </c>
      <c r="U3146" t="s">
        <v>20539</v>
      </c>
      <c r="V3146" t="s">
        <v>17072</v>
      </c>
    </row>
    <row r="3147">
      <c r="A3147" t="s">
        <v>22</v>
      </c>
      <c r="B3147" t="s">
        <v>20540</v>
      </c>
      <c r="C3147" t="s">
        <v>60</v>
      </c>
      <c r="D3147" t="s">
        <v>61</v>
      </c>
      <c r="E3147" t="s">
        <v>17494</v>
      </c>
      <c r="F3147" s="2" t="n">
        <f>HYPERLINK("https://patents.google.com/patent/US20140309187","Google")</f>
        <v>0.0</v>
      </c>
      <c r="G3147" s="2" t="n">
        <f>HYPERLINK("https://patentcenter.uspto.gov/applications/14313877","Patent Center")</f>
        <v>0.0</v>
      </c>
      <c r="H3147" s="2" t="n">
        <f>HYPERLINK("https://worldwide.espacenet.com/patent/search?q=US20140309187","Espacenet")</f>
        <v>0.0</v>
      </c>
      <c r="I3147" s="2" t="n">
        <f>HYPERLINK("https://ppubs.uspto.gov/pubwebapp/external.html?q=20140309187.pn.","USPTO")</f>
        <v>0.0</v>
      </c>
      <c r="J3147" s="2" t="n">
        <f>HYPERLINK("https://image-ppubs.uspto.gov/dirsearch-public/print/downloadPdf/20140309187","USPTO PDF")</f>
        <v>0.0</v>
      </c>
      <c r="K3147" s="2" t="n">
        <f>HYPERLINK("https://sectors.patentforecast.com/pmd/US20140309187","PMD")</f>
        <v>0.0</v>
      </c>
      <c r="L3147" s="2" t="n">
        <f>HYPERLINK("https://globaldossier.uspto.gov/result/application/US/14313877/1","US20140309187")</f>
        <v>0.0</v>
      </c>
      <c r="M3147" t="s">
        <v>20541</v>
      </c>
      <c r="N3147" t="s">
        <v>664</v>
      </c>
      <c r="O3147" t="s">
        <v>665</v>
      </c>
      <c r="P3147" t="s">
        <v>20542</v>
      </c>
      <c r="Q3147" s="3" t="n">
        <v>41814.0</v>
      </c>
      <c r="R3147" s="3" t="n">
        <v>41928.0</v>
      </c>
      <c r="S3147" s="3" t="n">
        <v>43952.46303239583</v>
      </c>
      <c r="T3147" s="3" t="n">
        <v>44638.65271974537</v>
      </c>
      <c r="U3147" t="s">
        <v>20543</v>
      </c>
      <c r="V3147" t="s">
        <v>20544</v>
      </c>
    </row>
    <row r="3148">
      <c r="A3148" t="s">
        <v>22</v>
      </c>
      <c r="B3148" t="s">
        <v>20545</v>
      </c>
      <c r="C3148" t="s">
        <v>24</v>
      </c>
      <c r="D3148" t="s">
        <v>25</v>
      </c>
      <c r="E3148" t="s">
        <v>20546</v>
      </c>
      <c r="F3148" s="2" t="n">
        <f>HYPERLINK("https://patents.google.com/patent/US20140303456","Google")</f>
        <v>0.0</v>
      </c>
      <c r="G3148" s="2" t="n">
        <f>HYPERLINK("https://patentcenter.uspto.gov/applications/14308204","Patent Center")</f>
        <v>0.0</v>
      </c>
      <c r="H3148" s="2" t="n">
        <f>HYPERLINK("https://worldwide.espacenet.com/patent/search?q=US20140303456","Espacenet")</f>
        <v>0.0</v>
      </c>
      <c r="I3148" s="2" t="n">
        <f>HYPERLINK("https://ppubs.uspto.gov/pubwebapp/external.html?q=20140303456.pn.","USPTO")</f>
        <v>0.0</v>
      </c>
      <c r="J3148" s="2" t="n">
        <f>HYPERLINK("https://image-ppubs.uspto.gov/dirsearch-public/print/downloadPdf/20140303456","USPTO PDF")</f>
        <v>0.0</v>
      </c>
      <c r="K3148" s="2" t="n">
        <f>HYPERLINK("https://sectors.patentforecast.com/pmd/US20140303456","PMD")</f>
        <v>0.0</v>
      </c>
      <c r="L3148" s="2" t="n">
        <f>HYPERLINK("https://globaldossier.uspto.gov/result/application/US/14308204/1","US20140303456")</f>
        <v>0.0</v>
      </c>
      <c r="M3148" t="s">
        <v>20547</v>
      </c>
      <c r="N3148" t="s">
        <v>20548</v>
      </c>
      <c r="O3148" t="s">
        <v>20549</v>
      </c>
      <c r="P3148" t="s">
        <v>20550</v>
      </c>
      <c r="Q3148" s="3" t="n">
        <v>41808.0</v>
      </c>
      <c r="R3148" s="3" t="n">
        <v>41921.0</v>
      </c>
      <c r="S3148" s="3" t="n">
        <v>43266.45736741898</v>
      </c>
      <c r="T3148" s="3" t="n">
        <v>43901.721563784726</v>
      </c>
      <c r="U3148" t="s">
        <v>20551</v>
      </c>
      <c r="V3148" t="s">
        <v>20552</v>
      </c>
    </row>
    <row r="3149">
      <c r="A3149" t="s">
        <v>22</v>
      </c>
      <c r="B3149" t="s">
        <v>20553</v>
      </c>
      <c r="C3149" t="s">
        <v>60</v>
      </c>
      <c r="D3149" t="s">
        <v>61</v>
      </c>
      <c r="E3149" t="s">
        <v>20554</v>
      </c>
      <c r="F3149" s="2" t="n">
        <f>HYPERLINK("https://patents.google.com/patent/US20140296228","Google")</f>
        <v>0.0</v>
      </c>
      <c r="G3149" s="2" t="n">
        <f>HYPERLINK("https://patentcenter.uspto.gov/applications/14194520","Patent Center")</f>
        <v>0.0</v>
      </c>
      <c r="H3149" s="2" t="n">
        <f>HYPERLINK("https://worldwide.espacenet.com/patent/search?q=US20140296228","Espacenet")</f>
        <v>0.0</v>
      </c>
      <c r="I3149" s="2" t="n">
        <f>HYPERLINK("https://ppubs.uspto.gov/pubwebapp/external.html?q=20140296228.pn.","USPTO")</f>
        <v>0.0</v>
      </c>
      <c r="J3149" s="2" t="n">
        <f>HYPERLINK("https://image-ppubs.uspto.gov/dirsearch-public/print/downloadPdf/20140296228","USPTO PDF")</f>
        <v>0.0</v>
      </c>
      <c r="K3149" s="2" t="n">
        <f>HYPERLINK("https://sectors.patentforecast.com/pmd/US20140296228","PMD")</f>
        <v>0.0</v>
      </c>
      <c r="L3149" s="2" t="n">
        <f>HYPERLINK("https://globaldossier.uspto.gov/result/application/US/14194520/1","US20140296228")</f>
        <v>0.0</v>
      </c>
      <c r="M3149" t="s">
        <v>20555</v>
      </c>
      <c r="N3149" t="s">
        <v>664</v>
      </c>
      <c r="O3149" t="s">
        <v>665</v>
      </c>
      <c r="P3149" t="s">
        <v>20556</v>
      </c>
      <c r="Q3149" s="3" t="n">
        <v>41698.0</v>
      </c>
      <c r="R3149" s="3" t="n">
        <v>41914.0</v>
      </c>
      <c r="S3149" s="3" t="n">
        <v>43952.46303239583</v>
      </c>
      <c r="T3149" s="3" t="n">
        <v>44638.65643378472</v>
      </c>
      <c r="U3149" t="s">
        <v>20557</v>
      </c>
      <c r="V3149" t="s">
        <v>20558</v>
      </c>
    </row>
    <row r="3150">
      <c r="A3150" t="s">
        <v>22</v>
      </c>
      <c r="B3150" t="s">
        <v>20559</v>
      </c>
      <c r="C3150" t="s">
        <v>132</v>
      </c>
      <c r="D3150" t="s">
        <v>2629</v>
      </c>
      <c r="E3150" t="s">
        <v>17132</v>
      </c>
      <c r="F3150" s="2" t="n">
        <f>HYPERLINK("https://patents.google.com/patent/US20140294879","Google")</f>
        <v>0.0</v>
      </c>
      <c r="G3150" s="2" t="n">
        <f>HYPERLINK("https://patentcenter.uspto.gov/applications/14221675","Patent Center")</f>
        <v>0.0</v>
      </c>
      <c r="H3150" s="2" t="n">
        <f>HYPERLINK("https://worldwide.espacenet.com/patent/search?q=US20140294879","Espacenet")</f>
        <v>0.0</v>
      </c>
      <c r="I3150" s="2" t="n">
        <f>HYPERLINK("https://ppubs.uspto.gov/pubwebapp/external.html?q=20140294879.pn.","USPTO")</f>
        <v>0.0</v>
      </c>
      <c r="J3150" s="2" t="n">
        <f>HYPERLINK("https://image-ppubs.uspto.gov/dirsearch-public/print/downloadPdf/20140294879","USPTO PDF")</f>
        <v>0.0</v>
      </c>
      <c r="K3150" s="2" t="n">
        <f>HYPERLINK("https://sectors.patentforecast.com/pmd/US20140294879","PMD")</f>
        <v>0.0</v>
      </c>
      <c r="L3150" s="2" t="n">
        <f>HYPERLINK("https://globaldossier.uspto.gov/result/application/US/14221675/1","US20140294879")</f>
        <v>0.0</v>
      </c>
      <c r="M3150" t="s">
        <v>20560</v>
      </c>
      <c r="N3150" t="s">
        <v>1275</v>
      </c>
      <c r="O3150" t="s">
        <v>1275</v>
      </c>
      <c r="P3150" t="s">
        <v>20561</v>
      </c>
      <c r="Q3150" s="3" t="n">
        <v>41719.0</v>
      </c>
      <c r="R3150" s="3" t="n">
        <v>41914.0</v>
      </c>
      <c r="S3150" s="3" t="n">
        <v>43966.482964537034</v>
      </c>
      <c r="T3150" s="3" t="n">
        <v>44020.62389086805</v>
      </c>
      <c r="U3150" t="s">
        <v>20562</v>
      </c>
      <c r="V3150" t="s">
        <v>17136</v>
      </c>
    </row>
    <row r="3151">
      <c r="A3151" t="s">
        <v>22</v>
      </c>
      <c r="B3151" t="s">
        <v>20563</v>
      </c>
      <c r="C3151" t="s">
        <v>24</v>
      </c>
      <c r="D3151" t="s">
        <v>100</v>
      </c>
      <c r="E3151" t="s">
        <v>19021</v>
      </c>
      <c r="F3151" s="2" t="n">
        <f>HYPERLINK("https://patents.google.com/patent/US20140292518","Google")</f>
        <v>0.0</v>
      </c>
      <c r="G3151" s="2" t="n">
        <f>HYPERLINK("https://patentcenter.uspto.gov/applications/14302821","Patent Center")</f>
        <v>0.0</v>
      </c>
      <c r="H3151" s="2" t="n">
        <f>HYPERLINK("https://worldwide.espacenet.com/patent/search?q=US20140292518","Espacenet")</f>
        <v>0.0</v>
      </c>
      <c r="I3151" s="2" t="n">
        <f>HYPERLINK("https://ppubs.uspto.gov/pubwebapp/external.html?q=20140292518.pn.","USPTO")</f>
        <v>0.0</v>
      </c>
      <c r="J3151" s="2" t="n">
        <f>HYPERLINK("https://image-ppubs.uspto.gov/dirsearch-public/print/downloadPdf/20140292518","USPTO PDF")</f>
        <v>0.0</v>
      </c>
      <c r="K3151" s="2" t="n">
        <f>HYPERLINK("https://sectors.patentforecast.com/pmd/US20140292518","PMD")</f>
        <v>0.0</v>
      </c>
      <c r="L3151" s="2" t="n">
        <f>HYPERLINK("https://globaldossier.uspto.gov/result/application/US/14302821/1","US20140292518")</f>
        <v>0.0</v>
      </c>
      <c r="M3151" t="s">
        <v>20564</v>
      </c>
      <c r="N3151" t="s">
        <v>20565</v>
      </c>
      <c r="O3151" t="s">
        <v>20566</v>
      </c>
      <c r="P3151" t="s">
        <v>19023</v>
      </c>
      <c r="Q3151" s="3" t="n">
        <v>41802.0</v>
      </c>
      <c r="R3151" s="3" t="n">
        <v>41914.0</v>
      </c>
      <c r="S3151" s="3" t="n">
        <v>43266.45736741898</v>
      </c>
      <c r="T3151" s="3" t="n">
        <v>43906.35981086805</v>
      </c>
      <c r="U3151" t="s">
        <v>19024</v>
      </c>
      <c r="V3151" t="s">
        <v>19025</v>
      </c>
    </row>
    <row r="3152">
      <c r="A3152" t="s">
        <v>22</v>
      </c>
      <c r="B3152" t="s">
        <v>20567</v>
      </c>
      <c r="C3152" t="s">
        <v>60</v>
      </c>
      <c r="D3152" t="s">
        <v>61</v>
      </c>
      <c r="E3152" t="s">
        <v>16903</v>
      </c>
      <c r="F3152" s="2" t="n">
        <f>HYPERLINK("https://patents.google.com/patent/US20140288294","Google")</f>
        <v>0.0</v>
      </c>
      <c r="G3152" s="2" t="n">
        <f>HYPERLINK("https://patentcenter.uspto.gov/applications/14178237","Patent Center")</f>
        <v>0.0</v>
      </c>
      <c r="H3152" s="2" t="n">
        <f>HYPERLINK("https://worldwide.espacenet.com/patent/search?q=US20140288294","Espacenet")</f>
        <v>0.0</v>
      </c>
      <c r="I3152" s="2" t="n">
        <f>HYPERLINK("https://ppubs.uspto.gov/pubwebapp/external.html?q=20140288294.pn.","USPTO")</f>
        <v>0.0</v>
      </c>
      <c r="J3152" s="2" t="n">
        <f>HYPERLINK("https://image-ppubs.uspto.gov/dirsearch-public/print/downloadPdf/20140288294","USPTO PDF")</f>
        <v>0.0</v>
      </c>
      <c r="K3152" s="2" t="n">
        <f>HYPERLINK("https://sectors.patentforecast.com/pmd/US20140288294","PMD")</f>
        <v>0.0</v>
      </c>
      <c r="L3152" s="2" t="n">
        <f>HYPERLINK("https://globaldossier.uspto.gov/result/application/US/14178237/1","US20140288294")</f>
        <v>0.0</v>
      </c>
      <c r="M3152" t="s">
        <v>20568</v>
      </c>
      <c r="N3152" t="s">
        <v>664</v>
      </c>
      <c r="O3152" t="s">
        <v>665</v>
      </c>
      <c r="P3152" t="s">
        <v>20569</v>
      </c>
      <c r="Q3152" s="3" t="n">
        <v>41681.0</v>
      </c>
      <c r="R3152" s="3" t="n">
        <v>41907.0</v>
      </c>
      <c r="S3152" s="3" t="n">
        <v>43952.46303239583</v>
      </c>
      <c r="T3152" s="3" t="n">
        <v>44638.65271974537</v>
      </c>
      <c r="U3152" t="s">
        <v>20570</v>
      </c>
      <c r="V3152" t="s">
        <v>17358</v>
      </c>
    </row>
    <row r="3153">
      <c r="A3153" t="s">
        <v>22</v>
      </c>
      <c r="B3153" t="s">
        <v>20571</v>
      </c>
      <c r="C3153" t="s">
        <v>312</v>
      </c>
      <c r="D3153" t="s">
        <v>976</v>
      </c>
      <c r="E3153" t="s">
        <v>20572</v>
      </c>
      <c r="F3153" s="2" t="n">
        <f>HYPERLINK("https://patents.google.com/patent/US20140278527","Google")</f>
        <v>0.0</v>
      </c>
      <c r="G3153" s="2" t="n">
        <f>HYPERLINK("https://patentcenter.uspto.gov/applications/13803459","Patent Center")</f>
        <v>0.0</v>
      </c>
      <c r="H3153" s="2" t="n">
        <f>HYPERLINK("https://worldwide.espacenet.com/patent/search?q=US20140278527","Espacenet")</f>
        <v>0.0</v>
      </c>
      <c r="I3153" s="2" t="n">
        <f>HYPERLINK("https://ppubs.uspto.gov/pubwebapp/external.html?q=20140278527.pn.","USPTO")</f>
        <v>0.0</v>
      </c>
      <c r="J3153" s="2" t="n">
        <f>HYPERLINK("https://image-ppubs.uspto.gov/dirsearch-public/print/downloadPdf/20140278527","USPTO PDF")</f>
        <v>0.0</v>
      </c>
      <c r="K3153" s="2" t="n">
        <f>HYPERLINK("https://sectors.patentforecast.com/pmd/US20140278527","PMD")</f>
        <v>0.0</v>
      </c>
      <c r="L3153" s="2" t="n">
        <f>HYPERLINK("https://globaldossier.uspto.gov/result/application/US/13803459/1","US20140278527")</f>
        <v>0.0</v>
      </c>
      <c r="M3153" t="s">
        <v>20573</v>
      </c>
      <c r="N3153" t="s">
        <v>6786</v>
      </c>
      <c r="O3153" t="s">
        <v>6787</v>
      </c>
      <c r="P3153" t="s">
        <v>20574</v>
      </c>
      <c r="Q3153" s="3" t="n">
        <v>41347.0</v>
      </c>
      <c r="R3153" s="3" t="n">
        <v>41900.0</v>
      </c>
      <c r="S3153" s="3" t="n">
        <v>43266.45736741898</v>
      </c>
      <c r="T3153" s="3" t="n">
        <v>43266.621393368056</v>
      </c>
      <c r="U3153" t="s">
        <v>20575</v>
      </c>
      <c r="V3153" t="s">
        <v>20576</v>
      </c>
    </row>
    <row r="3154">
      <c r="A3154" t="s">
        <v>22</v>
      </c>
      <c r="B3154" t="s">
        <v>20577</v>
      </c>
      <c r="C3154" t="s">
        <v>60</v>
      </c>
      <c r="D3154" t="s">
        <v>61</v>
      </c>
      <c r="E3154" t="s">
        <v>19125</v>
      </c>
      <c r="F3154" s="2" t="n">
        <f>HYPERLINK("https://patents.google.com/patent/US20140275570","Google")</f>
        <v>0.0</v>
      </c>
      <c r="G3154" s="2" t="n">
        <f>HYPERLINK("https://patentcenter.uspto.gov/applications/14271216","Patent Center")</f>
        <v>0.0</v>
      </c>
      <c r="H3154" s="2" t="n">
        <f>HYPERLINK("https://worldwide.espacenet.com/patent/search?q=US20140275570","Espacenet")</f>
        <v>0.0</v>
      </c>
      <c r="I3154" s="2" t="n">
        <f>HYPERLINK("https://ppubs.uspto.gov/pubwebapp/external.html?q=20140275570.pn.","USPTO")</f>
        <v>0.0</v>
      </c>
      <c r="J3154" s="2" t="n">
        <f>HYPERLINK("https://image-ppubs.uspto.gov/dirsearch-public/print/downloadPdf/20140275570","USPTO PDF")</f>
        <v>0.0</v>
      </c>
      <c r="K3154" s="2" t="n">
        <f>HYPERLINK("https://sectors.patentforecast.com/pmd/US20140275570","PMD")</f>
        <v>0.0</v>
      </c>
      <c r="L3154" s="2" t="n">
        <f>HYPERLINK("https://globaldossier.uspto.gov/result/application/US/14271216/1","US20140275570")</f>
        <v>0.0</v>
      </c>
      <c r="M3154" t="s">
        <v>20578</v>
      </c>
      <c r="N3154" t="s">
        <v>664</v>
      </c>
      <c r="O3154" t="s">
        <v>665</v>
      </c>
      <c r="P3154" t="s">
        <v>20579</v>
      </c>
      <c r="Q3154" s="3" t="n">
        <v>41765.0</v>
      </c>
      <c r="R3154" s="3" t="n">
        <v>41900.0</v>
      </c>
      <c r="S3154" s="3" t="n">
        <v>43950.647371782405</v>
      </c>
      <c r="T3154" s="3" t="n">
        <v>44638.65271974537</v>
      </c>
      <c r="U3154" t="s">
        <v>20580</v>
      </c>
      <c r="V3154" t="s">
        <v>20581</v>
      </c>
    </row>
    <row r="3155">
      <c r="A3155" t="s">
        <v>22</v>
      </c>
      <c r="B3155" t="s">
        <v>20582</v>
      </c>
      <c r="C3155" t="s">
        <v>60</v>
      </c>
      <c r="D3155" t="s">
        <v>61</v>
      </c>
      <c r="E3155" t="s">
        <v>17306</v>
      </c>
      <c r="F3155" s="2" t="n">
        <f>HYPERLINK("https://patents.google.com/patent/US20140274884","Google")</f>
        <v>0.0</v>
      </c>
      <c r="G3155" s="2" t="n">
        <f>HYPERLINK("https://patentcenter.uspto.gov/applications/14214477","Patent Center")</f>
        <v>0.0</v>
      </c>
      <c r="H3155" s="2" t="n">
        <f>HYPERLINK("https://worldwide.espacenet.com/patent/search?q=US20140274884","Espacenet")</f>
        <v>0.0</v>
      </c>
      <c r="I3155" s="2" t="n">
        <f>HYPERLINK("https://ppubs.uspto.gov/pubwebapp/external.html?q=20140274884.pn.","USPTO")</f>
        <v>0.0</v>
      </c>
      <c r="J3155" s="2" t="n">
        <f>HYPERLINK("https://image-ppubs.uspto.gov/dirsearch-public/print/downloadPdf/20140274884","USPTO PDF")</f>
        <v>0.0</v>
      </c>
      <c r="K3155" s="2" t="n">
        <f>HYPERLINK("https://sectors.patentforecast.com/pmd/US20140274884","PMD")</f>
        <v>0.0</v>
      </c>
      <c r="L3155" s="2" t="n">
        <f>HYPERLINK("https://globaldossier.uspto.gov/result/application/US/14214477/1","US20140274884")</f>
        <v>0.0</v>
      </c>
      <c r="M3155" t="s">
        <v>20583</v>
      </c>
      <c r="N3155" t="s">
        <v>664</v>
      </c>
      <c r="O3155" t="s">
        <v>665</v>
      </c>
      <c r="P3155" t="s">
        <v>20584</v>
      </c>
      <c r="Q3155" s="3" t="n">
        <v>41712.0</v>
      </c>
      <c r="R3155" s="3" t="n">
        <v>41900.0</v>
      </c>
      <c r="S3155" s="3" t="n">
        <v>43952.46303239583</v>
      </c>
      <c r="T3155" s="3" t="n">
        <v>44638.65643378472</v>
      </c>
      <c r="U3155" t="s">
        <v>20585</v>
      </c>
      <c r="V3155" t="s">
        <v>18969</v>
      </c>
    </row>
    <row r="3156">
      <c r="A3156" t="s">
        <v>22</v>
      </c>
      <c r="B3156" t="s">
        <v>20586</v>
      </c>
      <c r="C3156" t="s">
        <v>60</v>
      </c>
      <c r="D3156" t="s">
        <v>61</v>
      </c>
      <c r="E3156" t="s">
        <v>20587</v>
      </c>
      <c r="F3156" s="2" t="n">
        <f>HYPERLINK("https://patents.google.com/patent/US20140249101","Google")</f>
        <v>0.0</v>
      </c>
      <c r="G3156" s="2" t="n">
        <f>HYPERLINK("https://patentcenter.uspto.gov/applications/14195751","Patent Center")</f>
        <v>0.0</v>
      </c>
      <c r="H3156" s="2" t="n">
        <f>HYPERLINK("https://worldwide.espacenet.com/patent/search?q=US20140249101","Espacenet")</f>
        <v>0.0</v>
      </c>
      <c r="I3156" s="2" t="n">
        <f>HYPERLINK("https://ppubs.uspto.gov/pubwebapp/external.html?q=20140249101.pn.","USPTO")</f>
        <v>0.0</v>
      </c>
      <c r="J3156" s="2" t="n">
        <f>HYPERLINK("https://image-ppubs.uspto.gov/dirsearch-public/print/downloadPdf/20140249101","USPTO PDF")</f>
        <v>0.0</v>
      </c>
      <c r="K3156" s="2" t="n">
        <f>HYPERLINK("https://sectors.patentforecast.com/pmd/US20140249101","PMD")</f>
        <v>0.0</v>
      </c>
      <c r="L3156" s="2" t="n">
        <f>HYPERLINK("https://globaldossier.uspto.gov/result/application/US/14195751/1","US20140249101")</f>
        <v>0.0</v>
      </c>
      <c r="M3156" t="s">
        <v>20588</v>
      </c>
      <c r="N3156" t="s">
        <v>664</v>
      </c>
      <c r="O3156" t="s">
        <v>665</v>
      </c>
      <c r="P3156" t="s">
        <v>20589</v>
      </c>
      <c r="Q3156" s="3" t="n">
        <v>41701.0</v>
      </c>
      <c r="R3156" s="3" t="n">
        <v>41886.0</v>
      </c>
      <c r="S3156" s="3" t="n">
        <v>43952.46303239583</v>
      </c>
      <c r="T3156" s="3" t="n">
        <v>44638.65643378472</v>
      </c>
      <c r="U3156" t="s">
        <v>20590</v>
      </c>
      <c r="V3156" t="s">
        <v>20591</v>
      </c>
    </row>
    <row r="3157">
      <c r="A3157" t="s">
        <v>22</v>
      </c>
      <c r="B3157" t="s">
        <v>20592</v>
      </c>
      <c r="C3157" t="s">
        <v>60</v>
      </c>
      <c r="D3157" t="s">
        <v>61</v>
      </c>
      <c r="E3157" t="s">
        <v>16903</v>
      </c>
      <c r="F3157" s="2" t="n">
        <f>HYPERLINK("https://patents.google.com/patent/US20140249074","Google")</f>
        <v>0.0</v>
      </c>
      <c r="G3157" s="2" t="n">
        <f>HYPERLINK("https://patentcenter.uspto.gov/applications/14280478","Patent Center")</f>
        <v>0.0</v>
      </c>
      <c r="H3157" s="2" t="n">
        <f>HYPERLINK("https://worldwide.espacenet.com/patent/search?q=US20140249074","Espacenet")</f>
        <v>0.0</v>
      </c>
      <c r="I3157" s="2" t="n">
        <f>HYPERLINK("https://ppubs.uspto.gov/pubwebapp/external.html?q=20140249074.pn.","USPTO")</f>
        <v>0.0</v>
      </c>
      <c r="J3157" s="2" t="n">
        <f>HYPERLINK("https://image-ppubs.uspto.gov/dirsearch-public/print/downloadPdf/20140249074","USPTO PDF")</f>
        <v>0.0</v>
      </c>
      <c r="K3157" s="2" t="n">
        <f>HYPERLINK("https://sectors.patentforecast.com/pmd/US20140249074","PMD")</f>
        <v>0.0</v>
      </c>
      <c r="L3157" s="2" t="n">
        <f>HYPERLINK("https://globaldossier.uspto.gov/result/application/US/14280478/1","US20140249074")</f>
        <v>0.0</v>
      </c>
      <c r="M3157" t="s">
        <v>20593</v>
      </c>
      <c r="N3157" t="s">
        <v>664</v>
      </c>
      <c r="O3157" t="s">
        <v>665</v>
      </c>
      <c r="P3157" t="s">
        <v>20594</v>
      </c>
      <c r="Q3157" s="3" t="n">
        <v>41775.0</v>
      </c>
      <c r="R3157" s="3" t="n">
        <v>41886.0</v>
      </c>
      <c r="S3157" s="3" t="n">
        <v>43952.46303239583</v>
      </c>
      <c r="T3157" s="3" t="n">
        <v>44638.65271974537</v>
      </c>
      <c r="U3157" t="s">
        <v>20595</v>
      </c>
      <c r="V3157" t="s">
        <v>16907</v>
      </c>
    </row>
    <row r="3158">
      <c r="A3158" t="s">
        <v>22</v>
      </c>
      <c r="B3158" t="s">
        <v>20596</v>
      </c>
      <c r="C3158" t="s">
        <v>24</v>
      </c>
      <c r="D3158" t="s">
        <v>25</v>
      </c>
      <c r="E3158" t="s">
        <v>17339</v>
      </c>
      <c r="F3158" s="2" t="n">
        <f>HYPERLINK("https://patents.google.com/patent/US20140236613","Google")</f>
        <v>0.0</v>
      </c>
      <c r="G3158" s="2" t="n">
        <f>HYPERLINK("https://patentcenter.uspto.gov/applications/14180683","Patent Center")</f>
        <v>0.0</v>
      </c>
      <c r="H3158" s="2" t="n">
        <f>HYPERLINK("https://worldwide.espacenet.com/patent/search?q=US20140236613","Espacenet")</f>
        <v>0.0</v>
      </c>
      <c r="I3158" s="2" t="n">
        <f>HYPERLINK("https://ppubs.uspto.gov/pubwebapp/external.html?q=20140236613.pn.","USPTO")</f>
        <v>0.0</v>
      </c>
      <c r="J3158" s="2" t="n">
        <f>HYPERLINK("https://image-ppubs.uspto.gov/dirsearch-public/print/downloadPdf/20140236613","USPTO PDF")</f>
        <v>0.0</v>
      </c>
      <c r="K3158" s="2" t="n">
        <f>HYPERLINK("https://sectors.patentforecast.com/pmd/US20140236613","PMD")</f>
        <v>0.0</v>
      </c>
      <c r="L3158" s="2" t="n">
        <f>HYPERLINK("https://globaldossier.uspto.gov/result/application/US/14180683/1","US20140236613")</f>
        <v>0.0</v>
      </c>
      <c r="M3158" t="s">
        <v>20597</v>
      </c>
      <c r="N3158" t="s">
        <v>979</v>
      </c>
      <c r="O3158" t="s">
        <v>980</v>
      </c>
      <c r="P3158" t="s">
        <v>17341</v>
      </c>
      <c r="Q3158" s="3" t="n">
        <v>41684.0</v>
      </c>
      <c r="R3158" s="3" t="n">
        <v>41872.0</v>
      </c>
      <c r="S3158" s="3" t="n">
        <v>43266.457368090276</v>
      </c>
      <c r="T3158" s="3" t="n">
        <v>43901.72156496528</v>
      </c>
      <c r="U3158" t="s">
        <v>15882</v>
      </c>
      <c r="V3158" t="s">
        <v>17343</v>
      </c>
    </row>
    <row r="3159">
      <c r="A3159" t="s">
        <v>22</v>
      </c>
      <c r="B3159" t="s">
        <v>20598</v>
      </c>
      <c r="C3159" t="s">
        <v>132</v>
      </c>
      <c r="D3159" t="s">
        <v>1265</v>
      </c>
      <c r="E3159" t="s">
        <v>20599</v>
      </c>
      <c r="F3159" s="2" t="n">
        <f>HYPERLINK("https://patents.google.com/patent/US20140236070","Google")</f>
        <v>0.0</v>
      </c>
      <c r="G3159" s="2" t="n">
        <f>HYPERLINK("https://patentcenter.uspto.gov/applications/14235176","Patent Center")</f>
        <v>0.0</v>
      </c>
      <c r="H3159" s="2" t="n">
        <f>HYPERLINK("https://worldwide.espacenet.com/patent/search?q=US20140236070","Espacenet")</f>
        <v>0.0</v>
      </c>
      <c r="I3159" s="2" t="n">
        <f>HYPERLINK("https://ppubs.uspto.gov/pubwebapp/external.html?q=20140236070.pn.","USPTO")</f>
        <v>0.0</v>
      </c>
      <c r="J3159" s="2" t="n">
        <f>HYPERLINK("https://image-ppubs.uspto.gov/dirsearch-public/print/downloadPdf/20140236070","USPTO PDF")</f>
        <v>0.0</v>
      </c>
      <c r="K3159" s="2" t="n">
        <f>HYPERLINK("https://sectors.patentforecast.com/pmd/US20140236070","PMD")</f>
        <v>0.0</v>
      </c>
      <c r="L3159" s="2" t="n">
        <f>HYPERLINK("https://globaldossier.uspto.gov/result/application/US/14235176/1","US20140236070")</f>
        <v>0.0</v>
      </c>
      <c r="M3159" t="s">
        <v>20600</v>
      </c>
      <c r="N3159" t="s">
        <v>20601</v>
      </c>
      <c r="O3159" t="s">
        <v>20602</v>
      </c>
      <c r="P3159" t="s">
        <v>20603</v>
      </c>
      <c r="Q3159" s="3" t="n">
        <v>41117.0</v>
      </c>
      <c r="R3159" s="3" t="n">
        <v>41872.0</v>
      </c>
      <c r="S3159" s="3" t="n">
        <v>43931.460584328706</v>
      </c>
      <c r="T3159" s="3" t="n">
        <v>44543.622414861115</v>
      </c>
      <c r="U3159" t="s">
        <v>20604</v>
      </c>
      <c r="V3159" t="s">
        <v>20605</v>
      </c>
    </row>
    <row r="3160">
      <c r="A3160" t="s">
        <v>22</v>
      </c>
      <c r="B3160" t="s">
        <v>20606</v>
      </c>
      <c r="C3160" t="s">
        <v>60</v>
      </c>
      <c r="D3160" t="s">
        <v>61</v>
      </c>
      <c r="E3160" t="s">
        <v>19513</v>
      </c>
      <c r="F3160" s="2" t="n">
        <f>HYPERLINK("https://patents.google.com/patent/US20140235563","Google")</f>
        <v>0.0</v>
      </c>
      <c r="G3160" s="2" t="n">
        <f>HYPERLINK("https://patentcenter.uspto.gov/applications/14265840","Patent Center")</f>
        <v>0.0</v>
      </c>
      <c r="H3160" s="2" t="n">
        <f>HYPERLINK("https://worldwide.espacenet.com/patent/search?q=US20140235563","Espacenet")</f>
        <v>0.0</v>
      </c>
      <c r="I3160" s="2" t="n">
        <f>HYPERLINK("https://ppubs.uspto.gov/pubwebapp/external.html?q=20140235563.pn.","USPTO")</f>
        <v>0.0</v>
      </c>
      <c r="J3160" s="2" t="n">
        <f>HYPERLINK("https://image-ppubs.uspto.gov/dirsearch-public/print/downloadPdf/20140235563","USPTO PDF")</f>
        <v>0.0</v>
      </c>
      <c r="K3160" s="2" t="n">
        <f>HYPERLINK("https://sectors.patentforecast.com/pmd/US20140235563","PMD")</f>
        <v>0.0</v>
      </c>
      <c r="L3160" s="2" t="n">
        <f>HYPERLINK("https://globaldossier.uspto.gov/result/application/US/14265840/1","US20140235563")</f>
        <v>0.0</v>
      </c>
      <c r="M3160" t="s">
        <v>20607</v>
      </c>
      <c r="N3160" t="s">
        <v>664</v>
      </c>
      <c r="O3160" t="s">
        <v>665</v>
      </c>
      <c r="P3160" t="s">
        <v>20608</v>
      </c>
      <c r="Q3160" s="3" t="n">
        <v>41759.0</v>
      </c>
      <c r="R3160" s="3" t="n">
        <v>41872.0</v>
      </c>
      <c r="S3160" s="3" t="n">
        <v>43952.46303239583</v>
      </c>
      <c r="T3160" s="3" t="n">
        <v>44638.65271974537</v>
      </c>
      <c r="U3160" t="s">
        <v>20609</v>
      </c>
      <c r="V3160" t="s">
        <v>19517</v>
      </c>
    </row>
    <row r="3161">
      <c r="A3161" t="s">
        <v>22</v>
      </c>
      <c r="B3161" t="s">
        <v>20610</v>
      </c>
      <c r="C3161" t="s">
        <v>132</v>
      </c>
      <c r="D3161" t="s">
        <v>1265</v>
      </c>
      <c r="E3161" t="s">
        <v>20611</v>
      </c>
      <c r="F3161" s="2" t="n">
        <f>HYPERLINK("https://patents.google.com/patent/US20140234372","Google")</f>
        <v>0.0</v>
      </c>
      <c r="G3161" s="2" t="n">
        <f>HYPERLINK("https://patentcenter.uspto.gov/applications/14252043","Patent Center")</f>
        <v>0.0</v>
      </c>
      <c r="H3161" s="2" t="n">
        <f>HYPERLINK("https://worldwide.espacenet.com/patent/search?q=US20140234372","Espacenet")</f>
        <v>0.0</v>
      </c>
      <c r="I3161" s="2" t="n">
        <f>HYPERLINK("https://ppubs.uspto.gov/pubwebapp/external.html?q=20140234372.pn.","USPTO")</f>
        <v>0.0</v>
      </c>
      <c r="J3161" s="2" t="n">
        <f>HYPERLINK("https://image-ppubs.uspto.gov/dirsearch-public/print/downloadPdf/20140234372","USPTO PDF")</f>
        <v>0.0</v>
      </c>
      <c r="K3161" s="2" t="n">
        <f>HYPERLINK("https://sectors.patentforecast.com/pmd/US20140234372","PMD")</f>
        <v>0.0</v>
      </c>
      <c r="L3161" s="2" t="n">
        <f>HYPERLINK("https://globaldossier.uspto.gov/result/application/US/14252043/1","US20140234372")</f>
        <v>0.0</v>
      </c>
      <c r="M3161" t="s">
        <v>20612</v>
      </c>
      <c r="N3161" t="s">
        <v>1275</v>
      </c>
      <c r="O3161" t="s">
        <v>1275</v>
      </c>
      <c r="P3161" t="s">
        <v>20613</v>
      </c>
      <c r="Q3161" s="3" t="n">
        <v>41743.0</v>
      </c>
      <c r="R3161" s="3" t="n">
        <v>41872.0</v>
      </c>
      <c r="S3161" s="3" t="n">
        <v>43966.482964537034</v>
      </c>
      <c r="T3161" s="3" t="n">
        <v>44020.62749244213</v>
      </c>
      <c r="U3161" t="s">
        <v>20614</v>
      </c>
      <c r="V3161" t="s">
        <v>20615</v>
      </c>
    </row>
    <row r="3162">
      <c r="A3162" t="s">
        <v>22</v>
      </c>
      <c r="B3162" t="s">
        <v>20616</v>
      </c>
      <c r="C3162" t="s">
        <v>132</v>
      </c>
      <c r="D3162" t="s">
        <v>1265</v>
      </c>
      <c r="E3162" t="s">
        <v>19952</v>
      </c>
      <c r="F3162" s="2" t="n">
        <f>HYPERLINK("https://patents.google.com/patent/US20140227309","Google")</f>
        <v>0.0</v>
      </c>
      <c r="G3162" s="2" t="n">
        <f>HYPERLINK("https://patentcenter.uspto.gov/applications/14177406","Patent Center")</f>
        <v>0.0</v>
      </c>
      <c r="H3162" s="2" t="n">
        <f>HYPERLINK("https://worldwide.espacenet.com/patent/search?q=US20140227309","Espacenet")</f>
        <v>0.0</v>
      </c>
      <c r="I3162" s="2" t="n">
        <f>HYPERLINK("https://ppubs.uspto.gov/pubwebapp/external.html?q=20140227309.pn.","USPTO")</f>
        <v>0.0</v>
      </c>
      <c r="J3162" s="2" t="n">
        <f>HYPERLINK("https://image-ppubs.uspto.gov/dirsearch-public/print/downloadPdf/20140227309","USPTO PDF")</f>
        <v>0.0</v>
      </c>
      <c r="K3162" s="2" t="n">
        <f>HYPERLINK("https://sectors.patentforecast.com/pmd/US20140227309","PMD")</f>
        <v>0.0</v>
      </c>
      <c r="L3162" s="2" t="n">
        <f>HYPERLINK("https://globaldossier.uspto.gov/result/application/US/14177406/1","US20140227309")</f>
        <v>0.0</v>
      </c>
      <c r="M3162" t="s">
        <v>20617</v>
      </c>
      <c r="N3162" t="s">
        <v>1275</v>
      </c>
      <c r="O3162" t="s">
        <v>1275</v>
      </c>
      <c r="P3162" t="s">
        <v>20618</v>
      </c>
      <c r="Q3162" s="3" t="n">
        <v>41681.0</v>
      </c>
      <c r="R3162" s="3" t="n">
        <v>41865.0</v>
      </c>
      <c r="S3162" s="3" t="n">
        <v>43966.482964537034</v>
      </c>
      <c r="T3162" s="3" t="n">
        <v>44020.617168993056</v>
      </c>
      <c r="U3162" t="s">
        <v>20619</v>
      </c>
      <c r="V3162" t="s">
        <v>20620</v>
      </c>
    </row>
    <row r="3163">
      <c r="A3163" t="s">
        <v>22</v>
      </c>
      <c r="B3163" t="s">
        <v>20621</v>
      </c>
      <c r="C3163" t="s">
        <v>132</v>
      </c>
      <c r="D3163" t="s">
        <v>1265</v>
      </c>
      <c r="E3163" t="s">
        <v>20622</v>
      </c>
      <c r="F3163" s="2" t="n">
        <f>HYPERLINK("https://patents.google.com/patent/US20140227306","Google")</f>
        <v>0.0</v>
      </c>
      <c r="G3163" s="2" t="n">
        <f>HYPERLINK("https://patentcenter.uspto.gov/applications/14000815","Patent Center")</f>
        <v>0.0</v>
      </c>
      <c r="H3163" s="2" t="n">
        <f>HYPERLINK("https://worldwide.espacenet.com/patent/search?q=US20140227306","Espacenet")</f>
        <v>0.0</v>
      </c>
      <c r="I3163" s="2" t="n">
        <f>HYPERLINK("https://ppubs.uspto.gov/pubwebapp/external.html?q=20140227306.pn.","USPTO")</f>
        <v>0.0</v>
      </c>
      <c r="J3163" s="2" t="n">
        <f>HYPERLINK("https://image-ppubs.uspto.gov/dirsearch-public/print/downloadPdf/20140227306","USPTO PDF")</f>
        <v>0.0</v>
      </c>
      <c r="K3163" s="2" t="n">
        <f>HYPERLINK("https://sectors.patentforecast.com/pmd/US20140227306","PMD")</f>
        <v>0.0</v>
      </c>
      <c r="L3163" s="2" t="n">
        <f>HYPERLINK("https://globaldossier.uspto.gov/result/application/US/14000815/1","US20140227306")</f>
        <v>0.0</v>
      </c>
      <c r="M3163" t="s">
        <v>20623</v>
      </c>
      <c r="N3163" t="s">
        <v>20624</v>
      </c>
      <c r="O3163" t="s">
        <v>20625</v>
      </c>
      <c r="P3163" t="s">
        <v>20626</v>
      </c>
      <c r="Q3163" s="3" t="n">
        <v>40596.0</v>
      </c>
      <c r="R3163" s="3" t="n">
        <v>41865.0</v>
      </c>
      <c r="S3163" s="3" t="n">
        <v>43900.437389907405</v>
      </c>
      <c r="T3163" s="3" t="n">
        <v>43903.48463239583</v>
      </c>
      <c r="U3163" t="s">
        <v>20627</v>
      </c>
      <c r="V3163" t="s">
        <v>20628</v>
      </c>
    </row>
    <row r="3164">
      <c r="A3164" t="s">
        <v>22</v>
      </c>
      <c r="B3164" t="s">
        <v>20629</v>
      </c>
      <c r="C3164" t="s">
        <v>60</v>
      </c>
      <c r="D3164" t="s">
        <v>61</v>
      </c>
      <c r="E3164" t="s">
        <v>18663</v>
      </c>
      <c r="F3164" s="2" t="n">
        <f>HYPERLINK("https://patents.google.com/patent/US20140227224","Google")</f>
        <v>0.0</v>
      </c>
      <c r="G3164" s="2" t="n">
        <f>HYPERLINK("https://patentcenter.uspto.gov/applications/14150677","Patent Center")</f>
        <v>0.0</v>
      </c>
      <c r="H3164" s="2" t="n">
        <f>HYPERLINK("https://worldwide.espacenet.com/patent/search?q=US20140227224","Espacenet")</f>
        <v>0.0</v>
      </c>
      <c r="I3164" s="2" t="n">
        <f>HYPERLINK("https://ppubs.uspto.gov/pubwebapp/external.html?q=20140227224.pn.","USPTO")</f>
        <v>0.0</v>
      </c>
      <c r="J3164" s="2" t="n">
        <f>HYPERLINK("https://image-ppubs.uspto.gov/dirsearch-public/print/downloadPdf/20140227224","USPTO PDF")</f>
        <v>0.0</v>
      </c>
      <c r="K3164" s="2" t="n">
        <f>HYPERLINK("https://sectors.patentforecast.com/pmd/US20140227224","PMD")</f>
        <v>0.0</v>
      </c>
      <c r="L3164" s="2" t="n">
        <f>HYPERLINK("https://globaldossier.uspto.gov/result/application/US/14150677/1","US20140227224")</f>
        <v>0.0</v>
      </c>
      <c r="M3164" t="s">
        <v>20630</v>
      </c>
      <c r="N3164" t="s">
        <v>664</v>
      </c>
      <c r="O3164" t="s">
        <v>665</v>
      </c>
      <c r="P3164" t="s">
        <v>20238</v>
      </c>
      <c r="Q3164" s="3" t="n">
        <v>41647.0</v>
      </c>
      <c r="R3164" s="3" t="n">
        <v>41865.0</v>
      </c>
      <c r="S3164" s="3" t="n">
        <v>43952.46303239583</v>
      </c>
      <c r="T3164" s="3" t="n">
        <v>44638.662781747684</v>
      </c>
      <c r="U3164" t="s">
        <v>20631</v>
      </c>
      <c r="V3164" t="s">
        <v>20632</v>
      </c>
    </row>
    <row r="3165">
      <c r="A3165" t="s">
        <v>22</v>
      </c>
      <c r="B3165" t="s">
        <v>20633</v>
      </c>
      <c r="C3165" t="s">
        <v>60</v>
      </c>
      <c r="D3165" t="s">
        <v>61</v>
      </c>
      <c r="E3165" t="s">
        <v>20634</v>
      </c>
      <c r="F3165" s="2" t="n">
        <f>HYPERLINK("https://patents.google.com/patent/US20140221382","Google")</f>
        <v>0.0</v>
      </c>
      <c r="G3165" s="2" t="n">
        <f>HYPERLINK("https://patentcenter.uspto.gov/applications/14247609","Patent Center")</f>
        <v>0.0</v>
      </c>
      <c r="H3165" s="2" t="n">
        <f>HYPERLINK("https://worldwide.espacenet.com/patent/search?q=US20140221382","Espacenet")</f>
        <v>0.0</v>
      </c>
      <c r="I3165" s="2" t="n">
        <f>HYPERLINK("https://ppubs.uspto.gov/pubwebapp/external.html?q=20140221382.pn.","USPTO")</f>
        <v>0.0</v>
      </c>
      <c r="J3165" s="2" t="n">
        <f>HYPERLINK("https://image-ppubs.uspto.gov/dirsearch-public/print/downloadPdf/20140221382","USPTO PDF")</f>
        <v>0.0</v>
      </c>
      <c r="K3165" s="2" t="n">
        <f>HYPERLINK("https://sectors.patentforecast.com/pmd/US20140221382","PMD")</f>
        <v>0.0</v>
      </c>
      <c r="L3165" s="2" t="n">
        <f>HYPERLINK("https://globaldossier.uspto.gov/result/application/US/14247609/1","US20140221382")</f>
        <v>0.0</v>
      </c>
      <c r="M3165" t="s">
        <v>20635</v>
      </c>
      <c r="N3165" t="s">
        <v>20636</v>
      </c>
      <c r="O3165" t="s">
        <v>20637</v>
      </c>
      <c r="P3165" t="s">
        <v>20638</v>
      </c>
      <c r="Q3165" s="3" t="n">
        <v>41737.0</v>
      </c>
      <c r="R3165" s="3" t="n">
        <v>41858.0</v>
      </c>
      <c r="S3165" s="3" t="n">
        <v>43952.46303239583</v>
      </c>
      <c r="T3165" s="3" t="n">
        <v>44638.65579662037</v>
      </c>
      <c r="U3165" t="s">
        <v>20639</v>
      </c>
      <c r="V3165" t="s">
        <v>20640</v>
      </c>
    </row>
    <row r="3166">
      <c r="A3166" t="s">
        <v>22</v>
      </c>
      <c r="B3166" t="s">
        <v>20641</v>
      </c>
      <c r="C3166" t="s">
        <v>60</v>
      </c>
      <c r="D3166" t="s">
        <v>61</v>
      </c>
      <c r="E3166" t="s">
        <v>20352</v>
      </c>
      <c r="F3166" s="2" t="n">
        <f>HYPERLINK("https://patents.google.com/patent/US20140213556","Google")</f>
        <v>0.0</v>
      </c>
      <c r="G3166" s="2" t="n">
        <f>HYPERLINK("https://patentcenter.uspto.gov/applications/14227653","Patent Center")</f>
        <v>0.0</v>
      </c>
      <c r="H3166" s="2" t="n">
        <f>HYPERLINK("https://worldwide.espacenet.com/patent/search?q=US20140213556","Espacenet")</f>
        <v>0.0</v>
      </c>
      <c r="I3166" s="2" t="n">
        <f>HYPERLINK("https://ppubs.uspto.gov/pubwebapp/external.html?q=20140213556.pn.","USPTO")</f>
        <v>0.0</v>
      </c>
      <c r="J3166" s="2" t="n">
        <f>HYPERLINK("https://image-ppubs.uspto.gov/dirsearch-public/print/downloadPdf/20140213556","USPTO PDF")</f>
        <v>0.0</v>
      </c>
      <c r="K3166" s="2" t="n">
        <f>HYPERLINK("https://sectors.patentforecast.com/pmd/US20140213556","PMD")</f>
        <v>0.0</v>
      </c>
      <c r="L3166" s="2" t="n">
        <f>HYPERLINK("https://globaldossier.uspto.gov/result/application/US/14227653/1","US20140213556")</f>
        <v>0.0</v>
      </c>
      <c r="M3166" t="s">
        <v>20642</v>
      </c>
      <c r="N3166" t="s">
        <v>664</v>
      </c>
      <c r="O3166" t="s">
        <v>665</v>
      </c>
      <c r="P3166" t="s">
        <v>20643</v>
      </c>
      <c r="Q3166" s="3" t="n">
        <v>41725.0</v>
      </c>
      <c r="R3166" s="3" t="n">
        <v>41851.0</v>
      </c>
      <c r="S3166" s="3" t="n">
        <v>43952.4595775</v>
      </c>
      <c r="T3166" s="3" t="n">
        <v>44638.65271974537</v>
      </c>
      <c r="U3166" t="s">
        <v>20644</v>
      </c>
      <c r="V3166" t="s">
        <v>20355</v>
      </c>
    </row>
    <row r="3167">
      <c r="A3167" t="s">
        <v>22</v>
      </c>
      <c r="B3167" t="s">
        <v>20645</v>
      </c>
      <c r="C3167" t="s">
        <v>60</v>
      </c>
      <c r="D3167" t="s">
        <v>61</v>
      </c>
      <c r="E3167" t="s">
        <v>17574</v>
      </c>
      <c r="F3167" s="2" t="n">
        <f>HYPERLINK("https://patents.google.com/patent/US20140212491","Google")</f>
        <v>0.0</v>
      </c>
      <c r="G3167" s="2" t="n">
        <f>HYPERLINK("https://patentcenter.uspto.gov/applications/14168264","Patent Center")</f>
        <v>0.0</v>
      </c>
      <c r="H3167" s="2" t="n">
        <f>HYPERLINK("https://worldwide.espacenet.com/patent/search?q=US20140212491","Espacenet")</f>
        <v>0.0</v>
      </c>
      <c r="I3167" s="2" t="n">
        <f>HYPERLINK("https://ppubs.uspto.gov/pubwebapp/external.html?q=20140212491.pn.","USPTO")</f>
        <v>0.0</v>
      </c>
      <c r="J3167" s="2" t="n">
        <f>HYPERLINK("https://image-ppubs.uspto.gov/dirsearch-public/print/downloadPdf/20140212491","USPTO PDF")</f>
        <v>0.0</v>
      </c>
      <c r="K3167" s="2" t="n">
        <f>HYPERLINK("https://sectors.patentforecast.com/pmd/US20140212491","PMD")</f>
        <v>0.0</v>
      </c>
      <c r="L3167" s="2" t="n">
        <f>HYPERLINK("https://globaldossier.uspto.gov/result/application/US/14168264/1","US20140212491")</f>
        <v>0.0</v>
      </c>
      <c r="M3167" t="s">
        <v>20646</v>
      </c>
      <c r="N3167" t="s">
        <v>664</v>
      </c>
      <c r="O3167" t="s">
        <v>665</v>
      </c>
      <c r="P3167" t="s">
        <v>17824</v>
      </c>
      <c r="Q3167" s="3" t="n">
        <v>41669.0</v>
      </c>
      <c r="R3167" s="3" t="n">
        <v>41851.0</v>
      </c>
      <c r="S3167" s="3" t="n">
        <v>43952.4595775</v>
      </c>
      <c r="T3167" s="3" t="n">
        <v>44638.65271974537</v>
      </c>
      <c r="U3167" t="s">
        <v>20647</v>
      </c>
      <c r="V3167" t="s">
        <v>17826</v>
      </c>
    </row>
    <row r="3168">
      <c r="A3168" t="s">
        <v>22</v>
      </c>
      <c r="B3168" t="s">
        <v>20648</v>
      </c>
      <c r="C3168" t="s">
        <v>60</v>
      </c>
      <c r="D3168" t="s">
        <v>61</v>
      </c>
      <c r="E3168" t="s">
        <v>20403</v>
      </c>
      <c r="F3168" s="2" t="n">
        <f>HYPERLINK("https://patents.google.com/patent/US20140212487","Google")</f>
        <v>0.0</v>
      </c>
      <c r="G3168" s="2" t="n">
        <f>HYPERLINK("https://patentcenter.uspto.gov/applications/14168329","Patent Center")</f>
        <v>0.0</v>
      </c>
      <c r="H3168" s="2" t="n">
        <f>HYPERLINK("https://worldwide.espacenet.com/patent/search?q=US20140212487","Espacenet")</f>
        <v>0.0</v>
      </c>
      <c r="I3168" s="2" t="n">
        <f>HYPERLINK("https://ppubs.uspto.gov/pubwebapp/external.html?q=20140212487.pn.","USPTO")</f>
        <v>0.0</v>
      </c>
      <c r="J3168" s="2" t="n">
        <f>HYPERLINK("https://image-ppubs.uspto.gov/dirsearch-public/print/downloadPdf/20140212487","USPTO PDF")</f>
        <v>0.0</v>
      </c>
      <c r="K3168" s="2" t="n">
        <f>HYPERLINK("https://sectors.patentforecast.com/pmd/US20140212487","PMD")</f>
        <v>0.0</v>
      </c>
      <c r="L3168" s="2" t="n">
        <f>HYPERLINK("https://globaldossier.uspto.gov/result/application/US/14168329/1","US20140212487")</f>
        <v>0.0</v>
      </c>
      <c r="M3168" t="s">
        <v>20649</v>
      </c>
      <c r="N3168" t="s">
        <v>664</v>
      </c>
      <c r="O3168" t="s">
        <v>665</v>
      </c>
      <c r="P3168" t="s">
        <v>20650</v>
      </c>
      <c r="Q3168" s="3" t="n">
        <v>41669.0</v>
      </c>
      <c r="R3168" s="3" t="n">
        <v>41851.0</v>
      </c>
      <c r="S3168" s="3" t="n">
        <v>43952.4595775</v>
      </c>
      <c r="T3168" s="3" t="n">
        <v>44638.65271974537</v>
      </c>
      <c r="U3168" t="s">
        <v>20651</v>
      </c>
      <c r="V3168" t="s">
        <v>20652</v>
      </c>
    </row>
    <row r="3169">
      <c r="A3169" t="s">
        <v>22</v>
      </c>
      <c r="B3169" t="s">
        <v>20653</v>
      </c>
      <c r="C3169" t="s">
        <v>60</v>
      </c>
      <c r="D3169" t="s">
        <v>77</v>
      </c>
      <c r="E3169" t="s">
        <v>20654</v>
      </c>
      <c r="F3169" s="2" t="n">
        <f>HYPERLINK("https://patents.google.com/patent/US20140208832","Google")</f>
        <v>0.0</v>
      </c>
      <c r="G3169" s="2" t="n">
        <f>HYPERLINK("https://patentcenter.uspto.gov/applications/14346240","Patent Center")</f>
        <v>0.0</v>
      </c>
      <c r="H3169" s="2" t="n">
        <f>HYPERLINK("https://worldwide.espacenet.com/patent/search?q=US20140208832","Espacenet")</f>
        <v>0.0</v>
      </c>
      <c r="I3169" s="2" t="n">
        <f>HYPERLINK("https://ppubs.uspto.gov/pubwebapp/external.html?q=20140208832.pn.","USPTO")</f>
        <v>0.0</v>
      </c>
      <c r="J3169" s="2" t="n">
        <f>HYPERLINK("https://image-ppubs.uspto.gov/dirsearch-public/print/downloadPdf/20140208832","USPTO PDF")</f>
        <v>0.0</v>
      </c>
      <c r="K3169" s="2" t="n">
        <f>HYPERLINK("https://sectors.patentforecast.com/pmd/US20140208832","PMD")</f>
        <v>0.0</v>
      </c>
      <c r="L3169" s="2" t="n">
        <f>HYPERLINK("https://globaldossier.uspto.gov/result/application/US/14346240/1","US20140208832")</f>
        <v>0.0</v>
      </c>
      <c r="M3169" t="s">
        <v>20655</v>
      </c>
      <c r="N3169" t="s">
        <v>16801</v>
      </c>
      <c r="O3169" t="s">
        <v>16802</v>
      </c>
      <c r="P3169" t="s">
        <v>20656</v>
      </c>
      <c r="Q3169" s="3" t="n">
        <v>41180.0</v>
      </c>
      <c r="R3169" s="3" t="n">
        <v>41851.0</v>
      </c>
      <c r="S3169" s="3" t="n">
        <v>43985.669204328704</v>
      </c>
      <c r="T3169" s="3" t="n">
        <v>43985.67861778935</v>
      </c>
      <c r="U3169" t="s">
        <v>20657</v>
      </c>
      <c r="V3169" t="s">
        <v>20658</v>
      </c>
    </row>
    <row r="3170">
      <c r="A3170" t="s">
        <v>22</v>
      </c>
      <c r="B3170" t="s">
        <v>20659</v>
      </c>
      <c r="C3170" t="s">
        <v>24</v>
      </c>
      <c r="D3170" t="s">
        <v>1450</v>
      </c>
      <c r="E3170" t="s">
        <v>20660</v>
      </c>
      <c r="F3170" s="2" t="n">
        <f>HYPERLINK("https://patents.google.com/patent/US20140207482","Google")</f>
        <v>0.0</v>
      </c>
      <c r="G3170" s="2" t="n">
        <f>HYPERLINK("https://patentcenter.uspto.gov/applications/14220285","Patent Center")</f>
        <v>0.0</v>
      </c>
      <c r="H3170" s="2" t="n">
        <f>HYPERLINK("https://worldwide.espacenet.com/patent/search?q=US20140207482","Espacenet")</f>
        <v>0.0</v>
      </c>
      <c r="I3170" s="2" t="n">
        <f>HYPERLINK("https://ppubs.uspto.gov/pubwebapp/external.html?q=20140207482.pn.","USPTO")</f>
        <v>0.0</v>
      </c>
      <c r="J3170" s="2" t="n">
        <f>HYPERLINK("https://image-ppubs.uspto.gov/dirsearch-public/print/downloadPdf/20140207482","USPTO PDF")</f>
        <v>0.0</v>
      </c>
      <c r="K3170" s="2" t="n">
        <f>HYPERLINK("https://sectors.patentforecast.com/pmd/US20140207482","PMD")</f>
        <v>0.0</v>
      </c>
      <c r="L3170" s="2" t="n">
        <f>HYPERLINK("https://globaldossier.uspto.gov/result/application/US/14220285/1","US20140207482")</f>
        <v>0.0</v>
      </c>
      <c r="M3170" t="s">
        <v>20661</v>
      </c>
      <c r="N3170" t="s">
        <v>17334</v>
      </c>
      <c r="O3170" t="s">
        <v>17335</v>
      </c>
      <c r="P3170" t="s">
        <v>17336</v>
      </c>
      <c r="Q3170" s="3" t="n">
        <v>41718.0</v>
      </c>
      <c r="R3170" s="3" t="n">
        <v>41844.0</v>
      </c>
      <c r="S3170" s="3" t="n">
        <v>44089.23016864583</v>
      </c>
      <c r="T3170" s="3" t="n">
        <v>44089.44026556713</v>
      </c>
      <c r="U3170" t="s">
        <v>20662</v>
      </c>
      <c r="V3170" t="s">
        <v>20663</v>
      </c>
    </row>
    <row r="3171">
      <c r="A3171" t="s">
        <v>22</v>
      </c>
      <c r="B3171" t="s">
        <v>20664</v>
      </c>
      <c r="C3171" t="s">
        <v>24</v>
      </c>
      <c r="D3171" t="s">
        <v>34</v>
      </c>
      <c r="E3171" t="s">
        <v>17035</v>
      </c>
      <c r="F3171" s="2" t="n">
        <f>HYPERLINK("https://patents.google.com/patent/US20140206412","Google")</f>
        <v>0.0</v>
      </c>
      <c r="G3171" s="2" t="n">
        <f>HYPERLINK("https://patentcenter.uspto.gov/applications/14159844","Patent Center")</f>
        <v>0.0</v>
      </c>
      <c r="H3171" s="2" t="n">
        <f>HYPERLINK("https://worldwide.espacenet.com/patent/search?q=US20140206412","Espacenet")</f>
        <v>0.0</v>
      </c>
      <c r="I3171" s="2" t="n">
        <f>HYPERLINK("https://ppubs.uspto.gov/pubwebapp/external.html?q=20140206412.pn.","USPTO")</f>
        <v>0.0</v>
      </c>
      <c r="J3171" s="2" t="n">
        <f>HYPERLINK("https://image-ppubs.uspto.gov/dirsearch-public/print/downloadPdf/20140206412","USPTO PDF")</f>
        <v>0.0</v>
      </c>
      <c r="K3171" s="2" t="n">
        <f>HYPERLINK("https://sectors.patentforecast.com/pmd/US20140206412","PMD")</f>
        <v>0.0</v>
      </c>
      <c r="L3171" s="2" t="n">
        <f>HYPERLINK("https://globaldossier.uspto.gov/result/application/US/14159844/1","US20140206412")</f>
        <v>0.0</v>
      </c>
      <c r="M3171" t="s">
        <v>20665</v>
      </c>
      <c r="N3171" t="s">
        <v>4728</v>
      </c>
      <c r="O3171" t="s">
        <v>4729</v>
      </c>
      <c r="P3171" t="s">
        <v>17037</v>
      </c>
      <c r="Q3171" s="3" t="n">
        <v>41660.0</v>
      </c>
      <c r="R3171" s="3" t="n">
        <v>41844.0</v>
      </c>
      <c r="S3171" s="3" t="n">
        <v>44370.45832509259</v>
      </c>
      <c r="T3171" s="3" t="n">
        <v>44372.38111516204</v>
      </c>
      <c r="U3171" t="s">
        <v>20666</v>
      </c>
      <c r="V3171" t="s">
        <v>17039</v>
      </c>
    </row>
    <row r="3172">
      <c r="A3172" t="s">
        <v>22</v>
      </c>
      <c r="B3172" t="s">
        <v>20667</v>
      </c>
      <c r="C3172" t="s">
        <v>24</v>
      </c>
      <c r="D3172" t="s">
        <v>25</v>
      </c>
      <c r="E3172" t="s">
        <v>20668</v>
      </c>
      <c r="F3172" s="2" t="n">
        <f>HYPERLINK("https://patents.google.com/patent/US20140205155","Google")</f>
        <v>0.0</v>
      </c>
      <c r="G3172" s="2" t="n">
        <f>HYPERLINK("https://patentcenter.uspto.gov/applications/14159573","Patent Center")</f>
        <v>0.0</v>
      </c>
      <c r="H3172" s="2" t="n">
        <f>HYPERLINK("https://worldwide.espacenet.com/patent/search?q=US20140205155","Espacenet")</f>
        <v>0.0</v>
      </c>
      <c r="I3172" s="2" t="n">
        <f>HYPERLINK("https://ppubs.uspto.gov/pubwebapp/external.html?q=20140205155.pn.","USPTO")</f>
        <v>0.0</v>
      </c>
      <c r="J3172" s="2" t="n">
        <f>HYPERLINK("https://image-ppubs.uspto.gov/dirsearch-public/print/downloadPdf/20140205155","USPTO PDF")</f>
        <v>0.0</v>
      </c>
      <c r="K3172" s="2" t="n">
        <f>HYPERLINK("https://sectors.patentforecast.com/pmd/US20140205155","PMD")</f>
        <v>0.0</v>
      </c>
      <c r="L3172" s="2" t="n">
        <f>HYPERLINK("https://globaldossier.uspto.gov/result/application/US/14159573/1","US20140205155")</f>
        <v>0.0</v>
      </c>
      <c r="M3172" t="s">
        <v>20669</v>
      </c>
      <c r="N3172" t="s">
        <v>20670</v>
      </c>
      <c r="O3172" t="s">
        <v>20671</v>
      </c>
      <c r="P3172" t="s">
        <v>19636</v>
      </c>
      <c r="Q3172" s="3" t="n">
        <v>41660.0</v>
      </c>
      <c r="R3172" s="3" t="n">
        <v>41844.0</v>
      </c>
      <c r="S3172" s="3" t="n">
        <v>43908.45851127315</v>
      </c>
      <c r="T3172" s="3" t="n">
        <v>43984.71584708333</v>
      </c>
      <c r="U3172" t="s">
        <v>19637</v>
      </c>
      <c r="V3172" t="s">
        <v>20672</v>
      </c>
    </row>
    <row r="3173">
      <c r="A3173" t="s">
        <v>22</v>
      </c>
      <c r="B3173" t="s">
        <v>20673</v>
      </c>
      <c r="C3173" t="s">
        <v>24</v>
      </c>
      <c r="D3173" t="s">
        <v>204</v>
      </c>
      <c r="E3173" t="s">
        <v>20674</v>
      </c>
      <c r="F3173" s="2" t="n">
        <f>HYPERLINK("https://patents.google.com/patent/US20140201099","Google")</f>
        <v>0.0</v>
      </c>
      <c r="G3173" s="2" t="n">
        <f>HYPERLINK("https://patentcenter.uspto.gov/applications/13999576","Patent Center")</f>
        <v>0.0</v>
      </c>
      <c r="H3173" s="2" t="n">
        <f>HYPERLINK("https://worldwide.espacenet.com/patent/search?q=US20140201099","Espacenet")</f>
        <v>0.0</v>
      </c>
      <c r="I3173" s="2" t="n">
        <f>HYPERLINK("https://ppubs.uspto.gov/pubwebapp/external.html?q=20140201099.pn.","USPTO")</f>
        <v>0.0</v>
      </c>
      <c r="J3173" s="2" t="n">
        <f>HYPERLINK("https://image-ppubs.uspto.gov/dirsearch-public/print/downloadPdf/20140201099","USPTO PDF")</f>
        <v>0.0</v>
      </c>
      <c r="K3173" s="2" t="n">
        <f>HYPERLINK("https://sectors.patentforecast.com/pmd/US20140201099","PMD")</f>
        <v>0.0</v>
      </c>
      <c r="L3173" s="2" t="n">
        <f>HYPERLINK("https://globaldossier.uspto.gov/result/application/US/13999576/1","US20140201099")</f>
        <v>0.0</v>
      </c>
      <c r="M3173" t="s">
        <v>20675</v>
      </c>
      <c r="N3173" t="s">
        <v>20676</v>
      </c>
      <c r="O3173" t="s">
        <v>20676</v>
      </c>
      <c r="P3173" t="s">
        <v>20677</v>
      </c>
      <c r="Q3173" s="3" t="n">
        <v>41708.0</v>
      </c>
      <c r="R3173" s="3" t="n">
        <v>41837.0</v>
      </c>
      <c r="S3173" s="3" t="n">
        <v>43900.437389907405</v>
      </c>
      <c r="T3173" s="3" t="n">
        <v>43901.72156387731</v>
      </c>
      <c r="U3173" t="s">
        <v>20678</v>
      </c>
      <c r="V3173" t="s">
        <v>20679</v>
      </c>
    </row>
    <row r="3174">
      <c r="A3174" t="s">
        <v>22</v>
      </c>
      <c r="B3174" t="s">
        <v>20680</v>
      </c>
      <c r="C3174" t="s">
        <v>60</v>
      </c>
      <c r="D3174" t="s">
        <v>61</v>
      </c>
      <c r="E3174" t="s">
        <v>20681</v>
      </c>
      <c r="F3174" s="2" t="n">
        <f>HYPERLINK("https://patents.google.com/patent/US20140200188","Google")</f>
        <v>0.0</v>
      </c>
      <c r="G3174" s="2" t="n">
        <f>HYPERLINK("https://patentcenter.uspto.gov/applications/14163251","Patent Center")</f>
        <v>0.0</v>
      </c>
      <c r="H3174" s="2" t="n">
        <f>HYPERLINK("https://worldwide.espacenet.com/patent/search?q=US20140200188","Espacenet")</f>
        <v>0.0</v>
      </c>
      <c r="I3174" s="2" t="n">
        <f>HYPERLINK("https://ppubs.uspto.gov/pubwebapp/external.html?q=20140200188.pn.","USPTO")</f>
        <v>0.0</v>
      </c>
      <c r="J3174" s="2" t="n">
        <f>HYPERLINK("https://image-ppubs.uspto.gov/dirsearch-public/print/downloadPdf/20140200188","USPTO PDF")</f>
        <v>0.0</v>
      </c>
      <c r="K3174" s="2" t="n">
        <f>HYPERLINK("https://sectors.patentforecast.com/pmd/US20140200188","PMD")</f>
        <v>0.0</v>
      </c>
      <c r="L3174" s="2" t="n">
        <f>HYPERLINK("https://globaldossier.uspto.gov/result/application/US/14163251/1","US20140200188")</f>
        <v>0.0</v>
      </c>
      <c r="M3174" t="s">
        <v>20682</v>
      </c>
      <c r="N3174" t="s">
        <v>664</v>
      </c>
      <c r="O3174" t="s">
        <v>665</v>
      </c>
      <c r="P3174" t="s">
        <v>20683</v>
      </c>
      <c r="Q3174" s="3" t="n">
        <v>41663.0</v>
      </c>
      <c r="R3174" s="3" t="n">
        <v>41837.0</v>
      </c>
      <c r="S3174" s="3" t="n">
        <v>43952.4595775</v>
      </c>
      <c r="T3174" s="3" t="n">
        <v>44638.65072081018</v>
      </c>
      <c r="U3174" t="s">
        <v>20684</v>
      </c>
      <c r="V3174" t="s">
        <v>20685</v>
      </c>
    </row>
    <row r="3175">
      <c r="A3175" t="s">
        <v>22</v>
      </c>
      <c r="B3175" t="s">
        <v>20686</v>
      </c>
      <c r="C3175" t="s">
        <v>132</v>
      </c>
      <c r="D3175" t="s">
        <v>1265</v>
      </c>
      <c r="E3175" t="s">
        <v>17930</v>
      </c>
      <c r="F3175" s="2" t="n">
        <f>HYPERLINK("https://patents.google.com/patent/US20140193447","Google")</f>
        <v>0.0</v>
      </c>
      <c r="G3175" s="2" t="n">
        <f>HYPERLINK("https://patentcenter.uspto.gov/applications/14149365","Patent Center")</f>
        <v>0.0</v>
      </c>
      <c r="H3175" s="2" t="n">
        <f>HYPERLINK("https://worldwide.espacenet.com/patent/search?q=US20140193447","Espacenet")</f>
        <v>0.0</v>
      </c>
      <c r="I3175" s="2" t="n">
        <f>HYPERLINK("https://ppubs.uspto.gov/pubwebapp/external.html?q=20140193447.pn.","USPTO")</f>
        <v>0.0</v>
      </c>
      <c r="J3175" s="2" t="n">
        <f>HYPERLINK("https://image-ppubs.uspto.gov/dirsearch-public/print/downloadPdf/20140193447","USPTO PDF")</f>
        <v>0.0</v>
      </c>
      <c r="K3175" s="2" t="n">
        <f>HYPERLINK("https://sectors.patentforecast.com/pmd/US20140193447","PMD")</f>
        <v>0.0</v>
      </c>
      <c r="L3175" s="2" t="n">
        <f>HYPERLINK("https://globaldossier.uspto.gov/result/application/US/14149365/1","US20140193447")</f>
        <v>0.0</v>
      </c>
      <c r="M3175" t="s">
        <v>20687</v>
      </c>
      <c r="N3175" t="s">
        <v>1275</v>
      </c>
      <c r="O3175" t="s">
        <v>1275</v>
      </c>
      <c r="P3175" t="s">
        <v>20688</v>
      </c>
      <c r="Q3175" s="3" t="n">
        <v>41646.0</v>
      </c>
      <c r="R3175" s="3" t="n">
        <v>41830.0</v>
      </c>
      <c r="S3175" s="3" t="n">
        <v>43900.437389907405</v>
      </c>
      <c r="T3175" s="3" t="n">
        <v>43903.48463241898</v>
      </c>
      <c r="U3175" t="s">
        <v>20689</v>
      </c>
      <c r="V3175" t="s">
        <v>17402</v>
      </c>
    </row>
    <row r="3176">
      <c r="A3176" t="s">
        <v>22</v>
      </c>
      <c r="B3176" t="s">
        <v>20690</v>
      </c>
      <c r="C3176" t="s">
        <v>60</v>
      </c>
      <c r="D3176" t="s">
        <v>61</v>
      </c>
      <c r="E3176" t="s">
        <v>20691</v>
      </c>
      <c r="F3176" s="2" t="n">
        <f>HYPERLINK("https://patents.google.com/patent/US20140187771","Google")</f>
        <v>0.0</v>
      </c>
      <c r="G3176" s="2" t="n">
        <f>HYPERLINK("https://patentcenter.uspto.gov/applications/14115079","Patent Center")</f>
        <v>0.0</v>
      </c>
      <c r="H3176" s="2" t="n">
        <f>HYPERLINK("https://worldwide.espacenet.com/patent/search?q=US20140187771","Espacenet")</f>
        <v>0.0</v>
      </c>
      <c r="I3176" s="2" t="n">
        <f>HYPERLINK("https://ppubs.uspto.gov/pubwebapp/external.html?q=20140187771.pn.","USPTO")</f>
        <v>0.0</v>
      </c>
      <c r="J3176" s="2" t="n">
        <f>HYPERLINK("https://image-ppubs.uspto.gov/dirsearch-public/print/downloadPdf/20140187771","USPTO PDF")</f>
        <v>0.0</v>
      </c>
      <c r="K3176" s="2" t="n">
        <f>HYPERLINK("https://sectors.patentforecast.com/pmd/US20140187771","PMD")</f>
        <v>0.0</v>
      </c>
      <c r="L3176" s="2" t="n">
        <f>HYPERLINK("https://globaldossier.uspto.gov/result/application/US/14115079/1","US20140187771")</f>
        <v>0.0</v>
      </c>
      <c r="M3176" t="s">
        <v>20692</v>
      </c>
      <c r="N3176" t="s">
        <v>664</v>
      </c>
      <c r="O3176" t="s">
        <v>665</v>
      </c>
      <c r="P3176" t="s">
        <v>20693</v>
      </c>
      <c r="Q3176" s="3" t="n">
        <v>41029.0</v>
      </c>
      <c r="R3176" s="3" t="n">
        <v>41823.0</v>
      </c>
      <c r="S3176" s="3" t="n">
        <v>43952.4595775</v>
      </c>
      <c r="T3176" s="3" t="n">
        <v>44678.59766020833</v>
      </c>
      <c r="U3176" t="s">
        <v>20694</v>
      </c>
      <c r="V3176" t="s">
        <v>20695</v>
      </c>
    </row>
    <row r="3177">
      <c r="A3177" t="s">
        <v>22</v>
      </c>
      <c r="B3177" t="s">
        <v>20696</v>
      </c>
      <c r="C3177" t="s">
        <v>60</v>
      </c>
      <c r="D3177" t="s">
        <v>61</v>
      </c>
      <c r="E3177" t="s">
        <v>16903</v>
      </c>
      <c r="F3177" s="2" t="n">
        <f>HYPERLINK("https://patents.google.com/patent/US20140178336","Google")</f>
        <v>0.0</v>
      </c>
      <c r="G3177" s="2" t="n">
        <f>HYPERLINK("https://patentcenter.uspto.gov/applications/13830346","Patent Center")</f>
        <v>0.0</v>
      </c>
      <c r="H3177" s="2" t="n">
        <f>HYPERLINK("https://worldwide.espacenet.com/patent/search?q=US20140178336","Espacenet")</f>
        <v>0.0</v>
      </c>
      <c r="I3177" s="2" t="n">
        <f>HYPERLINK("https://ppubs.uspto.gov/pubwebapp/external.html?q=20140178336.pn.","USPTO")</f>
        <v>0.0</v>
      </c>
      <c r="J3177" s="2" t="n">
        <f>HYPERLINK("https://image-ppubs.uspto.gov/dirsearch-public/print/downloadPdf/20140178336","USPTO PDF")</f>
        <v>0.0</v>
      </c>
      <c r="K3177" s="2" t="n">
        <f>HYPERLINK("https://sectors.patentforecast.com/pmd/US20140178336","PMD")</f>
        <v>0.0</v>
      </c>
      <c r="L3177" s="2" t="n">
        <f>HYPERLINK("https://globaldossier.uspto.gov/result/application/US/13830346/1","US20140178336")</f>
        <v>0.0</v>
      </c>
      <c r="M3177" t="s">
        <v>20697</v>
      </c>
      <c r="N3177" t="s">
        <v>664</v>
      </c>
      <c r="O3177" t="s">
        <v>665</v>
      </c>
      <c r="P3177" t="s">
        <v>20698</v>
      </c>
      <c r="Q3177" s="3" t="n">
        <v>41347.0</v>
      </c>
      <c r="R3177" s="3" t="n">
        <v>41816.0</v>
      </c>
      <c r="S3177" s="3" t="n">
        <v>43952.4595775</v>
      </c>
      <c r="T3177" s="3" t="n">
        <v>44638.65271974537</v>
      </c>
      <c r="U3177" t="s">
        <v>20699</v>
      </c>
      <c r="V3177" t="s">
        <v>17072</v>
      </c>
    </row>
    <row r="3178">
      <c r="A3178" t="s">
        <v>22</v>
      </c>
      <c r="B3178" t="s">
        <v>20700</v>
      </c>
      <c r="C3178" t="s">
        <v>24</v>
      </c>
      <c r="D3178" t="s">
        <v>43</v>
      </c>
      <c r="E3178" t="s">
        <v>20701</v>
      </c>
      <c r="F3178" s="2" t="n">
        <f>HYPERLINK("https://patents.google.com/patent/US20140167917","Google")</f>
        <v>0.0</v>
      </c>
      <c r="G3178" s="2" t="n">
        <f>HYPERLINK("https://patentcenter.uspto.gov/applications/13133193","Patent Center")</f>
        <v>0.0</v>
      </c>
      <c r="H3178" s="2" t="n">
        <f>HYPERLINK("https://worldwide.espacenet.com/patent/search?q=US20140167917","Espacenet")</f>
        <v>0.0</v>
      </c>
      <c r="I3178" s="2" t="n">
        <f>HYPERLINK("https://ppubs.uspto.gov/pubwebapp/external.html?q=20140167917.pn.","USPTO")</f>
        <v>0.0</v>
      </c>
      <c r="J3178" s="2" t="n">
        <f>HYPERLINK("https://image-ppubs.uspto.gov/dirsearch-public/print/downloadPdf/20140167917","USPTO PDF")</f>
        <v>0.0</v>
      </c>
      <c r="K3178" s="2" t="n">
        <f>HYPERLINK("https://sectors.patentforecast.com/pmd/US20140167917","PMD")</f>
        <v>0.0</v>
      </c>
      <c r="L3178" s="2" t="n">
        <f>HYPERLINK("https://globaldossier.uspto.gov/result/application/US/13133193/1","US20140167917")</f>
        <v>0.0</v>
      </c>
      <c r="M3178" t="s">
        <v>20702</v>
      </c>
      <c r="N3178" t="s">
        <v>20703</v>
      </c>
      <c r="O3178" t="s">
        <v>20704</v>
      </c>
      <c r="P3178" t="s">
        <v>20705</v>
      </c>
      <c r="Q3178" s="3" t="n">
        <v>40155.0</v>
      </c>
      <c r="R3178" s="3" t="n">
        <v>41809.0</v>
      </c>
      <c r="S3178" s="3" t="n">
        <v>43266.457368090276</v>
      </c>
      <c r="T3178" s="3" t="n">
        <v>43977.48296179398</v>
      </c>
      <c r="U3178" t="s">
        <v>20706</v>
      </c>
      <c r="V3178" t="s">
        <v>20707</v>
      </c>
    </row>
    <row r="3179">
      <c r="A3179" t="s">
        <v>22</v>
      </c>
      <c r="B3179" t="s">
        <v>20708</v>
      </c>
      <c r="C3179" t="s">
        <v>312</v>
      </c>
      <c r="D3179" t="s">
        <v>976</v>
      </c>
      <c r="E3179" t="s">
        <v>18938</v>
      </c>
      <c r="F3179" s="2" t="n">
        <f>HYPERLINK("https://patents.google.com/patent/US20140156304","Google")</f>
        <v>0.0</v>
      </c>
      <c r="G3179" s="2" t="n">
        <f>HYPERLINK("https://patentcenter.uspto.gov/applications/13950741","Patent Center")</f>
        <v>0.0</v>
      </c>
      <c r="H3179" s="2" t="n">
        <f>HYPERLINK("https://worldwide.espacenet.com/patent/search?q=US20140156304","Espacenet")</f>
        <v>0.0</v>
      </c>
      <c r="I3179" s="2" t="n">
        <f>HYPERLINK("https://ppubs.uspto.gov/pubwebapp/external.html?q=20140156304.pn.","USPTO")</f>
        <v>0.0</v>
      </c>
      <c r="J3179" s="2" t="n">
        <f>HYPERLINK("https://image-ppubs.uspto.gov/dirsearch-public/print/downloadPdf/20140156304","USPTO PDF")</f>
        <v>0.0</v>
      </c>
      <c r="K3179" s="2" t="n">
        <f>HYPERLINK("https://sectors.patentforecast.com/pmd/US20140156304","PMD")</f>
        <v>0.0</v>
      </c>
      <c r="L3179" s="2" t="n">
        <f>HYPERLINK("https://globaldossier.uspto.gov/result/application/US/13950741/1","US20140156304")</f>
        <v>0.0</v>
      </c>
      <c r="M3179" t="s">
        <v>20709</v>
      </c>
      <c r="N3179" t="s">
        <v>18940</v>
      </c>
      <c r="O3179" t="s">
        <v>18941</v>
      </c>
      <c r="P3179" t="s">
        <v>18942</v>
      </c>
      <c r="Q3179" s="3" t="n">
        <v>41480.0</v>
      </c>
      <c r="R3179" s="3" t="n">
        <v>41795.0</v>
      </c>
      <c r="S3179" s="3" t="n">
        <v>43266.457368090276</v>
      </c>
      <c r="T3179" s="3" t="n">
        <v>43950.55332638889</v>
      </c>
      <c r="U3179" t="s">
        <v>18943</v>
      </c>
      <c r="V3179" t="s">
        <v>18944</v>
      </c>
    </row>
    <row r="3180">
      <c r="A3180" t="s">
        <v>22</v>
      </c>
      <c r="B3180" t="s">
        <v>20710</v>
      </c>
      <c r="C3180" t="s">
        <v>312</v>
      </c>
      <c r="D3180" t="s">
        <v>3202</v>
      </c>
      <c r="E3180" t="s">
        <v>20711</v>
      </c>
      <c r="F3180" s="2" t="n">
        <f>HYPERLINK("https://patents.google.com/patent/US20140156301","Google")</f>
        <v>0.0</v>
      </c>
      <c r="G3180" s="2" t="n">
        <f>HYPERLINK("https://patentcenter.uspto.gov/applications/14175060","Patent Center")</f>
        <v>0.0</v>
      </c>
      <c r="H3180" s="2" t="n">
        <f>HYPERLINK("https://worldwide.espacenet.com/patent/search?q=US20140156301","Espacenet")</f>
        <v>0.0</v>
      </c>
      <c r="I3180" s="2" t="n">
        <f>HYPERLINK("https://ppubs.uspto.gov/pubwebapp/external.html?q=20140156301.pn.","USPTO")</f>
        <v>0.0</v>
      </c>
      <c r="J3180" s="2" t="n">
        <f>HYPERLINK("https://image-ppubs.uspto.gov/dirsearch-public/print/downloadPdf/20140156301","USPTO PDF")</f>
        <v>0.0</v>
      </c>
      <c r="K3180" s="2" t="n">
        <f>HYPERLINK("https://sectors.patentforecast.com/pmd/US20140156301","PMD")</f>
        <v>0.0</v>
      </c>
      <c r="L3180" s="2" t="n">
        <f>HYPERLINK("https://globaldossier.uspto.gov/result/application/US/14175060/1","US20140156301")</f>
        <v>0.0</v>
      </c>
      <c r="M3180" t="s">
        <v>20712</v>
      </c>
      <c r="N3180" t="s">
        <v>17334</v>
      </c>
      <c r="O3180" t="s">
        <v>17335</v>
      </c>
      <c r="P3180" t="s">
        <v>17582</v>
      </c>
      <c r="Q3180" s="3" t="n">
        <v>41677.0</v>
      </c>
      <c r="R3180" s="3" t="n">
        <v>41795.0</v>
      </c>
      <c r="S3180" s="3" t="n">
        <v>43266.457368090276</v>
      </c>
      <c r="T3180" s="3" t="n">
        <v>44643.65154309028</v>
      </c>
      <c r="U3180" t="s">
        <v>20713</v>
      </c>
      <c r="V3180" t="s">
        <v>17584</v>
      </c>
    </row>
    <row r="3181">
      <c r="A3181" t="s">
        <v>22</v>
      </c>
      <c r="B3181" t="s">
        <v>20714</v>
      </c>
      <c r="C3181" t="s">
        <v>24</v>
      </c>
      <c r="D3181" t="s">
        <v>25</v>
      </c>
      <c r="E3181" t="s">
        <v>20715</v>
      </c>
      <c r="F3181" s="2" t="n">
        <f>HYPERLINK("https://patents.google.com/patent/US20140155756","Google")</f>
        <v>0.0</v>
      </c>
      <c r="G3181" s="2" t="n">
        <f>HYPERLINK("https://patentcenter.uspto.gov/applications/14172968","Patent Center")</f>
        <v>0.0</v>
      </c>
      <c r="H3181" s="2" t="n">
        <f>HYPERLINK("https://worldwide.espacenet.com/patent/search?q=US20140155756","Espacenet")</f>
        <v>0.0</v>
      </c>
      <c r="I3181" s="2" t="n">
        <f>HYPERLINK("https://ppubs.uspto.gov/pubwebapp/external.html?q=20140155756.pn.","USPTO")</f>
        <v>0.0</v>
      </c>
      <c r="J3181" s="2" t="n">
        <f>HYPERLINK("https://image-ppubs.uspto.gov/dirsearch-public/print/downloadPdf/20140155756","USPTO PDF")</f>
        <v>0.0</v>
      </c>
      <c r="K3181" s="2" t="n">
        <f>HYPERLINK("https://sectors.patentforecast.com/pmd/US20140155756","PMD")</f>
        <v>0.0</v>
      </c>
      <c r="L3181" s="2" t="n">
        <f>HYPERLINK("https://globaldossier.uspto.gov/result/application/US/14172968/1","US20140155756")</f>
        <v>0.0</v>
      </c>
      <c r="M3181" t="s">
        <v>20716</v>
      </c>
      <c r="N3181" t="s">
        <v>20717</v>
      </c>
      <c r="O3181" t="s">
        <v>20718</v>
      </c>
      <c r="P3181" t="s">
        <v>20719</v>
      </c>
      <c r="Q3181" s="3" t="n">
        <v>41675.0</v>
      </c>
      <c r="R3181" s="3" t="n">
        <v>41795.0</v>
      </c>
      <c r="S3181" s="3" t="n">
        <v>43266.457368090276</v>
      </c>
      <c r="T3181" s="3" t="n">
        <v>43901.721564363426</v>
      </c>
      <c r="U3181" t="s">
        <v>20720</v>
      </c>
      <c r="V3181" t="s">
        <v>20721</v>
      </c>
    </row>
    <row r="3182">
      <c r="A3182" t="s">
        <v>22</v>
      </c>
      <c r="B3182" t="s">
        <v>20722</v>
      </c>
      <c r="C3182" t="s">
        <v>132</v>
      </c>
      <c r="D3182" t="s">
        <v>1265</v>
      </c>
      <c r="E3182" t="s">
        <v>20723</v>
      </c>
      <c r="F3182" s="2" t="n">
        <f>HYPERLINK("https://patents.google.com/patent/US20140154783","Google")</f>
        <v>0.0</v>
      </c>
      <c r="G3182" s="2" t="n">
        <f>HYPERLINK("https://patentcenter.uspto.gov/applications/13379797","Patent Center")</f>
        <v>0.0</v>
      </c>
      <c r="H3182" s="2" t="n">
        <f>HYPERLINK("https://worldwide.espacenet.com/patent/search?q=US20140154783","Espacenet")</f>
        <v>0.0</v>
      </c>
      <c r="I3182" s="2" t="n">
        <f>HYPERLINK("https://ppubs.uspto.gov/pubwebapp/external.html?q=20140154783.pn.","USPTO")</f>
        <v>0.0</v>
      </c>
      <c r="J3182" s="2" t="n">
        <f>HYPERLINK("https://image-ppubs.uspto.gov/dirsearch-public/print/downloadPdf/20140154783","USPTO PDF")</f>
        <v>0.0</v>
      </c>
      <c r="K3182" s="2" t="n">
        <f>HYPERLINK("https://sectors.patentforecast.com/pmd/US20140154783","PMD")</f>
        <v>0.0</v>
      </c>
      <c r="L3182" s="2" t="n">
        <f>HYPERLINK("https://globaldossier.uspto.gov/result/application/US/13379797/1","US20140154783")</f>
        <v>0.0</v>
      </c>
      <c r="M3182" t="s">
        <v>20724</v>
      </c>
      <c r="N3182" t="s">
        <v>20725</v>
      </c>
      <c r="O3182" t="s">
        <v>20726</v>
      </c>
      <c r="P3182" t="s">
        <v>20727</v>
      </c>
      <c r="Q3182" s="3" t="n">
        <v>40365.0</v>
      </c>
      <c r="R3182" s="3" t="n">
        <v>41795.0</v>
      </c>
      <c r="S3182" s="3" t="n">
        <v>43900.437389907405</v>
      </c>
      <c r="T3182" s="3" t="n">
        <v>43901.72156518519</v>
      </c>
      <c r="U3182" t="s">
        <v>20728</v>
      </c>
      <c r="V3182" t="s">
        <v>20729</v>
      </c>
    </row>
    <row r="3183">
      <c r="A3183" t="s">
        <v>22</v>
      </c>
      <c r="B3183" t="s">
        <v>20730</v>
      </c>
      <c r="C3183" t="s">
        <v>60</v>
      </c>
      <c r="D3183" t="s">
        <v>61</v>
      </c>
      <c r="E3183" t="s">
        <v>18186</v>
      </c>
      <c r="F3183" s="2" t="n">
        <f>HYPERLINK("https://patents.google.com/patent/US20140154240","Google")</f>
        <v>0.0</v>
      </c>
      <c r="G3183" s="2" t="n">
        <f>HYPERLINK("https://patentcenter.uspto.gov/applications/13905410","Patent Center")</f>
        <v>0.0</v>
      </c>
      <c r="H3183" s="2" t="n">
        <f>HYPERLINK("https://worldwide.espacenet.com/patent/search?q=US20140154240","Espacenet")</f>
        <v>0.0</v>
      </c>
      <c r="I3183" s="2" t="n">
        <f>HYPERLINK("https://ppubs.uspto.gov/pubwebapp/external.html?q=20140154240.pn.","USPTO")</f>
        <v>0.0</v>
      </c>
      <c r="J3183" s="2" t="n">
        <f>HYPERLINK("https://image-ppubs.uspto.gov/dirsearch-public/print/downloadPdf/20140154240","USPTO PDF")</f>
        <v>0.0</v>
      </c>
      <c r="K3183" s="2" t="n">
        <f>HYPERLINK("https://sectors.patentforecast.com/pmd/US20140154240","PMD")</f>
        <v>0.0</v>
      </c>
      <c r="L3183" s="2" t="n">
        <f>HYPERLINK("https://globaldossier.uspto.gov/result/application/US/13905410/1","US20140154240")</f>
        <v>0.0</v>
      </c>
      <c r="M3183" t="s">
        <v>20731</v>
      </c>
      <c r="N3183" t="s">
        <v>664</v>
      </c>
      <c r="O3183" t="s">
        <v>665</v>
      </c>
      <c r="P3183" t="s">
        <v>20732</v>
      </c>
      <c r="Q3183" s="3" t="n">
        <v>41424.0</v>
      </c>
      <c r="R3183" s="3" t="n">
        <v>41795.0</v>
      </c>
      <c r="S3183" s="3" t="n">
        <v>43952.4595775</v>
      </c>
      <c r="T3183" s="3" t="n">
        <v>44638.65271974537</v>
      </c>
      <c r="U3183" t="s">
        <v>20733</v>
      </c>
      <c r="V3183" t="s">
        <v>18190</v>
      </c>
    </row>
    <row r="3184">
      <c r="A3184" t="s">
        <v>22</v>
      </c>
      <c r="B3184" t="s">
        <v>20734</v>
      </c>
      <c r="C3184" t="s">
        <v>60</v>
      </c>
      <c r="D3184" t="s">
        <v>61</v>
      </c>
      <c r="E3184" t="s">
        <v>17282</v>
      </c>
      <c r="F3184" s="2" t="n">
        <f>HYPERLINK("https://patents.google.com/patent/US20140142085","Google")</f>
        <v>0.0</v>
      </c>
      <c r="G3184" s="2" t="n">
        <f>HYPERLINK("https://patentcenter.uspto.gov/applications/14130882","Patent Center")</f>
        <v>0.0</v>
      </c>
      <c r="H3184" s="2" t="n">
        <f>HYPERLINK("https://worldwide.espacenet.com/patent/search?q=US20140142085","Espacenet")</f>
        <v>0.0</v>
      </c>
      <c r="I3184" s="2" t="n">
        <f>HYPERLINK("https://ppubs.uspto.gov/pubwebapp/external.html?q=20140142085.pn.","USPTO")</f>
        <v>0.0</v>
      </c>
      <c r="J3184" s="2" t="n">
        <f>HYPERLINK("https://image-ppubs.uspto.gov/dirsearch-public/print/downloadPdf/20140142085","USPTO PDF")</f>
        <v>0.0</v>
      </c>
      <c r="K3184" s="2" t="n">
        <f>HYPERLINK("https://sectors.patentforecast.com/pmd/US20140142085","PMD")</f>
        <v>0.0</v>
      </c>
      <c r="L3184" s="2" t="n">
        <f>HYPERLINK("https://globaldossier.uspto.gov/result/application/US/14130882/1","US20140142085")</f>
        <v>0.0</v>
      </c>
      <c r="M3184" t="s">
        <v>20735</v>
      </c>
      <c r="N3184" t="s">
        <v>664</v>
      </c>
      <c r="O3184" t="s">
        <v>665</v>
      </c>
      <c r="P3184" t="s">
        <v>20736</v>
      </c>
      <c r="Q3184" s="3" t="n">
        <v>41095.0</v>
      </c>
      <c r="R3184" s="3" t="n">
        <v>41781.0</v>
      </c>
      <c r="S3184" s="3" t="n">
        <v>43952.4595775</v>
      </c>
      <c r="T3184" s="3" t="n">
        <v>44638.662781747684</v>
      </c>
      <c r="U3184" t="s">
        <v>20737</v>
      </c>
      <c r="V3184" t="s">
        <v>17286</v>
      </c>
    </row>
    <row r="3185">
      <c r="A3185" t="s">
        <v>22</v>
      </c>
      <c r="B3185" t="s">
        <v>20738</v>
      </c>
      <c r="C3185" t="s">
        <v>24</v>
      </c>
      <c r="D3185" t="s">
        <v>25</v>
      </c>
      <c r="E3185" t="s">
        <v>20739</v>
      </c>
      <c r="F3185" s="2" t="n">
        <f>HYPERLINK("https://patents.google.com/patent/US20140136556","Google")</f>
        <v>0.0</v>
      </c>
      <c r="G3185" s="2" t="n">
        <f>HYPERLINK("https://patentcenter.uspto.gov/applications/14005063","Patent Center")</f>
        <v>0.0</v>
      </c>
      <c r="H3185" s="2" t="n">
        <f>HYPERLINK("https://worldwide.espacenet.com/patent/search?q=US20140136556","Espacenet")</f>
        <v>0.0</v>
      </c>
      <c r="I3185" s="2" t="n">
        <f>HYPERLINK("https://ppubs.uspto.gov/pubwebapp/external.html?q=20140136556.pn.","USPTO")</f>
        <v>0.0</v>
      </c>
      <c r="J3185" s="2" t="n">
        <f>HYPERLINK("https://image-ppubs.uspto.gov/dirsearch-public/print/downloadPdf/20140136556","USPTO PDF")</f>
        <v>0.0</v>
      </c>
      <c r="K3185" s="2" t="n">
        <f>HYPERLINK("https://sectors.patentforecast.com/pmd/US20140136556","PMD")</f>
        <v>0.0</v>
      </c>
      <c r="L3185" s="2" t="n">
        <f>HYPERLINK("https://globaldossier.uspto.gov/result/application/US/14005063/1","US20140136556")</f>
        <v>0.0</v>
      </c>
      <c r="M3185" t="s">
        <v>20740</v>
      </c>
      <c r="N3185" t="s">
        <v>20741</v>
      </c>
      <c r="O3185" t="s">
        <v>20742</v>
      </c>
      <c r="P3185" t="s">
        <v>20743</v>
      </c>
      <c r="Q3185" s="3" t="n">
        <v>40952.0</v>
      </c>
      <c r="R3185" s="3" t="n">
        <v>41774.0</v>
      </c>
      <c r="S3185" s="3" t="n">
        <v>43266.45736850694</v>
      </c>
      <c r="T3185" s="3" t="n">
        <v>43901.721563645835</v>
      </c>
      <c r="U3185" t="s">
        <v>20744</v>
      </c>
      <c r="V3185" t="s">
        <v>20745</v>
      </c>
    </row>
    <row r="3186">
      <c r="A3186" t="s">
        <v>22</v>
      </c>
      <c r="B3186" t="s">
        <v>20746</v>
      </c>
      <c r="C3186" t="s">
        <v>60</v>
      </c>
      <c r="D3186" t="s">
        <v>61</v>
      </c>
      <c r="E3186" t="s">
        <v>19484</v>
      </c>
      <c r="F3186" s="2" t="n">
        <f>HYPERLINK("https://patents.google.com/patent/US20140128602","Google")</f>
        <v>0.0</v>
      </c>
      <c r="G3186" s="2" t="n">
        <f>HYPERLINK("https://patentcenter.uspto.gov/applications/14154313","Patent Center")</f>
        <v>0.0</v>
      </c>
      <c r="H3186" s="2" t="n">
        <f>HYPERLINK("https://worldwide.espacenet.com/patent/search?q=US20140128602","Espacenet")</f>
        <v>0.0</v>
      </c>
      <c r="I3186" s="2" t="n">
        <f>HYPERLINK("https://ppubs.uspto.gov/pubwebapp/external.html?q=20140128602.pn.","USPTO")</f>
        <v>0.0</v>
      </c>
      <c r="J3186" s="2" t="n">
        <f>HYPERLINK("https://image-ppubs.uspto.gov/dirsearch-public/print/downloadPdf/20140128602","USPTO PDF")</f>
        <v>0.0</v>
      </c>
      <c r="K3186" s="2" t="n">
        <f>HYPERLINK("https://sectors.patentforecast.com/pmd/US20140128602","PMD")</f>
        <v>0.0</v>
      </c>
      <c r="L3186" s="2" t="n">
        <f>HYPERLINK("https://globaldossier.uspto.gov/result/application/US/14154313/1","US20140128602")</f>
        <v>0.0</v>
      </c>
      <c r="M3186" t="s">
        <v>20747</v>
      </c>
      <c r="N3186" t="s">
        <v>664</v>
      </c>
      <c r="O3186" t="s">
        <v>665</v>
      </c>
      <c r="P3186" t="s">
        <v>20103</v>
      </c>
      <c r="Q3186" s="3" t="n">
        <v>41653.0</v>
      </c>
      <c r="R3186" s="3" t="n">
        <v>41767.0</v>
      </c>
      <c r="S3186" s="3" t="n">
        <v>43952.4595775</v>
      </c>
      <c r="T3186" s="3" t="n">
        <v>44638.65579662037</v>
      </c>
      <c r="U3186" t="s">
        <v>20104</v>
      </c>
      <c r="V3186" t="s">
        <v>20748</v>
      </c>
    </row>
    <row r="3187">
      <c r="A3187" t="s">
        <v>22</v>
      </c>
      <c r="B3187" t="s">
        <v>20749</v>
      </c>
      <c r="C3187" t="s">
        <v>60</v>
      </c>
      <c r="D3187" t="s">
        <v>61</v>
      </c>
      <c r="E3187" t="s">
        <v>20326</v>
      </c>
      <c r="F3187" s="2" t="n">
        <f>HYPERLINK("https://patents.google.com/patent/US20140128389","Google")</f>
        <v>0.0</v>
      </c>
      <c r="G3187" s="2" t="n">
        <f>HYPERLINK("https://patentcenter.uspto.gov/applications/14006649","Patent Center")</f>
        <v>0.0</v>
      </c>
      <c r="H3187" s="2" t="n">
        <f>HYPERLINK("https://worldwide.espacenet.com/patent/search?q=US20140128389","Espacenet")</f>
        <v>0.0</v>
      </c>
      <c r="I3187" s="2" t="n">
        <f>HYPERLINK("https://ppubs.uspto.gov/pubwebapp/external.html?q=20140128389.pn.","USPTO")</f>
        <v>0.0</v>
      </c>
      <c r="J3187" s="2" t="n">
        <f>HYPERLINK("https://image-ppubs.uspto.gov/dirsearch-public/print/downloadPdf/20140128389","USPTO PDF")</f>
        <v>0.0</v>
      </c>
      <c r="K3187" s="2" t="n">
        <f>HYPERLINK("https://sectors.patentforecast.com/pmd/US20140128389","PMD")</f>
        <v>0.0</v>
      </c>
      <c r="L3187" s="2" t="n">
        <f>HYPERLINK("https://globaldossier.uspto.gov/result/application/US/14006649/1","US20140128389")</f>
        <v>0.0</v>
      </c>
      <c r="M3187" t="s">
        <v>20750</v>
      </c>
      <c r="N3187" t="s">
        <v>664</v>
      </c>
      <c r="O3187" t="s">
        <v>665</v>
      </c>
      <c r="P3187" t="s">
        <v>20328</v>
      </c>
      <c r="Q3187" s="3" t="n">
        <v>40466.0</v>
      </c>
      <c r="R3187" s="3" t="n">
        <v>41767.0</v>
      </c>
      <c r="S3187" s="3" t="n">
        <v>43952.4595775</v>
      </c>
      <c r="T3187" s="3" t="n">
        <v>44638.65579662037</v>
      </c>
      <c r="U3187" t="s">
        <v>20751</v>
      </c>
      <c r="V3187" t="s">
        <v>20330</v>
      </c>
    </row>
    <row r="3188">
      <c r="A3188" t="s">
        <v>22</v>
      </c>
      <c r="B3188" t="s">
        <v>20752</v>
      </c>
      <c r="C3188" t="s">
        <v>24</v>
      </c>
      <c r="D3188" t="s">
        <v>25</v>
      </c>
      <c r="E3188" t="s">
        <v>20753</v>
      </c>
      <c r="F3188" s="2" t="n">
        <f>HYPERLINK("https://patents.google.com/patent/US20140121558","Google")</f>
        <v>0.0</v>
      </c>
      <c r="G3188" s="2" t="n">
        <f>HYPERLINK("https://patentcenter.uspto.gov/applications/14062413","Patent Center")</f>
        <v>0.0</v>
      </c>
      <c r="H3188" s="2" t="n">
        <f>HYPERLINK("https://worldwide.espacenet.com/patent/search?q=US20140121558","Espacenet")</f>
        <v>0.0</v>
      </c>
      <c r="I3188" s="2" t="n">
        <f>HYPERLINK("https://ppubs.uspto.gov/pubwebapp/external.html?q=20140121558.pn.","USPTO")</f>
        <v>0.0</v>
      </c>
      <c r="J3188" s="2" t="n">
        <f>HYPERLINK("https://image-ppubs.uspto.gov/dirsearch-public/print/downloadPdf/20140121558","USPTO PDF")</f>
        <v>0.0</v>
      </c>
      <c r="K3188" s="2" t="n">
        <f>HYPERLINK("https://sectors.patentforecast.com/pmd/US20140121558","PMD")</f>
        <v>0.0</v>
      </c>
      <c r="L3188" s="2" t="n">
        <f>HYPERLINK("https://globaldossier.uspto.gov/result/application/US/14062413/1","US20140121558")</f>
        <v>0.0</v>
      </c>
      <c r="M3188" t="s">
        <v>20754</v>
      </c>
      <c r="N3188" t="s">
        <v>20755</v>
      </c>
      <c r="O3188" t="s">
        <v>20756</v>
      </c>
      <c r="P3188" t="s">
        <v>20757</v>
      </c>
      <c r="Q3188" s="3" t="n">
        <v>41571.0</v>
      </c>
      <c r="R3188" s="3" t="n">
        <v>41760.0</v>
      </c>
      <c r="S3188" s="3" t="n">
        <v>43900.437389907405</v>
      </c>
      <c r="T3188" s="3" t="n">
        <v>43903.484632280095</v>
      </c>
      <c r="U3188" t="s">
        <v>20758</v>
      </c>
      <c r="V3188" t="s">
        <v>20759</v>
      </c>
    </row>
    <row r="3189">
      <c r="A3189" t="s">
        <v>22</v>
      </c>
      <c r="B3189" t="s">
        <v>20760</v>
      </c>
      <c r="C3189" t="s">
        <v>60</v>
      </c>
      <c r="D3189" t="s">
        <v>61</v>
      </c>
      <c r="E3189" t="s">
        <v>19519</v>
      </c>
      <c r="F3189" s="2" t="n">
        <f>HYPERLINK("https://patents.google.com/patent/US20140121187","Google")</f>
        <v>0.0</v>
      </c>
      <c r="G3189" s="2" t="n">
        <f>HYPERLINK("https://patentcenter.uspto.gov/applications/14126479","Patent Center")</f>
        <v>0.0</v>
      </c>
      <c r="H3189" s="2" t="n">
        <f>HYPERLINK("https://worldwide.espacenet.com/patent/search?q=US20140121187","Espacenet")</f>
        <v>0.0</v>
      </c>
      <c r="I3189" s="2" t="n">
        <f>HYPERLINK("https://ppubs.uspto.gov/pubwebapp/external.html?q=20140121187.pn.","USPTO")</f>
        <v>0.0</v>
      </c>
      <c r="J3189" s="2" t="n">
        <f>HYPERLINK("https://image-ppubs.uspto.gov/dirsearch-public/print/downloadPdf/20140121187","USPTO PDF")</f>
        <v>0.0</v>
      </c>
      <c r="K3189" s="2" t="n">
        <f>HYPERLINK("https://sectors.patentforecast.com/pmd/US20140121187","PMD")</f>
        <v>0.0</v>
      </c>
      <c r="L3189" s="2" t="n">
        <f>HYPERLINK("https://globaldossier.uspto.gov/result/application/US/14126479/1","US20140121187")</f>
        <v>0.0</v>
      </c>
      <c r="M3189" t="s">
        <v>20761</v>
      </c>
      <c r="N3189" t="s">
        <v>7862</v>
      </c>
      <c r="O3189" t="s">
        <v>7863</v>
      </c>
      <c r="P3189" t="s">
        <v>20762</v>
      </c>
      <c r="Q3189" s="3" t="n">
        <v>41078.0</v>
      </c>
      <c r="R3189" s="3" t="n">
        <v>41760.0</v>
      </c>
      <c r="S3189" s="3" t="n">
        <v>43900.437389907405</v>
      </c>
      <c r="T3189" s="3" t="n">
        <v>43903.48463233796</v>
      </c>
      <c r="U3189" t="s">
        <v>20763</v>
      </c>
      <c r="V3189" t="s">
        <v>20764</v>
      </c>
    </row>
    <row r="3190">
      <c r="A3190" t="s">
        <v>22</v>
      </c>
      <c r="B3190" t="s">
        <v>20765</v>
      </c>
      <c r="C3190" t="s">
        <v>132</v>
      </c>
      <c r="D3190" t="s">
        <v>11423</v>
      </c>
      <c r="E3190" t="s">
        <v>16322</v>
      </c>
      <c r="F3190" s="2" t="n">
        <f>HYPERLINK("https://patents.google.com/patent/US20140120131","Google")</f>
        <v>0.0</v>
      </c>
      <c r="G3190" s="2" t="n">
        <f>HYPERLINK("https://patentcenter.uspto.gov/applications/14146365","Patent Center")</f>
        <v>0.0</v>
      </c>
      <c r="H3190" s="2" t="n">
        <f>HYPERLINK("https://worldwide.espacenet.com/patent/search?q=US20140120131","Espacenet")</f>
        <v>0.0</v>
      </c>
      <c r="I3190" s="2" t="n">
        <f>HYPERLINK("https://ppubs.uspto.gov/pubwebapp/external.html?q=20140120131.pn.","USPTO")</f>
        <v>0.0</v>
      </c>
      <c r="J3190" s="2" t="n">
        <f>HYPERLINK("https://image-ppubs.uspto.gov/dirsearch-public/print/downloadPdf/20140120131","USPTO PDF")</f>
        <v>0.0</v>
      </c>
      <c r="K3190" s="2" t="n">
        <f>HYPERLINK("https://sectors.patentforecast.com/pmd/US20140120131","PMD")</f>
        <v>0.0</v>
      </c>
      <c r="L3190" s="2" t="n">
        <f>HYPERLINK("https://globaldossier.uspto.gov/result/application/US/14146365/1","US20140120131")</f>
        <v>0.0</v>
      </c>
      <c r="M3190" t="s">
        <v>20766</v>
      </c>
      <c r="N3190" t="s">
        <v>1275</v>
      </c>
      <c r="O3190" t="s">
        <v>1275</v>
      </c>
      <c r="P3190" t="s">
        <v>20767</v>
      </c>
      <c r="Q3190" s="3" t="n">
        <v>41641.0</v>
      </c>
      <c r="R3190" s="3" t="n">
        <v>41760.0</v>
      </c>
      <c r="S3190" s="3" t="n">
        <v>44019.68541525463</v>
      </c>
      <c r="T3190" s="3" t="n">
        <v>44020.62008091435</v>
      </c>
      <c r="U3190" t="s">
        <v>20768</v>
      </c>
      <c r="V3190" t="s">
        <v>16326</v>
      </c>
    </row>
    <row r="3191">
      <c r="A3191" t="s">
        <v>22</v>
      </c>
      <c r="B3191" t="s">
        <v>20769</v>
      </c>
      <c r="C3191" t="s">
        <v>60</v>
      </c>
      <c r="D3191" t="s">
        <v>61</v>
      </c>
      <c r="E3191" t="s">
        <v>19502</v>
      </c>
      <c r="F3191" s="2" t="n">
        <f>HYPERLINK("https://patents.google.com/patent/US20140114068","Google")</f>
        <v>0.0</v>
      </c>
      <c r="G3191" s="2" t="n">
        <f>HYPERLINK("https://patentcenter.uspto.gov/applications/14126485","Patent Center")</f>
        <v>0.0</v>
      </c>
      <c r="H3191" s="2" t="n">
        <f>HYPERLINK("https://worldwide.espacenet.com/patent/search?q=US20140114068","Espacenet")</f>
        <v>0.0</v>
      </c>
      <c r="I3191" s="2" t="n">
        <f>HYPERLINK("https://ppubs.uspto.gov/pubwebapp/external.html?q=20140114068.pn.","USPTO")</f>
        <v>0.0</v>
      </c>
      <c r="J3191" s="2" t="n">
        <f>HYPERLINK("https://image-ppubs.uspto.gov/dirsearch-public/print/downloadPdf/20140114068","USPTO PDF")</f>
        <v>0.0</v>
      </c>
      <c r="K3191" s="2" t="n">
        <f>HYPERLINK("https://sectors.patentforecast.com/pmd/US20140114068","PMD")</f>
        <v>0.0</v>
      </c>
      <c r="L3191" s="2" t="n">
        <f>HYPERLINK("https://globaldossier.uspto.gov/result/application/US/14126485/1","US20140114068")</f>
        <v>0.0</v>
      </c>
      <c r="M3191" t="s">
        <v>20770</v>
      </c>
      <c r="N3191" t="s">
        <v>19232</v>
      </c>
      <c r="O3191" t="s">
        <v>19233</v>
      </c>
      <c r="P3191" t="s">
        <v>20771</v>
      </c>
      <c r="Q3191" s="3" t="n">
        <v>41078.0</v>
      </c>
      <c r="R3191" s="3" t="n">
        <v>41753.0</v>
      </c>
      <c r="S3191" s="3" t="n">
        <v>43900.437389907405</v>
      </c>
      <c r="T3191" s="3" t="n">
        <v>43903.48463238426</v>
      </c>
      <c r="U3191" t="s">
        <v>20772</v>
      </c>
      <c r="V3191" t="s">
        <v>20773</v>
      </c>
    </row>
    <row r="3192">
      <c r="A3192" t="s">
        <v>22</v>
      </c>
      <c r="B3192" t="s">
        <v>20774</v>
      </c>
      <c r="C3192" t="s">
        <v>60</v>
      </c>
      <c r="D3192" t="s">
        <v>61</v>
      </c>
      <c r="E3192" t="s">
        <v>16903</v>
      </c>
      <c r="F3192" s="2" t="n">
        <f>HYPERLINK("https://patents.google.com/patent/US20140112885","Google")</f>
        <v>0.0</v>
      </c>
      <c r="G3192" s="2" t="n">
        <f>HYPERLINK("https://patentcenter.uspto.gov/applications/14049133","Patent Center")</f>
        <v>0.0</v>
      </c>
      <c r="H3192" s="2" t="n">
        <f>HYPERLINK("https://worldwide.espacenet.com/patent/search?q=US20140112885","Espacenet")</f>
        <v>0.0</v>
      </c>
      <c r="I3192" s="2" t="n">
        <f>HYPERLINK("https://ppubs.uspto.gov/pubwebapp/external.html?q=20140112885.pn.","USPTO")</f>
        <v>0.0</v>
      </c>
      <c r="J3192" s="2" t="n">
        <f>HYPERLINK("https://image-ppubs.uspto.gov/dirsearch-public/print/downloadPdf/20140112885","USPTO PDF")</f>
        <v>0.0</v>
      </c>
      <c r="K3192" s="2" t="n">
        <f>HYPERLINK("https://sectors.patentforecast.com/pmd/US20140112885","PMD")</f>
        <v>0.0</v>
      </c>
      <c r="L3192" s="2" t="n">
        <f>HYPERLINK("https://globaldossier.uspto.gov/result/application/US/14049133/1","US20140112885")</f>
        <v>0.0</v>
      </c>
      <c r="M3192" t="s">
        <v>20775</v>
      </c>
      <c r="N3192" t="s">
        <v>664</v>
      </c>
      <c r="O3192" t="s">
        <v>665</v>
      </c>
      <c r="P3192" t="s">
        <v>19777</v>
      </c>
      <c r="Q3192" s="3" t="n">
        <v>41555.0</v>
      </c>
      <c r="R3192" s="3" t="n">
        <v>41753.0</v>
      </c>
      <c r="S3192" s="3" t="n">
        <v>43952.4595775</v>
      </c>
      <c r="T3192" s="3" t="n">
        <v>44638.65271974537</v>
      </c>
      <c r="U3192" t="s">
        <v>20776</v>
      </c>
      <c r="V3192" t="s">
        <v>17072</v>
      </c>
    </row>
    <row r="3193">
      <c r="A3193" t="s">
        <v>22</v>
      </c>
      <c r="B3193" t="s">
        <v>20777</v>
      </c>
      <c r="C3193" t="s">
        <v>24</v>
      </c>
      <c r="D3193" t="s">
        <v>8459</v>
      </c>
      <c r="E3193" t="s">
        <v>20778</v>
      </c>
      <c r="F3193" s="2" t="n">
        <f>HYPERLINK("https://patents.google.com/patent/US20140095417","Google")</f>
        <v>0.0</v>
      </c>
      <c r="G3193" s="2" t="n">
        <f>HYPERLINK("https://patentcenter.uspto.gov/applications/14043498","Patent Center")</f>
        <v>0.0</v>
      </c>
      <c r="H3193" s="2" t="n">
        <f>HYPERLINK("https://worldwide.espacenet.com/patent/search?q=US20140095417","Espacenet")</f>
        <v>0.0</v>
      </c>
      <c r="I3193" s="2" t="n">
        <f>HYPERLINK("https://ppubs.uspto.gov/pubwebapp/external.html?q=20140095417.pn.","USPTO")</f>
        <v>0.0</v>
      </c>
      <c r="J3193" s="2" t="n">
        <f>HYPERLINK("https://image-ppubs.uspto.gov/dirsearch-public/print/downloadPdf/20140095417","USPTO PDF")</f>
        <v>0.0</v>
      </c>
      <c r="K3193" s="2" t="n">
        <f>HYPERLINK("https://sectors.patentforecast.com/pmd/US20140095417","PMD")</f>
        <v>0.0</v>
      </c>
      <c r="L3193" s="2" t="n">
        <f>HYPERLINK("https://globaldossier.uspto.gov/result/application/US/14043498/1","US20140095417")</f>
        <v>0.0</v>
      </c>
      <c r="M3193" t="s">
        <v>20779</v>
      </c>
      <c r="N3193" t="s">
        <v>20780</v>
      </c>
      <c r="O3193" t="s">
        <v>20781</v>
      </c>
      <c r="P3193" t="s">
        <v>20782</v>
      </c>
      <c r="Q3193" s="3" t="n">
        <v>41548.0</v>
      </c>
      <c r="R3193" s="3" t="n">
        <v>41732.0</v>
      </c>
      <c r="S3193" s="3" t="n">
        <v>43266.45736850694</v>
      </c>
      <c r="T3193" s="3" t="n">
        <v>43901.721564074076</v>
      </c>
      <c r="U3193" t="s">
        <v>20783</v>
      </c>
      <c r="V3193" t="s">
        <v>20784</v>
      </c>
    </row>
    <row r="3194">
      <c r="A3194" t="s">
        <v>22</v>
      </c>
      <c r="B3194" t="s">
        <v>20785</v>
      </c>
      <c r="C3194" t="s">
        <v>60</v>
      </c>
      <c r="D3194" t="s">
        <v>61</v>
      </c>
      <c r="E3194" t="s">
        <v>20786</v>
      </c>
      <c r="F3194" s="2" t="n">
        <f>HYPERLINK("https://patents.google.com/patent/US20140094610","Google")</f>
        <v>0.0</v>
      </c>
      <c r="G3194" s="2" t="n">
        <f>HYPERLINK("https://patentcenter.uspto.gov/applications/14045033","Patent Center")</f>
        <v>0.0</v>
      </c>
      <c r="H3194" s="2" t="n">
        <f>HYPERLINK("https://worldwide.espacenet.com/patent/search?q=US20140094610","Espacenet")</f>
        <v>0.0</v>
      </c>
      <c r="I3194" s="2" t="n">
        <f>HYPERLINK("https://ppubs.uspto.gov/pubwebapp/external.html?q=20140094610.pn.","USPTO")</f>
        <v>0.0</v>
      </c>
      <c r="J3194" s="2" t="n">
        <f>HYPERLINK("https://image-ppubs.uspto.gov/dirsearch-public/print/downloadPdf/20140094610","USPTO PDF")</f>
        <v>0.0</v>
      </c>
      <c r="K3194" s="2" t="n">
        <f>HYPERLINK("https://sectors.patentforecast.com/pmd/US20140094610","PMD")</f>
        <v>0.0</v>
      </c>
      <c r="L3194" s="2" t="n">
        <f>HYPERLINK("https://globaldossier.uspto.gov/result/application/US/14045033/1","US20140094610")</f>
        <v>0.0</v>
      </c>
      <c r="M3194" t="s">
        <v>20787</v>
      </c>
      <c r="N3194" t="s">
        <v>664</v>
      </c>
      <c r="O3194" t="s">
        <v>665</v>
      </c>
      <c r="P3194" t="s">
        <v>20788</v>
      </c>
      <c r="Q3194" s="3" t="n">
        <v>41550.0</v>
      </c>
      <c r="R3194" s="3" t="n">
        <v>41732.0</v>
      </c>
      <c r="S3194" s="3" t="n">
        <v>43952.4595775</v>
      </c>
      <c r="T3194" s="3" t="n">
        <v>44638.662781747684</v>
      </c>
      <c r="U3194" t="s">
        <v>20789</v>
      </c>
      <c r="V3194" t="s">
        <v>20790</v>
      </c>
    </row>
    <row r="3195">
      <c r="A3195" t="s">
        <v>22</v>
      </c>
      <c r="B3195" t="s">
        <v>20791</v>
      </c>
      <c r="C3195" t="s">
        <v>60</v>
      </c>
      <c r="D3195" t="s">
        <v>61</v>
      </c>
      <c r="E3195" t="s">
        <v>20786</v>
      </c>
      <c r="F3195" s="2" t="n">
        <f>HYPERLINK("https://patents.google.com/patent/US20140094609","Google")</f>
        <v>0.0</v>
      </c>
      <c r="G3195" s="2" t="n">
        <f>HYPERLINK("https://patentcenter.uspto.gov/applications/14044189","Patent Center")</f>
        <v>0.0</v>
      </c>
      <c r="H3195" s="2" t="n">
        <f>HYPERLINK("https://worldwide.espacenet.com/patent/search?q=US20140094609","Espacenet")</f>
        <v>0.0</v>
      </c>
      <c r="I3195" s="2" t="n">
        <f>HYPERLINK("https://ppubs.uspto.gov/pubwebapp/external.html?q=20140094609.pn.","USPTO")</f>
        <v>0.0</v>
      </c>
      <c r="J3195" s="2" t="n">
        <f>HYPERLINK("https://image-ppubs.uspto.gov/dirsearch-public/print/downloadPdf/20140094609","USPTO PDF")</f>
        <v>0.0</v>
      </c>
      <c r="K3195" s="2" t="n">
        <f>HYPERLINK("https://sectors.patentforecast.com/pmd/US20140094609","PMD")</f>
        <v>0.0</v>
      </c>
      <c r="L3195" s="2" t="n">
        <f>HYPERLINK("https://globaldossier.uspto.gov/result/application/US/14044189/1","US20140094609")</f>
        <v>0.0</v>
      </c>
      <c r="M3195" t="s">
        <v>20792</v>
      </c>
      <c r="N3195" t="s">
        <v>664</v>
      </c>
      <c r="O3195" t="s">
        <v>665</v>
      </c>
      <c r="P3195" t="s">
        <v>20793</v>
      </c>
      <c r="Q3195" s="3" t="n">
        <v>41549.0</v>
      </c>
      <c r="R3195" s="3" t="n">
        <v>41732.0</v>
      </c>
      <c r="S3195" s="3" t="n">
        <v>43952.4595775</v>
      </c>
      <c r="T3195" s="3" t="n">
        <v>44638.662781747684</v>
      </c>
      <c r="U3195" t="s">
        <v>20794</v>
      </c>
      <c r="V3195" t="s">
        <v>20795</v>
      </c>
    </row>
    <row r="3196">
      <c r="A3196" t="s">
        <v>22</v>
      </c>
      <c r="B3196" t="s">
        <v>20796</v>
      </c>
      <c r="C3196" t="s">
        <v>60</v>
      </c>
      <c r="D3196" t="s">
        <v>61</v>
      </c>
      <c r="E3196" t="s">
        <v>20797</v>
      </c>
      <c r="F3196" s="2" t="n">
        <f>HYPERLINK("https://patents.google.com/patent/US20140094486","Google")</f>
        <v>0.0</v>
      </c>
      <c r="G3196" s="2" t="n">
        <f>HYPERLINK("https://patentcenter.uspto.gov/applications/14045037","Patent Center")</f>
        <v>0.0</v>
      </c>
      <c r="H3196" s="2" t="n">
        <f>HYPERLINK("https://worldwide.espacenet.com/patent/search?q=US20140094486","Espacenet")</f>
        <v>0.0</v>
      </c>
      <c r="I3196" s="2" t="n">
        <f>HYPERLINK("https://ppubs.uspto.gov/pubwebapp/external.html?q=20140094486.pn.","USPTO")</f>
        <v>0.0</v>
      </c>
      <c r="J3196" s="2" t="n">
        <f>HYPERLINK("https://image-ppubs.uspto.gov/dirsearch-public/print/downloadPdf/20140094486","USPTO PDF")</f>
        <v>0.0</v>
      </c>
      <c r="K3196" s="2" t="n">
        <f>HYPERLINK("https://sectors.patentforecast.com/pmd/US20140094486","PMD")</f>
        <v>0.0</v>
      </c>
      <c r="L3196" s="2" t="n">
        <f>HYPERLINK("https://globaldossier.uspto.gov/result/application/US/14045037/1","US20140094486")</f>
        <v>0.0</v>
      </c>
      <c r="M3196" t="s">
        <v>20798</v>
      </c>
      <c r="N3196" t="s">
        <v>664</v>
      </c>
      <c r="O3196" t="s">
        <v>665</v>
      </c>
      <c r="P3196" t="s">
        <v>20799</v>
      </c>
      <c r="Q3196" s="3" t="n">
        <v>41550.0</v>
      </c>
      <c r="R3196" s="3" t="n">
        <v>41732.0</v>
      </c>
      <c r="S3196" s="3" t="n">
        <v>43952.4595775</v>
      </c>
      <c r="T3196" s="3" t="n">
        <v>44638.662781747684</v>
      </c>
      <c r="U3196" t="s">
        <v>20800</v>
      </c>
      <c r="V3196" t="s">
        <v>20801</v>
      </c>
    </row>
    <row r="3197">
      <c r="A3197" t="s">
        <v>22</v>
      </c>
      <c r="B3197" t="s">
        <v>20802</v>
      </c>
      <c r="C3197" t="s">
        <v>60</v>
      </c>
      <c r="D3197" t="s">
        <v>61</v>
      </c>
      <c r="E3197" t="s">
        <v>20797</v>
      </c>
      <c r="F3197" s="2" t="n">
        <f>HYPERLINK("https://patents.google.com/patent/US20140094485","Google")</f>
        <v>0.0</v>
      </c>
      <c r="G3197" s="2" t="n">
        <f>HYPERLINK("https://patentcenter.uspto.gov/applications/14044193","Patent Center")</f>
        <v>0.0</v>
      </c>
      <c r="H3197" s="2" t="n">
        <f>HYPERLINK("https://worldwide.espacenet.com/patent/search?q=US20140094485","Espacenet")</f>
        <v>0.0</v>
      </c>
      <c r="I3197" s="2" t="n">
        <f>HYPERLINK("https://ppubs.uspto.gov/pubwebapp/external.html?q=20140094485.pn.","USPTO")</f>
        <v>0.0</v>
      </c>
      <c r="J3197" s="2" t="n">
        <f>HYPERLINK("https://image-ppubs.uspto.gov/dirsearch-public/print/downloadPdf/20140094485","USPTO PDF")</f>
        <v>0.0</v>
      </c>
      <c r="K3197" s="2" t="n">
        <f>HYPERLINK("https://sectors.patentforecast.com/pmd/US20140094485","PMD")</f>
        <v>0.0</v>
      </c>
      <c r="L3197" s="2" t="n">
        <f>HYPERLINK("https://globaldossier.uspto.gov/result/application/US/14044193/1","US20140094485")</f>
        <v>0.0</v>
      </c>
      <c r="M3197" t="s">
        <v>20803</v>
      </c>
      <c r="N3197" t="s">
        <v>664</v>
      </c>
      <c r="O3197" t="s">
        <v>665</v>
      </c>
      <c r="P3197" t="s">
        <v>20804</v>
      </c>
      <c r="Q3197" s="3" t="n">
        <v>41549.0</v>
      </c>
      <c r="R3197" s="3" t="n">
        <v>41732.0</v>
      </c>
      <c r="S3197" s="3" t="n">
        <v>43952.4595775</v>
      </c>
      <c r="T3197" s="3" t="n">
        <v>44638.662781747684</v>
      </c>
      <c r="U3197" t="s">
        <v>20805</v>
      </c>
      <c r="V3197" t="s">
        <v>20806</v>
      </c>
    </row>
    <row r="3198">
      <c r="A3198" t="s">
        <v>22</v>
      </c>
      <c r="B3198" t="s">
        <v>20807</v>
      </c>
      <c r="C3198" t="s">
        <v>24</v>
      </c>
      <c r="D3198" t="s">
        <v>34</v>
      </c>
      <c r="E3198" t="s">
        <v>20808</v>
      </c>
      <c r="F3198" s="2" t="n">
        <f>HYPERLINK("https://patents.google.com/patent/US20140087369","Google")</f>
        <v>0.0</v>
      </c>
      <c r="G3198" s="2" t="n">
        <f>HYPERLINK("https://patentcenter.uspto.gov/applications/14092609","Patent Center")</f>
        <v>0.0</v>
      </c>
      <c r="H3198" s="2" t="n">
        <f>HYPERLINK("https://worldwide.espacenet.com/patent/search?q=US20140087369","Espacenet")</f>
        <v>0.0</v>
      </c>
      <c r="I3198" s="2" t="n">
        <f>HYPERLINK("https://ppubs.uspto.gov/pubwebapp/external.html?q=20140087369.pn.","USPTO")</f>
        <v>0.0</v>
      </c>
      <c r="J3198" s="2" t="n">
        <f>HYPERLINK("https://image-ppubs.uspto.gov/dirsearch-public/print/downloadPdf/20140087369","USPTO PDF")</f>
        <v>0.0</v>
      </c>
      <c r="K3198" s="2" t="n">
        <f>HYPERLINK("https://sectors.patentforecast.com/pmd/US20140087369","PMD")</f>
        <v>0.0</v>
      </c>
      <c r="L3198" s="2" t="n">
        <f>HYPERLINK("https://globaldossier.uspto.gov/result/application/US/14092609/1","US20140087369")</f>
        <v>0.0</v>
      </c>
      <c r="M3198" t="s">
        <v>20809</v>
      </c>
      <c r="N3198" t="s">
        <v>20810</v>
      </c>
      <c r="O3198" t="s">
        <v>20811</v>
      </c>
      <c r="P3198" t="s">
        <v>20812</v>
      </c>
      <c r="Q3198" s="3" t="n">
        <v>41605.0</v>
      </c>
      <c r="R3198" s="3" t="n">
        <v>41725.0</v>
      </c>
      <c r="S3198" s="3" t="n">
        <v>43966.48365253472</v>
      </c>
      <c r="T3198" s="3" t="n">
        <v>44678.56015370371</v>
      </c>
      <c r="U3198" t="s">
        <v>20813</v>
      </c>
      <c r="V3198" t="s">
        <v>20814</v>
      </c>
    </row>
    <row r="3199">
      <c r="A3199" t="s">
        <v>22</v>
      </c>
      <c r="B3199" t="s">
        <v>20815</v>
      </c>
      <c r="C3199" t="s">
        <v>24</v>
      </c>
      <c r="D3199" t="s">
        <v>100</v>
      </c>
      <c r="E3199" t="s">
        <v>20816</v>
      </c>
      <c r="F3199" s="2" t="n">
        <f>HYPERLINK("https://patents.google.com/patent/US20140086794","Google")</f>
        <v>0.0</v>
      </c>
      <c r="G3199" s="2" t="n">
        <f>HYPERLINK("https://patentcenter.uspto.gov/applications/14002848","Patent Center")</f>
        <v>0.0</v>
      </c>
      <c r="H3199" s="2" t="n">
        <f>HYPERLINK("https://worldwide.espacenet.com/patent/search?q=US20140086794","Espacenet")</f>
        <v>0.0</v>
      </c>
      <c r="I3199" s="2" t="n">
        <f>HYPERLINK("https://ppubs.uspto.gov/pubwebapp/external.html?q=20140086794.pn.","USPTO")</f>
        <v>0.0</v>
      </c>
      <c r="J3199" s="2" t="n">
        <f>HYPERLINK("https://image-ppubs.uspto.gov/dirsearch-public/print/downloadPdf/20140086794","USPTO PDF")</f>
        <v>0.0</v>
      </c>
      <c r="K3199" s="2" t="n">
        <f>HYPERLINK("https://sectors.patentforecast.com/pmd/US20140086794","PMD")</f>
        <v>0.0</v>
      </c>
      <c r="L3199" s="2" t="n">
        <f>HYPERLINK("https://globaldossier.uspto.gov/result/application/US/14002848/1","US20140086794")</f>
        <v>0.0</v>
      </c>
      <c r="M3199" t="s">
        <v>20817</v>
      </c>
      <c r="N3199" t="s">
        <v>20818</v>
      </c>
      <c r="O3199" t="s">
        <v>20819</v>
      </c>
      <c r="P3199" t="s">
        <v>20820</v>
      </c>
      <c r="Q3199" s="3" t="n">
        <v>40968.0</v>
      </c>
      <c r="R3199" s="3" t="n">
        <v>41725.0</v>
      </c>
      <c r="S3199" s="3" t="n">
        <v>43900.437389907405</v>
      </c>
      <c r="T3199" s="3" t="n">
        <v>43901.72156513889</v>
      </c>
      <c r="U3199" t="s">
        <v>20821</v>
      </c>
      <c r="V3199" t="s">
        <v>20822</v>
      </c>
    </row>
    <row r="3200">
      <c r="A3200" t="s">
        <v>22</v>
      </c>
      <c r="B3200" t="s">
        <v>20823</v>
      </c>
      <c r="C3200" t="s">
        <v>60</v>
      </c>
      <c r="D3200" t="s">
        <v>696</v>
      </c>
      <c r="E3200" t="s">
        <v>16957</v>
      </c>
      <c r="F3200" s="2" t="n">
        <f>HYPERLINK("https://patents.google.com/patent/US20140079702","Google")</f>
        <v>0.0</v>
      </c>
      <c r="G3200" s="2" t="n">
        <f>HYPERLINK("https://patentcenter.uspto.gov/applications/14026467","Patent Center")</f>
        <v>0.0</v>
      </c>
      <c r="H3200" s="2" t="n">
        <f>HYPERLINK("https://worldwide.espacenet.com/patent/search?q=US20140079702","Espacenet")</f>
        <v>0.0</v>
      </c>
      <c r="I3200" s="2" t="n">
        <f>HYPERLINK("https://ppubs.uspto.gov/pubwebapp/external.html?q=20140079702.pn.","USPTO")</f>
        <v>0.0</v>
      </c>
      <c r="J3200" s="2" t="n">
        <f>HYPERLINK("https://image-ppubs.uspto.gov/dirsearch-public/print/downloadPdf/20140079702","USPTO PDF")</f>
        <v>0.0</v>
      </c>
      <c r="K3200" s="2" t="n">
        <f>HYPERLINK("https://sectors.patentforecast.com/pmd/US20140079702","PMD")</f>
        <v>0.0</v>
      </c>
      <c r="L3200" s="2" t="n">
        <f>HYPERLINK("https://globaldossier.uspto.gov/result/application/US/14026467/1","US20140079702")</f>
        <v>0.0</v>
      </c>
      <c r="M3200" t="s">
        <v>20824</v>
      </c>
      <c r="N3200" t="s">
        <v>16927</v>
      </c>
      <c r="O3200" t="s">
        <v>16928</v>
      </c>
      <c r="P3200" t="s">
        <v>20825</v>
      </c>
      <c r="Q3200" s="3" t="n">
        <v>41530.0</v>
      </c>
      <c r="R3200" s="3" t="n">
        <v>41718.0</v>
      </c>
      <c r="S3200" s="3" t="n">
        <v>43966.490136342596</v>
      </c>
      <c r="T3200" s="3" t="n">
        <v>44643.44490069444</v>
      </c>
      <c r="U3200" t="s">
        <v>20826</v>
      </c>
      <c r="V3200" t="s">
        <v>17130</v>
      </c>
    </row>
    <row r="3201">
      <c r="A3201" t="s">
        <v>22</v>
      </c>
      <c r="B3201" t="s">
        <v>20827</v>
      </c>
      <c r="C3201" t="s">
        <v>60</v>
      </c>
      <c r="D3201" t="s">
        <v>61</v>
      </c>
      <c r="E3201" t="s">
        <v>18186</v>
      </c>
      <c r="F3201" s="2" t="n">
        <f>HYPERLINK("https://patents.google.com/patent/US20140072554","Google")</f>
        <v>0.0</v>
      </c>
      <c r="G3201" s="2" t="n">
        <f>HYPERLINK("https://patentcenter.uspto.gov/applications/14069685","Patent Center")</f>
        <v>0.0</v>
      </c>
      <c r="H3201" s="2" t="n">
        <f>HYPERLINK("https://worldwide.espacenet.com/patent/search?q=US20140072554","Espacenet")</f>
        <v>0.0</v>
      </c>
      <c r="I3201" s="2" t="n">
        <f>HYPERLINK("https://ppubs.uspto.gov/pubwebapp/external.html?q=20140072554.pn.","USPTO")</f>
        <v>0.0</v>
      </c>
      <c r="J3201" s="2" t="n">
        <f>HYPERLINK("https://image-ppubs.uspto.gov/dirsearch-public/print/downloadPdf/20140072554","USPTO PDF")</f>
        <v>0.0</v>
      </c>
      <c r="K3201" s="2" t="n">
        <f>HYPERLINK("https://sectors.patentforecast.com/pmd/US20140072554","PMD")</f>
        <v>0.0</v>
      </c>
      <c r="L3201" s="2" t="n">
        <f>HYPERLINK("https://globaldossier.uspto.gov/result/application/US/14069685/1","US20140072554")</f>
        <v>0.0</v>
      </c>
      <c r="M3201" t="s">
        <v>20828</v>
      </c>
      <c r="N3201" t="s">
        <v>664</v>
      </c>
      <c r="O3201" t="s">
        <v>665</v>
      </c>
      <c r="P3201" t="s">
        <v>20732</v>
      </c>
      <c r="Q3201" s="3" t="n">
        <v>41579.0</v>
      </c>
      <c r="R3201" s="3" t="n">
        <v>41711.0</v>
      </c>
      <c r="S3201" s="3" t="n">
        <v>43952.4595775</v>
      </c>
      <c r="T3201" s="3" t="n">
        <v>44638.65271974537</v>
      </c>
      <c r="U3201" t="s">
        <v>20829</v>
      </c>
      <c r="V3201" t="s">
        <v>18190</v>
      </c>
    </row>
    <row r="3202">
      <c r="A3202" t="s">
        <v>22</v>
      </c>
      <c r="B3202" t="s">
        <v>20830</v>
      </c>
      <c r="C3202" t="s">
        <v>24</v>
      </c>
      <c r="D3202" t="s">
        <v>25</v>
      </c>
      <c r="E3202" t="s">
        <v>20831</v>
      </c>
      <c r="F3202" s="2" t="n">
        <f>HYPERLINK("https://patents.google.com/patent/US20140064462","Google")</f>
        <v>0.0</v>
      </c>
      <c r="G3202" s="2" t="n">
        <f>HYPERLINK("https://patentcenter.uspto.gov/applications/13605501","Patent Center")</f>
        <v>0.0</v>
      </c>
      <c r="H3202" s="2" t="n">
        <f>HYPERLINK("https://worldwide.espacenet.com/patent/search?q=US20140064462","Espacenet")</f>
        <v>0.0</v>
      </c>
      <c r="I3202" s="2" t="n">
        <f>HYPERLINK("https://ppubs.uspto.gov/pubwebapp/external.html?q=20140064462.pn.","USPTO")</f>
        <v>0.0</v>
      </c>
      <c r="J3202" s="2" t="n">
        <f>HYPERLINK("https://image-ppubs.uspto.gov/dirsearch-public/print/downloadPdf/20140064462","USPTO PDF")</f>
        <v>0.0</v>
      </c>
      <c r="K3202" s="2" t="n">
        <f>HYPERLINK("https://sectors.patentforecast.com/pmd/US20140064462","PMD")</f>
        <v>0.0</v>
      </c>
      <c r="L3202" s="2" t="n">
        <f>HYPERLINK("https://globaldossier.uspto.gov/result/application/US/13605501/1","US20140064462")</f>
        <v>0.0</v>
      </c>
      <c r="M3202" t="s">
        <v>20832</v>
      </c>
      <c r="N3202" t="s">
        <v>20833</v>
      </c>
      <c r="O3202" t="s">
        <v>20834</v>
      </c>
      <c r="P3202" t="s">
        <v>20835</v>
      </c>
      <c r="Q3202" s="3" t="n">
        <v>41158.0</v>
      </c>
      <c r="R3202" s="3" t="n">
        <v>41704.0</v>
      </c>
      <c r="S3202" s="3" t="n">
        <v>43266.45736850694</v>
      </c>
      <c r="T3202" s="3" t="n">
        <v>44643.6544965625</v>
      </c>
      <c r="U3202" t="s">
        <v>20836</v>
      </c>
      <c r="V3202" t="s">
        <v>20837</v>
      </c>
    </row>
    <row r="3203">
      <c r="A3203" t="s">
        <v>22</v>
      </c>
      <c r="B3203" t="s">
        <v>20838</v>
      </c>
      <c r="C3203" t="s">
        <v>60</v>
      </c>
      <c r="D3203" t="s">
        <v>61</v>
      </c>
      <c r="E3203" t="s">
        <v>20839</v>
      </c>
      <c r="F3203" s="2" t="n">
        <f>HYPERLINK("https://patents.google.com/patent/US20140057863","Google")</f>
        <v>0.0</v>
      </c>
      <c r="G3203" s="2" t="n">
        <f>HYPERLINK("https://patentcenter.uspto.gov/applications/13908098","Patent Center")</f>
        <v>0.0</v>
      </c>
      <c r="H3203" s="2" t="n">
        <f>HYPERLINK("https://worldwide.espacenet.com/patent/search?q=US20140057863","Espacenet")</f>
        <v>0.0</v>
      </c>
      <c r="I3203" s="2" t="n">
        <f>HYPERLINK("https://ppubs.uspto.gov/pubwebapp/external.html?q=20140057863.pn.","USPTO")</f>
        <v>0.0</v>
      </c>
      <c r="J3203" s="2" t="n">
        <f>HYPERLINK("https://image-ppubs.uspto.gov/dirsearch-public/print/downloadPdf/20140057863","USPTO PDF")</f>
        <v>0.0</v>
      </c>
      <c r="K3203" s="2" t="n">
        <f>HYPERLINK("https://sectors.patentforecast.com/pmd/US20140057863","PMD")</f>
        <v>0.0</v>
      </c>
      <c r="L3203" s="2" t="n">
        <f>HYPERLINK("https://globaldossier.uspto.gov/result/application/US/13908098/1","US20140057863")</f>
        <v>0.0</v>
      </c>
      <c r="M3203" t="s">
        <v>20840</v>
      </c>
      <c r="N3203" t="s">
        <v>664</v>
      </c>
      <c r="O3203" t="s">
        <v>665</v>
      </c>
      <c r="P3203" t="s">
        <v>20841</v>
      </c>
      <c r="Q3203" s="3" t="n">
        <v>41428.0</v>
      </c>
      <c r="R3203" s="3" t="n">
        <v>41697.0</v>
      </c>
      <c r="S3203" s="3" t="n">
        <v>43952.4595775</v>
      </c>
      <c r="T3203" s="3" t="n">
        <v>44638.65579662037</v>
      </c>
      <c r="U3203" t="s">
        <v>20842</v>
      </c>
      <c r="V3203" t="s">
        <v>20843</v>
      </c>
    </row>
    <row r="3204">
      <c r="A3204" t="s">
        <v>22</v>
      </c>
      <c r="B3204" t="s">
        <v>20844</v>
      </c>
      <c r="C3204" t="s">
        <v>24</v>
      </c>
      <c r="D3204" t="s">
        <v>25</v>
      </c>
      <c r="E3204" t="s">
        <v>20845</v>
      </c>
      <c r="F3204" s="2" t="n">
        <f>HYPERLINK("https://patents.google.com/patent/US20140052779","Google")</f>
        <v>0.0</v>
      </c>
      <c r="G3204" s="2" t="n">
        <f>HYPERLINK("https://patentcenter.uspto.gov/applications/14065316","Patent Center")</f>
        <v>0.0</v>
      </c>
      <c r="H3204" s="2" t="n">
        <f>HYPERLINK("https://worldwide.espacenet.com/patent/search?q=US20140052779","Espacenet")</f>
        <v>0.0</v>
      </c>
      <c r="I3204" s="2" t="n">
        <f>HYPERLINK("https://ppubs.uspto.gov/pubwebapp/external.html?q=20140052779.pn.","USPTO")</f>
        <v>0.0</v>
      </c>
      <c r="J3204" s="2" t="n">
        <f>HYPERLINK("https://image-ppubs.uspto.gov/dirsearch-public/print/downloadPdf/20140052779","USPTO PDF")</f>
        <v>0.0</v>
      </c>
      <c r="K3204" s="2" t="n">
        <f>HYPERLINK("https://sectors.patentforecast.com/pmd/US20140052779","PMD")</f>
        <v>0.0</v>
      </c>
      <c r="L3204" s="2" t="n">
        <f>HYPERLINK("https://globaldossier.uspto.gov/result/application/US/14065316/1","US20140052779")</f>
        <v>0.0</v>
      </c>
      <c r="M3204" t="s">
        <v>20846</v>
      </c>
      <c r="N3204" t="s">
        <v>20847</v>
      </c>
      <c r="O3204" t="s">
        <v>20848</v>
      </c>
      <c r="P3204" t="s">
        <v>20849</v>
      </c>
      <c r="Q3204" s="3" t="n">
        <v>41575.0</v>
      </c>
      <c r="R3204" s="3" t="n">
        <v>41690.0</v>
      </c>
      <c r="S3204" s="3" t="n">
        <v>43266.45736850694</v>
      </c>
      <c r="T3204" s="3" t="n">
        <v>43901.72156517361</v>
      </c>
      <c r="U3204" t="s">
        <v>20850</v>
      </c>
      <c r="V3204" t="s">
        <v>20851</v>
      </c>
    </row>
    <row r="3205">
      <c r="A3205" t="s">
        <v>22</v>
      </c>
      <c r="B3205" t="s">
        <v>20852</v>
      </c>
      <c r="C3205" t="s">
        <v>60</v>
      </c>
      <c r="D3205" t="s">
        <v>61</v>
      </c>
      <c r="E3205" t="s">
        <v>19125</v>
      </c>
      <c r="F3205" s="2" t="n">
        <f>HYPERLINK("https://patents.google.com/patent/US20140051867","Google")</f>
        <v>0.0</v>
      </c>
      <c r="G3205" s="2" t="n">
        <f>HYPERLINK("https://patentcenter.uspto.gov/applications/13801039","Patent Center")</f>
        <v>0.0</v>
      </c>
      <c r="H3205" s="2" t="n">
        <f>HYPERLINK("https://worldwide.espacenet.com/patent/search?q=US20140051867","Espacenet")</f>
        <v>0.0</v>
      </c>
      <c r="I3205" s="2" t="n">
        <f>HYPERLINK("https://ppubs.uspto.gov/pubwebapp/external.html?q=20140051867.pn.","USPTO")</f>
        <v>0.0</v>
      </c>
      <c r="J3205" s="2" t="n">
        <f>HYPERLINK("https://image-ppubs.uspto.gov/dirsearch-public/print/downloadPdf/20140051867","USPTO PDF")</f>
        <v>0.0</v>
      </c>
      <c r="K3205" s="2" t="n">
        <f>HYPERLINK("https://sectors.patentforecast.com/pmd/US20140051867","PMD")</f>
        <v>0.0</v>
      </c>
      <c r="L3205" s="2" t="n">
        <f>HYPERLINK("https://globaldossier.uspto.gov/result/application/US/13801039/1","US20140051867")</f>
        <v>0.0</v>
      </c>
      <c r="M3205" t="s">
        <v>20853</v>
      </c>
      <c r="N3205" t="s">
        <v>664</v>
      </c>
      <c r="O3205" t="s">
        <v>665</v>
      </c>
      <c r="P3205" t="s">
        <v>20854</v>
      </c>
      <c r="Q3205" s="3" t="n">
        <v>41346.0</v>
      </c>
      <c r="R3205" s="3" t="n">
        <v>41690.0</v>
      </c>
      <c r="S3205" s="3" t="n">
        <v>43950.647371782405</v>
      </c>
      <c r="T3205" s="3" t="n">
        <v>44638.65271974537</v>
      </c>
      <c r="U3205" t="s">
        <v>20580</v>
      </c>
      <c r="V3205" t="s">
        <v>20581</v>
      </c>
    </row>
    <row r="3206">
      <c r="A3206" t="s">
        <v>22</v>
      </c>
      <c r="B3206" t="s">
        <v>20855</v>
      </c>
      <c r="C3206" t="s">
        <v>60</v>
      </c>
      <c r="D3206" t="s">
        <v>61</v>
      </c>
      <c r="E3206" t="s">
        <v>19125</v>
      </c>
      <c r="F3206" s="2" t="n">
        <f>HYPERLINK("https://patents.google.com/patent/US20140051866","Google")</f>
        <v>0.0</v>
      </c>
      <c r="G3206" s="2" t="n">
        <f>HYPERLINK("https://patentcenter.uspto.gov/applications/13801011","Patent Center")</f>
        <v>0.0</v>
      </c>
      <c r="H3206" s="2" t="n">
        <f>HYPERLINK("https://worldwide.espacenet.com/patent/search?q=US20140051866","Espacenet")</f>
        <v>0.0</v>
      </c>
      <c r="I3206" s="2" t="n">
        <f>HYPERLINK("https://ppubs.uspto.gov/pubwebapp/external.html?q=20140051866.pn.","USPTO")</f>
        <v>0.0</v>
      </c>
      <c r="J3206" s="2" t="n">
        <f>HYPERLINK("https://image-ppubs.uspto.gov/dirsearch-public/print/downloadPdf/20140051866","USPTO PDF")</f>
        <v>0.0</v>
      </c>
      <c r="K3206" s="2" t="n">
        <f>HYPERLINK("https://sectors.patentforecast.com/pmd/US20140051866","PMD")</f>
        <v>0.0</v>
      </c>
      <c r="L3206" s="2" t="n">
        <f>HYPERLINK("https://globaldossier.uspto.gov/result/application/US/13801011/1","US20140051866")</f>
        <v>0.0</v>
      </c>
      <c r="M3206" t="s">
        <v>20856</v>
      </c>
      <c r="N3206" t="s">
        <v>664</v>
      </c>
      <c r="O3206" t="s">
        <v>665</v>
      </c>
      <c r="P3206" t="s">
        <v>20857</v>
      </c>
      <c r="Q3206" s="3" t="n">
        <v>41346.0</v>
      </c>
      <c r="R3206" s="3" t="n">
        <v>41690.0</v>
      </c>
      <c r="S3206" s="3" t="n">
        <v>43950.647371782405</v>
      </c>
      <c r="T3206" s="3" t="n">
        <v>44638.65271974537</v>
      </c>
      <c r="U3206" t="s">
        <v>20858</v>
      </c>
      <c r="V3206" t="s">
        <v>20859</v>
      </c>
    </row>
    <row r="3207">
      <c r="A3207" t="s">
        <v>22</v>
      </c>
      <c r="B3207" t="s">
        <v>20860</v>
      </c>
      <c r="C3207" t="s">
        <v>60</v>
      </c>
      <c r="D3207" t="s">
        <v>61</v>
      </c>
      <c r="E3207" t="s">
        <v>17494</v>
      </c>
      <c r="F3207" s="2" t="n">
        <f>HYPERLINK("https://patents.google.com/patent/US20140051749","Google")</f>
        <v>0.0</v>
      </c>
      <c r="G3207" s="2" t="n">
        <f>HYPERLINK("https://patentcenter.uspto.gov/applications/13800991","Patent Center")</f>
        <v>0.0</v>
      </c>
      <c r="H3207" s="2" t="n">
        <f>HYPERLINK("https://worldwide.espacenet.com/patent/search?q=US20140051749","Espacenet")</f>
        <v>0.0</v>
      </c>
      <c r="I3207" s="2" t="n">
        <f>HYPERLINK("https://ppubs.uspto.gov/pubwebapp/external.html?q=20140051749.pn.","USPTO")</f>
        <v>0.0</v>
      </c>
      <c r="J3207" s="2" t="n">
        <f>HYPERLINK("https://image-ppubs.uspto.gov/dirsearch-public/print/downloadPdf/20140051749","USPTO PDF")</f>
        <v>0.0</v>
      </c>
      <c r="K3207" s="2" t="n">
        <f>HYPERLINK("https://sectors.patentforecast.com/pmd/US20140051749","PMD")</f>
        <v>0.0</v>
      </c>
      <c r="L3207" s="2" t="n">
        <f>HYPERLINK("https://globaldossier.uspto.gov/result/application/US/13800991/1","US20140051749")</f>
        <v>0.0</v>
      </c>
      <c r="M3207" t="s">
        <v>20861</v>
      </c>
      <c r="N3207" t="s">
        <v>664</v>
      </c>
      <c r="O3207" t="s">
        <v>665</v>
      </c>
      <c r="P3207" t="s">
        <v>20542</v>
      </c>
      <c r="Q3207" s="3" t="n">
        <v>41346.0</v>
      </c>
      <c r="R3207" s="3" t="n">
        <v>41690.0</v>
      </c>
      <c r="S3207" s="3" t="n">
        <v>43952.4595775</v>
      </c>
      <c r="T3207" s="3" t="n">
        <v>44638.65271974537</v>
      </c>
      <c r="U3207" t="s">
        <v>20862</v>
      </c>
      <c r="V3207" t="s">
        <v>20544</v>
      </c>
    </row>
    <row r="3208">
      <c r="A3208" t="s">
        <v>22</v>
      </c>
      <c r="B3208" t="s">
        <v>20863</v>
      </c>
      <c r="C3208" t="s">
        <v>60</v>
      </c>
      <c r="D3208" t="s">
        <v>61</v>
      </c>
      <c r="E3208" t="s">
        <v>16903</v>
      </c>
      <c r="F3208" s="2" t="n">
        <f>HYPERLINK("https://patents.google.com/patent/US20140051656","Google")</f>
        <v>0.0</v>
      </c>
      <c r="G3208" s="2" t="n">
        <f>HYPERLINK("https://patentcenter.uspto.gov/applications/13956195","Patent Center")</f>
        <v>0.0</v>
      </c>
      <c r="H3208" s="2" t="n">
        <f>HYPERLINK("https://worldwide.espacenet.com/patent/search?q=US20140051656","Espacenet")</f>
        <v>0.0</v>
      </c>
      <c r="I3208" s="2" t="n">
        <f>HYPERLINK("https://ppubs.uspto.gov/pubwebapp/external.html?q=20140051656.pn.","USPTO")</f>
        <v>0.0</v>
      </c>
      <c r="J3208" s="2" t="n">
        <f>HYPERLINK("https://image-ppubs.uspto.gov/dirsearch-public/print/downloadPdf/20140051656","USPTO PDF")</f>
        <v>0.0</v>
      </c>
      <c r="K3208" s="2" t="n">
        <f>HYPERLINK("https://sectors.patentforecast.com/pmd/US20140051656","PMD")</f>
        <v>0.0</v>
      </c>
      <c r="L3208" s="2" t="n">
        <f>HYPERLINK("https://globaldossier.uspto.gov/result/application/US/13956195/1","US20140051656")</f>
        <v>0.0</v>
      </c>
      <c r="M3208" t="s">
        <v>20864</v>
      </c>
      <c r="N3208" t="s">
        <v>664</v>
      </c>
      <c r="O3208" t="s">
        <v>665</v>
      </c>
      <c r="P3208" t="s">
        <v>20865</v>
      </c>
      <c r="Q3208" s="3" t="n">
        <v>41486.0</v>
      </c>
      <c r="R3208" s="3" t="n">
        <v>41690.0</v>
      </c>
      <c r="S3208" s="3" t="n">
        <v>43952.4595775</v>
      </c>
      <c r="T3208" s="3" t="n">
        <v>44638.65271974537</v>
      </c>
      <c r="U3208" t="s">
        <v>20866</v>
      </c>
      <c r="V3208" t="s">
        <v>16907</v>
      </c>
    </row>
    <row r="3209">
      <c r="A3209" t="s">
        <v>22</v>
      </c>
      <c r="B3209" t="s">
        <v>20867</v>
      </c>
      <c r="C3209" t="s">
        <v>60</v>
      </c>
      <c r="D3209" t="s">
        <v>61</v>
      </c>
      <c r="E3209" t="s">
        <v>16903</v>
      </c>
      <c r="F3209" s="2" t="n">
        <f>HYPERLINK("https://patents.google.com/patent/US20140051626","Google")</f>
        <v>0.0</v>
      </c>
      <c r="G3209" s="2" t="n">
        <f>HYPERLINK("https://patentcenter.uspto.gov/applications/13932945","Patent Center")</f>
        <v>0.0</v>
      </c>
      <c r="H3209" s="2" t="n">
        <f>HYPERLINK("https://worldwide.espacenet.com/patent/search?q=US20140051626","Espacenet")</f>
        <v>0.0</v>
      </c>
      <c r="I3209" s="2" t="n">
        <f>HYPERLINK("https://ppubs.uspto.gov/pubwebapp/external.html?q=20140051626.pn.","USPTO")</f>
        <v>0.0</v>
      </c>
      <c r="J3209" s="2" t="n">
        <f>HYPERLINK("https://image-ppubs.uspto.gov/dirsearch-public/print/downloadPdf/20140051626","USPTO PDF")</f>
        <v>0.0</v>
      </c>
      <c r="K3209" s="2" t="n">
        <f>HYPERLINK("https://sectors.patentforecast.com/pmd/US20140051626","PMD")</f>
        <v>0.0</v>
      </c>
      <c r="L3209" s="2" t="n">
        <f>HYPERLINK("https://globaldossier.uspto.gov/result/application/US/13932945/1","US20140051626")</f>
        <v>0.0</v>
      </c>
      <c r="M3209" t="s">
        <v>20868</v>
      </c>
      <c r="N3209" t="s">
        <v>664</v>
      </c>
      <c r="O3209" t="s">
        <v>665</v>
      </c>
      <c r="P3209" t="s">
        <v>20869</v>
      </c>
      <c r="Q3209" s="3" t="n">
        <v>41456.0</v>
      </c>
      <c r="R3209" s="3" t="n">
        <v>41690.0</v>
      </c>
      <c r="S3209" s="3" t="n">
        <v>43952.4595775</v>
      </c>
      <c r="T3209" s="3" t="n">
        <v>44638.65271974537</v>
      </c>
      <c r="U3209" t="s">
        <v>20870</v>
      </c>
      <c r="V3209" t="s">
        <v>16907</v>
      </c>
    </row>
    <row r="3210">
      <c r="A3210" t="s">
        <v>22</v>
      </c>
      <c r="B3210" t="s">
        <v>20871</v>
      </c>
      <c r="C3210" t="s">
        <v>24</v>
      </c>
      <c r="D3210" t="s">
        <v>25</v>
      </c>
      <c r="E3210" t="s">
        <v>20872</v>
      </c>
      <c r="F3210" s="2" t="n">
        <f>HYPERLINK("https://patents.google.com/patent/US20140046620","Google")</f>
        <v>0.0</v>
      </c>
      <c r="G3210" s="2" t="n">
        <f>HYPERLINK("https://patentcenter.uspto.gov/applications/14057996","Patent Center")</f>
        <v>0.0</v>
      </c>
      <c r="H3210" s="2" t="n">
        <f>HYPERLINK("https://worldwide.espacenet.com/patent/search?q=US20140046620","Espacenet")</f>
        <v>0.0</v>
      </c>
      <c r="I3210" s="2" t="n">
        <f>HYPERLINK("https://ppubs.uspto.gov/pubwebapp/external.html?q=20140046620.pn.","USPTO")</f>
        <v>0.0</v>
      </c>
      <c r="J3210" s="2" t="n">
        <f>HYPERLINK("https://image-ppubs.uspto.gov/dirsearch-public/print/downloadPdf/20140046620","USPTO PDF")</f>
        <v>0.0</v>
      </c>
      <c r="K3210" s="2" t="n">
        <f>HYPERLINK("https://sectors.patentforecast.com/pmd/US20140046620","PMD")</f>
        <v>0.0</v>
      </c>
      <c r="L3210" s="2" t="n">
        <f>HYPERLINK("https://globaldossier.uspto.gov/result/application/US/14057996/1","US20140046620")</f>
        <v>0.0</v>
      </c>
      <c r="M3210" t="s">
        <v>20873</v>
      </c>
      <c r="N3210" t="s">
        <v>18699</v>
      </c>
      <c r="O3210" t="s">
        <v>18700</v>
      </c>
      <c r="P3210" t="s">
        <v>18701</v>
      </c>
      <c r="Q3210" s="3" t="n">
        <v>41565.0</v>
      </c>
      <c r="R3210" s="3" t="n">
        <v>41683.0</v>
      </c>
      <c r="S3210" s="3" t="n">
        <v>43900.437389907405</v>
      </c>
      <c r="T3210" s="3" t="n">
        <v>43901.721564548614</v>
      </c>
      <c r="U3210" t="s">
        <v>20874</v>
      </c>
      <c r="V3210" t="s">
        <v>18703</v>
      </c>
    </row>
    <row r="3211">
      <c r="A3211" t="s">
        <v>22</v>
      </c>
      <c r="B3211" t="s">
        <v>20875</v>
      </c>
      <c r="C3211" t="s">
        <v>60</v>
      </c>
      <c r="D3211" t="s">
        <v>61</v>
      </c>
      <c r="E3211" t="s">
        <v>16903</v>
      </c>
      <c r="F3211" s="2" t="n">
        <f>HYPERLINK("https://patents.google.com/patent/US20140039021","Google")</f>
        <v>0.0</v>
      </c>
      <c r="G3211" s="2" t="n">
        <f>HYPERLINK("https://patentcenter.uspto.gov/applications/14045717","Patent Center")</f>
        <v>0.0</v>
      </c>
      <c r="H3211" s="2" t="n">
        <f>HYPERLINK("https://worldwide.espacenet.com/patent/search?q=US20140039021","Espacenet")</f>
        <v>0.0</v>
      </c>
      <c r="I3211" s="2" t="n">
        <f>HYPERLINK("https://ppubs.uspto.gov/pubwebapp/external.html?q=20140039021.pn.","USPTO")</f>
        <v>0.0</v>
      </c>
      <c r="J3211" s="2" t="n">
        <f>HYPERLINK("https://image-ppubs.uspto.gov/dirsearch-public/print/downloadPdf/20140039021","USPTO PDF")</f>
        <v>0.0</v>
      </c>
      <c r="K3211" s="2" t="n">
        <f>HYPERLINK("https://sectors.patentforecast.com/pmd/US20140039021","PMD")</f>
        <v>0.0</v>
      </c>
      <c r="L3211" s="2" t="n">
        <f>HYPERLINK("https://globaldossier.uspto.gov/result/application/US/14045717/1","US20140039021")</f>
        <v>0.0</v>
      </c>
      <c r="M3211" t="s">
        <v>20876</v>
      </c>
      <c r="N3211" t="s">
        <v>664</v>
      </c>
      <c r="O3211" t="s">
        <v>665</v>
      </c>
      <c r="P3211" t="s">
        <v>20877</v>
      </c>
      <c r="Q3211" s="3" t="n">
        <v>41550.0</v>
      </c>
      <c r="R3211" s="3" t="n">
        <v>41676.0</v>
      </c>
      <c r="S3211" s="3" t="n">
        <v>43952.4616409375</v>
      </c>
      <c r="T3211" s="3" t="n">
        <v>44638.65271974537</v>
      </c>
      <c r="U3211" t="s">
        <v>20878</v>
      </c>
      <c r="V3211" t="s">
        <v>16907</v>
      </c>
    </row>
    <row r="3212">
      <c r="A3212" t="s">
        <v>22</v>
      </c>
      <c r="B3212" t="s">
        <v>20879</v>
      </c>
      <c r="C3212" t="s">
        <v>24</v>
      </c>
      <c r="D3212" t="s">
        <v>100</v>
      </c>
      <c r="E3212" t="s">
        <v>19021</v>
      </c>
      <c r="F3212" s="2" t="n">
        <f>HYPERLINK("https://patents.google.com/patent/US20140035744","Google")</f>
        <v>0.0</v>
      </c>
      <c r="G3212" s="2" t="n">
        <f>HYPERLINK("https://patentcenter.uspto.gov/applications/14049308","Patent Center")</f>
        <v>0.0</v>
      </c>
      <c r="H3212" s="2" t="n">
        <f>HYPERLINK("https://worldwide.espacenet.com/patent/search?q=US20140035744","Espacenet")</f>
        <v>0.0</v>
      </c>
      <c r="I3212" s="2" t="n">
        <f>HYPERLINK("https://ppubs.uspto.gov/pubwebapp/external.html?q=20140035744.pn.","USPTO")</f>
        <v>0.0</v>
      </c>
      <c r="J3212" s="2" t="n">
        <f>HYPERLINK("https://image-ppubs.uspto.gov/dirsearch-public/print/downloadPdf/20140035744","USPTO PDF")</f>
        <v>0.0</v>
      </c>
      <c r="K3212" s="2" t="n">
        <f>HYPERLINK("https://sectors.patentforecast.com/pmd/US20140035744","PMD")</f>
        <v>0.0</v>
      </c>
      <c r="L3212" s="2" t="n">
        <f>HYPERLINK("https://globaldossier.uspto.gov/result/application/US/14049308/1","US20140035744")</f>
        <v>0.0</v>
      </c>
      <c r="M3212" t="s">
        <v>20880</v>
      </c>
      <c r="N3212" t="s">
        <v>20565</v>
      </c>
      <c r="O3212" t="s">
        <v>20566</v>
      </c>
      <c r="P3212" t="s">
        <v>19023</v>
      </c>
      <c r="Q3212" s="3" t="n">
        <v>41556.0</v>
      </c>
      <c r="R3212" s="3" t="n">
        <v>41676.0</v>
      </c>
      <c r="S3212" s="3" t="n">
        <v>43266.45736850694</v>
      </c>
      <c r="T3212" s="3" t="n">
        <v>43906.35981086805</v>
      </c>
      <c r="U3212" t="s">
        <v>19024</v>
      </c>
      <c r="V3212" t="s">
        <v>19025</v>
      </c>
    </row>
    <row r="3213">
      <c r="A3213" t="s">
        <v>22</v>
      </c>
      <c r="B3213" t="s">
        <v>20881</v>
      </c>
      <c r="C3213" t="s">
        <v>60</v>
      </c>
      <c r="D3213" t="s">
        <v>61</v>
      </c>
      <c r="E3213" t="s">
        <v>20882</v>
      </c>
      <c r="F3213" s="2" t="n">
        <f>HYPERLINK("https://patents.google.com/patent/US20140030223","Google")</f>
        <v>0.0</v>
      </c>
      <c r="G3213" s="2" t="n">
        <f>HYPERLINK("https://patentcenter.uspto.gov/applications/14037296","Patent Center")</f>
        <v>0.0</v>
      </c>
      <c r="H3213" s="2" t="n">
        <f>HYPERLINK("https://worldwide.espacenet.com/patent/search?q=US20140030223","Espacenet")</f>
        <v>0.0</v>
      </c>
      <c r="I3213" s="2" t="n">
        <f>HYPERLINK("https://ppubs.uspto.gov/pubwebapp/external.html?q=20140030223.pn.","USPTO")</f>
        <v>0.0</v>
      </c>
      <c r="J3213" s="2" t="n">
        <f>HYPERLINK("https://image-ppubs.uspto.gov/dirsearch-public/print/downloadPdf/20140030223","USPTO PDF")</f>
        <v>0.0</v>
      </c>
      <c r="K3213" s="2" t="n">
        <f>HYPERLINK("https://sectors.patentforecast.com/pmd/US20140030223","PMD")</f>
        <v>0.0</v>
      </c>
      <c r="L3213" s="2" t="n">
        <f>HYPERLINK("https://globaldossier.uspto.gov/result/application/US/14037296/1","US20140030223")</f>
        <v>0.0</v>
      </c>
      <c r="M3213" t="s">
        <v>20883</v>
      </c>
      <c r="N3213" t="s">
        <v>664</v>
      </c>
      <c r="O3213" t="s">
        <v>665</v>
      </c>
      <c r="P3213" t="s">
        <v>20884</v>
      </c>
      <c r="Q3213" s="3" t="n">
        <v>41542.0</v>
      </c>
      <c r="R3213" s="3" t="n">
        <v>41669.0</v>
      </c>
      <c r="S3213" s="3" t="n">
        <v>43952.4616409375</v>
      </c>
      <c r="T3213" s="3" t="n">
        <v>44638.65643378472</v>
      </c>
      <c r="U3213" t="s">
        <v>20885</v>
      </c>
      <c r="V3213" t="s">
        <v>20886</v>
      </c>
    </row>
    <row r="3214">
      <c r="A3214" t="s">
        <v>22</v>
      </c>
      <c r="B3214" t="s">
        <v>20887</v>
      </c>
      <c r="C3214" t="s">
        <v>60</v>
      </c>
      <c r="D3214" t="s">
        <v>61</v>
      </c>
      <c r="E3214" t="s">
        <v>19172</v>
      </c>
      <c r="F3214" s="2" t="n">
        <f>HYPERLINK("https://patents.google.com/patent/US20140023616","Google")</f>
        <v>0.0</v>
      </c>
      <c r="G3214" s="2" t="n">
        <f>HYPERLINK("https://patentcenter.uspto.gov/applications/13942501","Patent Center")</f>
        <v>0.0</v>
      </c>
      <c r="H3214" s="2" t="n">
        <f>HYPERLINK("https://worldwide.espacenet.com/patent/search?q=US20140023616","Espacenet")</f>
        <v>0.0</v>
      </c>
      <c r="I3214" s="2" t="n">
        <f>HYPERLINK("https://ppubs.uspto.gov/pubwebapp/external.html?q=20140023616.pn.","USPTO")</f>
        <v>0.0</v>
      </c>
      <c r="J3214" s="2" t="n">
        <f>HYPERLINK("https://image-ppubs.uspto.gov/dirsearch-public/print/downloadPdf/20140023616","USPTO PDF")</f>
        <v>0.0</v>
      </c>
      <c r="K3214" s="2" t="n">
        <f>HYPERLINK("https://sectors.patentforecast.com/pmd/US20140023616","PMD")</f>
        <v>0.0</v>
      </c>
      <c r="L3214" s="2" t="n">
        <f>HYPERLINK("https://globaldossier.uspto.gov/result/application/US/13942501/1","US20140023616")</f>
        <v>0.0</v>
      </c>
      <c r="M3214" t="s">
        <v>20888</v>
      </c>
      <c r="N3214" t="s">
        <v>19174</v>
      </c>
      <c r="O3214" t="s">
        <v>19175</v>
      </c>
      <c r="P3214" t="s">
        <v>20889</v>
      </c>
      <c r="Q3214" s="3" t="n">
        <v>41470.0</v>
      </c>
      <c r="R3214" s="3" t="n">
        <v>41662.0</v>
      </c>
      <c r="S3214" s="3" t="n">
        <v>43952.4616409375</v>
      </c>
      <c r="T3214" s="3" t="n">
        <v>44638.65643378472</v>
      </c>
      <c r="U3214" t="s">
        <v>20890</v>
      </c>
      <c r="V3214" t="s">
        <v>20886</v>
      </c>
    </row>
    <row r="3215">
      <c r="A3215" t="s">
        <v>22</v>
      </c>
      <c r="B3215" t="s">
        <v>20891</v>
      </c>
      <c r="C3215" t="s">
        <v>60</v>
      </c>
      <c r="D3215" t="s">
        <v>61</v>
      </c>
      <c r="E3215" t="s">
        <v>17306</v>
      </c>
      <c r="F3215" s="2" t="n">
        <f>HYPERLINK("https://patents.google.com/patent/US20140017198","Google")</f>
        <v>0.0</v>
      </c>
      <c r="G3215" s="2" t="n">
        <f>HYPERLINK("https://patentcenter.uspto.gov/applications/13934090","Patent Center")</f>
        <v>0.0</v>
      </c>
      <c r="H3215" s="2" t="n">
        <f>HYPERLINK("https://worldwide.espacenet.com/patent/search?q=US20140017198","Espacenet")</f>
        <v>0.0</v>
      </c>
      <c r="I3215" s="2" t="n">
        <f>HYPERLINK("https://ppubs.uspto.gov/pubwebapp/external.html?q=20140017198.pn.","USPTO")</f>
        <v>0.0</v>
      </c>
      <c r="J3215" s="2" t="n">
        <f>HYPERLINK("https://image-ppubs.uspto.gov/dirsearch-public/print/downloadPdf/20140017198","USPTO PDF")</f>
        <v>0.0</v>
      </c>
      <c r="K3215" s="2" t="n">
        <f>HYPERLINK("https://sectors.patentforecast.com/pmd/US20140017198","PMD")</f>
        <v>0.0</v>
      </c>
      <c r="L3215" s="2" t="n">
        <f>HYPERLINK("https://globaldossier.uspto.gov/result/application/US/13934090/1","US20140017198")</f>
        <v>0.0</v>
      </c>
      <c r="M3215" t="s">
        <v>20892</v>
      </c>
      <c r="N3215" t="s">
        <v>664</v>
      </c>
      <c r="O3215" t="s">
        <v>665</v>
      </c>
      <c r="P3215" t="s">
        <v>20893</v>
      </c>
      <c r="Q3215" s="3" t="n">
        <v>41457.0</v>
      </c>
      <c r="R3215" s="3" t="n">
        <v>41655.0</v>
      </c>
      <c r="S3215" s="3" t="n">
        <v>43952.4616409375</v>
      </c>
      <c r="T3215" s="3" t="n">
        <v>44638.65643378472</v>
      </c>
      <c r="U3215" t="s">
        <v>20894</v>
      </c>
      <c r="V3215" t="s">
        <v>20895</v>
      </c>
    </row>
    <row r="3216">
      <c r="A3216" t="s">
        <v>22</v>
      </c>
      <c r="B3216" t="s">
        <v>20896</v>
      </c>
      <c r="C3216" t="s">
        <v>60</v>
      </c>
      <c r="D3216" t="s">
        <v>845</v>
      </c>
      <c r="E3216" t="s">
        <v>20897</v>
      </c>
      <c r="F3216" s="2" t="n">
        <f>HYPERLINK("https://patents.google.com/patent/US20140012509","Google")</f>
        <v>0.0</v>
      </c>
      <c r="G3216" s="2" t="n">
        <f>HYPERLINK("https://patentcenter.uspto.gov/applications/13543555","Patent Center")</f>
        <v>0.0</v>
      </c>
      <c r="H3216" s="2" t="n">
        <f>HYPERLINK("https://worldwide.espacenet.com/patent/search?q=US20140012509","Espacenet")</f>
        <v>0.0</v>
      </c>
      <c r="I3216" s="2" t="n">
        <f>HYPERLINK("https://ppubs.uspto.gov/pubwebapp/external.html?q=20140012509.pn.","USPTO")</f>
        <v>0.0</v>
      </c>
      <c r="J3216" s="2" t="n">
        <f>HYPERLINK("https://image-ppubs.uspto.gov/dirsearch-public/print/downloadPdf/20140012509","USPTO PDF")</f>
        <v>0.0</v>
      </c>
      <c r="K3216" s="2" t="n">
        <f>HYPERLINK("https://sectors.patentforecast.com/pmd/US20140012509","PMD")</f>
        <v>0.0</v>
      </c>
      <c r="L3216" s="2" t="n">
        <f>HYPERLINK("https://globaldossier.uspto.gov/result/application/US/13543555/1","US20140012509")</f>
        <v>0.0</v>
      </c>
      <c r="M3216" t="s">
        <v>20898</v>
      </c>
      <c r="N3216" t="s">
        <v>6551</v>
      </c>
      <c r="O3216" t="s">
        <v>6552</v>
      </c>
      <c r="P3216" t="s">
        <v>20899</v>
      </c>
      <c r="Q3216" s="3" t="n">
        <v>41096.0</v>
      </c>
      <c r="R3216" s="3" t="n">
        <v>41648.0</v>
      </c>
      <c r="S3216" s="3" t="n">
        <v>43266.45736850694</v>
      </c>
      <c r="T3216" s="3" t="n">
        <v>44643.649964606484</v>
      </c>
      <c r="U3216" t="s">
        <v>20900</v>
      </c>
      <c r="V3216" t="s">
        <v>20901</v>
      </c>
    </row>
    <row r="3217">
      <c r="A3217" t="s">
        <v>22</v>
      </c>
      <c r="B3217" t="s">
        <v>20902</v>
      </c>
      <c r="C3217" t="s">
        <v>60</v>
      </c>
      <c r="D3217" t="s">
        <v>77</v>
      </c>
      <c r="E3217" t="s">
        <v>20903</v>
      </c>
      <c r="F3217" s="2" t="n">
        <f>HYPERLINK("https://patents.google.com/patent/US20140011982","Google")</f>
        <v>0.0</v>
      </c>
      <c r="G3217" s="2" t="n">
        <f>HYPERLINK("https://patentcenter.uspto.gov/applications/13965092","Patent Center")</f>
        <v>0.0</v>
      </c>
      <c r="H3217" s="2" t="n">
        <f>HYPERLINK("https://worldwide.espacenet.com/patent/search?q=US20140011982","Espacenet")</f>
        <v>0.0</v>
      </c>
      <c r="I3217" s="2" t="n">
        <f>HYPERLINK("https://ppubs.uspto.gov/pubwebapp/external.html?q=20140011982.pn.","USPTO")</f>
        <v>0.0</v>
      </c>
      <c r="J3217" s="2" t="n">
        <f>HYPERLINK("https://image-ppubs.uspto.gov/dirsearch-public/print/downloadPdf/20140011982","USPTO PDF")</f>
        <v>0.0</v>
      </c>
      <c r="K3217" s="2" t="n">
        <f>HYPERLINK("https://sectors.patentforecast.com/pmd/US20140011982","PMD")</f>
        <v>0.0</v>
      </c>
      <c r="L3217" s="2" t="n">
        <f>HYPERLINK("https://globaldossier.uspto.gov/result/application/US/13965092/1","US20140011982")</f>
        <v>0.0</v>
      </c>
      <c r="M3217" t="s">
        <v>20904</v>
      </c>
      <c r="N3217" t="s">
        <v>18144</v>
      </c>
      <c r="O3217" t="s">
        <v>18144</v>
      </c>
      <c r="P3217" t="s">
        <v>20905</v>
      </c>
      <c r="Q3217" s="3" t="n">
        <v>41498.0</v>
      </c>
      <c r="R3217" s="3" t="n">
        <v>41648.0</v>
      </c>
      <c r="S3217" s="3" t="n">
        <v>43966.490136342596</v>
      </c>
      <c r="T3217" s="3" t="n">
        <v>44638.638650092595</v>
      </c>
      <c r="U3217" t="s">
        <v>20906</v>
      </c>
      <c r="V3217" t="s">
        <v>18147</v>
      </c>
    </row>
    <row r="3218">
      <c r="A3218" t="s">
        <v>22</v>
      </c>
      <c r="B3218" t="s">
        <v>20907</v>
      </c>
      <c r="C3218" t="s">
        <v>132</v>
      </c>
      <c r="D3218" t="s">
        <v>1265</v>
      </c>
      <c r="E3218" t="s">
        <v>20908</v>
      </c>
      <c r="F3218" s="2" t="n">
        <f>HYPERLINK("https://patents.google.com/patent/US20140011260","Google")</f>
        <v>0.0</v>
      </c>
      <c r="G3218" s="2" t="n">
        <f>HYPERLINK("https://patentcenter.uspto.gov/applications/14029465","Patent Center")</f>
        <v>0.0</v>
      </c>
      <c r="H3218" s="2" t="n">
        <f>HYPERLINK("https://worldwide.espacenet.com/patent/search?q=US20140011260","Espacenet")</f>
        <v>0.0</v>
      </c>
      <c r="I3218" s="2" t="n">
        <f>HYPERLINK("https://ppubs.uspto.gov/pubwebapp/external.html?q=20140011260.pn.","USPTO")</f>
        <v>0.0</v>
      </c>
      <c r="J3218" s="2" t="n">
        <f>HYPERLINK("https://image-ppubs.uspto.gov/dirsearch-public/print/downloadPdf/20140011260","USPTO PDF")</f>
        <v>0.0</v>
      </c>
      <c r="K3218" s="2" t="n">
        <f>HYPERLINK("https://sectors.patentforecast.com/pmd/US20140011260","PMD")</f>
        <v>0.0</v>
      </c>
      <c r="L3218" s="2" t="n">
        <f>HYPERLINK("https://globaldossier.uspto.gov/result/application/US/14029465/1","US20140011260")</f>
        <v>0.0</v>
      </c>
      <c r="M3218" t="s">
        <v>20909</v>
      </c>
      <c r="N3218" t="s">
        <v>20910</v>
      </c>
      <c r="O3218" t="s">
        <v>20910</v>
      </c>
      <c r="P3218" t="s">
        <v>20911</v>
      </c>
      <c r="Q3218" s="3" t="n">
        <v>41534.0</v>
      </c>
      <c r="R3218" s="3" t="n">
        <v>41648.0</v>
      </c>
      <c r="S3218" s="3" t="n">
        <v>43900.437389907405</v>
      </c>
      <c r="T3218" s="3" t="n">
        <v>43903.48463254629</v>
      </c>
      <c r="U3218" t="s">
        <v>20912</v>
      </c>
      <c r="V3218" t="s">
        <v>20913</v>
      </c>
    </row>
    <row r="3219">
      <c r="A3219" t="s">
        <v>22</v>
      </c>
      <c r="B3219" t="s">
        <v>20914</v>
      </c>
      <c r="C3219" t="s">
        <v>132</v>
      </c>
      <c r="D3219" t="s">
        <v>17610</v>
      </c>
      <c r="E3219" t="s">
        <v>17611</v>
      </c>
      <c r="F3219" s="2" t="n">
        <f>HYPERLINK("https://patents.google.com/patent/US20140010840","Google")</f>
        <v>0.0</v>
      </c>
      <c r="G3219" s="2" t="n">
        <f>HYPERLINK("https://patentcenter.uspto.gov/applications/14001228","Patent Center")</f>
        <v>0.0</v>
      </c>
      <c r="H3219" s="2" t="n">
        <f>HYPERLINK("https://worldwide.espacenet.com/patent/search?q=US20140010840","Espacenet")</f>
        <v>0.0</v>
      </c>
      <c r="I3219" s="2" t="n">
        <f>HYPERLINK("https://ppubs.uspto.gov/pubwebapp/external.html?q=20140010840.pn.","USPTO")</f>
        <v>0.0</v>
      </c>
      <c r="J3219" s="2" t="n">
        <f>HYPERLINK("https://image-ppubs.uspto.gov/dirsearch-public/print/downloadPdf/20140010840","USPTO PDF")</f>
        <v>0.0</v>
      </c>
      <c r="K3219" s="2" t="n">
        <f>HYPERLINK("https://sectors.patentforecast.com/pmd/US20140010840","PMD")</f>
        <v>0.0</v>
      </c>
      <c r="L3219" s="2" t="n">
        <f>HYPERLINK("https://globaldossier.uspto.gov/result/application/US/14001228/1","US20140010840")</f>
        <v>0.0</v>
      </c>
      <c r="M3219" t="s">
        <v>20915</v>
      </c>
      <c r="N3219" t="s">
        <v>1792</v>
      </c>
      <c r="O3219" t="s">
        <v>1793</v>
      </c>
      <c r="P3219" t="s">
        <v>19097</v>
      </c>
      <c r="Q3219" s="3" t="n">
        <v>40963.0</v>
      </c>
      <c r="R3219" s="3" t="n">
        <v>41648.0</v>
      </c>
      <c r="S3219" s="3" t="n">
        <v>43900.437389907405</v>
      </c>
      <c r="T3219" s="3" t="n">
        <v>43903.484632280095</v>
      </c>
      <c r="U3219" t="s">
        <v>20916</v>
      </c>
      <c r="V3219" t="s">
        <v>20917</v>
      </c>
    </row>
    <row r="3220">
      <c r="A3220" t="s">
        <v>22</v>
      </c>
      <c r="B3220" t="s">
        <v>20918</v>
      </c>
      <c r="C3220" t="s">
        <v>60</v>
      </c>
      <c r="D3220" t="s">
        <v>61</v>
      </c>
      <c r="E3220" t="s">
        <v>19172</v>
      </c>
      <c r="F3220" s="2" t="n">
        <f>HYPERLINK("https://patents.google.com/patent/US20130344030","Google")</f>
        <v>0.0</v>
      </c>
      <c r="G3220" s="2" t="n">
        <f>HYPERLINK("https://patentcenter.uspto.gov/applications/13913288","Patent Center")</f>
        <v>0.0</v>
      </c>
      <c r="H3220" s="2" t="n">
        <f>HYPERLINK("https://worldwide.espacenet.com/patent/search?q=US20130344030","Espacenet")</f>
        <v>0.0</v>
      </c>
      <c r="I3220" s="2" t="n">
        <f>HYPERLINK("https://ppubs.uspto.gov/pubwebapp/external.html?q=20130344030.pn.","USPTO")</f>
        <v>0.0</v>
      </c>
      <c r="J3220" s="2" t="n">
        <f>HYPERLINK("https://image-ppubs.uspto.gov/dirsearch-public/print/downloadPdf/20130344030","USPTO PDF")</f>
        <v>0.0</v>
      </c>
      <c r="K3220" s="2" t="n">
        <f>HYPERLINK("https://sectors.patentforecast.com/pmd/US20130344030","PMD")</f>
        <v>0.0</v>
      </c>
      <c r="L3220" s="2" t="n">
        <f>HYPERLINK("https://globaldossier.uspto.gov/result/application/US/13913288/1","US20130344030")</f>
        <v>0.0</v>
      </c>
      <c r="M3220" t="s">
        <v>20919</v>
      </c>
      <c r="N3220" t="s">
        <v>20920</v>
      </c>
      <c r="O3220" t="s">
        <v>20921</v>
      </c>
      <c r="P3220" t="s">
        <v>20922</v>
      </c>
      <c r="Q3220" s="3" t="n">
        <v>41432.0</v>
      </c>
      <c r="R3220" s="3" t="n">
        <v>41634.0</v>
      </c>
      <c r="S3220" s="3" t="n">
        <v>43952.4616409375</v>
      </c>
      <c r="T3220" s="3" t="n">
        <v>44638.65643378472</v>
      </c>
      <c r="U3220" t="s">
        <v>20923</v>
      </c>
      <c r="V3220" t="s">
        <v>19178</v>
      </c>
    </row>
    <row r="3221">
      <c r="A3221" t="s">
        <v>22</v>
      </c>
      <c r="B3221" t="s">
        <v>20924</v>
      </c>
      <c r="C3221" t="s">
        <v>60</v>
      </c>
      <c r="D3221" t="s">
        <v>61</v>
      </c>
      <c r="E3221" t="s">
        <v>19172</v>
      </c>
      <c r="F3221" s="2" t="n">
        <f>HYPERLINK("https://patents.google.com/patent/US20130344029","Google")</f>
        <v>0.0</v>
      </c>
      <c r="G3221" s="2" t="n">
        <f>HYPERLINK("https://patentcenter.uspto.gov/applications/13913184","Patent Center")</f>
        <v>0.0</v>
      </c>
      <c r="H3221" s="2" t="n">
        <f>HYPERLINK("https://worldwide.espacenet.com/patent/search?q=US20130344029","Espacenet")</f>
        <v>0.0</v>
      </c>
      <c r="I3221" s="2" t="n">
        <f>HYPERLINK("https://ppubs.uspto.gov/pubwebapp/external.html?q=20130344029.pn.","USPTO")</f>
        <v>0.0</v>
      </c>
      <c r="J3221" s="2" t="n">
        <f>HYPERLINK("https://image-ppubs.uspto.gov/dirsearch-public/print/downloadPdf/20130344029","USPTO PDF")</f>
        <v>0.0</v>
      </c>
      <c r="K3221" s="2" t="n">
        <f>HYPERLINK("https://sectors.patentforecast.com/pmd/US20130344029","PMD")</f>
        <v>0.0</v>
      </c>
      <c r="L3221" s="2" t="n">
        <f>HYPERLINK("https://globaldossier.uspto.gov/result/application/US/13913184/1","US20130344029")</f>
        <v>0.0</v>
      </c>
      <c r="M3221" t="s">
        <v>20925</v>
      </c>
      <c r="N3221" t="s">
        <v>19174</v>
      </c>
      <c r="O3221" t="s">
        <v>19175</v>
      </c>
      <c r="P3221" t="s">
        <v>20926</v>
      </c>
      <c r="Q3221" s="3" t="n">
        <v>41432.0</v>
      </c>
      <c r="R3221" s="3" t="n">
        <v>41634.0</v>
      </c>
      <c r="S3221" s="3" t="n">
        <v>43952.4616409375</v>
      </c>
      <c r="T3221" s="3" t="n">
        <v>44638.65643378472</v>
      </c>
      <c r="U3221" t="s">
        <v>20927</v>
      </c>
      <c r="V3221" t="s">
        <v>19183</v>
      </c>
    </row>
    <row r="3222">
      <c r="A3222" t="s">
        <v>22</v>
      </c>
      <c r="B3222" t="s">
        <v>20928</v>
      </c>
      <c r="C3222" t="s">
        <v>60</v>
      </c>
      <c r="D3222" t="s">
        <v>61</v>
      </c>
      <c r="E3222" t="s">
        <v>20929</v>
      </c>
      <c r="F3222" s="2" t="n">
        <f>HYPERLINK("https://patents.google.com/patent/US20130344028","Google")</f>
        <v>0.0</v>
      </c>
      <c r="G3222" s="2" t="n">
        <f>HYPERLINK("https://patentcenter.uspto.gov/applications/13649511","Patent Center")</f>
        <v>0.0</v>
      </c>
      <c r="H3222" s="2" t="n">
        <f>HYPERLINK("https://worldwide.espacenet.com/patent/search?q=US20130344028","Espacenet")</f>
        <v>0.0</v>
      </c>
      <c r="I3222" s="2" t="n">
        <f>HYPERLINK("https://ppubs.uspto.gov/pubwebapp/external.html?q=20130344028.pn.","USPTO")</f>
        <v>0.0</v>
      </c>
      <c r="J3222" s="2" t="n">
        <f>HYPERLINK("https://image-ppubs.uspto.gov/dirsearch-public/print/downloadPdf/20130344028","USPTO PDF")</f>
        <v>0.0</v>
      </c>
      <c r="K3222" s="2" t="n">
        <f>HYPERLINK("https://sectors.patentforecast.com/pmd/US20130344028","PMD")</f>
        <v>0.0</v>
      </c>
      <c r="L3222" s="2" t="n">
        <f>HYPERLINK("https://globaldossier.uspto.gov/result/application/US/13649511/1","US20130344028")</f>
        <v>0.0</v>
      </c>
      <c r="M3222" t="s">
        <v>20930</v>
      </c>
      <c r="N3222" t="s">
        <v>664</v>
      </c>
      <c r="O3222" t="s">
        <v>665</v>
      </c>
      <c r="P3222" t="s">
        <v>20931</v>
      </c>
      <c r="Q3222" s="3" t="n">
        <v>41193.0</v>
      </c>
      <c r="R3222" s="3" t="n">
        <v>41634.0</v>
      </c>
      <c r="S3222" s="3" t="n">
        <v>43952.4616409375</v>
      </c>
      <c r="T3222" s="3" t="n">
        <v>44638.65271974537</v>
      </c>
      <c r="U3222" t="s">
        <v>20932</v>
      </c>
      <c r="V3222" t="s">
        <v>20933</v>
      </c>
    </row>
    <row r="3223">
      <c r="A3223" t="s">
        <v>22</v>
      </c>
      <c r="B3223" t="s">
        <v>20934</v>
      </c>
      <c r="C3223" t="s">
        <v>24</v>
      </c>
      <c r="D3223" t="s">
        <v>25</v>
      </c>
      <c r="E3223" t="s">
        <v>20935</v>
      </c>
      <c r="F3223" s="2" t="n">
        <f>HYPERLINK("https://patents.google.com/patent/US20130332195","Google")</f>
        <v>0.0</v>
      </c>
      <c r="G3223" s="2" t="n">
        <f>HYPERLINK("https://patentcenter.uspto.gov/applications/13848718","Patent Center")</f>
        <v>0.0</v>
      </c>
      <c r="H3223" s="2" t="n">
        <f>HYPERLINK("https://worldwide.espacenet.com/patent/search?q=US20130332195","Espacenet")</f>
        <v>0.0</v>
      </c>
      <c r="I3223" s="2" t="n">
        <f>HYPERLINK("https://ppubs.uspto.gov/pubwebapp/external.html?q=20130332195.pn.","USPTO")</f>
        <v>0.0</v>
      </c>
      <c r="J3223" s="2" t="n">
        <f>HYPERLINK("https://image-ppubs.uspto.gov/dirsearch-public/print/downloadPdf/20130332195","USPTO PDF")</f>
        <v>0.0</v>
      </c>
      <c r="K3223" s="2" t="n">
        <f>HYPERLINK("https://sectors.patentforecast.com/pmd/US20130332195","PMD")</f>
        <v>0.0</v>
      </c>
      <c r="L3223" s="2" t="n">
        <f>HYPERLINK("https://globaldossier.uspto.gov/result/application/US/13848718/1","US20130332195")</f>
        <v>0.0</v>
      </c>
      <c r="M3223" t="s">
        <v>20936</v>
      </c>
      <c r="N3223" t="s">
        <v>15166</v>
      </c>
      <c r="O3223" t="s">
        <v>15167</v>
      </c>
      <c r="P3223" t="s">
        <v>20937</v>
      </c>
      <c r="Q3223" s="3" t="n">
        <v>41354.0</v>
      </c>
      <c r="R3223" s="3" t="n">
        <v>41620.0</v>
      </c>
      <c r="S3223" s="3" t="n">
        <v>43266.45736850694</v>
      </c>
      <c r="T3223" s="3" t="n">
        <v>44643.657927002314</v>
      </c>
      <c r="U3223" t="s">
        <v>20938</v>
      </c>
      <c r="V3223" t="s">
        <v>20939</v>
      </c>
    </row>
    <row r="3224">
      <c r="A3224" t="s">
        <v>22</v>
      </c>
      <c r="B3224" t="s">
        <v>20940</v>
      </c>
      <c r="C3224" t="s">
        <v>24</v>
      </c>
      <c r="D3224" t="s">
        <v>100</v>
      </c>
      <c r="E3224" t="s">
        <v>20941</v>
      </c>
      <c r="F3224" s="2" t="n">
        <f>HYPERLINK("https://patents.google.com/patent/US20130330229","Google")</f>
        <v>0.0</v>
      </c>
      <c r="G3224" s="2" t="n">
        <f>HYPERLINK("https://patentcenter.uspto.gov/applications/13637466","Patent Center")</f>
        <v>0.0</v>
      </c>
      <c r="H3224" s="2" t="n">
        <f>HYPERLINK("https://worldwide.espacenet.com/patent/search?q=US20130330229","Espacenet")</f>
        <v>0.0</v>
      </c>
      <c r="I3224" s="2" t="n">
        <f>HYPERLINK("https://ppubs.uspto.gov/pubwebapp/external.html?q=20130330229.pn.","USPTO")</f>
        <v>0.0</v>
      </c>
      <c r="J3224" s="2" t="n">
        <f>HYPERLINK("https://image-ppubs.uspto.gov/dirsearch-public/print/downloadPdf/20130330229","USPTO PDF")</f>
        <v>0.0</v>
      </c>
      <c r="K3224" s="2" t="n">
        <f>HYPERLINK("https://sectors.patentforecast.com/pmd/US20130330229","PMD")</f>
        <v>0.0</v>
      </c>
      <c r="L3224" s="2" t="n">
        <f>HYPERLINK("https://globaldossier.uspto.gov/result/application/US/13637466/1","US20130330229")</f>
        <v>0.0</v>
      </c>
      <c r="M3224" t="s">
        <v>20942</v>
      </c>
      <c r="N3224" t="s">
        <v>1244</v>
      </c>
      <c r="O3224" t="s">
        <v>1244</v>
      </c>
      <c r="P3224" t="s">
        <v>20943</v>
      </c>
      <c r="Q3224" s="3" t="n">
        <v>40632.0</v>
      </c>
      <c r="R3224" s="3" t="n">
        <v>41620.0</v>
      </c>
      <c r="S3224" s="3" t="n">
        <v>43900.437389907405</v>
      </c>
      <c r="T3224" s="3" t="n">
        <v>43901.721564479165</v>
      </c>
      <c r="U3224" t="s">
        <v>20944</v>
      </c>
      <c r="V3224" t="s">
        <v>20945</v>
      </c>
    </row>
    <row r="3225">
      <c r="A3225" t="s">
        <v>22</v>
      </c>
      <c r="B3225" t="s">
        <v>20946</v>
      </c>
      <c r="C3225" t="s">
        <v>60</v>
      </c>
      <c r="D3225" t="s">
        <v>61</v>
      </c>
      <c r="E3225" t="s">
        <v>19464</v>
      </c>
      <c r="F3225" s="2" t="n">
        <f>HYPERLINK("https://patents.google.com/patent/US20130324740","Google")</f>
        <v>0.0</v>
      </c>
      <c r="G3225" s="2" t="n">
        <f>HYPERLINK("https://patentcenter.uspto.gov/applications/13800202","Patent Center")</f>
        <v>0.0</v>
      </c>
      <c r="H3225" s="2" t="n">
        <f>HYPERLINK("https://worldwide.espacenet.com/patent/search?q=US20130324740","Espacenet")</f>
        <v>0.0</v>
      </c>
      <c r="I3225" s="2" t="n">
        <f>HYPERLINK("https://ppubs.uspto.gov/pubwebapp/external.html?q=20130324740.pn.","USPTO")</f>
        <v>0.0</v>
      </c>
      <c r="J3225" s="2" t="n">
        <f>HYPERLINK("https://image-ppubs.uspto.gov/dirsearch-public/print/downloadPdf/20130324740","USPTO PDF")</f>
        <v>0.0</v>
      </c>
      <c r="K3225" s="2" t="n">
        <f>HYPERLINK("https://sectors.patentforecast.com/pmd/US20130324740","PMD")</f>
        <v>0.0</v>
      </c>
      <c r="L3225" s="2" t="n">
        <f>HYPERLINK("https://globaldossier.uspto.gov/result/application/US/13800202/1","US20130324740")</f>
        <v>0.0</v>
      </c>
      <c r="M3225" t="s">
        <v>20947</v>
      </c>
      <c r="N3225" t="s">
        <v>664</v>
      </c>
      <c r="O3225" t="s">
        <v>665</v>
      </c>
      <c r="P3225" t="s">
        <v>20948</v>
      </c>
      <c r="Q3225" s="3" t="n">
        <v>41346.0</v>
      </c>
      <c r="R3225" s="3" t="n">
        <v>41613.0</v>
      </c>
      <c r="S3225" s="3" t="n">
        <v>43950.647371782405</v>
      </c>
      <c r="T3225" s="3" t="n">
        <v>44638.65271974537</v>
      </c>
      <c r="U3225" t="s">
        <v>20949</v>
      </c>
      <c r="V3225" t="s">
        <v>19468</v>
      </c>
    </row>
    <row r="3226">
      <c r="A3226" t="s">
        <v>22</v>
      </c>
      <c r="B3226" t="s">
        <v>20950</v>
      </c>
      <c r="C3226" t="s">
        <v>60</v>
      </c>
      <c r="D3226" t="s">
        <v>61</v>
      </c>
      <c r="E3226" t="s">
        <v>17494</v>
      </c>
      <c r="F3226" s="2" t="n">
        <f>HYPERLINK("https://patents.google.com/patent/US20130324496","Google")</f>
        <v>0.0</v>
      </c>
      <c r="G3226" s="2" t="n">
        <f>HYPERLINK("https://patentcenter.uspto.gov/applications/13800374","Patent Center")</f>
        <v>0.0</v>
      </c>
      <c r="H3226" s="2" t="n">
        <f>HYPERLINK("https://worldwide.espacenet.com/patent/search?q=US20130324496","Espacenet")</f>
        <v>0.0</v>
      </c>
      <c r="I3226" s="2" t="n">
        <f>HYPERLINK("https://ppubs.uspto.gov/pubwebapp/external.html?q=20130324496.pn.","USPTO")</f>
        <v>0.0</v>
      </c>
      <c r="J3226" s="2" t="n">
        <f>HYPERLINK("https://image-ppubs.uspto.gov/dirsearch-public/print/downloadPdf/20130324496","USPTO PDF")</f>
        <v>0.0</v>
      </c>
      <c r="K3226" s="2" t="n">
        <f>HYPERLINK("https://sectors.patentforecast.com/pmd/US20130324496","PMD")</f>
        <v>0.0</v>
      </c>
      <c r="L3226" s="2" t="n">
        <f>HYPERLINK("https://globaldossier.uspto.gov/result/application/US/13800374/1","US20130324496")</f>
        <v>0.0</v>
      </c>
      <c r="M3226" t="s">
        <v>20951</v>
      </c>
      <c r="N3226" t="s">
        <v>664</v>
      </c>
      <c r="O3226" t="s">
        <v>665</v>
      </c>
      <c r="P3226" t="s">
        <v>20952</v>
      </c>
      <c r="Q3226" s="3" t="n">
        <v>41346.0</v>
      </c>
      <c r="R3226" s="3" t="n">
        <v>41613.0</v>
      </c>
      <c r="S3226" s="3" t="n">
        <v>43952.4616409375</v>
      </c>
      <c r="T3226" s="3" t="n">
        <v>44638.65271974537</v>
      </c>
      <c r="U3226" t="s">
        <v>20953</v>
      </c>
      <c r="V3226" t="s">
        <v>18927</v>
      </c>
    </row>
    <row r="3227">
      <c r="A3227" t="s">
        <v>22</v>
      </c>
      <c r="B3227" t="s">
        <v>20954</v>
      </c>
      <c r="C3227" t="s">
        <v>60</v>
      </c>
      <c r="D3227" t="s">
        <v>696</v>
      </c>
      <c r="E3227" t="s">
        <v>20955</v>
      </c>
      <c r="F3227" s="2" t="n">
        <f>HYPERLINK("https://patents.google.com/patent/US20130323238","Google")</f>
        <v>0.0</v>
      </c>
      <c r="G3227" s="2" t="n">
        <f>HYPERLINK("https://patentcenter.uspto.gov/applications/13849597","Patent Center")</f>
        <v>0.0</v>
      </c>
      <c r="H3227" s="2" t="n">
        <f>HYPERLINK("https://worldwide.espacenet.com/patent/search?q=US20130323238","Espacenet")</f>
        <v>0.0</v>
      </c>
      <c r="I3227" s="2" t="n">
        <f>HYPERLINK("https://ppubs.uspto.gov/pubwebapp/external.html?q=20130323238.pn.","USPTO")</f>
        <v>0.0</v>
      </c>
      <c r="J3227" s="2" t="n">
        <f>HYPERLINK("https://image-ppubs.uspto.gov/dirsearch-public/print/downloadPdf/20130323238","USPTO PDF")</f>
        <v>0.0</v>
      </c>
      <c r="K3227" s="2" t="n">
        <f>HYPERLINK("https://sectors.patentforecast.com/pmd/US20130323238","PMD")</f>
        <v>0.0</v>
      </c>
      <c r="L3227" s="2" t="n">
        <f>HYPERLINK("https://globaldossier.uspto.gov/result/application/US/13849597/1","US20130323238")</f>
        <v>0.0</v>
      </c>
      <c r="M3227" t="s">
        <v>20956</v>
      </c>
      <c r="N3227" t="s">
        <v>16927</v>
      </c>
      <c r="O3227" t="s">
        <v>16928</v>
      </c>
      <c r="P3227" t="s">
        <v>16959</v>
      </c>
      <c r="Q3227" s="3" t="n">
        <v>41358.0</v>
      </c>
      <c r="R3227" s="3" t="n">
        <v>41613.0</v>
      </c>
      <c r="S3227" s="3" t="n">
        <v>43966.490136342596</v>
      </c>
      <c r="T3227" s="3" t="n">
        <v>44643.44490069444</v>
      </c>
      <c r="U3227" t="s">
        <v>20957</v>
      </c>
      <c r="V3227" t="s">
        <v>17130</v>
      </c>
    </row>
    <row r="3228">
      <c r="A3228" t="s">
        <v>22</v>
      </c>
      <c r="B3228" t="s">
        <v>20958</v>
      </c>
      <c r="C3228" t="s">
        <v>60</v>
      </c>
      <c r="D3228" t="s">
        <v>61</v>
      </c>
      <c r="E3228" t="s">
        <v>20882</v>
      </c>
      <c r="F3228" s="2" t="n">
        <f>HYPERLINK("https://patents.google.com/patent/US20130323203","Google")</f>
        <v>0.0</v>
      </c>
      <c r="G3228" s="2" t="n">
        <f>HYPERLINK("https://patentcenter.uspto.gov/applications/13958424","Patent Center")</f>
        <v>0.0</v>
      </c>
      <c r="H3228" s="2" t="n">
        <f>HYPERLINK("https://worldwide.espacenet.com/patent/search?q=US20130323203","Espacenet")</f>
        <v>0.0</v>
      </c>
      <c r="I3228" s="2" t="n">
        <f>HYPERLINK("https://ppubs.uspto.gov/pubwebapp/external.html?q=20130323203.pn.","USPTO")</f>
        <v>0.0</v>
      </c>
      <c r="J3228" s="2" t="n">
        <f>HYPERLINK("https://image-ppubs.uspto.gov/dirsearch-public/print/downloadPdf/20130323203","USPTO PDF")</f>
        <v>0.0</v>
      </c>
      <c r="K3228" s="2" t="n">
        <f>HYPERLINK("https://sectors.patentforecast.com/pmd/US20130323203","PMD")</f>
        <v>0.0</v>
      </c>
      <c r="L3228" s="2" t="n">
        <f>HYPERLINK("https://globaldossier.uspto.gov/result/application/US/13958424/1","US20130323203")</f>
        <v>0.0</v>
      </c>
      <c r="M3228" t="s">
        <v>20959</v>
      </c>
      <c r="N3228" t="s">
        <v>664</v>
      </c>
      <c r="O3228" t="s">
        <v>665</v>
      </c>
      <c r="P3228" t="s">
        <v>20960</v>
      </c>
      <c r="Q3228" s="3" t="n">
        <v>41488.0</v>
      </c>
      <c r="R3228" s="3" t="n">
        <v>41613.0</v>
      </c>
      <c r="S3228" s="3" t="n">
        <v>43952.4616409375</v>
      </c>
      <c r="T3228" s="3" t="n">
        <v>44638.65643378472</v>
      </c>
      <c r="U3228" t="s">
        <v>20961</v>
      </c>
      <c r="V3228" t="s">
        <v>20886</v>
      </c>
    </row>
    <row r="3229">
      <c r="A3229" t="s">
        <v>22</v>
      </c>
      <c r="B3229" t="s">
        <v>20962</v>
      </c>
      <c r="C3229" t="s">
        <v>24</v>
      </c>
      <c r="D3229" t="s">
        <v>8459</v>
      </c>
      <c r="E3229" t="s">
        <v>20963</v>
      </c>
      <c r="F3229" s="2" t="n">
        <f>HYPERLINK("https://patents.google.com/patent/US20130318027","Google")</f>
        <v>0.0</v>
      </c>
      <c r="G3229" s="2" t="n">
        <f>HYPERLINK("https://patentcenter.uspto.gov/applications/13680289","Patent Center")</f>
        <v>0.0</v>
      </c>
      <c r="H3229" s="2" t="n">
        <f>HYPERLINK("https://worldwide.espacenet.com/patent/search?q=US20130318027","Espacenet")</f>
        <v>0.0</v>
      </c>
      <c r="I3229" s="2" t="n">
        <f>HYPERLINK("https://ppubs.uspto.gov/pubwebapp/external.html?q=20130318027.pn.","USPTO")</f>
        <v>0.0</v>
      </c>
      <c r="J3229" s="2" t="n">
        <f>HYPERLINK("https://image-ppubs.uspto.gov/dirsearch-public/print/downloadPdf/20130318027","USPTO PDF")</f>
        <v>0.0</v>
      </c>
      <c r="K3229" s="2" t="n">
        <f>HYPERLINK("https://sectors.patentforecast.com/pmd/US20130318027","PMD")</f>
        <v>0.0</v>
      </c>
      <c r="L3229" s="2" t="n">
        <f>HYPERLINK("https://globaldossier.uspto.gov/result/application/US/13680289/1","US20130318027")</f>
        <v>0.0</v>
      </c>
      <c r="M3229" t="s">
        <v>20964</v>
      </c>
      <c r="N3229" t="s">
        <v>20965</v>
      </c>
      <c r="O3229" t="s">
        <v>20966</v>
      </c>
      <c r="P3229" t="s">
        <v>20967</v>
      </c>
      <c r="Q3229" s="3" t="n">
        <v>41232.0</v>
      </c>
      <c r="R3229" s="3" t="n">
        <v>41606.0</v>
      </c>
      <c r="S3229" s="3" t="n">
        <v>43266.45736898148</v>
      </c>
      <c r="T3229" s="3" t="n">
        <v>43903.48463236111</v>
      </c>
      <c r="U3229" t="s">
        <v>20968</v>
      </c>
      <c r="V3229" t="s">
        <v>20969</v>
      </c>
    </row>
    <row r="3230">
      <c r="A3230" t="s">
        <v>22</v>
      </c>
      <c r="B3230" t="s">
        <v>20970</v>
      </c>
      <c r="C3230" t="s">
        <v>60</v>
      </c>
      <c r="D3230" t="s">
        <v>61</v>
      </c>
      <c r="E3230" t="s">
        <v>20438</v>
      </c>
      <c r="F3230" s="2" t="n">
        <f>HYPERLINK("https://patents.google.com/patent/US20130316969","Google")</f>
        <v>0.0</v>
      </c>
      <c r="G3230" s="2" t="n">
        <f>HYPERLINK("https://patentcenter.uspto.gov/applications/13848593","Patent Center")</f>
        <v>0.0</v>
      </c>
      <c r="H3230" s="2" t="n">
        <f>HYPERLINK("https://worldwide.espacenet.com/patent/search?q=US20130316969","Espacenet")</f>
        <v>0.0</v>
      </c>
      <c r="I3230" s="2" t="n">
        <f>HYPERLINK("https://ppubs.uspto.gov/pubwebapp/external.html?q=20130316969.pn.","USPTO")</f>
        <v>0.0</v>
      </c>
      <c r="J3230" s="2" t="n">
        <f>HYPERLINK("https://image-ppubs.uspto.gov/dirsearch-public/print/downloadPdf/20130316969","USPTO PDF")</f>
        <v>0.0</v>
      </c>
      <c r="K3230" s="2" t="n">
        <f>HYPERLINK("https://sectors.patentforecast.com/pmd/US20130316969","PMD")</f>
        <v>0.0</v>
      </c>
      <c r="L3230" s="2" t="n">
        <f>HYPERLINK("https://globaldossier.uspto.gov/result/application/US/13848593/1","US20130316969")</f>
        <v>0.0</v>
      </c>
      <c r="M3230" t="s">
        <v>20971</v>
      </c>
      <c r="N3230" t="s">
        <v>664</v>
      </c>
      <c r="O3230" t="s">
        <v>665</v>
      </c>
      <c r="P3230" t="s">
        <v>20972</v>
      </c>
      <c r="Q3230" s="3" t="n">
        <v>41354.0</v>
      </c>
      <c r="R3230" s="3" t="n">
        <v>41606.0</v>
      </c>
      <c r="S3230" s="3" t="n">
        <v>43950.647371782405</v>
      </c>
      <c r="T3230" s="3" t="n">
        <v>44638.65271974537</v>
      </c>
      <c r="U3230" t="s">
        <v>20973</v>
      </c>
      <c r="V3230" t="s">
        <v>20442</v>
      </c>
    </row>
    <row r="3231">
      <c r="A3231" t="s">
        <v>22</v>
      </c>
      <c r="B3231" t="s">
        <v>20974</v>
      </c>
      <c r="C3231" t="s">
        <v>60</v>
      </c>
      <c r="D3231" t="s">
        <v>61</v>
      </c>
      <c r="E3231" t="s">
        <v>20882</v>
      </c>
      <c r="F3231" s="2" t="n">
        <f>HYPERLINK("https://patents.google.com/patent/US20130315861","Google")</f>
        <v>0.0</v>
      </c>
      <c r="G3231" s="2" t="n">
        <f>HYPERLINK("https://patentcenter.uspto.gov/applications/13939695","Patent Center")</f>
        <v>0.0</v>
      </c>
      <c r="H3231" s="2" t="n">
        <f>HYPERLINK("https://worldwide.espacenet.com/patent/search?q=US20130315861","Espacenet")</f>
        <v>0.0</v>
      </c>
      <c r="I3231" s="2" t="n">
        <f>HYPERLINK("https://ppubs.uspto.gov/pubwebapp/external.html?q=20130315861.pn.","USPTO")</f>
        <v>0.0</v>
      </c>
      <c r="J3231" s="2" t="n">
        <f>HYPERLINK("https://image-ppubs.uspto.gov/dirsearch-public/print/downloadPdf/20130315861","USPTO PDF")</f>
        <v>0.0</v>
      </c>
      <c r="K3231" s="2" t="n">
        <f>HYPERLINK("https://sectors.patentforecast.com/pmd/US20130315861","PMD")</f>
        <v>0.0</v>
      </c>
      <c r="L3231" s="2" t="n">
        <f>HYPERLINK("https://globaldossier.uspto.gov/result/application/US/13939695/1","US20130315861")</f>
        <v>0.0</v>
      </c>
      <c r="M3231" t="s">
        <v>20975</v>
      </c>
      <c r="N3231" t="s">
        <v>664</v>
      </c>
      <c r="O3231" t="s">
        <v>665</v>
      </c>
      <c r="P3231" t="s">
        <v>20976</v>
      </c>
      <c r="Q3231" s="3" t="n">
        <v>41466.0</v>
      </c>
      <c r="R3231" s="3" t="n">
        <v>41606.0</v>
      </c>
      <c r="S3231" s="3" t="n">
        <v>43952.4616409375</v>
      </c>
      <c r="T3231" s="3" t="n">
        <v>44638.65643378472</v>
      </c>
      <c r="U3231" t="s">
        <v>20977</v>
      </c>
      <c r="V3231" t="s">
        <v>20886</v>
      </c>
    </row>
    <row r="3232">
      <c r="A3232" t="s">
        <v>22</v>
      </c>
      <c r="B3232" t="s">
        <v>20978</v>
      </c>
      <c r="C3232" t="s">
        <v>60</v>
      </c>
      <c r="D3232" t="s">
        <v>61</v>
      </c>
      <c r="E3232" t="s">
        <v>16903</v>
      </c>
      <c r="F3232" s="2" t="n">
        <f>HYPERLINK("https://patents.google.com/patent/US20130309196","Google")</f>
        <v>0.0</v>
      </c>
      <c r="G3232" s="2" t="n">
        <f>HYPERLINK("https://patentcenter.uspto.gov/applications/13831116","Patent Center")</f>
        <v>0.0</v>
      </c>
      <c r="H3232" s="2" t="n">
        <f>HYPERLINK("https://worldwide.espacenet.com/patent/search?q=US20130309196","Espacenet")</f>
        <v>0.0</v>
      </c>
      <c r="I3232" s="2" t="n">
        <f>HYPERLINK("https://ppubs.uspto.gov/pubwebapp/external.html?q=20130309196.pn.","USPTO")</f>
        <v>0.0</v>
      </c>
      <c r="J3232" s="2" t="n">
        <f>HYPERLINK("https://image-ppubs.uspto.gov/dirsearch-public/print/downloadPdf/20130309196","USPTO PDF")</f>
        <v>0.0</v>
      </c>
      <c r="K3232" s="2" t="n">
        <f>HYPERLINK("https://sectors.patentforecast.com/pmd/US20130309196","PMD")</f>
        <v>0.0</v>
      </c>
      <c r="L3232" s="2" t="n">
        <f>HYPERLINK("https://globaldossier.uspto.gov/result/application/US/13831116/1","US20130309196")</f>
        <v>0.0</v>
      </c>
      <c r="M3232" t="s">
        <v>20979</v>
      </c>
      <c r="N3232" t="s">
        <v>664</v>
      </c>
      <c r="O3232" t="s">
        <v>665</v>
      </c>
      <c r="P3232" t="s">
        <v>20980</v>
      </c>
      <c r="Q3232" s="3" t="n">
        <v>41347.0</v>
      </c>
      <c r="R3232" s="3" t="n">
        <v>41599.0</v>
      </c>
      <c r="S3232" s="3" t="n">
        <v>43952.4616409375</v>
      </c>
      <c r="T3232" s="3" t="n">
        <v>44638.65271974537</v>
      </c>
      <c r="U3232" t="s">
        <v>20981</v>
      </c>
      <c r="V3232" t="s">
        <v>17072</v>
      </c>
    </row>
    <row r="3233">
      <c r="A3233" t="s">
        <v>22</v>
      </c>
      <c r="B3233" t="s">
        <v>20982</v>
      </c>
      <c r="C3233" t="s">
        <v>60</v>
      </c>
      <c r="D3233" t="s">
        <v>61</v>
      </c>
      <c r="E3233" t="s">
        <v>16903</v>
      </c>
      <c r="F3233" s="2" t="n">
        <f>HYPERLINK("https://patents.google.com/patent/US20130309195","Google")</f>
        <v>0.0</v>
      </c>
      <c r="G3233" s="2" t="n">
        <f>HYPERLINK("https://patentcenter.uspto.gov/applications/13828104","Patent Center")</f>
        <v>0.0</v>
      </c>
      <c r="H3233" s="2" t="n">
        <f>HYPERLINK("https://worldwide.espacenet.com/patent/search?q=US20130309195","Espacenet")</f>
        <v>0.0</v>
      </c>
      <c r="I3233" s="2" t="n">
        <f>HYPERLINK("https://ppubs.uspto.gov/pubwebapp/external.html?q=20130309195.pn.","USPTO")</f>
        <v>0.0</v>
      </c>
      <c r="J3233" s="2" t="n">
        <f>HYPERLINK("https://image-ppubs.uspto.gov/dirsearch-public/print/downloadPdf/20130309195","USPTO PDF")</f>
        <v>0.0</v>
      </c>
      <c r="K3233" s="2" t="n">
        <f>HYPERLINK("https://sectors.patentforecast.com/pmd/US20130309195","PMD")</f>
        <v>0.0</v>
      </c>
      <c r="L3233" s="2" t="n">
        <f>HYPERLINK("https://globaldossier.uspto.gov/result/application/US/13828104/1","US20130309195")</f>
        <v>0.0</v>
      </c>
      <c r="M3233" t="s">
        <v>20983</v>
      </c>
      <c r="N3233" t="s">
        <v>664</v>
      </c>
      <c r="O3233" t="s">
        <v>665</v>
      </c>
      <c r="P3233" t="s">
        <v>20980</v>
      </c>
      <c r="Q3233" s="3" t="n">
        <v>41347.0</v>
      </c>
      <c r="R3233" s="3" t="n">
        <v>41599.0</v>
      </c>
      <c r="S3233" s="3" t="n">
        <v>43952.4616409375</v>
      </c>
      <c r="T3233" s="3" t="n">
        <v>44638.65271974537</v>
      </c>
      <c r="U3233" t="s">
        <v>20984</v>
      </c>
      <c r="V3233" t="s">
        <v>16907</v>
      </c>
    </row>
    <row r="3234">
      <c r="A3234" t="s">
        <v>22</v>
      </c>
      <c r="B3234" t="s">
        <v>20985</v>
      </c>
      <c r="C3234" t="s">
        <v>60</v>
      </c>
      <c r="D3234" t="s">
        <v>61</v>
      </c>
      <c r="E3234" t="s">
        <v>20882</v>
      </c>
      <c r="F3234" s="2" t="n">
        <f>HYPERLINK("https://patents.google.com/patent/US20130302280","Google")</f>
        <v>0.0</v>
      </c>
      <c r="G3234" s="2" t="n">
        <f>HYPERLINK("https://patentcenter.uspto.gov/applications/13927355","Patent Center")</f>
        <v>0.0</v>
      </c>
      <c r="H3234" s="2" t="n">
        <f>HYPERLINK("https://worldwide.espacenet.com/patent/search?q=US20130302280","Espacenet")</f>
        <v>0.0</v>
      </c>
      <c r="I3234" s="2" t="n">
        <f>HYPERLINK("https://ppubs.uspto.gov/pubwebapp/external.html?q=20130302280.pn.","USPTO")</f>
        <v>0.0</v>
      </c>
      <c r="J3234" s="2" t="n">
        <f>HYPERLINK("https://image-ppubs.uspto.gov/dirsearch-public/print/downloadPdf/20130302280","USPTO PDF")</f>
        <v>0.0</v>
      </c>
      <c r="K3234" s="2" t="n">
        <f>HYPERLINK("https://sectors.patentforecast.com/pmd/US20130302280","PMD")</f>
        <v>0.0</v>
      </c>
      <c r="L3234" s="2" t="n">
        <f>HYPERLINK("https://globaldossier.uspto.gov/result/application/US/13927355/1","US20130302280")</f>
        <v>0.0</v>
      </c>
      <c r="M3234" t="s">
        <v>20986</v>
      </c>
      <c r="N3234" t="s">
        <v>664</v>
      </c>
      <c r="O3234" t="s">
        <v>665</v>
      </c>
      <c r="P3234" t="s">
        <v>20987</v>
      </c>
      <c r="Q3234" s="3" t="n">
        <v>41451.0</v>
      </c>
      <c r="R3234" s="3" t="n">
        <v>41592.0</v>
      </c>
      <c r="S3234" s="3" t="n">
        <v>43952.4616409375</v>
      </c>
      <c r="T3234" s="3" t="n">
        <v>44638.65643378472</v>
      </c>
      <c r="U3234" t="s">
        <v>20988</v>
      </c>
      <c r="V3234" t="s">
        <v>20989</v>
      </c>
    </row>
    <row r="3235">
      <c r="A3235" t="s">
        <v>22</v>
      </c>
      <c r="B3235" t="s">
        <v>20990</v>
      </c>
      <c r="C3235" t="s">
        <v>132</v>
      </c>
      <c r="D3235" t="s">
        <v>1265</v>
      </c>
      <c r="E3235" t="s">
        <v>17398</v>
      </c>
      <c r="F3235" s="2" t="n">
        <f>HYPERLINK("https://patents.google.com/patent/US20130295135","Google")</f>
        <v>0.0</v>
      </c>
      <c r="G3235" s="2" t="n">
        <f>HYPERLINK("https://patentcenter.uspto.gov/applications/13890711","Patent Center")</f>
        <v>0.0</v>
      </c>
      <c r="H3235" s="2" t="n">
        <f>HYPERLINK("https://worldwide.espacenet.com/patent/search?q=US20130295135","Espacenet")</f>
        <v>0.0</v>
      </c>
      <c r="I3235" s="2" t="n">
        <f>HYPERLINK("https://ppubs.uspto.gov/pubwebapp/external.html?q=20130295135.pn.","USPTO")</f>
        <v>0.0</v>
      </c>
      <c r="J3235" s="2" t="n">
        <f>HYPERLINK("https://image-ppubs.uspto.gov/dirsearch-public/print/downloadPdf/20130295135","USPTO PDF")</f>
        <v>0.0</v>
      </c>
      <c r="K3235" s="2" t="n">
        <f>HYPERLINK("https://sectors.patentforecast.com/pmd/US20130295135","PMD")</f>
        <v>0.0</v>
      </c>
      <c r="L3235" s="2" t="n">
        <f>HYPERLINK("https://globaldossier.uspto.gov/result/application/US/13890711/1","US20130295135")</f>
        <v>0.0</v>
      </c>
      <c r="M3235" t="s">
        <v>20991</v>
      </c>
      <c r="N3235" t="s">
        <v>1275</v>
      </c>
      <c r="O3235" t="s">
        <v>1275</v>
      </c>
      <c r="P3235" t="s">
        <v>18571</v>
      </c>
      <c r="Q3235" s="3" t="n">
        <v>41403.0</v>
      </c>
      <c r="R3235" s="3" t="n">
        <v>41585.0</v>
      </c>
      <c r="S3235" s="3" t="n">
        <v>43900.437389907405</v>
      </c>
      <c r="T3235" s="3" t="n">
        <v>43903.48463239583</v>
      </c>
      <c r="U3235" t="s">
        <v>20992</v>
      </c>
      <c r="V3235" t="s">
        <v>17402</v>
      </c>
    </row>
    <row r="3236">
      <c r="A3236" t="s">
        <v>22</v>
      </c>
      <c r="B3236" t="s">
        <v>20993</v>
      </c>
      <c r="C3236" t="s">
        <v>132</v>
      </c>
      <c r="D3236" t="s">
        <v>1265</v>
      </c>
      <c r="E3236" t="s">
        <v>18254</v>
      </c>
      <c r="F3236" s="2" t="n">
        <f>HYPERLINK("https://patents.google.com/patent/US20130287832","Google")</f>
        <v>0.0</v>
      </c>
      <c r="G3236" s="2" t="n">
        <f>HYPERLINK("https://patentcenter.uspto.gov/applications/13817814","Patent Center")</f>
        <v>0.0</v>
      </c>
      <c r="H3236" s="2" t="n">
        <f>HYPERLINK("https://worldwide.espacenet.com/patent/search?q=US20130287832","Espacenet")</f>
        <v>0.0</v>
      </c>
      <c r="I3236" s="2" t="n">
        <f>HYPERLINK("https://ppubs.uspto.gov/pubwebapp/external.html?q=20130287832.pn.","USPTO")</f>
        <v>0.0</v>
      </c>
      <c r="J3236" s="2" t="n">
        <f>HYPERLINK("https://image-ppubs.uspto.gov/dirsearch-public/print/downloadPdf/20130287832","USPTO PDF")</f>
        <v>0.0</v>
      </c>
      <c r="K3236" s="2" t="n">
        <f>HYPERLINK("https://sectors.patentforecast.com/pmd/US20130287832","PMD")</f>
        <v>0.0</v>
      </c>
      <c r="L3236" s="2" t="n">
        <f>HYPERLINK("https://globaldossier.uspto.gov/result/application/US/13817814/1","US20130287832")</f>
        <v>0.0</v>
      </c>
      <c r="M3236" t="s">
        <v>20994</v>
      </c>
      <c r="N3236" t="s">
        <v>14996</v>
      </c>
      <c r="O3236" t="s">
        <v>14997</v>
      </c>
      <c r="P3236" t="s">
        <v>20995</v>
      </c>
      <c r="Q3236" s="3" t="n">
        <v>40774.0</v>
      </c>
      <c r="R3236" s="3" t="n">
        <v>41578.0</v>
      </c>
      <c r="S3236" s="3" t="n">
        <v>43900.437389907405</v>
      </c>
      <c r="T3236" s="3" t="n">
        <v>43903.48463244213</v>
      </c>
      <c r="U3236" t="s">
        <v>20996</v>
      </c>
      <c r="V3236" t="s">
        <v>20997</v>
      </c>
    </row>
    <row r="3237">
      <c r="A3237" t="s">
        <v>22</v>
      </c>
      <c r="B3237" t="s">
        <v>20998</v>
      </c>
      <c r="C3237" t="s">
        <v>312</v>
      </c>
      <c r="D3237" t="s">
        <v>313</v>
      </c>
      <c r="E3237" t="s">
        <v>20999</v>
      </c>
      <c r="F3237" s="2" t="n">
        <f>HYPERLINK("https://patents.google.com/patent/US20130275361","Google")</f>
        <v>0.0</v>
      </c>
      <c r="G3237" s="2" t="n">
        <f>HYPERLINK("https://patentcenter.uspto.gov/applications/13449024","Patent Center")</f>
        <v>0.0</v>
      </c>
      <c r="H3237" s="2" t="n">
        <f>HYPERLINK("https://worldwide.espacenet.com/patent/search?q=US20130275361","Espacenet")</f>
        <v>0.0</v>
      </c>
      <c r="I3237" s="2" t="n">
        <f>HYPERLINK("https://ppubs.uspto.gov/pubwebapp/external.html?q=20130275361.pn.","USPTO")</f>
        <v>0.0</v>
      </c>
      <c r="J3237" s="2" t="n">
        <f>HYPERLINK("https://image-ppubs.uspto.gov/dirsearch-public/print/downloadPdf/20130275361","USPTO PDF")</f>
        <v>0.0</v>
      </c>
      <c r="K3237" s="2" t="n">
        <f>HYPERLINK("https://sectors.patentforecast.com/pmd/US20130275361","PMD")</f>
        <v>0.0</v>
      </c>
      <c r="L3237" s="2" t="n">
        <f>HYPERLINK("https://globaldossier.uspto.gov/result/application/US/13449024/1","US20130275361")</f>
        <v>0.0</v>
      </c>
      <c r="M3237" t="s">
        <v>21000</v>
      </c>
      <c r="N3237" t="s">
        <v>6786</v>
      </c>
      <c r="O3237" t="s">
        <v>6787</v>
      </c>
      <c r="P3237" t="s">
        <v>21001</v>
      </c>
      <c r="Q3237" s="3" t="n">
        <v>41016.0</v>
      </c>
      <c r="R3237" s="3" t="n">
        <v>41564.0</v>
      </c>
      <c r="S3237" s="3" t="n">
        <v>43266.45736898148</v>
      </c>
      <c r="T3237" s="3" t="n">
        <v>43266.63762232639</v>
      </c>
      <c r="U3237" t="s">
        <v>21002</v>
      </c>
      <c r="V3237" t="s">
        <v>21003</v>
      </c>
    </row>
    <row r="3238">
      <c r="A3238" t="s">
        <v>22</v>
      </c>
      <c r="B3238" t="s">
        <v>21004</v>
      </c>
      <c r="C3238" t="s">
        <v>60</v>
      </c>
      <c r="D3238" t="s">
        <v>61</v>
      </c>
      <c r="E3238" t="s">
        <v>16903</v>
      </c>
      <c r="F3238" s="2" t="n">
        <f>HYPERLINK("https://patents.google.com/patent/US20130274439","Google")</f>
        <v>0.0</v>
      </c>
      <c r="G3238" s="2" t="n">
        <f>HYPERLINK("https://patentcenter.uspto.gov/applications/13794389","Patent Center")</f>
        <v>0.0</v>
      </c>
      <c r="H3238" s="2" t="n">
        <f>HYPERLINK("https://worldwide.espacenet.com/patent/search?q=US20130274439","Espacenet")</f>
        <v>0.0</v>
      </c>
      <c r="I3238" s="2" t="n">
        <f>HYPERLINK("https://ppubs.uspto.gov/pubwebapp/external.html?q=20130274439.pn.","USPTO")</f>
        <v>0.0</v>
      </c>
      <c r="J3238" s="2" t="n">
        <f>HYPERLINK("https://image-ppubs.uspto.gov/dirsearch-public/print/downloadPdf/20130274439","USPTO PDF")</f>
        <v>0.0</v>
      </c>
      <c r="K3238" s="2" t="n">
        <f>HYPERLINK("https://sectors.patentforecast.com/pmd/US20130274439","PMD")</f>
        <v>0.0</v>
      </c>
      <c r="L3238" s="2" t="n">
        <f>HYPERLINK("https://globaldossier.uspto.gov/result/application/US/13794389/1","US20130274439")</f>
        <v>0.0</v>
      </c>
      <c r="M3238" t="s">
        <v>21005</v>
      </c>
      <c r="N3238" t="s">
        <v>664</v>
      </c>
      <c r="O3238" t="s">
        <v>665</v>
      </c>
      <c r="P3238" t="s">
        <v>21006</v>
      </c>
      <c r="Q3238" s="3" t="n">
        <v>41344.0</v>
      </c>
      <c r="R3238" s="3" t="n">
        <v>41564.0</v>
      </c>
      <c r="S3238" s="3" t="n">
        <v>43952.4616409375</v>
      </c>
      <c r="T3238" s="3" t="n">
        <v>44638.65271974537</v>
      </c>
      <c r="U3238" t="s">
        <v>21007</v>
      </c>
      <c r="V3238" t="s">
        <v>16907</v>
      </c>
    </row>
    <row r="3239">
      <c r="A3239" t="s">
        <v>22</v>
      </c>
      <c r="B3239" t="s">
        <v>21008</v>
      </c>
      <c r="C3239" t="s">
        <v>60</v>
      </c>
      <c r="D3239" t="s">
        <v>61</v>
      </c>
      <c r="E3239" t="s">
        <v>18883</v>
      </c>
      <c r="F3239" s="2" t="n">
        <f>HYPERLINK("https://patents.google.com/patent/US20130273037","Google")</f>
        <v>0.0</v>
      </c>
      <c r="G3239" s="2" t="n">
        <f>HYPERLINK("https://patentcenter.uspto.gov/applications/13865069","Patent Center")</f>
        <v>0.0</v>
      </c>
      <c r="H3239" s="2" t="n">
        <f>HYPERLINK("https://worldwide.espacenet.com/patent/search?q=US20130273037","Espacenet")</f>
        <v>0.0</v>
      </c>
      <c r="I3239" s="2" t="n">
        <f>HYPERLINK("https://ppubs.uspto.gov/pubwebapp/external.html?q=20130273037.pn.","USPTO")</f>
        <v>0.0</v>
      </c>
      <c r="J3239" s="2" t="n">
        <f>HYPERLINK("https://image-ppubs.uspto.gov/dirsearch-public/print/downloadPdf/20130273037","USPTO PDF")</f>
        <v>0.0</v>
      </c>
      <c r="K3239" s="2" t="n">
        <f>HYPERLINK("https://sectors.patentforecast.com/pmd/US20130273037","PMD")</f>
        <v>0.0</v>
      </c>
      <c r="L3239" s="2" t="n">
        <f>HYPERLINK("https://globaldossier.uspto.gov/result/application/US/13865069/1","US20130273037")</f>
        <v>0.0</v>
      </c>
      <c r="M3239" t="s">
        <v>21009</v>
      </c>
      <c r="N3239" t="s">
        <v>664</v>
      </c>
      <c r="O3239" t="s">
        <v>665</v>
      </c>
      <c r="P3239" t="s">
        <v>21010</v>
      </c>
      <c r="Q3239" s="3" t="n">
        <v>41381.0</v>
      </c>
      <c r="R3239" s="3" t="n">
        <v>41564.0</v>
      </c>
      <c r="S3239" s="3" t="n">
        <v>43952.4616409375</v>
      </c>
      <c r="T3239" s="3" t="n">
        <v>44638.65271974537</v>
      </c>
      <c r="U3239" t="s">
        <v>21011</v>
      </c>
      <c r="V3239" t="s">
        <v>18887</v>
      </c>
    </row>
    <row r="3240">
      <c r="A3240" t="s">
        <v>22</v>
      </c>
      <c r="B3240" t="s">
        <v>21012</v>
      </c>
      <c r="C3240" t="s">
        <v>312</v>
      </c>
      <c r="D3240" t="s">
        <v>715</v>
      </c>
      <c r="E3240" t="s">
        <v>21013</v>
      </c>
      <c r="F3240" s="2" t="n">
        <f>HYPERLINK("https://patents.google.com/patent/US20130271279","Google")</f>
        <v>0.0</v>
      </c>
      <c r="G3240" s="2" t="n">
        <f>HYPERLINK("https://patentcenter.uspto.gov/applications/13870316","Patent Center")</f>
        <v>0.0</v>
      </c>
      <c r="H3240" s="2" t="n">
        <f>HYPERLINK("https://worldwide.espacenet.com/patent/search?q=US20130271279","Espacenet")</f>
        <v>0.0</v>
      </c>
      <c r="I3240" s="2" t="n">
        <f>HYPERLINK("https://ppubs.uspto.gov/pubwebapp/external.html?q=20130271279.pn.","USPTO")</f>
        <v>0.0</v>
      </c>
      <c r="J3240" s="2" t="n">
        <f>HYPERLINK("https://image-ppubs.uspto.gov/dirsearch-public/print/downloadPdf/20130271279","USPTO PDF")</f>
        <v>0.0</v>
      </c>
      <c r="K3240" s="2" t="n">
        <f>HYPERLINK("https://sectors.patentforecast.com/pmd/US20130271279","PMD")</f>
        <v>0.0</v>
      </c>
      <c r="L3240" s="2" t="n">
        <f>HYPERLINK("https://globaldossier.uspto.gov/result/application/US/13870316/1","US20130271279")</f>
        <v>0.0</v>
      </c>
      <c r="M3240" t="s">
        <v>21014</v>
      </c>
      <c r="N3240" t="s">
        <v>4975</v>
      </c>
      <c r="O3240" t="s">
        <v>4976</v>
      </c>
      <c r="P3240" t="s">
        <v>21015</v>
      </c>
      <c r="Q3240" s="3" t="n">
        <v>41389.0</v>
      </c>
      <c r="R3240" s="3" t="n">
        <v>41564.0</v>
      </c>
      <c r="S3240" s="3" t="n">
        <v>43266.45736898148</v>
      </c>
      <c r="T3240" s="3" t="n">
        <v>43328.45413824074</v>
      </c>
      <c r="U3240" t="s">
        <v>21016</v>
      </c>
      <c r="V3240" t="s">
        <v>21017</v>
      </c>
    </row>
    <row r="3241">
      <c r="A3241" t="s">
        <v>22</v>
      </c>
      <c r="B3241" t="s">
        <v>21018</v>
      </c>
      <c r="C3241" t="s">
        <v>132</v>
      </c>
      <c r="D3241" t="s">
        <v>1265</v>
      </c>
      <c r="E3241" t="s">
        <v>21019</v>
      </c>
      <c r="F3241" s="2" t="n">
        <f>HYPERLINK("https://patents.google.com/patent/US20130259886","Google")</f>
        <v>0.0</v>
      </c>
      <c r="G3241" s="2" t="n">
        <f>HYPERLINK("https://patentcenter.uspto.gov/applications/13666467","Patent Center")</f>
        <v>0.0</v>
      </c>
      <c r="H3241" s="2" t="n">
        <f>HYPERLINK("https://worldwide.espacenet.com/patent/search?q=US20130259886","Espacenet")</f>
        <v>0.0</v>
      </c>
      <c r="I3241" s="2" t="n">
        <f>HYPERLINK("https://ppubs.uspto.gov/pubwebapp/external.html?q=20130259886.pn.","USPTO")</f>
        <v>0.0</v>
      </c>
      <c r="J3241" s="2" t="n">
        <f>HYPERLINK("https://image-ppubs.uspto.gov/dirsearch-public/print/downloadPdf/20130259886","USPTO PDF")</f>
        <v>0.0</v>
      </c>
      <c r="K3241" s="2" t="n">
        <f>HYPERLINK("https://sectors.patentforecast.com/pmd/US20130259886","PMD")</f>
        <v>0.0</v>
      </c>
      <c r="L3241" s="2" t="n">
        <f>HYPERLINK("https://globaldossier.uspto.gov/result/application/US/13666467/1","US20130259886")</f>
        <v>0.0</v>
      </c>
      <c r="M3241" t="s">
        <v>21020</v>
      </c>
      <c r="N3241" t="s">
        <v>21021</v>
      </c>
      <c r="O3241" t="s">
        <v>21021</v>
      </c>
      <c r="P3241" t="s">
        <v>21022</v>
      </c>
      <c r="Q3241" s="3" t="n">
        <v>41214.0</v>
      </c>
      <c r="R3241" s="3" t="n">
        <v>41550.0</v>
      </c>
      <c r="S3241" s="3" t="n">
        <v>43900.437389907405</v>
      </c>
      <c r="T3241" s="3" t="n">
        <v>43903.48463277778</v>
      </c>
      <c r="U3241" t="s">
        <v>21023</v>
      </c>
      <c r="V3241" t="s">
        <v>21024</v>
      </c>
    </row>
    <row r="3242">
      <c r="A3242" t="s">
        <v>22</v>
      </c>
      <c r="B3242" t="s">
        <v>21025</v>
      </c>
      <c r="C3242" t="s">
        <v>60</v>
      </c>
      <c r="D3242" t="s">
        <v>61</v>
      </c>
      <c r="E3242" t="s">
        <v>21026</v>
      </c>
      <c r="F3242" s="2" t="n">
        <f>HYPERLINK("https://patents.google.com/patent/US20130259829","Google")</f>
        <v>0.0</v>
      </c>
      <c r="G3242" s="2" t="n">
        <f>HYPERLINK("https://patentcenter.uspto.gov/applications/13911680","Patent Center")</f>
        <v>0.0</v>
      </c>
      <c r="H3242" s="2" t="n">
        <f>HYPERLINK("https://worldwide.espacenet.com/patent/search?q=US20130259829","Espacenet")</f>
        <v>0.0</v>
      </c>
      <c r="I3242" s="2" t="n">
        <f>HYPERLINK("https://ppubs.uspto.gov/pubwebapp/external.html?q=20130259829.pn.","USPTO")</f>
        <v>0.0</v>
      </c>
      <c r="J3242" s="2" t="n">
        <f>HYPERLINK("https://image-ppubs.uspto.gov/dirsearch-public/print/downloadPdf/20130259829","USPTO PDF")</f>
        <v>0.0</v>
      </c>
      <c r="K3242" s="2" t="n">
        <f>HYPERLINK("https://sectors.patentforecast.com/pmd/US20130259829","PMD")</f>
        <v>0.0</v>
      </c>
      <c r="L3242" s="2" t="n">
        <f>HYPERLINK("https://globaldossier.uspto.gov/result/application/US/13911680/1","US20130259829")</f>
        <v>0.0</v>
      </c>
      <c r="M3242" t="s">
        <v>21027</v>
      </c>
      <c r="N3242" t="s">
        <v>21028</v>
      </c>
      <c r="O3242" t="s">
        <v>21029</v>
      </c>
      <c r="P3242" t="s">
        <v>21030</v>
      </c>
      <c r="Q3242" s="3" t="n">
        <v>41431.0</v>
      </c>
      <c r="R3242" s="3" t="n">
        <v>41550.0</v>
      </c>
      <c r="S3242" s="3" t="n">
        <v>43936.4616487963</v>
      </c>
      <c r="T3242" s="3" t="n">
        <v>44543.63875921296</v>
      </c>
      <c r="U3242" t="s">
        <v>21031</v>
      </c>
      <c r="V3242" t="s">
        <v>21032</v>
      </c>
    </row>
    <row r="3243">
      <c r="A3243" t="s">
        <v>22</v>
      </c>
      <c r="B3243" t="s">
        <v>21033</v>
      </c>
      <c r="C3243" t="s">
        <v>24</v>
      </c>
      <c r="D3243" t="s">
        <v>1356</v>
      </c>
      <c r="E3243" t="s">
        <v>21034</v>
      </c>
      <c r="F3243" s="2" t="n">
        <f>HYPERLINK("https://patents.google.com/patent/US20130253284","Google")</f>
        <v>0.0</v>
      </c>
      <c r="G3243" s="2" t="n">
        <f>HYPERLINK("https://patentcenter.uspto.gov/applications/13819757","Patent Center")</f>
        <v>0.0</v>
      </c>
      <c r="H3243" s="2" t="n">
        <f>HYPERLINK("https://worldwide.espacenet.com/patent/search?q=US20130253284","Espacenet")</f>
        <v>0.0</v>
      </c>
      <c r="I3243" s="2" t="n">
        <f>HYPERLINK("https://ppubs.uspto.gov/pubwebapp/external.html?q=20130253284.pn.","USPTO")</f>
        <v>0.0</v>
      </c>
      <c r="J3243" s="2" t="n">
        <f>HYPERLINK("https://image-ppubs.uspto.gov/dirsearch-public/print/downloadPdf/20130253284","USPTO PDF")</f>
        <v>0.0</v>
      </c>
      <c r="K3243" s="2" t="n">
        <f>HYPERLINK("https://sectors.patentforecast.com/pmd/US20130253284","PMD")</f>
        <v>0.0</v>
      </c>
      <c r="L3243" s="2" t="n">
        <f>HYPERLINK("https://globaldossier.uspto.gov/result/application/US/13819757/1","US20130253284")</f>
        <v>0.0</v>
      </c>
      <c r="M3243" t="s">
        <v>21035</v>
      </c>
      <c r="N3243" t="s">
        <v>21036</v>
      </c>
      <c r="O3243" t="s">
        <v>21037</v>
      </c>
      <c r="P3243" t="s">
        <v>21038</v>
      </c>
      <c r="Q3243" s="3" t="n">
        <v>40422.0</v>
      </c>
      <c r="R3243" s="3" t="n">
        <v>41543.0</v>
      </c>
      <c r="S3243" s="3" t="n">
        <v>43266.45736898148</v>
      </c>
      <c r="T3243" s="3" t="n">
        <v>43901.72156445602</v>
      </c>
      <c r="U3243" t="s">
        <v>21039</v>
      </c>
      <c r="V3243" t="s">
        <v>21040</v>
      </c>
    </row>
    <row r="3244">
      <c r="A3244" t="s">
        <v>22</v>
      </c>
      <c r="B3244" t="s">
        <v>21041</v>
      </c>
      <c r="C3244" t="s">
        <v>132</v>
      </c>
      <c r="D3244" t="s">
        <v>142</v>
      </c>
      <c r="E3244" t="s">
        <v>21042</v>
      </c>
      <c r="F3244" s="2" t="n">
        <f>HYPERLINK("https://patents.google.com/patent/US20130245107","Google")</f>
        <v>0.0</v>
      </c>
      <c r="G3244" s="2" t="n">
        <f>HYPERLINK("https://patentcenter.uspto.gov/applications/13899641","Patent Center")</f>
        <v>0.0</v>
      </c>
      <c r="H3244" s="2" t="n">
        <f>HYPERLINK("https://worldwide.espacenet.com/patent/search?q=US20130245107","Espacenet")</f>
        <v>0.0</v>
      </c>
      <c r="I3244" s="2" t="n">
        <f>HYPERLINK("https://ppubs.uspto.gov/pubwebapp/external.html?q=20130245107.pn.","USPTO")</f>
        <v>0.0</v>
      </c>
      <c r="J3244" s="2" t="n">
        <f>HYPERLINK("https://image-ppubs.uspto.gov/dirsearch-public/print/downloadPdf/20130245107","USPTO PDF")</f>
        <v>0.0</v>
      </c>
      <c r="K3244" s="2" t="n">
        <f>HYPERLINK("https://sectors.patentforecast.com/pmd/US20130245107","PMD")</f>
        <v>0.0</v>
      </c>
      <c r="L3244" s="2" t="n">
        <f>HYPERLINK("https://globaldossier.uspto.gov/result/application/US/13899641/1","US20130245107")</f>
        <v>0.0</v>
      </c>
      <c r="M3244" t="s">
        <v>21043</v>
      </c>
      <c r="N3244" t="s">
        <v>145</v>
      </c>
      <c r="O3244" t="s">
        <v>146</v>
      </c>
      <c r="P3244" t="s">
        <v>21044</v>
      </c>
      <c r="Q3244" s="3" t="n">
        <v>41416.0</v>
      </c>
      <c r="R3244" s="3" t="n">
        <v>41536.0</v>
      </c>
      <c r="S3244" s="3" t="n">
        <v>43909.454281631944</v>
      </c>
      <c r="T3244" s="3" t="n">
        <v>43991.50031743055</v>
      </c>
      <c r="U3244" t="s">
        <v>21045</v>
      </c>
      <c r="V3244" t="s">
        <v>21046</v>
      </c>
    </row>
    <row r="3245">
      <c r="A3245" t="s">
        <v>22</v>
      </c>
      <c r="B3245" t="s">
        <v>21047</v>
      </c>
      <c r="C3245" t="s">
        <v>132</v>
      </c>
      <c r="D3245" t="s">
        <v>142</v>
      </c>
      <c r="E3245" t="s">
        <v>21048</v>
      </c>
      <c r="F3245" s="2" t="n">
        <f>HYPERLINK("https://patents.google.com/patent/US20130245105","Google")</f>
        <v>0.0</v>
      </c>
      <c r="G3245" s="2" t="n">
        <f>HYPERLINK("https://patentcenter.uspto.gov/applications/13898870","Patent Center")</f>
        <v>0.0</v>
      </c>
      <c r="H3245" s="2" t="n">
        <f>HYPERLINK("https://worldwide.espacenet.com/patent/search?q=US20130245105","Espacenet")</f>
        <v>0.0</v>
      </c>
      <c r="I3245" s="2" t="n">
        <f>HYPERLINK("https://ppubs.uspto.gov/pubwebapp/external.html?q=20130245105.pn.","USPTO")</f>
        <v>0.0</v>
      </c>
      <c r="J3245" s="2" t="n">
        <f>HYPERLINK("https://image-ppubs.uspto.gov/dirsearch-public/print/downloadPdf/20130245105","USPTO PDF")</f>
        <v>0.0</v>
      </c>
      <c r="K3245" s="2" t="n">
        <f>HYPERLINK("https://sectors.patentforecast.com/pmd/US20130245105","PMD")</f>
        <v>0.0</v>
      </c>
      <c r="L3245" s="2" t="n">
        <f>HYPERLINK("https://globaldossier.uspto.gov/result/application/US/13898870/1","US20130245105")</f>
        <v>0.0</v>
      </c>
      <c r="M3245" t="s">
        <v>21049</v>
      </c>
      <c r="N3245" t="s">
        <v>145</v>
      </c>
      <c r="O3245" t="s">
        <v>146</v>
      </c>
      <c r="P3245" t="s">
        <v>21050</v>
      </c>
      <c r="Q3245" s="3" t="n">
        <v>41415.0</v>
      </c>
      <c r="R3245" s="3" t="n">
        <v>41536.0</v>
      </c>
      <c r="S3245" s="3" t="n">
        <v>43909.454281631944</v>
      </c>
      <c r="T3245" s="3" t="n">
        <v>43991.500333703705</v>
      </c>
      <c r="U3245" t="s">
        <v>21045</v>
      </c>
      <c r="V3245" t="s">
        <v>21046</v>
      </c>
    </row>
    <row r="3246">
      <c r="A3246" t="s">
        <v>22</v>
      </c>
      <c r="B3246" t="s">
        <v>21051</v>
      </c>
      <c r="C3246" t="s">
        <v>60</v>
      </c>
      <c r="D3246" t="s">
        <v>61</v>
      </c>
      <c r="E3246" t="s">
        <v>17972</v>
      </c>
      <c r="F3246" s="2" t="n">
        <f>HYPERLINK("https://patents.google.com/patent/US20130243725","Google")</f>
        <v>0.0</v>
      </c>
      <c r="G3246" s="2" t="n">
        <f>HYPERLINK("https://patentcenter.uspto.gov/applications/13793557","Patent Center")</f>
        <v>0.0</v>
      </c>
      <c r="H3246" s="2" t="n">
        <f>HYPERLINK("https://worldwide.espacenet.com/patent/search?q=US20130243725","Espacenet")</f>
        <v>0.0</v>
      </c>
      <c r="I3246" s="2" t="n">
        <f>HYPERLINK("https://ppubs.uspto.gov/pubwebapp/external.html?q=20130243725.pn.","USPTO")</f>
        <v>0.0</v>
      </c>
      <c r="J3246" s="2" t="n">
        <f>HYPERLINK("https://image-ppubs.uspto.gov/dirsearch-public/print/downloadPdf/20130243725","USPTO PDF")</f>
        <v>0.0</v>
      </c>
      <c r="K3246" s="2" t="n">
        <f>HYPERLINK("https://sectors.patentforecast.com/pmd/US20130243725","PMD")</f>
        <v>0.0</v>
      </c>
      <c r="L3246" s="2" t="n">
        <f>HYPERLINK("https://globaldossier.uspto.gov/result/application/US/13793557/1","US20130243725")</f>
        <v>0.0</v>
      </c>
      <c r="M3246" t="s">
        <v>21052</v>
      </c>
      <c r="N3246" t="s">
        <v>664</v>
      </c>
      <c r="O3246" t="s">
        <v>665</v>
      </c>
      <c r="P3246" t="s">
        <v>21053</v>
      </c>
      <c r="Q3246" s="3" t="n">
        <v>41344.0</v>
      </c>
      <c r="R3246" s="3" t="n">
        <v>41536.0</v>
      </c>
      <c r="S3246" s="3" t="n">
        <v>43952.46488039352</v>
      </c>
      <c r="T3246" s="3" t="n">
        <v>44638.65271974537</v>
      </c>
      <c r="U3246" t="s">
        <v>21054</v>
      </c>
      <c r="V3246" t="s">
        <v>17976</v>
      </c>
    </row>
    <row r="3247">
      <c r="A3247" t="s">
        <v>22</v>
      </c>
      <c r="B3247" t="s">
        <v>21055</v>
      </c>
      <c r="C3247" t="s">
        <v>24</v>
      </c>
      <c r="D3247" t="s">
        <v>69</v>
      </c>
      <c r="E3247" t="s">
        <v>21056</v>
      </c>
      <c r="F3247" s="2" t="n">
        <f>HYPERLINK("https://patents.google.com/patent/US20130233325","Google")</f>
        <v>0.0</v>
      </c>
      <c r="G3247" s="2" t="n">
        <f>HYPERLINK("https://patentcenter.uspto.gov/applications/13698504","Patent Center")</f>
        <v>0.0</v>
      </c>
      <c r="H3247" s="2" t="n">
        <f>HYPERLINK("https://worldwide.espacenet.com/patent/search?q=US20130233325","Espacenet")</f>
        <v>0.0</v>
      </c>
      <c r="I3247" s="2" t="n">
        <f>HYPERLINK("https://ppubs.uspto.gov/pubwebapp/external.html?q=20130233325.pn.","USPTO")</f>
        <v>0.0</v>
      </c>
      <c r="J3247" s="2" t="n">
        <f>HYPERLINK("https://image-ppubs.uspto.gov/dirsearch-public/print/downloadPdf/20130233325","USPTO PDF")</f>
        <v>0.0</v>
      </c>
      <c r="K3247" s="2" t="n">
        <f>HYPERLINK("https://sectors.patentforecast.com/pmd/US20130233325","PMD")</f>
        <v>0.0</v>
      </c>
      <c r="L3247" s="2" t="n">
        <f>HYPERLINK("https://globaldossier.uspto.gov/result/application/US/13698504/1","US20130233325")</f>
        <v>0.0</v>
      </c>
      <c r="M3247" t="s">
        <v>21057</v>
      </c>
      <c r="N3247" t="s">
        <v>2095</v>
      </c>
      <c r="O3247" t="s">
        <v>2096</v>
      </c>
      <c r="P3247" t="s">
        <v>21058</v>
      </c>
      <c r="Q3247" s="3" t="n">
        <v>40669.0</v>
      </c>
      <c r="R3247" s="3" t="n">
        <v>41529.0</v>
      </c>
      <c r="S3247" s="3" t="n">
        <v>43966.48191866898</v>
      </c>
      <c r="T3247" s="3" t="n">
        <v>44678.63260199074</v>
      </c>
      <c r="U3247" t="s">
        <v>21059</v>
      </c>
      <c r="V3247" t="s">
        <v>21060</v>
      </c>
    </row>
    <row r="3248">
      <c r="A3248" t="s">
        <v>22</v>
      </c>
      <c r="B3248" t="s">
        <v>21061</v>
      </c>
      <c r="C3248" t="s">
        <v>60</v>
      </c>
      <c r="D3248" t="s">
        <v>696</v>
      </c>
      <c r="E3248" t="s">
        <v>16925</v>
      </c>
      <c r="F3248" s="2" t="n">
        <f>HYPERLINK("https://patents.google.com/patent/US20130224201","Google")</f>
        <v>0.0</v>
      </c>
      <c r="G3248" s="2" t="n">
        <f>HYPERLINK("https://patentcenter.uspto.gov/applications/13682214","Patent Center")</f>
        <v>0.0</v>
      </c>
      <c r="H3248" s="2" t="n">
        <f>HYPERLINK("https://worldwide.espacenet.com/patent/search?q=US20130224201","Espacenet")</f>
        <v>0.0</v>
      </c>
      <c r="I3248" s="2" t="n">
        <f>HYPERLINK("https://ppubs.uspto.gov/pubwebapp/external.html?q=20130224201.pn.","USPTO")</f>
        <v>0.0</v>
      </c>
      <c r="J3248" s="2" t="n">
        <f>HYPERLINK("https://image-ppubs.uspto.gov/dirsearch-public/print/downloadPdf/20130224201","USPTO PDF")</f>
        <v>0.0</v>
      </c>
      <c r="K3248" s="2" t="n">
        <f>HYPERLINK("https://sectors.patentforecast.com/pmd/US20130224201","PMD")</f>
        <v>0.0</v>
      </c>
      <c r="L3248" s="2" t="n">
        <f>HYPERLINK("https://globaldossier.uspto.gov/result/application/US/13682214/1","US20130224201")</f>
        <v>0.0</v>
      </c>
      <c r="M3248" t="s">
        <v>21062</v>
      </c>
      <c r="N3248" t="s">
        <v>16927</v>
      </c>
      <c r="O3248" t="s">
        <v>16928</v>
      </c>
      <c r="P3248" t="s">
        <v>21063</v>
      </c>
      <c r="Q3248" s="3" t="n">
        <v>41233.0</v>
      </c>
      <c r="R3248" s="3" t="n">
        <v>41515.0</v>
      </c>
      <c r="S3248" s="3" t="n">
        <v>43959.46268289352</v>
      </c>
      <c r="T3248" s="3" t="n">
        <v>43979.48808751157</v>
      </c>
      <c r="U3248" t="s">
        <v>20046</v>
      </c>
      <c r="V3248" t="s">
        <v>17876</v>
      </c>
    </row>
    <row r="3249">
      <c r="A3249" t="s">
        <v>22</v>
      </c>
      <c r="B3249" t="s">
        <v>21064</v>
      </c>
      <c r="C3249" t="s">
        <v>24</v>
      </c>
      <c r="D3249" t="s">
        <v>25</v>
      </c>
      <c r="E3249" t="s">
        <v>21065</v>
      </c>
      <c r="F3249" s="2" t="n">
        <f>HYPERLINK("https://patents.google.com/patent/US20130222141","Google")</f>
        <v>0.0</v>
      </c>
      <c r="G3249" s="2" t="n">
        <f>HYPERLINK("https://patentcenter.uspto.gov/applications/13848055","Patent Center")</f>
        <v>0.0</v>
      </c>
      <c r="H3249" s="2" t="n">
        <f>HYPERLINK("https://worldwide.espacenet.com/patent/search?q=US20130222141","Espacenet")</f>
        <v>0.0</v>
      </c>
      <c r="I3249" s="2" t="n">
        <f>HYPERLINK("https://ppubs.uspto.gov/pubwebapp/external.html?q=20130222141.pn.","USPTO")</f>
        <v>0.0</v>
      </c>
      <c r="J3249" s="2" t="n">
        <f>HYPERLINK("https://image-ppubs.uspto.gov/dirsearch-public/print/downloadPdf/20130222141","USPTO PDF")</f>
        <v>0.0</v>
      </c>
      <c r="K3249" s="2" t="n">
        <f>HYPERLINK("https://sectors.patentforecast.com/pmd/US20130222141","PMD")</f>
        <v>0.0</v>
      </c>
      <c r="L3249" s="2" t="n">
        <f>HYPERLINK("https://globaldossier.uspto.gov/result/application/US/13848055/1","US20130222141")</f>
        <v>0.0</v>
      </c>
      <c r="M3249" t="s">
        <v>21066</v>
      </c>
      <c r="N3249" t="s">
        <v>21067</v>
      </c>
      <c r="O3249" t="s">
        <v>21068</v>
      </c>
      <c r="P3249" t="s">
        <v>21069</v>
      </c>
      <c r="Q3249" s="3" t="n">
        <v>41353.0</v>
      </c>
      <c r="R3249" s="3" t="n">
        <v>41515.0</v>
      </c>
      <c r="S3249" s="3" t="n">
        <v>43266.45736896991</v>
      </c>
      <c r="T3249" s="3" t="n">
        <v>43901.72156375</v>
      </c>
      <c r="U3249" t="s">
        <v>21070</v>
      </c>
      <c r="V3249" t="s">
        <v>21071</v>
      </c>
    </row>
    <row r="3250">
      <c r="A3250" t="s">
        <v>22</v>
      </c>
      <c r="B3250" t="s">
        <v>21072</v>
      </c>
      <c r="C3250" t="s">
        <v>24</v>
      </c>
      <c r="D3250" t="s">
        <v>51</v>
      </c>
      <c r="E3250" t="s">
        <v>21073</v>
      </c>
      <c r="F3250" s="2" t="n">
        <f>HYPERLINK("https://patents.google.com/patent/US20130218474","Google")</f>
        <v>0.0</v>
      </c>
      <c r="G3250" s="2" t="n">
        <f>HYPERLINK("https://patentcenter.uspto.gov/applications/13750700","Patent Center")</f>
        <v>0.0</v>
      </c>
      <c r="H3250" s="2" t="n">
        <f>HYPERLINK("https://worldwide.espacenet.com/patent/search?q=US20130218474","Espacenet")</f>
        <v>0.0</v>
      </c>
      <c r="I3250" s="2" t="n">
        <f>HYPERLINK("https://ppubs.uspto.gov/pubwebapp/external.html?q=20130218474.pn.","USPTO")</f>
        <v>0.0</v>
      </c>
      <c r="J3250" s="2" t="n">
        <f>HYPERLINK("https://image-ppubs.uspto.gov/dirsearch-public/print/downloadPdf/20130218474","USPTO PDF")</f>
        <v>0.0</v>
      </c>
      <c r="K3250" s="2" t="n">
        <f>HYPERLINK("https://sectors.patentforecast.com/pmd/US20130218474","PMD")</f>
        <v>0.0</v>
      </c>
      <c r="L3250" s="2" t="n">
        <f>HYPERLINK("https://globaldossier.uspto.gov/result/application/US/13750700/1","US20130218474")</f>
        <v>0.0</v>
      </c>
      <c r="M3250" t="s">
        <v>21074</v>
      </c>
      <c r="N3250" t="s">
        <v>21075</v>
      </c>
      <c r="O3250" t="s">
        <v>21076</v>
      </c>
      <c r="P3250" t="s">
        <v>21077</v>
      </c>
      <c r="Q3250" s="3" t="n">
        <v>41299.0</v>
      </c>
      <c r="R3250" s="3" t="n">
        <v>41508.0</v>
      </c>
      <c r="S3250" s="3" t="n">
        <v>43959.46268289352</v>
      </c>
      <c r="T3250" s="3" t="n">
        <v>43985.46794353009</v>
      </c>
      <c r="U3250" t="s">
        <v>21078</v>
      </c>
      <c r="V3250" t="s">
        <v>21079</v>
      </c>
    </row>
    <row r="3251">
      <c r="A3251" t="s">
        <v>22</v>
      </c>
      <c r="B3251" t="s">
        <v>21080</v>
      </c>
      <c r="C3251" t="s">
        <v>24</v>
      </c>
      <c r="D3251" t="s">
        <v>25</v>
      </c>
      <c r="E3251" t="s">
        <v>21081</v>
      </c>
      <c r="F3251" s="2" t="n">
        <f>HYPERLINK("https://patents.google.com/patent/US20130217598","Google")</f>
        <v>0.0</v>
      </c>
      <c r="G3251" s="2" t="n">
        <f>HYPERLINK("https://patentcenter.uspto.gov/applications/13761142","Patent Center")</f>
        <v>0.0</v>
      </c>
      <c r="H3251" s="2" t="n">
        <f>HYPERLINK("https://worldwide.espacenet.com/patent/search?q=US20130217598","Espacenet")</f>
        <v>0.0</v>
      </c>
      <c r="I3251" s="2" t="n">
        <f>HYPERLINK("https://ppubs.uspto.gov/pubwebapp/external.html?q=20130217598.pn.","USPTO")</f>
        <v>0.0</v>
      </c>
      <c r="J3251" s="2" t="n">
        <f>HYPERLINK("https://image-ppubs.uspto.gov/dirsearch-public/print/downloadPdf/20130217598","USPTO PDF")</f>
        <v>0.0</v>
      </c>
      <c r="K3251" s="2" t="n">
        <f>HYPERLINK("https://sectors.patentforecast.com/pmd/US20130217598","PMD")</f>
        <v>0.0</v>
      </c>
      <c r="L3251" s="2" t="n">
        <f>HYPERLINK("https://globaldossier.uspto.gov/result/application/US/13761142/1","US20130217598")</f>
        <v>0.0</v>
      </c>
      <c r="M3251" t="s">
        <v>21082</v>
      </c>
      <c r="N3251" t="s">
        <v>17522</v>
      </c>
      <c r="O3251" t="s">
        <v>17523</v>
      </c>
      <c r="P3251" t="s">
        <v>21083</v>
      </c>
      <c r="Q3251" s="3" t="n">
        <v>41311.0</v>
      </c>
      <c r="R3251" s="3" t="n">
        <v>41508.0</v>
      </c>
      <c r="S3251" s="3" t="n">
        <v>43900.437389907405</v>
      </c>
      <c r="T3251" s="3" t="n">
        <v>43903.484632291664</v>
      </c>
      <c r="U3251" t="s">
        <v>17525</v>
      </c>
      <c r="V3251" t="s">
        <v>21084</v>
      </c>
    </row>
    <row r="3252">
      <c r="A3252" t="s">
        <v>22</v>
      </c>
      <c r="B3252" t="s">
        <v>21085</v>
      </c>
      <c r="C3252" t="s">
        <v>60</v>
      </c>
      <c r="D3252" t="s">
        <v>61</v>
      </c>
      <c r="E3252" t="s">
        <v>21086</v>
      </c>
      <c r="F3252" s="2" t="n">
        <f>HYPERLINK("https://patents.google.com/patent/US20130210801","Google")</f>
        <v>0.0</v>
      </c>
      <c r="G3252" s="2" t="n">
        <f>HYPERLINK("https://patentcenter.uspto.gov/applications/13806048","Patent Center")</f>
        <v>0.0</v>
      </c>
      <c r="H3252" s="2" t="n">
        <f>HYPERLINK("https://worldwide.espacenet.com/patent/search?q=US20130210801","Espacenet")</f>
        <v>0.0</v>
      </c>
      <c r="I3252" s="2" t="n">
        <f>HYPERLINK("https://ppubs.uspto.gov/pubwebapp/external.html?q=20130210801.pn.","USPTO")</f>
        <v>0.0</v>
      </c>
      <c r="J3252" s="2" t="n">
        <f>HYPERLINK("https://image-ppubs.uspto.gov/dirsearch-public/print/downloadPdf/20130210801","USPTO PDF")</f>
        <v>0.0</v>
      </c>
      <c r="K3252" s="2" t="n">
        <f>HYPERLINK("https://sectors.patentforecast.com/pmd/US20130210801","PMD")</f>
        <v>0.0</v>
      </c>
      <c r="L3252" s="2" t="n">
        <f>HYPERLINK("https://globaldossier.uspto.gov/result/application/US/13806048/1","US20130210801")</f>
        <v>0.0</v>
      </c>
      <c r="M3252" t="s">
        <v>21087</v>
      </c>
      <c r="N3252" t="s">
        <v>664</v>
      </c>
      <c r="O3252" t="s">
        <v>665</v>
      </c>
      <c r="P3252" t="s">
        <v>21088</v>
      </c>
      <c r="Q3252" s="3" t="n">
        <v>40725.0</v>
      </c>
      <c r="R3252" s="3" t="n">
        <v>41501.0</v>
      </c>
      <c r="S3252" s="3" t="n">
        <v>43952.46488039352</v>
      </c>
      <c r="T3252" s="3" t="n">
        <v>44638.65271974537</v>
      </c>
      <c r="U3252" t="s">
        <v>21089</v>
      </c>
      <c r="V3252" t="s">
        <v>21090</v>
      </c>
    </row>
    <row r="3253">
      <c r="A3253" t="s">
        <v>22</v>
      </c>
      <c r="B3253" t="s">
        <v>21091</v>
      </c>
      <c r="C3253" t="s">
        <v>132</v>
      </c>
      <c r="D3253" t="s">
        <v>1265</v>
      </c>
      <c r="E3253" t="s">
        <v>21092</v>
      </c>
      <c r="F3253" s="2" t="n">
        <f>HYPERLINK("https://patents.google.com/patent/US20130209512","Google")</f>
        <v>0.0</v>
      </c>
      <c r="G3253" s="2" t="n">
        <f>HYPERLINK("https://patentcenter.uspto.gov/applications/13817100","Patent Center")</f>
        <v>0.0</v>
      </c>
      <c r="H3253" s="2" t="n">
        <f>HYPERLINK("https://worldwide.espacenet.com/patent/search?q=US20130209512","Espacenet")</f>
        <v>0.0</v>
      </c>
      <c r="I3253" s="2" t="n">
        <f>HYPERLINK("https://ppubs.uspto.gov/pubwebapp/external.html?q=20130209512.pn.","USPTO")</f>
        <v>0.0</v>
      </c>
      <c r="J3253" s="2" t="n">
        <f>HYPERLINK("https://image-ppubs.uspto.gov/dirsearch-public/print/downloadPdf/20130209512","USPTO PDF")</f>
        <v>0.0</v>
      </c>
      <c r="K3253" s="2" t="n">
        <f>HYPERLINK("https://sectors.patentforecast.com/pmd/US20130209512","PMD")</f>
        <v>0.0</v>
      </c>
      <c r="L3253" s="2" t="n">
        <f>HYPERLINK("https://globaldossier.uspto.gov/result/application/US/13817100/1","US20130209512")</f>
        <v>0.0</v>
      </c>
      <c r="M3253" t="s">
        <v>21093</v>
      </c>
      <c r="N3253" t="s">
        <v>20480</v>
      </c>
      <c r="O3253" t="s">
        <v>20481</v>
      </c>
      <c r="P3253" t="s">
        <v>21094</v>
      </c>
      <c r="Q3253" s="3" t="n">
        <v>40771.0</v>
      </c>
      <c r="R3253" s="3" t="n">
        <v>41501.0</v>
      </c>
      <c r="S3253" s="3" t="n">
        <v>43900.437389907405</v>
      </c>
      <c r="T3253" s="3" t="n">
        <v>43901.72156387731</v>
      </c>
      <c r="U3253" t="s">
        <v>21095</v>
      </c>
      <c r="V3253" t="s">
        <v>21096</v>
      </c>
    </row>
    <row r="3254">
      <c r="A3254" t="s">
        <v>22</v>
      </c>
      <c r="B3254" t="s">
        <v>21097</v>
      </c>
      <c r="C3254" t="s">
        <v>60</v>
      </c>
      <c r="D3254" t="s">
        <v>2262</v>
      </c>
      <c r="E3254" t="s">
        <v>21098</v>
      </c>
      <c r="F3254" s="2" t="n">
        <f>HYPERLINK("https://patents.google.com/patent/US20130205448","Google")</f>
        <v>0.0</v>
      </c>
      <c r="G3254" s="2" t="n">
        <f>HYPERLINK("https://patentcenter.uspto.gov/applications/13809995","Patent Center")</f>
        <v>0.0</v>
      </c>
      <c r="H3254" s="2" t="n">
        <f>HYPERLINK("https://worldwide.espacenet.com/patent/search?q=US20130205448","Espacenet")</f>
        <v>0.0</v>
      </c>
      <c r="I3254" s="2" t="n">
        <f>HYPERLINK("https://ppubs.uspto.gov/pubwebapp/external.html?q=20130205448.pn.","USPTO")</f>
        <v>0.0</v>
      </c>
      <c r="J3254" s="2" t="n">
        <f>HYPERLINK("https://image-ppubs.uspto.gov/dirsearch-public/print/downloadPdf/20130205448","USPTO PDF")</f>
        <v>0.0</v>
      </c>
      <c r="K3254" s="2" t="n">
        <f>HYPERLINK("https://sectors.patentforecast.com/pmd/US20130205448","PMD")</f>
        <v>0.0</v>
      </c>
      <c r="L3254" s="2" t="n">
        <f>HYPERLINK("https://globaldossier.uspto.gov/result/application/US/13809995/1","US20130205448")</f>
        <v>0.0</v>
      </c>
      <c r="M3254" t="s">
        <v>21099</v>
      </c>
      <c r="N3254" t="s">
        <v>21100</v>
      </c>
      <c r="O3254" t="s">
        <v>21101</v>
      </c>
      <c r="P3254" t="s">
        <v>21102</v>
      </c>
      <c r="Q3254" s="3" t="n">
        <v>40739.0</v>
      </c>
      <c r="R3254" s="3" t="n">
        <v>41494.0</v>
      </c>
      <c r="S3254" s="3" t="n">
        <v>43959.46268289352</v>
      </c>
      <c r="T3254" s="3" t="n">
        <v>43985.46979501157</v>
      </c>
      <c r="U3254" t="s">
        <v>21103</v>
      </c>
      <c r="V3254" t="s">
        <v>21104</v>
      </c>
    </row>
    <row r="3255">
      <c r="A3255" t="s">
        <v>22</v>
      </c>
      <c r="B3255" t="s">
        <v>21105</v>
      </c>
      <c r="C3255" t="s">
        <v>60</v>
      </c>
      <c r="D3255" t="s">
        <v>61</v>
      </c>
      <c r="E3255" t="s">
        <v>20554</v>
      </c>
      <c r="F3255" s="2" t="n">
        <f>HYPERLINK("https://patents.google.com/patent/US20130203747","Google")</f>
        <v>0.0</v>
      </c>
      <c r="G3255" s="2" t="n">
        <f>HYPERLINK("https://patentcenter.uspto.gov/applications/13683706","Patent Center")</f>
        <v>0.0</v>
      </c>
      <c r="H3255" s="2" t="n">
        <f>HYPERLINK("https://worldwide.espacenet.com/patent/search?q=US20130203747","Espacenet")</f>
        <v>0.0</v>
      </c>
      <c r="I3255" s="2" t="n">
        <f>HYPERLINK("https://ppubs.uspto.gov/pubwebapp/external.html?q=20130203747.pn.","USPTO")</f>
        <v>0.0</v>
      </c>
      <c r="J3255" s="2" t="n">
        <f>HYPERLINK("https://image-ppubs.uspto.gov/dirsearch-public/print/downloadPdf/20130203747","USPTO PDF")</f>
        <v>0.0</v>
      </c>
      <c r="K3255" s="2" t="n">
        <f>HYPERLINK("https://sectors.patentforecast.com/pmd/US20130203747","PMD")</f>
        <v>0.0</v>
      </c>
      <c r="L3255" s="2" t="n">
        <f>HYPERLINK("https://globaldossier.uspto.gov/result/application/US/13683706/1","US20130203747")</f>
        <v>0.0</v>
      </c>
      <c r="M3255" t="s">
        <v>21106</v>
      </c>
      <c r="N3255" t="s">
        <v>664</v>
      </c>
      <c r="O3255" t="s">
        <v>665</v>
      </c>
      <c r="P3255" t="s">
        <v>21107</v>
      </c>
      <c r="Q3255" s="3" t="n">
        <v>41234.0</v>
      </c>
      <c r="R3255" s="3" t="n">
        <v>41494.0</v>
      </c>
      <c r="S3255" s="3" t="n">
        <v>43952.46488039352</v>
      </c>
      <c r="T3255" s="3" t="n">
        <v>44638.65643378472</v>
      </c>
      <c r="U3255" t="s">
        <v>21108</v>
      </c>
      <c r="V3255" t="s">
        <v>21109</v>
      </c>
    </row>
    <row r="3256">
      <c r="A3256" t="s">
        <v>22</v>
      </c>
      <c r="B3256" t="s">
        <v>21110</v>
      </c>
      <c r="C3256" t="s">
        <v>60</v>
      </c>
      <c r="D3256" t="s">
        <v>61</v>
      </c>
      <c r="E3256" t="s">
        <v>20554</v>
      </c>
      <c r="F3256" s="2" t="n">
        <f>HYPERLINK("https://patents.google.com/patent/US20130197231","Google")</f>
        <v>0.0</v>
      </c>
      <c r="G3256" s="2" t="n">
        <f>HYPERLINK("https://patentcenter.uspto.gov/applications/13683761","Patent Center")</f>
        <v>0.0</v>
      </c>
      <c r="H3256" s="2" t="n">
        <f>HYPERLINK("https://worldwide.espacenet.com/patent/search?q=US20130197231","Espacenet")</f>
        <v>0.0</v>
      </c>
      <c r="I3256" s="2" t="n">
        <f>HYPERLINK("https://ppubs.uspto.gov/pubwebapp/external.html?q=20130197231.pn.","USPTO")</f>
        <v>0.0</v>
      </c>
      <c r="J3256" s="2" t="n">
        <f>HYPERLINK("https://image-ppubs.uspto.gov/dirsearch-public/print/downloadPdf/20130197231","USPTO PDF")</f>
        <v>0.0</v>
      </c>
      <c r="K3256" s="2" t="n">
        <f>HYPERLINK("https://sectors.patentforecast.com/pmd/US20130197231","PMD")</f>
        <v>0.0</v>
      </c>
      <c r="L3256" s="2" t="n">
        <f>HYPERLINK("https://globaldossier.uspto.gov/result/application/US/13683761/1","US20130197231")</f>
        <v>0.0</v>
      </c>
      <c r="M3256" t="s">
        <v>21111</v>
      </c>
      <c r="N3256" t="s">
        <v>664</v>
      </c>
      <c r="O3256" t="s">
        <v>665</v>
      </c>
      <c r="P3256" t="s">
        <v>21112</v>
      </c>
      <c r="Q3256" s="3" t="n">
        <v>41234.0</v>
      </c>
      <c r="R3256" s="3" t="n">
        <v>41487.0</v>
      </c>
      <c r="S3256" s="3" t="n">
        <v>43952.46488039352</v>
      </c>
      <c r="T3256" s="3" t="n">
        <v>44638.65643378472</v>
      </c>
      <c r="U3256" t="s">
        <v>21113</v>
      </c>
      <c r="V3256" t="s">
        <v>21114</v>
      </c>
    </row>
    <row r="3257">
      <c r="A3257" t="s">
        <v>22</v>
      </c>
      <c r="B3257" t="s">
        <v>21115</v>
      </c>
      <c r="C3257" t="s">
        <v>60</v>
      </c>
      <c r="D3257" t="s">
        <v>61</v>
      </c>
      <c r="E3257" t="s">
        <v>20554</v>
      </c>
      <c r="F3257" s="2" t="n">
        <f>HYPERLINK("https://patents.google.com/patent/US20130190491","Google")</f>
        <v>0.0</v>
      </c>
      <c r="G3257" s="2" t="n">
        <f>HYPERLINK("https://patentcenter.uspto.gov/applications/13739937","Patent Center")</f>
        <v>0.0</v>
      </c>
      <c r="H3257" s="2" t="n">
        <f>HYPERLINK("https://worldwide.espacenet.com/patent/search?q=US20130190491","Espacenet")</f>
        <v>0.0</v>
      </c>
      <c r="I3257" s="2" t="n">
        <f>HYPERLINK("https://ppubs.uspto.gov/pubwebapp/external.html?q=20130190491.pn.","USPTO")</f>
        <v>0.0</v>
      </c>
      <c r="J3257" s="2" t="n">
        <f>HYPERLINK("https://image-ppubs.uspto.gov/dirsearch-public/print/downloadPdf/20130190491","USPTO PDF")</f>
        <v>0.0</v>
      </c>
      <c r="K3257" s="2" t="n">
        <f>HYPERLINK("https://sectors.patentforecast.com/pmd/US20130190491","PMD")</f>
        <v>0.0</v>
      </c>
      <c r="L3257" s="2" t="n">
        <f>HYPERLINK("https://globaldossier.uspto.gov/result/application/US/13739937/1","US20130190491")</f>
        <v>0.0</v>
      </c>
      <c r="M3257" t="s">
        <v>21116</v>
      </c>
      <c r="N3257" t="s">
        <v>664</v>
      </c>
      <c r="O3257" t="s">
        <v>665</v>
      </c>
      <c r="P3257" t="s">
        <v>21117</v>
      </c>
      <c r="Q3257" s="3" t="n">
        <v>41285.0</v>
      </c>
      <c r="R3257" s="3" t="n">
        <v>41480.0</v>
      </c>
      <c r="S3257" s="3" t="n">
        <v>43952.46488039352</v>
      </c>
      <c r="T3257" s="3" t="n">
        <v>44638.65643378472</v>
      </c>
      <c r="U3257" t="s">
        <v>21118</v>
      </c>
      <c r="V3257" t="s">
        <v>21119</v>
      </c>
    </row>
    <row r="3258">
      <c r="A3258" t="s">
        <v>22</v>
      </c>
      <c r="B3258" t="s">
        <v>21120</v>
      </c>
      <c r="C3258" t="s">
        <v>132</v>
      </c>
      <c r="D3258" t="s">
        <v>1265</v>
      </c>
      <c r="E3258" t="s">
        <v>21121</v>
      </c>
      <c r="F3258" s="2" t="n">
        <f>HYPERLINK("https://patents.google.com/patent/US20130189293","Google")</f>
        <v>0.0</v>
      </c>
      <c r="G3258" s="2" t="n">
        <f>HYPERLINK("https://patentcenter.uspto.gov/applications/13784259","Patent Center")</f>
        <v>0.0</v>
      </c>
      <c r="H3258" s="2" t="n">
        <f>HYPERLINK("https://worldwide.espacenet.com/patent/search?q=US20130189293","Espacenet")</f>
        <v>0.0</v>
      </c>
      <c r="I3258" s="2" t="n">
        <f>HYPERLINK("https://ppubs.uspto.gov/pubwebapp/external.html?q=20130189293.pn.","USPTO")</f>
        <v>0.0</v>
      </c>
      <c r="J3258" s="2" t="n">
        <f>HYPERLINK("https://image-ppubs.uspto.gov/dirsearch-public/print/downloadPdf/20130189293","USPTO PDF")</f>
        <v>0.0</v>
      </c>
      <c r="K3258" s="2" t="n">
        <f>HYPERLINK("https://sectors.patentforecast.com/pmd/US20130189293","PMD")</f>
        <v>0.0</v>
      </c>
      <c r="L3258" s="2" t="n">
        <f>HYPERLINK("https://globaldossier.uspto.gov/result/application/US/13784259/1","US20130189293")</f>
        <v>0.0</v>
      </c>
      <c r="M3258" t="s">
        <v>21122</v>
      </c>
      <c r="N3258" t="s">
        <v>21123</v>
      </c>
      <c r="O3258" t="s">
        <v>21124</v>
      </c>
      <c r="P3258" t="s">
        <v>21125</v>
      </c>
      <c r="Q3258" s="3" t="n">
        <v>41337.0</v>
      </c>
      <c r="R3258" s="3" t="n">
        <v>41480.0</v>
      </c>
      <c r="S3258" s="3" t="n">
        <v>43900.437389907405</v>
      </c>
      <c r="T3258" s="3" t="n">
        <v>43903.48463238426</v>
      </c>
      <c r="U3258" t="s">
        <v>21126</v>
      </c>
      <c r="V3258" t="s">
        <v>21127</v>
      </c>
    </row>
    <row r="3259">
      <c r="A3259" t="s">
        <v>22</v>
      </c>
      <c r="B3259" t="s">
        <v>21128</v>
      </c>
      <c r="C3259" t="s">
        <v>24</v>
      </c>
      <c r="D3259" t="s">
        <v>25</v>
      </c>
      <c r="E3259" t="s">
        <v>21129</v>
      </c>
      <c r="F3259" s="2" t="n">
        <f>HYPERLINK("https://patents.google.com/patent/US20130187775","Google")</f>
        <v>0.0</v>
      </c>
      <c r="G3259" s="2" t="n">
        <f>HYPERLINK("https://patentcenter.uspto.gov/applications/13747469","Patent Center")</f>
        <v>0.0</v>
      </c>
      <c r="H3259" s="2" t="n">
        <f>HYPERLINK("https://worldwide.espacenet.com/patent/search?q=US20130187775","Espacenet")</f>
        <v>0.0</v>
      </c>
      <c r="I3259" s="2" t="n">
        <f>HYPERLINK("https://ppubs.uspto.gov/pubwebapp/external.html?q=20130187775.pn.","USPTO")</f>
        <v>0.0</v>
      </c>
      <c r="J3259" s="2" t="n">
        <f>HYPERLINK("https://image-ppubs.uspto.gov/dirsearch-public/print/downloadPdf/20130187775","USPTO PDF")</f>
        <v>0.0</v>
      </c>
      <c r="K3259" s="2" t="n">
        <f>HYPERLINK("https://sectors.patentforecast.com/pmd/US20130187775","PMD")</f>
        <v>0.0</v>
      </c>
      <c r="L3259" s="2" t="n">
        <f>HYPERLINK("https://globaldossier.uspto.gov/result/application/US/13747469/1","US20130187775")</f>
        <v>0.0</v>
      </c>
      <c r="M3259" t="s">
        <v>21130</v>
      </c>
      <c r="N3259" t="s">
        <v>21131</v>
      </c>
      <c r="O3259" t="s">
        <v>21132</v>
      </c>
      <c r="P3259" t="s">
        <v>21133</v>
      </c>
      <c r="Q3259" s="3" t="n">
        <v>41296.0</v>
      </c>
      <c r="R3259" s="3" t="n">
        <v>41480.0</v>
      </c>
      <c r="S3259" s="3" t="n">
        <v>43266.45736896991</v>
      </c>
      <c r="T3259" s="3" t="n">
        <v>43901.72156363426</v>
      </c>
      <c r="U3259" t="s">
        <v>21134</v>
      </c>
      <c r="V3259" t="s">
        <v>21135</v>
      </c>
    </row>
    <row r="3260">
      <c r="A3260" t="s">
        <v>22</v>
      </c>
      <c r="B3260" t="s">
        <v>21136</v>
      </c>
      <c r="C3260" t="s">
        <v>60</v>
      </c>
      <c r="D3260" t="s">
        <v>696</v>
      </c>
      <c r="E3260" t="s">
        <v>21137</v>
      </c>
      <c r="F3260" s="2" t="n">
        <f>HYPERLINK("https://patents.google.com/patent/US20130183293","Google")</f>
        <v>0.0</v>
      </c>
      <c r="G3260" s="2" t="n">
        <f>HYPERLINK("https://patentcenter.uspto.gov/applications/13681501","Patent Center")</f>
        <v>0.0</v>
      </c>
      <c r="H3260" s="2" t="n">
        <f>HYPERLINK("https://worldwide.espacenet.com/patent/search?q=US20130183293","Espacenet")</f>
        <v>0.0</v>
      </c>
      <c r="I3260" s="2" t="n">
        <f>HYPERLINK("https://ppubs.uspto.gov/pubwebapp/external.html?q=20130183293.pn.","USPTO")</f>
        <v>0.0</v>
      </c>
      <c r="J3260" s="2" t="n">
        <f>HYPERLINK("https://image-ppubs.uspto.gov/dirsearch-public/print/downloadPdf/20130183293","USPTO PDF")</f>
        <v>0.0</v>
      </c>
      <c r="K3260" s="2" t="n">
        <f>HYPERLINK("https://sectors.patentforecast.com/pmd/US20130183293","PMD")</f>
        <v>0.0</v>
      </c>
      <c r="L3260" s="2" t="n">
        <f>HYPERLINK("https://globaldossier.uspto.gov/result/application/US/13681501/1","US20130183293")</f>
        <v>0.0</v>
      </c>
      <c r="M3260" t="s">
        <v>21138</v>
      </c>
      <c r="N3260" t="s">
        <v>16927</v>
      </c>
      <c r="O3260" t="s">
        <v>16928</v>
      </c>
      <c r="P3260" t="s">
        <v>17860</v>
      </c>
      <c r="Q3260" s="3" t="n">
        <v>41233.0</v>
      </c>
      <c r="R3260" s="3" t="n">
        <v>41473.0</v>
      </c>
      <c r="S3260" s="3" t="n">
        <v>43959.46268289352</v>
      </c>
      <c r="T3260" s="3" t="n">
        <v>43979.4880783912</v>
      </c>
      <c r="U3260" t="s">
        <v>19751</v>
      </c>
      <c r="V3260" t="s">
        <v>17862</v>
      </c>
    </row>
    <row r="3261">
      <c r="A3261" t="s">
        <v>22</v>
      </c>
      <c r="B3261" t="s">
        <v>21139</v>
      </c>
      <c r="C3261" t="s">
        <v>60</v>
      </c>
      <c r="D3261" t="s">
        <v>696</v>
      </c>
      <c r="E3261" t="s">
        <v>21140</v>
      </c>
      <c r="F3261" s="2" t="n">
        <f>HYPERLINK("https://patents.google.com/patent/US20130183264","Google")</f>
        <v>0.0</v>
      </c>
      <c r="G3261" s="2" t="n">
        <f>HYPERLINK("https://patentcenter.uspto.gov/applications/13780018","Patent Center")</f>
        <v>0.0</v>
      </c>
      <c r="H3261" s="2" t="n">
        <f>HYPERLINK("https://worldwide.espacenet.com/patent/search?q=US20130183264","Espacenet")</f>
        <v>0.0</v>
      </c>
      <c r="I3261" s="2" t="n">
        <f>HYPERLINK("https://ppubs.uspto.gov/pubwebapp/external.html?q=20130183264.pn.","USPTO")</f>
        <v>0.0</v>
      </c>
      <c r="J3261" s="2" t="n">
        <f>HYPERLINK("https://image-ppubs.uspto.gov/dirsearch-public/print/downloadPdf/20130183264","USPTO PDF")</f>
        <v>0.0</v>
      </c>
      <c r="K3261" s="2" t="n">
        <f>HYPERLINK("https://sectors.patentforecast.com/pmd/US20130183264","PMD")</f>
        <v>0.0</v>
      </c>
      <c r="L3261" s="2" t="n">
        <f>HYPERLINK("https://globaldossier.uspto.gov/result/application/US/13780018/1","US20130183264")</f>
        <v>0.0</v>
      </c>
      <c r="M3261" t="s">
        <v>21141</v>
      </c>
      <c r="N3261" t="s">
        <v>16927</v>
      </c>
      <c r="O3261" t="s">
        <v>16928</v>
      </c>
      <c r="P3261" t="s">
        <v>16959</v>
      </c>
      <c r="Q3261" s="3" t="n">
        <v>41333.0</v>
      </c>
      <c r="R3261" s="3" t="n">
        <v>41473.0</v>
      </c>
      <c r="S3261" s="3" t="n">
        <v>43966.48191866898</v>
      </c>
      <c r="T3261" s="3" t="n">
        <v>44643.44490069444</v>
      </c>
      <c r="U3261" t="s">
        <v>21142</v>
      </c>
      <c r="V3261" t="s">
        <v>16961</v>
      </c>
    </row>
    <row r="3262">
      <c r="A3262" t="s">
        <v>22</v>
      </c>
      <c r="B3262" t="s">
        <v>21143</v>
      </c>
      <c r="C3262" t="s">
        <v>132</v>
      </c>
      <c r="D3262" t="s">
        <v>1265</v>
      </c>
      <c r="E3262" t="s">
        <v>17930</v>
      </c>
      <c r="F3262" s="2" t="n">
        <f>HYPERLINK("https://patents.google.com/patent/US20130177587","Google")</f>
        <v>0.0</v>
      </c>
      <c r="G3262" s="2" t="n">
        <f>HYPERLINK("https://patentcenter.uspto.gov/applications/13796125","Patent Center")</f>
        <v>0.0</v>
      </c>
      <c r="H3262" s="2" t="n">
        <f>HYPERLINK("https://worldwide.espacenet.com/patent/search?q=US20130177587","Espacenet")</f>
        <v>0.0</v>
      </c>
      <c r="I3262" s="2" t="n">
        <f>HYPERLINK("https://ppubs.uspto.gov/pubwebapp/external.html?q=20130177587.pn.","USPTO")</f>
        <v>0.0</v>
      </c>
      <c r="J3262" s="2" t="n">
        <f>HYPERLINK("https://image-ppubs.uspto.gov/dirsearch-public/print/downloadPdf/20130177587","USPTO PDF")</f>
        <v>0.0</v>
      </c>
      <c r="K3262" s="2" t="n">
        <f>HYPERLINK("https://sectors.patentforecast.com/pmd/US20130177587","PMD")</f>
        <v>0.0</v>
      </c>
      <c r="L3262" s="2" t="n">
        <f>HYPERLINK("https://globaldossier.uspto.gov/result/application/US/13796125/1","US20130177587")</f>
        <v>0.0</v>
      </c>
      <c r="M3262" t="s">
        <v>21144</v>
      </c>
      <c r="N3262" t="s">
        <v>1275</v>
      </c>
      <c r="O3262" t="s">
        <v>1275</v>
      </c>
      <c r="P3262" t="s">
        <v>19101</v>
      </c>
      <c r="Q3262" s="3" t="n">
        <v>41345.0</v>
      </c>
      <c r="R3262" s="3" t="n">
        <v>41466.0</v>
      </c>
      <c r="S3262" s="3" t="n">
        <v>44019.68541525463</v>
      </c>
      <c r="T3262" s="3" t="n">
        <v>44020.62081792824</v>
      </c>
      <c r="U3262" t="s">
        <v>21145</v>
      </c>
      <c r="V3262" t="s">
        <v>19103</v>
      </c>
    </row>
    <row r="3263">
      <c r="A3263" t="s">
        <v>22</v>
      </c>
      <c r="B3263" t="s">
        <v>21146</v>
      </c>
      <c r="C3263" t="s">
        <v>60</v>
      </c>
      <c r="D3263" t="s">
        <v>61</v>
      </c>
      <c r="E3263" t="s">
        <v>16903</v>
      </c>
      <c r="F3263" s="2" t="n">
        <f>HYPERLINK("https://patents.google.com/patent/US20130177530","Google")</f>
        <v>0.0</v>
      </c>
      <c r="G3263" s="2" t="n">
        <f>HYPERLINK("https://patentcenter.uspto.gov/applications/13783056","Patent Center")</f>
        <v>0.0</v>
      </c>
      <c r="H3263" s="2" t="n">
        <f>HYPERLINK("https://worldwide.espacenet.com/patent/search?q=US20130177530","Espacenet")</f>
        <v>0.0</v>
      </c>
      <c r="I3263" s="2" t="n">
        <f>HYPERLINK("https://ppubs.uspto.gov/pubwebapp/external.html?q=20130177530.pn.","USPTO")</f>
        <v>0.0</v>
      </c>
      <c r="J3263" s="2" t="n">
        <f>HYPERLINK("https://image-ppubs.uspto.gov/dirsearch-public/print/downloadPdf/20130177530","USPTO PDF")</f>
        <v>0.0</v>
      </c>
      <c r="K3263" s="2" t="n">
        <f>HYPERLINK("https://sectors.patentforecast.com/pmd/US20130177530","PMD")</f>
        <v>0.0</v>
      </c>
      <c r="L3263" s="2" t="n">
        <f>HYPERLINK("https://globaldossier.uspto.gov/result/application/US/13783056/1","US20130177530")</f>
        <v>0.0</v>
      </c>
      <c r="M3263" t="s">
        <v>21147</v>
      </c>
      <c r="N3263" t="s">
        <v>664</v>
      </c>
      <c r="O3263" t="s">
        <v>665</v>
      </c>
      <c r="P3263" t="s">
        <v>19777</v>
      </c>
      <c r="Q3263" s="3" t="n">
        <v>41334.0</v>
      </c>
      <c r="R3263" s="3" t="n">
        <v>41466.0</v>
      </c>
      <c r="S3263" s="3" t="n">
        <v>43952.46488039352</v>
      </c>
      <c r="T3263" s="3" t="n">
        <v>44638.65271974537</v>
      </c>
      <c r="U3263" t="s">
        <v>21148</v>
      </c>
      <c r="V3263" t="s">
        <v>17072</v>
      </c>
    </row>
    <row r="3264">
      <c r="A3264" t="s">
        <v>22</v>
      </c>
      <c r="B3264" t="s">
        <v>21149</v>
      </c>
      <c r="C3264" t="s">
        <v>24</v>
      </c>
      <c r="D3264" t="s">
        <v>25</v>
      </c>
      <c r="E3264" t="s">
        <v>21150</v>
      </c>
      <c r="F3264" s="2" t="n">
        <f>HYPERLINK("https://patents.google.com/patent/US20130172687","Google")</f>
        <v>0.0</v>
      </c>
      <c r="G3264" s="2" t="n">
        <f>HYPERLINK("https://patentcenter.uspto.gov/applications/13678853","Patent Center")</f>
        <v>0.0</v>
      </c>
      <c r="H3264" s="2" t="n">
        <f>HYPERLINK("https://worldwide.espacenet.com/patent/search?q=US20130172687","Espacenet")</f>
        <v>0.0</v>
      </c>
      <c r="I3264" s="2" t="n">
        <f>HYPERLINK("https://ppubs.uspto.gov/pubwebapp/external.html?q=20130172687.pn.","USPTO")</f>
        <v>0.0</v>
      </c>
      <c r="J3264" s="2" t="n">
        <f>HYPERLINK("https://image-ppubs.uspto.gov/dirsearch-public/print/downloadPdf/20130172687","USPTO PDF")</f>
        <v>0.0</v>
      </c>
      <c r="K3264" s="2" t="n">
        <f>HYPERLINK("https://sectors.patentforecast.com/pmd/US20130172687","PMD")</f>
        <v>0.0</v>
      </c>
      <c r="L3264" s="2" t="n">
        <f>HYPERLINK("https://globaldossier.uspto.gov/result/application/US/13678853/1","US20130172687")</f>
        <v>0.0</v>
      </c>
      <c r="M3264" t="s">
        <v>21151</v>
      </c>
      <c r="N3264" t="s">
        <v>21152</v>
      </c>
      <c r="O3264" t="s">
        <v>21153</v>
      </c>
      <c r="P3264" t="s">
        <v>21154</v>
      </c>
      <c r="Q3264" s="3" t="n">
        <v>41229.0</v>
      </c>
      <c r="R3264" s="3" t="n">
        <v>41459.0</v>
      </c>
      <c r="S3264" s="3" t="n">
        <v>43959.46268289352</v>
      </c>
      <c r="T3264" s="3" t="n">
        <v>43985.47383924769</v>
      </c>
      <c r="U3264" t="s">
        <v>21155</v>
      </c>
      <c r="V3264" t="s">
        <v>21156</v>
      </c>
    </row>
    <row r="3265">
      <c r="A3265" t="s">
        <v>22</v>
      </c>
      <c r="B3265" t="s">
        <v>21157</v>
      </c>
      <c r="C3265" t="s">
        <v>60</v>
      </c>
      <c r="D3265" t="s">
        <v>61</v>
      </c>
      <c r="E3265" t="s">
        <v>21158</v>
      </c>
      <c r="F3265" s="2" t="n">
        <f>HYPERLINK("https://patents.google.com/patent/US20130172295","Google")</f>
        <v>0.0</v>
      </c>
      <c r="G3265" s="2" t="n">
        <f>HYPERLINK("https://patentcenter.uspto.gov/applications/13779188","Patent Center")</f>
        <v>0.0</v>
      </c>
      <c r="H3265" s="2" t="n">
        <f>HYPERLINK("https://worldwide.espacenet.com/patent/search?q=US20130172295","Espacenet")</f>
        <v>0.0</v>
      </c>
      <c r="I3265" s="2" t="n">
        <f>HYPERLINK("https://ppubs.uspto.gov/pubwebapp/external.html?q=20130172295.pn.","USPTO")</f>
        <v>0.0</v>
      </c>
      <c r="J3265" s="2" t="n">
        <f>HYPERLINK("https://image-ppubs.uspto.gov/dirsearch-public/print/downloadPdf/20130172295","USPTO PDF")</f>
        <v>0.0</v>
      </c>
      <c r="K3265" s="2" t="n">
        <f>HYPERLINK("https://sectors.patentforecast.com/pmd/US20130172295","PMD")</f>
        <v>0.0</v>
      </c>
      <c r="L3265" s="2" t="n">
        <f>HYPERLINK("https://globaldossier.uspto.gov/result/application/US/13779188/1","US20130172295")</f>
        <v>0.0</v>
      </c>
      <c r="M3265" t="s">
        <v>21159</v>
      </c>
      <c r="N3265" t="s">
        <v>664</v>
      </c>
      <c r="O3265" t="s">
        <v>665</v>
      </c>
      <c r="P3265" t="s">
        <v>21160</v>
      </c>
      <c r="Q3265" s="3" t="n">
        <v>41332.0</v>
      </c>
      <c r="R3265" s="3" t="n">
        <v>41459.0</v>
      </c>
      <c r="S3265" s="3" t="n">
        <v>43950.647371782405</v>
      </c>
      <c r="T3265" s="3" t="n">
        <v>44638.662781747684</v>
      </c>
      <c r="U3265" t="s">
        <v>21161</v>
      </c>
      <c r="V3265" t="s">
        <v>21162</v>
      </c>
    </row>
    <row r="3266">
      <c r="A3266" t="s">
        <v>22</v>
      </c>
      <c r="B3266" t="s">
        <v>21163</v>
      </c>
      <c r="C3266" t="s">
        <v>60</v>
      </c>
      <c r="D3266" t="s">
        <v>61</v>
      </c>
      <c r="E3266" t="s">
        <v>21164</v>
      </c>
      <c r="F3266" s="2" t="n">
        <f>HYPERLINK("https://patents.google.com/patent/US20130171102","Google")</f>
        <v>0.0</v>
      </c>
      <c r="G3266" s="2" t="n">
        <f>HYPERLINK("https://patentcenter.uspto.gov/applications/13699142","Patent Center")</f>
        <v>0.0</v>
      </c>
      <c r="H3266" s="2" t="n">
        <f>HYPERLINK("https://worldwide.espacenet.com/patent/search?q=US20130171102","Espacenet")</f>
        <v>0.0</v>
      </c>
      <c r="I3266" s="2" t="n">
        <f>HYPERLINK("https://ppubs.uspto.gov/pubwebapp/external.html?q=20130171102.pn.","USPTO")</f>
        <v>0.0</v>
      </c>
      <c r="J3266" s="2" t="n">
        <f>HYPERLINK("https://image-ppubs.uspto.gov/dirsearch-public/print/downloadPdf/20130171102","USPTO PDF")</f>
        <v>0.0</v>
      </c>
      <c r="K3266" s="2" t="n">
        <f>HYPERLINK("https://sectors.patentforecast.com/pmd/US20130171102","PMD")</f>
        <v>0.0</v>
      </c>
      <c r="L3266" s="2" t="n">
        <f>HYPERLINK("https://globaldossier.uspto.gov/result/application/US/13699142/1","US20130171102")</f>
        <v>0.0</v>
      </c>
      <c r="M3266" t="s">
        <v>21165</v>
      </c>
      <c r="N3266" t="s">
        <v>20636</v>
      </c>
      <c r="O3266" t="s">
        <v>20637</v>
      </c>
      <c r="P3266" t="s">
        <v>21166</v>
      </c>
      <c r="Q3266" s="3" t="n">
        <v>40683.0</v>
      </c>
      <c r="R3266" s="3" t="n">
        <v>41459.0</v>
      </c>
      <c r="S3266" s="3" t="n">
        <v>43952.46488039352</v>
      </c>
      <c r="T3266" s="3" t="n">
        <v>44638.65643378472</v>
      </c>
      <c r="U3266" t="s">
        <v>21167</v>
      </c>
      <c r="V3266" t="s">
        <v>21168</v>
      </c>
    </row>
    <row r="3267">
      <c r="A3267" t="s">
        <v>22</v>
      </c>
      <c r="B3267" t="s">
        <v>21169</v>
      </c>
      <c r="C3267" t="s">
        <v>60</v>
      </c>
      <c r="D3267" t="s">
        <v>61</v>
      </c>
      <c r="E3267" t="s">
        <v>19578</v>
      </c>
      <c r="F3267" s="2" t="n">
        <f>HYPERLINK("https://patents.google.com/patent/US20130164280","Google")</f>
        <v>0.0</v>
      </c>
      <c r="G3267" s="2" t="n">
        <f>HYPERLINK("https://patentcenter.uspto.gov/applications/13722962","Patent Center")</f>
        <v>0.0</v>
      </c>
      <c r="H3267" s="2" t="n">
        <f>HYPERLINK("https://worldwide.espacenet.com/patent/search?q=US20130164280","Espacenet")</f>
        <v>0.0</v>
      </c>
      <c r="I3267" s="2" t="n">
        <f>HYPERLINK("https://ppubs.uspto.gov/pubwebapp/external.html?q=20130164280.pn.","USPTO")</f>
        <v>0.0</v>
      </c>
      <c r="J3267" s="2" t="n">
        <f>HYPERLINK("https://image-ppubs.uspto.gov/dirsearch-public/print/downloadPdf/20130164280","USPTO PDF")</f>
        <v>0.0</v>
      </c>
      <c r="K3267" s="2" t="n">
        <f>HYPERLINK("https://sectors.patentforecast.com/pmd/US20130164280","PMD")</f>
        <v>0.0</v>
      </c>
      <c r="L3267" s="2" t="n">
        <f>HYPERLINK("https://globaldossier.uspto.gov/result/application/US/13722962/1","US20130164280")</f>
        <v>0.0</v>
      </c>
      <c r="M3267" t="s">
        <v>21170</v>
      </c>
      <c r="N3267" t="s">
        <v>664</v>
      </c>
      <c r="O3267" t="s">
        <v>665</v>
      </c>
      <c r="P3267" t="s">
        <v>20266</v>
      </c>
      <c r="Q3267" s="3" t="n">
        <v>41263.0</v>
      </c>
      <c r="R3267" s="3" t="n">
        <v>41452.0</v>
      </c>
      <c r="S3267" s="3" t="n">
        <v>43952.46488039352</v>
      </c>
      <c r="T3267" s="3" t="n">
        <v>44638.65271974537</v>
      </c>
      <c r="U3267" t="s">
        <v>21171</v>
      </c>
      <c r="V3267" t="s">
        <v>19582</v>
      </c>
    </row>
    <row r="3268">
      <c r="A3268" t="s">
        <v>22</v>
      </c>
      <c r="B3268" t="s">
        <v>21172</v>
      </c>
      <c r="C3268" t="s">
        <v>60</v>
      </c>
      <c r="D3268" t="s">
        <v>61</v>
      </c>
      <c r="E3268" t="s">
        <v>16903</v>
      </c>
      <c r="F3268" s="2" t="n">
        <f>HYPERLINK("https://patents.google.com/patent/US20130164260","Google")</f>
        <v>0.0</v>
      </c>
      <c r="G3268" s="2" t="n">
        <f>HYPERLINK("https://patentcenter.uspto.gov/applications/13679862","Patent Center")</f>
        <v>0.0</v>
      </c>
      <c r="H3268" s="2" t="n">
        <f>HYPERLINK("https://worldwide.espacenet.com/patent/search?q=US20130164260","Espacenet")</f>
        <v>0.0</v>
      </c>
      <c r="I3268" s="2" t="n">
        <f>HYPERLINK("https://ppubs.uspto.gov/pubwebapp/external.html?q=20130164260.pn.","USPTO")</f>
        <v>0.0</v>
      </c>
      <c r="J3268" s="2" t="n">
        <f>HYPERLINK("https://image-ppubs.uspto.gov/dirsearch-public/print/downloadPdf/20130164260","USPTO PDF")</f>
        <v>0.0</v>
      </c>
      <c r="K3268" s="2" t="n">
        <f>HYPERLINK("https://sectors.patentforecast.com/pmd/US20130164260","PMD")</f>
        <v>0.0</v>
      </c>
      <c r="L3268" s="2" t="n">
        <f>HYPERLINK("https://globaldossier.uspto.gov/result/application/US/13679862/1","US20130164260")</f>
        <v>0.0</v>
      </c>
      <c r="M3268" t="s">
        <v>21173</v>
      </c>
      <c r="N3268" t="s">
        <v>664</v>
      </c>
      <c r="O3268" t="s">
        <v>665</v>
      </c>
      <c r="P3268" t="s">
        <v>21174</v>
      </c>
      <c r="Q3268" s="3" t="n">
        <v>41229.0</v>
      </c>
      <c r="R3268" s="3" t="n">
        <v>41452.0</v>
      </c>
      <c r="S3268" s="3" t="n">
        <v>43952.46488039352</v>
      </c>
      <c r="T3268" s="3" t="n">
        <v>44638.65271974537</v>
      </c>
      <c r="U3268" t="s">
        <v>21175</v>
      </c>
      <c r="V3268" t="s">
        <v>17072</v>
      </c>
    </row>
    <row r="3269">
      <c r="A3269" t="s">
        <v>22</v>
      </c>
      <c r="B3269" t="s">
        <v>21176</v>
      </c>
      <c r="C3269" t="s">
        <v>60</v>
      </c>
      <c r="D3269" t="s">
        <v>61</v>
      </c>
      <c r="E3269" t="s">
        <v>16903</v>
      </c>
      <c r="F3269" s="2" t="n">
        <f>HYPERLINK("https://patents.google.com/patent/US20130156732","Google")</f>
        <v>0.0</v>
      </c>
      <c r="G3269" s="2" t="n">
        <f>HYPERLINK("https://patentcenter.uspto.gov/applications/13679874","Patent Center")</f>
        <v>0.0</v>
      </c>
      <c r="H3269" s="2" t="n">
        <f>HYPERLINK("https://worldwide.espacenet.com/patent/search?q=US20130156732","Espacenet")</f>
        <v>0.0</v>
      </c>
      <c r="I3269" s="2" t="n">
        <f>HYPERLINK("https://ppubs.uspto.gov/pubwebapp/external.html?q=20130156732.pn.","USPTO")</f>
        <v>0.0</v>
      </c>
      <c r="J3269" s="2" t="n">
        <f>HYPERLINK("https://image-ppubs.uspto.gov/dirsearch-public/print/downloadPdf/20130156732","USPTO PDF")</f>
        <v>0.0</v>
      </c>
      <c r="K3269" s="2" t="n">
        <f>HYPERLINK("https://sectors.patentforecast.com/pmd/US20130156732","PMD")</f>
        <v>0.0</v>
      </c>
      <c r="L3269" s="2" t="n">
        <f>HYPERLINK("https://globaldossier.uspto.gov/result/application/US/13679874/1","US20130156732")</f>
        <v>0.0</v>
      </c>
      <c r="M3269" t="s">
        <v>21177</v>
      </c>
      <c r="N3269" t="s">
        <v>664</v>
      </c>
      <c r="O3269" t="s">
        <v>665</v>
      </c>
      <c r="P3269" t="s">
        <v>21178</v>
      </c>
      <c r="Q3269" s="3" t="n">
        <v>41229.0</v>
      </c>
      <c r="R3269" s="3" t="n">
        <v>41445.0</v>
      </c>
      <c r="S3269" s="3" t="n">
        <v>43952.46488039352</v>
      </c>
      <c r="T3269" s="3" t="n">
        <v>44638.65271974537</v>
      </c>
      <c r="U3269" t="s">
        <v>21179</v>
      </c>
      <c r="V3269" t="s">
        <v>17072</v>
      </c>
    </row>
    <row r="3270">
      <c r="A3270" t="s">
        <v>22</v>
      </c>
      <c r="B3270" t="s">
        <v>21180</v>
      </c>
      <c r="C3270" t="s">
        <v>24</v>
      </c>
      <c r="D3270" t="s">
        <v>69</v>
      </c>
      <c r="E3270" t="s">
        <v>21181</v>
      </c>
      <c r="F3270" s="2" t="n">
        <f>HYPERLINK("https://patents.google.com/patent/US20130138451","Google")</f>
        <v>0.0</v>
      </c>
      <c r="G3270" s="2" t="n">
        <f>HYPERLINK("https://patentcenter.uspto.gov/applications/13724740","Patent Center")</f>
        <v>0.0</v>
      </c>
      <c r="H3270" s="2" t="n">
        <f>HYPERLINK("https://worldwide.espacenet.com/patent/search?q=US20130138451","Espacenet")</f>
        <v>0.0</v>
      </c>
      <c r="I3270" s="2" t="n">
        <f>HYPERLINK("https://ppubs.uspto.gov/pubwebapp/external.html?q=20130138451.pn.","USPTO")</f>
        <v>0.0</v>
      </c>
      <c r="J3270" s="2" t="n">
        <f>HYPERLINK("https://image-ppubs.uspto.gov/dirsearch-public/print/downloadPdf/20130138451","USPTO PDF")</f>
        <v>0.0</v>
      </c>
      <c r="K3270" s="2" t="n">
        <f>HYPERLINK("https://sectors.patentforecast.com/pmd/US20130138451","PMD")</f>
        <v>0.0</v>
      </c>
      <c r="L3270" s="2" t="n">
        <f>HYPERLINK("https://globaldossier.uspto.gov/result/application/US/13724740/1","US20130138451")</f>
        <v>0.0</v>
      </c>
      <c r="M3270" t="s">
        <v>21182</v>
      </c>
      <c r="N3270" t="s">
        <v>21183</v>
      </c>
      <c r="O3270" t="s">
        <v>21184</v>
      </c>
      <c r="P3270" t="s">
        <v>21185</v>
      </c>
      <c r="Q3270" s="3" t="n">
        <v>41264.0</v>
      </c>
      <c r="R3270" s="3" t="n">
        <v>41424.0</v>
      </c>
      <c r="S3270" s="3" t="n">
        <v>44089.23016482639</v>
      </c>
      <c r="T3270" s="3" t="n">
        <v>44089.44148195602</v>
      </c>
      <c r="U3270" t="s">
        <v>21186</v>
      </c>
      <c r="V3270" t="s">
        <v>21187</v>
      </c>
    </row>
    <row r="3271">
      <c r="A3271" t="s">
        <v>22</v>
      </c>
      <c r="B3271" t="s">
        <v>21188</v>
      </c>
      <c r="C3271" t="s">
        <v>60</v>
      </c>
      <c r="D3271" t="s">
        <v>61</v>
      </c>
      <c r="E3271" t="s">
        <v>16903</v>
      </c>
      <c r="F3271" s="2" t="n">
        <f>HYPERLINK("https://patents.google.com/patent/US20130137877","Google")</f>
        <v>0.0</v>
      </c>
      <c r="G3271" s="2" t="n">
        <f>HYPERLINK("https://patentcenter.uspto.gov/applications/13553517","Patent Center")</f>
        <v>0.0</v>
      </c>
      <c r="H3271" s="2" t="n">
        <f>HYPERLINK("https://worldwide.espacenet.com/patent/search?q=US20130137877","Espacenet")</f>
        <v>0.0</v>
      </c>
      <c r="I3271" s="2" t="n">
        <f>HYPERLINK("https://ppubs.uspto.gov/pubwebapp/external.html?q=20130137877.pn.","USPTO")</f>
        <v>0.0</v>
      </c>
      <c r="J3271" s="2" t="n">
        <f>HYPERLINK("https://image-ppubs.uspto.gov/dirsearch-public/print/downloadPdf/20130137877","USPTO PDF")</f>
        <v>0.0</v>
      </c>
      <c r="K3271" s="2" t="n">
        <f>HYPERLINK("https://sectors.patentforecast.com/pmd/US20130137877","PMD")</f>
        <v>0.0</v>
      </c>
      <c r="L3271" s="2" t="n">
        <f>HYPERLINK("https://globaldossier.uspto.gov/result/application/US/13553517/1","US20130137877")</f>
        <v>0.0</v>
      </c>
      <c r="M3271" t="s">
        <v>21189</v>
      </c>
      <c r="N3271" t="s">
        <v>664</v>
      </c>
      <c r="O3271" t="s">
        <v>665</v>
      </c>
      <c r="P3271" t="s">
        <v>21190</v>
      </c>
      <c r="Q3271" s="3" t="n">
        <v>41109.0</v>
      </c>
      <c r="R3271" s="3" t="n">
        <v>41424.0</v>
      </c>
      <c r="S3271" s="3" t="n">
        <v>43952.46488039352</v>
      </c>
      <c r="T3271" s="3" t="n">
        <v>44638.65271974537</v>
      </c>
      <c r="U3271" t="s">
        <v>21191</v>
      </c>
      <c r="V3271" t="s">
        <v>16907</v>
      </c>
    </row>
    <row r="3272">
      <c r="A3272" t="s">
        <v>22</v>
      </c>
      <c r="B3272" t="s">
        <v>21192</v>
      </c>
      <c r="C3272" t="s">
        <v>60</v>
      </c>
      <c r="D3272" t="s">
        <v>61</v>
      </c>
      <c r="E3272" t="s">
        <v>18874</v>
      </c>
      <c r="F3272" s="2" t="n">
        <f>HYPERLINK("https://patents.google.com/patent/US20130136776","Google")</f>
        <v>0.0</v>
      </c>
      <c r="G3272" s="2" t="n">
        <f>HYPERLINK("https://patentcenter.uspto.gov/applications/13686664","Patent Center")</f>
        <v>0.0</v>
      </c>
      <c r="H3272" s="2" t="n">
        <f>HYPERLINK("https://worldwide.espacenet.com/patent/search?q=US20130136776","Espacenet")</f>
        <v>0.0</v>
      </c>
      <c r="I3272" s="2" t="n">
        <f>HYPERLINK("https://ppubs.uspto.gov/pubwebapp/external.html?q=20130136776.pn.","USPTO")</f>
        <v>0.0</v>
      </c>
      <c r="J3272" s="2" t="n">
        <f>HYPERLINK("https://image-ppubs.uspto.gov/dirsearch-public/print/downloadPdf/20130136776","USPTO PDF")</f>
        <v>0.0</v>
      </c>
      <c r="K3272" s="2" t="n">
        <f>HYPERLINK("https://sectors.patentforecast.com/pmd/US20130136776","PMD")</f>
        <v>0.0</v>
      </c>
      <c r="L3272" s="2" t="n">
        <f>HYPERLINK("https://globaldossier.uspto.gov/result/application/US/13686664/1","US20130136776")</f>
        <v>0.0</v>
      </c>
      <c r="M3272" t="s">
        <v>21193</v>
      </c>
      <c r="N3272" t="s">
        <v>664</v>
      </c>
      <c r="O3272" t="s">
        <v>665</v>
      </c>
      <c r="P3272" t="s">
        <v>20284</v>
      </c>
      <c r="Q3272" s="3" t="n">
        <v>41240.0</v>
      </c>
      <c r="R3272" s="3" t="n">
        <v>41424.0</v>
      </c>
      <c r="S3272" s="3" t="n">
        <v>43952.46488039352</v>
      </c>
      <c r="T3272" s="3" t="n">
        <v>44638.65643378472</v>
      </c>
      <c r="U3272" t="s">
        <v>21194</v>
      </c>
      <c r="V3272" t="s">
        <v>18878</v>
      </c>
    </row>
    <row r="3273">
      <c r="A3273" t="s">
        <v>22</v>
      </c>
      <c r="B3273" t="s">
        <v>21195</v>
      </c>
      <c r="C3273" t="s">
        <v>60</v>
      </c>
      <c r="D3273" t="s">
        <v>61</v>
      </c>
      <c r="E3273" t="s">
        <v>21196</v>
      </c>
      <c r="F3273" s="2" t="n">
        <f>HYPERLINK("https://patents.google.com/patent/US20130136770","Google")</f>
        <v>0.0</v>
      </c>
      <c r="G3273" s="2" t="n">
        <f>HYPERLINK("https://patentcenter.uspto.gov/applications/13639848","Patent Center")</f>
        <v>0.0</v>
      </c>
      <c r="H3273" s="2" t="n">
        <f>HYPERLINK("https://worldwide.espacenet.com/patent/search?q=US20130136770","Espacenet")</f>
        <v>0.0</v>
      </c>
      <c r="I3273" s="2" t="n">
        <f>HYPERLINK("https://ppubs.uspto.gov/pubwebapp/external.html?q=20130136770.pn.","USPTO")</f>
        <v>0.0</v>
      </c>
      <c r="J3273" s="2" t="n">
        <f>HYPERLINK("https://image-ppubs.uspto.gov/dirsearch-public/print/downloadPdf/20130136770","USPTO PDF")</f>
        <v>0.0</v>
      </c>
      <c r="K3273" s="2" t="n">
        <f>HYPERLINK("https://sectors.patentforecast.com/pmd/US20130136770","PMD")</f>
        <v>0.0</v>
      </c>
      <c r="L3273" s="2" t="n">
        <f>HYPERLINK("https://globaldossier.uspto.gov/result/application/US/13639848/1","US20130136770")</f>
        <v>0.0</v>
      </c>
      <c r="M3273" t="s">
        <v>21197</v>
      </c>
      <c r="N3273" t="s">
        <v>21198</v>
      </c>
      <c r="O3273" t="s">
        <v>21199</v>
      </c>
      <c r="P3273" t="s">
        <v>21200</v>
      </c>
      <c r="Q3273" s="3" t="n">
        <v>40638.0</v>
      </c>
      <c r="R3273" s="3" t="n">
        <v>41424.0</v>
      </c>
      <c r="S3273" s="3" t="n">
        <v>43966.48296407407</v>
      </c>
      <c r="T3273" s="3" t="n">
        <v>44638.69762027778</v>
      </c>
      <c r="U3273" t="s">
        <v>21201</v>
      </c>
      <c r="V3273" t="s">
        <v>21202</v>
      </c>
    </row>
    <row r="3274">
      <c r="A3274" t="s">
        <v>22</v>
      </c>
      <c r="B3274" t="s">
        <v>21203</v>
      </c>
      <c r="C3274" t="s">
        <v>24</v>
      </c>
      <c r="D3274" t="s">
        <v>25</v>
      </c>
      <c r="E3274" t="s">
        <v>21204</v>
      </c>
      <c r="F3274" s="2" t="n">
        <f>HYPERLINK("https://patents.google.com/patent/US20130132572","Google")</f>
        <v>0.0</v>
      </c>
      <c r="G3274" s="2" t="n">
        <f>HYPERLINK("https://patentcenter.uspto.gov/applications/13300584","Patent Center")</f>
        <v>0.0</v>
      </c>
      <c r="H3274" s="2" t="n">
        <f>HYPERLINK("https://worldwide.espacenet.com/patent/search?q=US20130132572","Espacenet")</f>
        <v>0.0</v>
      </c>
      <c r="I3274" s="2" t="n">
        <f>HYPERLINK("https://ppubs.uspto.gov/pubwebapp/external.html?q=20130132572.pn.","USPTO")</f>
        <v>0.0</v>
      </c>
      <c r="J3274" s="2" t="n">
        <f>HYPERLINK("https://image-ppubs.uspto.gov/dirsearch-public/print/downloadPdf/20130132572","USPTO PDF")</f>
        <v>0.0</v>
      </c>
      <c r="K3274" s="2" t="n">
        <f>HYPERLINK("https://sectors.patentforecast.com/pmd/US20130132572","PMD")</f>
        <v>0.0</v>
      </c>
      <c r="L3274" s="2" t="n">
        <f>HYPERLINK("https://globaldossier.uspto.gov/result/application/US/13300584/1","US20130132572")</f>
        <v>0.0</v>
      </c>
      <c r="M3274" t="s">
        <v>21205</v>
      </c>
      <c r="N3274" t="s">
        <v>21206</v>
      </c>
      <c r="O3274" t="s">
        <v>21206</v>
      </c>
      <c r="P3274" t="s">
        <v>21207</v>
      </c>
      <c r="Q3274" s="3" t="n">
        <v>40867.0</v>
      </c>
      <c r="R3274" s="3" t="n">
        <v>41417.0</v>
      </c>
      <c r="S3274" s="3" t="n">
        <v>43266.457369421296</v>
      </c>
      <c r="T3274" s="3" t="n">
        <v>43901.721564479165</v>
      </c>
      <c r="U3274" t="s">
        <v>21208</v>
      </c>
      <c r="V3274" t="s">
        <v>21209</v>
      </c>
    </row>
    <row r="3275">
      <c r="A3275" t="s">
        <v>22</v>
      </c>
      <c r="B3275" t="s">
        <v>21210</v>
      </c>
      <c r="C3275" t="s">
        <v>24</v>
      </c>
      <c r="D3275" t="s">
        <v>25</v>
      </c>
      <c r="E3275" t="s">
        <v>21211</v>
      </c>
      <c r="F3275" s="2" t="n">
        <f>HYPERLINK("https://patents.google.com/patent/US20130130227","Google")</f>
        <v>0.0</v>
      </c>
      <c r="G3275" s="2" t="n">
        <f>HYPERLINK("https://patentcenter.uspto.gov/applications/13302245","Patent Center")</f>
        <v>0.0</v>
      </c>
      <c r="H3275" s="2" t="n">
        <f>HYPERLINK("https://worldwide.espacenet.com/patent/search?q=US20130130227","Espacenet")</f>
        <v>0.0</v>
      </c>
      <c r="I3275" s="2" t="n">
        <f>HYPERLINK("https://ppubs.uspto.gov/pubwebapp/external.html?q=20130130227.pn.","USPTO")</f>
        <v>0.0</v>
      </c>
      <c r="J3275" s="2" t="n">
        <f>HYPERLINK("https://image-ppubs.uspto.gov/dirsearch-public/print/downloadPdf/20130130227","USPTO PDF")</f>
        <v>0.0</v>
      </c>
      <c r="K3275" s="2" t="n">
        <f>HYPERLINK("https://sectors.patentforecast.com/pmd/US20130130227","PMD")</f>
        <v>0.0</v>
      </c>
      <c r="L3275" s="2" t="n">
        <f>HYPERLINK("https://globaldossier.uspto.gov/result/application/US/13302245/1","US20130130227")</f>
        <v>0.0</v>
      </c>
      <c r="M3275" t="s">
        <v>21212</v>
      </c>
      <c r="N3275" t="s">
        <v>855</v>
      </c>
      <c r="O3275" t="s">
        <v>856</v>
      </c>
      <c r="P3275" t="s">
        <v>20334</v>
      </c>
      <c r="Q3275" s="3" t="n">
        <v>40869.0</v>
      </c>
      <c r="R3275" s="3" t="n">
        <v>41417.0</v>
      </c>
      <c r="S3275" s="3" t="n">
        <v>43266.457369421296</v>
      </c>
      <c r="T3275" s="3" t="n">
        <v>43903.6294291088</v>
      </c>
      <c r="U3275" t="s">
        <v>21213</v>
      </c>
      <c r="V3275" t="s">
        <v>20336</v>
      </c>
    </row>
    <row r="3276">
      <c r="A3276" t="s">
        <v>22</v>
      </c>
      <c r="B3276" t="s">
        <v>21214</v>
      </c>
      <c r="C3276" t="s">
        <v>312</v>
      </c>
      <c r="D3276" t="s">
        <v>313</v>
      </c>
      <c r="E3276" t="s">
        <v>21215</v>
      </c>
      <c r="F3276" s="2" t="n">
        <f>HYPERLINK("https://patents.google.com/patent/US20130124574","Google")</f>
        <v>0.0</v>
      </c>
      <c r="G3276" s="2" t="n">
        <f>HYPERLINK("https://patentcenter.uspto.gov/applications/13654152","Patent Center")</f>
        <v>0.0</v>
      </c>
      <c r="H3276" s="2" t="n">
        <f>HYPERLINK("https://worldwide.espacenet.com/patent/search?q=US20130124574","Espacenet")</f>
        <v>0.0</v>
      </c>
      <c r="I3276" s="2" t="n">
        <f>HYPERLINK("https://ppubs.uspto.gov/pubwebapp/external.html?q=20130124574.pn.","USPTO")</f>
        <v>0.0</v>
      </c>
      <c r="J3276" s="2" t="n">
        <f>HYPERLINK("https://image-ppubs.uspto.gov/dirsearch-public/print/downloadPdf/20130124574","USPTO PDF")</f>
        <v>0.0</v>
      </c>
      <c r="K3276" s="2" t="n">
        <f>HYPERLINK("https://sectors.patentforecast.com/pmd/US20130124574","PMD")</f>
        <v>0.0</v>
      </c>
      <c r="L3276" s="2" t="n">
        <f>HYPERLINK("https://globaldossier.uspto.gov/result/application/US/13654152/1","US20130124574")</f>
        <v>0.0</v>
      </c>
      <c r="M3276" t="s">
        <v>21216</v>
      </c>
      <c r="N3276" t="s">
        <v>979</v>
      </c>
      <c r="O3276" t="s">
        <v>980</v>
      </c>
      <c r="P3276" t="s">
        <v>21217</v>
      </c>
      <c r="Q3276" s="3" t="n">
        <v>41199.0</v>
      </c>
      <c r="R3276" s="3" t="n">
        <v>41410.0</v>
      </c>
      <c r="S3276" s="3" t="n">
        <v>43266.457369421296</v>
      </c>
      <c r="T3276" s="3" t="n">
        <v>43266.63762232639</v>
      </c>
      <c r="U3276" t="s">
        <v>21218</v>
      </c>
      <c r="V3276" t="s">
        <v>21219</v>
      </c>
    </row>
    <row r="3277">
      <c r="A3277" t="s">
        <v>22</v>
      </c>
      <c r="B3277" t="s">
        <v>21220</v>
      </c>
      <c r="C3277" t="s">
        <v>24</v>
      </c>
      <c r="D3277" t="s">
        <v>187</v>
      </c>
      <c r="E3277" t="s">
        <v>19644</v>
      </c>
      <c r="F3277" s="2" t="n">
        <f>HYPERLINK("https://patents.google.com/patent/US20130124099","Google")</f>
        <v>0.0</v>
      </c>
      <c r="G3277" s="2" t="n">
        <f>HYPERLINK("https://patentcenter.uspto.gov/applications/13663176","Patent Center")</f>
        <v>0.0</v>
      </c>
      <c r="H3277" s="2" t="n">
        <f>HYPERLINK("https://worldwide.espacenet.com/patent/search?q=US20130124099","Espacenet")</f>
        <v>0.0</v>
      </c>
      <c r="I3277" s="2" t="n">
        <f>HYPERLINK("https://ppubs.uspto.gov/pubwebapp/external.html?q=20130124099.pn.","USPTO")</f>
        <v>0.0</v>
      </c>
      <c r="J3277" s="2" t="n">
        <f>HYPERLINK("https://image-ppubs.uspto.gov/dirsearch-public/print/downloadPdf/20130124099","USPTO PDF")</f>
        <v>0.0</v>
      </c>
      <c r="K3277" s="2" t="n">
        <f>HYPERLINK("https://sectors.patentforecast.com/pmd/US20130124099","PMD")</f>
        <v>0.0</v>
      </c>
      <c r="L3277" s="2" t="n">
        <f>HYPERLINK("https://globaldossier.uspto.gov/result/application/US/13663176/1","US20130124099")</f>
        <v>0.0</v>
      </c>
      <c r="M3277" t="s">
        <v>21221</v>
      </c>
      <c r="N3277" t="s">
        <v>6851</v>
      </c>
      <c r="O3277" t="s">
        <v>6852</v>
      </c>
      <c r="P3277" t="s">
        <v>19646</v>
      </c>
      <c r="Q3277" s="3" t="n">
        <v>41211.0</v>
      </c>
      <c r="R3277" s="3" t="n">
        <v>41410.0</v>
      </c>
      <c r="S3277" s="3" t="n">
        <v>43266.457369421296</v>
      </c>
      <c r="T3277" s="3" t="n">
        <v>44643.38482167824</v>
      </c>
      <c r="U3277" t="s">
        <v>19647</v>
      </c>
      <c r="V3277" t="s">
        <v>19648</v>
      </c>
    </row>
    <row r="3278">
      <c r="A3278" t="s">
        <v>22</v>
      </c>
      <c r="B3278" t="s">
        <v>21222</v>
      </c>
      <c r="C3278" t="s">
        <v>24</v>
      </c>
      <c r="D3278" t="s">
        <v>100</v>
      </c>
      <c r="E3278" t="s">
        <v>21223</v>
      </c>
      <c r="F3278" s="2" t="n">
        <f>HYPERLINK("https://patents.google.com/patent/US20130120142","Google")</f>
        <v>0.0</v>
      </c>
      <c r="G3278" s="2" t="n">
        <f>HYPERLINK("https://patentcenter.uspto.gov/applications/13734328","Patent Center")</f>
        <v>0.0</v>
      </c>
      <c r="H3278" s="2" t="n">
        <f>HYPERLINK("https://worldwide.espacenet.com/patent/search?q=US20130120142","Espacenet")</f>
        <v>0.0</v>
      </c>
      <c r="I3278" s="2" t="n">
        <f>HYPERLINK("https://ppubs.uspto.gov/pubwebapp/external.html?q=20130120142.pn.","USPTO")</f>
        <v>0.0</v>
      </c>
      <c r="J3278" s="2" t="n">
        <f>HYPERLINK("https://image-ppubs.uspto.gov/dirsearch-public/print/downloadPdf/20130120142","USPTO PDF")</f>
        <v>0.0</v>
      </c>
      <c r="K3278" s="2" t="n">
        <f>HYPERLINK("https://sectors.patentforecast.com/pmd/US20130120142","PMD")</f>
        <v>0.0</v>
      </c>
      <c r="L3278" s="2" t="n">
        <f>HYPERLINK("https://globaldossier.uspto.gov/result/application/US/13734328/1","US20130120142")</f>
        <v>0.0</v>
      </c>
      <c r="M3278" t="s">
        <v>21224</v>
      </c>
      <c r="N3278" t="s">
        <v>20565</v>
      </c>
      <c r="O3278" t="s">
        <v>20566</v>
      </c>
      <c r="P3278" t="s">
        <v>19023</v>
      </c>
      <c r="Q3278" s="3" t="n">
        <v>41278.0</v>
      </c>
      <c r="R3278" s="3" t="n">
        <v>41410.0</v>
      </c>
      <c r="S3278" s="3" t="n">
        <v>43266.457369421296</v>
      </c>
      <c r="T3278" s="3" t="n">
        <v>43906.35981086805</v>
      </c>
      <c r="U3278" t="s">
        <v>19024</v>
      </c>
      <c r="V3278" t="s">
        <v>19025</v>
      </c>
    </row>
    <row r="3279">
      <c r="A3279" t="s">
        <v>22</v>
      </c>
      <c r="B3279" t="s">
        <v>21225</v>
      </c>
      <c r="C3279" t="s">
        <v>24</v>
      </c>
      <c r="D3279" t="s">
        <v>25</v>
      </c>
      <c r="E3279" t="s">
        <v>21226</v>
      </c>
      <c r="F3279" s="2" t="n">
        <f>HYPERLINK("https://patents.google.com/patent/US20130120140","Google")</f>
        <v>0.0</v>
      </c>
      <c r="G3279" s="2" t="n">
        <f>HYPERLINK("https://patentcenter.uspto.gov/applications/13733726","Patent Center")</f>
        <v>0.0</v>
      </c>
      <c r="H3279" s="2" t="n">
        <f>HYPERLINK("https://worldwide.espacenet.com/patent/search?q=US20130120140","Espacenet")</f>
        <v>0.0</v>
      </c>
      <c r="I3279" s="2" t="n">
        <f>HYPERLINK("https://ppubs.uspto.gov/pubwebapp/external.html?q=20130120140.pn.","USPTO")</f>
        <v>0.0</v>
      </c>
      <c r="J3279" s="2" t="n">
        <f>HYPERLINK("https://image-ppubs.uspto.gov/dirsearch-public/print/downloadPdf/20130120140","USPTO PDF")</f>
        <v>0.0</v>
      </c>
      <c r="K3279" s="2" t="n">
        <f>HYPERLINK("https://sectors.patentforecast.com/pmd/US20130120140","PMD")</f>
        <v>0.0</v>
      </c>
      <c r="L3279" s="2" t="n">
        <f>HYPERLINK("https://globaldossier.uspto.gov/result/application/US/13733726/1","US20130120140")</f>
        <v>0.0</v>
      </c>
      <c r="M3279" t="s">
        <v>21227</v>
      </c>
      <c r="N3279" t="s">
        <v>947</v>
      </c>
      <c r="O3279" t="s">
        <v>948</v>
      </c>
      <c r="P3279" t="s">
        <v>21228</v>
      </c>
      <c r="Q3279" s="3" t="n">
        <v>41277.0</v>
      </c>
      <c r="R3279" s="3" t="n">
        <v>41410.0</v>
      </c>
      <c r="S3279" s="3" t="n">
        <v>43266.457369421296</v>
      </c>
      <c r="T3279" s="3" t="n">
        <v>44643.65784633102</v>
      </c>
      <c r="U3279" t="s">
        <v>21229</v>
      </c>
      <c r="V3279" t="s">
        <v>21230</v>
      </c>
    </row>
    <row r="3280">
      <c r="A3280" t="s">
        <v>22</v>
      </c>
      <c r="B3280" t="s">
        <v>21231</v>
      </c>
      <c r="C3280" t="s">
        <v>60</v>
      </c>
      <c r="D3280" t="s">
        <v>77</v>
      </c>
      <c r="E3280" t="s">
        <v>21232</v>
      </c>
      <c r="F3280" s="2" t="n">
        <f>HYPERLINK("https://patents.google.com/patent/US20130115606","Google")</f>
        <v>0.0</v>
      </c>
      <c r="G3280" s="2" t="n">
        <f>HYPERLINK("https://patentcenter.uspto.gov/applications/13631629","Patent Center")</f>
        <v>0.0</v>
      </c>
      <c r="H3280" s="2" t="n">
        <f>HYPERLINK("https://worldwide.espacenet.com/patent/search?q=US20130115606","Espacenet")</f>
        <v>0.0</v>
      </c>
      <c r="I3280" s="2" t="n">
        <f>HYPERLINK("https://ppubs.uspto.gov/pubwebapp/external.html?q=20130115606.pn.","USPTO")</f>
        <v>0.0</v>
      </c>
      <c r="J3280" s="2" t="n">
        <f>HYPERLINK("https://image-ppubs.uspto.gov/dirsearch-public/print/downloadPdf/20130115606","USPTO PDF")</f>
        <v>0.0</v>
      </c>
      <c r="K3280" s="2" t="n">
        <f>HYPERLINK("https://sectors.patentforecast.com/pmd/US20130115606","PMD")</f>
        <v>0.0</v>
      </c>
      <c r="L3280" s="2" t="n">
        <f>HYPERLINK("https://globaldossier.uspto.gov/result/application/US/13631629/1","US20130115606")</f>
        <v>0.0</v>
      </c>
      <c r="M3280" t="s">
        <v>21233</v>
      </c>
      <c r="N3280" t="s">
        <v>16801</v>
      </c>
      <c r="O3280" t="s">
        <v>16802</v>
      </c>
      <c r="P3280" t="s">
        <v>17302</v>
      </c>
      <c r="Q3280" s="3" t="n">
        <v>41180.0</v>
      </c>
      <c r="R3280" s="3" t="n">
        <v>41403.0</v>
      </c>
      <c r="S3280" s="3" t="n">
        <v>43985.66955119213</v>
      </c>
      <c r="T3280" s="3" t="n">
        <v>43985.67861778935</v>
      </c>
      <c r="U3280" t="s">
        <v>17303</v>
      </c>
      <c r="V3280" t="s">
        <v>17304</v>
      </c>
    </row>
    <row r="3281">
      <c r="A3281" t="s">
        <v>22</v>
      </c>
      <c r="B3281" t="s">
        <v>21234</v>
      </c>
      <c r="C3281" t="s">
        <v>60</v>
      </c>
      <c r="D3281" t="s">
        <v>61</v>
      </c>
      <c r="E3281" t="s">
        <v>21235</v>
      </c>
      <c r="F3281" s="2" t="n">
        <f>HYPERLINK("https://patents.google.com/patent/US20130109647","Google")</f>
        <v>0.0</v>
      </c>
      <c r="G3281" s="2" t="n">
        <f>HYPERLINK("https://patentcenter.uspto.gov/applications/13661509","Patent Center")</f>
        <v>0.0</v>
      </c>
      <c r="H3281" s="2" t="n">
        <f>HYPERLINK("https://worldwide.espacenet.com/patent/search?q=US20130109647","Espacenet")</f>
        <v>0.0</v>
      </c>
      <c r="I3281" s="2" t="n">
        <f>HYPERLINK("https://ppubs.uspto.gov/pubwebapp/external.html?q=20130109647.pn.","USPTO")</f>
        <v>0.0</v>
      </c>
      <c r="J3281" s="2" t="n">
        <f>HYPERLINK("https://image-ppubs.uspto.gov/dirsearch-public/print/downloadPdf/20130109647","USPTO PDF")</f>
        <v>0.0</v>
      </c>
      <c r="K3281" s="2" t="n">
        <f>HYPERLINK("https://sectors.patentforecast.com/pmd/US20130109647","PMD")</f>
        <v>0.0</v>
      </c>
      <c r="L3281" s="2" t="n">
        <f>HYPERLINK("https://globaldossier.uspto.gov/result/application/US/13661509/1","US20130109647")</f>
        <v>0.0</v>
      </c>
      <c r="M3281" t="s">
        <v>21236</v>
      </c>
      <c r="N3281" t="s">
        <v>664</v>
      </c>
      <c r="O3281" t="s">
        <v>665</v>
      </c>
      <c r="P3281" t="s">
        <v>21237</v>
      </c>
      <c r="Q3281" s="3" t="n">
        <v>41208.0</v>
      </c>
      <c r="R3281" s="3" t="n">
        <v>41396.0</v>
      </c>
      <c r="S3281" s="3" t="n">
        <v>43952.46488039352</v>
      </c>
      <c r="T3281" s="3" t="n">
        <v>44638.65643378472</v>
      </c>
      <c r="U3281" t="s">
        <v>21238</v>
      </c>
      <c r="V3281" t="s">
        <v>21239</v>
      </c>
    </row>
    <row r="3282">
      <c r="A3282" t="s">
        <v>22</v>
      </c>
      <c r="B3282" t="s">
        <v>21240</v>
      </c>
      <c r="C3282" t="s">
        <v>60</v>
      </c>
      <c r="D3282" t="s">
        <v>696</v>
      </c>
      <c r="E3282" t="s">
        <v>17697</v>
      </c>
      <c r="F3282" s="2" t="n">
        <f>HYPERLINK("https://patents.google.com/patent/US20130101598","Google")</f>
        <v>0.0</v>
      </c>
      <c r="G3282" s="2" t="n">
        <f>HYPERLINK("https://patentcenter.uspto.gov/applications/13600978","Patent Center")</f>
        <v>0.0</v>
      </c>
      <c r="H3282" s="2" t="n">
        <f>HYPERLINK("https://worldwide.espacenet.com/patent/search?q=US20130101598","Espacenet")</f>
        <v>0.0</v>
      </c>
      <c r="I3282" s="2" t="n">
        <f>HYPERLINK("https://ppubs.uspto.gov/pubwebapp/external.html?q=20130101598.pn.","USPTO")</f>
        <v>0.0</v>
      </c>
      <c r="J3282" s="2" t="n">
        <f>HYPERLINK("https://image-ppubs.uspto.gov/dirsearch-public/print/downloadPdf/20130101598","USPTO PDF")</f>
        <v>0.0</v>
      </c>
      <c r="K3282" s="2" t="n">
        <f>HYPERLINK("https://sectors.patentforecast.com/pmd/US20130101598","PMD")</f>
        <v>0.0</v>
      </c>
      <c r="L3282" s="2" t="n">
        <f>HYPERLINK("https://globaldossier.uspto.gov/result/application/US/13600978/1","US20130101598")</f>
        <v>0.0</v>
      </c>
      <c r="M3282" t="s">
        <v>21241</v>
      </c>
      <c r="N3282" t="s">
        <v>16927</v>
      </c>
      <c r="O3282" t="s">
        <v>16928</v>
      </c>
      <c r="P3282" t="s">
        <v>21242</v>
      </c>
      <c r="Q3282" s="3" t="n">
        <v>41152.0</v>
      </c>
      <c r="R3282" s="3" t="n">
        <v>41389.0</v>
      </c>
      <c r="S3282" s="3" t="n">
        <v>43966.48296407407</v>
      </c>
      <c r="T3282" s="3" t="n">
        <v>44643.44490069444</v>
      </c>
      <c r="U3282" t="s">
        <v>21243</v>
      </c>
      <c r="V3282" t="s">
        <v>17701</v>
      </c>
    </row>
    <row r="3283">
      <c r="A3283" t="s">
        <v>22</v>
      </c>
      <c r="B3283" t="s">
        <v>21244</v>
      </c>
      <c r="C3283" t="s">
        <v>60</v>
      </c>
      <c r="D3283" t="s">
        <v>61</v>
      </c>
      <c r="E3283" t="s">
        <v>16903</v>
      </c>
      <c r="F3283" s="2" t="n">
        <f>HYPERLINK("https://patents.google.com/patent/US20130090302","Google")</f>
        <v>0.0</v>
      </c>
      <c r="G3283" s="2" t="n">
        <f>HYPERLINK("https://patentcenter.uspto.gov/applications/13626687","Patent Center")</f>
        <v>0.0</v>
      </c>
      <c r="H3283" s="2" t="n">
        <f>HYPERLINK("https://worldwide.espacenet.com/patent/search?q=US20130090302","Espacenet")</f>
        <v>0.0</v>
      </c>
      <c r="I3283" s="2" t="n">
        <f>HYPERLINK("https://ppubs.uspto.gov/pubwebapp/external.html?q=20130090302.pn.","USPTO")</f>
        <v>0.0</v>
      </c>
      <c r="J3283" s="2" t="n">
        <f>HYPERLINK("https://image-ppubs.uspto.gov/dirsearch-public/print/downloadPdf/20130090302","USPTO PDF")</f>
        <v>0.0</v>
      </c>
      <c r="K3283" s="2" t="n">
        <f>HYPERLINK("https://sectors.patentforecast.com/pmd/US20130090302","PMD")</f>
        <v>0.0</v>
      </c>
      <c r="L3283" s="2" t="n">
        <f>HYPERLINK("https://globaldossier.uspto.gov/result/application/US/13626687/1","US20130090302")</f>
        <v>0.0</v>
      </c>
      <c r="M3283" t="s">
        <v>21245</v>
      </c>
      <c r="N3283" t="s">
        <v>664</v>
      </c>
      <c r="O3283" t="s">
        <v>665</v>
      </c>
      <c r="P3283" t="s">
        <v>21246</v>
      </c>
      <c r="Q3283" s="3" t="n">
        <v>41177.0</v>
      </c>
      <c r="R3283" s="3" t="n">
        <v>41375.0</v>
      </c>
      <c r="S3283" s="3" t="n">
        <v>43952.459705810186</v>
      </c>
      <c r="T3283" s="3" t="n">
        <v>44638.65271974537</v>
      </c>
      <c r="U3283" t="s">
        <v>21247</v>
      </c>
      <c r="V3283" t="s">
        <v>17358</v>
      </c>
    </row>
    <row r="3284">
      <c r="A3284" t="s">
        <v>22</v>
      </c>
      <c r="B3284" t="s">
        <v>21248</v>
      </c>
      <c r="C3284" t="s">
        <v>60</v>
      </c>
      <c r="D3284" t="s">
        <v>61</v>
      </c>
      <c r="E3284" t="s">
        <v>17354</v>
      </c>
      <c r="F3284" s="2" t="n">
        <f>HYPERLINK("https://patents.google.com/patent/US20130090299","Google")</f>
        <v>0.0</v>
      </c>
      <c r="G3284" s="2" t="n">
        <f>HYPERLINK("https://patentcenter.uspto.gov/applications/13653982","Patent Center")</f>
        <v>0.0</v>
      </c>
      <c r="H3284" s="2" t="n">
        <f>HYPERLINK("https://worldwide.espacenet.com/patent/search?q=US20130090299","Espacenet")</f>
        <v>0.0</v>
      </c>
      <c r="I3284" s="2" t="n">
        <f>HYPERLINK("https://ppubs.uspto.gov/pubwebapp/external.html?q=20130090299.pn.","USPTO")</f>
        <v>0.0</v>
      </c>
      <c r="J3284" s="2" t="n">
        <f>HYPERLINK("https://image-ppubs.uspto.gov/dirsearch-public/print/downloadPdf/20130090299","USPTO PDF")</f>
        <v>0.0</v>
      </c>
      <c r="K3284" s="2" t="n">
        <f>HYPERLINK("https://sectors.patentforecast.com/pmd/US20130090299","PMD")</f>
        <v>0.0</v>
      </c>
      <c r="L3284" s="2" t="n">
        <f>HYPERLINK("https://globaldossier.uspto.gov/result/application/US/13653982/1","US20130090299")</f>
        <v>0.0</v>
      </c>
      <c r="M3284" t="s">
        <v>21249</v>
      </c>
      <c r="N3284" t="s">
        <v>21250</v>
      </c>
      <c r="O3284" t="s">
        <v>21251</v>
      </c>
      <c r="P3284" t="s">
        <v>21252</v>
      </c>
      <c r="Q3284" s="3" t="n">
        <v>41199.0</v>
      </c>
      <c r="R3284" s="3" t="n">
        <v>41375.0</v>
      </c>
      <c r="S3284" s="3" t="n">
        <v>43952.459705810186</v>
      </c>
      <c r="T3284" s="3" t="n">
        <v>44638.662781747684</v>
      </c>
      <c r="U3284" t="s">
        <v>21253</v>
      </c>
      <c r="V3284" t="s">
        <v>17358</v>
      </c>
    </row>
    <row r="3285">
      <c r="A3285" t="s">
        <v>22</v>
      </c>
      <c r="B3285" t="s">
        <v>21254</v>
      </c>
      <c r="C3285" t="s">
        <v>24</v>
      </c>
      <c r="D3285" t="s">
        <v>100</v>
      </c>
      <c r="E3285" t="s">
        <v>21255</v>
      </c>
      <c r="F3285" s="2" t="n">
        <f>HYPERLINK("https://patents.google.com/patent/US20130065967","Google")</f>
        <v>0.0</v>
      </c>
      <c r="G3285" s="2" t="n">
        <f>HYPERLINK("https://patentcenter.uspto.gov/applications/13445831","Patent Center")</f>
        <v>0.0</v>
      </c>
      <c r="H3285" s="2" t="n">
        <f>HYPERLINK("https://worldwide.espacenet.com/patent/search?q=US20130065967","Espacenet")</f>
        <v>0.0</v>
      </c>
      <c r="I3285" s="2" t="n">
        <f>HYPERLINK("https://ppubs.uspto.gov/pubwebapp/external.html?q=20130065967.pn.","USPTO")</f>
        <v>0.0</v>
      </c>
      <c r="J3285" s="2" t="n">
        <f>HYPERLINK("https://image-ppubs.uspto.gov/dirsearch-public/print/downloadPdf/20130065967","USPTO PDF")</f>
        <v>0.0</v>
      </c>
      <c r="K3285" s="2" t="n">
        <f>HYPERLINK("https://sectors.patentforecast.com/pmd/US20130065967","PMD")</f>
        <v>0.0</v>
      </c>
      <c r="L3285" s="2" t="n">
        <f>HYPERLINK("https://globaldossier.uspto.gov/result/application/US/13445831/1","US20130065967")</f>
        <v>0.0</v>
      </c>
      <c r="M3285" t="s">
        <v>21256</v>
      </c>
      <c r="N3285" t="s">
        <v>21257</v>
      </c>
      <c r="O3285" t="s">
        <v>21258</v>
      </c>
      <c r="P3285" t="s">
        <v>21259</v>
      </c>
      <c r="Q3285" s="3" t="n">
        <v>41011.0</v>
      </c>
      <c r="R3285" s="3" t="n">
        <v>41347.0</v>
      </c>
      <c r="S3285" s="3" t="n">
        <v>43999.59019282407</v>
      </c>
      <c r="T3285" s="3" t="n">
        <v>44638.64789150463</v>
      </c>
      <c r="U3285" t="s">
        <v>21260</v>
      </c>
      <c r="V3285" t="s">
        <v>21261</v>
      </c>
    </row>
    <row r="3286">
      <c r="A3286" t="s">
        <v>22</v>
      </c>
      <c r="B3286" t="s">
        <v>21262</v>
      </c>
      <c r="C3286" t="s">
        <v>60</v>
      </c>
      <c r="D3286" t="s">
        <v>61</v>
      </c>
      <c r="E3286" t="s">
        <v>21263</v>
      </c>
      <c r="F3286" s="2" t="n">
        <f>HYPERLINK("https://patents.google.com/patent/US20130065857","Google")</f>
        <v>0.0</v>
      </c>
      <c r="G3286" s="2" t="n">
        <f>HYPERLINK("https://patentcenter.uspto.gov/applications/13501636","Patent Center")</f>
        <v>0.0</v>
      </c>
      <c r="H3286" s="2" t="n">
        <f>HYPERLINK("https://worldwide.espacenet.com/patent/search?q=US20130065857","Espacenet")</f>
        <v>0.0</v>
      </c>
      <c r="I3286" s="2" t="n">
        <f>HYPERLINK("https://ppubs.uspto.gov/pubwebapp/external.html?q=20130065857.pn.","USPTO")</f>
        <v>0.0</v>
      </c>
      <c r="J3286" s="2" t="n">
        <f>HYPERLINK("https://image-ppubs.uspto.gov/dirsearch-public/print/downloadPdf/20130065857","USPTO PDF")</f>
        <v>0.0</v>
      </c>
      <c r="K3286" s="2" t="n">
        <f>HYPERLINK("https://sectors.patentforecast.com/pmd/US20130065857","PMD")</f>
        <v>0.0</v>
      </c>
      <c r="L3286" s="2" t="n">
        <f>HYPERLINK("https://globaldossier.uspto.gov/result/application/US/13501636/1","US20130065857")</f>
        <v>0.0</v>
      </c>
      <c r="M3286" t="s">
        <v>21264</v>
      </c>
      <c r="N3286" t="s">
        <v>18220</v>
      </c>
      <c r="O3286" t="s">
        <v>18221</v>
      </c>
      <c r="P3286" t="s">
        <v>21265</v>
      </c>
      <c r="Q3286" s="3" t="n">
        <v>40463.0</v>
      </c>
      <c r="R3286" s="3" t="n">
        <v>41347.0</v>
      </c>
      <c r="S3286" s="3" t="n">
        <v>43936.4616487963</v>
      </c>
      <c r="T3286" s="3" t="n">
        <v>43950.54268900463</v>
      </c>
      <c r="U3286" t="s">
        <v>21266</v>
      </c>
      <c r="V3286" t="s">
        <v>21267</v>
      </c>
    </row>
    <row r="3287">
      <c r="A3287" t="s">
        <v>22</v>
      </c>
      <c r="B3287" t="s">
        <v>21268</v>
      </c>
      <c r="C3287" t="s">
        <v>60</v>
      </c>
      <c r="D3287" t="s">
        <v>696</v>
      </c>
      <c r="E3287" t="s">
        <v>17697</v>
      </c>
      <c r="F3287" s="2" t="n">
        <f>HYPERLINK("https://patents.google.com/patent/US20130058949","Google")</f>
        <v>0.0</v>
      </c>
      <c r="G3287" s="2" t="n">
        <f>HYPERLINK("https://patentcenter.uspto.gov/applications/13548994","Patent Center")</f>
        <v>0.0</v>
      </c>
      <c r="H3287" s="2" t="n">
        <f>HYPERLINK("https://worldwide.espacenet.com/patent/search?q=US20130058949","Espacenet")</f>
        <v>0.0</v>
      </c>
      <c r="I3287" s="2" t="n">
        <f>HYPERLINK("https://ppubs.uspto.gov/pubwebapp/external.html?q=20130058949.pn.","USPTO")</f>
        <v>0.0</v>
      </c>
      <c r="J3287" s="2" t="n">
        <f>HYPERLINK("https://image-ppubs.uspto.gov/dirsearch-public/print/downloadPdf/20130058949","USPTO PDF")</f>
        <v>0.0</v>
      </c>
      <c r="K3287" s="2" t="n">
        <f>HYPERLINK("https://sectors.patentforecast.com/pmd/US20130058949","PMD")</f>
        <v>0.0</v>
      </c>
      <c r="L3287" s="2" t="n">
        <f>HYPERLINK("https://globaldossier.uspto.gov/result/application/US/13548994/1","US20130058949")</f>
        <v>0.0</v>
      </c>
      <c r="M3287" t="s">
        <v>21269</v>
      </c>
      <c r="N3287" t="s">
        <v>16927</v>
      </c>
      <c r="O3287" t="s">
        <v>16928</v>
      </c>
      <c r="P3287" t="s">
        <v>20825</v>
      </c>
      <c r="Q3287" s="3" t="n">
        <v>41103.0</v>
      </c>
      <c r="R3287" s="3" t="n">
        <v>41340.0</v>
      </c>
      <c r="S3287" s="3" t="n">
        <v>43966.483078564816</v>
      </c>
      <c r="T3287" s="3" t="n">
        <v>44643.44490069444</v>
      </c>
      <c r="U3287" t="s">
        <v>21270</v>
      </c>
      <c r="V3287" t="s">
        <v>17988</v>
      </c>
    </row>
    <row r="3288">
      <c r="A3288" t="s">
        <v>22</v>
      </c>
      <c r="B3288" t="s">
        <v>21271</v>
      </c>
      <c r="C3288" t="s">
        <v>312</v>
      </c>
      <c r="D3288" t="s">
        <v>3202</v>
      </c>
      <c r="E3288" t="s">
        <v>21272</v>
      </c>
      <c r="F3288" s="2" t="n">
        <f>HYPERLINK("https://patents.google.com/patent/US20130057551","Google")</f>
        <v>0.0</v>
      </c>
      <c r="G3288" s="2" t="n">
        <f>HYPERLINK("https://patentcenter.uspto.gov/applications/13291761","Patent Center")</f>
        <v>0.0</v>
      </c>
      <c r="H3288" s="2" t="n">
        <f>HYPERLINK("https://worldwide.espacenet.com/patent/search?q=US20130057551","Espacenet")</f>
        <v>0.0</v>
      </c>
      <c r="I3288" s="2" t="n">
        <f>HYPERLINK("https://ppubs.uspto.gov/pubwebapp/external.html?q=20130057551.pn.","USPTO")</f>
        <v>0.0</v>
      </c>
      <c r="J3288" s="2" t="n">
        <f>HYPERLINK("https://image-ppubs.uspto.gov/dirsearch-public/print/downloadPdf/20130057551","USPTO PDF")</f>
        <v>0.0</v>
      </c>
      <c r="K3288" s="2" t="n">
        <f>HYPERLINK("https://sectors.patentforecast.com/pmd/US20130057551","PMD")</f>
        <v>0.0</v>
      </c>
      <c r="L3288" s="2" t="n">
        <f>HYPERLINK("https://globaldossier.uspto.gov/result/application/US/13291761/1","US20130057551")</f>
        <v>0.0</v>
      </c>
      <c r="M3288" t="s">
        <v>21273</v>
      </c>
      <c r="N3288" t="s">
        <v>2563</v>
      </c>
      <c r="O3288" t="s">
        <v>2563</v>
      </c>
      <c r="P3288" t="s">
        <v>21274</v>
      </c>
      <c r="Q3288" s="3" t="n">
        <v>40855.0</v>
      </c>
      <c r="R3288" s="3" t="n">
        <v>41340.0</v>
      </c>
      <c r="S3288" s="3" t="n">
        <v>43266.457369421296</v>
      </c>
      <c r="T3288" s="3" t="n">
        <v>43950.59513297454</v>
      </c>
      <c r="U3288" t="s">
        <v>21275</v>
      </c>
      <c r="V3288" t="s">
        <v>21276</v>
      </c>
    </row>
    <row r="3289">
      <c r="A3289" t="s">
        <v>22</v>
      </c>
      <c r="B3289" t="s">
        <v>21277</v>
      </c>
      <c r="C3289" t="s">
        <v>60</v>
      </c>
      <c r="D3289" t="s">
        <v>61</v>
      </c>
      <c r="E3289" t="s">
        <v>16903</v>
      </c>
      <c r="F3289" s="2" t="n">
        <f>HYPERLINK("https://patents.google.com/patent/US20130053577","Google")</f>
        <v>0.0</v>
      </c>
      <c r="G3289" s="2" t="n">
        <f>HYPERLINK("https://patentcenter.uspto.gov/applications/13598430","Patent Center")</f>
        <v>0.0</v>
      </c>
      <c r="H3289" s="2" t="n">
        <f>HYPERLINK("https://worldwide.espacenet.com/patent/search?q=US20130053577","Espacenet")</f>
        <v>0.0</v>
      </c>
      <c r="I3289" s="2" t="n">
        <f>HYPERLINK("https://ppubs.uspto.gov/pubwebapp/external.html?q=20130053577.pn.","USPTO")</f>
        <v>0.0</v>
      </c>
      <c r="J3289" s="2" t="n">
        <f>HYPERLINK("https://image-ppubs.uspto.gov/dirsearch-public/print/downloadPdf/20130053577","USPTO PDF")</f>
        <v>0.0</v>
      </c>
      <c r="K3289" s="2" t="n">
        <f>HYPERLINK("https://sectors.patentforecast.com/pmd/US20130053577","PMD")</f>
        <v>0.0</v>
      </c>
      <c r="L3289" s="2" t="n">
        <f>HYPERLINK("https://globaldossier.uspto.gov/result/application/US/13598430/1","US20130053577")</f>
        <v>0.0</v>
      </c>
      <c r="M3289" t="s">
        <v>21278</v>
      </c>
      <c r="N3289" t="s">
        <v>664</v>
      </c>
      <c r="O3289" t="s">
        <v>665</v>
      </c>
      <c r="P3289" t="s">
        <v>21279</v>
      </c>
      <c r="Q3289" s="3" t="n">
        <v>41150.0</v>
      </c>
      <c r="R3289" s="3" t="n">
        <v>41333.0</v>
      </c>
      <c r="S3289" s="3" t="n">
        <v>43952.459705810186</v>
      </c>
      <c r="T3289" s="3" t="n">
        <v>44638.65271974537</v>
      </c>
      <c r="U3289" t="s">
        <v>21280</v>
      </c>
      <c r="V3289" t="s">
        <v>16907</v>
      </c>
    </row>
    <row r="3290">
      <c r="A3290" t="s">
        <v>22</v>
      </c>
      <c r="B3290" t="s">
        <v>21281</v>
      </c>
      <c r="C3290" t="s">
        <v>60</v>
      </c>
      <c r="D3290" t="s">
        <v>61</v>
      </c>
      <c r="E3290" t="s">
        <v>20882</v>
      </c>
      <c r="F3290" s="2" t="n">
        <f>HYPERLINK("https://patents.google.com/patent/US20130052161","Google")</f>
        <v>0.0</v>
      </c>
      <c r="G3290" s="2" t="n">
        <f>HYPERLINK("https://patentcenter.uspto.gov/applications/13549130","Patent Center")</f>
        <v>0.0</v>
      </c>
      <c r="H3290" s="2" t="n">
        <f>HYPERLINK("https://worldwide.espacenet.com/patent/search?q=US20130052161","Espacenet")</f>
        <v>0.0</v>
      </c>
      <c r="I3290" s="2" t="n">
        <f>HYPERLINK("https://ppubs.uspto.gov/pubwebapp/external.html?q=20130052161.pn.","USPTO")</f>
        <v>0.0</v>
      </c>
      <c r="J3290" s="2" t="n">
        <f>HYPERLINK("https://image-ppubs.uspto.gov/dirsearch-public/print/downloadPdf/20130052161","USPTO PDF")</f>
        <v>0.0</v>
      </c>
      <c r="K3290" s="2" t="n">
        <f>HYPERLINK("https://sectors.patentforecast.com/pmd/US20130052161","PMD")</f>
        <v>0.0</v>
      </c>
      <c r="L3290" s="2" t="n">
        <f>HYPERLINK("https://globaldossier.uspto.gov/result/application/US/13549130/1","US20130052161")</f>
        <v>0.0</v>
      </c>
      <c r="M3290" t="s">
        <v>21282</v>
      </c>
      <c r="N3290" t="s">
        <v>664</v>
      </c>
      <c r="O3290" t="s">
        <v>665</v>
      </c>
      <c r="P3290" t="s">
        <v>21283</v>
      </c>
      <c r="Q3290" s="3" t="n">
        <v>41103.0</v>
      </c>
      <c r="R3290" s="3" t="n">
        <v>41333.0</v>
      </c>
      <c r="S3290" s="3" t="n">
        <v>43952.459705810186</v>
      </c>
      <c r="T3290" s="3" t="n">
        <v>44638.65643378472</v>
      </c>
      <c r="U3290" t="s">
        <v>21284</v>
      </c>
      <c r="V3290" t="s">
        <v>21285</v>
      </c>
    </row>
    <row r="3291">
      <c r="A3291" t="s">
        <v>22</v>
      </c>
      <c r="B3291" t="s">
        <v>21286</v>
      </c>
      <c r="C3291" t="s">
        <v>24</v>
      </c>
      <c r="D3291" t="s">
        <v>100</v>
      </c>
      <c r="E3291" t="s">
        <v>21287</v>
      </c>
      <c r="F3291" s="2" t="n">
        <f>HYPERLINK("https://patents.google.com/patent/US20130035900","Google")</f>
        <v>0.0</v>
      </c>
      <c r="G3291" s="2" t="n">
        <f>HYPERLINK("https://patentcenter.uspto.gov/applications/13195485","Patent Center")</f>
        <v>0.0</v>
      </c>
      <c r="H3291" s="2" t="n">
        <f>HYPERLINK("https://worldwide.espacenet.com/patent/search?q=US20130035900","Espacenet")</f>
        <v>0.0</v>
      </c>
      <c r="I3291" s="2" t="n">
        <f>HYPERLINK("https://ppubs.uspto.gov/pubwebapp/external.html?q=20130035900.pn.","USPTO")</f>
        <v>0.0</v>
      </c>
      <c r="J3291" s="2" t="n">
        <f>HYPERLINK("https://image-ppubs.uspto.gov/dirsearch-public/print/downloadPdf/20130035900","USPTO PDF")</f>
        <v>0.0</v>
      </c>
      <c r="K3291" s="2" t="n">
        <f>HYPERLINK("https://sectors.patentforecast.com/pmd/US20130035900","PMD")</f>
        <v>0.0</v>
      </c>
      <c r="L3291" s="2" t="n">
        <f>HYPERLINK("https://globaldossier.uspto.gov/result/application/US/13195485/1","US20130035900")</f>
        <v>0.0</v>
      </c>
      <c r="M3291" t="s">
        <v>21288</v>
      </c>
      <c r="N3291" t="s">
        <v>21289</v>
      </c>
      <c r="O3291" t="s">
        <v>21289</v>
      </c>
      <c r="P3291" t="s">
        <v>21290</v>
      </c>
      <c r="Q3291" s="3" t="n">
        <v>40756.0</v>
      </c>
      <c r="R3291" s="3" t="n">
        <v>41312.0</v>
      </c>
      <c r="S3291" s="3" t="n">
        <v>43266.457369421296</v>
      </c>
      <c r="T3291" s="3" t="n">
        <v>43901.72156481481</v>
      </c>
      <c r="U3291" t="s">
        <v>21291</v>
      </c>
      <c r="V3291" t="s">
        <v>21292</v>
      </c>
    </row>
    <row r="3292">
      <c r="A3292" t="s">
        <v>22</v>
      </c>
      <c r="B3292" t="s">
        <v>21293</v>
      </c>
      <c r="C3292" t="s">
        <v>24</v>
      </c>
      <c r="D3292" t="s">
        <v>51</v>
      </c>
      <c r="E3292" t="s">
        <v>21294</v>
      </c>
      <c r="F3292" s="2" t="n">
        <f>HYPERLINK("https://patents.google.com/patent/US20130034844","Google")</f>
        <v>0.0</v>
      </c>
      <c r="G3292" s="2" t="n">
        <f>HYPERLINK("https://patentcenter.uspto.gov/applications/13516150","Patent Center")</f>
        <v>0.0</v>
      </c>
      <c r="H3292" s="2" t="n">
        <f>HYPERLINK("https://worldwide.espacenet.com/patent/search?q=US20130034844","Espacenet")</f>
        <v>0.0</v>
      </c>
      <c r="I3292" s="2" t="n">
        <f>HYPERLINK("https://ppubs.uspto.gov/pubwebapp/external.html?q=20130034844.pn.","USPTO")</f>
        <v>0.0</v>
      </c>
      <c r="J3292" s="2" t="n">
        <f>HYPERLINK("https://image-ppubs.uspto.gov/dirsearch-public/print/downloadPdf/20130034844","USPTO PDF")</f>
        <v>0.0</v>
      </c>
      <c r="K3292" s="2" t="n">
        <f>HYPERLINK("https://sectors.patentforecast.com/pmd/US20130034844","PMD")</f>
        <v>0.0</v>
      </c>
      <c r="L3292" s="2" t="n">
        <f>HYPERLINK("https://globaldossier.uspto.gov/result/application/US/13516150/1","US20130034844")</f>
        <v>0.0</v>
      </c>
      <c r="M3292" t="s">
        <v>21295</v>
      </c>
      <c r="N3292" t="s">
        <v>21296</v>
      </c>
      <c r="O3292" t="s">
        <v>21297</v>
      </c>
      <c r="P3292" t="s">
        <v>21298</v>
      </c>
      <c r="Q3292" s="3" t="n">
        <v>40533.0</v>
      </c>
      <c r="R3292" s="3" t="n">
        <v>41312.0</v>
      </c>
      <c r="S3292" s="3" t="n">
        <v>43906.3730194213</v>
      </c>
      <c r="T3292" s="3" t="n">
        <v>43950.54729717592</v>
      </c>
      <c r="U3292" t="s">
        <v>21299</v>
      </c>
      <c r="V3292" t="s">
        <v>21300</v>
      </c>
    </row>
    <row r="3293">
      <c r="A3293" t="s">
        <v>22</v>
      </c>
      <c r="B3293" t="s">
        <v>21301</v>
      </c>
      <c r="C3293" t="s">
        <v>60</v>
      </c>
      <c r="D3293" t="s">
        <v>696</v>
      </c>
      <c r="E3293" t="s">
        <v>16925</v>
      </c>
      <c r="F3293" s="2" t="n">
        <f>HYPERLINK("https://patents.google.com/patent/US20130034554","Google")</f>
        <v>0.0</v>
      </c>
      <c r="G3293" s="2" t="n">
        <f>HYPERLINK("https://patentcenter.uspto.gov/applications/13511865","Patent Center")</f>
        <v>0.0</v>
      </c>
      <c r="H3293" s="2" t="n">
        <f>HYPERLINK("https://worldwide.espacenet.com/patent/search?q=US20130034554","Espacenet")</f>
        <v>0.0</v>
      </c>
      <c r="I3293" s="2" t="n">
        <f>HYPERLINK("https://ppubs.uspto.gov/pubwebapp/external.html?q=20130034554.pn.","USPTO")</f>
        <v>0.0</v>
      </c>
      <c r="J3293" s="2" t="n">
        <f>HYPERLINK("https://image-ppubs.uspto.gov/dirsearch-public/print/downloadPdf/20130034554","USPTO PDF")</f>
        <v>0.0</v>
      </c>
      <c r="K3293" s="2" t="n">
        <f>HYPERLINK("https://sectors.patentforecast.com/pmd/US20130034554","PMD")</f>
        <v>0.0</v>
      </c>
      <c r="L3293" s="2" t="n">
        <f>HYPERLINK("https://globaldossier.uspto.gov/result/application/US/13511865/1","US20130034554")</f>
        <v>0.0</v>
      </c>
      <c r="M3293" t="s">
        <v>21302</v>
      </c>
      <c r="N3293" t="s">
        <v>16927</v>
      </c>
      <c r="O3293" t="s">
        <v>16928</v>
      </c>
      <c r="P3293" t="s">
        <v>21303</v>
      </c>
      <c r="Q3293" s="3" t="n">
        <v>40506.0</v>
      </c>
      <c r="R3293" s="3" t="n">
        <v>41312.0</v>
      </c>
      <c r="S3293" s="3" t="n">
        <v>43957.463858877316</v>
      </c>
      <c r="T3293" s="3" t="n">
        <v>44643.44490069444</v>
      </c>
      <c r="U3293" t="s">
        <v>21304</v>
      </c>
      <c r="V3293" t="s">
        <v>18624</v>
      </c>
    </row>
    <row r="3294">
      <c r="A3294" t="s">
        <v>22</v>
      </c>
      <c r="B3294" t="s">
        <v>21305</v>
      </c>
      <c r="C3294" t="s">
        <v>60</v>
      </c>
      <c r="D3294" t="s">
        <v>61</v>
      </c>
      <c r="E3294" t="s">
        <v>20929</v>
      </c>
      <c r="F3294" s="2" t="n">
        <f>HYPERLINK("https://patents.google.com/patent/US20130034521","Google")</f>
        <v>0.0</v>
      </c>
      <c r="G3294" s="2" t="n">
        <f>HYPERLINK("https://patentcenter.uspto.gov/applications/13649511","Patent Center")</f>
        <v>0.0</v>
      </c>
      <c r="H3294" s="2" t="n">
        <f>HYPERLINK("https://worldwide.espacenet.com/patent/search?q=US20130034521","Espacenet")</f>
        <v>0.0</v>
      </c>
      <c r="I3294" s="2" t="n">
        <f>HYPERLINK("https://ppubs.uspto.gov/pubwebapp/external.html?q=20130034521.pn.","USPTO")</f>
        <v>0.0</v>
      </c>
      <c r="J3294" s="2" t="n">
        <f>HYPERLINK("https://image-ppubs.uspto.gov/dirsearch-public/print/downloadPdf/20130034521","USPTO PDF")</f>
        <v>0.0</v>
      </c>
      <c r="K3294" s="2" t="n">
        <f>HYPERLINK("https://sectors.patentforecast.com/pmd/US20130034521","PMD")</f>
        <v>0.0</v>
      </c>
      <c r="L3294" s="2" t="n">
        <f>HYPERLINK("https://globaldossier.uspto.gov/result/application/US/13649511/1","US20130034521")</f>
        <v>0.0</v>
      </c>
      <c r="M3294" t="s">
        <v>20930</v>
      </c>
      <c r="N3294" t="s">
        <v>664</v>
      </c>
      <c r="O3294" t="s">
        <v>665</v>
      </c>
      <c r="P3294" t="s">
        <v>21306</v>
      </c>
      <c r="Q3294" s="3" t="n">
        <v>41193.0</v>
      </c>
      <c r="R3294" s="3" t="n">
        <v>41312.0</v>
      </c>
      <c r="S3294" s="3" t="n">
        <v>43952.459705810186</v>
      </c>
      <c r="T3294" s="3" t="n">
        <v>44638.65271974537</v>
      </c>
      <c r="U3294" t="s">
        <v>21307</v>
      </c>
      <c r="V3294" t="s">
        <v>20933</v>
      </c>
    </row>
    <row r="3295">
      <c r="A3295" t="s">
        <v>22</v>
      </c>
      <c r="B3295" t="s">
        <v>21308</v>
      </c>
      <c r="C3295" t="s">
        <v>132</v>
      </c>
      <c r="D3295" t="s">
        <v>1265</v>
      </c>
      <c r="E3295" t="s">
        <v>21309</v>
      </c>
      <c r="F3295" s="2" t="n">
        <f>HYPERLINK("https://patents.google.com/patent/US20130031179","Google")</f>
        <v>0.0</v>
      </c>
      <c r="G3295" s="2" t="n">
        <f>HYPERLINK("https://patentcenter.uspto.gov/applications/13639123","Patent Center")</f>
        <v>0.0</v>
      </c>
      <c r="H3295" s="2" t="n">
        <f>HYPERLINK("https://worldwide.espacenet.com/patent/search?q=US20130031179","Espacenet")</f>
        <v>0.0</v>
      </c>
      <c r="I3295" s="2" t="n">
        <f>HYPERLINK("https://ppubs.uspto.gov/pubwebapp/external.html?q=20130031179.pn.","USPTO")</f>
        <v>0.0</v>
      </c>
      <c r="J3295" s="2" t="n">
        <f>HYPERLINK("https://image-ppubs.uspto.gov/dirsearch-public/print/downloadPdf/20130031179","USPTO PDF")</f>
        <v>0.0</v>
      </c>
      <c r="K3295" s="2" t="n">
        <f>HYPERLINK("https://sectors.patentforecast.com/pmd/US20130031179","PMD")</f>
        <v>0.0</v>
      </c>
      <c r="L3295" s="2" t="n">
        <f>HYPERLINK("https://globaldossier.uspto.gov/result/application/US/13639123/1","US20130031179")</f>
        <v>0.0</v>
      </c>
      <c r="M3295" t="s">
        <v>21310</v>
      </c>
      <c r="N3295" t="s">
        <v>12835</v>
      </c>
      <c r="O3295" t="s">
        <v>12836</v>
      </c>
      <c r="P3295" t="s">
        <v>21311</v>
      </c>
      <c r="Q3295" s="3" t="n">
        <v>40651.0</v>
      </c>
      <c r="R3295" s="3" t="n">
        <v>41305.0</v>
      </c>
      <c r="S3295" s="3" t="n">
        <v>43900.437389907405</v>
      </c>
      <c r="T3295" s="3" t="n">
        <v>43901.721563900464</v>
      </c>
      <c r="U3295" t="s">
        <v>21312</v>
      </c>
      <c r="V3295" t="s">
        <v>21313</v>
      </c>
    </row>
    <row r="3296">
      <c r="A3296" t="s">
        <v>22</v>
      </c>
      <c r="B3296" t="s">
        <v>21314</v>
      </c>
      <c r="C3296" t="s">
        <v>60</v>
      </c>
      <c r="D3296" t="s">
        <v>696</v>
      </c>
      <c r="E3296" t="s">
        <v>21315</v>
      </c>
      <c r="F3296" s="2" t="n">
        <f>HYPERLINK("https://patents.google.com/patent/US20130028860","Google")</f>
        <v>0.0</v>
      </c>
      <c r="G3296" s="2" t="n">
        <f>HYPERLINK("https://patentcenter.uspto.gov/applications/13511385","Patent Center")</f>
        <v>0.0</v>
      </c>
      <c r="H3296" s="2" t="n">
        <f>HYPERLINK("https://worldwide.espacenet.com/patent/search?q=US20130028860","Espacenet")</f>
        <v>0.0</v>
      </c>
      <c r="I3296" s="2" t="n">
        <f>HYPERLINK("https://ppubs.uspto.gov/pubwebapp/external.html?q=20130028860.pn.","USPTO")</f>
        <v>0.0</v>
      </c>
      <c r="J3296" s="2" t="n">
        <f>HYPERLINK("https://image-ppubs.uspto.gov/dirsearch-public/print/downloadPdf/20130028860","USPTO PDF")</f>
        <v>0.0</v>
      </c>
      <c r="K3296" s="2" t="n">
        <f>HYPERLINK("https://sectors.patentforecast.com/pmd/US20130028860","PMD")</f>
        <v>0.0</v>
      </c>
      <c r="L3296" s="2" t="n">
        <f>HYPERLINK("https://globaldossier.uspto.gov/result/application/US/13511385/1","US20130028860")</f>
        <v>0.0</v>
      </c>
      <c r="M3296" t="s">
        <v>21316</v>
      </c>
      <c r="N3296" t="s">
        <v>21317</v>
      </c>
      <c r="O3296" t="s">
        <v>21318</v>
      </c>
      <c r="P3296" t="s">
        <v>17860</v>
      </c>
      <c r="Q3296" s="3" t="n">
        <v>40506.0</v>
      </c>
      <c r="R3296" s="3" t="n">
        <v>41305.0</v>
      </c>
      <c r="S3296" s="3" t="n">
        <v>43957.463858877316</v>
      </c>
      <c r="T3296" s="3" t="n">
        <v>44638.640141793985</v>
      </c>
      <c r="U3296" t="s">
        <v>20146</v>
      </c>
      <c r="V3296" t="s">
        <v>18560</v>
      </c>
    </row>
    <row r="3297">
      <c r="A3297" t="s">
        <v>22</v>
      </c>
      <c r="B3297" t="s">
        <v>21319</v>
      </c>
      <c r="C3297" t="s">
        <v>24</v>
      </c>
      <c r="D3297" t="s">
        <v>8459</v>
      </c>
      <c r="E3297" t="s">
        <v>21320</v>
      </c>
      <c r="F3297" s="2" t="n">
        <f>HYPERLINK("https://patents.google.com/patent/US20130024205","Google")</f>
        <v>0.0</v>
      </c>
      <c r="G3297" s="2" t="n">
        <f>HYPERLINK("https://patentcenter.uspto.gov/applications/13185072","Patent Center")</f>
        <v>0.0</v>
      </c>
      <c r="H3297" s="2" t="n">
        <f>HYPERLINK("https://worldwide.espacenet.com/patent/search?q=US20130024205","Espacenet")</f>
        <v>0.0</v>
      </c>
      <c r="I3297" s="2" t="n">
        <f>HYPERLINK("https://ppubs.uspto.gov/pubwebapp/external.html?q=20130024205.pn.","USPTO")</f>
        <v>0.0</v>
      </c>
      <c r="J3297" s="2" t="n">
        <f>HYPERLINK("https://image-ppubs.uspto.gov/dirsearch-public/print/downloadPdf/20130024205","USPTO PDF")</f>
        <v>0.0</v>
      </c>
      <c r="K3297" s="2" t="n">
        <f>HYPERLINK("https://sectors.patentforecast.com/pmd/US20130024205","PMD")</f>
        <v>0.0</v>
      </c>
      <c r="L3297" s="2" t="n">
        <f>HYPERLINK("https://globaldossier.uspto.gov/result/application/US/13185072/1","US20130024205")</f>
        <v>0.0</v>
      </c>
      <c r="M3297" t="s">
        <v>21321</v>
      </c>
      <c r="N3297" t="s">
        <v>947</v>
      </c>
      <c r="O3297" t="s">
        <v>948</v>
      </c>
      <c r="P3297" t="s">
        <v>21322</v>
      </c>
      <c r="Q3297" s="3" t="n">
        <v>40742.0</v>
      </c>
      <c r="R3297" s="3" t="n">
        <v>41298.0</v>
      </c>
      <c r="S3297" s="3" t="n">
        <v>43266.45736940972</v>
      </c>
      <c r="T3297" s="3" t="n">
        <v>43901.721564467596</v>
      </c>
      <c r="U3297" t="s">
        <v>21323</v>
      </c>
      <c r="V3297" t="s">
        <v>21324</v>
      </c>
    </row>
    <row r="3298">
      <c r="A3298" t="s">
        <v>22</v>
      </c>
      <c r="B3298" t="s">
        <v>21325</v>
      </c>
      <c r="C3298" t="s">
        <v>60</v>
      </c>
      <c r="D3298" t="s">
        <v>61</v>
      </c>
      <c r="E3298" t="s">
        <v>18721</v>
      </c>
      <c r="F3298" s="2" t="n">
        <f>HYPERLINK("https://patents.google.com/patent/US20130023565","Google")</f>
        <v>0.0</v>
      </c>
      <c r="G3298" s="2" t="n">
        <f>HYPERLINK("https://patentcenter.uspto.gov/applications/13635064","Patent Center")</f>
        <v>0.0</v>
      </c>
      <c r="H3298" s="2" t="n">
        <f>HYPERLINK("https://worldwide.espacenet.com/patent/search?q=US20130023565","Espacenet")</f>
        <v>0.0</v>
      </c>
      <c r="I3298" s="2" t="n">
        <f>HYPERLINK("https://ppubs.uspto.gov/pubwebapp/external.html?q=20130023565.pn.","USPTO")</f>
        <v>0.0</v>
      </c>
      <c r="J3298" s="2" t="n">
        <f>HYPERLINK("https://image-ppubs.uspto.gov/dirsearch-public/print/downloadPdf/20130023565","USPTO PDF")</f>
        <v>0.0</v>
      </c>
      <c r="K3298" s="2" t="n">
        <f>HYPERLINK("https://sectors.patentforecast.com/pmd/US20130023565","PMD")</f>
        <v>0.0</v>
      </c>
      <c r="L3298" s="2" t="n">
        <f>HYPERLINK("https://globaldossier.uspto.gov/result/application/US/13635064/1","US20130023565")</f>
        <v>0.0</v>
      </c>
      <c r="M3298" t="s">
        <v>21326</v>
      </c>
      <c r="N3298" t="s">
        <v>18723</v>
      </c>
      <c r="O3298" t="s">
        <v>18723</v>
      </c>
      <c r="P3298" t="s">
        <v>19825</v>
      </c>
      <c r="Q3298" s="3" t="n">
        <v>40617.0</v>
      </c>
      <c r="R3298" s="3" t="n">
        <v>41298.0</v>
      </c>
      <c r="S3298" s="3" t="n">
        <v>43900.437389907405</v>
      </c>
      <c r="T3298" s="3" t="n">
        <v>43903.48463237269</v>
      </c>
      <c r="U3298" t="s">
        <v>18725</v>
      </c>
      <c r="V3298" t="s">
        <v>21327</v>
      </c>
    </row>
    <row r="3299">
      <c r="A3299" t="s">
        <v>22</v>
      </c>
      <c r="B3299" t="s">
        <v>21328</v>
      </c>
      <c r="C3299" t="s">
        <v>60</v>
      </c>
      <c r="D3299" t="s">
        <v>61</v>
      </c>
      <c r="E3299" t="s">
        <v>19172</v>
      </c>
      <c r="F3299" s="2" t="n">
        <f>HYPERLINK("https://patents.google.com/patent/US20130022573","Google")</f>
        <v>0.0</v>
      </c>
      <c r="G3299" s="2" t="n">
        <f>HYPERLINK("https://patentcenter.uspto.gov/applications/13315069","Patent Center")</f>
        <v>0.0</v>
      </c>
      <c r="H3299" s="2" t="n">
        <f>HYPERLINK("https://worldwide.espacenet.com/patent/search?q=US20130022573","Espacenet")</f>
        <v>0.0</v>
      </c>
      <c r="I3299" s="2" t="n">
        <f>HYPERLINK("https://ppubs.uspto.gov/pubwebapp/external.html?q=20130022573.pn.","USPTO")</f>
        <v>0.0</v>
      </c>
      <c r="J3299" s="2" t="n">
        <f>HYPERLINK("https://image-ppubs.uspto.gov/dirsearch-public/print/downloadPdf/20130022573","USPTO PDF")</f>
        <v>0.0</v>
      </c>
      <c r="K3299" s="2" t="n">
        <f>HYPERLINK("https://sectors.patentforecast.com/pmd/US20130022573","PMD")</f>
        <v>0.0</v>
      </c>
      <c r="L3299" s="2" t="n">
        <f>HYPERLINK("https://globaldossier.uspto.gov/result/application/US/13315069/1","US20130022573")</f>
        <v>0.0</v>
      </c>
      <c r="M3299" t="s">
        <v>21329</v>
      </c>
      <c r="N3299" t="s">
        <v>21330</v>
      </c>
      <c r="O3299" t="s">
        <v>21331</v>
      </c>
      <c r="P3299" t="s">
        <v>21332</v>
      </c>
      <c r="Q3299" s="3" t="n">
        <v>40885.0</v>
      </c>
      <c r="R3299" s="3" t="n">
        <v>41298.0</v>
      </c>
      <c r="S3299" s="3" t="n">
        <v>43952.459705810186</v>
      </c>
      <c r="T3299" s="3" t="n">
        <v>44638.65643378472</v>
      </c>
      <c r="U3299" t="s">
        <v>21333</v>
      </c>
      <c r="V3299" t="s">
        <v>20886</v>
      </c>
    </row>
    <row r="3300">
      <c r="A3300" t="s">
        <v>22</v>
      </c>
      <c r="B3300" t="s">
        <v>21334</v>
      </c>
      <c r="C3300" t="s">
        <v>24</v>
      </c>
      <c r="D3300" t="s">
        <v>25</v>
      </c>
      <c r="E3300" t="s">
        <v>20715</v>
      </c>
      <c r="F3300" s="2" t="n">
        <f>HYPERLINK("https://patents.google.com/patent/US20130006065","Google")</f>
        <v>0.0</v>
      </c>
      <c r="G3300" s="2" t="n">
        <f>HYPERLINK("https://patentcenter.uspto.gov/applications/13613087","Patent Center")</f>
        <v>0.0</v>
      </c>
      <c r="H3300" s="2" t="n">
        <f>HYPERLINK("https://worldwide.espacenet.com/patent/search?q=US20130006065","Espacenet")</f>
        <v>0.0</v>
      </c>
      <c r="I3300" s="2" t="n">
        <f>HYPERLINK("https://ppubs.uspto.gov/pubwebapp/external.html?q=20130006065.pn.","USPTO")</f>
        <v>0.0</v>
      </c>
      <c r="J3300" s="2" t="n">
        <f>HYPERLINK("https://image-ppubs.uspto.gov/dirsearch-public/print/downloadPdf/20130006065","USPTO PDF")</f>
        <v>0.0</v>
      </c>
      <c r="K3300" s="2" t="n">
        <f>HYPERLINK("https://sectors.patentforecast.com/pmd/US20130006065","PMD")</f>
        <v>0.0</v>
      </c>
      <c r="L3300" s="2" t="n">
        <f>HYPERLINK("https://globaldossier.uspto.gov/result/application/US/13613087/1","US20130006065")</f>
        <v>0.0</v>
      </c>
      <c r="M3300" t="s">
        <v>21335</v>
      </c>
      <c r="N3300" t="s">
        <v>20717</v>
      </c>
      <c r="O3300" t="s">
        <v>20718</v>
      </c>
      <c r="P3300" t="s">
        <v>21336</v>
      </c>
      <c r="Q3300" s="3" t="n">
        <v>41165.0</v>
      </c>
      <c r="R3300" s="3" t="n">
        <v>41277.0</v>
      </c>
      <c r="S3300" s="3" t="n">
        <v>43266.45737001157</v>
      </c>
      <c r="T3300" s="3" t="n">
        <v>43903.48463225694</v>
      </c>
      <c r="U3300" t="s">
        <v>20720</v>
      </c>
      <c r="V3300" t="s">
        <v>21337</v>
      </c>
    </row>
    <row r="3301">
      <c r="A3301" t="s">
        <v>22</v>
      </c>
      <c r="B3301" t="s">
        <v>21338</v>
      </c>
      <c r="C3301" t="s">
        <v>132</v>
      </c>
      <c r="D3301" t="s">
        <v>1265</v>
      </c>
      <c r="E3301" t="s">
        <v>21339</v>
      </c>
      <c r="F3301" s="2" t="n">
        <f>HYPERLINK("https://patents.google.com/patent/US20120294879","Google")</f>
        <v>0.0</v>
      </c>
      <c r="G3301" s="2" t="n">
        <f>HYPERLINK("https://patentcenter.uspto.gov/applications/13501339","Patent Center")</f>
        <v>0.0</v>
      </c>
      <c r="H3301" s="2" t="n">
        <f>HYPERLINK("https://worldwide.espacenet.com/patent/search?q=US20120294879","Espacenet")</f>
        <v>0.0</v>
      </c>
      <c r="I3301" s="2" t="n">
        <f>HYPERLINK("https://ppubs.uspto.gov/pubwebapp/external.html?q=20120294879.pn.","USPTO")</f>
        <v>0.0</v>
      </c>
      <c r="J3301" s="2" t="n">
        <f>HYPERLINK("https://image-ppubs.uspto.gov/dirsearch-public/print/downloadPdf/20120294879","USPTO PDF")</f>
        <v>0.0</v>
      </c>
      <c r="K3301" s="2" t="n">
        <f>HYPERLINK("https://sectors.patentforecast.com/pmd/US20120294879","PMD")</f>
        <v>0.0</v>
      </c>
      <c r="L3301" s="2" t="n">
        <f>HYPERLINK("https://globaldossier.uspto.gov/result/application/US/13501339/1","US20120294879")</f>
        <v>0.0</v>
      </c>
      <c r="M3301" t="s">
        <v>21340</v>
      </c>
      <c r="N3301" t="s">
        <v>16349</v>
      </c>
      <c r="O3301" t="s">
        <v>16350</v>
      </c>
      <c r="P3301" t="s">
        <v>21341</v>
      </c>
      <c r="Q3301" s="3" t="n">
        <v>40464.0</v>
      </c>
      <c r="R3301" s="3" t="n">
        <v>41235.0</v>
      </c>
      <c r="S3301" s="3" t="n">
        <v>43900.437389907405</v>
      </c>
      <c r="T3301" s="3" t="n">
        <v>43901.72156459491</v>
      </c>
      <c r="U3301" t="s">
        <v>21342</v>
      </c>
      <c r="V3301" t="s">
        <v>21343</v>
      </c>
    </row>
    <row r="3302">
      <c r="A3302" t="s">
        <v>22</v>
      </c>
      <c r="B3302" t="s">
        <v>21344</v>
      </c>
      <c r="C3302" t="s">
        <v>60</v>
      </c>
      <c r="D3302" t="s">
        <v>696</v>
      </c>
      <c r="E3302" t="s">
        <v>16957</v>
      </c>
      <c r="F3302" s="2" t="n">
        <f>HYPERLINK("https://patents.google.com/patent/US20120294852","Google")</f>
        <v>0.0</v>
      </c>
      <c r="G3302" s="2" t="n">
        <f>HYPERLINK("https://patentcenter.uspto.gov/applications/13511409","Patent Center")</f>
        <v>0.0</v>
      </c>
      <c r="H3302" s="2" t="n">
        <f>HYPERLINK("https://worldwide.espacenet.com/patent/search?q=US20120294852","Espacenet")</f>
        <v>0.0</v>
      </c>
      <c r="I3302" s="2" t="n">
        <f>HYPERLINK("https://ppubs.uspto.gov/pubwebapp/external.html?q=20120294852.pn.","USPTO")</f>
        <v>0.0</v>
      </c>
      <c r="J3302" s="2" t="n">
        <f>HYPERLINK("https://image-ppubs.uspto.gov/dirsearch-public/print/downloadPdf/20120294852","USPTO PDF")</f>
        <v>0.0</v>
      </c>
      <c r="K3302" s="2" t="n">
        <f>HYPERLINK("https://sectors.patentforecast.com/pmd/US20120294852","PMD")</f>
        <v>0.0</v>
      </c>
      <c r="L3302" s="2" t="n">
        <f>HYPERLINK("https://globaldossier.uspto.gov/result/application/US/13511409/1","US20120294852")</f>
        <v>0.0</v>
      </c>
      <c r="M3302" t="s">
        <v>21345</v>
      </c>
      <c r="N3302" t="s">
        <v>17488</v>
      </c>
      <c r="O3302" t="s">
        <v>17489</v>
      </c>
      <c r="P3302" t="s">
        <v>16959</v>
      </c>
      <c r="Q3302" s="3" t="n">
        <v>40506.0</v>
      </c>
      <c r="R3302" s="3" t="n">
        <v>41235.0</v>
      </c>
      <c r="S3302" s="3" t="n">
        <v>43966.483078564816</v>
      </c>
      <c r="T3302" s="3" t="n">
        <v>44643.44490069444</v>
      </c>
      <c r="U3302" t="s">
        <v>21346</v>
      </c>
      <c r="V3302" t="s">
        <v>21347</v>
      </c>
    </row>
    <row r="3303">
      <c r="A3303" t="s">
        <v>22</v>
      </c>
      <c r="B3303" t="s">
        <v>21348</v>
      </c>
      <c r="C3303" t="s">
        <v>24</v>
      </c>
      <c r="D3303" t="s">
        <v>25</v>
      </c>
      <c r="E3303" t="s">
        <v>18958</v>
      </c>
      <c r="F3303" s="2" t="n">
        <f>HYPERLINK("https://patents.google.com/patent/US20120284039","Google")</f>
        <v>0.0</v>
      </c>
      <c r="G3303" s="2" t="n">
        <f>HYPERLINK("https://patentcenter.uspto.gov/applications/13280041","Patent Center")</f>
        <v>0.0</v>
      </c>
      <c r="H3303" s="2" t="n">
        <f>HYPERLINK("https://worldwide.espacenet.com/patent/search?q=US20120284039","Espacenet")</f>
        <v>0.0</v>
      </c>
      <c r="I3303" s="2" t="n">
        <f>HYPERLINK("https://ppubs.uspto.gov/pubwebapp/external.html?q=20120284039.pn.","USPTO")</f>
        <v>0.0</v>
      </c>
      <c r="J3303" s="2" t="n">
        <f>HYPERLINK("https://image-ppubs.uspto.gov/dirsearch-public/print/downloadPdf/20120284039","USPTO PDF")</f>
        <v>0.0</v>
      </c>
      <c r="K3303" s="2" t="n">
        <f>HYPERLINK("https://sectors.patentforecast.com/pmd/US20120284039","PMD")</f>
        <v>0.0</v>
      </c>
      <c r="L3303" s="2" t="n">
        <f>HYPERLINK("https://globaldossier.uspto.gov/result/application/US/13280041/1","US20120284039")</f>
        <v>0.0</v>
      </c>
      <c r="M3303" t="s">
        <v>21349</v>
      </c>
      <c r="N3303" t="s">
        <v>18960</v>
      </c>
      <c r="O3303" t="s">
        <v>18961</v>
      </c>
      <c r="P3303" t="s">
        <v>21350</v>
      </c>
      <c r="Q3303" s="3" t="n">
        <v>40840.0</v>
      </c>
      <c r="R3303" s="3" t="n">
        <v>41221.0</v>
      </c>
      <c r="S3303" s="3" t="n">
        <v>43266.45737001157</v>
      </c>
      <c r="T3303" s="3" t="n">
        <v>43903.49497349537</v>
      </c>
      <c r="U3303" t="s">
        <v>18963</v>
      </c>
      <c r="V3303" t="s">
        <v>18964</v>
      </c>
    </row>
    <row r="3304">
      <c r="A3304" t="s">
        <v>22</v>
      </c>
      <c r="B3304" t="s">
        <v>21351</v>
      </c>
      <c r="C3304" t="s">
        <v>60</v>
      </c>
      <c r="D3304" t="s">
        <v>61</v>
      </c>
      <c r="E3304" t="s">
        <v>19372</v>
      </c>
      <c r="F3304" s="2" t="n">
        <f>HYPERLINK("https://patents.google.com/patent/US20120283167","Google")</f>
        <v>0.0</v>
      </c>
      <c r="G3304" s="2" t="n">
        <f>HYPERLINK("https://patentcenter.uspto.gov/applications/13521011","Patent Center")</f>
        <v>0.0</v>
      </c>
      <c r="H3304" s="2" t="n">
        <f>HYPERLINK("https://worldwide.espacenet.com/patent/search?q=US20120283167","Espacenet")</f>
        <v>0.0</v>
      </c>
      <c r="I3304" s="2" t="n">
        <f>HYPERLINK("https://ppubs.uspto.gov/pubwebapp/external.html?q=20120283167.pn.","USPTO")</f>
        <v>0.0</v>
      </c>
      <c r="J3304" s="2" t="n">
        <f>HYPERLINK("https://image-ppubs.uspto.gov/dirsearch-public/print/downloadPdf/20120283167","USPTO PDF")</f>
        <v>0.0</v>
      </c>
      <c r="K3304" s="2" t="n">
        <f>HYPERLINK("https://sectors.patentforecast.com/pmd/US20120283167","PMD")</f>
        <v>0.0</v>
      </c>
      <c r="L3304" s="2" t="n">
        <f>HYPERLINK("https://globaldossier.uspto.gov/result/application/US/13521011/1","US20120283167")</f>
        <v>0.0</v>
      </c>
      <c r="M3304" t="s">
        <v>21352</v>
      </c>
      <c r="N3304" t="s">
        <v>16831</v>
      </c>
      <c r="O3304" t="s">
        <v>16832</v>
      </c>
      <c r="P3304" t="s">
        <v>21353</v>
      </c>
      <c r="Q3304" s="3" t="n">
        <v>40553.0</v>
      </c>
      <c r="R3304" s="3" t="n">
        <v>41221.0</v>
      </c>
      <c r="S3304" s="3" t="n">
        <v>43900.437389907405</v>
      </c>
      <c r="T3304" s="3" t="n">
        <v>43901.721564479165</v>
      </c>
      <c r="U3304" t="s">
        <v>21354</v>
      </c>
      <c r="V3304" t="s">
        <v>19374</v>
      </c>
    </row>
    <row r="3305">
      <c r="A3305" t="s">
        <v>22</v>
      </c>
      <c r="B3305" t="s">
        <v>21355</v>
      </c>
      <c r="C3305" t="s">
        <v>24</v>
      </c>
      <c r="D3305" t="s">
        <v>25</v>
      </c>
      <c r="E3305" t="s">
        <v>21356</v>
      </c>
      <c r="F3305" s="2" t="n">
        <f>HYPERLINK("https://patents.google.com/patent/US20120283138","Google")</f>
        <v>0.0</v>
      </c>
      <c r="G3305" s="2" t="n">
        <f>HYPERLINK("https://patentcenter.uspto.gov/applications/13068296","Patent Center")</f>
        <v>0.0</v>
      </c>
      <c r="H3305" s="2" t="n">
        <f>HYPERLINK("https://worldwide.espacenet.com/patent/search?q=US20120283138","Espacenet")</f>
        <v>0.0</v>
      </c>
      <c r="I3305" s="2" t="n">
        <f>HYPERLINK("https://ppubs.uspto.gov/pubwebapp/external.html?q=20120283138.pn.","USPTO")</f>
        <v>0.0</v>
      </c>
      <c r="J3305" s="2" t="n">
        <f>HYPERLINK("https://image-ppubs.uspto.gov/dirsearch-public/print/downloadPdf/20120283138","USPTO PDF")</f>
        <v>0.0</v>
      </c>
      <c r="K3305" s="2" t="n">
        <f>HYPERLINK("https://sectors.patentforecast.com/pmd/US20120283138","PMD")</f>
        <v>0.0</v>
      </c>
      <c r="L3305" s="2" t="n">
        <f>HYPERLINK("https://globaldossier.uspto.gov/result/application/US/13068296/1","US20120283138")</f>
        <v>0.0</v>
      </c>
      <c r="M3305" t="s">
        <v>21357</v>
      </c>
      <c r="N3305" t="s">
        <v>21358</v>
      </c>
      <c r="O3305" t="s">
        <v>21359</v>
      </c>
      <c r="P3305" t="s">
        <v>21360</v>
      </c>
      <c r="Q3305" s="3" t="n">
        <v>40669.0</v>
      </c>
      <c r="R3305" s="3" t="n">
        <v>41221.0</v>
      </c>
      <c r="S3305" s="3" t="n">
        <v>43266.45737001157</v>
      </c>
      <c r="T3305" s="3" t="n">
        <v>43950.54695916667</v>
      </c>
      <c r="U3305" t="s">
        <v>21361</v>
      </c>
      <c r="V3305" t="s">
        <v>21362</v>
      </c>
    </row>
    <row r="3306">
      <c r="A3306" t="s">
        <v>22</v>
      </c>
      <c r="B3306" t="s">
        <v>21363</v>
      </c>
      <c r="C3306" t="s">
        <v>60</v>
      </c>
      <c r="D3306" t="s">
        <v>2262</v>
      </c>
      <c r="E3306" t="s">
        <v>21364</v>
      </c>
      <c r="F3306" s="2" t="n">
        <f>HYPERLINK("https://patents.google.com/patent/US20120282354","Google")</f>
        <v>0.0</v>
      </c>
      <c r="G3306" s="2" t="n">
        <f>HYPERLINK("https://patentcenter.uspto.gov/applications/13508273","Patent Center")</f>
        <v>0.0</v>
      </c>
      <c r="H3306" s="2" t="n">
        <f>HYPERLINK("https://worldwide.espacenet.com/patent/search?q=US20120282354","Espacenet")</f>
        <v>0.0</v>
      </c>
      <c r="I3306" s="2" t="n">
        <f>HYPERLINK("https://ppubs.uspto.gov/pubwebapp/external.html?q=20120282354.pn.","USPTO")</f>
        <v>0.0</v>
      </c>
      <c r="J3306" s="2" t="n">
        <f>HYPERLINK("https://image-ppubs.uspto.gov/dirsearch-public/print/downloadPdf/20120282354","USPTO PDF")</f>
        <v>0.0</v>
      </c>
      <c r="K3306" s="2" t="n">
        <f>HYPERLINK("https://sectors.patentforecast.com/pmd/US20120282354","PMD")</f>
        <v>0.0</v>
      </c>
      <c r="L3306" s="2" t="n">
        <f>HYPERLINK("https://globaldossier.uspto.gov/result/application/US/13508273/1","US20120282354")</f>
        <v>0.0</v>
      </c>
      <c r="M3306" t="s">
        <v>21365</v>
      </c>
      <c r="N3306" t="s">
        <v>21366</v>
      </c>
      <c r="O3306" t="s">
        <v>21367</v>
      </c>
      <c r="P3306" t="s">
        <v>21368</v>
      </c>
      <c r="Q3306" s="3" t="n">
        <v>40480.0</v>
      </c>
      <c r="R3306" s="3" t="n">
        <v>41221.0</v>
      </c>
      <c r="S3306" s="3" t="n">
        <v>43966.488978043984</v>
      </c>
      <c r="T3306" s="3" t="n">
        <v>44672.395482789354</v>
      </c>
      <c r="U3306" t="s">
        <v>21369</v>
      </c>
      <c r="V3306" t="s">
        <v>21370</v>
      </c>
    </row>
    <row r="3307">
      <c r="A3307" t="s">
        <v>22</v>
      </c>
      <c r="B3307" t="s">
        <v>21371</v>
      </c>
      <c r="C3307" t="s">
        <v>60</v>
      </c>
      <c r="D3307" t="s">
        <v>61</v>
      </c>
      <c r="E3307" t="s">
        <v>16903</v>
      </c>
      <c r="F3307" s="2" t="n">
        <f>HYPERLINK("https://patents.google.com/patent/US20120264711","Google")</f>
        <v>0.0</v>
      </c>
      <c r="G3307" s="2" t="n">
        <f>HYPERLINK("https://patentcenter.uspto.gov/applications/13491446","Patent Center")</f>
        <v>0.0</v>
      </c>
      <c r="H3307" s="2" t="n">
        <f>HYPERLINK("https://worldwide.espacenet.com/patent/search?q=US20120264711","Espacenet")</f>
        <v>0.0</v>
      </c>
      <c r="I3307" s="2" t="n">
        <f>HYPERLINK("https://ppubs.uspto.gov/pubwebapp/external.html?q=20120264711.pn.","USPTO")</f>
        <v>0.0</v>
      </c>
      <c r="J3307" s="2" t="n">
        <f>HYPERLINK("https://image-ppubs.uspto.gov/dirsearch-public/print/downloadPdf/20120264711","USPTO PDF")</f>
        <v>0.0</v>
      </c>
      <c r="K3307" s="2" t="n">
        <f>HYPERLINK("https://sectors.patentforecast.com/pmd/US20120264711","PMD")</f>
        <v>0.0</v>
      </c>
      <c r="L3307" s="2" t="n">
        <f>HYPERLINK("https://globaldossier.uspto.gov/result/application/US/13491446/1","US20120264711")</f>
        <v>0.0</v>
      </c>
      <c r="M3307" t="s">
        <v>21372</v>
      </c>
      <c r="N3307" t="s">
        <v>664</v>
      </c>
      <c r="O3307" t="s">
        <v>665</v>
      </c>
      <c r="P3307" t="s">
        <v>21373</v>
      </c>
      <c r="Q3307" s="3" t="n">
        <v>41067.0</v>
      </c>
      <c r="R3307" s="3" t="n">
        <v>41200.0</v>
      </c>
      <c r="S3307" s="3" t="n">
        <v>43952.459705810186</v>
      </c>
      <c r="T3307" s="3" t="n">
        <v>44638.65271974537</v>
      </c>
      <c r="U3307" t="s">
        <v>21374</v>
      </c>
      <c r="V3307" t="s">
        <v>16907</v>
      </c>
    </row>
    <row r="3308">
      <c r="A3308" t="s">
        <v>22</v>
      </c>
      <c r="B3308" t="s">
        <v>21375</v>
      </c>
      <c r="C3308" t="s">
        <v>60</v>
      </c>
      <c r="D3308" t="s">
        <v>61</v>
      </c>
      <c r="E3308" t="s">
        <v>21376</v>
      </c>
      <c r="F3308" s="2" t="n">
        <f>HYPERLINK("https://patents.google.com/patent/US20120263678","Google")</f>
        <v>0.0</v>
      </c>
      <c r="G3308" s="2" t="n">
        <f>HYPERLINK("https://patentcenter.uspto.gov/applications/13447017","Patent Center")</f>
        <v>0.0</v>
      </c>
      <c r="H3308" s="2" t="n">
        <f>HYPERLINK("https://worldwide.espacenet.com/patent/search?q=US20120263678","Espacenet")</f>
        <v>0.0</v>
      </c>
      <c r="I3308" s="2" t="n">
        <f>HYPERLINK("https://ppubs.uspto.gov/pubwebapp/external.html?q=20120263678.pn.","USPTO")</f>
        <v>0.0</v>
      </c>
      <c r="J3308" s="2" t="n">
        <f>HYPERLINK("https://image-ppubs.uspto.gov/dirsearch-public/print/downloadPdf/20120263678","USPTO PDF")</f>
        <v>0.0</v>
      </c>
      <c r="K3308" s="2" t="n">
        <f>HYPERLINK("https://sectors.patentforecast.com/pmd/US20120263678","PMD")</f>
        <v>0.0</v>
      </c>
      <c r="L3308" s="2" t="n">
        <f>HYPERLINK("https://globaldossier.uspto.gov/result/application/US/13447017/1","US20120263678")</f>
        <v>0.0</v>
      </c>
      <c r="M3308" t="s">
        <v>21377</v>
      </c>
      <c r="N3308" t="s">
        <v>664</v>
      </c>
      <c r="O3308" t="s">
        <v>665</v>
      </c>
      <c r="P3308" t="s">
        <v>21378</v>
      </c>
      <c r="Q3308" s="3" t="n">
        <v>41012.0</v>
      </c>
      <c r="R3308" s="3" t="n">
        <v>41200.0</v>
      </c>
      <c r="S3308" s="3" t="n">
        <v>43952.459705810186</v>
      </c>
      <c r="T3308" s="3" t="n">
        <v>44638.65271974537</v>
      </c>
      <c r="U3308" t="s">
        <v>21379</v>
      </c>
      <c r="V3308" t="s">
        <v>21380</v>
      </c>
    </row>
    <row r="3309">
      <c r="A3309" t="s">
        <v>22</v>
      </c>
      <c r="B3309" t="s">
        <v>21381</v>
      </c>
      <c r="C3309" t="s">
        <v>60</v>
      </c>
      <c r="D3309" t="s">
        <v>61</v>
      </c>
      <c r="E3309" t="s">
        <v>21382</v>
      </c>
      <c r="F3309" s="2" t="n">
        <f>HYPERLINK("https://patents.google.com/patent/US20120258935","Google")</f>
        <v>0.0</v>
      </c>
      <c r="G3309" s="2" t="n">
        <f>HYPERLINK("https://patentcenter.uspto.gov/applications/13401659","Patent Center")</f>
        <v>0.0</v>
      </c>
      <c r="H3309" s="2" t="n">
        <f>HYPERLINK("https://worldwide.espacenet.com/patent/search?q=US20120258935","Espacenet")</f>
        <v>0.0</v>
      </c>
      <c r="I3309" s="2" t="n">
        <f>HYPERLINK("https://ppubs.uspto.gov/pubwebapp/external.html?q=20120258935.pn.","USPTO")</f>
        <v>0.0</v>
      </c>
      <c r="J3309" s="2" t="n">
        <f>HYPERLINK("https://image-ppubs.uspto.gov/dirsearch-public/print/downloadPdf/20120258935","USPTO PDF")</f>
        <v>0.0</v>
      </c>
      <c r="K3309" s="2" t="n">
        <f>HYPERLINK("https://sectors.patentforecast.com/pmd/US20120258935","PMD")</f>
        <v>0.0</v>
      </c>
      <c r="L3309" s="2" t="n">
        <f>HYPERLINK("https://globaldossier.uspto.gov/result/application/US/13401659/1","US20120258935")</f>
        <v>0.0</v>
      </c>
      <c r="M3309" t="s">
        <v>21383</v>
      </c>
      <c r="N3309" t="s">
        <v>664</v>
      </c>
      <c r="O3309" t="s">
        <v>665</v>
      </c>
      <c r="P3309" t="s">
        <v>21160</v>
      </c>
      <c r="Q3309" s="3" t="n">
        <v>40960.0</v>
      </c>
      <c r="R3309" s="3" t="n">
        <v>41193.0</v>
      </c>
      <c r="S3309" s="3" t="n">
        <v>43950.647371782405</v>
      </c>
      <c r="T3309" s="3" t="n">
        <v>44638.662781747684</v>
      </c>
      <c r="U3309" t="s">
        <v>21384</v>
      </c>
      <c r="V3309" t="s">
        <v>21162</v>
      </c>
    </row>
    <row r="3310">
      <c r="A3310" t="s">
        <v>22</v>
      </c>
      <c r="B3310" t="s">
        <v>21385</v>
      </c>
      <c r="C3310" t="s">
        <v>60</v>
      </c>
      <c r="D3310" t="s">
        <v>61</v>
      </c>
      <c r="E3310" t="s">
        <v>17386</v>
      </c>
      <c r="F3310" s="2" t="n">
        <f>HYPERLINK("https://patents.google.com/patent/US20120245335","Google")</f>
        <v>0.0</v>
      </c>
      <c r="G3310" s="2" t="n">
        <f>HYPERLINK("https://patentcenter.uspto.gov/applications/13491441","Patent Center")</f>
        <v>0.0</v>
      </c>
      <c r="H3310" s="2" t="n">
        <f>HYPERLINK("https://worldwide.espacenet.com/patent/search?q=US20120245335","Espacenet")</f>
        <v>0.0</v>
      </c>
      <c r="I3310" s="2" t="n">
        <f>HYPERLINK("https://ppubs.uspto.gov/pubwebapp/external.html?q=20120245335.pn.","USPTO")</f>
        <v>0.0</v>
      </c>
      <c r="J3310" s="2" t="n">
        <f>HYPERLINK("https://image-ppubs.uspto.gov/dirsearch-public/print/downloadPdf/20120245335","USPTO PDF")</f>
        <v>0.0</v>
      </c>
      <c r="K3310" s="2" t="n">
        <f>HYPERLINK("https://sectors.patentforecast.com/pmd/US20120245335","PMD")</f>
        <v>0.0</v>
      </c>
      <c r="L3310" s="2" t="n">
        <f>HYPERLINK("https://globaldossier.uspto.gov/result/application/US/13491441/1","US20120245335")</f>
        <v>0.0</v>
      </c>
      <c r="M3310" t="s">
        <v>21386</v>
      </c>
      <c r="N3310" t="s">
        <v>664</v>
      </c>
      <c r="O3310" t="s">
        <v>665</v>
      </c>
      <c r="P3310" t="s">
        <v>17388</v>
      </c>
      <c r="Q3310" s="3" t="n">
        <v>41067.0</v>
      </c>
      <c r="R3310" s="3" t="n">
        <v>41179.0</v>
      </c>
      <c r="S3310" s="3" t="n">
        <v>43950.66032956018</v>
      </c>
      <c r="T3310" s="3" t="n">
        <v>44638.666070879626</v>
      </c>
      <c r="U3310" t="s">
        <v>21387</v>
      </c>
      <c r="V3310" t="s">
        <v>17390</v>
      </c>
    </row>
    <row r="3311">
      <c r="A3311" t="s">
        <v>22</v>
      </c>
      <c r="B3311" t="s">
        <v>21388</v>
      </c>
      <c r="C3311" t="s">
        <v>24</v>
      </c>
      <c r="D3311" t="s">
        <v>1450</v>
      </c>
      <c r="E3311" t="s">
        <v>19962</v>
      </c>
      <c r="F3311" s="2" t="n">
        <f>HYPERLINK("https://patents.google.com/patent/US20120244886","Google")</f>
        <v>0.0</v>
      </c>
      <c r="G3311" s="2" t="n">
        <f>HYPERLINK("https://patentcenter.uspto.gov/applications/13394022","Patent Center")</f>
        <v>0.0</v>
      </c>
      <c r="H3311" s="2" t="n">
        <f>HYPERLINK("https://worldwide.espacenet.com/patent/search?q=US20120244886","Espacenet")</f>
        <v>0.0</v>
      </c>
      <c r="I3311" s="2" t="n">
        <f>HYPERLINK("https://ppubs.uspto.gov/pubwebapp/external.html?q=20120244886.pn.","USPTO")</f>
        <v>0.0</v>
      </c>
      <c r="J3311" s="2" t="n">
        <f>HYPERLINK("https://image-ppubs.uspto.gov/dirsearch-public/print/downloadPdf/20120244886","USPTO PDF")</f>
        <v>0.0</v>
      </c>
      <c r="K3311" s="2" t="n">
        <f>HYPERLINK("https://sectors.patentforecast.com/pmd/US20120244886","PMD")</f>
        <v>0.0</v>
      </c>
      <c r="L3311" s="2" t="n">
        <f>HYPERLINK("https://globaldossier.uspto.gov/result/application/US/13394022/1","US20120244886")</f>
        <v>0.0</v>
      </c>
      <c r="M3311" t="s">
        <v>21389</v>
      </c>
      <c r="N3311" t="s">
        <v>323</v>
      </c>
      <c r="O3311" t="s">
        <v>324</v>
      </c>
      <c r="P3311" t="s">
        <v>21390</v>
      </c>
      <c r="Q3311" s="3" t="n">
        <v>40415.0</v>
      </c>
      <c r="R3311" s="3" t="n">
        <v>41179.0</v>
      </c>
      <c r="S3311" s="3" t="n">
        <v>43266.45737</v>
      </c>
      <c r="T3311" s="3" t="n">
        <v>43903.48462943287</v>
      </c>
      <c r="U3311" t="s">
        <v>19965</v>
      </c>
      <c r="V3311" t="s">
        <v>19966</v>
      </c>
    </row>
    <row r="3312">
      <c r="A3312" t="s">
        <v>22</v>
      </c>
      <c r="B3312" t="s">
        <v>21391</v>
      </c>
      <c r="C3312" t="s">
        <v>60</v>
      </c>
      <c r="D3312" t="s">
        <v>61</v>
      </c>
      <c r="E3312" t="s">
        <v>21392</v>
      </c>
      <c r="F3312" s="2" t="n">
        <f>HYPERLINK("https://patents.google.com/patent/US20120244212","Google")</f>
        <v>0.0</v>
      </c>
      <c r="G3312" s="2" t="n">
        <f>HYPERLINK("https://patentcenter.uspto.gov/applications/13458449","Patent Center")</f>
        <v>0.0</v>
      </c>
      <c r="H3312" s="2" t="n">
        <f>HYPERLINK("https://worldwide.espacenet.com/patent/search?q=US20120244212","Espacenet")</f>
        <v>0.0</v>
      </c>
      <c r="I3312" s="2" t="n">
        <f>HYPERLINK("https://ppubs.uspto.gov/pubwebapp/external.html?q=20120244212.pn.","USPTO")</f>
        <v>0.0</v>
      </c>
      <c r="J3312" s="2" t="n">
        <f>HYPERLINK("https://image-ppubs.uspto.gov/dirsearch-public/print/downloadPdf/20120244212","USPTO PDF")</f>
        <v>0.0</v>
      </c>
      <c r="K3312" s="2" t="n">
        <f>HYPERLINK("https://sectors.patentforecast.com/pmd/US20120244212","PMD")</f>
        <v>0.0</v>
      </c>
      <c r="L3312" s="2" t="n">
        <f>HYPERLINK("https://globaldossier.uspto.gov/result/application/US/13458449/1","US20120244212")</f>
        <v>0.0</v>
      </c>
      <c r="M3312" t="s">
        <v>21393</v>
      </c>
      <c r="N3312" t="s">
        <v>21394</v>
      </c>
      <c r="O3312" t="s">
        <v>21395</v>
      </c>
      <c r="P3312" t="s">
        <v>13579</v>
      </c>
      <c r="Q3312" s="3" t="n">
        <v>41026.0</v>
      </c>
      <c r="R3312" s="3" t="n">
        <v>41179.0</v>
      </c>
      <c r="S3312" s="3" t="n">
        <v>43966.488978043984</v>
      </c>
      <c r="T3312" s="3" t="n">
        <v>44678.611276585645</v>
      </c>
      <c r="U3312" t="s">
        <v>21396</v>
      </c>
      <c r="V3312" t="s">
        <v>21397</v>
      </c>
    </row>
    <row r="3313">
      <c r="A3313" t="s">
        <v>22</v>
      </c>
      <c r="B3313" t="s">
        <v>21398</v>
      </c>
      <c r="C3313" t="s">
        <v>60</v>
      </c>
      <c r="D3313" t="s">
        <v>61</v>
      </c>
      <c r="E3313" t="s">
        <v>21399</v>
      </c>
      <c r="F3313" s="2" t="n">
        <f>HYPERLINK("https://patents.google.com/patent/US20120244120","Google")</f>
        <v>0.0</v>
      </c>
      <c r="G3313" s="2" t="n">
        <f>HYPERLINK("https://patentcenter.uspto.gov/applications/13514644","Patent Center")</f>
        <v>0.0</v>
      </c>
      <c r="H3313" s="2" t="n">
        <f>HYPERLINK("https://worldwide.espacenet.com/patent/search?q=US20120244120","Espacenet")</f>
        <v>0.0</v>
      </c>
      <c r="I3313" s="2" t="n">
        <f>HYPERLINK("https://ppubs.uspto.gov/pubwebapp/external.html?q=20120244120.pn.","USPTO")</f>
        <v>0.0</v>
      </c>
      <c r="J3313" s="2" t="n">
        <f>HYPERLINK("https://image-ppubs.uspto.gov/dirsearch-public/print/downloadPdf/20120244120","USPTO PDF")</f>
        <v>0.0</v>
      </c>
      <c r="K3313" s="2" t="n">
        <f>HYPERLINK("https://sectors.patentforecast.com/pmd/US20120244120","PMD")</f>
        <v>0.0</v>
      </c>
      <c r="L3313" s="2" t="n">
        <f>HYPERLINK("https://globaldossier.uspto.gov/result/application/US/13514644/1","US20120244120")</f>
        <v>0.0</v>
      </c>
      <c r="M3313" t="s">
        <v>21400</v>
      </c>
      <c r="N3313" t="s">
        <v>18794</v>
      </c>
      <c r="O3313" t="s">
        <v>18795</v>
      </c>
      <c r="P3313" t="s">
        <v>18796</v>
      </c>
      <c r="Q3313" s="3" t="n">
        <v>40522.0</v>
      </c>
      <c r="R3313" s="3" t="n">
        <v>41179.0</v>
      </c>
      <c r="S3313" s="3" t="n">
        <v>43900.437389907405</v>
      </c>
      <c r="T3313" s="3" t="n">
        <v>43903.61215605324</v>
      </c>
      <c r="U3313" t="s">
        <v>18797</v>
      </c>
      <c r="V3313" t="s">
        <v>18798</v>
      </c>
    </row>
    <row r="3314">
      <c r="A3314" t="s">
        <v>22</v>
      </c>
      <c r="B3314" t="s">
        <v>21401</v>
      </c>
      <c r="C3314" t="s">
        <v>60</v>
      </c>
      <c r="D3314" t="s">
        <v>61</v>
      </c>
      <c r="E3314" t="s">
        <v>21402</v>
      </c>
      <c r="F3314" s="2" t="n">
        <f>HYPERLINK("https://patents.google.com/patent/US20120232038","Google")</f>
        <v>0.0</v>
      </c>
      <c r="G3314" s="2" t="n">
        <f>HYPERLINK("https://patentcenter.uspto.gov/applications/13378250","Patent Center")</f>
        <v>0.0</v>
      </c>
      <c r="H3314" s="2" t="n">
        <f>HYPERLINK("https://worldwide.espacenet.com/patent/search?q=US20120232038","Espacenet")</f>
        <v>0.0</v>
      </c>
      <c r="I3314" s="2" t="n">
        <f>HYPERLINK("https://ppubs.uspto.gov/pubwebapp/external.html?q=20120232038.pn.","USPTO")</f>
        <v>0.0</v>
      </c>
      <c r="J3314" s="2" t="n">
        <f>HYPERLINK("https://image-ppubs.uspto.gov/dirsearch-public/print/downloadPdf/20120232038","USPTO PDF")</f>
        <v>0.0</v>
      </c>
      <c r="K3314" s="2" t="n">
        <f>HYPERLINK("https://sectors.patentforecast.com/pmd/US20120232038","PMD")</f>
        <v>0.0</v>
      </c>
      <c r="L3314" s="2" t="n">
        <f>HYPERLINK("https://globaldossier.uspto.gov/result/application/US/13378250/1","US20120232038")</f>
        <v>0.0</v>
      </c>
      <c r="M3314" t="s">
        <v>21403</v>
      </c>
      <c r="N3314" t="s">
        <v>21404</v>
      </c>
      <c r="O3314" t="s">
        <v>21405</v>
      </c>
      <c r="P3314" t="s">
        <v>21406</v>
      </c>
      <c r="Q3314" s="3" t="n">
        <v>40346.0</v>
      </c>
      <c r="R3314" s="3" t="n">
        <v>41165.0</v>
      </c>
      <c r="S3314" s="3" t="n">
        <v>43952.459705810186</v>
      </c>
      <c r="T3314" s="3" t="n">
        <v>44678.60330582176</v>
      </c>
      <c r="U3314" t="s">
        <v>21407</v>
      </c>
      <c r="V3314" t="s">
        <v>21408</v>
      </c>
    </row>
    <row r="3315">
      <c r="A3315" t="s">
        <v>22</v>
      </c>
      <c r="B3315" t="s">
        <v>21409</v>
      </c>
      <c r="C3315" t="s">
        <v>312</v>
      </c>
      <c r="D3315" t="s">
        <v>976</v>
      </c>
      <c r="E3315" t="s">
        <v>21410</v>
      </c>
      <c r="F3315" s="2" t="n">
        <f>HYPERLINK("https://patents.google.com/patent/US20120226621","Google")</f>
        <v>0.0</v>
      </c>
      <c r="G3315" s="2" t="n">
        <f>HYPERLINK("https://patentcenter.uspto.gov/applications/13411362","Patent Center")</f>
        <v>0.0</v>
      </c>
      <c r="H3315" s="2" t="n">
        <f>HYPERLINK("https://worldwide.espacenet.com/patent/search?q=US20120226621","Espacenet")</f>
        <v>0.0</v>
      </c>
      <c r="I3315" s="2" t="n">
        <f>HYPERLINK("https://ppubs.uspto.gov/pubwebapp/external.html?q=20120226621.pn.","USPTO")</f>
        <v>0.0</v>
      </c>
      <c r="J3315" s="2" t="n">
        <f>HYPERLINK("https://image-ppubs.uspto.gov/dirsearch-public/print/downloadPdf/20120226621","USPTO PDF")</f>
        <v>0.0</v>
      </c>
      <c r="K3315" s="2" t="n">
        <f>HYPERLINK("https://sectors.patentforecast.com/pmd/US20120226621","PMD")</f>
        <v>0.0</v>
      </c>
      <c r="L3315" s="2" t="n">
        <f>HYPERLINK("https://globaldossier.uspto.gov/result/application/US/13411362/1","US20120226621")</f>
        <v>0.0</v>
      </c>
      <c r="M3315" t="s">
        <v>21411</v>
      </c>
      <c r="N3315" t="s">
        <v>21412</v>
      </c>
      <c r="O3315" t="s">
        <v>21413</v>
      </c>
      <c r="P3315" t="s">
        <v>21414</v>
      </c>
      <c r="Q3315" s="3" t="n">
        <v>40970.0</v>
      </c>
      <c r="R3315" s="3" t="n">
        <v>41158.0</v>
      </c>
      <c r="S3315" s="3" t="n">
        <v>43266.45737070602</v>
      </c>
      <c r="T3315" s="3" t="n">
        <v>43950.57802017361</v>
      </c>
      <c r="U3315" t="s">
        <v>21415</v>
      </c>
      <c r="V3315" t="s">
        <v>21416</v>
      </c>
    </row>
    <row r="3316">
      <c r="A3316" t="s">
        <v>22</v>
      </c>
      <c r="B3316" t="s">
        <v>21417</v>
      </c>
      <c r="C3316" t="s">
        <v>24</v>
      </c>
      <c r="D3316" t="s">
        <v>100</v>
      </c>
      <c r="E3316" t="s">
        <v>21255</v>
      </c>
      <c r="F3316" s="2" t="n">
        <f>HYPERLINK("https://patents.google.com/patent/US20120220667","Google")</f>
        <v>0.0</v>
      </c>
      <c r="G3316" s="2" t="n">
        <f>HYPERLINK("https://patentcenter.uspto.gov/applications/13445831","Patent Center")</f>
        <v>0.0</v>
      </c>
      <c r="H3316" s="2" t="n">
        <f>HYPERLINK("https://worldwide.espacenet.com/patent/search?q=US20120220667","Espacenet")</f>
        <v>0.0</v>
      </c>
      <c r="I3316" s="2" t="n">
        <f>HYPERLINK("https://ppubs.uspto.gov/pubwebapp/external.html?q=20120220667.pn.","USPTO")</f>
        <v>0.0</v>
      </c>
      <c r="J3316" s="2" t="n">
        <f>HYPERLINK("https://image-ppubs.uspto.gov/dirsearch-public/print/downloadPdf/20120220667","USPTO PDF")</f>
        <v>0.0</v>
      </c>
      <c r="K3316" s="2" t="n">
        <f>HYPERLINK("https://sectors.patentforecast.com/pmd/US20120220667","PMD")</f>
        <v>0.0</v>
      </c>
      <c r="L3316" s="2" t="n">
        <f>HYPERLINK("https://globaldossier.uspto.gov/result/application/US/13445831/1","US20120220667")</f>
        <v>0.0</v>
      </c>
      <c r="M3316" t="s">
        <v>21256</v>
      </c>
      <c r="N3316" t="s">
        <v>21257</v>
      </c>
      <c r="O3316" t="s">
        <v>21258</v>
      </c>
      <c r="P3316" t="s">
        <v>21259</v>
      </c>
      <c r="Q3316" s="3" t="n">
        <v>41011.0</v>
      </c>
      <c r="R3316" s="3" t="n">
        <v>41151.0</v>
      </c>
      <c r="S3316" s="3" t="n">
        <v>43999.59019282407</v>
      </c>
      <c r="T3316" s="3" t="n">
        <v>44638.64789150463</v>
      </c>
      <c r="U3316" t="s">
        <v>21418</v>
      </c>
      <c r="V3316" t="s">
        <v>21261</v>
      </c>
    </row>
    <row r="3317">
      <c r="A3317" t="s">
        <v>22</v>
      </c>
      <c r="B3317" t="s">
        <v>21419</v>
      </c>
      <c r="C3317" t="s">
        <v>132</v>
      </c>
      <c r="D3317" t="s">
        <v>1265</v>
      </c>
      <c r="E3317" t="s">
        <v>21420</v>
      </c>
      <c r="F3317" s="2" t="n">
        <f>HYPERLINK("https://patents.google.com/patent/US20120219584","Google")</f>
        <v>0.0</v>
      </c>
      <c r="G3317" s="2" t="n">
        <f>HYPERLINK("https://patentcenter.uspto.gov/applications/13500421","Patent Center")</f>
        <v>0.0</v>
      </c>
      <c r="H3317" s="2" t="n">
        <f>HYPERLINK("https://worldwide.espacenet.com/patent/search?q=US20120219584","Espacenet")</f>
        <v>0.0</v>
      </c>
      <c r="I3317" s="2" t="n">
        <f>HYPERLINK("https://ppubs.uspto.gov/pubwebapp/external.html?q=20120219584.pn.","USPTO")</f>
        <v>0.0</v>
      </c>
      <c r="J3317" s="2" t="n">
        <f>HYPERLINK("https://image-ppubs.uspto.gov/dirsearch-public/print/downloadPdf/20120219584","USPTO PDF")</f>
        <v>0.0</v>
      </c>
      <c r="K3317" s="2" t="n">
        <f>HYPERLINK("https://sectors.patentforecast.com/pmd/US20120219584","PMD")</f>
        <v>0.0</v>
      </c>
      <c r="L3317" s="2" t="n">
        <f>HYPERLINK("https://globaldossier.uspto.gov/result/application/US/13500421/1","US20120219584")</f>
        <v>0.0</v>
      </c>
      <c r="M3317" t="s">
        <v>21421</v>
      </c>
      <c r="N3317" t="s">
        <v>1792</v>
      </c>
      <c r="O3317" t="s">
        <v>1793</v>
      </c>
      <c r="P3317" t="s">
        <v>21422</v>
      </c>
      <c r="Q3317" s="3" t="n">
        <v>40456.0</v>
      </c>
      <c r="R3317" s="3" t="n">
        <v>41151.0</v>
      </c>
      <c r="S3317" s="3" t="n">
        <v>43900.437389907405</v>
      </c>
      <c r="T3317" s="3" t="n">
        <v>43901.72156484954</v>
      </c>
      <c r="U3317" t="s">
        <v>21423</v>
      </c>
      <c r="V3317" t="s">
        <v>21424</v>
      </c>
    </row>
    <row r="3318">
      <c r="A3318" t="s">
        <v>22</v>
      </c>
      <c r="B3318" t="s">
        <v>21425</v>
      </c>
      <c r="C3318" t="s">
        <v>312</v>
      </c>
      <c r="D3318" t="s">
        <v>313</v>
      </c>
      <c r="E3318" t="s">
        <v>21426</v>
      </c>
      <c r="F3318" s="2" t="n">
        <f>HYPERLINK("https://patents.google.com/patent/US20120215455","Google")</f>
        <v>0.0</v>
      </c>
      <c r="G3318" s="2" t="n">
        <f>HYPERLINK("https://patentcenter.uspto.gov/applications/13029929","Patent Center")</f>
        <v>0.0</v>
      </c>
      <c r="H3318" s="2" t="n">
        <f>HYPERLINK("https://worldwide.espacenet.com/patent/search?q=US20120215455","Espacenet")</f>
        <v>0.0</v>
      </c>
      <c r="I3318" s="2" t="n">
        <f>HYPERLINK("https://ppubs.uspto.gov/pubwebapp/external.html?q=20120215455.pn.","USPTO")</f>
        <v>0.0</v>
      </c>
      <c r="J3318" s="2" t="n">
        <f>HYPERLINK("https://image-ppubs.uspto.gov/dirsearch-public/print/downloadPdf/20120215455","USPTO PDF")</f>
        <v>0.0</v>
      </c>
      <c r="K3318" s="2" t="n">
        <f>HYPERLINK("https://sectors.patentforecast.com/pmd/US20120215455","PMD")</f>
        <v>0.0</v>
      </c>
      <c r="L3318" s="2" t="n">
        <f>HYPERLINK("https://globaldossier.uspto.gov/result/application/US/13029929/1","US20120215455")</f>
        <v>0.0</v>
      </c>
      <c r="M3318" t="s">
        <v>21427</v>
      </c>
      <c r="N3318" t="s">
        <v>947</v>
      </c>
      <c r="O3318" t="s">
        <v>948</v>
      </c>
      <c r="P3318" t="s">
        <v>21428</v>
      </c>
      <c r="Q3318" s="3" t="n">
        <v>40591.0</v>
      </c>
      <c r="R3318" s="3" t="n">
        <v>41144.0</v>
      </c>
      <c r="S3318" s="3" t="n">
        <v>43266.45737070602</v>
      </c>
      <c r="T3318" s="3" t="n">
        <v>43991.462570682874</v>
      </c>
      <c r="U3318" t="s">
        <v>21229</v>
      </c>
      <c r="V3318" t="s">
        <v>21230</v>
      </c>
    </row>
    <row r="3319">
      <c r="A3319" t="s">
        <v>22</v>
      </c>
      <c r="B3319" t="s">
        <v>21429</v>
      </c>
      <c r="C3319" t="s">
        <v>24</v>
      </c>
      <c r="D3319" t="s">
        <v>25</v>
      </c>
      <c r="E3319" t="s">
        <v>21430</v>
      </c>
      <c r="F3319" s="2" t="n">
        <f>HYPERLINK("https://patents.google.com/patent/US20120209093","Google")</f>
        <v>0.0</v>
      </c>
      <c r="G3319" s="2" t="n">
        <f>HYPERLINK("https://patentcenter.uspto.gov/applications/13503997","Patent Center")</f>
        <v>0.0</v>
      </c>
      <c r="H3319" s="2" t="n">
        <f>HYPERLINK("https://worldwide.espacenet.com/patent/search?q=US20120209093","Espacenet")</f>
        <v>0.0</v>
      </c>
      <c r="I3319" s="2" t="n">
        <f>HYPERLINK("https://ppubs.uspto.gov/pubwebapp/external.html?q=20120209093.pn.","USPTO")</f>
        <v>0.0</v>
      </c>
      <c r="J3319" s="2" t="n">
        <f>HYPERLINK("https://image-ppubs.uspto.gov/dirsearch-public/print/downloadPdf/20120209093","USPTO PDF")</f>
        <v>0.0</v>
      </c>
      <c r="K3319" s="2" t="n">
        <f>HYPERLINK("https://sectors.patentforecast.com/pmd/US20120209093","PMD")</f>
        <v>0.0</v>
      </c>
      <c r="L3319" s="2" t="n">
        <f>HYPERLINK("https://globaldossier.uspto.gov/result/application/US/13503997/1","US20120209093")</f>
        <v>0.0</v>
      </c>
      <c r="M3319" t="s">
        <v>21431</v>
      </c>
      <c r="N3319" t="s">
        <v>9610</v>
      </c>
      <c r="O3319" t="s">
        <v>9611</v>
      </c>
      <c r="P3319" t="s">
        <v>21432</v>
      </c>
      <c r="Q3319" s="3" t="n">
        <v>40480.0</v>
      </c>
      <c r="R3319" s="3" t="n">
        <v>41137.0</v>
      </c>
      <c r="S3319" s="3" t="n">
        <v>43266.45737070602</v>
      </c>
      <c r="T3319" s="3" t="n">
        <v>43903.48463225694</v>
      </c>
      <c r="U3319" t="s">
        <v>21433</v>
      </c>
      <c r="V3319" t="s">
        <v>21434</v>
      </c>
    </row>
    <row r="3320">
      <c r="A3320" t="s">
        <v>22</v>
      </c>
      <c r="B3320" t="s">
        <v>21435</v>
      </c>
      <c r="C3320" t="s">
        <v>132</v>
      </c>
      <c r="D3320" t="s">
        <v>1265</v>
      </c>
      <c r="E3320" t="s">
        <v>17930</v>
      </c>
      <c r="F3320" s="2" t="n">
        <f>HYPERLINK("https://patents.google.com/patent/US20120207786","Google")</f>
        <v>0.0</v>
      </c>
      <c r="G3320" s="2" t="n">
        <f>HYPERLINK("https://patentcenter.uspto.gov/applications/13297125","Patent Center")</f>
        <v>0.0</v>
      </c>
      <c r="H3320" s="2" t="n">
        <f>HYPERLINK("https://worldwide.espacenet.com/patent/search?q=US20120207786","Espacenet")</f>
        <v>0.0</v>
      </c>
      <c r="I3320" s="2" t="n">
        <f>HYPERLINK("https://ppubs.uspto.gov/pubwebapp/external.html?q=20120207786.pn.","USPTO")</f>
        <v>0.0</v>
      </c>
      <c r="J3320" s="2" t="n">
        <f>HYPERLINK("https://image-ppubs.uspto.gov/dirsearch-public/print/downloadPdf/20120207786","USPTO PDF")</f>
        <v>0.0</v>
      </c>
      <c r="K3320" s="2" t="n">
        <f>HYPERLINK("https://sectors.patentforecast.com/pmd/US20120207786","PMD")</f>
        <v>0.0</v>
      </c>
      <c r="L3320" s="2" t="n">
        <f>HYPERLINK("https://globaldossier.uspto.gov/result/application/US/13297125/1","US20120207786")</f>
        <v>0.0</v>
      </c>
      <c r="M3320" t="s">
        <v>21436</v>
      </c>
      <c r="N3320" t="s">
        <v>1275</v>
      </c>
      <c r="O3320" t="s">
        <v>1275</v>
      </c>
      <c r="P3320" t="s">
        <v>21437</v>
      </c>
      <c r="Q3320" s="3" t="n">
        <v>40862.0</v>
      </c>
      <c r="R3320" s="3" t="n">
        <v>41137.0</v>
      </c>
      <c r="S3320" s="3" t="n">
        <v>43900.437389907405</v>
      </c>
      <c r="T3320" s="3" t="n">
        <v>43903.484632430554</v>
      </c>
      <c r="U3320" t="s">
        <v>21438</v>
      </c>
      <c r="V3320" t="s">
        <v>17402</v>
      </c>
    </row>
    <row r="3321">
      <c r="A3321" t="s">
        <v>22</v>
      </c>
      <c r="B3321" t="s">
        <v>21439</v>
      </c>
      <c r="C3321" t="s">
        <v>60</v>
      </c>
      <c r="D3321" t="s">
        <v>715</v>
      </c>
      <c r="E3321" t="s">
        <v>21440</v>
      </c>
      <c r="F3321" s="2" t="n">
        <f>HYPERLINK("https://patents.google.com/patent/US20120199003","Google")</f>
        <v>0.0</v>
      </c>
      <c r="G3321" s="2" t="n">
        <f>HYPERLINK("https://patentcenter.uspto.gov/applications/13383225","Patent Center")</f>
        <v>0.0</v>
      </c>
      <c r="H3321" s="2" t="n">
        <f>HYPERLINK("https://worldwide.espacenet.com/patent/search?q=US20120199003","Espacenet")</f>
        <v>0.0</v>
      </c>
      <c r="I3321" s="2" t="n">
        <f>HYPERLINK("https://ppubs.uspto.gov/pubwebapp/external.html?q=20120199003.pn.","USPTO")</f>
        <v>0.0</v>
      </c>
      <c r="J3321" s="2" t="n">
        <f>HYPERLINK("https://image-ppubs.uspto.gov/dirsearch-public/print/downloadPdf/20120199003","USPTO PDF")</f>
        <v>0.0</v>
      </c>
      <c r="K3321" s="2" t="n">
        <f>HYPERLINK("https://sectors.patentforecast.com/pmd/US20120199003","PMD")</f>
        <v>0.0</v>
      </c>
      <c r="L3321" s="2" t="n">
        <f>HYPERLINK("https://globaldossier.uspto.gov/result/application/US/13383225/1","US20120199003")</f>
        <v>0.0</v>
      </c>
      <c r="M3321" t="s">
        <v>21441</v>
      </c>
      <c r="N3321" t="s">
        <v>21442</v>
      </c>
      <c r="O3321" t="s">
        <v>21443</v>
      </c>
      <c r="P3321" t="s">
        <v>21444</v>
      </c>
      <c r="Q3321" s="3" t="n">
        <v>40373.0</v>
      </c>
      <c r="R3321" s="3" t="n">
        <v>41130.0</v>
      </c>
      <c r="S3321" s="3" t="n">
        <v>44397.230362372684</v>
      </c>
      <c r="T3321" s="3" t="n">
        <v>44398.53455619213</v>
      </c>
      <c r="U3321" t="s">
        <v>21445</v>
      </c>
      <c r="V3321" t="s">
        <v>21446</v>
      </c>
    </row>
    <row r="3322">
      <c r="A3322" t="s">
        <v>22</v>
      </c>
      <c r="B3322" t="s">
        <v>21447</v>
      </c>
      <c r="C3322" t="s">
        <v>24</v>
      </c>
      <c r="D3322" t="s">
        <v>25</v>
      </c>
      <c r="E3322" t="s">
        <v>21448</v>
      </c>
      <c r="F3322" s="2" t="n">
        <f>HYPERLINK("https://patents.google.com/patent/US20120197896","Google")</f>
        <v>0.0</v>
      </c>
      <c r="G3322" s="2" t="n">
        <f>HYPERLINK("https://patentcenter.uspto.gov/applications/13192160","Patent Center")</f>
        <v>0.0</v>
      </c>
      <c r="H3322" s="2" t="n">
        <f>HYPERLINK("https://worldwide.espacenet.com/patent/search?q=US20120197896","Espacenet")</f>
        <v>0.0</v>
      </c>
      <c r="I3322" s="2" t="n">
        <f>HYPERLINK("https://ppubs.uspto.gov/pubwebapp/external.html?q=20120197896.pn.","USPTO")</f>
        <v>0.0</v>
      </c>
      <c r="J3322" s="2" t="n">
        <f>HYPERLINK("https://image-ppubs.uspto.gov/dirsearch-public/print/downloadPdf/20120197896","USPTO PDF")</f>
        <v>0.0</v>
      </c>
      <c r="K3322" s="2" t="n">
        <f>HYPERLINK("https://sectors.patentforecast.com/pmd/US20120197896","PMD")</f>
        <v>0.0</v>
      </c>
      <c r="L3322" s="2" t="n">
        <f>HYPERLINK("https://globaldossier.uspto.gov/result/application/US/13192160/1","US20120197896")</f>
        <v>0.0</v>
      </c>
      <c r="M3322" t="s">
        <v>21449</v>
      </c>
      <c r="N3322" t="s">
        <v>8931</v>
      </c>
      <c r="O3322" t="s">
        <v>8931</v>
      </c>
      <c r="P3322" t="s">
        <v>21450</v>
      </c>
      <c r="Q3322" s="3" t="n">
        <v>40751.0</v>
      </c>
      <c r="R3322" s="3" t="n">
        <v>41123.0</v>
      </c>
      <c r="S3322" s="3" t="n">
        <v>43266.45737070602</v>
      </c>
      <c r="T3322" s="3" t="n">
        <v>43903.48463225694</v>
      </c>
      <c r="U3322" t="s">
        <v>21451</v>
      </c>
      <c r="V3322" t="s">
        <v>21452</v>
      </c>
    </row>
    <row r="3323">
      <c r="A3323" t="s">
        <v>22</v>
      </c>
      <c r="B3323" t="s">
        <v>21453</v>
      </c>
      <c r="C3323" t="s">
        <v>24</v>
      </c>
      <c r="D3323" t="s">
        <v>25</v>
      </c>
      <c r="E3323" t="s">
        <v>21454</v>
      </c>
      <c r="F3323" s="2" t="n">
        <f>HYPERLINK("https://patents.google.com/patent/US20120197585","Google")</f>
        <v>0.0</v>
      </c>
      <c r="G3323" s="2" t="n">
        <f>HYPERLINK("https://patentcenter.uspto.gov/applications/13445190","Patent Center")</f>
        <v>0.0</v>
      </c>
      <c r="H3323" s="2" t="n">
        <f>HYPERLINK("https://worldwide.espacenet.com/patent/search?q=US20120197585","Espacenet")</f>
        <v>0.0</v>
      </c>
      <c r="I3323" s="2" t="n">
        <f>HYPERLINK("https://ppubs.uspto.gov/pubwebapp/external.html?q=20120197585.pn.","USPTO")</f>
        <v>0.0</v>
      </c>
      <c r="J3323" s="2" t="n">
        <f>HYPERLINK("https://image-ppubs.uspto.gov/dirsearch-public/print/downloadPdf/20120197585","USPTO PDF")</f>
        <v>0.0</v>
      </c>
      <c r="K3323" s="2" t="n">
        <f>HYPERLINK("https://sectors.patentforecast.com/pmd/US20120197585","PMD")</f>
        <v>0.0</v>
      </c>
      <c r="L3323" s="2" t="n">
        <f>HYPERLINK("https://globaldossier.uspto.gov/result/application/US/13445190/1","US20120197585")</f>
        <v>0.0</v>
      </c>
      <c r="M3323" t="s">
        <v>21455</v>
      </c>
      <c r="N3323" t="s">
        <v>18699</v>
      </c>
      <c r="O3323" t="s">
        <v>18700</v>
      </c>
      <c r="P3323" t="s">
        <v>18701</v>
      </c>
      <c r="Q3323" s="3" t="n">
        <v>41011.0</v>
      </c>
      <c r="R3323" s="3" t="n">
        <v>41123.0</v>
      </c>
      <c r="S3323" s="3" t="n">
        <v>43900.437389907405</v>
      </c>
      <c r="T3323" s="3" t="n">
        <v>43903.48463225694</v>
      </c>
      <c r="U3323" t="s">
        <v>21456</v>
      </c>
      <c r="V3323" t="s">
        <v>18703</v>
      </c>
    </row>
    <row r="3324">
      <c r="A3324" t="s">
        <v>22</v>
      </c>
      <c r="B3324" t="s">
        <v>21457</v>
      </c>
      <c r="C3324" t="s">
        <v>60</v>
      </c>
      <c r="D3324" t="s">
        <v>61</v>
      </c>
      <c r="E3324" t="s">
        <v>21458</v>
      </c>
      <c r="F3324" s="2" t="n">
        <f>HYPERLINK("https://patents.google.com/patent/US20120196846","Google")</f>
        <v>0.0</v>
      </c>
      <c r="G3324" s="2" t="n">
        <f>HYPERLINK("https://patentcenter.uspto.gov/applications/13383180","Patent Center")</f>
        <v>0.0</v>
      </c>
      <c r="H3324" s="2" t="n">
        <f>HYPERLINK("https://worldwide.espacenet.com/patent/search?q=US20120196846","Espacenet")</f>
        <v>0.0</v>
      </c>
      <c r="I3324" s="2" t="n">
        <f>HYPERLINK("https://ppubs.uspto.gov/pubwebapp/external.html?q=20120196846.pn.","USPTO")</f>
        <v>0.0</v>
      </c>
      <c r="J3324" s="2" t="n">
        <f>HYPERLINK("https://image-ppubs.uspto.gov/dirsearch-public/print/downloadPdf/20120196846","USPTO PDF")</f>
        <v>0.0</v>
      </c>
      <c r="K3324" s="2" t="n">
        <f>HYPERLINK("https://sectors.patentforecast.com/pmd/US20120196846","PMD")</f>
        <v>0.0</v>
      </c>
      <c r="L3324" s="2" t="n">
        <f>HYPERLINK("https://globaldossier.uspto.gov/result/application/US/13383180/1","US20120196846")</f>
        <v>0.0</v>
      </c>
      <c r="M3324" t="s">
        <v>21459</v>
      </c>
      <c r="N3324" t="s">
        <v>664</v>
      </c>
      <c r="O3324" t="s">
        <v>665</v>
      </c>
      <c r="P3324" t="s">
        <v>21460</v>
      </c>
      <c r="Q3324" s="3" t="n">
        <v>40366.0</v>
      </c>
      <c r="R3324" s="3" t="n">
        <v>41123.0</v>
      </c>
      <c r="S3324" s="3" t="n">
        <v>43952.459705810186</v>
      </c>
      <c r="T3324" s="3" t="n">
        <v>44638.65727211806</v>
      </c>
      <c r="U3324" t="s">
        <v>21461</v>
      </c>
      <c r="V3324" t="s">
        <v>21462</v>
      </c>
    </row>
    <row r="3325">
      <c r="A3325" t="s">
        <v>22</v>
      </c>
      <c r="B3325" t="s">
        <v>21463</v>
      </c>
      <c r="C3325" t="s">
        <v>24</v>
      </c>
      <c r="D3325" t="s">
        <v>25</v>
      </c>
      <c r="E3325" t="s">
        <v>21464</v>
      </c>
      <c r="F3325" s="2" t="n">
        <f>HYPERLINK("https://patents.google.com/patent/US20120194342","Google")</f>
        <v>0.0</v>
      </c>
      <c r="G3325" s="2" t="n">
        <f>HYPERLINK("https://patentcenter.uspto.gov/applications/13019123","Patent Center")</f>
        <v>0.0</v>
      </c>
      <c r="H3325" s="2" t="n">
        <f>HYPERLINK("https://worldwide.espacenet.com/patent/search?q=US20120194342","Espacenet")</f>
        <v>0.0</v>
      </c>
      <c r="I3325" s="2" t="n">
        <f>HYPERLINK("https://ppubs.uspto.gov/pubwebapp/external.html?q=20120194342.pn.","USPTO")</f>
        <v>0.0</v>
      </c>
      <c r="J3325" s="2" t="n">
        <f>HYPERLINK("https://image-ppubs.uspto.gov/dirsearch-public/print/downloadPdf/20120194342","USPTO PDF")</f>
        <v>0.0</v>
      </c>
      <c r="K3325" s="2" t="n">
        <f>HYPERLINK("https://sectors.patentforecast.com/pmd/US20120194342","PMD")</f>
        <v>0.0</v>
      </c>
      <c r="L3325" s="2" t="n">
        <f>HYPERLINK("https://globaldossier.uspto.gov/result/application/US/13019123/1","US20120194342")</f>
        <v>0.0</v>
      </c>
      <c r="M3325" t="s">
        <v>21465</v>
      </c>
      <c r="N3325" t="s">
        <v>21466</v>
      </c>
      <c r="O3325" t="s">
        <v>21467</v>
      </c>
      <c r="P3325" t="s">
        <v>21468</v>
      </c>
      <c r="Q3325" s="3" t="n">
        <v>40575.0</v>
      </c>
      <c r="R3325" s="3" t="n">
        <v>41123.0</v>
      </c>
      <c r="S3325" s="3" t="n">
        <v>43266.45737069444</v>
      </c>
      <c r="T3325" s="3" t="n">
        <v>43950.61043530093</v>
      </c>
      <c r="U3325" t="s">
        <v>15882</v>
      </c>
      <c r="V3325" t="s">
        <v>21469</v>
      </c>
    </row>
    <row r="3326">
      <c r="A3326" t="s">
        <v>22</v>
      </c>
      <c r="B3326" t="s">
        <v>21470</v>
      </c>
      <c r="C3326" t="s">
        <v>24</v>
      </c>
      <c r="D3326" t="s">
        <v>69</v>
      </c>
      <c r="E3326" t="s">
        <v>21471</v>
      </c>
      <c r="F3326" s="2" t="n">
        <f>HYPERLINK("https://patents.google.com/patent/US20120192876","Google")</f>
        <v>0.0</v>
      </c>
      <c r="G3326" s="2" t="n">
        <f>HYPERLINK("https://patentcenter.uspto.gov/applications/13395670","Patent Center")</f>
        <v>0.0</v>
      </c>
      <c r="H3326" s="2" t="n">
        <f>HYPERLINK("https://worldwide.espacenet.com/patent/search?q=US20120192876","Espacenet")</f>
        <v>0.0</v>
      </c>
      <c r="I3326" s="2" t="n">
        <f>HYPERLINK("https://ppubs.uspto.gov/pubwebapp/external.html?q=20120192876.pn.","USPTO")</f>
        <v>0.0</v>
      </c>
      <c r="J3326" s="2" t="n">
        <f>HYPERLINK("https://image-ppubs.uspto.gov/dirsearch-public/print/downloadPdf/20120192876","USPTO PDF")</f>
        <v>0.0</v>
      </c>
      <c r="K3326" s="2" t="n">
        <f>HYPERLINK("https://sectors.patentforecast.com/pmd/US20120192876","PMD")</f>
        <v>0.0</v>
      </c>
      <c r="L3326" s="2" t="n">
        <f>HYPERLINK("https://globaldossier.uspto.gov/result/application/US/13395670/1","US20120192876")</f>
        <v>0.0</v>
      </c>
      <c r="M3326" t="s">
        <v>21472</v>
      </c>
      <c r="N3326" t="s">
        <v>21473</v>
      </c>
      <c r="O3326" t="s">
        <v>21473</v>
      </c>
      <c r="P3326" t="s">
        <v>21474</v>
      </c>
      <c r="Q3326" s="3" t="n">
        <v>40451.0</v>
      </c>
      <c r="R3326" s="3" t="n">
        <v>41123.0</v>
      </c>
      <c r="S3326" s="3" t="n">
        <v>43966.488978043984</v>
      </c>
      <c r="T3326" s="3" t="n">
        <v>44678.633872604165</v>
      </c>
      <c r="U3326" t="s">
        <v>21475</v>
      </c>
      <c r="V3326" t="s">
        <v>21476</v>
      </c>
    </row>
    <row r="3327">
      <c r="A3327" t="s">
        <v>22</v>
      </c>
      <c r="B3327" t="s">
        <v>21477</v>
      </c>
      <c r="C3327" t="s">
        <v>60</v>
      </c>
      <c r="D3327" t="s">
        <v>61</v>
      </c>
      <c r="E3327" t="s">
        <v>16903</v>
      </c>
      <c r="F3327" s="2" t="n">
        <f>HYPERLINK("https://patents.google.com/patent/US20120190866","Google")</f>
        <v>0.0</v>
      </c>
      <c r="G3327" s="2" t="n">
        <f>HYPERLINK("https://patentcenter.uspto.gov/applications/13436679","Patent Center")</f>
        <v>0.0</v>
      </c>
      <c r="H3327" s="2" t="n">
        <f>HYPERLINK("https://worldwide.espacenet.com/patent/search?q=US20120190866","Espacenet")</f>
        <v>0.0</v>
      </c>
      <c r="I3327" s="2" t="n">
        <f>HYPERLINK("https://ppubs.uspto.gov/pubwebapp/external.html?q=20120190866.pn.","USPTO")</f>
        <v>0.0</v>
      </c>
      <c r="J3327" s="2" t="n">
        <f>HYPERLINK("https://image-ppubs.uspto.gov/dirsearch-public/print/downloadPdf/20120190866","USPTO PDF")</f>
        <v>0.0</v>
      </c>
      <c r="K3327" s="2" t="n">
        <f>HYPERLINK("https://sectors.patentforecast.com/pmd/US20120190866","PMD")</f>
        <v>0.0</v>
      </c>
      <c r="L3327" s="2" t="n">
        <f>HYPERLINK("https://globaldossier.uspto.gov/result/application/US/13436679/1","US20120190866")</f>
        <v>0.0</v>
      </c>
      <c r="M3327" t="s">
        <v>21478</v>
      </c>
      <c r="N3327" t="s">
        <v>664</v>
      </c>
      <c r="O3327" t="s">
        <v>665</v>
      </c>
      <c r="P3327" t="s">
        <v>21479</v>
      </c>
      <c r="Q3327" s="3" t="n">
        <v>40998.0</v>
      </c>
      <c r="R3327" s="3" t="n">
        <v>41116.0</v>
      </c>
      <c r="S3327" s="3" t="n">
        <v>43952.459705810186</v>
      </c>
      <c r="T3327" s="3" t="n">
        <v>44638.65271974537</v>
      </c>
      <c r="U3327" t="s">
        <v>21480</v>
      </c>
      <c r="V3327" t="s">
        <v>16907</v>
      </c>
    </row>
    <row r="3328">
      <c r="A3328" t="s">
        <v>22</v>
      </c>
      <c r="B3328" t="s">
        <v>21481</v>
      </c>
      <c r="C3328" t="s">
        <v>24</v>
      </c>
      <c r="D3328" t="s">
        <v>25</v>
      </c>
      <c r="E3328" t="s">
        <v>21482</v>
      </c>
      <c r="F3328" s="2" t="n">
        <f>HYPERLINK("https://patents.google.com/patent/US20120179491","Google")</f>
        <v>0.0</v>
      </c>
      <c r="G3328" s="2" t="n">
        <f>HYPERLINK("https://patentcenter.uspto.gov/applications/13344992","Patent Center")</f>
        <v>0.0</v>
      </c>
      <c r="H3328" s="2" t="n">
        <f>HYPERLINK("https://worldwide.espacenet.com/patent/search?q=US20120179491","Espacenet")</f>
        <v>0.0</v>
      </c>
      <c r="I3328" s="2" t="n">
        <f>HYPERLINK("https://ppubs.uspto.gov/pubwebapp/external.html?q=20120179491.pn.","USPTO")</f>
        <v>0.0</v>
      </c>
      <c r="J3328" s="2" t="n">
        <f>HYPERLINK("https://image-ppubs.uspto.gov/dirsearch-public/print/downloadPdf/20120179491","USPTO PDF")</f>
        <v>0.0</v>
      </c>
      <c r="K3328" s="2" t="n">
        <f>HYPERLINK("https://sectors.patentforecast.com/pmd/US20120179491","PMD")</f>
        <v>0.0</v>
      </c>
      <c r="L3328" s="2" t="n">
        <f>HYPERLINK("https://globaldossier.uspto.gov/result/application/US/13344992/1","US20120179491")</f>
        <v>0.0</v>
      </c>
      <c r="M3328" t="s">
        <v>21483</v>
      </c>
      <c r="N3328" t="s">
        <v>21484</v>
      </c>
      <c r="O3328" t="s">
        <v>21484</v>
      </c>
      <c r="P3328" t="s">
        <v>21485</v>
      </c>
      <c r="Q3328" s="3" t="n">
        <v>40914.0</v>
      </c>
      <c r="R3328" s="3" t="n">
        <v>41102.0</v>
      </c>
      <c r="S3328" s="3" t="n">
        <v>44089.23016482639</v>
      </c>
      <c r="T3328" s="3" t="n">
        <v>44089.44176736111</v>
      </c>
      <c r="U3328" t="s">
        <v>21486</v>
      </c>
      <c r="V3328" t="s">
        <v>21487</v>
      </c>
    </row>
    <row r="3329">
      <c r="A3329" t="s">
        <v>22</v>
      </c>
      <c r="B3329" t="s">
        <v>21488</v>
      </c>
      <c r="C3329" t="s">
        <v>60</v>
      </c>
      <c r="D3329" t="s">
        <v>61</v>
      </c>
      <c r="E3329" t="s">
        <v>21489</v>
      </c>
      <c r="F3329" s="2" t="n">
        <f>HYPERLINK("https://patents.google.com/patent/US20120164071","Google")</f>
        <v>0.0</v>
      </c>
      <c r="G3329" s="2" t="n">
        <f>HYPERLINK("https://patentcenter.uspto.gov/applications/12117255","Patent Center")</f>
        <v>0.0</v>
      </c>
      <c r="H3329" s="2" t="n">
        <f>HYPERLINK("https://worldwide.espacenet.com/patent/search?q=US20120164071","Espacenet")</f>
        <v>0.0</v>
      </c>
      <c r="I3329" s="2" t="n">
        <f>HYPERLINK("https://ppubs.uspto.gov/pubwebapp/external.html?q=20120164071.pn.","USPTO")</f>
        <v>0.0</v>
      </c>
      <c r="J3329" s="2" t="n">
        <f>HYPERLINK("https://image-ppubs.uspto.gov/dirsearch-public/print/downloadPdf/20120164071","USPTO PDF")</f>
        <v>0.0</v>
      </c>
      <c r="K3329" s="2" t="n">
        <f>HYPERLINK("https://sectors.patentforecast.com/pmd/US20120164071","PMD")</f>
        <v>0.0</v>
      </c>
      <c r="L3329" s="2" t="n">
        <f>HYPERLINK("https://globaldossier.uspto.gov/result/application/US/12117255/1","US20120164071")</f>
        <v>0.0</v>
      </c>
      <c r="M3329" t="s">
        <v>21490</v>
      </c>
      <c r="N3329" t="s">
        <v>4193</v>
      </c>
      <c r="O3329" t="s">
        <v>4194</v>
      </c>
      <c r="P3329" t="s">
        <v>21491</v>
      </c>
      <c r="Q3329" s="3" t="n">
        <v>39576.0</v>
      </c>
      <c r="R3329" s="3" t="n">
        <v>41088.0</v>
      </c>
      <c r="S3329" s="3" t="n">
        <v>43936.46164649306</v>
      </c>
      <c r="T3329" s="3" t="n">
        <v>44543.64006021991</v>
      </c>
      <c r="U3329" t="s">
        <v>21492</v>
      </c>
      <c r="V3329" t="s">
        <v>21493</v>
      </c>
    </row>
    <row r="3330">
      <c r="A3330" t="s">
        <v>22</v>
      </c>
      <c r="B3330" t="s">
        <v>21494</v>
      </c>
      <c r="C3330" t="s">
        <v>60</v>
      </c>
      <c r="D3330" t="s">
        <v>61</v>
      </c>
      <c r="E3330" t="s">
        <v>16903</v>
      </c>
      <c r="F3330" s="2" t="n">
        <f>HYPERLINK("https://patents.google.com/patent/US20120157404","Google")</f>
        <v>0.0</v>
      </c>
      <c r="G3330" s="2" t="n">
        <f>HYPERLINK("https://patentcenter.uspto.gov/applications/13291977","Patent Center")</f>
        <v>0.0</v>
      </c>
      <c r="H3330" s="2" t="n">
        <f>HYPERLINK("https://worldwide.espacenet.com/patent/search?q=US20120157404","Espacenet")</f>
        <v>0.0</v>
      </c>
      <c r="I3330" s="2" t="n">
        <f>HYPERLINK("https://ppubs.uspto.gov/pubwebapp/external.html?q=20120157404.pn.","USPTO")</f>
        <v>0.0</v>
      </c>
      <c r="J3330" s="2" t="n">
        <f>HYPERLINK("https://image-ppubs.uspto.gov/dirsearch-public/print/downloadPdf/20120157404","USPTO PDF")</f>
        <v>0.0</v>
      </c>
      <c r="K3330" s="2" t="n">
        <f>HYPERLINK("https://sectors.patentforecast.com/pmd/US20120157404","PMD")</f>
        <v>0.0</v>
      </c>
      <c r="L3330" s="2" t="n">
        <f>HYPERLINK("https://globaldossier.uspto.gov/result/application/US/13291977/1","US20120157404")</f>
        <v>0.0</v>
      </c>
      <c r="M3330" t="s">
        <v>21495</v>
      </c>
      <c r="N3330" t="s">
        <v>664</v>
      </c>
      <c r="O3330" t="s">
        <v>665</v>
      </c>
      <c r="P3330" t="s">
        <v>21496</v>
      </c>
      <c r="Q3330" s="3" t="n">
        <v>40855.0</v>
      </c>
      <c r="R3330" s="3" t="n">
        <v>41081.0</v>
      </c>
      <c r="S3330" s="3" t="n">
        <v>43952.45970679398</v>
      </c>
      <c r="T3330" s="3" t="n">
        <v>44638.65271974537</v>
      </c>
      <c r="U3330" t="s">
        <v>21497</v>
      </c>
      <c r="V3330" t="s">
        <v>16907</v>
      </c>
    </row>
    <row r="3331">
      <c r="A3331" t="s">
        <v>22</v>
      </c>
      <c r="B3331" t="s">
        <v>21498</v>
      </c>
      <c r="C3331" t="s">
        <v>60</v>
      </c>
      <c r="D3331" t="s">
        <v>61</v>
      </c>
      <c r="E3331" t="s">
        <v>20882</v>
      </c>
      <c r="F3331" s="2" t="n">
        <f>HYPERLINK("https://patents.google.com/patent/US20120156166","Google")</f>
        <v>0.0</v>
      </c>
      <c r="G3331" s="2" t="n">
        <f>HYPERLINK("https://patentcenter.uspto.gov/applications/13392467","Patent Center")</f>
        <v>0.0</v>
      </c>
      <c r="H3331" s="2" t="n">
        <f>HYPERLINK("https://worldwide.espacenet.com/patent/search?q=US20120156166","Espacenet")</f>
        <v>0.0</v>
      </c>
      <c r="I3331" s="2" t="n">
        <f>HYPERLINK("https://ppubs.uspto.gov/pubwebapp/external.html?q=20120156166.pn.","USPTO")</f>
        <v>0.0</v>
      </c>
      <c r="J3331" s="2" t="n">
        <f>HYPERLINK("https://image-ppubs.uspto.gov/dirsearch-public/print/downloadPdf/20120156166","USPTO PDF")</f>
        <v>0.0</v>
      </c>
      <c r="K3331" s="2" t="n">
        <f>HYPERLINK("https://sectors.patentforecast.com/pmd/US20120156166","PMD")</f>
        <v>0.0</v>
      </c>
      <c r="L3331" s="2" t="n">
        <f>HYPERLINK("https://globaldossier.uspto.gov/result/application/US/13392467/1","US20120156166")</f>
        <v>0.0</v>
      </c>
      <c r="M3331" t="s">
        <v>21499</v>
      </c>
      <c r="N3331" t="s">
        <v>664</v>
      </c>
      <c r="O3331" t="s">
        <v>665</v>
      </c>
      <c r="P3331" t="s">
        <v>21500</v>
      </c>
      <c r="Q3331" s="3" t="n">
        <v>40428.0</v>
      </c>
      <c r="R3331" s="3" t="n">
        <v>41081.0</v>
      </c>
      <c r="S3331" s="3" t="n">
        <v>43952.45970679398</v>
      </c>
      <c r="T3331" s="3" t="n">
        <v>44638.65643378472</v>
      </c>
      <c r="U3331" t="s">
        <v>21501</v>
      </c>
      <c r="V3331" t="s">
        <v>21502</v>
      </c>
    </row>
    <row r="3332">
      <c r="A3332" t="s">
        <v>22</v>
      </c>
      <c r="B3332" t="s">
        <v>21503</v>
      </c>
      <c r="C3332" t="s">
        <v>24</v>
      </c>
      <c r="D3332" t="s">
        <v>1450</v>
      </c>
      <c r="E3332" t="s">
        <v>18778</v>
      </c>
      <c r="F3332" s="2" t="n">
        <f>HYPERLINK("https://patents.google.com/patent/US20120154139","Google")</f>
        <v>0.0</v>
      </c>
      <c r="G3332" s="2" t="n">
        <f>HYPERLINK("https://patentcenter.uspto.gov/applications/13000953","Patent Center")</f>
        <v>0.0</v>
      </c>
      <c r="H3332" s="2" t="n">
        <f>HYPERLINK("https://worldwide.espacenet.com/patent/search?q=US20120154139","Espacenet")</f>
        <v>0.0</v>
      </c>
      <c r="I3332" s="2" t="n">
        <f>HYPERLINK("https://ppubs.uspto.gov/pubwebapp/external.html?q=20120154139.pn.","USPTO")</f>
        <v>0.0</v>
      </c>
      <c r="J3332" s="2" t="n">
        <f>HYPERLINK("https://image-ppubs.uspto.gov/dirsearch-public/print/downloadPdf/20120154139","USPTO PDF")</f>
        <v>0.0</v>
      </c>
      <c r="K3332" s="2" t="n">
        <f>HYPERLINK("https://sectors.patentforecast.com/pmd/US20120154139","PMD")</f>
        <v>0.0</v>
      </c>
      <c r="L3332" s="2" t="n">
        <f>HYPERLINK("https://globaldossier.uspto.gov/result/application/US/13000953/1","US20120154139")</f>
        <v>0.0</v>
      </c>
      <c r="M3332" t="s">
        <v>21504</v>
      </c>
      <c r="N3332" t="s">
        <v>18780</v>
      </c>
      <c r="O3332" t="s">
        <v>18781</v>
      </c>
      <c r="P3332" t="s">
        <v>18782</v>
      </c>
      <c r="Q3332" s="3" t="n">
        <v>39989.0</v>
      </c>
      <c r="R3332" s="3" t="n">
        <v>41081.0</v>
      </c>
      <c r="S3332" s="3" t="n">
        <v>43266.45737069444</v>
      </c>
      <c r="T3332" s="3" t="n">
        <v>43903.654623842594</v>
      </c>
      <c r="U3332" t="s">
        <v>18783</v>
      </c>
      <c r="V3332" t="s">
        <v>21505</v>
      </c>
    </row>
    <row r="3333">
      <c r="A3333" t="s">
        <v>22</v>
      </c>
      <c r="B3333" t="s">
        <v>21506</v>
      </c>
      <c r="C3333" t="s">
        <v>24</v>
      </c>
      <c r="D3333" t="s">
        <v>43</v>
      </c>
      <c r="E3333" t="s">
        <v>21507</v>
      </c>
      <c r="F3333" s="2" t="n">
        <f>HYPERLINK("https://patents.google.com/patent/US20120150442","Google")</f>
        <v>0.0</v>
      </c>
      <c r="G3333" s="2" t="n">
        <f>HYPERLINK("https://patentcenter.uspto.gov/applications/13390861","Patent Center")</f>
        <v>0.0</v>
      </c>
      <c r="H3333" s="2" t="n">
        <f>HYPERLINK("https://worldwide.espacenet.com/patent/search?q=US20120150442","Espacenet")</f>
        <v>0.0</v>
      </c>
      <c r="I3333" s="2" t="n">
        <f>HYPERLINK("https://ppubs.uspto.gov/pubwebapp/external.html?q=20120150442.pn.","USPTO")</f>
        <v>0.0</v>
      </c>
      <c r="J3333" s="2" t="n">
        <f>HYPERLINK("https://image-ppubs.uspto.gov/dirsearch-public/print/downloadPdf/20120150442","USPTO PDF")</f>
        <v>0.0</v>
      </c>
      <c r="K3333" s="2" t="n">
        <f>HYPERLINK("https://sectors.patentforecast.com/pmd/US20120150442","PMD")</f>
        <v>0.0</v>
      </c>
      <c r="L3333" s="2" t="n">
        <f>HYPERLINK("https://globaldossier.uspto.gov/result/application/US/13390861/1","US20120150442")</f>
        <v>0.0</v>
      </c>
      <c r="M3333" t="s">
        <v>21508</v>
      </c>
      <c r="N3333" t="s">
        <v>2944</v>
      </c>
      <c r="O3333" t="s">
        <v>2945</v>
      </c>
      <c r="P3333" t="s">
        <v>21509</v>
      </c>
      <c r="Q3333" s="3" t="n">
        <v>40060.0</v>
      </c>
      <c r="R3333" s="3" t="n">
        <v>41074.0</v>
      </c>
      <c r="S3333" s="3" t="n">
        <v>43266.45737069444</v>
      </c>
      <c r="T3333" s="3" t="n">
        <v>43901.7215646875</v>
      </c>
      <c r="U3333" t="s">
        <v>21510</v>
      </c>
      <c r="V3333" t="s">
        <v>21511</v>
      </c>
    </row>
    <row r="3334">
      <c r="A3334" t="s">
        <v>22</v>
      </c>
      <c r="B3334" t="s">
        <v>21512</v>
      </c>
      <c r="C3334" t="s">
        <v>24</v>
      </c>
      <c r="D3334" t="s">
        <v>25</v>
      </c>
      <c r="E3334" t="s">
        <v>21513</v>
      </c>
      <c r="F3334" s="2" t="n">
        <f>HYPERLINK("https://patents.google.com/patent/US20120150333","Google")</f>
        <v>0.0</v>
      </c>
      <c r="G3334" s="2" t="n">
        <f>HYPERLINK("https://patentcenter.uspto.gov/applications/12931294","Patent Center")</f>
        <v>0.0</v>
      </c>
      <c r="H3334" s="2" t="n">
        <f>HYPERLINK("https://worldwide.espacenet.com/patent/search?q=US20120150333","Espacenet")</f>
        <v>0.0</v>
      </c>
      <c r="I3334" s="2" t="n">
        <f>HYPERLINK("https://ppubs.uspto.gov/pubwebapp/external.html?q=20120150333.pn.","USPTO")</f>
        <v>0.0</v>
      </c>
      <c r="J3334" s="2" t="n">
        <f>HYPERLINK("https://image-ppubs.uspto.gov/dirsearch-public/print/downloadPdf/20120150333","USPTO PDF")</f>
        <v>0.0</v>
      </c>
      <c r="K3334" s="2" t="n">
        <f>HYPERLINK("https://sectors.patentforecast.com/pmd/US20120150333","PMD")</f>
        <v>0.0</v>
      </c>
      <c r="L3334" s="2" t="n">
        <f>HYPERLINK("https://globaldossier.uspto.gov/result/application/US/12931294/1","US20120150333")</f>
        <v>0.0</v>
      </c>
      <c r="M3334" t="s">
        <v>21514</v>
      </c>
      <c r="N3334" t="s">
        <v>21515</v>
      </c>
      <c r="O3334" t="s">
        <v>21516</v>
      </c>
      <c r="P3334" t="s">
        <v>21517</v>
      </c>
      <c r="Q3334" s="3" t="n">
        <v>40571.0</v>
      </c>
      <c r="R3334" s="3" t="n">
        <v>41074.0</v>
      </c>
      <c r="S3334" s="3" t="n">
        <v>43266.45737069444</v>
      </c>
      <c r="T3334" s="3" t="n">
        <v>43903.48463224537</v>
      </c>
      <c r="U3334" t="s">
        <v>21518</v>
      </c>
      <c r="V3334" t="s">
        <v>21519</v>
      </c>
    </row>
    <row r="3335">
      <c r="A3335" t="s">
        <v>22</v>
      </c>
      <c r="B3335" t="s">
        <v>21520</v>
      </c>
      <c r="C3335" t="s">
        <v>312</v>
      </c>
      <c r="D3335" t="s">
        <v>715</v>
      </c>
      <c r="E3335" t="s">
        <v>21521</v>
      </c>
      <c r="F3335" s="2" t="n">
        <f>HYPERLINK("https://patents.google.com/patent/US20120139720","Google")</f>
        <v>0.0</v>
      </c>
      <c r="G3335" s="2" t="n">
        <f>HYPERLINK("https://patentcenter.uspto.gov/applications/13371240","Patent Center")</f>
        <v>0.0</v>
      </c>
      <c r="H3335" s="2" t="n">
        <f>HYPERLINK("https://worldwide.espacenet.com/patent/search?q=US20120139720","Espacenet")</f>
        <v>0.0</v>
      </c>
      <c r="I3335" s="2" t="n">
        <f>HYPERLINK("https://ppubs.uspto.gov/pubwebapp/external.html?q=20120139720.pn.","USPTO")</f>
        <v>0.0</v>
      </c>
      <c r="J3335" s="2" t="n">
        <f>HYPERLINK("https://image-ppubs.uspto.gov/dirsearch-public/print/downloadPdf/20120139720","USPTO PDF")</f>
        <v>0.0</v>
      </c>
      <c r="K3335" s="2" t="n">
        <f>HYPERLINK("https://sectors.patentforecast.com/pmd/US20120139720","PMD")</f>
        <v>0.0</v>
      </c>
      <c r="L3335" s="2" t="n">
        <f>HYPERLINK("https://globaldossier.uspto.gov/result/application/US/13371240/1","US20120139720")</f>
        <v>0.0</v>
      </c>
      <c r="M3335" t="s">
        <v>21522</v>
      </c>
      <c r="N3335" t="s">
        <v>4975</v>
      </c>
      <c r="O3335" t="s">
        <v>4976</v>
      </c>
      <c r="P3335" t="s">
        <v>21015</v>
      </c>
      <c r="Q3335" s="3" t="n">
        <v>40949.0</v>
      </c>
      <c r="R3335" s="3" t="n">
        <v>41067.0</v>
      </c>
      <c r="S3335" s="3" t="n">
        <v>43266.45737118056</v>
      </c>
      <c r="T3335" s="3" t="n">
        <v>43328.45413824074</v>
      </c>
      <c r="U3335" t="s">
        <v>21016</v>
      </c>
      <c r="V3335" t="s">
        <v>21523</v>
      </c>
    </row>
    <row r="3336">
      <c r="A3336" t="s">
        <v>22</v>
      </c>
      <c r="B3336" t="s">
        <v>21524</v>
      </c>
      <c r="C3336" t="s">
        <v>60</v>
      </c>
      <c r="D3336" t="s">
        <v>61</v>
      </c>
      <c r="E3336" t="s">
        <v>21525</v>
      </c>
      <c r="F3336" s="2" t="n">
        <f>HYPERLINK("https://patents.google.com/patent/US20120129764","Google")</f>
        <v>0.0</v>
      </c>
      <c r="G3336" s="2" t="n">
        <f>HYPERLINK("https://patentcenter.uspto.gov/applications/13318769","Patent Center")</f>
        <v>0.0</v>
      </c>
      <c r="H3336" s="2" t="n">
        <f>HYPERLINK("https://worldwide.espacenet.com/patent/search?q=US20120129764","Espacenet")</f>
        <v>0.0</v>
      </c>
      <c r="I3336" s="2" t="n">
        <f>HYPERLINK("https://ppubs.uspto.gov/pubwebapp/external.html?q=20120129764.pn.","USPTO")</f>
        <v>0.0</v>
      </c>
      <c r="J3336" s="2" t="n">
        <f>HYPERLINK("https://image-ppubs.uspto.gov/dirsearch-public/print/downloadPdf/20120129764","USPTO PDF")</f>
        <v>0.0</v>
      </c>
      <c r="K3336" s="2" t="n">
        <f>HYPERLINK("https://sectors.patentforecast.com/pmd/US20120129764","PMD")</f>
        <v>0.0</v>
      </c>
      <c r="L3336" s="2" t="n">
        <f>HYPERLINK("https://globaldossier.uspto.gov/result/application/US/13318769/1","US20120129764")</f>
        <v>0.0</v>
      </c>
      <c r="M3336" t="s">
        <v>21526</v>
      </c>
      <c r="N3336" t="s">
        <v>21527</v>
      </c>
      <c r="O3336" t="s">
        <v>21528</v>
      </c>
      <c r="P3336" t="s">
        <v>21529</v>
      </c>
      <c r="Q3336" s="3" t="n">
        <v>39941.0</v>
      </c>
      <c r="R3336" s="3" t="n">
        <v>41053.0</v>
      </c>
      <c r="S3336" s="3" t="n">
        <v>43900.437389907405</v>
      </c>
      <c r="T3336" s="3" t="n">
        <v>43903.61215606482</v>
      </c>
      <c r="U3336" t="s">
        <v>21530</v>
      </c>
      <c r="V3336" t="s">
        <v>21531</v>
      </c>
    </row>
    <row r="3337">
      <c r="A3337" t="s">
        <v>22</v>
      </c>
      <c r="B3337" t="s">
        <v>21532</v>
      </c>
      <c r="C3337" t="s">
        <v>24</v>
      </c>
      <c r="D3337" t="s">
        <v>187</v>
      </c>
      <c r="E3337" t="s">
        <v>19644</v>
      </c>
      <c r="F3337" s="2" t="n">
        <f>HYPERLINK("https://patents.google.com/patent/US20120123685","Google")</f>
        <v>0.0</v>
      </c>
      <c r="G3337" s="2" t="n">
        <f>HYPERLINK("https://patentcenter.uspto.gov/applications/11674538","Patent Center")</f>
        <v>0.0</v>
      </c>
      <c r="H3337" s="2" t="n">
        <f>HYPERLINK("https://worldwide.espacenet.com/patent/search?q=US20120123685","Espacenet")</f>
        <v>0.0</v>
      </c>
      <c r="I3337" s="2" t="n">
        <f>HYPERLINK("https://ppubs.uspto.gov/pubwebapp/external.html?q=20120123685.pn.","USPTO")</f>
        <v>0.0</v>
      </c>
      <c r="J3337" s="2" t="n">
        <f>HYPERLINK("https://image-ppubs.uspto.gov/dirsearch-public/print/downloadPdf/20120123685","USPTO PDF")</f>
        <v>0.0</v>
      </c>
      <c r="K3337" s="2" t="n">
        <f>HYPERLINK("https://sectors.patentforecast.com/pmd/US20120123685","PMD")</f>
        <v>0.0</v>
      </c>
      <c r="L3337" s="2" t="n">
        <f>HYPERLINK("https://globaldossier.uspto.gov/result/application/US/11674538/1","US20120123685")</f>
        <v>0.0</v>
      </c>
      <c r="M3337" t="s">
        <v>21533</v>
      </c>
      <c r="N3337" t="s">
        <v>6851</v>
      </c>
      <c r="O3337" t="s">
        <v>6852</v>
      </c>
      <c r="P3337" t="s">
        <v>19646</v>
      </c>
      <c r="Q3337" s="3" t="n">
        <v>39126.0</v>
      </c>
      <c r="R3337" s="3" t="n">
        <v>41046.0</v>
      </c>
      <c r="S3337" s="3" t="n">
        <v>43266.45737118056</v>
      </c>
      <c r="T3337" s="3" t="n">
        <v>43266.61438974537</v>
      </c>
      <c r="U3337" t="s">
        <v>19647</v>
      </c>
      <c r="V3337" t="s">
        <v>19648</v>
      </c>
    </row>
    <row r="3338">
      <c r="A3338" t="s">
        <v>22</v>
      </c>
      <c r="B3338" t="s">
        <v>21534</v>
      </c>
      <c r="C3338" t="s">
        <v>24</v>
      </c>
      <c r="D3338" t="s">
        <v>34</v>
      </c>
      <c r="E3338" t="s">
        <v>20808</v>
      </c>
      <c r="F3338" s="2" t="n">
        <f>HYPERLINK("https://patents.google.com/patent/US20120122079","Google")</f>
        <v>0.0</v>
      </c>
      <c r="G3338" s="2" t="n">
        <f>HYPERLINK("https://patentcenter.uspto.gov/applications/13294963","Patent Center")</f>
        <v>0.0</v>
      </c>
      <c r="H3338" s="2" t="n">
        <f>HYPERLINK("https://worldwide.espacenet.com/patent/search?q=US20120122079","Espacenet")</f>
        <v>0.0</v>
      </c>
      <c r="I3338" s="2" t="n">
        <f>HYPERLINK("https://ppubs.uspto.gov/pubwebapp/external.html?q=20120122079.pn.","USPTO")</f>
        <v>0.0</v>
      </c>
      <c r="J3338" s="2" t="n">
        <f>HYPERLINK("https://image-ppubs.uspto.gov/dirsearch-public/print/downloadPdf/20120122079","USPTO PDF")</f>
        <v>0.0</v>
      </c>
      <c r="K3338" s="2" t="n">
        <f>HYPERLINK("https://sectors.patentforecast.com/pmd/US20120122079","PMD")</f>
        <v>0.0</v>
      </c>
      <c r="L3338" s="2" t="n">
        <f>HYPERLINK("https://globaldossier.uspto.gov/result/application/US/13294963/1","US20120122079")</f>
        <v>0.0</v>
      </c>
      <c r="M3338" t="s">
        <v>21535</v>
      </c>
      <c r="N3338" t="s">
        <v>20810</v>
      </c>
      <c r="O3338" t="s">
        <v>20811</v>
      </c>
      <c r="P3338" t="s">
        <v>21536</v>
      </c>
      <c r="Q3338" s="3" t="n">
        <v>40858.0</v>
      </c>
      <c r="R3338" s="3" t="n">
        <v>41046.0</v>
      </c>
      <c r="S3338" s="3" t="n">
        <v>43966.48365137731</v>
      </c>
      <c r="T3338" s="3" t="n">
        <v>44678.56015370371</v>
      </c>
      <c r="U3338" t="s">
        <v>21537</v>
      </c>
      <c r="V3338" t="s">
        <v>21538</v>
      </c>
    </row>
    <row r="3339">
      <c r="A3339" t="s">
        <v>22</v>
      </c>
      <c r="B3339" t="s">
        <v>21539</v>
      </c>
      <c r="C3339" t="s">
        <v>24</v>
      </c>
      <c r="D3339" t="s">
        <v>34</v>
      </c>
      <c r="E3339" t="s">
        <v>20808</v>
      </c>
      <c r="F3339" s="2" t="n">
        <f>HYPERLINK("https://patents.google.com/patent/US20120121511","Google")</f>
        <v>0.0</v>
      </c>
      <c r="G3339" s="2" t="n">
        <f>HYPERLINK("https://patentcenter.uspto.gov/applications/13294966","Patent Center")</f>
        <v>0.0</v>
      </c>
      <c r="H3339" s="2" t="n">
        <f>HYPERLINK("https://worldwide.espacenet.com/patent/search?q=US20120121511","Espacenet")</f>
        <v>0.0</v>
      </c>
      <c r="I3339" s="2" t="n">
        <f>HYPERLINK("https://ppubs.uspto.gov/pubwebapp/external.html?q=20120121511.pn.","USPTO")</f>
        <v>0.0</v>
      </c>
      <c r="J3339" s="2" t="n">
        <f>HYPERLINK("https://image-ppubs.uspto.gov/dirsearch-public/print/downloadPdf/20120121511","USPTO PDF")</f>
        <v>0.0</v>
      </c>
      <c r="K3339" s="2" t="n">
        <f>HYPERLINK("https://sectors.patentforecast.com/pmd/US20120121511","PMD")</f>
        <v>0.0</v>
      </c>
      <c r="L3339" s="2" t="n">
        <f>HYPERLINK("https://globaldossier.uspto.gov/result/application/US/13294966/1","US20120121511")</f>
        <v>0.0</v>
      </c>
      <c r="M3339" t="s">
        <v>21540</v>
      </c>
      <c r="N3339" t="s">
        <v>20810</v>
      </c>
      <c r="O3339" t="s">
        <v>20811</v>
      </c>
      <c r="P3339" t="s">
        <v>20812</v>
      </c>
      <c r="Q3339" s="3" t="n">
        <v>40858.0</v>
      </c>
      <c r="R3339" s="3" t="n">
        <v>41046.0</v>
      </c>
      <c r="S3339" s="3" t="n">
        <v>43966.48365137731</v>
      </c>
      <c r="T3339" s="3" t="n">
        <v>44678.56015370371</v>
      </c>
      <c r="U3339" t="s">
        <v>21541</v>
      </c>
      <c r="V3339" t="s">
        <v>20814</v>
      </c>
    </row>
    <row r="3340">
      <c r="A3340" t="s">
        <v>22</v>
      </c>
      <c r="B3340" t="s">
        <v>21542</v>
      </c>
      <c r="C3340" t="s">
        <v>24</v>
      </c>
      <c r="D3340" t="s">
        <v>43</v>
      </c>
      <c r="E3340" t="s">
        <v>20701</v>
      </c>
      <c r="F3340" s="2" t="n">
        <f>HYPERLINK("https://patents.google.com/patent/US20120112883","Google")</f>
        <v>0.0</v>
      </c>
      <c r="G3340" s="2" t="n">
        <f>HYPERLINK("https://patentcenter.uspto.gov/applications/13133193","Patent Center")</f>
        <v>0.0</v>
      </c>
      <c r="H3340" s="2" t="n">
        <f>HYPERLINK("https://worldwide.espacenet.com/patent/search?q=US20120112883","Espacenet")</f>
        <v>0.0</v>
      </c>
      <c r="I3340" s="2" t="n">
        <f>HYPERLINK("https://ppubs.uspto.gov/pubwebapp/external.html?q=20120112883.pn.","USPTO")</f>
        <v>0.0</v>
      </c>
      <c r="J3340" s="2" t="n">
        <f>HYPERLINK("https://image-ppubs.uspto.gov/dirsearch-public/print/downloadPdf/20120112883","USPTO PDF")</f>
        <v>0.0</v>
      </c>
      <c r="K3340" s="2" t="n">
        <f>HYPERLINK("https://sectors.patentforecast.com/pmd/US20120112883","PMD")</f>
        <v>0.0</v>
      </c>
      <c r="L3340" s="2" t="n">
        <f>HYPERLINK("https://globaldossier.uspto.gov/result/application/US/13133193/1","US20120112883")</f>
        <v>0.0</v>
      </c>
      <c r="M3340" t="s">
        <v>20702</v>
      </c>
      <c r="N3340" t="s">
        <v>20703</v>
      </c>
      <c r="O3340" t="s">
        <v>20704</v>
      </c>
      <c r="P3340" t="s">
        <v>21543</v>
      </c>
      <c r="Q3340" s="3" t="n">
        <v>40155.0</v>
      </c>
      <c r="R3340" s="3" t="n">
        <v>41039.0</v>
      </c>
      <c r="S3340" s="3" t="n">
        <v>43266.45737118056</v>
      </c>
      <c r="T3340" s="3" t="n">
        <v>43977.48318834491</v>
      </c>
      <c r="U3340" t="s">
        <v>20706</v>
      </c>
      <c r="V3340" t="s">
        <v>20707</v>
      </c>
    </row>
    <row r="3341">
      <c r="A3341" t="s">
        <v>22</v>
      </c>
      <c r="B3341" t="s">
        <v>21544</v>
      </c>
      <c r="C3341" t="s">
        <v>60</v>
      </c>
      <c r="D3341" t="s">
        <v>61</v>
      </c>
      <c r="E3341" t="s">
        <v>20681</v>
      </c>
      <c r="F3341" s="2" t="n">
        <f>HYPERLINK("https://patents.google.com/patent/US20120107274","Google")</f>
        <v>0.0</v>
      </c>
      <c r="G3341" s="2" t="n">
        <f>HYPERLINK("https://patentcenter.uspto.gov/applications/13230634","Patent Center")</f>
        <v>0.0</v>
      </c>
      <c r="H3341" s="2" t="n">
        <f>HYPERLINK("https://worldwide.espacenet.com/patent/search?q=US20120107274","Espacenet")</f>
        <v>0.0</v>
      </c>
      <c r="I3341" s="2" t="n">
        <f>HYPERLINK("https://ppubs.uspto.gov/pubwebapp/external.html?q=20120107274.pn.","USPTO")</f>
        <v>0.0</v>
      </c>
      <c r="J3341" s="2" t="n">
        <f>HYPERLINK("https://image-ppubs.uspto.gov/dirsearch-public/print/downloadPdf/20120107274","USPTO PDF")</f>
        <v>0.0</v>
      </c>
      <c r="K3341" s="2" t="n">
        <f>HYPERLINK("https://sectors.patentforecast.com/pmd/US20120107274","PMD")</f>
        <v>0.0</v>
      </c>
      <c r="L3341" s="2" t="n">
        <f>HYPERLINK("https://globaldossier.uspto.gov/result/application/US/13230634/1","US20120107274")</f>
        <v>0.0</v>
      </c>
      <c r="M3341" t="s">
        <v>21545</v>
      </c>
      <c r="N3341" t="s">
        <v>664</v>
      </c>
      <c r="O3341" t="s">
        <v>665</v>
      </c>
      <c r="P3341" t="s">
        <v>20683</v>
      </c>
      <c r="Q3341" s="3" t="n">
        <v>40798.0</v>
      </c>
      <c r="R3341" s="3" t="n">
        <v>41032.0</v>
      </c>
      <c r="S3341" s="3" t="n">
        <v>43952.45970679398</v>
      </c>
      <c r="T3341" s="3" t="n">
        <v>44638.65072081018</v>
      </c>
      <c r="U3341" t="s">
        <v>21546</v>
      </c>
      <c r="V3341" t="s">
        <v>21547</v>
      </c>
    </row>
    <row r="3342">
      <c r="A3342" t="s">
        <v>22</v>
      </c>
      <c r="B3342" t="s">
        <v>21548</v>
      </c>
      <c r="C3342" t="s">
        <v>24</v>
      </c>
      <c r="D3342" t="s">
        <v>204</v>
      </c>
      <c r="E3342" t="s">
        <v>21549</v>
      </c>
      <c r="F3342" s="2" t="n">
        <f>HYPERLINK("https://patents.google.com/patent/US20120095775","Google")</f>
        <v>0.0</v>
      </c>
      <c r="G3342" s="2" t="n">
        <f>HYPERLINK("https://patentcenter.uspto.gov/applications/12907346","Patent Center")</f>
        <v>0.0</v>
      </c>
      <c r="H3342" s="2" t="n">
        <f>HYPERLINK("https://worldwide.espacenet.com/patent/search?q=US20120095775","Espacenet")</f>
        <v>0.0</v>
      </c>
      <c r="I3342" s="2" t="n">
        <f>HYPERLINK("https://ppubs.uspto.gov/pubwebapp/external.html?q=20120095775.pn.","USPTO")</f>
        <v>0.0</v>
      </c>
      <c r="J3342" s="2" t="n">
        <f>HYPERLINK("https://image-ppubs.uspto.gov/dirsearch-public/print/downloadPdf/20120095775","USPTO PDF")</f>
        <v>0.0</v>
      </c>
      <c r="K3342" s="2" t="n">
        <f>HYPERLINK("https://sectors.patentforecast.com/pmd/US20120095775","PMD")</f>
        <v>0.0</v>
      </c>
      <c r="L3342" s="2" t="n">
        <f>HYPERLINK("https://globaldossier.uspto.gov/result/application/US/12907346/1","US20120095775")</f>
        <v>0.0</v>
      </c>
      <c r="M3342" t="s">
        <v>21550</v>
      </c>
      <c r="N3342" t="s">
        <v>947</v>
      </c>
      <c r="O3342" t="s">
        <v>948</v>
      </c>
      <c r="P3342" t="s">
        <v>21551</v>
      </c>
      <c r="Q3342" s="3" t="n">
        <v>40470.0</v>
      </c>
      <c r="R3342" s="3" t="n">
        <v>41018.0</v>
      </c>
      <c r="S3342" s="3" t="n">
        <v>44089.23016332176</v>
      </c>
      <c r="T3342" s="3" t="n">
        <v>44089.44344200232</v>
      </c>
      <c r="U3342" t="s">
        <v>21552</v>
      </c>
      <c r="V3342" t="s">
        <v>21553</v>
      </c>
    </row>
    <row r="3343">
      <c r="A3343" t="s">
        <v>22</v>
      </c>
      <c r="B3343" t="s">
        <v>21554</v>
      </c>
      <c r="C3343" t="s">
        <v>132</v>
      </c>
      <c r="D3343" t="s">
        <v>1265</v>
      </c>
      <c r="E3343" t="s">
        <v>21555</v>
      </c>
      <c r="F3343" s="2" t="n">
        <f>HYPERLINK("https://patents.google.com/patent/US20120093859","Google")</f>
        <v>0.0</v>
      </c>
      <c r="G3343" s="2" t="n">
        <f>HYPERLINK("https://patentcenter.uspto.gov/applications/13148948","Patent Center")</f>
        <v>0.0</v>
      </c>
      <c r="H3343" s="2" t="n">
        <f>HYPERLINK("https://worldwide.espacenet.com/patent/search?q=US20120093859","Espacenet")</f>
        <v>0.0</v>
      </c>
      <c r="I3343" s="2" t="n">
        <f>HYPERLINK("https://ppubs.uspto.gov/pubwebapp/external.html?q=20120093859.pn.","USPTO")</f>
        <v>0.0</v>
      </c>
      <c r="J3343" s="2" t="n">
        <f>HYPERLINK("https://image-ppubs.uspto.gov/dirsearch-public/print/downloadPdf/20120093859","USPTO PDF")</f>
        <v>0.0</v>
      </c>
      <c r="K3343" s="2" t="n">
        <f>HYPERLINK("https://sectors.patentforecast.com/pmd/US20120093859","PMD")</f>
        <v>0.0</v>
      </c>
      <c r="L3343" s="2" t="n">
        <f>HYPERLINK("https://globaldossier.uspto.gov/result/application/US/13148948/1","US20120093859")</f>
        <v>0.0</v>
      </c>
      <c r="M3343" t="s">
        <v>21556</v>
      </c>
      <c r="N3343" t="s">
        <v>14996</v>
      </c>
      <c r="O3343" t="s">
        <v>14997</v>
      </c>
      <c r="P3343" t="s">
        <v>21557</v>
      </c>
      <c r="Q3343" s="3" t="n">
        <v>40219.0</v>
      </c>
      <c r="R3343" s="3" t="n">
        <v>41018.0</v>
      </c>
      <c r="S3343" s="3" t="n">
        <v>43900.437389907405</v>
      </c>
      <c r="T3343" s="3" t="n">
        <v>43901.72156506944</v>
      </c>
      <c r="U3343" t="s">
        <v>21558</v>
      </c>
      <c r="V3343" t="s">
        <v>21559</v>
      </c>
    </row>
    <row r="3344">
      <c r="A3344" t="s">
        <v>22</v>
      </c>
      <c r="B3344" t="s">
        <v>21560</v>
      </c>
      <c r="C3344" t="s">
        <v>60</v>
      </c>
      <c r="D3344" t="s">
        <v>61</v>
      </c>
      <c r="E3344" t="s">
        <v>17306</v>
      </c>
      <c r="F3344" s="2" t="n">
        <f>HYPERLINK("https://patents.google.com/patent/US20120053148","Google")</f>
        <v>0.0</v>
      </c>
      <c r="G3344" s="2" t="n">
        <f>HYPERLINK("https://patentcenter.uspto.gov/applications/13157127","Patent Center")</f>
        <v>0.0</v>
      </c>
      <c r="H3344" s="2" t="n">
        <f>HYPERLINK("https://worldwide.espacenet.com/patent/search?q=US20120053148","Espacenet")</f>
        <v>0.0</v>
      </c>
      <c r="I3344" s="2" t="n">
        <f>HYPERLINK("https://ppubs.uspto.gov/pubwebapp/external.html?q=20120053148.pn.","USPTO")</f>
        <v>0.0</v>
      </c>
      <c r="J3344" s="2" t="n">
        <f>HYPERLINK("https://image-ppubs.uspto.gov/dirsearch-public/print/downloadPdf/20120053148","USPTO PDF")</f>
        <v>0.0</v>
      </c>
      <c r="K3344" s="2" t="n">
        <f>HYPERLINK("https://sectors.patentforecast.com/pmd/US20120053148","PMD")</f>
        <v>0.0</v>
      </c>
      <c r="L3344" s="2" t="n">
        <f>HYPERLINK("https://globaldossier.uspto.gov/result/application/US/13157127/1","US20120053148")</f>
        <v>0.0</v>
      </c>
      <c r="M3344" t="s">
        <v>21561</v>
      </c>
      <c r="N3344" t="s">
        <v>664</v>
      </c>
      <c r="O3344" t="s">
        <v>665</v>
      </c>
      <c r="P3344" t="s">
        <v>21562</v>
      </c>
      <c r="Q3344" s="3" t="n">
        <v>40703.0</v>
      </c>
      <c r="R3344" s="3" t="n">
        <v>40969.0</v>
      </c>
      <c r="S3344" s="3" t="n">
        <v>43952.45970679398</v>
      </c>
      <c r="T3344" s="3" t="n">
        <v>44638.65643378472</v>
      </c>
      <c r="U3344" t="s">
        <v>21563</v>
      </c>
      <c r="V3344" t="s">
        <v>21564</v>
      </c>
    </row>
    <row r="3345">
      <c r="A3345" t="s">
        <v>22</v>
      </c>
      <c r="B3345" t="s">
        <v>21565</v>
      </c>
      <c r="C3345" t="s">
        <v>312</v>
      </c>
      <c r="D3345" t="s">
        <v>3202</v>
      </c>
      <c r="E3345" t="s">
        <v>21566</v>
      </c>
      <c r="F3345" s="2" t="n">
        <f>HYPERLINK("https://patents.google.com/patent/US20120035429","Google")</f>
        <v>0.0</v>
      </c>
      <c r="G3345" s="2" t="n">
        <f>HYPERLINK("https://patentcenter.uspto.gov/applications/13190748","Patent Center")</f>
        <v>0.0</v>
      </c>
      <c r="H3345" s="2" t="n">
        <f>HYPERLINK("https://worldwide.espacenet.com/patent/search?q=US20120035429","Espacenet")</f>
        <v>0.0</v>
      </c>
      <c r="I3345" s="2" t="n">
        <f>HYPERLINK("https://ppubs.uspto.gov/pubwebapp/external.html?q=20120035429.pn.","USPTO")</f>
        <v>0.0</v>
      </c>
      <c r="J3345" s="2" t="n">
        <f>HYPERLINK("https://image-ppubs.uspto.gov/dirsearch-public/print/downloadPdf/20120035429","USPTO PDF")</f>
        <v>0.0</v>
      </c>
      <c r="K3345" s="2" t="n">
        <f>HYPERLINK("https://sectors.patentforecast.com/pmd/US20120035429","PMD")</f>
        <v>0.0</v>
      </c>
      <c r="L3345" s="2" t="n">
        <f>HYPERLINK("https://globaldossier.uspto.gov/result/application/US/13190748/1","US20120035429")</f>
        <v>0.0</v>
      </c>
      <c r="M3345" t="s">
        <v>21567</v>
      </c>
      <c r="N3345" t="s">
        <v>2563</v>
      </c>
      <c r="O3345" t="s">
        <v>2563</v>
      </c>
      <c r="P3345" t="s">
        <v>21568</v>
      </c>
      <c r="Q3345" s="3" t="n">
        <v>40750.0</v>
      </c>
      <c r="R3345" s="3" t="n">
        <v>40948.0</v>
      </c>
      <c r="S3345" s="3" t="n">
        <v>43266.45737118056</v>
      </c>
      <c r="T3345" s="3" t="n">
        <v>43950.5508684838</v>
      </c>
      <c r="U3345" t="s">
        <v>21569</v>
      </c>
      <c r="V3345" t="s">
        <v>21570</v>
      </c>
    </row>
    <row r="3346">
      <c r="A3346" t="s">
        <v>22</v>
      </c>
      <c r="B3346" t="s">
        <v>21571</v>
      </c>
      <c r="C3346" t="s">
        <v>132</v>
      </c>
      <c r="D3346" t="s">
        <v>1265</v>
      </c>
      <c r="E3346" t="s">
        <v>21121</v>
      </c>
      <c r="F3346" s="2" t="n">
        <f>HYPERLINK("https://patents.google.com/patent/US20120034264","Google")</f>
        <v>0.0</v>
      </c>
      <c r="G3346" s="2" t="n">
        <f>HYPERLINK("https://patentcenter.uspto.gov/applications/13161938","Patent Center")</f>
        <v>0.0</v>
      </c>
      <c r="H3346" s="2" t="n">
        <f>HYPERLINK("https://worldwide.espacenet.com/patent/search?q=US20120034264","Espacenet")</f>
        <v>0.0</v>
      </c>
      <c r="I3346" s="2" t="n">
        <f>HYPERLINK("https://ppubs.uspto.gov/pubwebapp/external.html?q=20120034264.pn.","USPTO")</f>
        <v>0.0</v>
      </c>
      <c r="J3346" s="2" t="n">
        <f>HYPERLINK("https://image-ppubs.uspto.gov/dirsearch-public/print/downloadPdf/20120034264","USPTO PDF")</f>
        <v>0.0</v>
      </c>
      <c r="K3346" s="2" t="n">
        <f>HYPERLINK("https://sectors.patentforecast.com/pmd/US20120034264","PMD")</f>
        <v>0.0</v>
      </c>
      <c r="L3346" s="2" t="n">
        <f>HYPERLINK("https://globaldossier.uspto.gov/result/application/US/13161938/1","US20120034264")</f>
        <v>0.0</v>
      </c>
      <c r="M3346" t="s">
        <v>21572</v>
      </c>
      <c r="N3346" t="s">
        <v>21123</v>
      </c>
      <c r="O3346" t="s">
        <v>21124</v>
      </c>
      <c r="P3346" t="s">
        <v>21573</v>
      </c>
      <c r="Q3346" s="3" t="n">
        <v>40710.0</v>
      </c>
      <c r="R3346" s="3" t="n">
        <v>40948.0</v>
      </c>
      <c r="S3346" s="3" t="n">
        <v>43900.437389907405</v>
      </c>
      <c r="T3346" s="3" t="n">
        <v>43901.72156430555</v>
      </c>
      <c r="U3346" t="s">
        <v>21574</v>
      </c>
      <c r="V3346" t="s">
        <v>21127</v>
      </c>
    </row>
    <row r="3347">
      <c r="A3347" t="s">
        <v>22</v>
      </c>
      <c r="B3347" t="s">
        <v>21575</v>
      </c>
      <c r="C3347" t="s">
        <v>60</v>
      </c>
      <c r="D3347" t="s">
        <v>61</v>
      </c>
      <c r="E3347" t="s">
        <v>17921</v>
      </c>
      <c r="F3347" s="2" t="n">
        <f>HYPERLINK("https://patents.google.com/patent/US20120027752","Google")</f>
        <v>0.0</v>
      </c>
      <c r="G3347" s="2" t="n">
        <f>HYPERLINK("https://patentcenter.uspto.gov/applications/13189373","Patent Center")</f>
        <v>0.0</v>
      </c>
      <c r="H3347" s="2" t="n">
        <f>HYPERLINK("https://worldwide.espacenet.com/patent/search?q=US20120027752","Espacenet")</f>
        <v>0.0</v>
      </c>
      <c r="I3347" s="2" t="n">
        <f>HYPERLINK("https://ppubs.uspto.gov/pubwebapp/external.html?q=20120027752.pn.","USPTO")</f>
        <v>0.0</v>
      </c>
      <c r="J3347" s="2" t="n">
        <f>HYPERLINK("https://image-ppubs.uspto.gov/dirsearch-public/print/downloadPdf/20120027752","USPTO PDF")</f>
        <v>0.0</v>
      </c>
      <c r="K3347" s="2" t="n">
        <f>HYPERLINK("https://sectors.patentforecast.com/pmd/US20120027752","PMD")</f>
        <v>0.0</v>
      </c>
      <c r="L3347" s="2" t="n">
        <f>HYPERLINK("https://globaldossier.uspto.gov/result/application/US/13189373/1","US20120027752")</f>
        <v>0.0</v>
      </c>
      <c r="M3347" t="s">
        <v>21576</v>
      </c>
      <c r="N3347" t="s">
        <v>664</v>
      </c>
      <c r="O3347" t="s">
        <v>665</v>
      </c>
      <c r="P3347" t="s">
        <v>17923</v>
      </c>
      <c r="Q3347" s="3" t="n">
        <v>40746.0</v>
      </c>
      <c r="R3347" s="3" t="n">
        <v>40941.0</v>
      </c>
      <c r="S3347" s="3" t="n">
        <v>43952.45970679398</v>
      </c>
      <c r="T3347" s="3" t="n">
        <v>44638.65643378472</v>
      </c>
      <c r="U3347" t="s">
        <v>21577</v>
      </c>
      <c r="V3347" t="s">
        <v>17925</v>
      </c>
    </row>
    <row r="3348">
      <c r="A3348" t="s">
        <v>22</v>
      </c>
      <c r="B3348" t="s">
        <v>21578</v>
      </c>
      <c r="C3348" t="s">
        <v>60</v>
      </c>
      <c r="D3348" t="s">
        <v>77</v>
      </c>
      <c r="E3348" t="s">
        <v>20525</v>
      </c>
      <c r="F3348" s="2" t="n">
        <f>HYPERLINK("https://patents.google.com/patent/US20120020971","Google")</f>
        <v>0.0</v>
      </c>
      <c r="G3348" s="2" t="n">
        <f>HYPERLINK("https://patentcenter.uspto.gov/applications/13163489","Patent Center")</f>
        <v>0.0</v>
      </c>
      <c r="H3348" s="2" t="n">
        <f>HYPERLINK("https://worldwide.espacenet.com/patent/search?q=US20120020971","Espacenet")</f>
        <v>0.0</v>
      </c>
      <c r="I3348" s="2" t="n">
        <f>HYPERLINK("https://ppubs.uspto.gov/pubwebapp/external.html?q=20120020971.pn.","USPTO")</f>
        <v>0.0</v>
      </c>
      <c r="J3348" s="2" t="n">
        <f>HYPERLINK("https://image-ppubs.uspto.gov/dirsearch-public/print/downloadPdf/20120020971","USPTO PDF")</f>
        <v>0.0</v>
      </c>
      <c r="K3348" s="2" t="n">
        <f>HYPERLINK("https://sectors.patentforecast.com/pmd/US20120020971","PMD")</f>
        <v>0.0</v>
      </c>
      <c r="L3348" s="2" t="n">
        <f>HYPERLINK("https://globaldossier.uspto.gov/result/application/US/13163489/1","US20120020971")</f>
        <v>0.0</v>
      </c>
      <c r="M3348" t="s">
        <v>21579</v>
      </c>
      <c r="N3348" t="s">
        <v>20527</v>
      </c>
      <c r="O3348" t="s">
        <v>20528</v>
      </c>
      <c r="P3348" t="s">
        <v>21580</v>
      </c>
      <c r="Q3348" s="3" t="n">
        <v>40711.0</v>
      </c>
      <c r="R3348" s="3" t="n">
        <v>40934.0</v>
      </c>
      <c r="S3348" s="3" t="n">
        <v>43900.437389907405</v>
      </c>
      <c r="T3348" s="3" t="n">
        <v>43901.72156489583</v>
      </c>
      <c r="U3348" t="s">
        <v>21581</v>
      </c>
      <c r="V3348" t="s">
        <v>21582</v>
      </c>
    </row>
    <row r="3349">
      <c r="A3349" t="s">
        <v>22</v>
      </c>
      <c r="B3349" t="s">
        <v>21583</v>
      </c>
      <c r="C3349" t="s">
        <v>60</v>
      </c>
      <c r="D3349" t="s">
        <v>61</v>
      </c>
      <c r="E3349" t="s">
        <v>21584</v>
      </c>
      <c r="F3349" s="2" t="n">
        <f>HYPERLINK("https://patents.google.com/patent/US20120020921","Google")</f>
        <v>0.0</v>
      </c>
      <c r="G3349" s="2" t="n">
        <f>HYPERLINK("https://patentcenter.uspto.gov/applications/13117060","Patent Center")</f>
        <v>0.0</v>
      </c>
      <c r="H3349" s="2" t="n">
        <f>HYPERLINK("https://worldwide.espacenet.com/patent/search?q=US20120020921","Espacenet")</f>
        <v>0.0</v>
      </c>
      <c r="I3349" s="2" t="n">
        <f>HYPERLINK("https://ppubs.uspto.gov/pubwebapp/external.html?q=20120020921.pn.","USPTO")</f>
        <v>0.0</v>
      </c>
      <c r="J3349" s="2" t="n">
        <f>HYPERLINK("https://image-ppubs.uspto.gov/dirsearch-public/print/downloadPdf/20120020921","USPTO PDF")</f>
        <v>0.0</v>
      </c>
      <c r="K3349" s="2" t="n">
        <f>HYPERLINK("https://sectors.patentforecast.com/pmd/US20120020921","PMD")</f>
        <v>0.0</v>
      </c>
      <c r="L3349" s="2" t="n">
        <f>HYPERLINK("https://globaldossier.uspto.gov/result/application/US/13117060/1","US20120020921")</f>
        <v>0.0</v>
      </c>
      <c r="M3349" t="s">
        <v>21585</v>
      </c>
      <c r="N3349" t="s">
        <v>664</v>
      </c>
      <c r="O3349" t="s">
        <v>665</v>
      </c>
      <c r="P3349" t="s">
        <v>21586</v>
      </c>
      <c r="Q3349" s="3" t="n">
        <v>40689.0</v>
      </c>
      <c r="R3349" s="3" t="n">
        <v>40934.0</v>
      </c>
      <c r="S3349" s="3" t="n">
        <v>43952.45970679398</v>
      </c>
      <c r="T3349" s="3" t="n">
        <v>44638.65271974537</v>
      </c>
      <c r="U3349" t="s">
        <v>21587</v>
      </c>
      <c r="V3349" t="s">
        <v>21588</v>
      </c>
    </row>
    <row r="3350">
      <c r="A3350" t="s">
        <v>22</v>
      </c>
      <c r="B3350" t="s">
        <v>21589</v>
      </c>
      <c r="C3350" t="s">
        <v>24</v>
      </c>
      <c r="D3350" t="s">
        <v>25</v>
      </c>
      <c r="E3350" t="s">
        <v>21590</v>
      </c>
      <c r="F3350" s="2" t="n">
        <f>HYPERLINK("https://patents.google.com/patent/US20120016593","Google")</f>
        <v>0.0</v>
      </c>
      <c r="G3350" s="2" t="n">
        <f>HYPERLINK("https://patentcenter.uspto.gov/applications/13128481","Patent Center")</f>
        <v>0.0</v>
      </c>
      <c r="H3350" s="2" t="n">
        <f>HYPERLINK("https://worldwide.espacenet.com/patent/search?q=US20120016593","Espacenet")</f>
        <v>0.0</v>
      </c>
      <c r="I3350" s="2" t="n">
        <f>HYPERLINK("https://ppubs.uspto.gov/pubwebapp/external.html?q=20120016593.pn.","USPTO")</f>
        <v>0.0</v>
      </c>
      <c r="J3350" s="2" t="n">
        <f>HYPERLINK("https://image-ppubs.uspto.gov/dirsearch-public/print/downloadPdf/20120016593","USPTO PDF")</f>
        <v>0.0</v>
      </c>
      <c r="K3350" s="2" t="n">
        <f>HYPERLINK("https://sectors.patentforecast.com/pmd/US20120016593","PMD")</f>
        <v>0.0</v>
      </c>
      <c r="L3350" s="2" t="n">
        <f>HYPERLINK("https://globaldossier.uspto.gov/result/application/US/13128481/1","US20120016593")</f>
        <v>0.0</v>
      </c>
      <c r="M3350" t="s">
        <v>21591</v>
      </c>
      <c r="N3350" t="s">
        <v>21592</v>
      </c>
      <c r="O3350" t="s">
        <v>21592</v>
      </c>
      <c r="P3350" t="s">
        <v>21593</v>
      </c>
      <c r="Q3350" s="3" t="n">
        <v>40129.0</v>
      </c>
      <c r="R3350" s="3" t="n">
        <v>40927.0</v>
      </c>
      <c r="S3350" s="3" t="n">
        <v>43266.45737118056</v>
      </c>
      <c r="T3350" s="3" t="n">
        <v>43901.72156359954</v>
      </c>
      <c r="U3350" t="s">
        <v>21594</v>
      </c>
      <c r="V3350" t="s">
        <v>21595</v>
      </c>
    </row>
    <row r="3351">
      <c r="A3351" t="s">
        <v>22</v>
      </c>
      <c r="B3351" t="s">
        <v>21596</v>
      </c>
      <c r="C3351" t="s">
        <v>24</v>
      </c>
      <c r="D3351" t="s">
        <v>25</v>
      </c>
      <c r="E3351" t="s">
        <v>21597</v>
      </c>
      <c r="F3351" s="2" t="n">
        <f>HYPERLINK("https://patents.google.com/patent/US20120015344","Google")</f>
        <v>0.0</v>
      </c>
      <c r="G3351" s="2" t="n">
        <f>HYPERLINK("https://patentcenter.uspto.gov/applications/13068427","Patent Center")</f>
        <v>0.0</v>
      </c>
      <c r="H3351" s="2" t="n">
        <f>HYPERLINK("https://worldwide.espacenet.com/patent/search?q=US20120015344","Espacenet")</f>
        <v>0.0</v>
      </c>
      <c r="I3351" s="2" t="n">
        <f>HYPERLINK("https://ppubs.uspto.gov/pubwebapp/external.html?q=20120015344.pn.","USPTO")</f>
        <v>0.0</v>
      </c>
      <c r="J3351" s="2" t="n">
        <f>HYPERLINK("https://image-ppubs.uspto.gov/dirsearch-public/print/downloadPdf/20120015344","USPTO PDF")</f>
        <v>0.0</v>
      </c>
      <c r="K3351" s="2" t="n">
        <f>HYPERLINK("https://sectors.patentforecast.com/pmd/US20120015344","PMD")</f>
        <v>0.0</v>
      </c>
      <c r="L3351" s="2" t="n">
        <f>HYPERLINK("https://globaldossier.uspto.gov/result/application/US/13068427/1","US20120015344")</f>
        <v>0.0</v>
      </c>
      <c r="M3351" t="s">
        <v>21598</v>
      </c>
      <c r="N3351" t="s">
        <v>21599</v>
      </c>
      <c r="O3351" t="s">
        <v>21599</v>
      </c>
      <c r="P3351" t="s">
        <v>21600</v>
      </c>
      <c r="Q3351" s="3" t="n">
        <v>40674.0</v>
      </c>
      <c r="R3351" s="3" t="n">
        <v>40927.0</v>
      </c>
      <c r="S3351" s="3" t="n">
        <v>43900.437389907405</v>
      </c>
      <c r="T3351" s="3" t="n">
        <v>43901.72156435185</v>
      </c>
      <c r="U3351" t="s">
        <v>21601</v>
      </c>
      <c r="V3351" t="s">
        <v>21602</v>
      </c>
    </row>
    <row r="3352">
      <c r="A3352" t="s">
        <v>22</v>
      </c>
      <c r="B3352" t="s">
        <v>21603</v>
      </c>
      <c r="C3352" t="s">
        <v>60</v>
      </c>
      <c r="D3352" t="s">
        <v>696</v>
      </c>
      <c r="E3352" t="s">
        <v>21604</v>
      </c>
      <c r="F3352" s="2" t="n">
        <f>HYPERLINK("https://patents.google.com/patent/US20120014955","Google")</f>
        <v>0.0</v>
      </c>
      <c r="G3352" s="2" t="n">
        <f>HYPERLINK("https://patentcenter.uspto.gov/applications/13240181","Patent Center")</f>
        <v>0.0</v>
      </c>
      <c r="H3352" s="2" t="n">
        <f>HYPERLINK("https://worldwide.espacenet.com/patent/search?q=US20120014955","Espacenet")</f>
        <v>0.0</v>
      </c>
      <c r="I3352" s="2" t="n">
        <f>HYPERLINK("https://ppubs.uspto.gov/pubwebapp/external.html?q=20120014955.pn.","USPTO")</f>
        <v>0.0</v>
      </c>
      <c r="J3352" s="2" t="n">
        <f>HYPERLINK("https://image-ppubs.uspto.gov/dirsearch-public/print/downloadPdf/20120014955","USPTO PDF")</f>
        <v>0.0</v>
      </c>
      <c r="K3352" s="2" t="n">
        <f>HYPERLINK("https://sectors.patentforecast.com/pmd/US20120014955","PMD")</f>
        <v>0.0</v>
      </c>
      <c r="L3352" s="2" t="n">
        <f>HYPERLINK("https://globaldossier.uspto.gov/result/application/US/13240181/1","US20120014955")</f>
        <v>0.0</v>
      </c>
      <c r="M3352" t="s">
        <v>21605</v>
      </c>
      <c r="N3352" t="s">
        <v>16927</v>
      </c>
      <c r="O3352" t="s">
        <v>16928</v>
      </c>
      <c r="P3352" t="s">
        <v>21242</v>
      </c>
      <c r="Q3352" s="3" t="n">
        <v>40808.0</v>
      </c>
      <c r="R3352" s="3" t="n">
        <v>40927.0</v>
      </c>
      <c r="S3352" s="3" t="n">
        <v>43966.48296498843</v>
      </c>
      <c r="T3352" s="3" t="n">
        <v>44643.44490069444</v>
      </c>
      <c r="U3352" t="s">
        <v>21606</v>
      </c>
      <c r="V3352" t="s">
        <v>17130</v>
      </c>
    </row>
    <row r="3353">
      <c r="A3353" t="s">
        <v>22</v>
      </c>
      <c r="B3353" t="s">
        <v>21607</v>
      </c>
      <c r="C3353" t="s">
        <v>60</v>
      </c>
      <c r="D3353" t="s">
        <v>77</v>
      </c>
      <c r="E3353" t="s">
        <v>21232</v>
      </c>
      <c r="F3353" s="2" t="n">
        <f>HYPERLINK("https://patents.google.com/patent/US20120009671","Google")</f>
        <v>0.0</v>
      </c>
      <c r="G3353" s="2" t="n">
        <f>HYPERLINK("https://patentcenter.uspto.gov/applications/13178395","Patent Center")</f>
        <v>0.0</v>
      </c>
      <c r="H3353" s="2" t="n">
        <f>HYPERLINK("https://worldwide.espacenet.com/patent/search?q=US20120009671","Espacenet")</f>
        <v>0.0</v>
      </c>
      <c r="I3353" s="2" t="n">
        <f>HYPERLINK("https://ppubs.uspto.gov/pubwebapp/external.html?q=20120009671.pn.","USPTO")</f>
        <v>0.0</v>
      </c>
      <c r="J3353" s="2" t="n">
        <f>HYPERLINK("https://image-ppubs.uspto.gov/dirsearch-public/print/downloadPdf/20120009671","USPTO PDF")</f>
        <v>0.0</v>
      </c>
      <c r="K3353" s="2" t="n">
        <f>HYPERLINK("https://sectors.patentforecast.com/pmd/US20120009671","PMD")</f>
        <v>0.0</v>
      </c>
      <c r="L3353" s="2" t="n">
        <f>HYPERLINK("https://globaldossier.uspto.gov/result/application/US/13178395/1","US20120009671")</f>
        <v>0.0</v>
      </c>
      <c r="M3353" t="s">
        <v>21608</v>
      </c>
      <c r="N3353" t="s">
        <v>16801</v>
      </c>
      <c r="O3353" t="s">
        <v>16802</v>
      </c>
      <c r="P3353" t="s">
        <v>21609</v>
      </c>
      <c r="Q3353" s="3" t="n">
        <v>40731.0</v>
      </c>
      <c r="R3353" s="3" t="n">
        <v>40920.0</v>
      </c>
      <c r="S3353" s="3" t="n">
        <v>43985.66955119213</v>
      </c>
      <c r="T3353" s="3" t="n">
        <v>43985.67861778935</v>
      </c>
      <c r="U3353" t="s">
        <v>21610</v>
      </c>
      <c r="V3353" t="s">
        <v>21611</v>
      </c>
    </row>
    <row r="3354">
      <c r="A3354" t="s">
        <v>22</v>
      </c>
      <c r="B3354" t="s">
        <v>21612</v>
      </c>
      <c r="C3354" t="s">
        <v>132</v>
      </c>
      <c r="D3354" t="s">
        <v>1265</v>
      </c>
      <c r="E3354" t="s">
        <v>21121</v>
      </c>
      <c r="F3354" s="2" t="n">
        <f>HYPERLINK("https://patents.google.com/patent/US20120009215","Google")</f>
        <v>0.0</v>
      </c>
      <c r="G3354" s="2" t="n">
        <f>HYPERLINK("https://patentcenter.uspto.gov/applications/13230203","Patent Center")</f>
        <v>0.0</v>
      </c>
      <c r="H3354" s="2" t="n">
        <f>HYPERLINK("https://worldwide.espacenet.com/patent/search?q=US20120009215","Espacenet")</f>
        <v>0.0</v>
      </c>
      <c r="I3354" s="2" t="n">
        <f>HYPERLINK("https://ppubs.uspto.gov/pubwebapp/external.html?q=20120009215.pn.","USPTO")</f>
        <v>0.0</v>
      </c>
      <c r="J3354" s="2" t="n">
        <f>HYPERLINK("https://image-ppubs.uspto.gov/dirsearch-public/print/downloadPdf/20120009215","USPTO PDF")</f>
        <v>0.0</v>
      </c>
      <c r="K3354" s="2" t="n">
        <f>HYPERLINK("https://sectors.patentforecast.com/pmd/US20120009215","PMD")</f>
        <v>0.0</v>
      </c>
      <c r="L3354" s="2" t="n">
        <f>HYPERLINK("https://globaldossier.uspto.gov/result/application/US/13230203/1","US20120009215")</f>
        <v>0.0</v>
      </c>
      <c r="M3354" t="s">
        <v>21613</v>
      </c>
      <c r="N3354" t="s">
        <v>21123</v>
      </c>
      <c r="O3354" t="s">
        <v>21124</v>
      </c>
      <c r="P3354" t="s">
        <v>21573</v>
      </c>
      <c r="Q3354" s="3" t="n">
        <v>40798.0</v>
      </c>
      <c r="R3354" s="3" t="n">
        <v>40920.0</v>
      </c>
      <c r="S3354" s="3" t="n">
        <v>43900.437389907405</v>
      </c>
      <c r="T3354" s="3" t="n">
        <v>43903.48463238426</v>
      </c>
      <c r="U3354" t="s">
        <v>21126</v>
      </c>
      <c r="V3354" t="s">
        <v>21127</v>
      </c>
    </row>
    <row r="3355">
      <c r="A3355" t="s">
        <v>22</v>
      </c>
      <c r="B3355" t="s">
        <v>21614</v>
      </c>
      <c r="C3355" t="s">
        <v>60</v>
      </c>
      <c r="D3355" t="s">
        <v>61</v>
      </c>
      <c r="E3355" t="s">
        <v>20681</v>
      </c>
      <c r="F3355" s="2" t="n">
        <f>HYPERLINK("https://patents.google.com/patent/US20120009147","Google")</f>
        <v>0.0</v>
      </c>
      <c r="G3355" s="2" t="n">
        <f>HYPERLINK("https://patentcenter.uspto.gov/applications/13050820","Patent Center")</f>
        <v>0.0</v>
      </c>
      <c r="H3355" s="2" t="n">
        <f>HYPERLINK("https://worldwide.espacenet.com/patent/search?q=US20120009147","Espacenet")</f>
        <v>0.0</v>
      </c>
      <c r="I3355" s="2" t="n">
        <f>HYPERLINK("https://ppubs.uspto.gov/pubwebapp/external.html?q=20120009147.pn.","USPTO")</f>
        <v>0.0</v>
      </c>
      <c r="J3355" s="2" t="n">
        <f>HYPERLINK("https://image-ppubs.uspto.gov/dirsearch-public/print/downloadPdf/20120009147","USPTO PDF")</f>
        <v>0.0</v>
      </c>
      <c r="K3355" s="2" t="n">
        <f>HYPERLINK("https://sectors.patentforecast.com/pmd/US20120009147","PMD")</f>
        <v>0.0</v>
      </c>
      <c r="L3355" s="2" t="n">
        <f>HYPERLINK("https://globaldossier.uspto.gov/result/application/US/13050820/1","US20120009147")</f>
        <v>0.0</v>
      </c>
      <c r="M3355" t="s">
        <v>21615</v>
      </c>
      <c r="N3355" t="s">
        <v>664</v>
      </c>
      <c r="O3355" t="s">
        <v>665</v>
      </c>
      <c r="P3355" t="s">
        <v>21616</v>
      </c>
      <c r="Q3355" s="3" t="n">
        <v>40619.0</v>
      </c>
      <c r="R3355" s="3" t="n">
        <v>40920.0</v>
      </c>
      <c r="S3355" s="3" t="n">
        <v>43952.45970679398</v>
      </c>
      <c r="T3355" s="3" t="n">
        <v>44638.65072081018</v>
      </c>
      <c r="U3355" t="s">
        <v>21617</v>
      </c>
      <c r="V3355" t="s">
        <v>21618</v>
      </c>
    </row>
    <row r="3356">
      <c r="A3356" t="s">
        <v>22</v>
      </c>
      <c r="B3356" t="s">
        <v>21619</v>
      </c>
      <c r="C3356" t="s">
        <v>60</v>
      </c>
      <c r="D3356" t="s">
        <v>61</v>
      </c>
      <c r="E3356" t="s">
        <v>21620</v>
      </c>
      <c r="F3356" s="2" t="n">
        <f>HYPERLINK("https://patents.google.com/patent/US20120009130","Google")</f>
        <v>0.0</v>
      </c>
      <c r="G3356" s="2" t="n">
        <f>HYPERLINK("https://patentcenter.uspto.gov/applications/13102808","Patent Center")</f>
        <v>0.0</v>
      </c>
      <c r="H3356" s="2" t="n">
        <f>HYPERLINK("https://worldwide.espacenet.com/patent/search?q=US20120009130","Espacenet")</f>
        <v>0.0</v>
      </c>
      <c r="I3356" s="2" t="n">
        <f>HYPERLINK("https://ppubs.uspto.gov/pubwebapp/external.html?q=20120009130.pn.","USPTO")</f>
        <v>0.0</v>
      </c>
      <c r="J3356" s="2" t="n">
        <f>HYPERLINK("https://image-ppubs.uspto.gov/dirsearch-public/print/downloadPdf/20120009130","USPTO PDF")</f>
        <v>0.0</v>
      </c>
      <c r="K3356" s="2" t="n">
        <f>HYPERLINK("https://sectors.patentforecast.com/pmd/US20120009130","PMD")</f>
        <v>0.0</v>
      </c>
      <c r="L3356" s="2" t="n">
        <f>HYPERLINK("https://globaldossier.uspto.gov/result/application/US/13102808/1","US20120009130")</f>
        <v>0.0</v>
      </c>
      <c r="M3356" t="s">
        <v>21621</v>
      </c>
      <c r="N3356" t="s">
        <v>21622</v>
      </c>
      <c r="O3356" t="s">
        <v>21623</v>
      </c>
      <c r="P3356" t="s">
        <v>21624</v>
      </c>
      <c r="Q3356" s="3" t="n">
        <v>40669.0</v>
      </c>
      <c r="R3356" s="3" t="n">
        <v>40920.0</v>
      </c>
      <c r="S3356" s="3" t="n">
        <v>43900.437389907405</v>
      </c>
      <c r="T3356" s="3" t="n">
        <v>43906.37980549769</v>
      </c>
      <c r="U3356" t="s">
        <v>21625</v>
      </c>
      <c r="V3356" t="s">
        <v>21626</v>
      </c>
    </row>
    <row r="3357">
      <c r="A3357" t="s">
        <v>22</v>
      </c>
      <c r="B3357" t="s">
        <v>21627</v>
      </c>
      <c r="C3357" t="s">
        <v>60</v>
      </c>
      <c r="D3357" t="s">
        <v>61</v>
      </c>
      <c r="E3357" t="s">
        <v>18186</v>
      </c>
      <c r="F3357" s="2" t="n">
        <f>HYPERLINK("https://patents.google.com/patent/US20120003215","Google")</f>
        <v>0.0</v>
      </c>
      <c r="G3357" s="2" t="n">
        <f>HYPERLINK("https://patentcenter.uspto.gov/applications/13167618","Patent Center")</f>
        <v>0.0</v>
      </c>
      <c r="H3357" s="2" t="n">
        <f>HYPERLINK("https://worldwide.espacenet.com/patent/search?q=US20120003215","Espacenet")</f>
        <v>0.0</v>
      </c>
      <c r="I3357" s="2" t="n">
        <f>HYPERLINK("https://ppubs.uspto.gov/pubwebapp/external.html?q=20120003215.pn.","USPTO")</f>
        <v>0.0</v>
      </c>
      <c r="J3357" s="2" t="n">
        <f>HYPERLINK("https://image-ppubs.uspto.gov/dirsearch-public/print/downloadPdf/20120003215","USPTO PDF")</f>
        <v>0.0</v>
      </c>
      <c r="K3357" s="2" t="n">
        <f>HYPERLINK("https://sectors.patentforecast.com/pmd/US20120003215","PMD")</f>
        <v>0.0</v>
      </c>
      <c r="L3357" s="2" t="n">
        <f>HYPERLINK("https://globaldossier.uspto.gov/result/application/US/13167618/1","US20120003215")</f>
        <v>0.0</v>
      </c>
      <c r="M3357" t="s">
        <v>21628</v>
      </c>
      <c r="N3357" t="s">
        <v>664</v>
      </c>
      <c r="O3357" t="s">
        <v>665</v>
      </c>
      <c r="P3357" t="s">
        <v>21629</v>
      </c>
      <c r="Q3357" s="3" t="n">
        <v>40717.0</v>
      </c>
      <c r="R3357" s="3" t="n">
        <v>40913.0</v>
      </c>
      <c r="S3357" s="3" t="n">
        <v>43952.45970679398</v>
      </c>
      <c r="T3357" s="3" t="n">
        <v>44638.65271974537</v>
      </c>
      <c r="U3357" t="s">
        <v>21630</v>
      </c>
      <c r="V3357" t="s">
        <v>18190</v>
      </c>
    </row>
    <row r="3358">
      <c r="A3358" t="s">
        <v>22</v>
      </c>
      <c r="B3358" t="s">
        <v>21631</v>
      </c>
      <c r="C3358" t="s">
        <v>24</v>
      </c>
      <c r="D3358" t="s">
        <v>204</v>
      </c>
      <c r="E3358" t="s">
        <v>21632</v>
      </c>
      <c r="F3358" s="2" t="n">
        <f>HYPERLINK("https://patents.google.com/patent/US20110313783","Google")</f>
        <v>0.0</v>
      </c>
      <c r="G3358" s="2" t="n">
        <f>HYPERLINK("https://patentcenter.uspto.gov/applications/13010495","Patent Center")</f>
        <v>0.0</v>
      </c>
      <c r="H3358" s="2" t="n">
        <f>HYPERLINK("https://worldwide.espacenet.com/patent/search?q=US20110313783","Espacenet")</f>
        <v>0.0</v>
      </c>
      <c r="I3358" s="2" t="n">
        <f>HYPERLINK("https://ppubs.uspto.gov/pubwebapp/external.html?q=20110313783.pn.","USPTO")</f>
        <v>0.0</v>
      </c>
      <c r="J3358" s="2" t="n">
        <f>HYPERLINK("https://image-ppubs.uspto.gov/dirsearch-public/print/downloadPdf/20110313783","USPTO PDF")</f>
        <v>0.0</v>
      </c>
      <c r="K3358" s="2" t="n">
        <f>HYPERLINK("https://sectors.patentforecast.com/pmd/US20110313783","PMD")</f>
        <v>0.0</v>
      </c>
      <c r="L3358" s="2" t="n">
        <f>HYPERLINK("https://globaldossier.uspto.gov/result/application/US/13010495/1","US20110313783")</f>
        <v>0.0</v>
      </c>
      <c r="M3358" t="s">
        <v>21633</v>
      </c>
      <c r="N3358" t="s">
        <v>21634</v>
      </c>
      <c r="O3358" t="s">
        <v>21635</v>
      </c>
      <c r="P3358" t="s">
        <v>21636</v>
      </c>
      <c r="Q3358" s="3" t="n">
        <v>40563.0</v>
      </c>
      <c r="R3358" s="3" t="n">
        <v>40899.0</v>
      </c>
      <c r="S3358" s="3" t="n">
        <v>43266.45737185185</v>
      </c>
      <c r="T3358" s="3" t="n">
        <v>43903.484632291664</v>
      </c>
      <c r="U3358" t="s">
        <v>21637</v>
      </c>
      <c r="V3358" t="s">
        <v>21638</v>
      </c>
    </row>
    <row r="3359">
      <c r="A3359" t="s">
        <v>22</v>
      </c>
      <c r="B3359" t="s">
        <v>21639</v>
      </c>
      <c r="C3359" t="s">
        <v>132</v>
      </c>
      <c r="D3359" t="s">
        <v>1265</v>
      </c>
      <c r="E3359" t="s">
        <v>21640</v>
      </c>
      <c r="F3359" s="2" t="n">
        <f>HYPERLINK("https://patents.google.com/patent/US20110305748","Google")</f>
        <v>0.0</v>
      </c>
      <c r="G3359" s="2" t="n">
        <f>HYPERLINK("https://patentcenter.uspto.gov/applications/13045245","Patent Center")</f>
        <v>0.0</v>
      </c>
      <c r="H3359" s="2" t="n">
        <f>HYPERLINK("https://worldwide.espacenet.com/patent/search?q=US20110305748","Espacenet")</f>
        <v>0.0</v>
      </c>
      <c r="I3359" s="2" t="n">
        <f>HYPERLINK("https://ppubs.uspto.gov/pubwebapp/external.html?q=20110305748.pn.","USPTO")</f>
        <v>0.0</v>
      </c>
      <c r="J3359" s="2" t="n">
        <f>HYPERLINK("https://image-ppubs.uspto.gov/dirsearch-public/print/downloadPdf/20110305748","USPTO PDF")</f>
        <v>0.0</v>
      </c>
      <c r="K3359" s="2" t="n">
        <f>HYPERLINK("https://sectors.patentforecast.com/pmd/US20110305748","PMD")</f>
        <v>0.0</v>
      </c>
      <c r="L3359" s="2" t="n">
        <f>HYPERLINK("https://globaldossier.uspto.gov/result/application/US/13045245/1","US20110305748")</f>
        <v>0.0</v>
      </c>
      <c r="M3359" t="s">
        <v>21641</v>
      </c>
      <c r="N3359" t="s">
        <v>21642</v>
      </c>
      <c r="O3359" t="s">
        <v>21643</v>
      </c>
      <c r="P3359" t="s">
        <v>21644</v>
      </c>
      <c r="Q3359" s="3" t="n">
        <v>40612.0</v>
      </c>
      <c r="R3359" s="3" t="n">
        <v>40892.0</v>
      </c>
      <c r="S3359" s="3" t="n">
        <v>43900.437389907405</v>
      </c>
      <c r="T3359" s="3" t="n">
        <v>43901.72156375</v>
      </c>
      <c r="U3359" t="s">
        <v>21645</v>
      </c>
      <c r="V3359" t="s">
        <v>21646</v>
      </c>
    </row>
    <row r="3360">
      <c r="A3360" t="s">
        <v>22</v>
      </c>
      <c r="B3360" t="s">
        <v>21647</v>
      </c>
      <c r="C3360" t="s">
        <v>24</v>
      </c>
      <c r="D3360" t="s">
        <v>204</v>
      </c>
      <c r="E3360" t="s">
        <v>21648</v>
      </c>
      <c r="F3360" s="2" t="n">
        <f>HYPERLINK("https://patents.google.com/patent/US20110294105","Google")</f>
        <v>0.0</v>
      </c>
      <c r="G3360" s="2" t="n">
        <f>HYPERLINK("https://patentcenter.uspto.gov/applications/12801156","Patent Center")</f>
        <v>0.0</v>
      </c>
      <c r="H3360" s="2" t="n">
        <f>HYPERLINK("https://worldwide.espacenet.com/patent/search?q=US20110294105","Espacenet")</f>
        <v>0.0</v>
      </c>
      <c r="I3360" s="2" t="n">
        <f>HYPERLINK("https://ppubs.uspto.gov/pubwebapp/external.html?q=20110294105.pn.","USPTO")</f>
        <v>0.0</v>
      </c>
      <c r="J3360" s="2" t="n">
        <f>HYPERLINK("https://image-ppubs.uspto.gov/dirsearch-public/print/downloadPdf/20110294105","USPTO PDF")</f>
        <v>0.0</v>
      </c>
      <c r="K3360" s="2" t="n">
        <f>HYPERLINK("https://sectors.patentforecast.com/pmd/US20110294105","PMD")</f>
        <v>0.0</v>
      </c>
      <c r="L3360" s="2" t="n">
        <f>HYPERLINK("https://globaldossier.uspto.gov/result/application/US/12801156/1","US20110294105")</f>
        <v>0.0</v>
      </c>
      <c r="M3360" t="s">
        <v>21649</v>
      </c>
      <c r="N3360" t="s">
        <v>20676</v>
      </c>
      <c r="O3360" t="s">
        <v>20676</v>
      </c>
      <c r="P3360" t="s">
        <v>20677</v>
      </c>
      <c r="Q3360" s="3" t="n">
        <v>40323.0</v>
      </c>
      <c r="R3360" s="3" t="n">
        <v>40878.0</v>
      </c>
      <c r="S3360" s="3" t="n">
        <v>43900.437389907405</v>
      </c>
      <c r="T3360" s="3" t="n">
        <v>43901.72156400463</v>
      </c>
      <c r="U3360" t="s">
        <v>20678</v>
      </c>
      <c r="V3360" t="s">
        <v>20679</v>
      </c>
    </row>
    <row r="3361">
      <c r="A3361" t="s">
        <v>22</v>
      </c>
      <c r="B3361" t="s">
        <v>21650</v>
      </c>
      <c r="C3361" t="s">
        <v>60</v>
      </c>
      <c r="D3361" t="s">
        <v>696</v>
      </c>
      <c r="E3361" t="s">
        <v>16925</v>
      </c>
      <c r="F3361" s="2" t="n">
        <f>HYPERLINK("https://patents.google.com/patent/US20110293622","Google")</f>
        <v>0.0</v>
      </c>
      <c r="G3361" s="2" t="n">
        <f>HYPERLINK("https://patentcenter.uspto.gov/applications/13152603","Patent Center")</f>
        <v>0.0</v>
      </c>
      <c r="H3361" s="2" t="n">
        <f>HYPERLINK("https://worldwide.espacenet.com/patent/search?q=US20110293622","Espacenet")</f>
        <v>0.0</v>
      </c>
      <c r="I3361" s="2" t="n">
        <f>HYPERLINK("https://ppubs.uspto.gov/pubwebapp/external.html?q=20110293622.pn.","USPTO")</f>
        <v>0.0</v>
      </c>
      <c r="J3361" s="2" t="n">
        <f>HYPERLINK("https://image-ppubs.uspto.gov/dirsearch-public/print/downloadPdf/20110293622","USPTO PDF")</f>
        <v>0.0</v>
      </c>
      <c r="K3361" s="2" t="n">
        <f>HYPERLINK("https://sectors.patentforecast.com/pmd/US20110293622","PMD")</f>
        <v>0.0</v>
      </c>
      <c r="L3361" s="2" t="n">
        <f>HYPERLINK("https://globaldossier.uspto.gov/result/application/US/13152603/1","US20110293622")</f>
        <v>0.0</v>
      </c>
      <c r="M3361" t="s">
        <v>21651</v>
      </c>
      <c r="N3361" t="s">
        <v>16927</v>
      </c>
      <c r="O3361" t="s">
        <v>16928</v>
      </c>
      <c r="P3361" t="s">
        <v>21652</v>
      </c>
      <c r="Q3361" s="3" t="n">
        <v>40697.0</v>
      </c>
      <c r="R3361" s="3" t="n">
        <v>40878.0</v>
      </c>
      <c r="S3361" s="3" t="n">
        <v>43966.48296498843</v>
      </c>
      <c r="T3361" s="3" t="n">
        <v>44643.44490069444</v>
      </c>
      <c r="U3361" t="s">
        <v>21653</v>
      </c>
      <c r="V3361" t="s">
        <v>16993</v>
      </c>
    </row>
    <row r="3362">
      <c r="A3362" t="s">
        <v>22</v>
      </c>
      <c r="B3362" t="s">
        <v>21654</v>
      </c>
      <c r="C3362" t="s">
        <v>60</v>
      </c>
      <c r="D3362" t="s">
        <v>61</v>
      </c>
      <c r="E3362" t="s">
        <v>21655</v>
      </c>
      <c r="F3362" s="2" t="n">
        <f>HYPERLINK("https://patents.google.com/patent/US20110293563","Google")</f>
        <v>0.0</v>
      </c>
      <c r="G3362" s="2" t="n">
        <f>HYPERLINK("https://patentcenter.uspto.gov/applications/13196117","Patent Center")</f>
        <v>0.0</v>
      </c>
      <c r="H3362" s="2" t="n">
        <f>HYPERLINK("https://worldwide.espacenet.com/patent/search?q=US20110293563","Espacenet")</f>
        <v>0.0</v>
      </c>
      <c r="I3362" s="2" t="n">
        <f>HYPERLINK("https://ppubs.uspto.gov/pubwebapp/external.html?q=20110293563.pn.","USPTO")</f>
        <v>0.0</v>
      </c>
      <c r="J3362" s="2" t="n">
        <f>HYPERLINK("https://image-ppubs.uspto.gov/dirsearch-public/print/downloadPdf/20110293563","USPTO PDF")</f>
        <v>0.0</v>
      </c>
      <c r="K3362" s="2" t="n">
        <f>HYPERLINK("https://sectors.patentforecast.com/pmd/US20110293563","PMD")</f>
        <v>0.0</v>
      </c>
      <c r="L3362" s="2" t="n">
        <f>HYPERLINK("https://globaldossier.uspto.gov/result/application/US/13196117/1","US20110293563")</f>
        <v>0.0</v>
      </c>
      <c r="M3362" t="s">
        <v>21656</v>
      </c>
      <c r="N3362" t="s">
        <v>664</v>
      </c>
      <c r="O3362" t="s">
        <v>665</v>
      </c>
      <c r="P3362" t="s">
        <v>21657</v>
      </c>
      <c r="Q3362" s="3" t="n">
        <v>40757.0</v>
      </c>
      <c r="R3362" s="3" t="n">
        <v>40878.0</v>
      </c>
      <c r="S3362" s="3" t="n">
        <v>43952.45970679398</v>
      </c>
      <c r="T3362" s="3" t="n">
        <v>44638.65271974537</v>
      </c>
      <c r="U3362" t="s">
        <v>21658</v>
      </c>
      <c r="V3362" t="s">
        <v>20933</v>
      </c>
    </row>
    <row r="3363">
      <c r="A3363" t="s">
        <v>22</v>
      </c>
      <c r="B3363" t="s">
        <v>21659</v>
      </c>
      <c r="C3363" t="s">
        <v>24</v>
      </c>
      <c r="D3363" t="s">
        <v>100</v>
      </c>
      <c r="E3363" t="s">
        <v>19688</v>
      </c>
      <c r="F3363" s="2" t="n">
        <f>HYPERLINK("https://patents.google.com/patent/US20110293542","Google")</f>
        <v>0.0</v>
      </c>
      <c r="G3363" s="2" t="n">
        <f>HYPERLINK("https://patentcenter.uspto.gov/applications/13142088","Patent Center")</f>
        <v>0.0</v>
      </c>
      <c r="H3363" s="2" t="n">
        <f>HYPERLINK("https://worldwide.espacenet.com/patent/search?q=US20110293542","Espacenet")</f>
        <v>0.0</v>
      </c>
      <c r="I3363" s="2" t="n">
        <f>HYPERLINK("https://ppubs.uspto.gov/pubwebapp/external.html?q=20110293542.pn.","USPTO")</f>
        <v>0.0</v>
      </c>
      <c r="J3363" s="2" t="n">
        <f>HYPERLINK("https://image-ppubs.uspto.gov/dirsearch-public/print/downloadPdf/20110293542","USPTO PDF")</f>
        <v>0.0</v>
      </c>
      <c r="K3363" s="2" t="n">
        <f>HYPERLINK("https://sectors.patentforecast.com/pmd/US20110293542","PMD")</f>
        <v>0.0</v>
      </c>
      <c r="L3363" s="2" t="n">
        <f>HYPERLINK("https://globaldossier.uspto.gov/result/application/US/13142088/1","US20110293542")</f>
        <v>0.0</v>
      </c>
      <c r="M3363" t="s">
        <v>21660</v>
      </c>
      <c r="N3363" t="s">
        <v>19690</v>
      </c>
      <c r="O3363" t="s">
        <v>19690</v>
      </c>
      <c r="P3363" t="s">
        <v>21661</v>
      </c>
      <c r="Q3363" s="3" t="n">
        <v>40122.0</v>
      </c>
      <c r="R3363" s="3" t="n">
        <v>40878.0</v>
      </c>
      <c r="S3363" s="3" t="n">
        <v>43957.46385291667</v>
      </c>
      <c r="T3363" s="3" t="n">
        <v>44643.446655405096</v>
      </c>
      <c r="U3363" t="s">
        <v>19692</v>
      </c>
      <c r="V3363" t="s">
        <v>19693</v>
      </c>
    </row>
    <row r="3364">
      <c r="A3364" t="s">
        <v>22</v>
      </c>
      <c r="B3364" t="s">
        <v>21662</v>
      </c>
      <c r="C3364" t="s">
        <v>60</v>
      </c>
      <c r="D3364" t="s">
        <v>61</v>
      </c>
      <c r="E3364" t="s">
        <v>20438</v>
      </c>
      <c r="F3364" s="2" t="n">
        <f>HYPERLINK("https://patents.google.com/patent/US20110288053","Google")</f>
        <v>0.0</v>
      </c>
      <c r="G3364" s="2" t="n">
        <f>HYPERLINK("https://patentcenter.uspto.gov/applications/13187293","Patent Center")</f>
        <v>0.0</v>
      </c>
      <c r="H3364" s="2" t="n">
        <f>HYPERLINK("https://worldwide.espacenet.com/patent/search?q=US20110288053","Espacenet")</f>
        <v>0.0</v>
      </c>
      <c r="I3364" s="2" t="n">
        <f>HYPERLINK("https://ppubs.uspto.gov/pubwebapp/external.html?q=20110288053.pn.","USPTO")</f>
        <v>0.0</v>
      </c>
      <c r="J3364" s="2" t="n">
        <f>HYPERLINK("https://image-ppubs.uspto.gov/dirsearch-public/print/downloadPdf/20110288053","USPTO PDF")</f>
        <v>0.0</v>
      </c>
      <c r="K3364" s="2" t="n">
        <f>HYPERLINK("https://sectors.patentforecast.com/pmd/US20110288053","PMD")</f>
        <v>0.0</v>
      </c>
      <c r="L3364" s="2" t="n">
        <f>HYPERLINK("https://globaldossier.uspto.gov/result/application/US/13187293/1","US20110288053")</f>
        <v>0.0</v>
      </c>
      <c r="M3364" t="s">
        <v>21663</v>
      </c>
      <c r="N3364" t="s">
        <v>664</v>
      </c>
      <c r="O3364" t="s">
        <v>665</v>
      </c>
      <c r="P3364" t="s">
        <v>21664</v>
      </c>
      <c r="Q3364" s="3" t="n">
        <v>40744.0</v>
      </c>
      <c r="R3364" s="3" t="n">
        <v>40871.0</v>
      </c>
      <c r="S3364" s="3" t="n">
        <v>43950.647371782405</v>
      </c>
      <c r="T3364" s="3" t="n">
        <v>44638.65271974537</v>
      </c>
      <c r="U3364" t="s">
        <v>21665</v>
      </c>
      <c r="V3364" t="s">
        <v>20442</v>
      </c>
    </row>
    <row r="3365">
      <c r="A3365" t="s">
        <v>22</v>
      </c>
      <c r="B3365" t="s">
        <v>21666</v>
      </c>
      <c r="C3365" t="s">
        <v>132</v>
      </c>
      <c r="D3365" t="s">
        <v>1265</v>
      </c>
      <c r="E3365" t="s">
        <v>21667</v>
      </c>
      <c r="F3365" s="2" t="n">
        <f>HYPERLINK("https://patents.google.com/patent/US20110287054","Google")</f>
        <v>0.0</v>
      </c>
      <c r="G3365" s="2" t="n">
        <f>HYPERLINK("https://patentcenter.uspto.gov/applications/13096180","Patent Center")</f>
        <v>0.0</v>
      </c>
      <c r="H3365" s="2" t="n">
        <f>HYPERLINK("https://worldwide.espacenet.com/patent/search?q=US20110287054","Espacenet")</f>
        <v>0.0</v>
      </c>
      <c r="I3365" s="2" t="n">
        <f>HYPERLINK("https://ppubs.uspto.gov/pubwebapp/external.html?q=20110287054.pn.","USPTO")</f>
        <v>0.0</v>
      </c>
      <c r="J3365" s="2" t="n">
        <f>HYPERLINK("https://image-ppubs.uspto.gov/dirsearch-public/print/downloadPdf/20110287054","USPTO PDF")</f>
        <v>0.0</v>
      </c>
      <c r="K3365" s="2" t="n">
        <f>HYPERLINK("https://sectors.patentforecast.com/pmd/US20110287054","PMD")</f>
        <v>0.0</v>
      </c>
      <c r="L3365" s="2" t="n">
        <f>HYPERLINK("https://globaldossier.uspto.gov/result/application/US/13096180/1","US20110287054")</f>
        <v>0.0</v>
      </c>
      <c r="M3365" t="s">
        <v>21668</v>
      </c>
      <c r="N3365" t="s">
        <v>21669</v>
      </c>
      <c r="O3365" t="s">
        <v>21670</v>
      </c>
      <c r="P3365" t="s">
        <v>21671</v>
      </c>
      <c r="Q3365" s="3" t="n">
        <v>40661.0</v>
      </c>
      <c r="R3365" s="3" t="n">
        <v>40871.0</v>
      </c>
      <c r="S3365" s="3" t="n">
        <v>43900.437389907405</v>
      </c>
      <c r="T3365" s="3" t="n">
        <v>43901.72156459491</v>
      </c>
      <c r="U3365" t="s">
        <v>21672</v>
      </c>
      <c r="V3365" t="s">
        <v>20495</v>
      </c>
    </row>
    <row r="3366">
      <c r="A3366" t="s">
        <v>22</v>
      </c>
      <c r="B3366" t="s">
        <v>21673</v>
      </c>
      <c r="C3366" t="s">
        <v>132</v>
      </c>
      <c r="D3366" t="s">
        <v>1265</v>
      </c>
      <c r="E3366" t="s">
        <v>21674</v>
      </c>
      <c r="F3366" s="2" t="n">
        <f>HYPERLINK("https://patents.google.com/patent/US20110262481","Google")</f>
        <v>0.0</v>
      </c>
      <c r="G3366" s="2" t="n">
        <f>HYPERLINK("https://patentcenter.uspto.gov/applications/13140395","Patent Center")</f>
        <v>0.0</v>
      </c>
      <c r="H3366" s="2" t="n">
        <f>HYPERLINK("https://worldwide.espacenet.com/patent/search?q=US20110262481","Espacenet")</f>
        <v>0.0</v>
      </c>
      <c r="I3366" s="2" t="n">
        <f>HYPERLINK("https://ppubs.uspto.gov/pubwebapp/external.html?q=20110262481.pn.","USPTO")</f>
        <v>0.0</v>
      </c>
      <c r="J3366" s="2" t="n">
        <f>HYPERLINK("https://image-ppubs.uspto.gov/dirsearch-public/print/downloadPdf/20110262481","USPTO PDF")</f>
        <v>0.0</v>
      </c>
      <c r="K3366" s="2" t="n">
        <f>HYPERLINK("https://sectors.patentforecast.com/pmd/US20110262481","PMD")</f>
        <v>0.0</v>
      </c>
      <c r="L3366" s="2" t="n">
        <f>HYPERLINK("https://globaldossier.uspto.gov/result/application/US/13140395/1","US20110262481")</f>
        <v>0.0</v>
      </c>
      <c r="M3366" t="s">
        <v>21675</v>
      </c>
      <c r="N3366" t="s">
        <v>21676</v>
      </c>
      <c r="O3366" t="s">
        <v>21677</v>
      </c>
      <c r="P3366" t="s">
        <v>21678</v>
      </c>
      <c r="Q3366" s="3" t="n">
        <v>40165.0</v>
      </c>
      <c r="R3366" s="3" t="n">
        <v>40843.0</v>
      </c>
      <c r="S3366" s="3" t="n">
        <v>43900.437389907405</v>
      </c>
      <c r="T3366" s="3" t="n">
        <v>43903.48463261574</v>
      </c>
      <c r="U3366" t="s">
        <v>21679</v>
      </c>
      <c r="V3366" t="s">
        <v>21680</v>
      </c>
    </row>
    <row r="3367">
      <c r="A3367" t="s">
        <v>22</v>
      </c>
      <c r="B3367" t="s">
        <v>21681</v>
      </c>
      <c r="C3367" t="s">
        <v>132</v>
      </c>
      <c r="D3367" t="s">
        <v>2629</v>
      </c>
      <c r="E3367" t="s">
        <v>21682</v>
      </c>
      <c r="F3367" s="2" t="n">
        <f>HYPERLINK("https://patents.google.com/patent/US20110262394","Google")</f>
        <v>0.0</v>
      </c>
      <c r="G3367" s="2" t="n">
        <f>HYPERLINK("https://patentcenter.uspto.gov/applications/13129599","Patent Center")</f>
        <v>0.0</v>
      </c>
      <c r="H3367" s="2" t="n">
        <f>HYPERLINK("https://worldwide.espacenet.com/patent/search?q=US20110262394","Espacenet")</f>
        <v>0.0</v>
      </c>
      <c r="I3367" s="2" t="n">
        <f>HYPERLINK("https://ppubs.uspto.gov/pubwebapp/external.html?q=20110262394.pn.","USPTO")</f>
        <v>0.0</v>
      </c>
      <c r="J3367" s="2" t="n">
        <f>HYPERLINK("https://image-ppubs.uspto.gov/dirsearch-public/print/downloadPdf/20110262394","USPTO PDF")</f>
        <v>0.0</v>
      </c>
      <c r="K3367" s="2" t="n">
        <f>HYPERLINK("https://sectors.patentforecast.com/pmd/US20110262394","PMD")</f>
        <v>0.0</v>
      </c>
      <c r="L3367" s="2" t="n">
        <f>HYPERLINK("https://globaldossier.uspto.gov/result/application/US/13129599/1","US20110262394")</f>
        <v>0.0</v>
      </c>
      <c r="M3367" t="s">
        <v>21683</v>
      </c>
      <c r="N3367" t="s">
        <v>10151</v>
      </c>
      <c r="O3367" t="s">
        <v>10152</v>
      </c>
      <c r="P3367" t="s">
        <v>21684</v>
      </c>
      <c r="Q3367" s="3" t="n">
        <v>40134.0</v>
      </c>
      <c r="R3367" s="3" t="n">
        <v>40843.0</v>
      </c>
      <c r="S3367" s="3" t="n">
        <v>43936.4604880787</v>
      </c>
      <c r="T3367" s="3" t="n">
        <v>44543.662437175924</v>
      </c>
      <c r="U3367" t="s">
        <v>21685</v>
      </c>
      <c r="V3367" t="s">
        <v>21686</v>
      </c>
    </row>
    <row r="3368">
      <c r="A3368" t="s">
        <v>22</v>
      </c>
      <c r="B3368" t="s">
        <v>21687</v>
      </c>
      <c r="C3368" t="s">
        <v>60</v>
      </c>
      <c r="D3368" t="s">
        <v>696</v>
      </c>
      <c r="E3368" t="s">
        <v>16957</v>
      </c>
      <c r="F3368" s="2" t="n">
        <f>HYPERLINK("https://patents.google.com/patent/US20110250201","Google")</f>
        <v>0.0</v>
      </c>
      <c r="G3368" s="2" t="n">
        <f>HYPERLINK("https://patentcenter.uspto.gov/applications/12624965","Patent Center")</f>
        <v>0.0</v>
      </c>
      <c r="H3368" s="2" t="n">
        <f>HYPERLINK("https://worldwide.espacenet.com/patent/search?q=US20110250201","Espacenet")</f>
        <v>0.0</v>
      </c>
      <c r="I3368" s="2" t="n">
        <f>HYPERLINK("https://ppubs.uspto.gov/pubwebapp/external.html?q=20110250201.pn.","USPTO")</f>
        <v>0.0</v>
      </c>
      <c r="J3368" s="2" t="n">
        <f>HYPERLINK("https://image-ppubs.uspto.gov/dirsearch-public/print/downloadPdf/20110250201","USPTO PDF")</f>
        <v>0.0</v>
      </c>
      <c r="K3368" s="2" t="n">
        <f>HYPERLINK("https://sectors.patentforecast.com/pmd/US20110250201","PMD")</f>
        <v>0.0</v>
      </c>
      <c r="L3368" s="2" t="n">
        <f>HYPERLINK("https://globaldossier.uspto.gov/result/application/US/12624965/1","US20110250201")</f>
        <v>0.0</v>
      </c>
      <c r="M3368" t="s">
        <v>21688</v>
      </c>
      <c r="N3368" t="s">
        <v>16927</v>
      </c>
      <c r="O3368" t="s">
        <v>16928</v>
      </c>
      <c r="P3368" t="s">
        <v>21689</v>
      </c>
      <c r="Q3368" s="3" t="n">
        <v>40141.0</v>
      </c>
      <c r="R3368" s="3" t="n">
        <v>40829.0</v>
      </c>
      <c r="S3368" s="3" t="n">
        <v>43966.48296498843</v>
      </c>
      <c r="T3368" s="3" t="n">
        <v>44643.44490069444</v>
      </c>
      <c r="U3368" t="s">
        <v>21690</v>
      </c>
      <c r="V3368" t="s">
        <v>16961</v>
      </c>
    </row>
    <row r="3369">
      <c r="A3369" t="s">
        <v>22</v>
      </c>
      <c r="B3369" t="s">
        <v>21691</v>
      </c>
      <c r="C3369" t="s">
        <v>132</v>
      </c>
      <c r="D3369" t="s">
        <v>1265</v>
      </c>
      <c r="E3369" t="s">
        <v>16152</v>
      </c>
      <c r="F3369" s="2" t="n">
        <f>HYPERLINK("https://patents.google.com/patent/US20110243987","Google")</f>
        <v>0.0</v>
      </c>
      <c r="G3369" s="2" t="n">
        <f>HYPERLINK("https://patentcenter.uspto.gov/applications/13163002","Patent Center")</f>
        <v>0.0</v>
      </c>
      <c r="H3369" s="2" t="n">
        <f>HYPERLINK("https://worldwide.espacenet.com/patent/search?q=US20110243987","Espacenet")</f>
        <v>0.0</v>
      </c>
      <c r="I3369" s="2" t="n">
        <f>HYPERLINK("https://ppubs.uspto.gov/pubwebapp/external.html?q=20110243987.pn.","USPTO")</f>
        <v>0.0</v>
      </c>
      <c r="J3369" s="2" t="n">
        <f>HYPERLINK("https://image-ppubs.uspto.gov/dirsearch-public/print/downloadPdf/20110243987","USPTO PDF")</f>
        <v>0.0</v>
      </c>
      <c r="K3369" s="2" t="n">
        <f>HYPERLINK("https://sectors.patentforecast.com/pmd/US20110243987","PMD")</f>
        <v>0.0</v>
      </c>
      <c r="L3369" s="2" t="n">
        <f>HYPERLINK("https://globaldossier.uspto.gov/result/application/US/13163002/1","US20110243987")</f>
        <v>0.0</v>
      </c>
      <c r="M3369" t="s">
        <v>21692</v>
      </c>
      <c r="N3369" t="s">
        <v>15147</v>
      </c>
      <c r="O3369" t="s">
        <v>15148</v>
      </c>
      <c r="P3369" t="s">
        <v>21693</v>
      </c>
      <c r="Q3369" s="3" t="n">
        <v>40711.0</v>
      </c>
      <c r="R3369" s="3" t="n">
        <v>40822.0</v>
      </c>
      <c r="S3369" s="3" t="n">
        <v>43900.437389907405</v>
      </c>
      <c r="T3369" s="3" t="n">
        <v>43903.48463252315</v>
      </c>
      <c r="U3369" t="s">
        <v>21694</v>
      </c>
      <c r="V3369" t="s">
        <v>16156</v>
      </c>
    </row>
    <row r="3370">
      <c r="A3370" t="s">
        <v>22</v>
      </c>
      <c r="B3370" t="s">
        <v>21695</v>
      </c>
      <c r="C3370" t="s">
        <v>132</v>
      </c>
      <c r="D3370" t="s">
        <v>1265</v>
      </c>
      <c r="E3370" t="s">
        <v>21696</v>
      </c>
      <c r="F3370" s="2" t="n">
        <f>HYPERLINK("https://patents.google.com/patent/US20110229518","Google")</f>
        <v>0.0</v>
      </c>
      <c r="G3370" s="2" t="n">
        <f>HYPERLINK("https://patentcenter.uspto.gov/applications/13131733","Patent Center")</f>
        <v>0.0</v>
      </c>
      <c r="H3370" s="2" t="n">
        <f>HYPERLINK("https://worldwide.espacenet.com/patent/search?q=US20110229518","Espacenet")</f>
        <v>0.0</v>
      </c>
      <c r="I3370" s="2" t="n">
        <f>HYPERLINK("https://ppubs.uspto.gov/pubwebapp/external.html?q=20110229518.pn.","USPTO")</f>
        <v>0.0</v>
      </c>
      <c r="J3370" s="2" t="n">
        <f>HYPERLINK("https://image-ppubs.uspto.gov/dirsearch-public/print/downloadPdf/20110229518","USPTO PDF")</f>
        <v>0.0</v>
      </c>
      <c r="K3370" s="2" t="n">
        <f>HYPERLINK("https://sectors.patentforecast.com/pmd/US20110229518","PMD")</f>
        <v>0.0</v>
      </c>
      <c r="L3370" s="2" t="n">
        <f>HYPERLINK("https://globaldossier.uspto.gov/result/application/US/13131733/1","US20110229518")</f>
        <v>0.0</v>
      </c>
      <c r="M3370" t="s">
        <v>21697</v>
      </c>
      <c r="N3370" t="s">
        <v>21698</v>
      </c>
      <c r="O3370" t="s">
        <v>21698</v>
      </c>
      <c r="P3370" t="s">
        <v>21699</v>
      </c>
      <c r="Q3370" s="3" t="n">
        <v>40144.0</v>
      </c>
      <c r="R3370" s="3" t="n">
        <v>40808.0</v>
      </c>
      <c r="S3370" s="3" t="n">
        <v>43900.437389907405</v>
      </c>
      <c r="T3370" s="3" t="n">
        <v>43903.48463239583</v>
      </c>
      <c r="U3370" t="s">
        <v>21700</v>
      </c>
      <c r="V3370" t="s">
        <v>21701</v>
      </c>
    </row>
    <row r="3371">
      <c r="A3371" t="s">
        <v>22</v>
      </c>
      <c r="B3371" t="s">
        <v>21702</v>
      </c>
      <c r="C3371" t="s">
        <v>60</v>
      </c>
      <c r="D3371" t="s">
        <v>61</v>
      </c>
      <c r="E3371" t="s">
        <v>16903</v>
      </c>
      <c r="F3371" s="2" t="n">
        <f>HYPERLINK("https://patents.google.com/patent/US20110223131","Google")</f>
        <v>0.0</v>
      </c>
      <c r="G3371" s="2" t="n">
        <f>HYPERLINK("https://patentcenter.uspto.gov/applications/13032581","Patent Center")</f>
        <v>0.0</v>
      </c>
      <c r="H3371" s="2" t="n">
        <f>HYPERLINK("https://worldwide.espacenet.com/patent/search?q=US20110223131","Espacenet")</f>
        <v>0.0</v>
      </c>
      <c r="I3371" s="2" t="n">
        <f>HYPERLINK("https://ppubs.uspto.gov/pubwebapp/external.html?q=20110223131.pn.","USPTO")</f>
        <v>0.0</v>
      </c>
      <c r="J3371" s="2" t="n">
        <f>HYPERLINK("https://image-ppubs.uspto.gov/dirsearch-public/print/downloadPdf/20110223131","USPTO PDF")</f>
        <v>0.0</v>
      </c>
      <c r="K3371" s="2" t="n">
        <f>HYPERLINK("https://sectors.patentforecast.com/pmd/US20110223131","PMD")</f>
        <v>0.0</v>
      </c>
      <c r="L3371" s="2" t="n">
        <f>HYPERLINK("https://globaldossier.uspto.gov/result/application/US/13032581/1","US20110223131")</f>
        <v>0.0</v>
      </c>
      <c r="M3371" t="s">
        <v>21703</v>
      </c>
      <c r="N3371" t="s">
        <v>664</v>
      </c>
      <c r="O3371" t="s">
        <v>665</v>
      </c>
      <c r="P3371" t="s">
        <v>21704</v>
      </c>
      <c r="Q3371" s="3" t="n">
        <v>40596.0</v>
      </c>
      <c r="R3371" s="3" t="n">
        <v>40801.0</v>
      </c>
      <c r="S3371" s="3" t="n">
        <v>43952.45970679398</v>
      </c>
      <c r="T3371" s="3" t="n">
        <v>44638.65271974537</v>
      </c>
      <c r="U3371" t="s">
        <v>21705</v>
      </c>
      <c r="V3371" t="s">
        <v>16907</v>
      </c>
    </row>
    <row r="3372">
      <c r="A3372" t="s">
        <v>22</v>
      </c>
      <c r="B3372" t="s">
        <v>21706</v>
      </c>
      <c r="C3372" t="s">
        <v>60</v>
      </c>
      <c r="D3372" t="s">
        <v>696</v>
      </c>
      <c r="E3372" t="s">
        <v>18556</v>
      </c>
      <c r="F3372" s="2" t="n">
        <f>HYPERLINK("https://patents.google.com/patent/US20110217303","Google")</f>
        <v>0.0</v>
      </c>
      <c r="G3372" s="2" t="n">
        <f>HYPERLINK("https://patentcenter.uspto.gov/applications/13046860","Patent Center")</f>
        <v>0.0</v>
      </c>
      <c r="H3372" s="2" t="n">
        <f>HYPERLINK("https://worldwide.espacenet.com/patent/search?q=US20110217303","Espacenet")</f>
        <v>0.0</v>
      </c>
      <c r="I3372" s="2" t="n">
        <f>HYPERLINK("https://ppubs.uspto.gov/pubwebapp/external.html?q=20110217303.pn.","USPTO")</f>
        <v>0.0</v>
      </c>
      <c r="J3372" s="2" t="n">
        <f>HYPERLINK("https://image-ppubs.uspto.gov/dirsearch-public/print/downloadPdf/20110217303","USPTO PDF")</f>
        <v>0.0</v>
      </c>
      <c r="K3372" s="2" t="n">
        <f>HYPERLINK("https://sectors.patentforecast.com/pmd/US20110217303","PMD")</f>
        <v>0.0</v>
      </c>
      <c r="L3372" s="2" t="n">
        <f>HYPERLINK("https://globaldossier.uspto.gov/result/application/US/13046860/1","US20110217303")</f>
        <v>0.0</v>
      </c>
      <c r="M3372" t="s">
        <v>21707</v>
      </c>
      <c r="N3372" t="s">
        <v>16927</v>
      </c>
      <c r="O3372" t="s">
        <v>16928</v>
      </c>
      <c r="P3372" t="s">
        <v>21708</v>
      </c>
      <c r="Q3372" s="3" t="n">
        <v>40616.0</v>
      </c>
      <c r="R3372" s="3" t="n">
        <v>40794.0</v>
      </c>
      <c r="S3372" s="3" t="n">
        <v>43931.46057239583</v>
      </c>
      <c r="T3372" s="3" t="n">
        <v>43950.54108888889</v>
      </c>
      <c r="U3372" t="s">
        <v>19157</v>
      </c>
      <c r="V3372" t="s">
        <v>19158</v>
      </c>
    </row>
    <row r="3373">
      <c r="A3373" t="s">
        <v>22</v>
      </c>
      <c r="B3373" t="s">
        <v>21709</v>
      </c>
      <c r="C3373" t="s">
        <v>60</v>
      </c>
      <c r="D3373" t="s">
        <v>845</v>
      </c>
      <c r="E3373" t="s">
        <v>21710</v>
      </c>
      <c r="F3373" s="2" t="n">
        <f>HYPERLINK("https://patents.google.com/patent/US20110213623","Google")</f>
        <v>0.0</v>
      </c>
      <c r="G3373" s="2" t="n">
        <f>HYPERLINK("https://patentcenter.uspto.gov/applications/13096150","Patent Center")</f>
        <v>0.0</v>
      </c>
      <c r="H3373" s="2" t="n">
        <f>HYPERLINK("https://worldwide.espacenet.com/patent/search?q=US20110213623","Espacenet")</f>
        <v>0.0</v>
      </c>
      <c r="I3373" s="2" t="n">
        <f>HYPERLINK("https://ppubs.uspto.gov/pubwebapp/external.html?q=20110213623.pn.","USPTO")</f>
        <v>0.0</v>
      </c>
      <c r="J3373" s="2" t="n">
        <f>HYPERLINK("https://image-ppubs.uspto.gov/dirsearch-public/print/downloadPdf/20110213623","USPTO PDF")</f>
        <v>0.0</v>
      </c>
      <c r="K3373" s="2" t="n">
        <f>HYPERLINK("https://sectors.patentforecast.com/pmd/US20110213623","PMD")</f>
        <v>0.0</v>
      </c>
      <c r="L3373" s="2" t="n">
        <f>HYPERLINK("https://globaldossier.uspto.gov/result/application/US/13096150/1","US20110213623")</f>
        <v>0.0</v>
      </c>
      <c r="M3373" t="s">
        <v>21711</v>
      </c>
      <c r="N3373" t="s">
        <v>21712</v>
      </c>
      <c r="O3373" t="s">
        <v>21713</v>
      </c>
      <c r="P3373" t="s">
        <v>21714</v>
      </c>
      <c r="Q3373" s="3" t="n">
        <v>40661.0</v>
      </c>
      <c r="R3373" s="3" t="n">
        <v>40787.0</v>
      </c>
      <c r="S3373" s="3" t="n">
        <v>43931.46057239583</v>
      </c>
      <c r="T3373" s="3" t="n">
        <v>44543.62183238426</v>
      </c>
      <c r="U3373" t="s">
        <v>21715</v>
      </c>
      <c r="V3373" t="s">
        <v>21716</v>
      </c>
    </row>
    <row r="3374">
      <c r="A3374" t="s">
        <v>22</v>
      </c>
      <c r="B3374" t="s">
        <v>21717</v>
      </c>
      <c r="C3374" t="s">
        <v>132</v>
      </c>
      <c r="D3374" t="s">
        <v>1265</v>
      </c>
      <c r="E3374" t="s">
        <v>20497</v>
      </c>
      <c r="F3374" s="2" t="n">
        <f>HYPERLINK("https://patents.google.com/patent/US20110200635","Google")</f>
        <v>0.0</v>
      </c>
      <c r="G3374" s="2" t="n">
        <f>HYPERLINK("https://patentcenter.uspto.gov/applications/12997577","Patent Center")</f>
        <v>0.0</v>
      </c>
      <c r="H3374" s="2" t="n">
        <f>HYPERLINK("https://worldwide.espacenet.com/patent/search?q=US20110200635","Espacenet")</f>
        <v>0.0</v>
      </c>
      <c r="I3374" s="2" t="n">
        <f>HYPERLINK("https://ppubs.uspto.gov/pubwebapp/external.html?q=20110200635.pn.","USPTO")</f>
        <v>0.0</v>
      </c>
      <c r="J3374" s="2" t="n">
        <f>HYPERLINK("https://image-ppubs.uspto.gov/dirsearch-public/print/downloadPdf/20110200635","USPTO PDF")</f>
        <v>0.0</v>
      </c>
      <c r="K3374" s="2" t="n">
        <f>HYPERLINK("https://sectors.patentforecast.com/pmd/US20110200635","PMD")</f>
        <v>0.0</v>
      </c>
      <c r="L3374" s="2" t="n">
        <f>HYPERLINK("https://globaldossier.uspto.gov/result/application/US/12997577/1","US20110200635")</f>
        <v>0.0</v>
      </c>
      <c r="M3374" t="s">
        <v>21718</v>
      </c>
      <c r="N3374" t="s">
        <v>16845</v>
      </c>
      <c r="O3374" t="s">
        <v>16846</v>
      </c>
      <c r="P3374" t="s">
        <v>21719</v>
      </c>
      <c r="Q3374" s="3" t="n">
        <v>39976.0</v>
      </c>
      <c r="R3374" s="3" t="n">
        <v>40773.0</v>
      </c>
      <c r="S3374" s="3" t="n">
        <v>43900.437389907405</v>
      </c>
      <c r="T3374" s="3" t="n">
        <v>43901.721565300926</v>
      </c>
      <c r="U3374" t="s">
        <v>20500</v>
      </c>
      <c r="V3374" t="s">
        <v>20501</v>
      </c>
    </row>
    <row r="3375">
      <c r="A3375" t="s">
        <v>22</v>
      </c>
      <c r="B3375" t="s">
        <v>21720</v>
      </c>
      <c r="C3375" t="s">
        <v>312</v>
      </c>
      <c r="D3375" t="s">
        <v>976</v>
      </c>
      <c r="E3375" t="s">
        <v>21721</v>
      </c>
      <c r="F3375" s="2" t="n">
        <f>HYPERLINK("https://patents.google.com/patent/US20110184656","Google")</f>
        <v>0.0</v>
      </c>
      <c r="G3375" s="2" t="n">
        <f>HYPERLINK("https://patentcenter.uspto.gov/applications/13079576","Patent Center")</f>
        <v>0.0</v>
      </c>
      <c r="H3375" s="2" t="n">
        <f>HYPERLINK("https://worldwide.espacenet.com/patent/search?q=US20110184656","Espacenet")</f>
        <v>0.0</v>
      </c>
      <c r="I3375" s="2" t="n">
        <f>HYPERLINK("https://ppubs.uspto.gov/pubwebapp/external.html?q=20110184656.pn.","USPTO")</f>
        <v>0.0</v>
      </c>
      <c r="J3375" s="2" t="n">
        <f>HYPERLINK("https://image-ppubs.uspto.gov/dirsearch-public/print/downloadPdf/20110184656","USPTO PDF")</f>
        <v>0.0</v>
      </c>
      <c r="K3375" s="2" t="n">
        <f>HYPERLINK("https://sectors.patentforecast.com/pmd/US20110184656","PMD")</f>
        <v>0.0</v>
      </c>
      <c r="L3375" s="2" t="n">
        <f>HYPERLINK("https://globaldossier.uspto.gov/result/application/US/13079576/1","US20110184656")</f>
        <v>0.0</v>
      </c>
      <c r="M3375" t="s">
        <v>21722</v>
      </c>
      <c r="N3375" t="s">
        <v>16673</v>
      </c>
      <c r="O3375" t="s">
        <v>16674</v>
      </c>
      <c r="P3375" t="s">
        <v>21723</v>
      </c>
      <c r="Q3375" s="3" t="n">
        <v>40637.0</v>
      </c>
      <c r="R3375" s="3" t="n">
        <v>40752.0</v>
      </c>
      <c r="S3375" s="3" t="n">
        <v>43977.501862847224</v>
      </c>
      <c r="T3375" s="3" t="n">
        <v>44643.42582246528</v>
      </c>
      <c r="U3375" t="s">
        <v>21724</v>
      </c>
      <c r="V3375" t="s">
        <v>21725</v>
      </c>
    </row>
    <row r="3376">
      <c r="A3376" t="s">
        <v>22</v>
      </c>
      <c r="B3376" t="s">
        <v>21726</v>
      </c>
      <c r="C3376" t="s">
        <v>132</v>
      </c>
      <c r="D3376" t="s">
        <v>1265</v>
      </c>
      <c r="E3376" t="s">
        <v>21121</v>
      </c>
      <c r="F3376" s="2" t="n">
        <f>HYPERLINK("https://patents.google.com/patent/US20110182936","Google")</f>
        <v>0.0</v>
      </c>
      <c r="G3376" s="2" t="n">
        <f>HYPERLINK("https://patentcenter.uspto.gov/applications/13077488","Patent Center")</f>
        <v>0.0</v>
      </c>
      <c r="H3376" s="2" t="n">
        <f>HYPERLINK("https://worldwide.espacenet.com/patent/search?q=US20110182936","Espacenet")</f>
        <v>0.0</v>
      </c>
      <c r="I3376" s="2" t="n">
        <f>HYPERLINK("https://ppubs.uspto.gov/pubwebapp/external.html?q=20110182936.pn.","USPTO")</f>
        <v>0.0</v>
      </c>
      <c r="J3376" s="2" t="n">
        <f>HYPERLINK("https://image-ppubs.uspto.gov/dirsearch-public/print/downloadPdf/20110182936","USPTO PDF")</f>
        <v>0.0</v>
      </c>
      <c r="K3376" s="2" t="n">
        <f>HYPERLINK("https://sectors.patentforecast.com/pmd/US20110182936","PMD")</f>
        <v>0.0</v>
      </c>
      <c r="L3376" s="2" t="n">
        <f>HYPERLINK("https://globaldossier.uspto.gov/result/application/US/13077488/1","US20110182936")</f>
        <v>0.0</v>
      </c>
      <c r="M3376" t="s">
        <v>21727</v>
      </c>
      <c r="N3376" t="s">
        <v>21123</v>
      </c>
      <c r="O3376" t="s">
        <v>21124</v>
      </c>
      <c r="P3376" t="s">
        <v>21728</v>
      </c>
      <c r="Q3376" s="3" t="n">
        <v>40633.0</v>
      </c>
      <c r="R3376" s="3" t="n">
        <v>40752.0</v>
      </c>
      <c r="S3376" s="3" t="n">
        <v>43900.437389907405</v>
      </c>
      <c r="T3376" s="3" t="n">
        <v>43903.4846327662</v>
      </c>
      <c r="U3376" t="s">
        <v>21126</v>
      </c>
      <c r="V3376" t="s">
        <v>21127</v>
      </c>
    </row>
    <row r="3377">
      <c r="A3377" t="s">
        <v>22</v>
      </c>
      <c r="B3377" t="s">
        <v>21729</v>
      </c>
      <c r="C3377" t="s">
        <v>60</v>
      </c>
      <c r="D3377" t="s">
        <v>61</v>
      </c>
      <c r="E3377" t="s">
        <v>20882</v>
      </c>
      <c r="F3377" s="2" t="n">
        <f>HYPERLINK("https://patents.google.com/patent/US20110178129","Google")</f>
        <v>0.0</v>
      </c>
      <c r="G3377" s="2" t="n">
        <f>HYPERLINK("https://patentcenter.uspto.gov/applications/13007150","Patent Center")</f>
        <v>0.0</v>
      </c>
      <c r="H3377" s="2" t="n">
        <f>HYPERLINK("https://worldwide.espacenet.com/patent/search?q=US20110178129","Espacenet")</f>
        <v>0.0</v>
      </c>
      <c r="I3377" s="2" t="n">
        <f>HYPERLINK("https://ppubs.uspto.gov/pubwebapp/external.html?q=20110178129.pn.","USPTO")</f>
        <v>0.0</v>
      </c>
      <c r="J3377" s="2" t="n">
        <f>HYPERLINK("https://image-ppubs.uspto.gov/dirsearch-public/print/downloadPdf/20110178129","USPTO PDF")</f>
        <v>0.0</v>
      </c>
      <c r="K3377" s="2" t="n">
        <f>HYPERLINK("https://sectors.patentforecast.com/pmd/US20110178129","PMD")</f>
        <v>0.0</v>
      </c>
      <c r="L3377" s="2" t="n">
        <f>HYPERLINK("https://globaldossier.uspto.gov/result/application/US/13007150/1","US20110178129")</f>
        <v>0.0</v>
      </c>
      <c r="M3377" t="s">
        <v>21730</v>
      </c>
      <c r="N3377" t="s">
        <v>664</v>
      </c>
      <c r="O3377" t="s">
        <v>665</v>
      </c>
      <c r="P3377" t="s">
        <v>21731</v>
      </c>
      <c r="Q3377" s="3" t="n">
        <v>40557.0</v>
      </c>
      <c r="R3377" s="3" t="n">
        <v>40745.0</v>
      </c>
      <c r="S3377" s="3" t="n">
        <v>43952.45970679398</v>
      </c>
      <c r="T3377" s="3" t="n">
        <v>44638.65643378472</v>
      </c>
      <c r="U3377" t="s">
        <v>21732</v>
      </c>
      <c r="V3377" t="s">
        <v>20886</v>
      </c>
    </row>
    <row r="3378">
      <c r="A3378" t="s">
        <v>22</v>
      </c>
      <c r="B3378" t="s">
        <v>21733</v>
      </c>
      <c r="C3378" t="s">
        <v>60</v>
      </c>
      <c r="D3378" t="s">
        <v>61</v>
      </c>
      <c r="E3378" t="s">
        <v>20882</v>
      </c>
      <c r="F3378" s="2" t="n">
        <f>HYPERLINK("https://patents.google.com/patent/US20110178058","Google")</f>
        <v>0.0</v>
      </c>
      <c r="G3378" s="2" t="n">
        <f>HYPERLINK("https://patentcenter.uspto.gov/applications/13006761","Patent Center")</f>
        <v>0.0</v>
      </c>
      <c r="H3378" s="2" t="n">
        <f>HYPERLINK("https://worldwide.espacenet.com/patent/search?q=US20110178058","Espacenet")</f>
        <v>0.0</v>
      </c>
      <c r="I3378" s="2" t="n">
        <f>HYPERLINK("https://ppubs.uspto.gov/pubwebapp/external.html?q=20110178058.pn.","USPTO")</f>
        <v>0.0</v>
      </c>
      <c r="J3378" s="2" t="n">
        <f>HYPERLINK("https://image-ppubs.uspto.gov/dirsearch-public/print/downloadPdf/20110178058","USPTO PDF")</f>
        <v>0.0</v>
      </c>
      <c r="K3378" s="2" t="n">
        <f>HYPERLINK("https://sectors.patentforecast.com/pmd/US20110178058","PMD")</f>
        <v>0.0</v>
      </c>
      <c r="L3378" s="2" t="n">
        <f>HYPERLINK("https://globaldossier.uspto.gov/result/application/US/13006761/1","US20110178058")</f>
        <v>0.0</v>
      </c>
      <c r="M3378" t="s">
        <v>21734</v>
      </c>
      <c r="N3378" t="s">
        <v>664</v>
      </c>
      <c r="O3378" t="s">
        <v>665</v>
      </c>
      <c r="P3378" t="s">
        <v>21735</v>
      </c>
      <c r="Q3378" s="3" t="n">
        <v>40557.0</v>
      </c>
      <c r="R3378" s="3" t="n">
        <v>40745.0</v>
      </c>
      <c r="S3378" s="3" t="n">
        <v>43952.45970679398</v>
      </c>
      <c r="T3378" s="3" t="n">
        <v>44638.65643378472</v>
      </c>
      <c r="U3378" t="s">
        <v>21736</v>
      </c>
      <c r="V3378" t="s">
        <v>20886</v>
      </c>
    </row>
    <row r="3379">
      <c r="A3379" t="s">
        <v>22</v>
      </c>
      <c r="B3379" t="s">
        <v>21737</v>
      </c>
      <c r="C3379" t="s">
        <v>24</v>
      </c>
      <c r="D3379" t="s">
        <v>187</v>
      </c>
      <c r="E3379" t="s">
        <v>21738</v>
      </c>
      <c r="F3379" s="2" t="n">
        <f>HYPERLINK("https://patents.google.com/patent/US20110172925","Google")</f>
        <v>0.0</v>
      </c>
      <c r="G3379" s="2" t="n">
        <f>HYPERLINK("https://patentcenter.uspto.gov/applications/11930108","Patent Center")</f>
        <v>0.0</v>
      </c>
      <c r="H3379" s="2" t="n">
        <f>HYPERLINK("https://worldwide.espacenet.com/patent/search?q=US20110172925","Espacenet")</f>
        <v>0.0</v>
      </c>
      <c r="I3379" s="2" t="n">
        <f>HYPERLINK("https://ppubs.uspto.gov/pubwebapp/external.html?q=20110172925.pn.","USPTO")</f>
        <v>0.0</v>
      </c>
      <c r="J3379" s="2" t="n">
        <f>HYPERLINK("https://image-ppubs.uspto.gov/dirsearch-public/print/downloadPdf/20110172925","USPTO PDF")</f>
        <v>0.0</v>
      </c>
      <c r="K3379" s="2" t="n">
        <f>HYPERLINK("https://sectors.patentforecast.com/pmd/US20110172925","PMD")</f>
        <v>0.0</v>
      </c>
      <c r="L3379" s="2" t="n">
        <f>HYPERLINK("https://globaldossier.uspto.gov/result/application/US/11930108/1","US20110172925")</f>
        <v>0.0</v>
      </c>
      <c r="M3379" t="s">
        <v>21739</v>
      </c>
      <c r="N3379" t="s">
        <v>6851</v>
      </c>
      <c r="O3379" t="s">
        <v>6852</v>
      </c>
      <c r="P3379" t="s">
        <v>19646</v>
      </c>
      <c r="Q3379" s="3" t="n">
        <v>39386.0</v>
      </c>
      <c r="R3379" s="3" t="n">
        <v>40738.0</v>
      </c>
      <c r="S3379" s="3" t="n">
        <v>43266.457371840275</v>
      </c>
      <c r="T3379" s="3" t="n">
        <v>43266.61438974537</v>
      </c>
      <c r="U3379" t="s">
        <v>19647</v>
      </c>
      <c r="V3379" t="s">
        <v>19648</v>
      </c>
    </row>
    <row r="3380">
      <c r="A3380" t="s">
        <v>22</v>
      </c>
      <c r="B3380" t="s">
        <v>21740</v>
      </c>
      <c r="C3380" t="s">
        <v>24</v>
      </c>
      <c r="D3380" t="s">
        <v>25</v>
      </c>
      <c r="E3380" t="s">
        <v>21741</v>
      </c>
      <c r="F3380" s="2" t="n">
        <f>HYPERLINK("https://patents.google.com/patent/US20110169645","Google")</f>
        <v>0.0</v>
      </c>
      <c r="G3380" s="2" t="n">
        <f>HYPERLINK("https://patentcenter.uspto.gov/applications/12987389","Patent Center")</f>
        <v>0.0</v>
      </c>
      <c r="H3380" s="2" t="n">
        <f>HYPERLINK("https://worldwide.espacenet.com/patent/search?q=US20110169645","Espacenet")</f>
        <v>0.0</v>
      </c>
      <c r="I3380" s="2" t="n">
        <f>HYPERLINK("https://ppubs.uspto.gov/pubwebapp/external.html?q=20110169645.pn.","USPTO")</f>
        <v>0.0</v>
      </c>
      <c r="J3380" s="2" t="n">
        <f>HYPERLINK("https://image-ppubs.uspto.gov/dirsearch-public/print/downloadPdf/20110169645","USPTO PDF")</f>
        <v>0.0</v>
      </c>
      <c r="K3380" s="2" t="n">
        <f>HYPERLINK("https://sectors.patentforecast.com/pmd/US20110169645","PMD")</f>
        <v>0.0</v>
      </c>
      <c r="L3380" s="2" t="n">
        <f>HYPERLINK("https://globaldossier.uspto.gov/result/application/US/12987389/1","US20110169645")</f>
        <v>0.0</v>
      </c>
      <c r="M3380" t="s">
        <v>21742</v>
      </c>
      <c r="N3380" t="s">
        <v>8684</v>
      </c>
      <c r="O3380" t="s">
        <v>8685</v>
      </c>
      <c r="P3380" t="s">
        <v>21743</v>
      </c>
      <c r="Q3380" s="3" t="n">
        <v>40553.0</v>
      </c>
      <c r="R3380" s="3" t="n">
        <v>40738.0</v>
      </c>
      <c r="S3380" s="3" t="n">
        <v>43266.457371840275</v>
      </c>
      <c r="T3380" s="3" t="n">
        <v>43903.48463225694</v>
      </c>
      <c r="U3380" t="s">
        <v>21744</v>
      </c>
      <c r="V3380" t="s">
        <v>21745</v>
      </c>
    </row>
    <row r="3381">
      <c r="A3381" t="s">
        <v>22</v>
      </c>
      <c r="B3381" t="s">
        <v>21746</v>
      </c>
      <c r="C3381" t="s">
        <v>132</v>
      </c>
      <c r="D3381" t="s">
        <v>1265</v>
      </c>
      <c r="E3381" t="s">
        <v>21747</v>
      </c>
      <c r="F3381" s="2" t="n">
        <f>HYPERLINK("https://patents.google.com/patent/US20110150912","Google")</f>
        <v>0.0</v>
      </c>
      <c r="G3381" s="2" t="n">
        <f>HYPERLINK("https://patentcenter.uspto.gov/applications/12381550","Patent Center")</f>
        <v>0.0</v>
      </c>
      <c r="H3381" s="2" t="n">
        <f>HYPERLINK("https://worldwide.espacenet.com/patent/search?q=US20110150912","Espacenet")</f>
        <v>0.0</v>
      </c>
      <c r="I3381" s="2" t="n">
        <f>HYPERLINK("https://ppubs.uspto.gov/pubwebapp/external.html?q=20110150912.pn.","USPTO")</f>
        <v>0.0</v>
      </c>
      <c r="J3381" s="2" t="n">
        <f>HYPERLINK("https://image-ppubs.uspto.gov/dirsearch-public/print/downloadPdf/20110150912","USPTO PDF")</f>
        <v>0.0</v>
      </c>
      <c r="K3381" s="2" t="n">
        <f>HYPERLINK("https://sectors.patentforecast.com/pmd/US20110150912","PMD")</f>
        <v>0.0</v>
      </c>
      <c r="L3381" s="2" t="n">
        <f>HYPERLINK("https://globaldossier.uspto.gov/result/application/US/12381550/1","US20110150912")</f>
        <v>0.0</v>
      </c>
      <c r="M3381" t="s">
        <v>21748</v>
      </c>
      <c r="N3381" t="s">
        <v>21749</v>
      </c>
      <c r="O3381" t="s">
        <v>21750</v>
      </c>
      <c r="P3381" t="s">
        <v>21751</v>
      </c>
      <c r="Q3381" s="3" t="n">
        <v>39885.0</v>
      </c>
      <c r="R3381" s="3" t="n">
        <v>40717.0</v>
      </c>
      <c r="S3381" s="3" t="n">
        <v>43900.43738930555</v>
      </c>
      <c r="T3381" s="3" t="n">
        <v>43903.48463261574</v>
      </c>
      <c r="U3381" t="s">
        <v>21752</v>
      </c>
      <c r="V3381" t="s">
        <v>21753</v>
      </c>
    </row>
    <row r="3382">
      <c r="A3382" t="s">
        <v>22</v>
      </c>
      <c r="B3382" t="s">
        <v>21754</v>
      </c>
      <c r="C3382" t="s">
        <v>24</v>
      </c>
      <c r="D3382" t="s">
        <v>100</v>
      </c>
      <c r="E3382" t="s">
        <v>21755</v>
      </c>
      <c r="F3382" s="2" t="n">
        <f>HYPERLINK("https://patents.google.com/patent/US20110147496","Google")</f>
        <v>0.0</v>
      </c>
      <c r="G3382" s="2" t="n">
        <f>HYPERLINK("https://patentcenter.uspto.gov/applications/12961860","Patent Center")</f>
        <v>0.0</v>
      </c>
      <c r="H3382" s="2" t="n">
        <f>HYPERLINK("https://worldwide.espacenet.com/patent/search?q=US20110147496","Espacenet")</f>
        <v>0.0</v>
      </c>
      <c r="I3382" s="2" t="n">
        <f>HYPERLINK("https://ppubs.uspto.gov/pubwebapp/external.html?q=20110147496.pn.","USPTO")</f>
        <v>0.0</v>
      </c>
      <c r="J3382" s="2" t="n">
        <f>HYPERLINK("https://image-ppubs.uspto.gov/dirsearch-public/print/downloadPdf/20110147496","USPTO PDF")</f>
        <v>0.0</v>
      </c>
      <c r="K3382" s="2" t="n">
        <f>HYPERLINK("https://sectors.patentforecast.com/pmd/US20110147496","PMD")</f>
        <v>0.0</v>
      </c>
      <c r="L3382" s="2" t="n">
        <f>HYPERLINK("https://globaldossier.uspto.gov/result/application/US/12961860/1","US20110147496")</f>
        <v>0.0</v>
      </c>
      <c r="M3382" t="s">
        <v>21756</v>
      </c>
      <c r="N3382" t="s">
        <v>21757</v>
      </c>
      <c r="O3382" t="s">
        <v>21758</v>
      </c>
      <c r="P3382" t="s">
        <v>21759</v>
      </c>
      <c r="Q3382" s="3" t="n">
        <v>40519.0</v>
      </c>
      <c r="R3382" s="3" t="n">
        <v>40717.0</v>
      </c>
      <c r="S3382" s="3" t="n">
        <v>43900.43738930555</v>
      </c>
      <c r="T3382" s="3" t="n">
        <v>43901.72156505787</v>
      </c>
      <c r="U3382" t="s">
        <v>21760</v>
      </c>
      <c r="V3382" t="s">
        <v>21761</v>
      </c>
    </row>
    <row r="3383">
      <c r="A3383" t="s">
        <v>22</v>
      </c>
      <c r="B3383" t="s">
        <v>21762</v>
      </c>
      <c r="C3383" t="s">
        <v>60</v>
      </c>
      <c r="D3383" t="s">
        <v>61</v>
      </c>
      <c r="E3383" t="s">
        <v>18663</v>
      </c>
      <c r="F3383" s="2" t="n">
        <f>HYPERLINK("https://patents.google.com/patent/US20110144050","Google")</f>
        <v>0.0</v>
      </c>
      <c r="G3383" s="2" t="n">
        <f>HYPERLINK("https://patentcenter.uspto.gov/applications/12999441","Patent Center")</f>
        <v>0.0</v>
      </c>
      <c r="H3383" s="2" t="n">
        <f>HYPERLINK("https://worldwide.espacenet.com/patent/search?q=US20110144050","Espacenet")</f>
        <v>0.0</v>
      </c>
      <c r="I3383" s="2" t="n">
        <f>HYPERLINK("https://ppubs.uspto.gov/pubwebapp/external.html?q=20110144050.pn.","USPTO")</f>
        <v>0.0</v>
      </c>
      <c r="J3383" s="2" t="n">
        <f>HYPERLINK("https://image-ppubs.uspto.gov/dirsearch-public/print/downloadPdf/20110144050","USPTO PDF")</f>
        <v>0.0</v>
      </c>
      <c r="K3383" s="2" t="n">
        <f>HYPERLINK("https://sectors.patentforecast.com/pmd/US20110144050","PMD")</f>
        <v>0.0</v>
      </c>
      <c r="L3383" s="2" t="n">
        <f>HYPERLINK("https://globaldossier.uspto.gov/result/application/US/12999441/1","US20110144050")</f>
        <v>0.0</v>
      </c>
      <c r="M3383" t="s">
        <v>21763</v>
      </c>
      <c r="N3383" t="s">
        <v>664</v>
      </c>
      <c r="O3383" t="s">
        <v>665</v>
      </c>
      <c r="P3383" t="s">
        <v>21764</v>
      </c>
      <c r="Q3383" s="3" t="n">
        <v>40001.0</v>
      </c>
      <c r="R3383" s="3" t="n">
        <v>40710.0</v>
      </c>
      <c r="S3383" s="3" t="n">
        <v>43952.45970679398</v>
      </c>
      <c r="T3383" s="3" t="n">
        <v>44638.662781747684</v>
      </c>
      <c r="U3383" t="s">
        <v>21765</v>
      </c>
      <c r="V3383" t="s">
        <v>20632</v>
      </c>
    </row>
    <row r="3384">
      <c r="A3384" t="s">
        <v>22</v>
      </c>
      <c r="B3384" t="s">
        <v>21766</v>
      </c>
      <c r="C3384" t="s">
        <v>24</v>
      </c>
      <c r="D3384" t="s">
        <v>100</v>
      </c>
      <c r="E3384" t="s">
        <v>21767</v>
      </c>
      <c r="F3384" s="2" t="n">
        <f>HYPERLINK("https://patents.google.com/patent/US20110136210","Google")</f>
        <v>0.0</v>
      </c>
      <c r="G3384" s="2" t="n">
        <f>HYPERLINK("https://patentcenter.uspto.gov/applications/13029001","Patent Center")</f>
        <v>0.0</v>
      </c>
      <c r="H3384" s="2" t="n">
        <f>HYPERLINK("https://worldwide.espacenet.com/patent/search?q=US20110136210","Espacenet")</f>
        <v>0.0</v>
      </c>
      <c r="I3384" s="2" t="n">
        <f>HYPERLINK("https://ppubs.uspto.gov/pubwebapp/external.html?q=20110136210.pn.","USPTO")</f>
        <v>0.0</v>
      </c>
      <c r="J3384" s="2" t="n">
        <f>HYPERLINK("https://image-ppubs.uspto.gov/dirsearch-public/print/downloadPdf/20110136210","USPTO PDF")</f>
        <v>0.0</v>
      </c>
      <c r="K3384" s="2" t="n">
        <f>HYPERLINK("https://sectors.patentforecast.com/pmd/US20110136210","PMD")</f>
        <v>0.0</v>
      </c>
      <c r="L3384" s="2" t="n">
        <f>HYPERLINK("https://globaldossier.uspto.gov/result/application/US/13029001/1","US20110136210")</f>
        <v>0.0</v>
      </c>
      <c r="M3384" t="s">
        <v>21768</v>
      </c>
      <c r="N3384" t="s">
        <v>21257</v>
      </c>
      <c r="O3384" t="s">
        <v>21258</v>
      </c>
      <c r="P3384" t="s">
        <v>21259</v>
      </c>
      <c r="Q3384" s="3" t="n">
        <v>40590.0</v>
      </c>
      <c r="R3384" s="3" t="n">
        <v>40703.0</v>
      </c>
      <c r="S3384" s="3" t="n">
        <v>43999.59019282407</v>
      </c>
      <c r="T3384" s="3" t="n">
        <v>44638.64789150463</v>
      </c>
      <c r="U3384" t="s">
        <v>21769</v>
      </c>
      <c r="V3384" t="s">
        <v>21261</v>
      </c>
    </row>
    <row r="3385">
      <c r="A3385" t="s">
        <v>22</v>
      </c>
      <c r="B3385" t="s">
        <v>21770</v>
      </c>
      <c r="C3385" t="s">
        <v>60</v>
      </c>
      <c r="D3385" t="s">
        <v>61</v>
      </c>
      <c r="E3385" t="s">
        <v>16903</v>
      </c>
      <c r="F3385" s="2" t="n">
        <f>HYPERLINK("https://patents.google.com/patent/US20110135604","Google")</f>
        <v>0.0</v>
      </c>
      <c r="G3385" s="2" t="n">
        <f>HYPERLINK("https://patentcenter.uspto.gov/applications/12958086","Patent Center")</f>
        <v>0.0</v>
      </c>
      <c r="H3385" s="2" t="n">
        <f>HYPERLINK("https://worldwide.espacenet.com/patent/search?q=US20110135604","Espacenet")</f>
        <v>0.0</v>
      </c>
      <c r="I3385" s="2" t="n">
        <f>HYPERLINK("https://ppubs.uspto.gov/pubwebapp/external.html?q=20110135604.pn.","USPTO")</f>
        <v>0.0</v>
      </c>
      <c r="J3385" s="2" t="n">
        <f>HYPERLINK("https://image-ppubs.uspto.gov/dirsearch-public/print/downloadPdf/20110135604","USPTO PDF")</f>
        <v>0.0</v>
      </c>
      <c r="K3385" s="2" t="n">
        <f>HYPERLINK("https://sectors.patentforecast.com/pmd/US20110135604","PMD")</f>
        <v>0.0</v>
      </c>
      <c r="L3385" s="2" t="n">
        <f>HYPERLINK("https://globaldossier.uspto.gov/result/application/US/12958086/1","US20110135604")</f>
        <v>0.0</v>
      </c>
      <c r="M3385" t="s">
        <v>21771</v>
      </c>
      <c r="N3385" t="s">
        <v>664</v>
      </c>
      <c r="O3385" t="s">
        <v>665</v>
      </c>
      <c r="P3385" t="s">
        <v>21772</v>
      </c>
      <c r="Q3385" s="3" t="n">
        <v>40513.0</v>
      </c>
      <c r="R3385" s="3" t="n">
        <v>40703.0</v>
      </c>
      <c r="S3385" s="3" t="n">
        <v>43952.45970679398</v>
      </c>
      <c r="T3385" s="3" t="n">
        <v>44638.65271974537</v>
      </c>
      <c r="U3385" t="s">
        <v>21773</v>
      </c>
      <c r="V3385" t="s">
        <v>16907</v>
      </c>
    </row>
    <row r="3386">
      <c r="A3386" t="s">
        <v>22</v>
      </c>
      <c r="B3386" t="s">
        <v>21774</v>
      </c>
      <c r="C3386" t="s">
        <v>60</v>
      </c>
      <c r="D3386" t="s">
        <v>61</v>
      </c>
      <c r="E3386" t="s">
        <v>16903</v>
      </c>
      <c r="F3386" s="2" t="n">
        <f>HYPERLINK("https://patents.google.com/patent/US20110135599","Google")</f>
        <v>0.0</v>
      </c>
      <c r="G3386" s="2" t="n">
        <f>HYPERLINK("https://patentcenter.uspto.gov/applications/12958112","Patent Center")</f>
        <v>0.0</v>
      </c>
      <c r="H3386" s="2" t="n">
        <f>HYPERLINK("https://worldwide.espacenet.com/patent/search?q=US20110135599","Espacenet")</f>
        <v>0.0</v>
      </c>
      <c r="I3386" s="2" t="n">
        <f>HYPERLINK("https://ppubs.uspto.gov/pubwebapp/external.html?q=20110135599.pn.","USPTO")</f>
        <v>0.0</v>
      </c>
      <c r="J3386" s="2" t="n">
        <f>HYPERLINK("https://image-ppubs.uspto.gov/dirsearch-public/print/downloadPdf/20110135599","USPTO PDF")</f>
        <v>0.0</v>
      </c>
      <c r="K3386" s="2" t="n">
        <f>HYPERLINK("https://sectors.patentforecast.com/pmd/US20110135599","PMD")</f>
        <v>0.0</v>
      </c>
      <c r="L3386" s="2" t="n">
        <f>HYPERLINK("https://globaldossier.uspto.gov/result/application/US/12958112/1","US20110135599")</f>
        <v>0.0</v>
      </c>
      <c r="M3386" t="s">
        <v>21775</v>
      </c>
      <c r="N3386" t="s">
        <v>664</v>
      </c>
      <c r="O3386" t="s">
        <v>665</v>
      </c>
      <c r="P3386" t="s">
        <v>21776</v>
      </c>
      <c r="Q3386" s="3" t="n">
        <v>40513.0</v>
      </c>
      <c r="R3386" s="3" t="n">
        <v>40703.0</v>
      </c>
      <c r="S3386" s="3" t="n">
        <v>43952.45970679398</v>
      </c>
      <c r="T3386" s="3" t="n">
        <v>44638.65271974537</v>
      </c>
      <c r="U3386" t="s">
        <v>21777</v>
      </c>
      <c r="V3386" t="s">
        <v>21564</v>
      </c>
    </row>
    <row r="3387">
      <c r="A3387" t="s">
        <v>22</v>
      </c>
      <c r="B3387" t="s">
        <v>21778</v>
      </c>
      <c r="C3387" t="s">
        <v>24</v>
      </c>
      <c r="D3387" t="s">
        <v>25</v>
      </c>
      <c r="E3387" t="s">
        <v>21779</v>
      </c>
      <c r="F3387" s="2" t="n">
        <f>HYPERLINK("https://patents.google.com/patent/US20110129131","Google")</f>
        <v>0.0</v>
      </c>
      <c r="G3387" s="2" t="n">
        <f>HYPERLINK("https://patentcenter.uspto.gov/applications/12627160","Patent Center")</f>
        <v>0.0</v>
      </c>
      <c r="H3387" s="2" t="n">
        <f>HYPERLINK("https://worldwide.espacenet.com/patent/search?q=US20110129131","Espacenet")</f>
        <v>0.0</v>
      </c>
      <c r="I3387" s="2" t="n">
        <f>HYPERLINK("https://ppubs.uspto.gov/pubwebapp/external.html?q=20110129131.pn.","USPTO")</f>
        <v>0.0</v>
      </c>
      <c r="J3387" s="2" t="n">
        <f>HYPERLINK("https://image-ppubs.uspto.gov/dirsearch-public/print/downloadPdf/20110129131","USPTO PDF")</f>
        <v>0.0</v>
      </c>
      <c r="K3387" s="2" t="n">
        <f>HYPERLINK("https://sectors.patentforecast.com/pmd/US20110129131","PMD")</f>
        <v>0.0</v>
      </c>
      <c r="L3387" s="2" t="n">
        <f>HYPERLINK("https://globaldossier.uspto.gov/result/application/US/12627160/1","US20110129131")</f>
        <v>0.0</v>
      </c>
      <c r="M3387" t="s">
        <v>21780</v>
      </c>
      <c r="N3387" t="s">
        <v>11093</v>
      </c>
      <c r="O3387" t="s">
        <v>11094</v>
      </c>
      <c r="P3387" t="s">
        <v>21781</v>
      </c>
      <c r="Q3387" s="3" t="n">
        <v>40147.0</v>
      </c>
      <c r="R3387" s="3" t="n">
        <v>40696.0</v>
      </c>
      <c r="S3387" s="3" t="n">
        <v>44089.23005118056</v>
      </c>
      <c r="T3387" s="3" t="n">
        <v>44089.44480646991</v>
      </c>
      <c r="U3387" t="s">
        <v>21782</v>
      </c>
      <c r="V3387" t="s">
        <v>21783</v>
      </c>
    </row>
    <row r="3388">
      <c r="A3388" t="s">
        <v>22</v>
      </c>
      <c r="B3388" t="s">
        <v>21784</v>
      </c>
      <c r="C3388" t="s">
        <v>60</v>
      </c>
      <c r="D3388" t="s">
        <v>61</v>
      </c>
      <c r="E3388" t="s">
        <v>21785</v>
      </c>
      <c r="F3388" s="2" t="n">
        <f>HYPERLINK("https://patents.google.com/patent/US20110123493","Google")</f>
        <v>0.0</v>
      </c>
      <c r="G3388" s="2" t="n">
        <f>HYPERLINK("https://patentcenter.uspto.gov/applications/12996110","Patent Center")</f>
        <v>0.0</v>
      </c>
      <c r="H3388" s="2" t="n">
        <f>HYPERLINK("https://worldwide.espacenet.com/patent/search?q=US20110123493","Espacenet")</f>
        <v>0.0</v>
      </c>
      <c r="I3388" s="2" t="n">
        <f>HYPERLINK("https://ppubs.uspto.gov/pubwebapp/external.html?q=20110123493.pn.","USPTO")</f>
        <v>0.0</v>
      </c>
      <c r="J3388" s="2" t="n">
        <f>HYPERLINK("https://image-ppubs.uspto.gov/dirsearch-public/print/downloadPdf/20110123493","USPTO PDF")</f>
        <v>0.0</v>
      </c>
      <c r="K3388" s="2" t="n">
        <f>HYPERLINK("https://sectors.patentforecast.com/pmd/US20110123493","PMD")</f>
        <v>0.0</v>
      </c>
      <c r="L3388" s="2" t="n">
        <f>HYPERLINK("https://globaldossier.uspto.gov/result/application/US/12996110/1","US20110123493")</f>
        <v>0.0</v>
      </c>
      <c r="M3388" t="s">
        <v>21786</v>
      </c>
      <c r="N3388" t="s">
        <v>21787</v>
      </c>
      <c r="O3388" t="s">
        <v>21788</v>
      </c>
      <c r="P3388" t="s">
        <v>21789</v>
      </c>
      <c r="Q3388" s="3" t="n">
        <v>39995.0</v>
      </c>
      <c r="R3388" s="3" t="n">
        <v>40689.0</v>
      </c>
      <c r="S3388" s="3" t="n">
        <v>43952.45957747685</v>
      </c>
      <c r="T3388" s="3" t="n">
        <v>44638.65579662037</v>
      </c>
      <c r="U3388" t="s">
        <v>21790</v>
      </c>
      <c r="V3388" t="s">
        <v>21791</v>
      </c>
    </row>
    <row r="3389">
      <c r="A3389" t="s">
        <v>22</v>
      </c>
      <c r="B3389" t="s">
        <v>21792</v>
      </c>
      <c r="C3389" t="s">
        <v>132</v>
      </c>
      <c r="D3389" t="s">
        <v>133</v>
      </c>
      <c r="E3389" t="s">
        <v>21793</v>
      </c>
      <c r="F3389" s="2" t="n">
        <f>HYPERLINK("https://patents.google.com/patent/US20110112195","Google")</f>
        <v>0.0</v>
      </c>
      <c r="G3389" s="2" t="n">
        <f>HYPERLINK("https://patentcenter.uspto.gov/applications/11570650","Patent Center")</f>
        <v>0.0</v>
      </c>
      <c r="H3389" s="2" t="n">
        <f>HYPERLINK("https://worldwide.espacenet.com/patent/search?q=US20110112195","Espacenet")</f>
        <v>0.0</v>
      </c>
      <c r="I3389" s="2" t="n">
        <f>HYPERLINK("https://ppubs.uspto.gov/pubwebapp/external.html?q=20110112195.pn.","USPTO")</f>
        <v>0.0</v>
      </c>
      <c r="J3389" s="2" t="n">
        <f>HYPERLINK("https://image-ppubs.uspto.gov/dirsearch-public/print/downloadPdf/20110112195","USPTO PDF")</f>
        <v>0.0</v>
      </c>
      <c r="K3389" s="2" t="n">
        <f>HYPERLINK("https://sectors.patentforecast.com/pmd/US20110112195","PMD")</f>
        <v>0.0</v>
      </c>
      <c r="L3389" s="2" t="n">
        <f>HYPERLINK("https://globaldossier.uspto.gov/result/application/US/11570650/1","US20110112195")</f>
        <v>0.0</v>
      </c>
      <c r="M3389" t="s">
        <v>21794</v>
      </c>
      <c r="N3389" t="s">
        <v>21795</v>
      </c>
      <c r="O3389" t="s">
        <v>21796</v>
      </c>
      <c r="P3389" t="s">
        <v>21797</v>
      </c>
      <c r="Q3389" s="3" t="n">
        <v>38518.0</v>
      </c>
      <c r="R3389" s="3" t="n">
        <v>40675.0</v>
      </c>
      <c r="S3389" s="3" t="n">
        <v>43900.43738930555</v>
      </c>
      <c r="T3389" s="3" t="n">
        <v>43901.721564837964</v>
      </c>
      <c r="U3389" t="s">
        <v>21798</v>
      </c>
      <c r="V3389" t="s">
        <v>21799</v>
      </c>
    </row>
    <row r="3390">
      <c r="A3390" t="s">
        <v>22</v>
      </c>
      <c r="B3390" t="s">
        <v>21800</v>
      </c>
      <c r="C3390" t="s">
        <v>24</v>
      </c>
      <c r="D3390" t="s">
        <v>100</v>
      </c>
      <c r="E3390" t="s">
        <v>21767</v>
      </c>
      <c r="F3390" s="2" t="n">
        <f>HYPERLINK("https://patents.google.com/patent/US20110105623","Google")</f>
        <v>0.0</v>
      </c>
      <c r="G3390" s="2" t="n">
        <f>HYPERLINK("https://patentcenter.uspto.gov/applications/12916357","Patent Center")</f>
        <v>0.0</v>
      </c>
      <c r="H3390" s="2" t="n">
        <f>HYPERLINK("https://worldwide.espacenet.com/patent/search?q=US20110105623","Espacenet")</f>
        <v>0.0</v>
      </c>
      <c r="I3390" s="2" t="n">
        <f>HYPERLINK("https://ppubs.uspto.gov/pubwebapp/external.html?q=20110105623.pn.","USPTO")</f>
        <v>0.0</v>
      </c>
      <c r="J3390" s="2" t="n">
        <f>HYPERLINK("https://image-ppubs.uspto.gov/dirsearch-public/print/downloadPdf/20110105623","USPTO PDF")</f>
        <v>0.0</v>
      </c>
      <c r="K3390" s="2" t="n">
        <f>HYPERLINK("https://sectors.patentforecast.com/pmd/US20110105623","PMD")</f>
        <v>0.0</v>
      </c>
      <c r="L3390" s="2" t="n">
        <f>HYPERLINK("https://globaldossier.uspto.gov/result/application/US/12916357/1","US20110105623")</f>
        <v>0.0</v>
      </c>
      <c r="M3390" t="s">
        <v>21801</v>
      </c>
      <c r="N3390" t="s">
        <v>21257</v>
      </c>
      <c r="O3390" t="s">
        <v>21258</v>
      </c>
      <c r="P3390" t="s">
        <v>21259</v>
      </c>
      <c r="Q3390" s="3" t="n">
        <v>40480.0</v>
      </c>
      <c r="R3390" s="3" t="n">
        <v>40668.0</v>
      </c>
      <c r="S3390" s="3" t="n">
        <v>43999.59019282407</v>
      </c>
      <c r="T3390" s="3" t="n">
        <v>44638.64789150463</v>
      </c>
      <c r="U3390" t="s">
        <v>21802</v>
      </c>
      <c r="V3390" t="s">
        <v>21261</v>
      </c>
    </row>
    <row r="3391">
      <c r="A3391" t="s">
        <v>22</v>
      </c>
      <c r="B3391" t="s">
        <v>21803</v>
      </c>
      <c r="C3391" t="s">
        <v>24</v>
      </c>
      <c r="D3391" t="s">
        <v>100</v>
      </c>
      <c r="E3391" t="s">
        <v>21804</v>
      </c>
      <c r="F3391" s="2" t="n">
        <f>HYPERLINK("https://patents.google.com/patent/US20110104197","Google")</f>
        <v>0.0</v>
      </c>
      <c r="G3391" s="2" t="n">
        <f>HYPERLINK("https://patentcenter.uspto.gov/applications/12997454","Patent Center")</f>
        <v>0.0</v>
      </c>
      <c r="H3391" s="2" t="n">
        <f>HYPERLINK("https://worldwide.espacenet.com/patent/search?q=US20110104197","Espacenet")</f>
        <v>0.0</v>
      </c>
      <c r="I3391" s="2" t="n">
        <f>HYPERLINK("https://ppubs.uspto.gov/pubwebapp/external.html?q=20110104197.pn.","USPTO")</f>
        <v>0.0</v>
      </c>
      <c r="J3391" s="2" t="n">
        <f>HYPERLINK("https://image-ppubs.uspto.gov/dirsearch-public/print/downloadPdf/20110104197","USPTO PDF")</f>
        <v>0.0</v>
      </c>
      <c r="K3391" s="2" t="n">
        <f>HYPERLINK("https://sectors.patentforecast.com/pmd/US20110104197","PMD")</f>
        <v>0.0</v>
      </c>
      <c r="L3391" s="2" t="n">
        <f>HYPERLINK("https://globaldossier.uspto.gov/result/application/US/12997454/1","US20110104197")</f>
        <v>0.0</v>
      </c>
      <c r="M3391" t="s">
        <v>21805</v>
      </c>
      <c r="N3391" t="s">
        <v>21806</v>
      </c>
      <c r="O3391" t="s">
        <v>21807</v>
      </c>
      <c r="P3391" t="s">
        <v>21808</v>
      </c>
      <c r="Q3391" s="3" t="n">
        <v>40007.0</v>
      </c>
      <c r="R3391" s="3" t="n">
        <v>40668.0</v>
      </c>
      <c r="S3391" s="3" t="n">
        <v>43938.46107408565</v>
      </c>
      <c r="T3391" s="3" t="n">
        <v>43985.38250688658</v>
      </c>
      <c r="U3391" t="s">
        <v>21809</v>
      </c>
      <c r="V3391" t="s">
        <v>21810</v>
      </c>
    </row>
    <row r="3392">
      <c r="A3392" t="s">
        <v>22</v>
      </c>
      <c r="B3392" t="s">
        <v>21811</v>
      </c>
      <c r="C3392" t="s">
        <v>60</v>
      </c>
      <c r="D3392" t="s">
        <v>61</v>
      </c>
      <c r="E3392" t="s">
        <v>20486</v>
      </c>
      <c r="F3392" s="2" t="n">
        <f>HYPERLINK("https://patents.google.com/patent/US20110097418","Google")</f>
        <v>0.0</v>
      </c>
      <c r="G3392" s="2" t="n">
        <f>HYPERLINK("https://patentcenter.uspto.gov/applications/12999725","Patent Center")</f>
        <v>0.0</v>
      </c>
      <c r="H3392" s="2" t="n">
        <f>HYPERLINK("https://worldwide.espacenet.com/patent/search?q=US20110097418","Espacenet")</f>
        <v>0.0</v>
      </c>
      <c r="I3392" s="2" t="n">
        <f>HYPERLINK("https://ppubs.uspto.gov/pubwebapp/external.html?q=20110097418.pn.","USPTO")</f>
        <v>0.0</v>
      </c>
      <c r="J3392" s="2" t="n">
        <f>HYPERLINK("https://image-ppubs.uspto.gov/dirsearch-public/print/downloadPdf/20110097418","USPTO PDF")</f>
        <v>0.0</v>
      </c>
      <c r="K3392" s="2" t="n">
        <f>HYPERLINK("https://sectors.patentforecast.com/pmd/US20110097418","PMD")</f>
        <v>0.0</v>
      </c>
      <c r="L3392" s="2" t="n">
        <f>HYPERLINK("https://globaldossier.uspto.gov/result/application/US/12999725/1","US20110097418")</f>
        <v>0.0</v>
      </c>
      <c r="M3392" t="s">
        <v>21812</v>
      </c>
      <c r="N3392" t="s">
        <v>10143</v>
      </c>
      <c r="O3392" t="s">
        <v>10144</v>
      </c>
      <c r="P3392" t="s">
        <v>20488</v>
      </c>
      <c r="Q3392" s="3" t="n">
        <v>39983.0</v>
      </c>
      <c r="R3392" s="3" t="n">
        <v>40661.0</v>
      </c>
      <c r="S3392" s="3" t="n">
        <v>43900.43738930555</v>
      </c>
      <c r="T3392" s="3" t="n">
        <v>43903.61215613426</v>
      </c>
      <c r="U3392" t="s">
        <v>21813</v>
      </c>
      <c r="V3392" t="s">
        <v>20490</v>
      </c>
    </row>
    <row r="3393">
      <c r="A3393" t="s">
        <v>22</v>
      </c>
      <c r="B3393" t="s">
        <v>21814</v>
      </c>
      <c r="C3393" t="s">
        <v>24</v>
      </c>
      <c r="D3393" t="s">
        <v>25</v>
      </c>
      <c r="E3393" t="s">
        <v>3619</v>
      </c>
      <c r="F3393" s="2" t="n">
        <f>HYPERLINK("https://patents.google.com/patent/US20110093249","Google")</f>
        <v>0.0</v>
      </c>
      <c r="G3393" s="2" t="n">
        <f>HYPERLINK("https://patentcenter.uspto.gov/applications/12906975","Patent Center")</f>
        <v>0.0</v>
      </c>
      <c r="H3393" s="2" t="n">
        <f>HYPERLINK("https://worldwide.espacenet.com/patent/search?q=US20110093249","Espacenet")</f>
        <v>0.0</v>
      </c>
      <c r="I3393" s="2" t="n">
        <f>HYPERLINK("https://ppubs.uspto.gov/pubwebapp/external.html?q=20110093249.pn.","USPTO")</f>
        <v>0.0</v>
      </c>
      <c r="J3393" s="2" t="n">
        <f>HYPERLINK("https://image-ppubs.uspto.gov/dirsearch-public/print/downloadPdf/20110093249","USPTO PDF")</f>
        <v>0.0</v>
      </c>
      <c r="K3393" s="2" t="n">
        <f>HYPERLINK("https://sectors.patentforecast.com/pmd/US20110093249","PMD")</f>
        <v>0.0</v>
      </c>
      <c r="L3393" s="2" t="n">
        <f>HYPERLINK("https://globaldossier.uspto.gov/result/application/US/12906975/1","US20110093249")</f>
        <v>0.0</v>
      </c>
      <c r="M3393" t="s">
        <v>21815</v>
      </c>
      <c r="N3393" t="s">
        <v>3621</v>
      </c>
      <c r="O3393" t="s">
        <v>3622</v>
      </c>
      <c r="P3393" t="s">
        <v>21816</v>
      </c>
      <c r="Q3393" s="3" t="n">
        <v>40469.0</v>
      </c>
      <c r="R3393" s="3" t="n">
        <v>40654.0</v>
      </c>
      <c r="S3393" s="3" t="n">
        <v>43266.457371840275</v>
      </c>
      <c r="T3393" s="3" t="n">
        <v>43903.49497351852</v>
      </c>
      <c r="U3393" t="s">
        <v>19384</v>
      </c>
      <c r="V3393" t="s">
        <v>3625</v>
      </c>
    </row>
    <row r="3394">
      <c r="A3394" t="s">
        <v>22</v>
      </c>
      <c r="B3394" t="s">
        <v>21817</v>
      </c>
      <c r="C3394" t="s">
        <v>132</v>
      </c>
      <c r="D3394" t="s">
        <v>142</v>
      </c>
      <c r="E3394" t="s">
        <v>21818</v>
      </c>
      <c r="F3394" s="2" t="n">
        <f>HYPERLINK("https://patents.google.com/patent/US20110092961","Google")</f>
        <v>0.0</v>
      </c>
      <c r="G3394" s="2" t="n">
        <f>HYPERLINK("https://patentcenter.uspto.gov/applications/12806008","Patent Center")</f>
        <v>0.0</v>
      </c>
      <c r="H3394" s="2" t="n">
        <f>HYPERLINK("https://worldwide.espacenet.com/patent/search?q=US20110092961","Espacenet")</f>
        <v>0.0</v>
      </c>
      <c r="I3394" s="2" t="n">
        <f>HYPERLINK("https://ppubs.uspto.gov/pubwebapp/external.html?q=20110092961.pn.","USPTO")</f>
        <v>0.0</v>
      </c>
      <c r="J3394" s="2" t="n">
        <f>HYPERLINK("https://image-ppubs.uspto.gov/dirsearch-public/print/downloadPdf/20110092961","USPTO PDF")</f>
        <v>0.0</v>
      </c>
      <c r="K3394" s="2" t="n">
        <f>HYPERLINK("https://sectors.patentforecast.com/pmd/US20110092961","PMD")</f>
        <v>0.0</v>
      </c>
      <c r="L3394" s="2" t="n">
        <f>HYPERLINK("https://globaldossier.uspto.gov/result/application/US/12806008/1","US20110092961")</f>
        <v>0.0</v>
      </c>
      <c r="M3394" t="s">
        <v>21819</v>
      </c>
      <c r="N3394" t="s">
        <v>21358</v>
      </c>
      <c r="O3394" t="s">
        <v>21359</v>
      </c>
      <c r="P3394" t="s">
        <v>21820</v>
      </c>
      <c r="Q3394" s="3" t="n">
        <v>40393.0</v>
      </c>
      <c r="R3394" s="3" t="n">
        <v>40654.0</v>
      </c>
      <c r="S3394" s="3" t="n">
        <v>43931.46126978009</v>
      </c>
      <c r="T3394" s="3" t="n">
        <v>43950.546032199076</v>
      </c>
      <c r="U3394" t="s">
        <v>21821</v>
      </c>
      <c r="V3394" t="s">
        <v>21822</v>
      </c>
    </row>
    <row r="3395">
      <c r="A3395" t="s">
        <v>22</v>
      </c>
      <c r="B3395" t="s">
        <v>21823</v>
      </c>
      <c r="C3395" t="s">
        <v>24</v>
      </c>
      <c r="D3395" t="s">
        <v>25</v>
      </c>
      <c r="E3395" t="s">
        <v>19314</v>
      </c>
      <c r="F3395" s="2" t="n">
        <f>HYPERLINK("https://patents.google.com/patent/US20110086351","Google")</f>
        <v>0.0</v>
      </c>
      <c r="G3395" s="2" t="n">
        <f>HYPERLINK("https://patentcenter.uspto.gov/applications/12856434","Patent Center")</f>
        <v>0.0</v>
      </c>
      <c r="H3395" s="2" t="n">
        <f>HYPERLINK("https://worldwide.espacenet.com/patent/search?q=US20110086351","Espacenet")</f>
        <v>0.0</v>
      </c>
      <c r="I3395" s="2" t="n">
        <f>HYPERLINK("https://ppubs.uspto.gov/pubwebapp/external.html?q=20110086351.pn.","USPTO")</f>
        <v>0.0</v>
      </c>
      <c r="J3395" s="2" t="n">
        <f>HYPERLINK("https://image-ppubs.uspto.gov/dirsearch-public/print/downloadPdf/20110086351","USPTO PDF")</f>
        <v>0.0</v>
      </c>
      <c r="K3395" s="2" t="n">
        <f>HYPERLINK("https://sectors.patentforecast.com/pmd/US20110086351","PMD")</f>
        <v>0.0</v>
      </c>
      <c r="L3395" s="2" t="n">
        <f>HYPERLINK("https://globaldossier.uspto.gov/result/application/US/12856434/1","US20110086351")</f>
        <v>0.0</v>
      </c>
      <c r="M3395" t="s">
        <v>21824</v>
      </c>
      <c r="N3395" t="s">
        <v>19316</v>
      </c>
      <c r="O3395" t="s">
        <v>19317</v>
      </c>
      <c r="P3395" t="s">
        <v>19318</v>
      </c>
      <c r="Q3395" s="3" t="n">
        <v>40403.0</v>
      </c>
      <c r="R3395" s="3" t="n">
        <v>40647.0</v>
      </c>
      <c r="S3395" s="3" t="n">
        <v>43900.43738930555</v>
      </c>
      <c r="T3395" s="3" t="n">
        <v>43903.48463226852</v>
      </c>
      <c r="U3395" t="s">
        <v>5807</v>
      </c>
      <c r="V3395" t="s">
        <v>19319</v>
      </c>
    </row>
    <row r="3396">
      <c r="A3396" t="s">
        <v>22</v>
      </c>
      <c r="B3396" t="s">
        <v>21825</v>
      </c>
      <c r="C3396" t="s">
        <v>24</v>
      </c>
      <c r="D3396" t="s">
        <v>25</v>
      </c>
      <c r="E3396" t="s">
        <v>19314</v>
      </c>
      <c r="F3396" s="2" t="n">
        <f>HYPERLINK("https://patents.google.com/patent/US20110086350","Google")</f>
        <v>0.0</v>
      </c>
      <c r="G3396" s="2" t="n">
        <f>HYPERLINK("https://patentcenter.uspto.gov/applications/12856422","Patent Center")</f>
        <v>0.0</v>
      </c>
      <c r="H3396" s="2" t="n">
        <f>HYPERLINK("https://worldwide.espacenet.com/patent/search?q=US20110086350","Espacenet")</f>
        <v>0.0</v>
      </c>
      <c r="I3396" s="2" t="n">
        <f>HYPERLINK("https://ppubs.uspto.gov/pubwebapp/external.html?q=20110086350.pn.","USPTO")</f>
        <v>0.0</v>
      </c>
      <c r="J3396" s="2" t="n">
        <f>HYPERLINK("https://image-ppubs.uspto.gov/dirsearch-public/print/downloadPdf/20110086350","USPTO PDF")</f>
        <v>0.0</v>
      </c>
      <c r="K3396" s="2" t="n">
        <f>HYPERLINK("https://sectors.patentforecast.com/pmd/US20110086350","PMD")</f>
        <v>0.0</v>
      </c>
      <c r="L3396" s="2" t="n">
        <f>HYPERLINK("https://globaldossier.uspto.gov/result/application/US/12856422/1","US20110086350")</f>
        <v>0.0</v>
      </c>
      <c r="M3396" t="s">
        <v>21826</v>
      </c>
      <c r="N3396" t="s">
        <v>19316</v>
      </c>
      <c r="O3396" t="s">
        <v>19317</v>
      </c>
      <c r="P3396" t="s">
        <v>19318</v>
      </c>
      <c r="Q3396" s="3" t="n">
        <v>40403.0</v>
      </c>
      <c r="R3396" s="3" t="n">
        <v>40647.0</v>
      </c>
      <c r="S3396" s="3" t="n">
        <v>43900.43738930555</v>
      </c>
      <c r="T3396" s="3" t="n">
        <v>43901.72156457176</v>
      </c>
      <c r="U3396" t="s">
        <v>5807</v>
      </c>
      <c r="V3396" t="s">
        <v>19319</v>
      </c>
    </row>
    <row r="3397">
      <c r="A3397" t="s">
        <v>22</v>
      </c>
      <c r="B3397" t="s">
        <v>21827</v>
      </c>
      <c r="C3397" t="s">
        <v>24</v>
      </c>
      <c r="D3397" t="s">
        <v>25</v>
      </c>
      <c r="E3397" t="s">
        <v>19314</v>
      </c>
      <c r="F3397" s="2" t="n">
        <f>HYPERLINK("https://patents.google.com/patent/US20110086339","Google")</f>
        <v>0.0</v>
      </c>
      <c r="G3397" s="2" t="n">
        <f>HYPERLINK("https://patentcenter.uspto.gov/applications/12856398","Patent Center")</f>
        <v>0.0</v>
      </c>
      <c r="H3397" s="2" t="n">
        <f>HYPERLINK("https://worldwide.espacenet.com/patent/search?q=US20110086339","Espacenet")</f>
        <v>0.0</v>
      </c>
      <c r="I3397" s="2" t="n">
        <f>HYPERLINK("https://ppubs.uspto.gov/pubwebapp/external.html?q=20110086339.pn.","USPTO")</f>
        <v>0.0</v>
      </c>
      <c r="J3397" s="2" t="n">
        <f>HYPERLINK("https://image-ppubs.uspto.gov/dirsearch-public/print/downloadPdf/20110086339","USPTO PDF")</f>
        <v>0.0</v>
      </c>
      <c r="K3397" s="2" t="n">
        <f>HYPERLINK("https://sectors.patentforecast.com/pmd/US20110086339","PMD")</f>
        <v>0.0</v>
      </c>
      <c r="L3397" s="2" t="n">
        <f>HYPERLINK("https://globaldossier.uspto.gov/result/application/US/12856398/1","US20110086339")</f>
        <v>0.0</v>
      </c>
      <c r="M3397" t="s">
        <v>21828</v>
      </c>
      <c r="N3397" t="s">
        <v>19316</v>
      </c>
      <c r="O3397" t="s">
        <v>19317</v>
      </c>
      <c r="P3397" t="s">
        <v>19318</v>
      </c>
      <c r="Q3397" s="3" t="n">
        <v>40403.0</v>
      </c>
      <c r="R3397" s="3" t="n">
        <v>40647.0</v>
      </c>
      <c r="S3397" s="3" t="n">
        <v>43900.43738930555</v>
      </c>
      <c r="T3397" s="3" t="n">
        <v>43903.4846322338</v>
      </c>
      <c r="U3397" t="s">
        <v>5807</v>
      </c>
      <c r="V3397" t="s">
        <v>19319</v>
      </c>
    </row>
    <row r="3398">
      <c r="A3398" t="s">
        <v>22</v>
      </c>
      <c r="B3398" t="s">
        <v>21829</v>
      </c>
      <c r="C3398" t="s">
        <v>60</v>
      </c>
      <c r="D3398" t="s">
        <v>61</v>
      </c>
      <c r="E3398" t="s">
        <v>21830</v>
      </c>
      <c r="F3398" s="2" t="n">
        <f>HYPERLINK("https://patents.google.com/patent/US20110082112","Google")</f>
        <v>0.0</v>
      </c>
      <c r="G3398" s="2" t="n">
        <f>HYPERLINK("https://patentcenter.uspto.gov/applications/12913704","Patent Center")</f>
        <v>0.0</v>
      </c>
      <c r="H3398" s="2" t="n">
        <f>HYPERLINK("https://worldwide.espacenet.com/patent/search?q=US20110082112","Espacenet")</f>
        <v>0.0</v>
      </c>
      <c r="I3398" s="2" t="n">
        <f>HYPERLINK("https://ppubs.uspto.gov/pubwebapp/external.html?q=20110082112.pn.","USPTO")</f>
        <v>0.0</v>
      </c>
      <c r="J3398" s="2" t="n">
        <f>HYPERLINK("https://image-ppubs.uspto.gov/dirsearch-public/print/downloadPdf/20110082112","USPTO PDF")</f>
        <v>0.0</v>
      </c>
      <c r="K3398" s="2" t="n">
        <f>HYPERLINK("https://sectors.patentforecast.com/pmd/US20110082112","PMD")</f>
        <v>0.0</v>
      </c>
      <c r="L3398" s="2" t="n">
        <f>HYPERLINK("https://globaldossier.uspto.gov/result/application/US/12913704/1","US20110082112")</f>
        <v>0.0</v>
      </c>
      <c r="M3398" t="s">
        <v>21831</v>
      </c>
      <c r="N3398" t="s">
        <v>664</v>
      </c>
      <c r="O3398" t="s">
        <v>665</v>
      </c>
      <c r="P3398" t="s">
        <v>21832</v>
      </c>
      <c r="Q3398" s="3" t="n">
        <v>40478.0</v>
      </c>
      <c r="R3398" s="3" t="n">
        <v>40640.0</v>
      </c>
      <c r="S3398" s="3" t="n">
        <v>43952.45957747685</v>
      </c>
      <c r="T3398" s="3" t="n">
        <v>44638.65271974537</v>
      </c>
      <c r="U3398" t="s">
        <v>21833</v>
      </c>
      <c r="V3398" t="s">
        <v>21834</v>
      </c>
    </row>
    <row r="3399">
      <c r="A3399" t="s">
        <v>22</v>
      </c>
      <c r="B3399" t="s">
        <v>21835</v>
      </c>
      <c r="C3399" t="s">
        <v>60</v>
      </c>
      <c r="D3399" t="s">
        <v>61</v>
      </c>
      <c r="E3399" t="s">
        <v>21830</v>
      </c>
      <c r="F3399" s="2" t="n">
        <f>HYPERLINK("https://patents.google.com/patent/US20110081314","Google")</f>
        <v>0.0</v>
      </c>
      <c r="G3399" s="2" t="n">
        <f>HYPERLINK("https://patentcenter.uspto.gov/applications/12913692","Patent Center")</f>
        <v>0.0</v>
      </c>
      <c r="H3399" s="2" t="n">
        <f>HYPERLINK("https://worldwide.espacenet.com/patent/search?q=US20110081314","Espacenet")</f>
        <v>0.0</v>
      </c>
      <c r="I3399" s="2" t="n">
        <f>HYPERLINK("https://ppubs.uspto.gov/pubwebapp/external.html?q=20110081314.pn.","USPTO")</f>
        <v>0.0</v>
      </c>
      <c r="J3399" s="2" t="n">
        <f>HYPERLINK("https://image-ppubs.uspto.gov/dirsearch-public/print/downloadPdf/20110081314","USPTO PDF")</f>
        <v>0.0</v>
      </c>
      <c r="K3399" s="2" t="n">
        <f>HYPERLINK("https://sectors.patentforecast.com/pmd/US20110081314","PMD")</f>
        <v>0.0</v>
      </c>
      <c r="L3399" s="2" t="n">
        <f>HYPERLINK("https://globaldossier.uspto.gov/result/application/US/12913692/1","US20110081314")</f>
        <v>0.0</v>
      </c>
      <c r="M3399" t="s">
        <v>21836</v>
      </c>
      <c r="N3399" t="s">
        <v>664</v>
      </c>
      <c r="O3399" t="s">
        <v>665</v>
      </c>
      <c r="P3399" t="s">
        <v>21832</v>
      </c>
      <c r="Q3399" s="3" t="n">
        <v>40478.0</v>
      </c>
      <c r="R3399" s="3" t="n">
        <v>40640.0</v>
      </c>
      <c r="S3399" s="3" t="n">
        <v>43952.45957747685</v>
      </c>
      <c r="T3399" s="3" t="n">
        <v>44638.65271974537</v>
      </c>
      <c r="U3399" t="s">
        <v>21837</v>
      </c>
      <c r="V3399" t="s">
        <v>21838</v>
      </c>
    </row>
    <row r="3400">
      <c r="A3400" t="s">
        <v>22</v>
      </c>
      <c r="B3400" t="s">
        <v>21839</v>
      </c>
      <c r="C3400" t="s">
        <v>312</v>
      </c>
      <c r="D3400" t="s">
        <v>976</v>
      </c>
      <c r="E3400" t="s">
        <v>21840</v>
      </c>
      <c r="F3400" s="2" t="n">
        <f>HYPERLINK("https://patents.google.com/patent/US20110078168","Google")</f>
        <v>0.0</v>
      </c>
      <c r="G3400" s="2" t="n">
        <f>HYPERLINK("https://patentcenter.uspto.gov/applications/12962188","Patent Center")</f>
        <v>0.0</v>
      </c>
      <c r="H3400" s="2" t="n">
        <f>HYPERLINK("https://worldwide.espacenet.com/patent/search?q=US20110078168","Espacenet")</f>
        <v>0.0</v>
      </c>
      <c r="I3400" s="2" t="n">
        <f>HYPERLINK("https://ppubs.uspto.gov/pubwebapp/external.html?q=20110078168.pn.","USPTO")</f>
        <v>0.0</v>
      </c>
      <c r="J3400" s="2" t="n">
        <f>HYPERLINK("https://image-ppubs.uspto.gov/dirsearch-public/print/downloadPdf/20110078168","USPTO PDF")</f>
        <v>0.0</v>
      </c>
      <c r="K3400" s="2" t="n">
        <f>HYPERLINK("https://sectors.patentforecast.com/pmd/US20110078168","PMD")</f>
        <v>0.0</v>
      </c>
      <c r="L3400" s="2" t="n">
        <f>HYPERLINK("https://globaldossier.uspto.gov/result/application/US/12962188/1","US20110078168")</f>
        <v>0.0</v>
      </c>
      <c r="M3400" t="s">
        <v>21841</v>
      </c>
      <c r="N3400" t="s">
        <v>16673</v>
      </c>
      <c r="O3400" t="s">
        <v>16674</v>
      </c>
      <c r="P3400" t="s">
        <v>21723</v>
      </c>
      <c r="Q3400" s="3" t="n">
        <v>40519.0</v>
      </c>
      <c r="R3400" s="3" t="n">
        <v>40633.0</v>
      </c>
      <c r="S3400" s="3" t="n">
        <v>43977.501862847224</v>
      </c>
      <c r="T3400" s="3" t="n">
        <v>44643.42582246528</v>
      </c>
      <c r="U3400" t="s">
        <v>21724</v>
      </c>
      <c r="V3400" t="s">
        <v>21842</v>
      </c>
    </row>
    <row r="3401">
      <c r="A3401" t="s">
        <v>22</v>
      </c>
      <c r="B3401" t="s">
        <v>21843</v>
      </c>
      <c r="C3401" t="s">
        <v>60</v>
      </c>
      <c r="D3401" t="s">
        <v>61</v>
      </c>
      <c r="E3401" t="s">
        <v>21844</v>
      </c>
      <c r="F3401" s="2" t="n">
        <f>HYPERLINK("https://patents.google.com/patent/US20110076276","Google")</f>
        <v>0.0</v>
      </c>
      <c r="G3401" s="2" t="n">
        <f>HYPERLINK("https://patentcenter.uspto.gov/applications/12215450","Patent Center")</f>
        <v>0.0</v>
      </c>
      <c r="H3401" s="2" t="n">
        <f>HYPERLINK("https://worldwide.espacenet.com/patent/search?q=US20110076276","Espacenet")</f>
        <v>0.0</v>
      </c>
      <c r="I3401" s="2" t="n">
        <f>HYPERLINK("https://ppubs.uspto.gov/pubwebapp/external.html?q=20110076276.pn.","USPTO")</f>
        <v>0.0</v>
      </c>
      <c r="J3401" s="2" t="n">
        <f>HYPERLINK("https://image-ppubs.uspto.gov/dirsearch-public/print/downloadPdf/20110076276","USPTO PDF")</f>
        <v>0.0</v>
      </c>
      <c r="K3401" s="2" t="n">
        <f>HYPERLINK("https://sectors.patentforecast.com/pmd/US20110076276","PMD")</f>
        <v>0.0</v>
      </c>
      <c r="L3401" s="2" t="n">
        <f>HYPERLINK("https://globaldossier.uspto.gov/result/application/US/12215450/1","US20110076276")</f>
        <v>0.0</v>
      </c>
      <c r="M3401" t="s">
        <v>21845</v>
      </c>
      <c r="N3401" t="s">
        <v>19232</v>
      </c>
      <c r="O3401" t="s">
        <v>19233</v>
      </c>
      <c r="P3401" t="s">
        <v>21846</v>
      </c>
      <c r="Q3401" s="3" t="n">
        <v>39625.0</v>
      </c>
      <c r="R3401" s="3" t="n">
        <v>40633.0</v>
      </c>
      <c r="S3401" s="3" t="n">
        <v>43952.45957747685</v>
      </c>
      <c r="T3401" s="3" t="n">
        <v>44638.662781747684</v>
      </c>
      <c r="U3401" t="s">
        <v>21847</v>
      </c>
      <c r="V3401" t="s">
        <v>21848</v>
      </c>
    </row>
    <row r="3402">
      <c r="A3402" t="s">
        <v>22</v>
      </c>
      <c r="B3402" t="s">
        <v>21849</v>
      </c>
      <c r="C3402" t="s">
        <v>24</v>
      </c>
      <c r="D3402" t="s">
        <v>25</v>
      </c>
      <c r="E3402" t="s">
        <v>20197</v>
      </c>
      <c r="F3402" s="2" t="n">
        <f>HYPERLINK("https://patents.google.com/patent/US20110070587","Google")</f>
        <v>0.0</v>
      </c>
      <c r="G3402" s="2" t="n">
        <f>HYPERLINK("https://patentcenter.uspto.gov/applications/12868704","Patent Center")</f>
        <v>0.0</v>
      </c>
      <c r="H3402" s="2" t="n">
        <f>HYPERLINK("https://worldwide.espacenet.com/patent/search?q=US20110070587","Espacenet")</f>
        <v>0.0</v>
      </c>
      <c r="I3402" s="2" t="n">
        <f>HYPERLINK("https://ppubs.uspto.gov/pubwebapp/external.html?q=20110070587.pn.","USPTO")</f>
        <v>0.0</v>
      </c>
      <c r="J3402" s="2" t="n">
        <f>HYPERLINK("https://image-ppubs.uspto.gov/dirsearch-public/print/downloadPdf/20110070587","USPTO PDF")</f>
        <v>0.0</v>
      </c>
      <c r="K3402" s="2" t="n">
        <f>HYPERLINK("https://sectors.patentforecast.com/pmd/US20110070587","PMD")</f>
        <v>0.0</v>
      </c>
      <c r="L3402" s="2" t="n">
        <f>HYPERLINK("https://globaldossier.uspto.gov/result/application/US/12868704/1","US20110070587")</f>
        <v>0.0</v>
      </c>
      <c r="M3402" t="s">
        <v>21850</v>
      </c>
      <c r="N3402" t="s">
        <v>13746</v>
      </c>
      <c r="O3402" t="s">
        <v>13747</v>
      </c>
      <c r="P3402" t="s">
        <v>21851</v>
      </c>
      <c r="Q3402" s="3" t="n">
        <v>40415.0</v>
      </c>
      <c r="R3402" s="3" t="n">
        <v>40626.0</v>
      </c>
      <c r="S3402" s="3" t="n">
        <v>43266.457371840275</v>
      </c>
      <c r="T3402" s="3" t="n">
        <v>43903.49497346065</v>
      </c>
      <c r="U3402" t="s">
        <v>20202</v>
      </c>
      <c r="V3402" t="s">
        <v>20203</v>
      </c>
    </row>
    <row r="3403">
      <c r="A3403" t="s">
        <v>22</v>
      </c>
      <c r="B3403" t="s">
        <v>21852</v>
      </c>
      <c r="C3403" t="s">
        <v>60</v>
      </c>
      <c r="D3403" t="s">
        <v>61</v>
      </c>
      <c r="E3403" t="s">
        <v>20681</v>
      </c>
      <c r="F3403" s="2" t="n">
        <f>HYPERLINK("https://patents.google.com/patent/US20110070194","Google")</f>
        <v>0.0</v>
      </c>
      <c r="G3403" s="2" t="n">
        <f>HYPERLINK("https://patentcenter.uspto.gov/applications/12885917","Patent Center")</f>
        <v>0.0</v>
      </c>
      <c r="H3403" s="2" t="n">
        <f>HYPERLINK("https://worldwide.espacenet.com/patent/search?q=US20110070194","Espacenet")</f>
        <v>0.0</v>
      </c>
      <c r="I3403" s="2" t="n">
        <f>HYPERLINK("https://ppubs.uspto.gov/pubwebapp/external.html?q=20110070194.pn.","USPTO")</f>
        <v>0.0</v>
      </c>
      <c r="J3403" s="2" t="n">
        <f>HYPERLINK("https://image-ppubs.uspto.gov/dirsearch-public/print/downloadPdf/20110070194","USPTO PDF")</f>
        <v>0.0</v>
      </c>
      <c r="K3403" s="2" t="n">
        <f>HYPERLINK("https://sectors.patentforecast.com/pmd/US20110070194","PMD")</f>
        <v>0.0</v>
      </c>
      <c r="L3403" s="2" t="n">
        <f>HYPERLINK("https://globaldossier.uspto.gov/result/application/US/12885917/1","US20110070194")</f>
        <v>0.0</v>
      </c>
      <c r="M3403" t="s">
        <v>21853</v>
      </c>
      <c r="N3403" t="s">
        <v>664</v>
      </c>
      <c r="O3403" t="s">
        <v>665</v>
      </c>
      <c r="P3403" t="s">
        <v>21854</v>
      </c>
      <c r="Q3403" s="3" t="n">
        <v>40441.0</v>
      </c>
      <c r="R3403" s="3" t="n">
        <v>40626.0</v>
      </c>
      <c r="S3403" s="3" t="n">
        <v>43952.45957747685</v>
      </c>
      <c r="T3403" s="3" t="n">
        <v>44638.65072081018</v>
      </c>
      <c r="U3403" t="s">
        <v>21855</v>
      </c>
      <c r="V3403" t="s">
        <v>21856</v>
      </c>
    </row>
    <row r="3404">
      <c r="A3404" t="s">
        <v>22</v>
      </c>
      <c r="B3404" t="s">
        <v>21857</v>
      </c>
      <c r="C3404" t="s">
        <v>132</v>
      </c>
      <c r="D3404" t="s">
        <v>142</v>
      </c>
      <c r="E3404" t="s">
        <v>21818</v>
      </c>
      <c r="F3404" s="2" t="n">
        <f>HYPERLINK("https://patents.google.com/patent/US20110070154","Google")</f>
        <v>0.0</v>
      </c>
      <c r="G3404" s="2" t="n">
        <f>HYPERLINK("https://patentcenter.uspto.gov/applications/12806007","Patent Center")</f>
        <v>0.0</v>
      </c>
      <c r="H3404" s="2" t="n">
        <f>HYPERLINK("https://worldwide.espacenet.com/patent/search?q=US20110070154","Espacenet")</f>
        <v>0.0</v>
      </c>
      <c r="I3404" s="2" t="n">
        <f>HYPERLINK("https://ppubs.uspto.gov/pubwebapp/external.html?q=20110070154.pn.","USPTO")</f>
        <v>0.0</v>
      </c>
      <c r="J3404" s="2" t="n">
        <f>HYPERLINK("https://image-ppubs.uspto.gov/dirsearch-public/print/downloadPdf/20110070154","USPTO PDF")</f>
        <v>0.0</v>
      </c>
      <c r="K3404" s="2" t="n">
        <f>HYPERLINK("https://sectors.patentforecast.com/pmd/US20110070154","PMD")</f>
        <v>0.0</v>
      </c>
      <c r="L3404" s="2" t="n">
        <f>HYPERLINK("https://globaldossier.uspto.gov/result/application/US/12806007/1","US20110070154")</f>
        <v>0.0</v>
      </c>
      <c r="M3404" t="s">
        <v>21858</v>
      </c>
      <c r="N3404" t="s">
        <v>21358</v>
      </c>
      <c r="O3404" t="s">
        <v>21359</v>
      </c>
      <c r="P3404" t="s">
        <v>21820</v>
      </c>
      <c r="Q3404" s="3" t="n">
        <v>40393.0</v>
      </c>
      <c r="R3404" s="3" t="n">
        <v>40626.0</v>
      </c>
      <c r="S3404" s="3" t="n">
        <v>43964.46240030092</v>
      </c>
      <c r="T3404" s="3" t="n">
        <v>43986.400191875</v>
      </c>
      <c r="U3404" t="s">
        <v>21821</v>
      </c>
      <c r="V3404" t="s">
        <v>21822</v>
      </c>
    </row>
    <row r="3405">
      <c r="A3405" t="s">
        <v>22</v>
      </c>
      <c r="B3405" t="s">
        <v>21859</v>
      </c>
      <c r="C3405" t="s">
        <v>132</v>
      </c>
      <c r="D3405" t="s">
        <v>142</v>
      </c>
      <c r="E3405" t="s">
        <v>21818</v>
      </c>
      <c r="F3405" s="2" t="n">
        <f>HYPERLINK("https://patents.google.com/patent/US20110070153","Google")</f>
        <v>0.0</v>
      </c>
      <c r="G3405" s="2" t="n">
        <f>HYPERLINK("https://patentcenter.uspto.gov/applications/12805000","Patent Center")</f>
        <v>0.0</v>
      </c>
      <c r="H3405" s="2" t="n">
        <f>HYPERLINK("https://worldwide.espacenet.com/patent/search?q=US20110070153","Espacenet")</f>
        <v>0.0</v>
      </c>
      <c r="I3405" s="2" t="n">
        <f>HYPERLINK("https://ppubs.uspto.gov/pubwebapp/external.html?q=20110070153.pn.","USPTO")</f>
        <v>0.0</v>
      </c>
      <c r="J3405" s="2" t="n">
        <f>HYPERLINK("https://image-ppubs.uspto.gov/dirsearch-public/print/downloadPdf/20110070153","USPTO PDF")</f>
        <v>0.0</v>
      </c>
      <c r="K3405" s="2" t="n">
        <f>HYPERLINK("https://sectors.patentforecast.com/pmd/US20110070153","PMD")</f>
        <v>0.0</v>
      </c>
      <c r="L3405" s="2" t="n">
        <f>HYPERLINK("https://globaldossier.uspto.gov/result/application/US/12805000/1","US20110070153")</f>
        <v>0.0</v>
      </c>
      <c r="M3405" t="s">
        <v>21860</v>
      </c>
      <c r="N3405" t="s">
        <v>21861</v>
      </c>
      <c r="O3405" t="s">
        <v>21862</v>
      </c>
      <c r="P3405" t="s">
        <v>21820</v>
      </c>
      <c r="Q3405" s="3" t="n">
        <v>40393.0</v>
      </c>
      <c r="R3405" s="3" t="n">
        <v>40626.0</v>
      </c>
      <c r="S3405" s="3" t="n">
        <v>43964.46240030092</v>
      </c>
      <c r="T3405" s="3" t="n">
        <v>43985.49528895834</v>
      </c>
      <c r="U3405" t="s">
        <v>21821</v>
      </c>
      <c r="V3405" t="s">
        <v>21822</v>
      </c>
    </row>
    <row r="3406">
      <c r="A3406" t="s">
        <v>22</v>
      </c>
      <c r="B3406" t="s">
        <v>21863</v>
      </c>
      <c r="C3406" t="s">
        <v>24</v>
      </c>
      <c r="D3406" t="s">
        <v>100</v>
      </c>
      <c r="E3406" t="s">
        <v>19021</v>
      </c>
      <c r="F3406" s="2" t="n">
        <f>HYPERLINK("https://patents.google.com/patent/US20110068930","Google")</f>
        <v>0.0</v>
      </c>
      <c r="G3406" s="2" t="n">
        <f>HYPERLINK("https://patentcenter.uspto.gov/applications/12901891","Patent Center")</f>
        <v>0.0</v>
      </c>
      <c r="H3406" s="2" t="n">
        <f>HYPERLINK("https://worldwide.espacenet.com/patent/search?q=US20110068930","Espacenet")</f>
        <v>0.0</v>
      </c>
      <c r="I3406" s="2" t="n">
        <f>HYPERLINK("https://ppubs.uspto.gov/pubwebapp/external.html?q=20110068930.pn.","USPTO")</f>
        <v>0.0</v>
      </c>
      <c r="J3406" s="2" t="n">
        <f>HYPERLINK("https://image-ppubs.uspto.gov/dirsearch-public/print/downloadPdf/20110068930","USPTO PDF")</f>
        <v>0.0</v>
      </c>
      <c r="K3406" s="2" t="n">
        <f>HYPERLINK("https://sectors.patentforecast.com/pmd/US20110068930","PMD")</f>
        <v>0.0</v>
      </c>
      <c r="L3406" s="2" t="n">
        <f>HYPERLINK("https://globaldossier.uspto.gov/result/application/US/12901891/1","US20110068930")</f>
        <v>0.0</v>
      </c>
      <c r="M3406" t="s">
        <v>21864</v>
      </c>
      <c r="N3406" t="s">
        <v>17055</v>
      </c>
      <c r="O3406" t="s">
        <v>17056</v>
      </c>
      <c r="P3406" t="s">
        <v>19023</v>
      </c>
      <c r="Q3406" s="3" t="n">
        <v>40462.0</v>
      </c>
      <c r="R3406" s="3" t="n">
        <v>40626.0</v>
      </c>
      <c r="S3406" s="3" t="n">
        <v>43266.457371840275</v>
      </c>
      <c r="T3406" s="3" t="n">
        <v>43906.35771765046</v>
      </c>
      <c r="U3406" t="s">
        <v>19024</v>
      </c>
      <c r="V3406" t="s">
        <v>21865</v>
      </c>
    </row>
    <row r="3407">
      <c r="A3407" t="s">
        <v>22</v>
      </c>
      <c r="B3407" t="s">
        <v>21866</v>
      </c>
      <c r="C3407" t="s">
        <v>24</v>
      </c>
      <c r="D3407" t="s">
        <v>34</v>
      </c>
      <c r="E3407" t="s">
        <v>21867</v>
      </c>
      <c r="F3407" s="2" t="n">
        <f>HYPERLINK("https://patents.google.com/patent/US20110066002","Google")</f>
        <v>0.0</v>
      </c>
      <c r="G3407" s="2" t="n">
        <f>HYPERLINK("https://patentcenter.uspto.gov/applications/12558808","Patent Center")</f>
        <v>0.0</v>
      </c>
      <c r="H3407" s="2" t="n">
        <f>HYPERLINK("https://worldwide.espacenet.com/patent/search?q=US20110066002","Espacenet")</f>
        <v>0.0</v>
      </c>
      <c r="I3407" s="2" t="n">
        <f>HYPERLINK("https://ppubs.uspto.gov/pubwebapp/external.html?q=20110066002.pn.","USPTO")</f>
        <v>0.0</v>
      </c>
      <c r="J3407" s="2" t="n">
        <f>HYPERLINK("https://image-ppubs.uspto.gov/dirsearch-public/print/downloadPdf/20110066002","USPTO PDF")</f>
        <v>0.0</v>
      </c>
      <c r="K3407" s="2" t="n">
        <f>HYPERLINK("https://sectors.patentforecast.com/pmd/US20110066002","PMD")</f>
        <v>0.0</v>
      </c>
      <c r="L3407" s="2" t="n">
        <f>HYPERLINK("https://globaldossier.uspto.gov/result/application/US/12558808/1","US20110066002")</f>
        <v>0.0</v>
      </c>
      <c r="M3407" t="s">
        <v>21868</v>
      </c>
      <c r="N3407" t="s">
        <v>20833</v>
      </c>
      <c r="O3407" t="s">
        <v>20834</v>
      </c>
      <c r="P3407" t="s">
        <v>20835</v>
      </c>
      <c r="Q3407" s="3" t="n">
        <v>40070.0</v>
      </c>
      <c r="R3407" s="3" t="n">
        <v>40619.0</v>
      </c>
      <c r="S3407" s="3" t="n">
        <v>43266.457371840275</v>
      </c>
      <c r="T3407" s="3" t="n">
        <v>43903.48463232639</v>
      </c>
      <c r="U3407" t="s">
        <v>21869</v>
      </c>
      <c r="V3407" t="s">
        <v>21870</v>
      </c>
    </row>
    <row r="3408">
      <c r="A3408" t="s">
        <v>22</v>
      </c>
      <c r="B3408" t="s">
        <v>21871</v>
      </c>
      <c r="C3408" t="s">
        <v>60</v>
      </c>
      <c r="D3408" t="s">
        <v>61</v>
      </c>
      <c r="E3408" t="s">
        <v>21158</v>
      </c>
      <c r="F3408" s="2" t="n">
        <f>HYPERLINK("https://patents.google.com/patent/US20110065631","Google")</f>
        <v>0.0</v>
      </c>
      <c r="G3408" s="2" t="n">
        <f>HYPERLINK("https://patentcenter.uspto.gov/applications/12293450","Patent Center")</f>
        <v>0.0</v>
      </c>
      <c r="H3408" s="2" t="n">
        <f>HYPERLINK("https://worldwide.espacenet.com/patent/search?q=US20110065631","Espacenet")</f>
        <v>0.0</v>
      </c>
      <c r="I3408" s="2" t="n">
        <f>HYPERLINK("https://ppubs.uspto.gov/pubwebapp/external.html?q=20110065631.pn.","USPTO")</f>
        <v>0.0</v>
      </c>
      <c r="J3408" s="2" t="n">
        <f>HYPERLINK("https://image-ppubs.uspto.gov/dirsearch-public/print/downloadPdf/20110065631","USPTO PDF")</f>
        <v>0.0</v>
      </c>
      <c r="K3408" s="2" t="n">
        <f>HYPERLINK("https://sectors.patentforecast.com/pmd/US20110065631","PMD")</f>
        <v>0.0</v>
      </c>
      <c r="L3408" s="2" t="n">
        <f>HYPERLINK("https://globaldossier.uspto.gov/result/application/US/12293450/1","US20110065631")</f>
        <v>0.0</v>
      </c>
      <c r="M3408" t="s">
        <v>21872</v>
      </c>
      <c r="N3408" t="s">
        <v>664</v>
      </c>
      <c r="O3408" t="s">
        <v>665</v>
      </c>
      <c r="P3408" t="s">
        <v>21873</v>
      </c>
      <c r="Q3408" s="3" t="n">
        <v>39170.0</v>
      </c>
      <c r="R3408" s="3" t="n">
        <v>40619.0</v>
      </c>
      <c r="S3408" s="3" t="n">
        <v>43950.647371782405</v>
      </c>
      <c r="T3408" s="3" t="n">
        <v>44638.662781747684</v>
      </c>
      <c r="U3408" t="s">
        <v>21874</v>
      </c>
      <c r="V3408" t="s">
        <v>21875</v>
      </c>
    </row>
    <row r="3409">
      <c r="A3409" t="s">
        <v>22</v>
      </c>
      <c r="B3409" t="s">
        <v>21876</v>
      </c>
      <c r="C3409" t="s">
        <v>60</v>
      </c>
      <c r="D3409" t="s">
        <v>61</v>
      </c>
      <c r="E3409" t="s">
        <v>21877</v>
      </c>
      <c r="F3409" s="2" t="n">
        <f>HYPERLINK("https://patents.google.com/patent/US20110065198","Google")</f>
        <v>0.0</v>
      </c>
      <c r="G3409" s="2" t="n">
        <f>HYPERLINK("https://patentcenter.uspto.gov/applications/12673292","Patent Center")</f>
        <v>0.0</v>
      </c>
      <c r="H3409" s="2" t="n">
        <f>HYPERLINK("https://worldwide.espacenet.com/patent/search?q=US20110065198","Espacenet")</f>
        <v>0.0</v>
      </c>
      <c r="I3409" s="2" t="n">
        <f>HYPERLINK("https://ppubs.uspto.gov/pubwebapp/external.html?q=20110065198.pn.","USPTO")</f>
        <v>0.0</v>
      </c>
      <c r="J3409" s="2" t="n">
        <f>HYPERLINK("https://image-ppubs.uspto.gov/dirsearch-public/print/downloadPdf/20110065198","USPTO PDF")</f>
        <v>0.0</v>
      </c>
      <c r="K3409" s="2" t="n">
        <f>HYPERLINK("https://sectors.patentforecast.com/pmd/US20110065198","PMD")</f>
        <v>0.0</v>
      </c>
      <c r="L3409" s="2" t="n">
        <f>HYPERLINK("https://globaldossier.uspto.gov/result/application/US/12673292/1","US20110065198")</f>
        <v>0.0</v>
      </c>
      <c r="M3409" t="s">
        <v>21878</v>
      </c>
      <c r="N3409" t="s">
        <v>21879</v>
      </c>
      <c r="O3409" t="s">
        <v>21880</v>
      </c>
      <c r="P3409" t="s">
        <v>21881</v>
      </c>
      <c r="Q3409" s="3" t="n">
        <v>39673.0</v>
      </c>
      <c r="R3409" s="3" t="n">
        <v>40619.0</v>
      </c>
      <c r="S3409" s="3" t="n">
        <v>43966.48643990741</v>
      </c>
      <c r="T3409" s="3" t="n">
        <v>44678.611276585645</v>
      </c>
      <c r="U3409" t="s">
        <v>21882</v>
      </c>
      <c r="V3409" t="s">
        <v>21883</v>
      </c>
    </row>
    <row r="3410">
      <c r="A3410" t="s">
        <v>22</v>
      </c>
      <c r="B3410" t="s">
        <v>21884</v>
      </c>
      <c r="C3410" t="s">
        <v>132</v>
      </c>
      <c r="D3410" t="s">
        <v>133</v>
      </c>
      <c r="E3410" t="s">
        <v>21885</v>
      </c>
      <c r="F3410" s="2" t="n">
        <f>HYPERLINK("https://patents.google.com/patent/US20110065091","Google")</f>
        <v>0.0</v>
      </c>
      <c r="G3410" s="2" t="n">
        <f>HYPERLINK("https://patentcenter.uspto.gov/applications/12843359","Patent Center")</f>
        <v>0.0</v>
      </c>
      <c r="H3410" s="2" t="n">
        <f>HYPERLINK("https://worldwide.espacenet.com/patent/search?q=US20110065091","Espacenet")</f>
        <v>0.0</v>
      </c>
      <c r="I3410" s="2" t="n">
        <f>HYPERLINK("https://ppubs.uspto.gov/pubwebapp/external.html?q=20110065091.pn.","USPTO")</f>
        <v>0.0</v>
      </c>
      <c r="J3410" s="2" t="n">
        <f>HYPERLINK("https://image-ppubs.uspto.gov/dirsearch-public/print/downloadPdf/20110065091","USPTO PDF")</f>
        <v>0.0</v>
      </c>
      <c r="K3410" s="2" t="n">
        <f>HYPERLINK("https://sectors.patentforecast.com/pmd/US20110065091","PMD")</f>
        <v>0.0</v>
      </c>
      <c r="L3410" s="2" t="n">
        <f>HYPERLINK("https://globaldossier.uspto.gov/result/application/US/12843359/1","US20110065091")</f>
        <v>0.0</v>
      </c>
      <c r="M3410" t="s">
        <v>21886</v>
      </c>
      <c r="N3410" t="s">
        <v>21887</v>
      </c>
      <c r="O3410" t="s">
        <v>21888</v>
      </c>
      <c r="P3410" t="s">
        <v>21889</v>
      </c>
      <c r="Q3410" s="3" t="n">
        <v>40385.0</v>
      </c>
      <c r="R3410" s="3" t="n">
        <v>40619.0</v>
      </c>
      <c r="S3410" s="3" t="n">
        <v>43966.48643990741</v>
      </c>
      <c r="T3410" s="3" t="n">
        <v>44638.68962553241</v>
      </c>
      <c r="U3410" t="s">
        <v>21890</v>
      </c>
      <c r="V3410" t="s">
        <v>20424</v>
      </c>
    </row>
    <row r="3411">
      <c r="A3411" t="s">
        <v>22</v>
      </c>
      <c r="B3411" t="s">
        <v>21891</v>
      </c>
      <c r="C3411" t="s">
        <v>132</v>
      </c>
      <c r="D3411" t="s">
        <v>1265</v>
      </c>
      <c r="E3411" t="s">
        <v>21892</v>
      </c>
      <c r="F3411" s="2" t="n">
        <f>HYPERLINK("https://patents.google.com/patent/US20110059472","Google")</f>
        <v>0.0</v>
      </c>
      <c r="G3411" s="2" t="n">
        <f>HYPERLINK("https://patentcenter.uspto.gov/applications/12920838","Patent Center")</f>
        <v>0.0</v>
      </c>
      <c r="H3411" s="2" t="n">
        <f>HYPERLINK("https://worldwide.espacenet.com/patent/search?q=US20110059472","Espacenet")</f>
        <v>0.0</v>
      </c>
      <c r="I3411" s="2" t="n">
        <f>HYPERLINK("https://ppubs.uspto.gov/pubwebapp/external.html?q=20110059472.pn.","USPTO")</f>
        <v>0.0</v>
      </c>
      <c r="J3411" s="2" t="n">
        <f>HYPERLINK("https://image-ppubs.uspto.gov/dirsearch-public/print/downloadPdf/20110059472","USPTO PDF")</f>
        <v>0.0</v>
      </c>
      <c r="K3411" s="2" t="n">
        <f>HYPERLINK("https://sectors.patentforecast.com/pmd/US20110059472","PMD")</f>
        <v>0.0</v>
      </c>
      <c r="L3411" s="2" t="n">
        <f>HYPERLINK("https://globaldossier.uspto.gov/result/application/US/12920838/1","US20110059472")</f>
        <v>0.0</v>
      </c>
      <c r="M3411" t="s">
        <v>21893</v>
      </c>
      <c r="N3411" t="s">
        <v>21894</v>
      </c>
      <c r="O3411" t="s">
        <v>21895</v>
      </c>
      <c r="P3411" t="s">
        <v>21896</v>
      </c>
      <c r="Q3411" s="3" t="n">
        <v>39882.0</v>
      </c>
      <c r="R3411" s="3" t="n">
        <v>40612.0</v>
      </c>
      <c r="S3411" s="3" t="n">
        <v>43900.43738930555</v>
      </c>
      <c r="T3411" s="3" t="n">
        <v>43903.48463239583</v>
      </c>
      <c r="U3411" t="s">
        <v>21897</v>
      </c>
      <c r="V3411" t="s">
        <v>21898</v>
      </c>
    </row>
    <row r="3412">
      <c r="A3412" t="s">
        <v>22</v>
      </c>
      <c r="B3412" t="s">
        <v>21899</v>
      </c>
      <c r="C3412" t="s">
        <v>60</v>
      </c>
      <c r="D3412" t="s">
        <v>61</v>
      </c>
      <c r="E3412" t="s">
        <v>21900</v>
      </c>
      <c r="F3412" s="2" t="n">
        <f>HYPERLINK("https://patents.google.com/patent/US20110059051","Google")</f>
        <v>0.0</v>
      </c>
      <c r="G3412" s="2" t="n">
        <f>HYPERLINK("https://patentcenter.uspto.gov/applications/12446110","Patent Center")</f>
        <v>0.0</v>
      </c>
      <c r="H3412" s="2" t="n">
        <f>HYPERLINK("https://worldwide.espacenet.com/patent/search?q=US20110059051","Espacenet")</f>
        <v>0.0</v>
      </c>
      <c r="I3412" s="2" t="n">
        <f>HYPERLINK("https://ppubs.uspto.gov/pubwebapp/external.html?q=20110059051.pn.","USPTO")</f>
        <v>0.0</v>
      </c>
      <c r="J3412" s="2" t="n">
        <f>HYPERLINK("https://image-ppubs.uspto.gov/dirsearch-public/print/downloadPdf/20110059051","USPTO PDF")</f>
        <v>0.0</v>
      </c>
      <c r="K3412" s="2" t="n">
        <f>HYPERLINK("https://sectors.patentforecast.com/pmd/US20110059051","PMD")</f>
        <v>0.0</v>
      </c>
      <c r="L3412" s="2" t="n">
        <f>HYPERLINK("https://globaldossier.uspto.gov/result/application/US/12446110/1","US20110059051")</f>
        <v>0.0</v>
      </c>
      <c r="M3412" t="s">
        <v>21901</v>
      </c>
      <c r="N3412" t="s">
        <v>15231</v>
      </c>
      <c r="O3412" t="s">
        <v>15232</v>
      </c>
      <c r="P3412" t="s">
        <v>21902</v>
      </c>
      <c r="Q3412" s="3" t="n">
        <v>39372.0</v>
      </c>
      <c r="R3412" s="3" t="n">
        <v>40612.0</v>
      </c>
      <c r="S3412" s="3" t="n">
        <v>43938.46107408565</v>
      </c>
      <c r="T3412" s="3" t="n">
        <v>43985.38652366898</v>
      </c>
      <c r="U3412" t="s">
        <v>21903</v>
      </c>
      <c r="V3412" t="s">
        <v>21904</v>
      </c>
    </row>
    <row r="3413">
      <c r="A3413" t="s">
        <v>22</v>
      </c>
      <c r="B3413" t="s">
        <v>21905</v>
      </c>
      <c r="C3413" t="s">
        <v>24</v>
      </c>
      <c r="D3413" t="s">
        <v>25</v>
      </c>
      <c r="E3413" t="s">
        <v>21906</v>
      </c>
      <c r="F3413" s="2" t="n">
        <f>HYPERLINK("https://patents.google.com/patent/US20110054938","Google")</f>
        <v>0.0</v>
      </c>
      <c r="G3413" s="2" t="n">
        <f>HYPERLINK("https://patentcenter.uspto.gov/applications/12584055","Patent Center")</f>
        <v>0.0</v>
      </c>
      <c r="H3413" s="2" t="n">
        <f>HYPERLINK("https://worldwide.espacenet.com/patent/search?q=US20110054938","Espacenet")</f>
        <v>0.0</v>
      </c>
      <c r="I3413" s="2" t="n">
        <f>HYPERLINK("https://ppubs.uspto.gov/pubwebapp/external.html?q=20110054938.pn.","USPTO")</f>
        <v>0.0</v>
      </c>
      <c r="J3413" s="2" t="n">
        <f>HYPERLINK("https://image-ppubs.uspto.gov/dirsearch-public/print/downloadPdf/20110054938","USPTO PDF")</f>
        <v>0.0</v>
      </c>
      <c r="K3413" s="2" t="n">
        <f>HYPERLINK("https://sectors.patentforecast.com/pmd/US20110054938","PMD")</f>
        <v>0.0</v>
      </c>
      <c r="L3413" s="2" t="n">
        <f>HYPERLINK("https://globaldossier.uspto.gov/result/application/US/12584055/1","US20110054938")</f>
        <v>0.0</v>
      </c>
      <c r="M3413" t="s">
        <v>21907</v>
      </c>
      <c r="N3413" t="s">
        <v>21358</v>
      </c>
      <c r="O3413" t="s">
        <v>21359</v>
      </c>
      <c r="P3413" t="s">
        <v>21908</v>
      </c>
      <c r="Q3413" s="3" t="n">
        <v>40053.0</v>
      </c>
      <c r="R3413" s="3" t="n">
        <v>40605.0</v>
      </c>
      <c r="S3413" s="3" t="n">
        <v>43964.46240030092</v>
      </c>
      <c r="T3413" s="3" t="n">
        <v>43985.49563625</v>
      </c>
      <c r="U3413" t="s">
        <v>21909</v>
      </c>
      <c r="V3413" t="s">
        <v>21910</v>
      </c>
    </row>
    <row r="3414">
      <c r="A3414" t="s">
        <v>22</v>
      </c>
      <c r="B3414" t="s">
        <v>21911</v>
      </c>
      <c r="C3414" t="s">
        <v>60</v>
      </c>
      <c r="D3414" t="s">
        <v>4942</v>
      </c>
      <c r="E3414" t="s">
        <v>21912</v>
      </c>
      <c r="F3414" s="2" t="n">
        <f>HYPERLINK("https://patents.google.com/patent/US20110054028","Google")</f>
        <v>0.0</v>
      </c>
      <c r="G3414" s="2" t="n">
        <f>HYPERLINK("https://patentcenter.uspto.gov/applications/12729217","Patent Center")</f>
        <v>0.0</v>
      </c>
      <c r="H3414" s="2" t="n">
        <f>HYPERLINK("https://worldwide.espacenet.com/patent/search?q=US20110054028","Espacenet")</f>
        <v>0.0</v>
      </c>
      <c r="I3414" s="2" t="n">
        <f>HYPERLINK("https://ppubs.uspto.gov/pubwebapp/external.html?q=20110054028.pn.","USPTO")</f>
        <v>0.0</v>
      </c>
      <c r="J3414" s="2" t="n">
        <f>HYPERLINK("https://image-ppubs.uspto.gov/dirsearch-public/print/downloadPdf/20110054028","USPTO PDF")</f>
        <v>0.0</v>
      </c>
      <c r="K3414" s="2" t="n">
        <f>HYPERLINK("https://sectors.patentforecast.com/pmd/US20110054028","PMD")</f>
        <v>0.0</v>
      </c>
      <c r="L3414" s="2" t="n">
        <f>HYPERLINK("https://globaldossier.uspto.gov/result/application/US/12729217/1","US20110054028")</f>
        <v>0.0</v>
      </c>
      <c r="M3414" t="s">
        <v>21913</v>
      </c>
      <c r="N3414" t="s">
        <v>21914</v>
      </c>
      <c r="O3414" t="s">
        <v>21914</v>
      </c>
      <c r="P3414" t="s">
        <v>21915</v>
      </c>
      <c r="Q3414" s="3" t="n">
        <v>40259.0</v>
      </c>
      <c r="R3414" s="3" t="n">
        <v>40605.0</v>
      </c>
      <c r="S3414" s="3" t="n">
        <v>43900.43738930555</v>
      </c>
      <c r="T3414" s="3" t="n">
        <v>43901.721565127315</v>
      </c>
      <c r="U3414" t="s">
        <v>21916</v>
      </c>
      <c r="V3414" t="s">
        <v>21917</v>
      </c>
    </row>
    <row r="3415">
      <c r="A3415" t="s">
        <v>22</v>
      </c>
      <c r="B3415" t="s">
        <v>21918</v>
      </c>
      <c r="C3415" t="s">
        <v>60</v>
      </c>
      <c r="D3415" t="s">
        <v>77</v>
      </c>
      <c r="E3415" t="s">
        <v>21919</v>
      </c>
      <c r="F3415" s="2" t="n">
        <f>HYPERLINK("https://patents.google.com/patent/US20110053151","Google")</f>
        <v>0.0</v>
      </c>
      <c r="G3415" s="2" t="n">
        <f>HYPERLINK("https://patentcenter.uspto.gov/applications/12741880","Patent Center")</f>
        <v>0.0</v>
      </c>
      <c r="H3415" s="2" t="n">
        <f>HYPERLINK("https://worldwide.espacenet.com/patent/search?q=US20110053151","Espacenet")</f>
        <v>0.0</v>
      </c>
      <c r="I3415" s="2" t="n">
        <f>HYPERLINK("https://ppubs.uspto.gov/pubwebapp/external.html?q=20110053151.pn.","USPTO")</f>
        <v>0.0</v>
      </c>
      <c r="J3415" s="2" t="n">
        <f>HYPERLINK("https://image-ppubs.uspto.gov/dirsearch-public/print/downloadPdf/20110053151","USPTO PDF")</f>
        <v>0.0</v>
      </c>
      <c r="K3415" s="2" t="n">
        <f>HYPERLINK("https://sectors.patentforecast.com/pmd/US20110053151","PMD")</f>
        <v>0.0</v>
      </c>
      <c r="L3415" s="2" t="n">
        <f>HYPERLINK("https://globaldossier.uspto.gov/result/application/US/12741880/1","US20110053151")</f>
        <v>0.0</v>
      </c>
      <c r="M3415" t="s">
        <v>21920</v>
      </c>
      <c r="N3415" t="s">
        <v>16801</v>
      </c>
      <c r="O3415" t="s">
        <v>16802</v>
      </c>
      <c r="P3415" t="s">
        <v>21921</v>
      </c>
      <c r="Q3415" s="3" t="n">
        <v>39759.0</v>
      </c>
      <c r="R3415" s="3" t="n">
        <v>40605.0</v>
      </c>
      <c r="S3415" s="3" t="n">
        <v>43985.669204328704</v>
      </c>
      <c r="T3415" s="3" t="n">
        <v>43985.67861778935</v>
      </c>
      <c r="U3415" t="s">
        <v>21922</v>
      </c>
      <c r="V3415" t="s">
        <v>21923</v>
      </c>
    </row>
    <row r="3416">
      <c r="A3416" t="s">
        <v>22</v>
      </c>
      <c r="B3416" t="s">
        <v>21924</v>
      </c>
      <c r="C3416" t="s">
        <v>132</v>
      </c>
      <c r="D3416" t="s">
        <v>1265</v>
      </c>
      <c r="E3416" t="s">
        <v>21121</v>
      </c>
      <c r="F3416" s="2" t="n">
        <f>HYPERLINK("https://patents.google.com/patent/US20110052618","Google")</f>
        <v>0.0</v>
      </c>
      <c r="G3416" s="2" t="n">
        <f>HYPERLINK("https://patentcenter.uspto.gov/applications/12769304","Patent Center")</f>
        <v>0.0</v>
      </c>
      <c r="H3416" s="2" t="n">
        <f>HYPERLINK("https://worldwide.espacenet.com/patent/search?q=US20110052618","Espacenet")</f>
        <v>0.0</v>
      </c>
      <c r="I3416" s="2" t="n">
        <f>HYPERLINK("https://ppubs.uspto.gov/pubwebapp/external.html?q=20110052618.pn.","USPTO")</f>
        <v>0.0</v>
      </c>
      <c r="J3416" s="2" t="n">
        <f>HYPERLINK("https://image-ppubs.uspto.gov/dirsearch-public/print/downloadPdf/20110052618","USPTO PDF")</f>
        <v>0.0</v>
      </c>
      <c r="K3416" s="2" t="n">
        <f>HYPERLINK("https://sectors.patentforecast.com/pmd/US20110052618","PMD")</f>
        <v>0.0</v>
      </c>
      <c r="L3416" s="2" t="n">
        <f>HYPERLINK("https://globaldossier.uspto.gov/result/application/US/12769304/1","US20110052618")</f>
        <v>0.0</v>
      </c>
      <c r="M3416" t="s">
        <v>21925</v>
      </c>
      <c r="N3416" t="s">
        <v>21123</v>
      </c>
      <c r="O3416" t="s">
        <v>21124</v>
      </c>
      <c r="P3416" t="s">
        <v>21926</v>
      </c>
      <c r="Q3416" s="3" t="n">
        <v>40296.0</v>
      </c>
      <c r="R3416" s="3" t="n">
        <v>40605.0</v>
      </c>
      <c r="S3416" s="3" t="n">
        <v>43900.43738930555</v>
      </c>
      <c r="T3416" s="3" t="n">
        <v>43903.48463240741</v>
      </c>
      <c r="U3416" t="s">
        <v>21574</v>
      </c>
      <c r="V3416" t="s">
        <v>21127</v>
      </c>
    </row>
    <row r="3417">
      <c r="A3417" t="s">
        <v>22</v>
      </c>
      <c r="B3417" t="s">
        <v>21927</v>
      </c>
      <c r="C3417" t="s">
        <v>60</v>
      </c>
      <c r="D3417" t="s">
        <v>77</v>
      </c>
      <c r="E3417" t="s">
        <v>18142</v>
      </c>
      <c r="F3417" s="2" t="n">
        <f>HYPERLINK("https://patents.google.com/patent/US20110038935","Google")</f>
        <v>0.0</v>
      </c>
      <c r="G3417" s="2" t="n">
        <f>HYPERLINK("https://patentcenter.uspto.gov/applications/12746622","Patent Center")</f>
        <v>0.0</v>
      </c>
      <c r="H3417" s="2" t="n">
        <f>HYPERLINK("https://worldwide.espacenet.com/patent/search?q=US20110038935","Espacenet")</f>
        <v>0.0</v>
      </c>
      <c r="I3417" s="2" t="n">
        <f>HYPERLINK("https://ppubs.uspto.gov/pubwebapp/external.html?q=20110038935.pn.","USPTO")</f>
        <v>0.0</v>
      </c>
      <c r="J3417" s="2" t="n">
        <f>HYPERLINK("https://image-ppubs.uspto.gov/dirsearch-public/print/downloadPdf/20110038935","USPTO PDF")</f>
        <v>0.0</v>
      </c>
      <c r="K3417" s="2" t="n">
        <f>HYPERLINK("https://sectors.patentforecast.com/pmd/US20110038935","PMD")</f>
        <v>0.0</v>
      </c>
      <c r="L3417" s="2" t="n">
        <f>HYPERLINK("https://globaldossier.uspto.gov/result/application/US/12746622/1","US20110038935")</f>
        <v>0.0</v>
      </c>
      <c r="M3417" t="s">
        <v>21928</v>
      </c>
      <c r="N3417" t="s">
        <v>18144</v>
      </c>
      <c r="O3417" t="s">
        <v>18144</v>
      </c>
      <c r="P3417" t="s">
        <v>18145</v>
      </c>
      <c r="Q3417" s="3" t="n">
        <v>39790.0</v>
      </c>
      <c r="R3417" s="3" t="n">
        <v>40591.0</v>
      </c>
      <c r="S3417" s="3" t="n">
        <v>43966.48643990741</v>
      </c>
      <c r="T3417" s="3" t="n">
        <v>44638.638650092595</v>
      </c>
      <c r="U3417" t="s">
        <v>21929</v>
      </c>
      <c r="V3417" t="s">
        <v>18147</v>
      </c>
    </row>
    <row r="3418">
      <c r="A3418" t="s">
        <v>22</v>
      </c>
      <c r="B3418" t="s">
        <v>21930</v>
      </c>
      <c r="C3418" t="s">
        <v>60</v>
      </c>
      <c r="D3418" t="s">
        <v>61</v>
      </c>
      <c r="E3418" t="s">
        <v>21931</v>
      </c>
      <c r="F3418" s="2" t="n">
        <f>HYPERLINK("https://patents.google.com/patent/US20110038900","Google")</f>
        <v>0.0</v>
      </c>
      <c r="G3418" s="2" t="n">
        <f>HYPERLINK("https://patentcenter.uspto.gov/applications/12990110","Patent Center")</f>
        <v>0.0</v>
      </c>
      <c r="H3418" s="2" t="n">
        <f>HYPERLINK("https://worldwide.espacenet.com/patent/search?q=US20110038900","Espacenet")</f>
        <v>0.0</v>
      </c>
      <c r="I3418" s="2" t="n">
        <f>HYPERLINK("https://ppubs.uspto.gov/pubwebapp/external.html?q=20110038900.pn.","USPTO")</f>
        <v>0.0</v>
      </c>
      <c r="J3418" s="2" t="n">
        <f>HYPERLINK("https://image-ppubs.uspto.gov/dirsearch-public/print/downloadPdf/20110038900","USPTO PDF")</f>
        <v>0.0</v>
      </c>
      <c r="K3418" s="2" t="n">
        <f>HYPERLINK("https://sectors.patentforecast.com/pmd/US20110038900","PMD")</f>
        <v>0.0</v>
      </c>
      <c r="L3418" s="2" t="n">
        <f>HYPERLINK("https://globaldossier.uspto.gov/result/application/US/12990110/1","US20110038900")</f>
        <v>0.0</v>
      </c>
      <c r="M3418" t="s">
        <v>21932</v>
      </c>
      <c r="N3418" t="s">
        <v>15147</v>
      </c>
      <c r="O3418" t="s">
        <v>15148</v>
      </c>
      <c r="P3418" t="s">
        <v>21933</v>
      </c>
      <c r="Q3418" s="3" t="n">
        <v>39931.0</v>
      </c>
      <c r="R3418" s="3" t="n">
        <v>40591.0</v>
      </c>
      <c r="S3418" s="3" t="n">
        <v>43964.46240030092</v>
      </c>
      <c r="T3418" s="3" t="n">
        <v>43985.50519521991</v>
      </c>
      <c r="U3418" t="s">
        <v>21934</v>
      </c>
      <c r="V3418" t="s">
        <v>21935</v>
      </c>
    </row>
    <row r="3419">
      <c r="A3419" t="s">
        <v>22</v>
      </c>
      <c r="B3419" t="s">
        <v>21936</v>
      </c>
      <c r="C3419" t="s">
        <v>24</v>
      </c>
      <c r="D3419" t="s">
        <v>51</v>
      </c>
      <c r="E3419" t="s">
        <v>21937</v>
      </c>
      <c r="F3419" s="2" t="n">
        <f>HYPERLINK("https://patents.google.com/patent/US20110027775","Google")</f>
        <v>0.0</v>
      </c>
      <c r="G3419" s="2" t="n">
        <f>HYPERLINK("https://patentcenter.uspto.gov/applications/12840468","Patent Center")</f>
        <v>0.0</v>
      </c>
      <c r="H3419" s="2" t="n">
        <f>HYPERLINK("https://worldwide.espacenet.com/patent/search?q=US20110027775","Espacenet")</f>
        <v>0.0</v>
      </c>
      <c r="I3419" s="2" t="n">
        <f>HYPERLINK("https://ppubs.uspto.gov/pubwebapp/external.html?q=20110027775.pn.","USPTO")</f>
        <v>0.0</v>
      </c>
      <c r="J3419" s="2" t="n">
        <f>HYPERLINK("https://image-ppubs.uspto.gov/dirsearch-public/print/downloadPdf/20110027775","USPTO PDF")</f>
        <v>0.0</v>
      </c>
      <c r="K3419" s="2" t="n">
        <f>HYPERLINK("https://sectors.patentforecast.com/pmd/US20110027775","PMD")</f>
        <v>0.0</v>
      </c>
      <c r="L3419" s="2" t="n">
        <f>HYPERLINK("https://globaldossier.uspto.gov/result/application/US/12840468/1","US20110027775")</f>
        <v>0.0</v>
      </c>
      <c r="M3419" t="s">
        <v>21938</v>
      </c>
      <c r="N3419" t="s">
        <v>21939</v>
      </c>
      <c r="O3419" t="s">
        <v>21940</v>
      </c>
      <c r="P3419" t="s">
        <v>21941</v>
      </c>
      <c r="Q3419" s="3" t="n">
        <v>40380.0</v>
      </c>
      <c r="R3419" s="3" t="n">
        <v>40577.0</v>
      </c>
      <c r="S3419" s="3" t="n">
        <v>43900.43738930555</v>
      </c>
      <c r="T3419" s="3" t="n">
        <v>43903.61193219908</v>
      </c>
      <c r="U3419" t="s">
        <v>21942</v>
      </c>
      <c r="V3419" t="s">
        <v>21943</v>
      </c>
    </row>
    <row r="3420">
      <c r="A3420" t="s">
        <v>22</v>
      </c>
      <c r="B3420" t="s">
        <v>21944</v>
      </c>
      <c r="C3420" t="s">
        <v>24</v>
      </c>
      <c r="D3420" t="s">
        <v>34</v>
      </c>
      <c r="E3420" t="s">
        <v>21945</v>
      </c>
      <c r="F3420" s="2" t="n">
        <f>HYPERLINK("https://patents.google.com/patent/US20110020785","Google")</f>
        <v>0.0</v>
      </c>
      <c r="G3420" s="2" t="n">
        <f>HYPERLINK("https://patentcenter.uspto.gov/applications/12670615","Patent Center")</f>
        <v>0.0</v>
      </c>
      <c r="H3420" s="2" t="n">
        <f>HYPERLINK("https://worldwide.espacenet.com/patent/search?q=US20110020785","Espacenet")</f>
        <v>0.0</v>
      </c>
      <c r="I3420" s="2" t="n">
        <f>HYPERLINK("https://ppubs.uspto.gov/pubwebapp/external.html?q=20110020785.pn.","USPTO")</f>
        <v>0.0</v>
      </c>
      <c r="J3420" s="2" t="n">
        <f>HYPERLINK("https://image-ppubs.uspto.gov/dirsearch-public/print/downloadPdf/20110020785","USPTO PDF")</f>
        <v>0.0</v>
      </c>
      <c r="K3420" s="2" t="n">
        <f>HYPERLINK("https://sectors.patentforecast.com/pmd/US20110020785","PMD")</f>
        <v>0.0</v>
      </c>
      <c r="L3420" s="2" t="n">
        <f>HYPERLINK("https://globaldossier.uspto.gov/result/application/US/12670615/1","US20110020785")</f>
        <v>0.0</v>
      </c>
      <c r="M3420" t="s">
        <v>21946</v>
      </c>
      <c r="N3420" t="s">
        <v>21947</v>
      </c>
      <c r="O3420" t="s">
        <v>21948</v>
      </c>
      <c r="P3420" t="s">
        <v>21949</v>
      </c>
      <c r="Q3420" s="3" t="n">
        <v>39657.0</v>
      </c>
      <c r="R3420" s="3" t="n">
        <v>40570.0</v>
      </c>
      <c r="S3420" s="3" t="n">
        <v>43266.45737182871</v>
      </c>
      <c r="T3420" s="3" t="n">
        <v>43901.72156380787</v>
      </c>
      <c r="U3420" t="s">
        <v>21950</v>
      </c>
      <c r="V3420" t="s">
        <v>21951</v>
      </c>
    </row>
    <row r="3421">
      <c r="A3421" t="s">
        <v>22</v>
      </c>
      <c r="B3421" t="s">
        <v>21952</v>
      </c>
      <c r="C3421" t="s">
        <v>60</v>
      </c>
      <c r="D3421" t="s">
        <v>61</v>
      </c>
      <c r="E3421" t="s">
        <v>20882</v>
      </c>
      <c r="F3421" s="2" t="n">
        <f>HYPERLINK("https://patents.google.com/patent/US20110020278","Google")</f>
        <v>0.0</v>
      </c>
      <c r="G3421" s="2" t="n">
        <f>HYPERLINK("https://patentcenter.uspto.gov/applications/12838684","Patent Center")</f>
        <v>0.0</v>
      </c>
      <c r="H3421" s="2" t="n">
        <f>HYPERLINK("https://worldwide.espacenet.com/patent/search?q=US20110020278","Espacenet")</f>
        <v>0.0</v>
      </c>
      <c r="I3421" s="2" t="n">
        <f>HYPERLINK("https://ppubs.uspto.gov/pubwebapp/external.html?q=20110020278.pn.","USPTO")</f>
        <v>0.0</v>
      </c>
      <c r="J3421" s="2" t="n">
        <f>HYPERLINK("https://image-ppubs.uspto.gov/dirsearch-public/print/downloadPdf/20110020278","USPTO PDF")</f>
        <v>0.0</v>
      </c>
      <c r="K3421" s="2" t="n">
        <f>HYPERLINK("https://sectors.patentforecast.com/pmd/US20110020278","PMD")</f>
        <v>0.0</v>
      </c>
      <c r="L3421" s="2" t="n">
        <f>HYPERLINK("https://globaldossier.uspto.gov/result/application/US/12838684/1","US20110020278")</f>
        <v>0.0</v>
      </c>
      <c r="M3421" t="s">
        <v>21953</v>
      </c>
      <c r="N3421" t="s">
        <v>664</v>
      </c>
      <c r="O3421" t="s">
        <v>665</v>
      </c>
      <c r="P3421" t="s">
        <v>21954</v>
      </c>
      <c r="Q3421" s="3" t="n">
        <v>40378.0</v>
      </c>
      <c r="R3421" s="3" t="n">
        <v>40570.0</v>
      </c>
      <c r="S3421" s="3" t="n">
        <v>43952.45957747685</v>
      </c>
      <c r="T3421" s="3" t="n">
        <v>44638.65643378472</v>
      </c>
      <c r="U3421" t="s">
        <v>21955</v>
      </c>
      <c r="V3421" t="s">
        <v>20886</v>
      </c>
    </row>
    <row r="3422">
      <c r="A3422" t="s">
        <v>22</v>
      </c>
      <c r="B3422" t="s">
        <v>21956</v>
      </c>
      <c r="C3422" t="s">
        <v>312</v>
      </c>
      <c r="D3422" t="s">
        <v>715</v>
      </c>
      <c r="E3422" t="s">
        <v>21957</v>
      </c>
      <c r="F3422" s="2" t="n">
        <f>HYPERLINK("https://patents.google.com/patent/US20100328062","Google")</f>
        <v>0.0</v>
      </c>
      <c r="G3422" s="2" t="n">
        <f>HYPERLINK("https://patentcenter.uspto.gov/applications/12874899","Patent Center")</f>
        <v>0.0</v>
      </c>
      <c r="H3422" s="2" t="n">
        <f>HYPERLINK("https://worldwide.espacenet.com/patent/search?q=US20100328062","Espacenet")</f>
        <v>0.0</v>
      </c>
      <c r="I3422" s="2" t="n">
        <f>HYPERLINK("https://ppubs.uspto.gov/pubwebapp/external.html?q=20100328062.pn.","USPTO")</f>
        <v>0.0</v>
      </c>
      <c r="J3422" s="2" t="n">
        <f>HYPERLINK("https://image-ppubs.uspto.gov/dirsearch-public/print/downloadPdf/20100328062","USPTO PDF")</f>
        <v>0.0</v>
      </c>
      <c r="K3422" s="2" t="n">
        <f>HYPERLINK("https://sectors.patentforecast.com/pmd/US20100328062","PMD")</f>
        <v>0.0</v>
      </c>
      <c r="L3422" s="2" t="n">
        <f>HYPERLINK("https://globaldossier.uspto.gov/result/application/US/12874899/1","US20100328062")</f>
        <v>0.0</v>
      </c>
      <c r="M3422" t="s">
        <v>21958</v>
      </c>
      <c r="N3422" t="s">
        <v>4975</v>
      </c>
      <c r="O3422" t="s">
        <v>4976</v>
      </c>
      <c r="P3422" t="s">
        <v>21015</v>
      </c>
      <c r="Q3422" s="3" t="n">
        <v>40423.0</v>
      </c>
      <c r="R3422" s="3" t="n">
        <v>40542.0</v>
      </c>
      <c r="S3422" s="3" t="n">
        <v>43266.45737224537</v>
      </c>
      <c r="T3422" s="3" t="n">
        <v>43328.45413824074</v>
      </c>
      <c r="U3422" t="s">
        <v>21016</v>
      </c>
      <c r="V3422" t="s">
        <v>21523</v>
      </c>
    </row>
    <row r="3423">
      <c r="A3423" t="s">
        <v>22</v>
      </c>
      <c r="B3423" t="s">
        <v>21959</v>
      </c>
      <c r="C3423" t="s">
        <v>312</v>
      </c>
      <c r="D3423" t="s">
        <v>313</v>
      </c>
      <c r="E3423" t="s">
        <v>19047</v>
      </c>
      <c r="F3423" s="2" t="n">
        <f>HYPERLINK("https://patents.google.com/patent/US20100324936","Google")</f>
        <v>0.0</v>
      </c>
      <c r="G3423" s="2" t="n">
        <f>HYPERLINK("https://patentcenter.uspto.gov/applications/12765681","Patent Center")</f>
        <v>0.0</v>
      </c>
      <c r="H3423" s="2" t="n">
        <f>HYPERLINK("https://worldwide.espacenet.com/patent/search?q=US20100324936","Espacenet")</f>
        <v>0.0</v>
      </c>
      <c r="I3423" s="2" t="n">
        <f>HYPERLINK("https://ppubs.uspto.gov/pubwebapp/external.html?q=20100324936.pn.","USPTO")</f>
        <v>0.0</v>
      </c>
      <c r="J3423" s="2" t="n">
        <f>HYPERLINK("https://image-ppubs.uspto.gov/dirsearch-public/print/downloadPdf/20100324936","USPTO PDF")</f>
        <v>0.0</v>
      </c>
      <c r="K3423" s="2" t="n">
        <f>HYPERLINK("https://sectors.patentforecast.com/pmd/US20100324936","PMD")</f>
        <v>0.0</v>
      </c>
      <c r="L3423" s="2" t="n">
        <f>HYPERLINK("https://globaldossier.uspto.gov/result/application/US/12765681/1","US20100324936")</f>
        <v>0.0</v>
      </c>
      <c r="M3423" t="s">
        <v>21960</v>
      </c>
      <c r="N3423" t="s">
        <v>19049</v>
      </c>
      <c r="O3423" t="s">
        <v>19050</v>
      </c>
      <c r="P3423" t="s">
        <v>19051</v>
      </c>
      <c r="Q3423" s="3" t="n">
        <v>40290.0</v>
      </c>
      <c r="R3423" s="3" t="n">
        <v>40535.0</v>
      </c>
      <c r="S3423" s="3" t="n">
        <v>43959.46268304398</v>
      </c>
      <c r="T3423" s="3" t="n">
        <v>43985.46339373843</v>
      </c>
      <c r="U3423" t="s">
        <v>21961</v>
      </c>
      <c r="V3423" t="s">
        <v>19053</v>
      </c>
    </row>
    <row r="3424">
      <c r="A3424" t="s">
        <v>22</v>
      </c>
      <c r="B3424" t="s">
        <v>21962</v>
      </c>
      <c r="C3424" t="s">
        <v>24</v>
      </c>
      <c r="D3424" t="s">
        <v>1450</v>
      </c>
      <c r="E3424" t="s">
        <v>21963</v>
      </c>
      <c r="F3424" s="2" t="n">
        <f>HYPERLINK("https://patents.google.com/patent/US20100316196","Google")</f>
        <v>0.0</v>
      </c>
      <c r="G3424" s="2" t="n">
        <f>HYPERLINK("https://patentcenter.uspto.gov/applications/12735327","Patent Center")</f>
        <v>0.0</v>
      </c>
      <c r="H3424" s="2" t="n">
        <f>HYPERLINK("https://worldwide.espacenet.com/patent/search?q=US20100316196","Espacenet")</f>
        <v>0.0</v>
      </c>
      <c r="I3424" s="2" t="n">
        <f>HYPERLINK("https://ppubs.uspto.gov/pubwebapp/external.html?q=20100316196.pn.","USPTO")</f>
        <v>0.0</v>
      </c>
      <c r="J3424" s="2" t="n">
        <f>HYPERLINK("https://image-ppubs.uspto.gov/dirsearch-public/print/downloadPdf/20100316196","USPTO PDF")</f>
        <v>0.0</v>
      </c>
      <c r="K3424" s="2" t="n">
        <f>HYPERLINK("https://sectors.patentforecast.com/pmd/US20100316196","PMD")</f>
        <v>0.0</v>
      </c>
      <c r="L3424" s="2" t="n">
        <f>HYPERLINK("https://globaldossier.uspto.gov/result/application/US/12735327/1","US20100316196")</f>
        <v>0.0</v>
      </c>
      <c r="M3424" t="s">
        <v>21964</v>
      </c>
      <c r="N3424" t="s">
        <v>21965</v>
      </c>
      <c r="O3424" t="s">
        <v>21966</v>
      </c>
      <c r="P3424" t="s">
        <v>21967</v>
      </c>
      <c r="Q3424" s="3" t="n">
        <v>39815.0</v>
      </c>
      <c r="R3424" s="3" t="n">
        <v>40528.0</v>
      </c>
      <c r="S3424" s="3" t="n">
        <v>43266.457372233795</v>
      </c>
      <c r="T3424" s="3" t="n">
        <v>43901.72156100695</v>
      </c>
      <c r="U3424" t="s">
        <v>21968</v>
      </c>
      <c r="V3424" t="s">
        <v>21969</v>
      </c>
    </row>
    <row r="3425">
      <c r="A3425" t="s">
        <v>22</v>
      </c>
      <c r="B3425" t="s">
        <v>21970</v>
      </c>
      <c r="C3425" t="s">
        <v>60</v>
      </c>
      <c r="D3425" t="s">
        <v>715</v>
      </c>
      <c r="E3425" t="s">
        <v>21971</v>
      </c>
      <c r="F3425" s="2" t="n">
        <f>HYPERLINK("https://patents.google.com/patent/US20100306992","Google")</f>
        <v>0.0</v>
      </c>
      <c r="G3425" s="2" t="n">
        <f>HYPERLINK("https://patentcenter.uspto.gov/applications/12703140","Patent Center")</f>
        <v>0.0</v>
      </c>
      <c r="H3425" s="2" t="n">
        <f>HYPERLINK("https://worldwide.espacenet.com/patent/search?q=US20100306992","Espacenet")</f>
        <v>0.0</v>
      </c>
      <c r="I3425" s="2" t="n">
        <f>HYPERLINK("https://ppubs.uspto.gov/pubwebapp/external.html?q=20100306992.pn.","USPTO")</f>
        <v>0.0</v>
      </c>
      <c r="J3425" s="2" t="n">
        <f>HYPERLINK("https://image-ppubs.uspto.gov/dirsearch-public/print/downloadPdf/20100306992","USPTO PDF")</f>
        <v>0.0</v>
      </c>
      <c r="K3425" s="2" t="n">
        <f>HYPERLINK("https://sectors.patentforecast.com/pmd/US20100306992","PMD")</f>
        <v>0.0</v>
      </c>
      <c r="L3425" s="2" t="n">
        <f>HYPERLINK("https://globaldossier.uspto.gov/result/application/US/12703140/1","US20100306992")</f>
        <v>0.0</v>
      </c>
      <c r="M3425" t="s">
        <v>21972</v>
      </c>
      <c r="N3425" t="s">
        <v>21973</v>
      </c>
      <c r="O3425" t="s">
        <v>21974</v>
      </c>
      <c r="P3425" t="s">
        <v>21975</v>
      </c>
      <c r="Q3425" s="3" t="n">
        <v>40218.0</v>
      </c>
      <c r="R3425" s="3" t="n">
        <v>40521.0</v>
      </c>
      <c r="S3425" s="3" t="n">
        <v>43900.43738930555</v>
      </c>
      <c r="T3425" s="3" t="n">
        <v>44643.40156309028</v>
      </c>
      <c r="U3425" t="s">
        <v>21976</v>
      </c>
      <c r="V3425" t="s">
        <v>21977</v>
      </c>
    </row>
    <row r="3426">
      <c r="A3426" t="s">
        <v>22</v>
      </c>
      <c r="B3426" t="s">
        <v>21978</v>
      </c>
      <c r="C3426" t="s">
        <v>60</v>
      </c>
      <c r="D3426" t="s">
        <v>61</v>
      </c>
      <c r="E3426" t="s">
        <v>17730</v>
      </c>
      <c r="F3426" s="2" t="n">
        <f>HYPERLINK("https://patents.google.com/patent/US20100305117","Google")</f>
        <v>0.0</v>
      </c>
      <c r="G3426" s="2" t="n">
        <f>HYPERLINK("https://patentcenter.uspto.gov/applications/12374457","Patent Center")</f>
        <v>0.0</v>
      </c>
      <c r="H3426" s="2" t="n">
        <f>HYPERLINK("https://worldwide.espacenet.com/patent/search?q=US20100305117","Espacenet")</f>
        <v>0.0</v>
      </c>
      <c r="I3426" s="2" t="n">
        <f>HYPERLINK("https://ppubs.uspto.gov/pubwebapp/external.html?q=20100305117.pn.","USPTO")</f>
        <v>0.0</v>
      </c>
      <c r="J3426" s="2" t="n">
        <f>HYPERLINK("https://image-ppubs.uspto.gov/dirsearch-public/print/downloadPdf/20100305117","USPTO PDF")</f>
        <v>0.0</v>
      </c>
      <c r="K3426" s="2" t="n">
        <f>HYPERLINK("https://sectors.patentforecast.com/pmd/US20100305117","PMD")</f>
        <v>0.0</v>
      </c>
      <c r="L3426" s="2" t="n">
        <f>HYPERLINK("https://globaldossier.uspto.gov/result/application/US/12374457/1","US20100305117")</f>
        <v>0.0</v>
      </c>
      <c r="M3426" t="s">
        <v>21979</v>
      </c>
      <c r="N3426" t="s">
        <v>664</v>
      </c>
      <c r="O3426" t="s">
        <v>665</v>
      </c>
      <c r="P3426" t="s">
        <v>21980</v>
      </c>
      <c r="Q3426" s="3" t="n">
        <v>39283.0</v>
      </c>
      <c r="R3426" s="3" t="n">
        <v>40514.0</v>
      </c>
      <c r="S3426" s="3" t="n">
        <v>43952.45957747685</v>
      </c>
      <c r="T3426" s="3" t="n">
        <v>44638.65579662037</v>
      </c>
      <c r="U3426" t="s">
        <v>21981</v>
      </c>
      <c r="V3426" t="s">
        <v>17734</v>
      </c>
    </row>
    <row r="3427">
      <c r="A3427" t="s">
        <v>22</v>
      </c>
      <c r="B3427" t="s">
        <v>21982</v>
      </c>
      <c r="C3427" t="s">
        <v>60</v>
      </c>
      <c r="D3427" t="s">
        <v>61</v>
      </c>
      <c r="E3427" t="s">
        <v>21983</v>
      </c>
      <c r="F3427" s="2" t="n">
        <f>HYPERLINK("https://patents.google.com/patent/US20100297033","Google")</f>
        <v>0.0</v>
      </c>
      <c r="G3427" s="2" t="n">
        <f>HYPERLINK("https://patentcenter.uspto.gov/applications/12454663","Patent Center")</f>
        <v>0.0</v>
      </c>
      <c r="H3427" s="2" t="n">
        <f>HYPERLINK("https://worldwide.espacenet.com/patent/search?q=US20100297033","Espacenet")</f>
        <v>0.0</v>
      </c>
      <c r="I3427" s="2" t="n">
        <f>HYPERLINK("https://ppubs.uspto.gov/pubwebapp/external.html?q=20100297033.pn.","USPTO")</f>
        <v>0.0</v>
      </c>
      <c r="J3427" s="2" t="n">
        <f>HYPERLINK("https://image-ppubs.uspto.gov/dirsearch-public/print/downloadPdf/20100297033","USPTO PDF")</f>
        <v>0.0</v>
      </c>
      <c r="K3427" s="2" t="n">
        <f>HYPERLINK("https://sectors.patentforecast.com/pmd/US20100297033","PMD")</f>
        <v>0.0</v>
      </c>
      <c r="L3427" s="2" t="n">
        <f>HYPERLINK("https://globaldossier.uspto.gov/result/application/US/12454663/1","US20100297033")</f>
        <v>0.0</v>
      </c>
      <c r="M3427" t="s">
        <v>21984</v>
      </c>
      <c r="N3427" t="s">
        <v>15573</v>
      </c>
      <c r="O3427" t="s">
        <v>15574</v>
      </c>
      <c r="P3427" t="s">
        <v>21985</v>
      </c>
      <c r="Q3427" s="3" t="n">
        <v>39954.0</v>
      </c>
      <c r="R3427" s="3" t="n">
        <v>40507.0</v>
      </c>
      <c r="S3427" s="3" t="n">
        <v>43900.43738930555</v>
      </c>
      <c r="T3427" s="3" t="n">
        <v>43903.61215606482</v>
      </c>
      <c r="U3427" t="s">
        <v>21986</v>
      </c>
      <c r="V3427" t="s">
        <v>21987</v>
      </c>
    </row>
    <row r="3428">
      <c r="A3428" t="s">
        <v>22</v>
      </c>
      <c r="B3428" t="s">
        <v>21988</v>
      </c>
      <c r="C3428" t="s">
        <v>60</v>
      </c>
      <c r="D3428" t="s">
        <v>61</v>
      </c>
      <c r="E3428" t="s">
        <v>21989</v>
      </c>
      <c r="F3428" s="2" t="n">
        <f>HYPERLINK("https://patents.google.com/patent/US20100292132","Google")</f>
        <v>0.0</v>
      </c>
      <c r="G3428" s="2" t="n">
        <f>HYPERLINK("https://patentcenter.uspto.gov/applications/12676899","Patent Center")</f>
        <v>0.0</v>
      </c>
      <c r="H3428" s="2" t="n">
        <f>HYPERLINK("https://worldwide.espacenet.com/patent/search?q=US20100292132","Espacenet")</f>
        <v>0.0</v>
      </c>
      <c r="I3428" s="2" t="n">
        <f>HYPERLINK("https://ppubs.uspto.gov/pubwebapp/external.html?q=20100292132.pn.","USPTO")</f>
        <v>0.0</v>
      </c>
      <c r="J3428" s="2" t="n">
        <f>HYPERLINK("https://image-ppubs.uspto.gov/dirsearch-public/print/downloadPdf/20100292132","USPTO PDF")</f>
        <v>0.0</v>
      </c>
      <c r="K3428" s="2" t="n">
        <f>HYPERLINK("https://sectors.patentforecast.com/pmd/US20100292132","PMD")</f>
        <v>0.0</v>
      </c>
      <c r="L3428" s="2" t="n">
        <f>HYPERLINK("https://globaldossier.uspto.gov/result/application/US/12676899/1","US20100292132")</f>
        <v>0.0</v>
      </c>
      <c r="M3428" t="s">
        <v>21990</v>
      </c>
      <c r="N3428" t="s">
        <v>21991</v>
      </c>
      <c r="O3428" t="s">
        <v>21992</v>
      </c>
      <c r="P3428" t="s">
        <v>21993</v>
      </c>
      <c r="Q3428" s="3" t="n">
        <v>39700.0</v>
      </c>
      <c r="R3428" s="3" t="n">
        <v>40500.0</v>
      </c>
      <c r="S3428" s="3" t="n">
        <v>43959.46268304398</v>
      </c>
      <c r="T3428" s="3" t="n">
        <v>43985.4651384375</v>
      </c>
      <c r="U3428" t="s">
        <v>21994</v>
      </c>
      <c r="V3428" t="s">
        <v>21995</v>
      </c>
    </row>
    <row r="3429">
      <c r="A3429" t="s">
        <v>22</v>
      </c>
      <c r="B3429" t="s">
        <v>21996</v>
      </c>
      <c r="C3429" t="s">
        <v>60</v>
      </c>
      <c r="D3429" t="s">
        <v>61</v>
      </c>
      <c r="E3429" t="s">
        <v>21997</v>
      </c>
      <c r="F3429" s="2" t="n">
        <f>HYPERLINK("https://patents.google.com/patent/US20100291606","Google")</f>
        <v>0.0</v>
      </c>
      <c r="G3429" s="2" t="n">
        <f>HYPERLINK("https://patentcenter.uspto.gov/applications/12779154","Patent Center")</f>
        <v>0.0</v>
      </c>
      <c r="H3429" s="2" t="n">
        <f>HYPERLINK("https://worldwide.espacenet.com/patent/search?q=US20100291606","Espacenet")</f>
        <v>0.0</v>
      </c>
      <c r="I3429" s="2" t="n">
        <f>HYPERLINK("https://ppubs.uspto.gov/pubwebapp/external.html?q=20100291606.pn.","USPTO")</f>
        <v>0.0</v>
      </c>
      <c r="J3429" s="2" t="n">
        <f>HYPERLINK("https://image-ppubs.uspto.gov/dirsearch-public/print/downloadPdf/20100291606","USPTO PDF")</f>
        <v>0.0</v>
      </c>
      <c r="K3429" s="2" t="n">
        <f>HYPERLINK("https://sectors.patentforecast.com/pmd/US20100291606","PMD")</f>
        <v>0.0</v>
      </c>
      <c r="L3429" s="2" t="n">
        <f>HYPERLINK("https://globaldossier.uspto.gov/result/application/US/12779154/1","US20100291606")</f>
        <v>0.0</v>
      </c>
      <c r="M3429" t="s">
        <v>21998</v>
      </c>
      <c r="N3429" t="s">
        <v>4193</v>
      </c>
      <c r="O3429" t="s">
        <v>4194</v>
      </c>
      <c r="P3429" t="s">
        <v>21999</v>
      </c>
      <c r="Q3429" s="3" t="n">
        <v>40311.0</v>
      </c>
      <c r="R3429" s="3" t="n">
        <v>40500.0</v>
      </c>
      <c r="S3429" s="3" t="n">
        <v>43966.48307982639</v>
      </c>
      <c r="T3429" s="3" t="n">
        <v>44678.611276585645</v>
      </c>
      <c r="U3429" t="s">
        <v>22000</v>
      </c>
      <c r="V3429" t="s">
        <v>22001</v>
      </c>
    </row>
    <row r="3430">
      <c r="A3430" t="s">
        <v>22</v>
      </c>
      <c r="B3430" t="s">
        <v>22002</v>
      </c>
      <c r="C3430" t="s">
        <v>132</v>
      </c>
      <c r="D3430" t="s">
        <v>1265</v>
      </c>
      <c r="E3430" t="s">
        <v>22003</v>
      </c>
      <c r="F3430" s="2" t="n">
        <f>HYPERLINK("https://patents.google.com/patent/US20100291146","Google")</f>
        <v>0.0</v>
      </c>
      <c r="G3430" s="2" t="n">
        <f>HYPERLINK("https://patentcenter.uspto.gov/applications/12679654","Patent Center")</f>
        <v>0.0</v>
      </c>
      <c r="H3430" s="2" t="n">
        <f>HYPERLINK("https://worldwide.espacenet.com/patent/search?q=US20100291146","Espacenet")</f>
        <v>0.0</v>
      </c>
      <c r="I3430" s="2" t="n">
        <f>HYPERLINK("https://ppubs.uspto.gov/pubwebapp/external.html?q=20100291146.pn.","USPTO")</f>
        <v>0.0</v>
      </c>
      <c r="J3430" s="2" t="n">
        <f>HYPERLINK("https://image-ppubs.uspto.gov/dirsearch-public/print/downloadPdf/20100291146","USPTO PDF")</f>
        <v>0.0</v>
      </c>
      <c r="K3430" s="2" t="n">
        <f>HYPERLINK("https://sectors.patentforecast.com/pmd/US20100291146","PMD")</f>
        <v>0.0</v>
      </c>
      <c r="L3430" s="2" t="n">
        <f>HYPERLINK("https://globaldossier.uspto.gov/result/application/US/12679654/1","US20100291146")</f>
        <v>0.0</v>
      </c>
      <c r="M3430" t="s">
        <v>22004</v>
      </c>
      <c r="N3430" t="s">
        <v>22005</v>
      </c>
      <c r="O3430" t="s">
        <v>22006</v>
      </c>
      <c r="P3430" t="s">
        <v>22007</v>
      </c>
      <c r="Q3430" s="3" t="n">
        <v>39730.0</v>
      </c>
      <c r="R3430" s="3" t="n">
        <v>40500.0</v>
      </c>
      <c r="S3430" s="3" t="n">
        <v>43900.43738930555</v>
      </c>
      <c r="T3430" s="3" t="n">
        <v>43903.48463240741</v>
      </c>
      <c r="U3430" t="s">
        <v>22008</v>
      </c>
      <c r="V3430" t="s">
        <v>22009</v>
      </c>
    </row>
    <row r="3431">
      <c r="A3431" t="s">
        <v>22</v>
      </c>
      <c r="B3431" t="s">
        <v>22010</v>
      </c>
      <c r="C3431" t="s">
        <v>60</v>
      </c>
      <c r="D3431" t="s">
        <v>696</v>
      </c>
      <c r="E3431" t="s">
        <v>22011</v>
      </c>
      <c r="F3431" s="2" t="n">
        <f>HYPERLINK("https://patents.google.com/patent/US20100290993","Google")</f>
        <v>0.0</v>
      </c>
      <c r="G3431" s="2" t="n">
        <f>HYPERLINK("https://patentcenter.uspto.gov/applications/12601295","Patent Center")</f>
        <v>0.0</v>
      </c>
      <c r="H3431" s="2" t="n">
        <f>HYPERLINK("https://worldwide.espacenet.com/patent/search?q=US20100290993","Espacenet")</f>
        <v>0.0</v>
      </c>
      <c r="I3431" s="2" t="n">
        <f>HYPERLINK("https://ppubs.uspto.gov/pubwebapp/external.html?q=20100290993.pn.","USPTO")</f>
        <v>0.0</v>
      </c>
      <c r="J3431" s="2" t="n">
        <f>HYPERLINK("https://image-ppubs.uspto.gov/dirsearch-public/print/downloadPdf/20100290993","USPTO PDF")</f>
        <v>0.0</v>
      </c>
      <c r="K3431" s="2" t="n">
        <f>HYPERLINK("https://sectors.patentforecast.com/pmd/US20100290993","PMD")</f>
        <v>0.0</v>
      </c>
      <c r="L3431" s="2" t="n">
        <f>HYPERLINK("https://globaldossier.uspto.gov/result/application/US/12601295/1","US20100290993")</f>
        <v>0.0</v>
      </c>
      <c r="M3431" t="s">
        <v>22012</v>
      </c>
      <c r="N3431" t="s">
        <v>17488</v>
      </c>
      <c r="O3431" t="s">
        <v>17489</v>
      </c>
      <c r="P3431" t="s">
        <v>22013</v>
      </c>
      <c r="Q3431" s="3" t="n">
        <v>39589.0</v>
      </c>
      <c r="R3431" s="3" t="n">
        <v>40500.0</v>
      </c>
      <c r="S3431" s="3" t="n">
        <v>43966.48307982639</v>
      </c>
      <c r="T3431" s="3" t="n">
        <v>44643.44490069444</v>
      </c>
      <c r="U3431" t="s">
        <v>22014</v>
      </c>
      <c r="V3431" t="s">
        <v>22015</v>
      </c>
    </row>
    <row r="3432">
      <c r="A3432" t="s">
        <v>22</v>
      </c>
      <c r="B3432" t="s">
        <v>22016</v>
      </c>
      <c r="C3432" t="s">
        <v>60</v>
      </c>
      <c r="D3432" t="s">
        <v>61</v>
      </c>
      <c r="E3432" t="s">
        <v>22017</v>
      </c>
      <c r="F3432" s="2" t="n">
        <f>HYPERLINK("https://patents.google.com/patent/US20100285135","Google")</f>
        <v>0.0</v>
      </c>
      <c r="G3432" s="2" t="n">
        <f>HYPERLINK("https://patentcenter.uspto.gov/applications/12095655","Patent Center")</f>
        <v>0.0</v>
      </c>
      <c r="H3432" s="2" t="n">
        <f>HYPERLINK("https://worldwide.espacenet.com/patent/search?q=US20100285135","Espacenet")</f>
        <v>0.0</v>
      </c>
      <c r="I3432" s="2" t="n">
        <f>HYPERLINK("https://ppubs.uspto.gov/pubwebapp/external.html?q=20100285135.pn.","USPTO")</f>
        <v>0.0</v>
      </c>
      <c r="J3432" s="2" t="n">
        <f>HYPERLINK("https://image-ppubs.uspto.gov/dirsearch-public/print/downloadPdf/20100285135","USPTO PDF")</f>
        <v>0.0</v>
      </c>
      <c r="K3432" s="2" t="n">
        <f>HYPERLINK("https://sectors.patentforecast.com/pmd/US20100285135","PMD")</f>
        <v>0.0</v>
      </c>
      <c r="L3432" s="2" t="n">
        <f>HYPERLINK("https://globaldossier.uspto.gov/result/application/US/12095655/1","US20100285135")</f>
        <v>0.0</v>
      </c>
      <c r="M3432" t="s">
        <v>22018</v>
      </c>
      <c r="N3432" t="s">
        <v>15147</v>
      </c>
      <c r="O3432" t="s">
        <v>15148</v>
      </c>
      <c r="P3432" t="s">
        <v>22019</v>
      </c>
      <c r="Q3432" s="3" t="n">
        <v>39052.0</v>
      </c>
      <c r="R3432" s="3" t="n">
        <v>40493.0</v>
      </c>
      <c r="S3432" s="3" t="n">
        <v>43959.46268304398</v>
      </c>
      <c r="T3432" s="3" t="n">
        <v>43985.45502400463</v>
      </c>
      <c r="U3432" t="s">
        <v>22020</v>
      </c>
      <c r="V3432" t="s">
        <v>22021</v>
      </c>
    </row>
    <row r="3433">
      <c r="A3433" t="s">
        <v>22</v>
      </c>
      <c r="B3433" t="s">
        <v>22022</v>
      </c>
      <c r="C3433" t="s">
        <v>24</v>
      </c>
      <c r="D3433" t="s">
        <v>1356</v>
      </c>
      <c r="E3433" t="s">
        <v>22023</v>
      </c>
      <c r="F3433" s="2" t="n">
        <f>HYPERLINK("https://patents.google.com/patent/US20100280837","Google")</f>
        <v>0.0</v>
      </c>
      <c r="G3433" s="2" t="n">
        <f>HYPERLINK("https://patentcenter.uspto.gov/applications/12003742","Patent Center")</f>
        <v>0.0</v>
      </c>
      <c r="H3433" s="2" t="n">
        <f>HYPERLINK("https://worldwide.espacenet.com/patent/search?q=US20100280837","Espacenet")</f>
        <v>0.0</v>
      </c>
      <c r="I3433" s="2" t="n">
        <f>HYPERLINK("https://ppubs.uspto.gov/pubwebapp/external.html?q=20100280837.pn.","USPTO")</f>
        <v>0.0</v>
      </c>
      <c r="J3433" s="2" t="n">
        <f>HYPERLINK("https://image-ppubs.uspto.gov/dirsearch-public/print/downloadPdf/20100280837","USPTO PDF")</f>
        <v>0.0</v>
      </c>
      <c r="K3433" s="2" t="n">
        <f>HYPERLINK("https://sectors.patentforecast.com/pmd/US20100280837","PMD")</f>
        <v>0.0</v>
      </c>
      <c r="L3433" s="2" t="n">
        <f>HYPERLINK("https://globaldossier.uspto.gov/result/application/US/12003742/1","US20100280837")</f>
        <v>0.0</v>
      </c>
      <c r="M3433" t="s">
        <v>22024</v>
      </c>
      <c r="N3433" t="s">
        <v>20175</v>
      </c>
      <c r="O3433" t="s">
        <v>20176</v>
      </c>
      <c r="P3433" t="s">
        <v>22025</v>
      </c>
      <c r="Q3433" s="3" t="n">
        <v>39447.0</v>
      </c>
      <c r="R3433" s="3" t="n">
        <v>40486.0</v>
      </c>
      <c r="S3433" s="3" t="n">
        <v>43266.457372233795</v>
      </c>
      <c r="T3433" s="3" t="n">
        <v>43903.494973483794</v>
      </c>
      <c r="U3433" t="s">
        <v>22026</v>
      </c>
      <c r="V3433" t="s">
        <v>22027</v>
      </c>
    </row>
    <row r="3434">
      <c r="A3434" t="s">
        <v>22</v>
      </c>
      <c r="B3434" t="s">
        <v>22028</v>
      </c>
      <c r="C3434" t="s">
        <v>24</v>
      </c>
      <c r="D3434" t="s">
        <v>204</v>
      </c>
      <c r="E3434" t="s">
        <v>22029</v>
      </c>
      <c r="F3434" s="2" t="n">
        <f>HYPERLINK("https://patents.google.com/patent/US20100274573","Google")</f>
        <v>0.0</v>
      </c>
      <c r="G3434" s="2" t="n">
        <f>HYPERLINK("https://patentcenter.uspto.gov/applications/11683814","Patent Center")</f>
        <v>0.0</v>
      </c>
      <c r="H3434" s="2" t="n">
        <f>HYPERLINK("https://worldwide.espacenet.com/patent/search?q=US20100274573","Espacenet")</f>
        <v>0.0</v>
      </c>
      <c r="I3434" s="2" t="n">
        <f>HYPERLINK("https://ppubs.uspto.gov/pubwebapp/external.html?q=20100274573.pn.","USPTO")</f>
        <v>0.0</v>
      </c>
      <c r="J3434" s="2" t="n">
        <f>HYPERLINK("https://image-ppubs.uspto.gov/dirsearch-public/print/downloadPdf/20100274573","USPTO PDF")</f>
        <v>0.0</v>
      </c>
      <c r="K3434" s="2" t="n">
        <f>HYPERLINK("https://sectors.patentforecast.com/pmd/US20100274573","PMD")</f>
        <v>0.0</v>
      </c>
      <c r="L3434" s="2" t="n">
        <f>HYPERLINK("https://globaldossier.uspto.gov/result/application/US/11683814/1","US20100274573")</f>
        <v>0.0</v>
      </c>
      <c r="M3434" t="s">
        <v>22030</v>
      </c>
      <c r="N3434" t="s">
        <v>19388</v>
      </c>
      <c r="O3434" t="s">
        <v>19389</v>
      </c>
      <c r="P3434" t="s">
        <v>22031</v>
      </c>
      <c r="Q3434" s="3" t="n">
        <v>39149.0</v>
      </c>
      <c r="R3434" s="3" t="n">
        <v>40479.0</v>
      </c>
      <c r="S3434" s="3" t="n">
        <v>43959.46268304398</v>
      </c>
      <c r="T3434" s="3" t="n">
        <v>43985.45793802083</v>
      </c>
      <c r="U3434" t="s">
        <v>22032</v>
      </c>
      <c r="V3434" t="s">
        <v>22033</v>
      </c>
    </row>
    <row r="3435">
      <c r="A3435" t="s">
        <v>22</v>
      </c>
      <c r="B3435" t="s">
        <v>22034</v>
      </c>
      <c r="C3435" t="s">
        <v>132</v>
      </c>
      <c r="D3435" t="s">
        <v>1265</v>
      </c>
      <c r="E3435" t="s">
        <v>22035</v>
      </c>
      <c r="F3435" s="2" t="n">
        <f>HYPERLINK("https://patents.google.com/patent/US20100260797","Google")</f>
        <v>0.0</v>
      </c>
      <c r="G3435" s="2" t="n">
        <f>HYPERLINK("https://patentcenter.uspto.gov/applications/12746397","Patent Center")</f>
        <v>0.0</v>
      </c>
      <c r="H3435" s="2" t="n">
        <f>HYPERLINK("https://worldwide.espacenet.com/patent/search?q=US20100260797","Espacenet")</f>
        <v>0.0</v>
      </c>
      <c r="I3435" s="2" t="n">
        <f>HYPERLINK("https://ppubs.uspto.gov/pubwebapp/external.html?q=20100260797.pn.","USPTO")</f>
        <v>0.0</v>
      </c>
      <c r="J3435" s="2" t="n">
        <f>HYPERLINK("https://image-ppubs.uspto.gov/dirsearch-public/print/downloadPdf/20100260797","USPTO PDF")</f>
        <v>0.0</v>
      </c>
      <c r="K3435" s="2" t="n">
        <f>HYPERLINK("https://sectors.patentforecast.com/pmd/US20100260797","PMD")</f>
        <v>0.0</v>
      </c>
      <c r="L3435" s="2" t="n">
        <f>HYPERLINK("https://globaldossier.uspto.gov/result/application/US/12746397/1","US20100260797")</f>
        <v>0.0</v>
      </c>
      <c r="M3435" t="s">
        <v>22036</v>
      </c>
      <c r="N3435" t="s">
        <v>15147</v>
      </c>
      <c r="O3435" t="s">
        <v>15148</v>
      </c>
      <c r="P3435" t="s">
        <v>22037</v>
      </c>
      <c r="Q3435" s="3" t="n">
        <v>39786.0</v>
      </c>
      <c r="R3435" s="3" t="n">
        <v>40465.0</v>
      </c>
      <c r="S3435" s="3" t="n">
        <v>43900.43738930555</v>
      </c>
      <c r="T3435" s="3" t="n">
        <v>43903.4846325</v>
      </c>
      <c r="U3435" t="s">
        <v>22038</v>
      </c>
      <c r="V3435" t="s">
        <v>22039</v>
      </c>
    </row>
    <row r="3436">
      <c r="A3436" t="s">
        <v>22</v>
      </c>
      <c r="B3436" t="s">
        <v>22040</v>
      </c>
      <c r="C3436" t="s">
        <v>24</v>
      </c>
      <c r="D3436" t="s">
        <v>25</v>
      </c>
      <c r="E3436" t="s">
        <v>22041</v>
      </c>
      <c r="F3436" s="2" t="n">
        <f>HYPERLINK("https://patents.google.com/patent/US20100253509","Google")</f>
        <v>0.0</v>
      </c>
      <c r="G3436" s="2" t="n">
        <f>HYPERLINK("https://patentcenter.uspto.gov/applications/12384430","Patent Center")</f>
        <v>0.0</v>
      </c>
      <c r="H3436" s="2" t="n">
        <f>HYPERLINK("https://worldwide.espacenet.com/patent/search?q=US20100253509","Espacenet")</f>
        <v>0.0</v>
      </c>
      <c r="I3436" s="2" t="n">
        <f>HYPERLINK("https://ppubs.uspto.gov/pubwebapp/external.html?q=20100253509.pn.","USPTO")</f>
        <v>0.0</v>
      </c>
      <c r="J3436" s="2" t="n">
        <f>HYPERLINK("https://image-ppubs.uspto.gov/dirsearch-public/print/downloadPdf/20100253509","USPTO PDF")</f>
        <v>0.0</v>
      </c>
      <c r="K3436" s="2" t="n">
        <f>HYPERLINK("https://sectors.patentforecast.com/pmd/US20100253509","PMD")</f>
        <v>0.0</v>
      </c>
      <c r="L3436" s="2" t="n">
        <f>HYPERLINK("https://globaldossier.uspto.gov/result/application/US/12384430/1","US20100253509")</f>
        <v>0.0</v>
      </c>
      <c r="M3436" t="s">
        <v>22042</v>
      </c>
      <c r="N3436" t="s">
        <v>22043</v>
      </c>
      <c r="O3436" t="s">
        <v>22044</v>
      </c>
      <c r="P3436" t="s">
        <v>22045</v>
      </c>
      <c r="Q3436" s="3" t="n">
        <v>39906.0</v>
      </c>
      <c r="R3436" s="3" t="n">
        <v>40458.0</v>
      </c>
      <c r="S3436" s="3" t="n">
        <v>43266.457372233795</v>
      </c>
      <c r="T3436" s="3" t="n">
        <v>43903.48463224537</v>
      </c>
      <c r="U3436" t="s">
        <v>22046</v>
      </c>
      <c r="V3436" t="s">
        <v>22047</v>
      </c>
    </row>
    <row r="3437">
      <c r="A3437" t="s">
        <v>22</v>
      </c>
      <c r="B3437" t="s">
        <v>22048</v>
      </c>
      <c r="C3437" t="s">
        <v>132</v>
      </c>
      <c r="D3437" t="s">
        <v>133</v>
      </c>
      <c r="E3437" t="s">
        <v>22049</v>
      </c>
      <c r="F3437" s="2" t="n">
        <f>HYPERLINK("https://patents.google.com/patent/US20100233250","Google")</f>
        <v>0.0</v>
      </c>
      <c r="G3437" s="2" t="n">
        <f>HYPERLINK("https://patentcenter.uspto.gov/applications/12665090","Patent Center")</f>
        <v>0.0</v>
      </c>
      <c r="H3437" s="2" t="n">
        <f>HYPERLINK("https://worldwide.espacenet.com/patent/search?q=US20100233250","Espacenet")</f>
        <v>0.0</v>
      </c>
      <c r="I3437" s="2" t="n">
        <f>HYPERLINK("https://ppubs.uspto.gov/pubwebapp/external.html?q=20100233250.pn.","USPTO")</f>
        <v>0.0</v>
      </c>
      <c r="J3437" s="2" t="n">
        <f>HYPERLINK("https://image-ppubs.uspto.gov/dirsearch-public/print/downloadPdf/20100233250","USPTO PDF")</f>
        <v>0.0</v>
      </c>
      <c r="K3437" s="2" t="n">
        <f>HYPERLINK("https://sectors.patentforecast.com/pmd/US20100233250","PMD")</f>
        <v>0.0</v>
      </c>
      <c r="L3437" s="2" t="n">
        <f>HYPERLINK("https://globaldossier.uspto.gov/result/application/US/12665090/1","US20100233250")</f>
        <v>0.0</v>
      </c>
      <c r="M3437" t="s">
        <v>22050</v>
      </c>
      <c r="N3437" t="s">
        <v>6864</v>
      </c>
      <c r="O3437" t="s">
        <v>6864</v>
      </c>
      <c r="P3437" t="s">
        <v>22051</v>
      </c>
      <c r="Q3437" s="3" t="n">
        <v>39619.0</v>
      </c>
      <c r="R3437" s="3" t="n">
        <v>40437.0</v>
      </c>
      <c r="S3437" s="3" t="n">
        <v>44179.581587962966</v>
      </c>
      <c r="T3437" s="3" t="n">
        <v>44638.68962553241</v>
      </c>
      <c r="U3437" t="s">
        <v>22052</v>
      </c>
      <c r="V3437" t="s">
        <v>22053</v>
      </c>
    </row>
    <row r="3438">
      <c r="A3438" t="s">
        <v>22</v>
      </c>
      <c r="B3438" t="s">
        <v>22054</v>
      </c>
      <c r="C3438" t="s">
        <v>132</v>
      </c>
      <c r="D3438" t="s">
        <v>11423</v>
      </c>
      <c r="E3438" t="s">
        <v>22055</v>
      </c>
      <c r="F3438" s="2" t="n">
        <f>HYPERLINK("https://patents.google.com/patent/US20100226932","Google")</f>
        <v>0.0</v>
      </c>
      <c r="G3438" s="2" t="n">
        <f>HYPERLINK("https://patentcenter.uspto.gov/applications/12280099","Patent Center")</f>
        <v>0.0</v>
      </c>
      <c r="H3438" s="2" t="n">
        <f>HYPERLINK("https://worldwide.espacenet.com/patent/search?q=US20100226932","Espacenet")</f>
        <v>0.0</v>
      </c>
      <c r="I3438" s="2" t="n">
        <f>HYPERLINK("https://ppubs.uspto.gov/pubwebapp/external.html?q=20100226932.pn.","USPTO")</f>
        <v>0.0</v>
      </c>
      <c r="J3438" s="2" t="n">
        <f>HYPERLINK("https://image-ppubs.uspto.gov/dirsearch-public/print/downloadPdf/20100226932","USPTO PDF")</f>
        <v>0.0</v>
      </c>
      <c r="K3438" s="2" t="n">
        <f>HYPERLINK("https://sectors.patentforecast.com/pmd/US20100226932","PMD")</f>
        <v>0.0</v>
      </c>
      <c r="L3438" s="2" t="n">
        <f>HYPERLINK("https://globaldossier.uspto.gov/result/application/US/12280099/1","US20100226932")</f>
        <v>0.0</v>
      </c>
      <c r="M3438" t="s">
        <v>22056</v>
      </c>
      <c r="N3438" t="s">
        <v>1275</v>
      </c>
      <c r="O3438" t="s">
        <v>1275</v>
      </c>
      <c r="P3438" t="s">
        <v>22057</v>
      </c>
      <c r="Q3438" s="3" t="n">
        <v>39135.0</v>
      </c>
      <c r="R3438" s="3" t="n">
        <v>40430.0</v>
      </c>
      <c r="S3438" s="3" t="n">
        <v>43966.489324884256</v>
      </c>
      <c r="T3438" s="3" t="n">
        <v>44020.61543834491</v>
      </c>
      <c r="U3438" t="s">
        <v>22058</v>
      </c>
      <c r="V3438" t="s">
        <v>22059</v>
      </c>
    </row>
    <row r="3439">
      <c r="A3439" t="s">
        <v>22</v>
      </c>
      <c r="B3439" t="s">
        <v>22060</v>
      </c>
      <c r="C3439" t="s">
        <v>24</v>
      </c>
      <c r="D3439" t="s">
        <v>25</v>
      </c>
      <c r="E3439" t="s">
        <v>22061</v>
      </c>
      <c r="F3439" s="2" t="n">
        <f>HYPERLINK("https://patents.google.com/patent/US20100217765","Google")</f>
        <v>0.0</v>
      </c>
      <c r="G3439" s="2" t="n">
        <f>HYPERLINK("https://patentcenter.uspto.gov/applications/12711177","Patent Center")</f>
        <v>0.0</v>
      </c>
      <c r="H3439" s="2" t="n">
        <f>HYPERLINK("https://worldwide.espacenet.com/patent/search?q=US20100217765","Espacenet")</f>
        <v>0.0</v>
      </c>
      <c r="I3439" s="2" t="n">
        <f>HYPERLINK("https://ppubs.uspto.gov/pubwebapp/external.html?q=20100217765.pn.","USPTO")</f>
        <v>0.0</v>
      </c>
      <c r="J3439" s="2" t="n">
        <f>HYPERLINK("https://image-ppubs.uspto.gov/dirsearch-public/print/downloadPdf/20100217765","USPTO PDF")</f>
        <v>0.0</v>
      </c>
      <c r="K3439" s="2" t="n">
        <f>HYPERLINK("https://sectors.patentforecast.com/pmd/US20100217765","PMD")</f>
        <v>0.0</v>
      </c>
      <c r="L3439" s="2" t="n">
        <f>HYPERLINK("https://globaldossier.uspto.gov/result/application/US/12711177/1","US20100217765")</f>
        <v>0.0</v>
      </c>
      <c r="M3439" t="s">
        <v>22062</v>
      </c>
      <c r="N3439" t="s">
        <v>22063</v>
      </c>
      <c r="O3439" t="s">
        <v>22064</v>
      </c>
      <c r="P3439" t="s">
        <v>22065</v>
      </c>
      <c r="Q3439" s="3" t="n">
        <v>40232.0</v>
      </c>
      <c r="R3439" s="3" t="n">
        <v>40416.0</v>
      </c>
      <c r="S3439" s="3" t="n">
        <v>43266.45737267361</v>
      </c>
      <c r="T3439" s="3" t="n">
        <v>43950.560074988425</v>
      </c>
      <c r="U3439" t="s">
        <v>22066</v>
      </c>
      <c r="V3439" t="s">
        <v>22067</v>
      </c>
    </row>
    <row r="3440">
      <c r="A3440" t="s">
        <v>22</v>
      </c>
      <c r="B3440" t="s">
        <v>22068</v>
      </c>
      <c r="C3440" t="s">
        <v>312</v>
      </c>
      <c r="D3440" t="s">
        <v>313</v>
      </c>
      <c r="E3440" t="s">
        <v>22069</v>
      </c>
      <c r="F3440" s="2" t="n">
        <f>HYPERLINK("https://patents.google.com/patent/US20100217094","Google")</f>
        <v>0.0</v>
      </c>
      <c r="G3440" s="2" t="n">
        <f>HYPERLINK("https://patentcenter.uspto.gov/applications/12710983","Patent Center")</f>
        <v>0.0</v>
      </c>
      <c r="H3440" s="2" t="n">
        <f>HYPERLINK("https://worldwide.espacenet.com/patent/search?q=US20100217094","Espacenet")</f>
        <v>0.0</v>
      </c>
      <c r="I3440" s="2" t="n">
        <f>HYPERLINK("https://ppubs.uspto.gov/pubwebapp/external.html?q=20100217094.pn.","USPTO")</f>
        <v>0.0</v>
      </c>
      <c r="J3440" s="2" t="n">
        <f>HYPERLINK("https://image-ppubs.uspto.gov/dirsearch-public/print/downloadPdf/20100217094","USPTO PDF")</f>
        <v>0.0</v>
      </c>
      <c r="K3440" s="2" t="n">
        <f>HYPERLINK("https://sectors.patentforecast.com/pmd/US20100217094","PMD")</f>
        <v>0.0</v>
      </c>
      <c r="L3440" s="2" t="n">
        <f>HYPERLINK("https://globaldossier.uspto.gov/result/application/US/12710983/1","US20100217094")</f>
        <v>0.0</v>
      </c>
      <c r="M3440" t="s">
        <v>22070</v>
      </c>
      <c r="N3440" t="s">
        <v>11093</v>
      </c>
      <c r="O3440" t="s">
        <v>11094</v>
      </c>
      <c r="P3440" t="s">
        <v>22071</v>
      </c>
      <c r="Q3440" s="3" t="n">
        <v>40232.0</v>
      </c>
      <c r="R3440" s="3" t="n">
        <v>40416.0</v>
      </c>
      <c r="S3440" s="3" t="n">
        <v>44019.232593692126</v>
      </c>
      <c r="T3440" s="3" t="n">
        <v>44019.70189847222</v>
      </c>
      <c r="U3440" t="s">
        <v>22072</v>
      </c>
      <c r="V3440" t="s">
        <v>22073</v>
      </c>
    </row>
    <row r="3441">
      <c r="A3441" t="s">
        <v>22</v>
      </c>
      <c r="B3441" t="s">
        <v>22074</v>
      </c>
      <c r="C3441" t="s">
        <v>60</v>
      </c>
      <c r="D3441" t="s">
        <v>61</v>
      </c>
      <c r="E3441" t="s">
        <v>22075</v>
      </c>
      <c r="F3441" s="2" t="n">
        <f>HYPERLINK("https://patents.google.com/patent/US20100216722","Google")</f>
        <v>0.0</v>
      </c>
      <c r="G3441" s="2" t="n">
        <f>HYPERLINK("https://patentcenter.uspto.gov/applications/12676905","Patent Center")</f>
        <v>0.0</v>
      </c>
      <c r="H3441" s="2" t="n">
        <f>HYPERLINK("https://worldwide.espacenet.com/patent/search?q=US20100216722","Espacenet")</f>
        <v>0.0</v>
      </c>
      <c r="I3441" s="2" t="n">
        <f>HYPERLINK("https://ppubs.uspto.gov/pubwebapp/external.html?q=20100216722.pn.","USPTO")</f>
        <v>0.0</v>
      </c>
      <c r="J3441" s="2" t="n">
        <f>HYPERLINK("https://image-ppubs.uspto.gov/dirsearch-public/print/downloadPdf/20100216722","USPTO PDF")</f>
        <v>0.0</v>
      </c>
      <c r="K3441" s="2" t="n">
        <f>HYPERLINK("https://sectors.patentforecast.com/pmd/US20100216722","PMD")</f>
        <v>0.0</v>
      </c>
      <c r="L3441" s="2" t="n">
        <f>HYPERLINK("https://globaldossier.uspto.gov/result/application/US/12676905/1","US20100216722")</f>
        <v>0.0</v>
      </c>
      <c r="M3441" t="s">
        <v>22076</v>
      </c>
      <c r="N3441" t="s">
        <v>21991</v>
      </c>
      <c r="O3441" t="s">
        <v>21992</v>
      </c>
      <c r="P3441" t="s">
        <v>21993</v>
      </c>
      <c r="Q3441" s="3" t="n">
        <v>39700.0</v>
      </c>
      <c r="R3441" s="3" t="n">
        <v>40416.0</v>
      </c>
      <c r="S3441" s="3" t="n">
        <v>43959.46268304398</v>
      </c>
      <c r="T3441" s="3" t="n">
        <v>43985.465312962966</v>
      </c>
      <c r="U3441" t="s">
        <v>22077</v>
      </c>
      <c r="V3441" t="s">
        <v>22078</v>
      </c>
    </row>
    <row r="3442">
      <c r="A3442" t="s">
        <v>22</v>
      </c>
      <c r="B3442" t="s">
        <v>22079</v>
      </c>
      <c r="C3442" t="s">
        <v>24</v>
      </c>
      <c r="D3442" t="s">
        <v>25</v>
      </c>
      <c r="E3442" t="s">
        <v>22080</v>
      </c>
      <c r="F3442" s="2" t="n">
        <f>HYPERLINK("https://patents.google.com/patent/US20100211359","Google")</f>
        <v>0.0</v>
      </c>
      <c r="G3442" s="2" t="n">
        <f>HYPERLINK("https://patentcenter.uspto.gov/applications/12550168","Patent Center")</f>
        <v>0.0</v>
      </c>
      <c r="H3442" s="2" t="n">
        <f>HYPERLINK("https://worldwide.espacenet.com/patent/search?q=US20100211359","Espacenet")</f>
        <v>0.0</v>
      </c>
      <c r="I3442" s="2" t="n">
        <f>HYPERLINK("https://ppubs.uspto.gov/pubwebapp/external.html?q=20100211359.pn.","USPTO")</f>
        <v>0.0</v>
      </c>
      <c r="J3442" s="2" t="n">
        <f>HYPERLINK("https://image-ppubs.uspto.gov/dirsearch-public/print/downloadPdf/20100211359","USPTO PDF")</f>
        <v>0.0</v>
      </c>
      <c r="K3442" s="2" t="n">
        <f>HYPERLINK("https://sectors.patentforecast.com/pmd/US20100211359","PMD")</f>
        <v>0.0</v>
      </c>
      <c r="L3442" s="2" t="n">
        <f>HYPERLINK("https://globaldossier.uspto.gov/result/application/US/12550168/1","US20100211359")</f>
        <v>0.0</v>
      </c>
      <c r="M3442" t="s">
        <v>22081</v>
      </c>
      <c r="N3442" t="s">
        <v>20031</v>
      </c>
      <c r="O3442" t="s">
        <v>20032</v>
      </c>
      <c r="P3442" t="s">
        <v>20033</v>
      </c>
      <c r="Q3442" s="3" t="n">
        <v>40053.0</v>
      </c>
      <c r="R3442" s="3" t="n">
        <v>40409.0</v>
      </c>
      <c r="S3442" s="3" t="n">
        <v>43266.45737267361</v>
      </c>
      <c r="T3442" s="3" t="n">
        <v>43950.59985519676</v>
      </c>
      <c r="U3442" t="s">
        <v>22082</v>
      </c>
      <c r="V3442" t="s">
        <v>20035</v>
      </c>
    </row>
    <row r="3443">
      <c r="A3443" t="s">
        <v>22</v>
      </c>
      <c r="B3443" t="s">
        <v>22083</v>
      </c>
      <c r="C3443" t="s">
        <v>60</v>
      </c>
      <c r="D3443" t="s">
        <v>845</v>
      </c>
      <c r="E3443" t="s">
        <v>22084</v>
      </c>
      <c r="F3443" s="2" t="n">
        <f>HYPERLINK("https://patents.google.com/patent/US20100204596","Google")</f>
        <v>0.0</v>
      </c>
      <c r="G3443" s="2" t="n">
        <f>HYPERLINK("https://patentcenter.uspto.gov/applications/12671210","Patent Center")</f>
        <v>0.0</v>
      </c>
      <c r="H3443" s="2" t="n">
        <f>HYPERLINK("https://worldwide.espacenet.com/patent/search?q=US20100204596","Espacenet")</f>
        <v>0.0</v>
      </c>
      <c r="I3443" s="2" t="n">
        <f>HYPERLINK("https://ppubs.uspto.gov/pubwebapp/external.html?q=20100204596.pn.","USPTO")</f>
        <v>0.0</v>
      </c>
      <c r="J3443" s="2" t="n">
        <f>HYPERLINK("https://image-ppubs.uspto.gov/dirsearch-public/print/downloadPdf/20100204596","USPTO PDF")</f>
        <v>0.0</v>
      </c>
      <c r="K3443" s="2" t="n">
        <f>HYPERLINK("https://sectors.patentforecast.com/pmd/US20100204596","PMD")</f>
        <v>0.0</v>
      </c>
      <c r="L3443" s="2" t="n">
        <f>HYPERLINK("https://globaldossier.uspto.gov/result/application/US/12671210/1","US20100204596")</f>
        <v>0.0</v>
      </c>
      <c r="M3443" t="s">
        <v>22085</v>
      </c>
      <c r="N3443" t="s">
        <v>22086</v>
      </c>
      <c r="O3443" t="s">
        <v>22087</v>
      </c>
      <c r="P3443" t="s">
        <v>22088</v>
      </c>
      <c r="Q3443" s="3" t="n">
        <v>39708.0</v>
      </c>
      <c r="R3443" s="3" t="n">
        <v>40402.0</v>
      </c>
      <c r="S3443" s="3" t="n">
        <v>43266.45737267361</v>
      </c>
      <c r="T3443" s="3" t="n">
        <v>43901.721564837964</v>
      </c>
      <c r="U3443" t="s">
        <v>22089</v>
      </c>
      <c r="V3443" t="s">
        <v>22090</v>
      </c>
    </row>
    <row r="3444">
      <c r="A3444" t="s">
        <v>22</v>
      </c>
      <c r="B3444" t="s">
        <v>22091</v>
      </c>
      <c r="C3444" t="s">
        <v>60</v>
      </c>
      <c r="D3444" t="s">
        <v>61</v>
      </c>
      <c r="E3444" t="s">
        <v>22092</v>
      </c>
      <c r="F3444" s="2" t="n">
        <f>HYPERLINK("https://patents.google.com/patent/US20100203015","Google")</f>
        <v>0.0</v>
      </c>
      <c r="G3444" s="2" t="n">
        <f>HYPERLINK("https://patentcenter.uspto.gov/applications/12702957","Patent Center")</f>
        <v>0.0</v>
      </c>
      <c r="H3444" s="2" t="n">
        <f>HYPERLINK("https://worldwide.espacenet.com/patent/search?q=US20100203015","Espacenet")</f>
        <v>0.0</v>
      </c>
      <c r="I3444" s="2" t="n">
        <f>HYPERLINK("https://ppubs.uspto.gov/pubwebapp/external.html?q=20100203015.pn.","USPTO")</f>
        <v>0.0</v>
      </c>
      <c r="J3444" s="2" t="n">
        <f>HYPERLINK("https://image-ppubs.uspto.gov/dirsearch-public/print/downloadPdf/20100203015","USPTO PDF")</f>
        <v>0.0</v>
      </c>
      <c r="K3444" s="2" t="n">
        <f>HYPERLINK("https://sectors.patentforecast.com/pmd/US20100203015","PMD")</f>
        <v>0.0</v>
      </c>
      <c r="L3444" s="2" t="n">
        <f>HYPERLINK("https://globaldossier.uspto.gov/result/application/US/12702957/1","US20100203015")</f>
        <v>0.0</v>
      </c>
      <c r="M3444" t="s">
        <v>22093</v>
      </c>
      <c r="N3444" t="s">
        <v>664</v>
      </c>
      <c r="O3444" t="s">
        <v>665</v>
      </c>
      <c r="P3444" t="s">
        <v>22094</v>
      </c>
      <c r="Q3444" s="3" t="n">
        <v>40218.0</v>
      </c>
      <c r="R3444" s="3" t="n">
        <v>40402.0</v>
      </c>
      <c r="S3444" s="3" t="n">
        <v>43952.45957747685</v>
      </c>
      <c r="T3444" s="3" t="n">
        <v>44638.65271974537</v>
      </c>
      <c r="U3444" t="s">
        <v>22095</v>
      </c>
      <c r="V3444" t="s">
        <v>22096</v>
      </c>
    </row>
    <row r="3445">
      <c r="A3445" t="s">
        <v>22</v>
      </c>
      <c r="B3445" t="s">
        <v>22097</v>
      </c>
      <c r="C3445" t="s">
        <v>24</v>
      </c>
      <c r="D3445" t="s">
        <v>25</v>
      </c>
      <c r="E3445" t="s">
        <v>22098</v>
      </c>
      <c r="F3445" s="2" t="n">
        <f>HYPERLINK("https://patents.google.com/patent/US20100198023","Google")</f>
        <v>0.0</v>
      </c>
      <c r="G3445" s="2" t="n">
        <f>HYPERLINK("https://patentcenter.uspto.gov/applications/12320719","Patent Center")</f>
        <v>0.0</v>
      </c>
      <c r="H3445" s="2" t="n">
        <f>HYPERLINK("https://worldwide.espacenet.com/patent/search?q=US20100198023","Espacenet")</f>
        <v>0.0</v>
      </c>
      <c r="I3445" s="2" t="n">
        <f>HYPERLINK("https://ppubs.uspto.gov/pubwebapp/external.html?q=20100198023.pn.","USPTO")</f>
        <v>0.0</v>
      </c>
      <c r="J3445" s="2" t="n">
        <f>HYPERLINK("https://image-ppubs.uspto.gov/dirsearch-public/print/downloadPdf/20100198023","USPTO PDF")</f>
        <v>0.0</v>
      </c>
      <c r="K3445" s="2" t="n">
        <f>HYPERLINK("https://sectors.patentforecast.com/pmd/US20100198023","PMD")</f>
        <v>0.0</v>
      </c>
      <c r="L3445" s="2" t="n">
        <f>HYPERLINK("https://globaldossier.uspto.gov/result/application/US/12320719/1","US20100198023")</f>
        <v>0.0</v>
      </c>
      <c r="M3445" t="s">
        <v>22099</v>
      </c>
      <c r="N3445" t="s">
        <v>20717</v>
      </c>
      <c r="O3445" t="s">
        <v>20718</v>
      </c>
      <c r="P3445" t="s">
        <v>22100</v>
      </c>
      <c r="Q3445" s="3" t="n">
        <v>39847.0</v>
      </c>
      <c r="R3445" s="3" t="n">
        <v>40395.0</v>
      </c>
      <c r="S3445" s="3" t="n">
        <v>43266.45737267361</v>
      </c>
      <c r="T3445" s="3" t="n">
        <v>43901.72156518519</v>
      </c>
      <c r="U3445" t="s">
        <v>20720</v>
      </c>
      <c r="V3445" t="s">
        <v>22101</v>
      </c>
    </row>
    <row r="3446">
      <c r="A3446" t="s">
        <v>22</v>
      </c>
      <c r="B3446" t="s">
        <v>22102</v>
      </c>
      <c r="C3446" t="s">
        <v>60</v>
      </c>
      <c r="D3446" t="s">
        <v>61</v>
      </c>
      <c r="E3446" t="s">
        <v>22103</v>
      </c>
      <c r="F3446" s="2" t="n">
        <f>HYPERLINK("https://patents.google.com/patent/US20100197585","Google")</f>
        <v>0.0</v>
      </c>
      <c r="G3446" s="2" t="n">
        <f>HYPERLINK("https://patentcenter.uspto.gov/applications/12676902","Patent Center")</f>
        <v>0.0</v>
      </c>
      <c r="H3446" s="2" t="n">
        <f>HYPERLINK("https://worldwide.espacenet.com/patent/search?q=US20100197585","Espacenet")</f>
        <v>0.0</v>
      </c>
      <c r="I3446" s="2" t="n">
        <f>HYPERLINK("https://ppubs.uspto.gov/pubwebapp/external.html?q=20100197585.pn.","USPTO")</f>
        <v>0.0</v>
      </c>
      <c r="J3446" s="2" t="n">
        <f>HYPERLINK("https://image-ppubs.uspto.gov/dirsearch-public/print/downloadPdf/20100197585","USPTO PDF")</f>
        <v>0.0</v>
      </c>
      <c r="K3446" s="2" t="n">
        <f>HYPERLINK("https://sectors.patentforecast.com/pmd/US20100197585","PMD")</f>
        <v>0.0</v>
      </c>
      <c r="L3446" s="2" t="n">
        <f>HYPERLINK("https://globaldossier.uspto.gov/result/application/US/12676902/1","US20100197585")</f>
        <v>0.0</v>
      </c>
      <c r="M3446" t="s">
        <v>22104</v>
      </c>
      <c r="N3446" t="s">
        <v>21991</v>
      </c>
      <c r="O3446" t="s">
        <v>21992</v>
      </c>
      <c r="P3446" t="s">
        <v>21993</v>
      </c>
      <c r="Q3446" s="3" t="n">
        <v>39700.0</v>
      </c>
      <c r="R3446" s="3" t="n">
        <v>40395.0</v>
      </c>
      <c r="S3446" s="3" t="n">
        <v>43966.4792497338</v>
      </c>
      <c r="T3446" s="3" t="n">
        <v>44678.425781226855</v>
      </c>
      <c r="U3446" t="s">
        <v>22105</v>
      </c>
      <c r="V3446" t="s">
        <v>22106</v>
      </c>
    </row>
    <row r="3447">
      <c r="A3447" t="s">
        <v>22</v>
      </c>
      <c r="B3447" t="s">
        <v>22107</v>
      </c>
      <c r="C3447" t="s">
        <v>60</v>
      </c>
      <c r="D3447" t="s">
        <v>61</v>
      </c>
      <c r="E3447" t="s">
        <v>22108</v>
      </c>
      <c r="F3447" s="2" t="n">
        <f>HYPERLINK("https://patents.google.com/patent/US20100196462","Google")</f>
        <v>0.0</v>
      </c>
      <c r="G3447" s="2" t="n">
        <f>HYPERLINK("https://patentcenter.uspto.gov/applications/12087455","Patent Center")</f>
        <v>0.0</v>
      </c>
      <c r="H3447" s="2" t="n">
        <f>HYPERLINK("https://worldwide.espacenet.com/patent/search?q=US20100196462","Espacenet")</f>
        <v>0.0</v>
      </c>
      <c r="I3447" s="2" t="n">
        <f>HYPERLINK("https://ppubs.uspto.gov/pubwebapp/external.html?q=20100196462.pn.","USPTO")</f>
        <v>0.0</v>
      </c>
      <c r="J3447" s="2" t="n">
        <f>HYPERLINK("https://image-ppubs.uspto.gov/dirsearch-public/print/downloadPdf/20100196462","USPTO PDF")</f>
        <v>0.0</v>
      </c>
      <c r="K3447" s="2" t="n">
        <f>HYPERLINK("https://sectors.patentforecast.com/pmd/US20100196462","PMD")</f>
        <v>0.0</v>
      </c>
      <c r="L3447" s="2" t="n">
        <f>HYPERLINK("https://globaldossier.uspto.gov/result/application/US/12087455/1","US20100196462")</f>
        <v>0.0</v>
      </c>
      <c r="M3447" t="s">
        <v>22109</v>
      </c>
      <c r="N3447" t="s">
        <v>22110</v>
      </c>
      <c r="O3447" t="s">
        <v>22110</v>
      </c>
      <c r="P3447" t="s">
        <v>22111</v>
      </c>
      <c r="Q3447" s="3" t="n">
        <v>39093.0</v>
      </c>
      <c r="R3447" s="3" t="n">
        <v>40395.0</v>
      </c>
      <c r="S3447" s="3" t="n">
        <v>43900.43738930555</v>
      </c>
      <c r="T3447" s="3" t="n">
        <v>43901.72156413194</v>
      </c>
      <c r="U3447" t="s">
        <v>22112</v>
      </c>
      <c r="V3447" t="s">
        <v>22113</v>
      </c>
    </row>
    <row r="3448">
      <c r="A3448" t="s">
        <v>22</v>
      </c>
      <c r="B3448" t="s">
        <v>22114</v>
      </c>
      <c r="C3448" t="s">
        <v>24</v>
      </c>
      <c r="D3448" t="s">
        <v>100</v>
      </c>
      <c r="E3448" t="s">
        <v>22115</v>
      </c>
      <c r="F3448" s="2" t="n">
        <f>HYPERLINK("https://patents.google.com/patent/US20100193541","Google")</f>
        <v>0.0</v>
      </c>
      <c r="G3448" s="2" t="n">
        <f>HYPERLINK("https://patentcenter.uspto.gov/applications/12650328","Patent Center")</f>
        <v>0.0</v>
      </c>
      <c r="H3448" s="2" t="n">
        <f>HYPERLINK("https://worldwide.espacenet.com/patent/search?q=US20100193541","Espacenet")</f>
        <v>0.0</v>
      </c>
      <c r="I3448" s="2" t="n">
        <f>HYPERLINK("https://ppubs.uspto.gov/pubwebapp/external.html?q=20100193541.pn.","USPTO")</f>
        <v>0.0</v>
      </c>
      <c r="J3448" s="2" t="n">
        <f>HYPERLINK("https://image-ppubs.uspto.gov/dirsearch-public/print/downloadPdf/20100193541","USPTO PDF")</f>
        <v>0.0</v>
      </c>
      <c r="K3448" s="2" t="n">
        <f>HYPERLINK("https://sectors.patentforecast.com/pmd/US20100193541","PMD")</f>
        <v>0.0</v>
      </c>
      <c r="L3448" s="2" t="n">
        <f>HYPERLINK("https://globaldossier.uspto.gov/result/application/US/12650328/1","US20100193541")</f>
        <v>0.0</v>
      </c>
      <c r="M3448" t="s">
        <v>22116</v>
      </c>
      <c r="N3448" t="s">
        <v>22117</v>
      </c>
      <c r="O3448" t="s">
        <v>22118</v>
      </c>
      <c r="P3448" t="s">
        <v>22119</v>
      </c>
      <c r="Q3448" s="3" t="n">
        <v>40177.0</v>
      </c>
      <c r="R3448" s="3" t="n">
        <v>40395.0</v>
      </c>
      <c r="S3448" s="3" t="n">
        <v>43900.43738930555</v>
      </c>
      <c r="T3448" s="3" t="n">
        <v>43901.721564837964</v>
      </c>
      <c r="U3448" t="s">
        <v>22120</v>
      </c>
      <c r="V3448" t="s">
        <v>22121</v>
      </c>
    </row>
    <row r="3449">
      <c r="A3449" t="s">
        <v>22</v>
      </c>
      <c r="B3449" t="s">
        <v>22122</v>
      </c>
      <c r="C3449" t="s">
        <v>60</v>
      </c>
      <c r="D3449" t="s">
        <v>61</v>
      </c>
      <c r="E3449" t="s">
        <v>22123</v>
      </c>
      <c r="F3449" s="2" t="n">
        <f>HYPERLINK("https://patents.google.com/patent/US20100184673","Google")</f>
        <v>0.0</v>
      </c>
      <c r="G3449" s="2" t="n">
        <f>HYPERLINK("https://patentcenter.uspto.gov/applications/12676903","Patent Center")</f>
        <v>0.0</v>
      </c>
      <c r="H3449" s="2" t="n">
        <f>HYPERLINK("https://worldwide.espacenet.com/patent/search?q=US20100184673","Espacenet")</f>
        <v>0.0</v>
      </c>
      <c r="I3449" s="2" t="n">
        <f>HYPERLINK("https://ppubs.uspto.gov/pubwebapp/external.html?q=20100184673.pn.","USPTO")</f>
        <v>0.0</v>
      </c>
      <c r="J3449" s="2" t="n">
        <f>HYPERLINK("https://image-ppubs.uspto.gov/dirsearch-public/print/downloadPdf/20100184673","USPTO PDF")</f>
        <v>0.0</v>
      </c>
      <c r="K3449" s="2" t="n">
        <f>HYPERLINK("https://sectors.patentforecast.com/pmd/US20100184673","PMD")</f>
        <v>0.0</v>
      </c>
      <c r="L3449" s="2" t="n">
        <f>HYPERLINK("https://globaldossier.uspto.gov/result/application/US/12676903/1","US20100184673")</f>
        <v>0.0</v>
      </c>
      <c r="M3449" t="s">
        <v>22124</v>
      </c>
      <c r="N3449" t="s">
        <v>21991</v>
      </c>
      <c r="O3449" t="s">
        <v>21992</v>
      </c>
      <c r="P3449" t="s">
        <v>22125</v>
      </c>
      <c r="Q3449" s="3" t="n">
        <v>39700.0</v>
      </c>
      <c r="R3449" s="3" t="n">
        <v>40381.0</v>
      </c>
      <c r="S3449" s="3" t="n">
        <v>43931.460584375</v>
      </c>
      <c r="T3449" s="3" t="n">
        <v>43950.53980949074</v>
      </c>
      <c r="U3449" t="s">
        <v>22126</v>
      </c>
      <c r="V3449" t="s">
        <v>22127</v>
      </c>
    </row>
    <row r="3450">
      <c r="A3450" t="s">
        <v>22</v>
      </c>
      <c r="B3450" t="s">
        <v>22128</v>
      </c>
      <c r="C3450" t="s">
        <v>60</v>
      </c>
      <c r="D3450" t="s">
        <v>61</v>
      </c>
      <c r="E3450" t="s">
        <v>16903</v>
      </c>
      <c r="F3450" s="2" t="n">
        <f>HYPERLINK("https://patents.google.com/patent/US20100173939","Google")</f>
        <v>0.0</v>
      </c>
      <c r="G3450" s="2" t="n">
        <f>HYPERLINK("https://patentcenter.uspto.gov/applications/12639404","Patent Center")</f>
        <v>0.0</v>
      </c>
      <c r="H3450" s="2" t="n">
        <f>HYPERLINK("https://worldwide.espacenet.com/patent/search?q=US20100173939","Espacenet")</f>
        <v>0.0</v>
      </c>
      <c r="I3450" s="2" t="n">
        <f>HYPERLINK("https://ppubs.uspto.gov/pubwebapp/external.html?q=20100173939.pn.","USPTO")</f>
        <v>0.0</v>
      </c>
      <c r="J3450" s="2" t="n">
        <f>HYPERLINK("https://image-ppubs.uspto.gov/dirsearch-public/print/downloadPdf/20100173939","USPTO PDF")</f>
        <v>0.0</v>
      </c>
      <c r="K3450" s="2" t="n">
        <f>HYPERLINK("https://sectors.patentforecast.com/pmd/US20100173939","PMD")</f>
        <v>0.0</v>
      </c>
      <c r="L3450" s="2" t="n">
        <f>HYPERLINK("https://globaldossier.uspto.gov/result/application/US/12639404/1","US20100173939")</f>
        <v>0.0</v>
      </c>
      <c r="M3450" t="s">
        <v>22129</v>
      </c>
      <c r="N3450" t="s">
        <v>664</v>
      </c>
      <c r="O3450" t="s">
        <v>665</v>
      </c>
      <c r="P3450" t="s">
        <v>22130</v>
      </c>
      <c r="Q3450" s="3" t="n">
        <v>40163.0</v>
      </c>
      <c r="R3450" s="3" t="n">
        <v>40367.0</v>
      </c>
      <c r="S3450" s="3" t="n">
        <v>43952.45957747685</v>
      </c>
      <c r="T3450" s="3" t="n">
        <v>44638.65271974537</v>
      </c>
      <c r="U3450" t="s">
        <v>22131</v>
      </c>
      <c r="V3450" t="s">
        <v>22132</v>
      </c>
    </row>
    <row r="3451">
      <c r="A3451" t="s">
        <v>22</v>
      </c>
      <c r="B3451" t="s">
        <v>22133</v>
      </c>
      <c r="C3451" t="s">
        <v>132</v>
      </c>
      <c r="D3451" t="s">
        <v>22134</v>
      </c>
      <c r="E3451" t="s">
        <v>22135</v>
      </c>
      <c r="F3451" s="2" t="n">
        <f>HYPERLINK("https://patents.google.com/patent/US20100173845","Google")</f>
        <v>0.0</v>
      </c>
      <c r="G3451" s="2" t="n">
        <f>HYPERLINK("https://patentcenter.uspto.gov/applications/12676900","Patent Center")</f>
        <v>0.0</v>
      </c>
      <c r="H3451" s="2" t="n">
        <f>HYPERLINK("https://worldwide.espacenet.com/patent/search?q=US20100173845","Espacenet")</f>
        <v>0.0</v>
      </c>
      <c r="I3451" s="2" t="n">
        <f>HYPERLINK("https://ppubs.uspto.gov/pubwebapp/external.html?q=20100173845.pn.","USPTO")</f>
        <v>0.0</v>
      </c>
      <c r="J3451" s="2" t="n">
        <f>HYPERLINK("https://image-ppubs.uspto.gov/dirsearch-public/print/downloadPdf/20100173845","USPTO PDF")</f>
        <v>0.0</v>
      </c>
      <c r="K3451" s="2" t="n">
        <f>HYPERLINK("https://sectors.patentforecast.com/pmd/US20100173845","PMD")</f>
        <v>0.0</v>
      </c>
      <c r="L3451" s="2" t="n">
        <f>HYPERLINK("https://globaldossier.uspto.gov/result/application/US/12676900/1","US20100173845")</f>
        <v>0.0</v>
      </c>
      <c r="M3451" t="s">
        <v>22136</v>
      </c>
      <c r="N3451" t="s">
        <v>21991</v>
      </c>
      <c r="O3451" t="s">
        <v>21992</v>
      </c>
      <c r="P3451" t="s">
        <v>22137</v>
      </c>
      <c r="Q3451" s="3" t="n">
        <v>39700.0</v>
      </c>
      <c r="R3451" s="3" t="n">
        <v>40367.0</v>
      </c>
      <c r="S3451" s="3" t="n">
        <v>43931.460584375</v>
      </c>
      <c r="T3451" s="3" t="n">
        <v>44543.62592880787</v>
      </c>
      <c r="U3451" t="s">
        <v>22138</v>
      </c>
      <c r="V3451" t="s">
        <v>22139</v>
      </c>
    </row>
    <row r="3452">
      <c r="A3452" t="s">
        <v>22</v>
      </c>
      <c r="B3452" t="s">
        <v>22140</v>
      </c>
      <c r="C3452" t="s">
        <v>24</v>
      </c>
      <c r="D3452" t="s">
        <v>100</v>
      </c>
      <c r="E3452" t="s">
        <v>22141</v>
      </c>
      <c r="F3452" s="2" t="n">
        <f>HYPERLINK("https://patents.google.com/patent/US20100168499","Google")</f>
        <v>0.0</v>
      </c>
      <c r="G3452" s="2" t="n">
        <f>HYPERLINK("https://patentcenter.uspto.gov/applications/12377904","Patent Center")</f>
        <v>0.0</v>
      </c>
      <c r="H3452" s="2" t="n">
        <f>HYPERLINK("https://worldwide.espacenet.com/patent/search?q=US20100168499","Espacenet")</f>
        <v>0.0</v>
      </c>
      <c r="I3452" s="2" t="n">
        <f>HYPERLINK("https://ppubs.uspto.gov/pubwebapp/external.html?q=20100168499.pn.","USPTO")</f>
        <v>0.0</v>
      </c>
      <c r="J3452" s="2" t="n">
        <f>HYPERLINK("https://image-ppubs.uspto.gov/dirsearch-public/print/downloadPdf/20100168499","USPTO PDF")</f>
        <v>0.0</v>
      </c>
      <c r="K3452" s="2" t="n">
        <f>HYPERLINK("https://sectors.patentforecast.com/pmd/US20100168499","PMD")</f>
        <v>0.0</v>
      </c>
      <c r="L3452" s="2" t="n">
        <f>HYPERLINK("https://globaldossier.uspto.gov/result/application/US/12377904/1","US20100168499")</f>
        <v>0.0</v>
      </c>
      <c r="M3452" t="s">
        <v>22142</v>
      </c>
      <c r="N3452" t="s">
        <v>1244</v>
      </c>
      <c r="O3452" t="s">
        <v>1244</v>
      </c>
      <c r="P3452" t="s">
        <v>22143</v>
      </c>
      <c r="Q3452" s="3" t="n">
        <v>39309.0</v>
      </c>
      <c r="R3452" s="3" t="n">
        <v>40360.0</v>
      </c>
      <c r="S3452" s="3" t="n">
        <v>43900.43738930555</v>
      </c>
      <c r="T3452" s="3" t="n">
        <v>43903.48463234954</v>
      </c>
      <c r="U3452" t="s">
        <v>22144</v>
      </c>
      <c r="V3452" t="s">
        <v>22145</v>
      </c>
    </row>
    <row r="3453">
      <c r="A3453" t="s">
        <v>22</v>
      </c>
      <c r="B3453" t="s">
        <v>22146</v>
      </c>
      <c r="C3453" t="s">
        <v>60</v>
      </c>
      <c r="D3453" t="s">
        <v>61</v>
      </c>
      <c r="E3453" t="s">
        <v>21026</v>
      </c>
      <c r="F3453" s="2" t="n">
        <f>HYPERLINK("https://patents.google.com/patent/US20100166782","Google")</f>
        <v>0.0</v>
      </c>
      <c r="G3453" s="2" t="n">
        <f>HYPERLINK("https://patentcenter.uspto.gov/applications/12508543","Patent Center")</f>
        <v>0.0</v>
      </c>
      <c r="H3453" s="2" t="n">
        <f>HYPERLINK("https://worldwide.espacenet.com/patent/search?q=US20100166782","Espacenet")</f>
        <v>0.0</v>
      </c>
      <c r="I3453" s="2" t="n">
        <f>HYPERLINK("https://ppubs.uspto.gov/pubwebapp/external.html?q=20100166782.pn.","USPTO")</f>
        <v>0.0</v>
      </c>
      <c r="J3453" s="2" t="n">
        <f>HYPERLINK("https://image-ppubs.uspto.gov/dirsearch-public/print/downloadPdf/20100166782","USPTO PDF")</f>
        <v>0.0</v>
      </c>
      <c r="K3453" s="2" t="n">
        <f>HYPERLINK("https://sectors.patentforecast.com/pmd/US20100166782","PMD")</f>
        <v>0.0</v>
      </c>
      <c r="L3453" s="2" t="n">
        <f>HYPERLINK("https://globaldossier.uspto.gov/result/application/US/12508543/1","US20100166782")</f>
        <v>0.0</v>
      </c>
      <c r="M3453" t="s">
        <v>22147</v>
      </c>
      <c r="N3453" t="s">
        <v>21028</v>
      </c>
      <c r="O3453" t="s">
        <v>21029</v>
      </c>
      <c r="P3453" t="s">
        <v>22148</v>
      </c>
      <c r="Q3453" s="3" t="n">
        <v>40017.0</v>
      </c>
      <c r="R3453" s="3" t="n">
        <v>40360.0</v>
      </c>
      <c r="S3453" s="3" t="n">
        <v>43936.461651087964</v>
      </c>
      <c r="T3453" s="3" t="n">
        <v>44638.70638775463</v>
      </c>
      <c r="U3453" t="s">
        <v>21031</v>
      </c>
      <c r="V3453" t="s">
        <v>21032</v>
      </c>
    </row>
    <row r="3454">
      <c r="A3454" t="s">
        <v>22</v>
      </c>
      <c r="B3454" t="s">
        <v>22149</v>
      </c>
      <c r="C3454" t="s">
        <v>132</v>
      </c>
      <c r="D3454" t="s">
        <v>1265</v>
      </c>
      <c r="E3454" t="s">
        <v>22150</v>
      </c>
      <c r="F3454" s="2" t="n">
        <f>HYPERLINK("https://patents.google.com/patent/US20100160421","Google")</f>
        <v>0.0</v>
      </c>
      <c r="G3454" s="2" t="n">
        <f>HYPERLINK("https://patentcenter.uspto.gov/applications/12689547","Patent Center")</f>
        <v>0.0</v>
      </c>
      <c r="H3454" s="2" t="n">
        <f>HYPERLINK("https://worldwide.espacenet.com/patent/search?q=US20100160421","Espacenet")</f>
        <v>0.0</v>
      </c>
      <c r="I3454" s="2" t="n">
        <f>HYPERLINK("https://ppubs.uspto.gov/pubwebapp/external.html?q=20100160421.pn.","USPTO")</f>
        <v>0.0</v>
      </c>
      <c r="J3454" s="2" t="n">
        <f>HYPERLINK("https://image-ppubs.uspto.gov/dirsearch-public/print/downloadPdf/20100160421","USPTO PDF")</f>
        <v>0.0</v>
      </c>
      <c r="K3454" s="2" t="n">
        <f>HYPERLINK("https://sectors.patentforecast.com/pmd/US20100160421","PMD")</f>
        <v>0.0</v>
      </c>
      <c r="L3454" s="2" t="n">
        <f>HYPERLINK("https://globaldossier.uspto.gov/result/application/US/12689547/1","US20100160421")</f>
        <v>0.0</v>
      </c>
      <c r="M3454" t="s">
        <v>22151</v>
      </c>
      <c r="N3454" t="s">
        <v>21698</v>
      </c>
      <c r="O3454" t="s">
        <v>21698</v>
      </c>
      <c r="P3454" t="s">
        <v>22152</v>
      </c>
      <c r="Q3454" s="3" t="n">
        <v>40197.0</v>
      </c>
      <c r="R3454" s="3" t="n">
        <v>40353.0</v>
      </c>
      <c r="S3454" s="3" t="n">
        <v>43900.43738930555</v>
      </c>
      <c r="T3454" s="3" t="n">
        <v>43903.48463239583</v>
      </c>
      <c r="U3454" t="s">
        <v>22153</v>
      </c>
      <c r="V3454" t="s">
        <v>22154</v>
      </c>
    </row>
    <row r="3455">
      <c r="A3455" t="s">
        <v>22</v>
      </c>
      <c r="B3455" t="s">
        <v>22155</v>
      </c>
      <c r="C3455" t="s">
        <v>132</v>
      </c>
      <c r="D3455" t="s">
        <v>1265</v>
      </c>
      <c r="E3455" t="s">
        <v>22156</v>
      </c>
      <c r="F3455" s="2" t="n">
        <f>HYPERLINK("https://patents.google.com/patent/US20100158939","Google")</f>
        <v>0.0</v>
      </c>
      <c r="G3455" s="2" t="n">
        <f>HYPERLINK("https://patentcenter.uspto.gov/applications/12646078","Patent Center")</f>
        <v>0.0</v>
      </c>
      <c r="H3455" s="2" t="n">
        <f>HYPERLINK("https://worldwide.espacenet.com/patent/search?q=US20100158939","Espacenet")</f>
        <v>0.0</v>
      </c>
      <c r="I3455" s="2" t="n">
        <f>HYPERLINK("https://ppubs.uspto.gov/pubwebapp/external.html?q=20100158939.pn.","USPTO")</f>
        <v>0.0</v>
      </c>
      <c r="J3455" s="2" t="n">
        <f>HYPERLINK("https://image-ppubs.uspto.gov/dirsearch-public/print/downloadPdf/20100158939","USPTO PDF")</f>
        <v>0.0</v>
      </c>
      <c r="K3455" s="2" t="n">
        <f>HYPERLINK("https://sectors.patentforecast.com/pmd/US20100158939","PMD")</f>
        <v>0.0</v>
      </c>
      <c r="L3455" s="2" t="n">
        <f>HYPERLINK("https://globaldossier.uspto.gov/result/application/US/12646078/1","US20100158939")</f>
        <v>0.0</v>
      </c>
      <c r="M3455" t="s">
        <v>22157</v>
      </c>
      <c r="N3455" t="s">
        <v>22158</v>
      </c>
      <c r="O3455" t="s">
        <v>22159</v>
      </c>
      <c r="P3455" t="s">
        <v>22160</v>
      </c>
      <c r="Q3455" s="3" t="n">
        <v>40170.0</v>
      </c>
      <c r="R3455" s="3" t="n">
        <v>40353.0</v>
      </c>
      <c r="S3455" s="3" t="n">
        <v>43900.43738930555</v>
      </c>
      <c r="T3455" s="3" t="n">
        <v>43903.48463237269</v>
      </c>
      <c r="U3455" t="s">
        <v>22161</v>
      </c>
      <c r="V3455" t="s">
        <v>22162</v>
      </c>
    </row>
    <row r="3456">
      <c r="A3456" t="s">
        <v>22</v>
      </c>
      <c r="B3456" t="s">
        <v>22163</v>
      </c>
      <c r="C3456" t="s">
        <v>60</v>
      </c>
      <c r="D3456" t="s">
        <v>696</v>
      </c>
      <c r="E3456" t="s">
        <v>18556</v>
      </c>
      <c r="F3456" s="2" t="n">
        <f>HYPERLINK("https://patents.google.com/patent/US20100158859","Google")</f>
        <v>0.0</v>
      </c>
      <c r="G3456" s="2" t="n">
        <f>HYPERLINK("https://patentcenter.uspto.gov/applications/12624816","Patent Center")</f>
        <v>0.0</v>
      </c>
      <c r="H3456" s="2" t="n">
        <f>HYPERLINK("https://worldwide.espacenet.com/patent/search?q=US20100158859","Espacenet")</f>
        <v>0.0</v>
      </c>
      <c r="I3456" s="2" t="n">
        <f>HYPERLINK("https://ppubs.uspto.gov/pubwebapp/external.html?q=20100158859.pn.","USPTO")</f>
        <v>0.0</v>
      </c>
      <c r="J3456" s="2" t="n">
        <f>HYPERLINK("https://image-ppubs.uspto.gov/dirsearch-public/print/downloadPdf/20100158859","USPTO PDF")</f>
        <v>0.0</v>
      </c>
      <c r="K3456" s="2" t="n">
        <f>HYPERLINK("https://sectors.patentforecast.com/pmd/US20100158859","PMD")</f>
        <v>0.0</v>
      </c>
      <c r="L3456" s="2" t="n">
        <f>HYPERLINK("https://globaldossier.uspto.gov/result/application/US/12624816/1","US20100158859")</f>
        <v>0.0</v>
      </c>
      <c r="M3456" t="s">
        <v>22164</v>
      </c>
      <c r="N3456" t="s">
        <v>16927</v>
      </c>
      <c r="O3456" t="s">
        <v>16928</v>
      </c>
      <c r="P3456" t="s">
        <v>22165</v>
      </c>
      <c r="Q3456" s="3" t="n">
        <v>40141.0</v>
      </c>
      <c r="R3456" s="3" t="n">
        <v>40353.0</v>
      </c>
      <c r="S3456" s="3" t="n">
        <v>43931.460584375</v>
      </c>
      <c r="T3456" s="3" t="n">
        <v>43950.54108888889</v>
      </c>
      <c r="U3456" t="s">
        <v>19751</v>
      </c>
      <c r="V3456" t="s">
        <v>17862</v>
      </c>
    </row>
    <row r="3457">
      <c r="A3457" t="s">
        <v>22</v>
      </c>
      <c r="B3457" t="s">
        <v>22166</v>
      </c>
      <c r="C3457" t="s">
        <v>24</v>
      </c>
      <c r="D3457" t="s">
        <v>51</v>
      </c>
      <c r="E3457" t="s">
        <v>22167</v>
      </c>
      <c r="F3457" s="2" t="n">
        <f>HYPERLINK("https://patents.google.com/patent/US20100151442","Google")</f>
        <v>0.0</v>
      </c>
      <c r="G3457" s="2" t="n">
        <f>HYPERLINK("https://patentcenter.uspto.gov/applications/12332847","Patent Center")</f>
        <v>0.0</v>
      </c>
      <c r="H3457" s="2" t="n">
        <f>HYPERLINK("https://worldwide.espacenet.com/patent/search?q=US20100151442","Espacenet")</f>
        <v>0.0</v>
      </c>
      <c r="I3457" s="2" t="n">
        <f>HYPERLINK("https://ppubs.uspto.gov/pubwebapp/external.html?q=20100151442.pn.","USPTO")</f>
        <v>0.0</v>
      </c>
      <c r="J3457" s="2" t="n">
        <f>HYPERLINK("https://image-ppubs.uspto.gov/dirsearch-public/print/downloadPdf/20100151442","USPTO PDF")</f>
        <v>0.0</v>
      </c>
      <c r="K3457" s="2" t="n">
        <f>HYPERLINK("https://sectors.patentforecast.com/pmd/US20100151442","PMD")</f>
        <v>0.0</v>
      </c>
      <c r="L3457" s="2" t="n">
        <f>HYPERLINK("https://globaldossier.uspto.gov/result/application/US/12332847/1","US20100151442")</f>
        <v>0.0</v>
      </c>
      <c r="M3457" t="s">
        <v>22168</v>
      </c>
      <c r="N3457" t="s">
        <v>22169</v>
      </c>
      <c r="O3457" t="s">
        <v>22169</v>
      </c>
      <c r="P3457" t="s">
        <v>22170</v>
      </c>
      <c r="Q3457" s="3" t="n">
        <v>39793.0</v>
      </c>
      <c r="R3457" s="3" t="n">
        <v>40346.0</v>
      </c>
      <c r="S3457" s="3" t="n">
        <v>43900.43738930555</v>
      </c>
      <c r="T3457" s="3" t="n">
        <v>43903.61193216435</v>
      </c>
      <c r="U3457" t="s">
        <v>6921</v>
      </c>
      <c r="V3457" t="s">
        <v>22171</v>
      </c>
    </row>
    <row r="3458">
      <c r="A3458" t="s">
        <v>22</v>
      </c>
      <c r="B3458" t="s">
        <v>22172</v>
      </c>
      <c r="C3458" t="s">
        <v>60</v>
      </c>
      <c r="D3458" t="s">
        <v>696</v>
      </c>
      <c r="E3458" t="s">
        <v>22011</v>
      </c>
      <c r="F3458" s="2" t="n">
        <f>HYPERLINK("https://patents.google.com/patent/US20100150829","Google")</f>
        <v>0.0</v>
      </c>
      <c r="G3458" s="2" t="n">
        <f>HYPERLINK("https://patentcenter.uspto.gov/applications/12624778","Patent Center")</f>
        <v>0.0</v>
      </c>
      <c r="H3458" s="2" t="n">
        <f>HYPERLINK("https://worldwide.espacenet.com/patent/search?q=US20100150829","Espacenet")</f>
        <v>0.0</v>
      </c>
      <c r="I3458" s="2" t="n">
        <f>HYPERLINK("https://ppubs.uspto.gov/pubwebapp/external.html?q=20100150829.pn.","USPTO")</f>
        <v>0.0</v>
      </c>
      <c r="J3458" s="2" t="n">
        <f>HYPERLINK("https://image-ppubs.uspto.gov/dirsearch-public/print/downloadPdf/20100150829","USPTO PDF")</f>
        <v>0.0</v>
      </c>
      <c r="K3458" s="2" t="n">
        <f>HYPERLINK("https://sectors.patentforecast.com/pmd/US20100150829","PMD")</f>
        <v>0.0</v>
      </c>
      <c r="L3458" s="2" t="n">
        <f>HYPERLINK("https://globaldossier.uspto.gov/result/application/US/12624778/1","US20100150829")</f>
        <v>0.0</v>
      </c>
      <c r="M3458" t="s">
        <v>22173</v>
      </c>
      <c r="N3458" t="s">
        <v>16927</v>
      </c>
      <c r="O3458" t="s">
        <v>16928</v>
      </c>
      <c r="P3458" t="s">
        <v>22174</v>
      </c>
      <c r="Q3458" s="3" t="n">
        <v>40141.0</v>
      </c>
      <c r="R3458" s="3" t="n">
        <v>40346.0</v>
      </c>
      <c r="S3458" s="3" t="n">
        <v>43931.460584375</v>
      </c>
      <c r="T3458" s="3" t="n">
        <v>44638.641231967595</v>
      </c>
      <c r="U3458" t="s">
        <v>19274</v>
      </c>
      <c r="V3458" t="s">
        <v>17876</v>
      </c>
    </row>
    <row r="3459">
      <c r="A3459" t="s">
        <v>22</v>
      </c>
      <c r="B3459" t="s">
        <v>22175</v>
      </c>
      <c r="C3459" t="s">
        <v>60</v>
      </c>
      <c r="D3459" t="s">
        <v>61</v>
      </c>
      <c r="E3459" t="s">
        <v>22176</v>
      </c>
      <c r="F3459" s="2" t="n">
        <f>HYPERLINK("https://patents.google.com/patent/US20100143299","Google")</f>
        <v>0.0</v>
      </c>
      <c r="G3459" s="2" t="n">
        <f>HYPERLINK("https://patentcenter.uspto.gov/applications/12374242","Patent Center")</f>
        <v>0.0</v>
      </c>
      <c r="H3459" s="2" t="n">
        <f>HYPERLINK("https://worldwide.espacenet.com/patent/search?q=US20100143299","Espacenet")</f>
        <v>0.0</v>
      </c>
      <c r="I3459" s="2" t="n">
        <f>HYPERLINK("https://ppubs.uspto.gov/pubwebapp/external.html?q=20100143299.pn.","USPTO")</f>
        <v>0.0</v>
      </c>
      <c r="J3459" s="2" t="n">
        <f>HYPERLINK("https://image-ppubs.uspto.gov/dirsearch-public/print/downloadPdf/20100143299","USPTO PDF")</f>
        <v>0.0</v>
      </c>
      <c r="K3459" s="2" t="n">
        <f>HYPERLINK("https://sectors.patentforecast.com/pmd/US20100143299","PMD")</f>
        <v>0.0</v>
      </c>
      <c r="L3459" s="2" t="n">
        <f>HYPERLINK("https://globaldossier.uspto.gov/result/application/US/12374242/1","US20100143299")</f>
        <v>0.0</v>
      </c>
      <c r="M3459" t="s">
        <v>22177</v>
      </c>
      <c r="N3459" t="s">
        <v>664</v>
      </c>
      <c r="O3459" t="s">
        <v>665</v>
      </c>
      <c r="P3459" t="s">
        <v>22178</v>
      </c>
      <c r="Q3459" s="3" t="n">
        <v>39283.0</v>
      </c>
      <c r="R3459" s="3" t="n">
        <v>40339.0</v>
      </c>
      <c r="S3459" s="3" t="n">
        <v>43952.45957747685</v>
      </c>
      <c r="T3459" s="3" t="n">
        <v>44638.65579662037</v>
      </c>
      <c r="U3459" t="s">
        <v>22179</v>
      </c>
      <c r="V3459" t="s">
        <v>22180</v>
      </c>
    </row>
    <row r="3460">
      <c r="A3460" t="s">
        <v>22</v>
      </c>
      <c r="B3460" t="s">
        <v>22181</v>
      </c>
      <c r="C3460" t="s">
        <v>60</v>
      </c>
      <c r="D3460" t="s">
        <v>696</v>
      </c>
      <c r="E3460" t="s">
        <v>17697</v>
      </c>
      <c r="F3460" s="2" t="n">
        <f>HYPERLINK("https://patents.google.com/patent/US20100143294","Google")</f>
        <v>0.0</v>
      </c>
      <c r="G3460" s="2" t="n">
        <f>HYPERLINK("https://patentcenter.uspto.gov/applications/12624830","Patent Center")</f>
        <v>0.0</v>
      </c>
      <c r="H3460" s="2" t="n">
        <f>HYPERLINK("https://worldwide.espacenet.com/patent/search?q=US20100143294","Espacenet")</f>
        <v>0.0</v>
      </c>
      <c r="I3460" s="2" t="n">
        <f>HYPERLINK("https://ppubs.uspto.gov/pubwebapp/external.html?q=20100143294.pn.","USPTO")</f>
        <v>0.0</v>
      </c>
      <c r="J3460" s="2" t="n">
        <f>HYPERLINK("https://image-ppubs.uspto.gov/dirsearch-public/print/downloadPdf/20100143294","USPTO PDF")</f>
        <v>0.0</v>
      </c>
      <c r="K3460" s="2" t="n">
        <f>HYPERLINK("https://sectors.patentforecast.com/pmd/US20100143294","PMD")</f>
        <v>0.0</v>
      </c>
      <c r="L3460" s="2" t="n">
        <f>HYPERLINK("https://globaldossier.uspto.gov/result/application/US/12624830/1","US20100143294")</f>
        <v>0.0</v>
      </c>
      <c r="M3460" t="s">
        <v>22182</v>
      </c>
      <c r="N3460" t="s">
        <v>16927</v>
      </c>
      <c r="O3460" t="s">
        <v>16928</v>
      </c>
      <c r="P3460" t="s">
        <v>21689</v>
      </c>
      <c r="Q3460" s="3" t="n">
        <v>40141.0</v>
      </c>
      <c r="R3460" s="3" t="n">
        <v>40339.0</v>
      </c>
      <c r="S3460" s="3" t="n">
        <v>43966.489324884256</v>
      </c>
      <c r="T3460" s="3" t="n">
        <v>44643.44490069444</v>
      </c>
      <c r="U3460" t="s">
        <v>22183</v>
      </c>
      <c r="V3460" t="s">
        <v>17701</v>
      </c>
    </row>
    <row r="3461">
      <c r="A3461" t="s">
        <v>22</v>
      </c>
      <c r="B3461" t="s">
        <v>22184</v>
      </c>
      <c r="C3461" t="s">
        <v>24</v>
      </c>
      <c r="D3461" t="s">
        <v>8459</v>
      </c>
      <c r="E3461" t="s">
        <v>22185</v>
      </c>
      <c r="F3461" s="2" t="n">
        <f>HYPERLINK("https://patents.google.com/patent/US20100138164","Google")</f>
        <v>0.0</v>
      </c>
      <c r="G3461" s="2" t="n">
        <f>HYPERLINK("https://patentcenter.uspto.gov/applications/12701318","Patent Center")</f>
        <v>0.0</v>
      </c>
      <c r="H3461" s="2" t="n">
        <f>HYPERLINK("https://worldwide.espacenet.com/patent/search?q=US20100138164","Espacenet")</f>
        <v>0.0</v>
      </c>
      <c r="I3461" s="2" t="n">
        <f>HYPERLINK("https://ppubs.uspto.gov/pubwebapp/external.html?q=20100138164.pn.","USPTO")</f>
        <v>0.0</v>
      </c>
      <c r="J3461" s="2" t="n">
        <f>HYPERLINK("https://image-ppubs.uspto.gov/dirsearch-public/print/downloadPdf/20100138164","USPTO PDF")</f>
        <v>0.0</v>
      </c>
      <c r="K3461" s="2" t="n">
        <f>HYPERLINK("https://sectors.patentforecast.com/pmd/US20100138164","PMD")</f>
        <v>0.0</v>
      </c>
      <c r="L3461" s="2" t="n">
        <f>HYPERLINK("https://globaldossier.uspto.gov/result/application/US/12701318/1","US20100138164")</f>
        <v>0.0</v>
      </c>
      <c r="M3461" t="s">
        <v>22186</v>
      </c>
      <c r="N3461" t="s">
        <v>22187</v>
      </c>
      <c r="O3461" t="s">
        <v>22187</v>
      </c>
      <c r="P3461" t="s">
        <v>22188</v>
      </c>
      <c r="Q3461" s="3" t="n">
        <v>40214.0</v>
      </c>
      <c r="R3461" s="3" t="n">
        <v>40332.0</v>
      </c>
      <c r="S3461" s="3" t="n">
        <v>43266.45737266204</v>
      </c>
      <c r="T3461" s="3" t="n">
        <v>43903.48463234954</v>
      </c>
      <c r="U3461" t="s">
        <v>22189</v>
      </c>
      <c r="V3461" t="s">
        <v>22190</v>
      </c>
    </row>
    <row r="3462">
      <c r="A3462" t="s">
        <v>22</v>
      </c>
      <c r="B3462" t="s">
        <v>22191</v>
      </c>
      <c r="C3462" t="s">
        <v>312</v>
      </c>
      <c r="D3462" t="s">
        <v>3202</v>
      </c>
      <c r="E3462" t="s">
        <v>22192</v>
      </c>
      <c r="F3462" s="2" t="n">
        <f>HYPERLINK("https://patents.google.com/patent/US20100138160","Google")</f>
        <v>0.0</v>
      </c>
      <c r="G3462" s="2" t="n">
        <f>HYPERLINK("https://patentcenter.uspto.gov/applications/10220874","Patent Center")</f>
        <v>0.0</v>
      </c>
      <c r="H3462" s="2" t="n">
        <f>HYPERLINK("https://worldwide.espacenet.com/patent/search?q=US20100138160","Espacenet")</f>
        <v>0.0</v>
      </c>
      <c r="I3462" s="2" t="n">
        <f>HYPERLINK("https://ppubs.uspto.gov/pubwebapp/external.html?q=20100138160.pn.","USPTO")</f>
        <v>0.0</v>
      </c>
      <c r="J3462" s="2" t="n">
        <f>HYPERLINK("https://image-ppubs.uspto.gov/dirsearch-public/print/downloadPdf/20100138160","USPTO PDF")</f>
        <v>0.0</v>
      </c>
      <c r="K3462" s="2" t="n">
        <f>HYPERLINK("https://sectors.patentforecast.com/pmd/US20100138160","PMD")</f>
        <v>0.0</v>
      </c>
      <c r="L3462" s="2" t="n">
        <f>HYPERLINK("https://globaldossier.uspto.gov/result/application/US/10220874/1","US20100138160")</f>
        <v>0.0</v>
      </c>
      <c r="M3462" t="s">
        <v>22193</v>
      </c>
      <c r="N3462" t="s">
        <v>22194</v>
      </c>
      <c r="O3462" t="s">
        <v>22195</v>
      </c>
      <c r="P3462" t="s">
        <v>22196</v>
      </c>
      <c r="Q3462" s="3" t="n">
        <v>36979.0</v>
      </c>
      <c r="R3462" s="3" t="n">
        <v>40332.0</v>
      </c>
      <c r="S3462" s="3" t="n">
        <v>43266.45737266204</v>
      </c>
      <c r="T3462" s="3" t="n">
        <v>43950.582976944446</v>
      </c>
      <c r="U3462" t="s">
        <v>22197</v>
      </c>
      <c r="V3462" t="s">
        <v>22198</v>
      </c>
    </row>
    <row r="3463">
      <c r="A3463" t="s">
        <v>22</v>
      </c>
      <c r="B3463" t="s">
        <v>22199</v>
      </c>
      <c r="C3463" t="s">
        <v>132</v>
      </c>
      <c r="D3463" t="s">
        <v>1265</v>
      </c>
      <c r="E3463" t="s">
        <v>22200</v>
      </c>
      <c r="F3463" s="2" t="n">
        <f>HYPERLINK("https://patents.google.com/patent/US20100129401","Google")</f>
        <v>0.0</v>
      </c>
      <c r="G3463" s="2" t="n">
        <f>HYPERLINK("https://patentcenter.uspto.gov/applications/12340186","Patent Center")</f>
        <v>0.0</v>
      </c>
      <c r="H3463" s="2" t="n">
        <f>HYPERLINK("https://worldwide.espacenet.com/patent/search?q=US20100129401","Espacenet")</f>
        <v>0.0</v>
      </c>
      <c r="I3463" s="2" t="n">
        <f>HYPERLINK("https://ppubs.uspto.gov/pubwebapp/external.html?q=20100129401.pn.","USPTO")</f>
        <v>0.0</v>
      </c>
      <c r="J3463" s="2" t="n">
        <f>HYPERLINK("https://image-ppubs.uspto.gov/dirsearch-public/print/downloadPdf/20100129401","USPTO PDF")</f>
        <v>0.0</v>
      </c>
      <c r="K3463" s="2" t="n">
        <f>HYPERLINK("https://sectors.patentforecast.com/pmd/US20100129401","PMD")</f>
        <v>0.0</v>
      </c>
      <c r="L3463" s="2" t="n">
        <f>HYPERLINK("https://globaldossier.uspto.gov/result/application/US/12340186/1","US20100129401")</f>
        <v>0.0</v>
      </c>
      <c r="M3463" t="s">
        <v>22201</v>
      </c>
      <c r="N3463" t="s">
        <v>1275</v>
      </c>
      <c r="O3463" t="s">
        <v>1275</v>
      </c>
      <c r="P3463" t="s">
        <v>22202</v>
      </c>
      <c r="Q3463" s="3" t="n">
        <v>39801.0</v>
      </c>
      <c r="R3463" s="3" t="n">
        <v>40325.0</v>
      </c>
      <c r="S3463" s="3" t="n">
        <v>43900.43738930555</v>
      </c>
      <c r="T3463" s="3" t="n">
        <v>43903.4846325</v>
      </c>
      <c r="U3463" t="s">
        <v>22203</v>
      </c>
      <c r="V3463" t="s">
        <v>17402</v>
      </c>
    </row>
    <row r="3464">
      <c r="A3464" t="s">
        <v>22</v>
      </c>
      <c r="B3464" t="s">
        <v>22204</v>
      </c>
      <c r="C3464" t="s">
        <v>132</v>
      </c>
      <c r="D3464" t="s">
        <v>1265</v>
      </c>
      <c r="E3464" t="s">
        <v>22205</v>
      </c>
      <c r="F3464" s="2" t="n">
        <f>HYPERLINK("https://patents.google.com/patent/US20100129399","Google")</f>
        <v>0.0</v>
      </c>
      <c r="G3464" s="2" t="n">
        <f>HYPERLINK("https://patentcenter.uspto.gov/applications/12666459","Patent Center")</f>
        <v>0.0</v>
      </c>
      <c r="H3464" s="2" t="n">
        <f>HYPERLINK("https://worldwide.espacenet.com/patent/search?q=US20100129399","Espacenet")</f>
        <v>0.0</v>
      </c>
      <c r="I3464" s="2" t="n">
        <f>HYPERLINK("https://ppubs.uspto.gov/pubwebapp/external.html?q=20100129399.pn.","USPTO")</f>
        <v>0.0</v>
      </c>
      <c r="J3464" s="2" t="n">
        <f>HYPERLINK("https://image-ppubs.uspto.gov/dirsearch-public/print/downloadPdf/20100129399","USPTO PDF")</f>
        <v>0.0</v>
      </c>
      <c r="K3464" s="2" t="n">
        <f>HYPERLINK("https://sectors.patentforecast.com/pmd/US20100129399","PMD")</f>
        <v>0.0</v>
      </c>
      <c r="L3464" s="2" t="n">
        <f>HYPERLINK("https://globaldossier.uspto.gov/result/application/US/12666459/1","US20100129399")</f>
        <v>0.0</v>
      </c>
      <c r="M3464" t="s">
        <v>22206</v>
      </c>
      <c r="N3464" t="s">
        <v>22207</v>
      </c>
      <c r="O3464" t="s">
        <v>22207</v>
      </c>
      <c r="P3464" t="s">
        <v>22208</v>
      </c>
      <c r="Q3464" s="3" t="n">
        <v>39625.0</v>
      </c>
      <c r="R3464" s="3" t="n">
        <v>40325.0</v>
      </c>
      <c r="S3464" s="3" t="n">
        <v>43900.43738930555</v>
      </c>
      <c r="T3464" s="3" t="n">
        <v>43901.72156385417</v>
      </c>
      <c r="U3464" t="s">
        <v>22209</v>
      </c>
      <c r="V3464" t="s">
        <v>22210</v>
      </c>
    </row>
    <row r="3465">
      <c r="A3465" t="s">
        <v>22</v>
      </c>
      <c r="B3465" t="s">
        <v>22211</v>
      </c>
      <c r="C3465" t="s">
        <v>60</v>
      </c>
      <c r="D3465" t="s">
        <v>696</v>
      </c>
      <c r="E3465" t="s">
        <v>16925</v>
      </c>
      <c r="F3465" s="2" t="n">
        <f>HYPERLINK("https://patents.google.com/patent/US20100129357","Google")</f>
        <v>0.0</v>
      </c>
      <c r="G3465" s="2" t="n">
        <f>HYPERLINK("https://patentcenter.uspto.gov/applications/12502581","Patent Center")</f>
        <v>0.0</v>
      </c>
      <c r="H3465" s="2" t="n">
        <f>HYPERLINK("https://worldwide.espacenet.com/patent/search?q=US20100129357","Espacenet")</f>
        <v>0.0</v>
      </c>
      <c r="I3465" s="2" t="n">
        <f>HYPERLINK("https://ppubs.uspto.gov/pubwebapp/external.html?q=20100129357.pn.","USPTO")</f>
        <v>0.0</v>
      </c>
      <c r="J3465" s="2" t="n">
        <f>HYPERLINK("https://image-ppubs.uspto.gov/dirsearch-public/print/downloadPdf/20100129357","USPTO PDF")</f>
        <v>0.0</v>
      </c>
      <c r="K3465" s="2" t="n">
        <f>HYPERLINK("https://sectors.patentforecast.com/pmd/US20100129357","PMD")</f>
        <v>0.0</v>
      </c>
      <c r="L3465" s="2" t="n">
        <f>HYPERLINK("https://globaldossier.uspto.gov/result/application/US/12502581/1","US20100129357")</f>
        <v>0.0</v>
      </c>
      <c r="M3465" t="s">
        <v>22212</v>
      </c>
      <c r="N3465" t="s">
        <v>16927</v>
      </c>
      <c r="O3465" t="s">
        <v>16928</v>
      </c>
      <c r="P3465" t="s">
        <v>22213</v>
      </c>
      <c r="Q3465" s="3" t="n">
        <v>40008.0</v>
      </c>
      <c r="R3465" s="3" t="n">
        <v>40325.0</v>
      </c>
      <c r="S3465" s="3" t="n">
        <v>43931.460584375</v>
      </c>
      <c r="T3465" s="3" t="n">
        <v>43950.54056642361</v>
      </c>
      <c r="U3465" t="s">
        <v>20046</v>
      </c>
      <c r="V3465" t="s">
        <v>20047</v>
      </c>
    </row>
    <row r="3466">
      <c r="A3466" t="s">
        <v>22</v>
      </c>
      <c r="B3466" t="s">
        <v>22214</v>
      </c>
      <c r="C3466" t="s">
        <v>60</v>
      </c>
      <c r="D3466" t="s">
        <v>61</v>
      </c>
      <c r="E3466" t="s">
        <v>22215</v>
      </c>
      <c r="F3466" s="2" t="n">
        <f>HYPERLINK("https://patents.google.com/patent/US20100120735","Google")</f>
        <v>0.0</v>
      </c>
      <c r="G3466" s="2" t="n">
        <f>HYPERLINK("https://patentcenter.uspto.gov/applications/12452575","Patent Center")</f>
        <v>0.0</v>
      </c>
      <c r="H3466" s="2" t="n">
        <f>HYPERLINK("https://worldwide.espacenet.com/patent/search?q=US20100120735","Espacenet")</f>
        <v>0.0</v>
      </c>
      <c r="I3466" s="2" t="n">
        <f>HYPERLINK("https://ppubs.uspto.gov/pubwebapp/external.html?q=20100120735.pn.","USPTO")</f>
        <v>0.0</v>
      </c>
      <c r="J3466" s="2" t="n">
        <f>HYPERLINK("https://image-ppubs.uspto.gov/dirsearch-public/print/downloadPdf/20100120735","USPTO PDF")</f>
        <v>0.0</v>
      </c>
      <c r="K3466" s="2" t="n">
        <f>HYPERLINK("https://sectors.patentforecast.com/pmd/US20100120735","PMD")</f>
        <v>0.0</v>
      </c>
      <c r="L3466" s="2" t="n">
        <f>HYPERLINK("https://globaldossier.uspto.gov/result/application/US/12452575/1","US20100120735")</f>
        <v>0.0</v>
      </c>
      <c r="M3466" t="s">
        <v>22216</v>
      </c>
      <c r="N3466" t="s">
        <v>22217</v>
      </c>
      <c r="O3466" t="s">
        <v>22218</v>
      </c>
      <c r="P3466" t="s">
        <v>22219</v>
      </c>
      <c r="Q3466" s="3" t="n">
        <v>39633.0</v>
      </c>
      <c r="R3466" s="3" t="n">
        <v>40311.0</v>
      </c>
      <c r="S3466" s="3" t="n">
        <v>43900.43738930555</v>
      </c>
      <c r="T3466" s="3" t="n">
        <v>43903.48463232639</v>
      </c>
      <c r="U3466" t="s">
        <v>22220</v>
      </c>
      <c r="V3466" t="s">
        <v>22221</v>
      </c>
    </row>
    <row r="3467">
      <c r="A3467" t="s">
        <v>22</v>
      </c>
      <c r="B3467" t="s">
        <v>22222</v>
      </c>
      <c r="C3467" t="s">
        <v>24</v>
      </c>
      <c r="D3467" t="s">
        <v>8459</v>
      </c>
      <c r="E3467" t="s">
        <v>22223</v>
      </c>
      <c r="F3467" s="2" t="n">
        <f>HYPERLINK("https://patents.google.com/patent/US20100113334","Google")</f>
        <v>0.0</v>
      </c>
      <c r="G3467" s="2" t="n">
        <f>HYPERLINK("https://patentcenter.uspto.gov/applications/12571789","Patent Center")</f>
        <v>0.0</v>
      </c>
      <c r="H3467" s="2" t="n">
        <f>HYPERLINK("https://worldwide.espacenet.com/patent/search?q=US20100113334","Espacenet")</f>
        <v>0.0</v>
      </c>
      <c r="I3467" s="2" t="n">
        <f>HYPERLINK("https://ppubs.uspto.gov/pubwebapp/external.html?q=20100113334.pn.","USPTO")</f>
        <v>0.0</v>
      </c>
      <c r="J3467" s="2" t="n">
        <f>HYPERLINK("https://image-ppubs.uspto.gov/dirsearch-public/print/downloadPdf/20100113334","USPTO PDF")</f>
        <v>0.0</v>
      </c>
      <c r="K3467" s="2" t="n">
        <f>HYPERLINK("https://sectors.patentforecast.com/pmd/US20100113334","PMD")</f>
        <v>0.0</v>
      </c>
      <c r="L3467" s="2" t="n">
        <f>HYPERLINK("https://globaldossier.uspto.gov/result/application/US/12571789/1","US20100113334")</f>
        <v>0.0</v>
      </c>
      <c r="M3467" t="s">
        <v>22224</v>
      </c>
      <c r="N3467" t="s">
        <v>22225</v>
      </c>
      <c r="O3467" t="s">
        <v>22226</v>
      </c>
      <c r="P3467" t="s">
        <v>22227</v>
      </c>
      <c r="Q3467" s="3" t="n">
        <v>40087.0</v>
      </c>
      <c r="R3467" s="3" t="n">
        <v>40304.0</v>
      </c>
      <c r="S3467" s="3" t="n">
        <v>43900.43738930555</v>
      </c>
      <c r="T3467" s="3" t="n">
        <v>43901.72156515046</v>
      </c>
      <c r="U3467" t="s">
        <v>22228</v>
      </c>
      <c r="V3467" t="s">
        <v>22229</v>
      </c>
    </row>
    <row r="3468">
      <c r="A3468" t="s">
        <v>22</v>
      </c>
      <c r="B3468" t="s">
        <v>22230</v>
      </c>
      <c r="C3468" t="s">
        <v>60</v>
      </c>
      <c r="D3468" t="s">
        <v>61</v>
      </c>
      <c r="E3468" t="s">
        <v>22231</v>
      </c>
      <c r="F3468" s="2" t="n">
        <f>HYPERLINK("https://patents.google.com/patent/US20100104532","Google")</f>
        <v>0.0</v>
      </c>
      <c r="G3468" s="2" t="n">
        <f>HYPERLINK("https://patentcenter.uspto.gov/applications/12524545","Patent Center")</f>
        <v>0.0</v>
      </c>
      <c r="H3468" s="2" t="n">
        <f>HYPERLINK("https://worldwide.espacenet.com/patent/search?q=US20100104532","Espacenet")</f>
        <v>0.0</v>
      </c>
      <c r="I3468" s="2" t="n">
        <f>HYPERLINK("https://ppubs.uspto.gov/pubwebapp/external.html?q=20100104532.pn.","USPTO")</f>
        <v>0.0</v>
      </c>
      <c r="J3468" s="2" t="n">
        <f>HYPERLINK("https://image-ppubs.uspto.gov/dirsearch-public/print/downloadPdf/20100104532","USPTO PDF")</f>
        <v>0.0</v>
      </c>
      <c r="K3468" s="2" t="n">
        <f>HYPERLINK("https://sectors.patentforecast.com/pmd/US20100104532","PMD")</f>
        <v>0.0</v>
      </c>
      <c r="L3468" s="2" t="n">
        <f>HYPERLINK("https://globaldossier.uspto.gov/result/application/US/12524545/1","US20100104532")</f>
        <v>0.0</v>
      </c>
      <c r="M3468" t="s">
        <v>22232</v>
      </c>
      <c r="N3468" t="s">
        <v>664</v>
      </c>
      <c r="O3468" t="s">
        <v>665</v>
      </c>
      <c r="P3468" t="s">
        <v>22233</v>
      </c>
      <c r="Q3468" s="3" t="n">
        <v>39486.0</v>
      </c>
      <c r="R3468" s="3" t="n">
        <v>40297.0</v>
      </c>
      <c r="S3468" s="3" t="n">
        <v>43952.46303542824</v>
      </c>
      <c r="T3468" s="3" t="n">
        <v>44638.65271974537</v>
      </c>
      <c r="U3468" t="s">
        <v>22234</v>
      </c>
      <c r="V3468" t="s">
        <v>22235</v>
      </c>
    </row>
    <row r="3469">
      <c r="A3469" t="s">
        <v>22</v>
      </c>
      <c r="B3469" t="s">
        <v>22236</v>
      </c>
      <c r="C3469" t="s">
        <v>24</v>
      </c>
      <c r="D3469" t="s">
        <v>43</v>
      </c>
      <c r="E3469" t="s">
        <v>22237</v>
      </c>
      <c r="F3469" s="2" t="n">
        <f>HYPERLINK("https://patents.google.com/patent/US20100097209","Google")</f>
        <v>0.0</v>
      </c>
      <c r="G3469" s="2" t="n">
        <f>HYPERLINK("https://patentcenter.uspto.gov/applications/12585403","Patent Center")</f>
        <v>0.0</v>
      </c>
      <c r="H3469" s="2" t="n">
        <f>HYPERLINK("https://worldwide.espacenet.com/patent/search?q=US20100097209","Espacenet")</f>
        <v>0.0</v>
      </c>
      <c r="I3469" s="2" t="n">
        <f>HYPERLINK("https://ppubs.uspto.gov/pubwebapp/external.html?q=20100097209.pn.","USPTO")</f>
        <v>0.0</v>
      </c>
      <c r="J3469" s="2" t="n">
        <f>HYPERLINK("https://image-ppubs.uspto.gov/dirsearch-public/print/downloadPdf/20100097209","USPTO PDF")</f>
        <v>0.0</v>
      </c>
      <c r="K3469" s="2" t="n">
        <f>HYPERLINK("https://sectors.patentforecast.com/pmd/US20100097209","PMD")</f>
        <v>0.0</v>
      </c>
      <c r="L3469" s="2" t="n">
        <f>HYPERLINK("https://globaldossier.uspto.gov/result/application/US/12585403/1","US20100097209")</f>
        <v>0.0</v>
      </c>
      <c r="M3469" t="s">
        <v>22238</v>
      </c>
      <c r="N3469" t="s">
        <v>22239</v>
      </c>
      <c r="O3469" t="s">
        <v>22240</v>
      </c>
      <c r="P3469" t="s">
        <v>22241</v>
      </c>
      <c r="Q3469" s="3" t="n">
        <v>40070.0</v>
      </c>
      <c r="R3469" s="3" t="n">
        <v>40290.0</v>
      </c>
      <c r="S3469" s="3" t="n">
        <v>43900.43738930555</v>
      </c>
      <c r="T3469" s="3" t="n">
        <v>43901.72156353009</v>
      </c>
      <c r="U3469" t="s">
        <v>22242</v>
      </c>
      <c r="V3469" t="s">
        <v>22243</v>
      </c>
    </row>
    <row r="3470">
      <c r="A3470" t="s">
        <v>22</v>
      </c>
      <c r="B3470" t="s">
        <v>22244</v>
      </c>
      <c r="C3470" t="s">
        <v>60</v>
      </c>
      <c r="D3470" t="s">
        <v>61</v>
      </c>
      <c r="E3470" t="s">
        <v>18663</v>
      </c>
      <c r="F3470" s="2" t="n">
        <f>HYPERLINK("https://patents.google.com/patent/US20100093667","Google")</f>
        <v>0.0</v>
      </c>
      <c r="G3470" s="2" t="n">
        <f>HYPERLINK("https://patentcenter.uspto.gov/applications/12499018","Patent Center")</f>
        <v>0.0</v>
      </c>
      <c r="H3470" s="2" t="n">
        <f>HYPERLINK("https://worldwide.espacenet.com/patent/search?q=US20100093667","Espacenet")</f>
        <v>0.0</v>
      </c>
      <c r="I3470" s="2" t="n">
        <f>HYPERLINK("https://ppubs.uspto.gov/pubwebapp/external.html?q=20100093667.pn.","USPTO")</f>
        <v>0.0</v>
      </c>
      <c r="J3470" s="2" t="n">
        <f>HYPERLINK("https://image-ppubs.uspto.gov/dirsearch-public/print/downloadPdf/20100093667","USPTO PDF")</f>
        <v>0.0</v>
      </c>
      <c r="K3470" s="2" t="n">
        <f>HYPERLINK("https://sectors.patentforecast.com/pmd/US20100093667","PMD")</f>
        <v>0.0</v>
      </c>
      <c r="L3470" s="2" t="n">
        <f>HYPERLINK("https://globaldossier.uspto.gov/result/application/US/12499018/1","US20100093667")</f>
        <v>0.0</v>
      </c>
      <c r="M3470" t="s">
        <v>22245</v>
      </c>
      <c r="N3470" t="s">
        <v>664</v>
      </c>
      <c r="O3470" t="s">
        <v>665</v>
      </c>
      <c r="P3470" t="s">
        <v>21764</v>
      </c>
      <c r="Q3470" s="3" t="n">
        <v>40001.0</v>
      </c>
      <c r="R3470" s="3" t="n">
        <v>40283.0</v>
      </c>
      <c r="S3470" s="3" t="n">
        <v>43952.46303542824</v>
      </c>
      <c r="T3470" s="3" t="n">
        <v>44638.662781747684</v>
      </c>
      <c r="U3470" t="s">
        <v>22246</v>
      </c>
      <c r="V3470" t="s">
        <v>20632</v>
      </c>
    </row>
    <row r="3471">
      <c r="A3471" t="s">
        <v>22</v>
      </c>
      <c r="B3471" t="s">
        <v>22247</v>
      </c>
      <c r="C3471" t="s">
        <v>60</v>
      </c>
      <c r="D3471" t="s">
        <v>715</v>
      </c>
      <c r="E3471" t="s">
        <v>22248</v>
      </c>
      <c r="F3471" s="2" t="n">
        <f>HYPERLINK("https://patents.google.com/patent/US20100083968","Google")</f>
        <v>0.0</v>
      </c>
      <c r="G3471" s="2" t="n">
        <f>HYPERLINK("https://patentcenter.uspto.gov/applications/12572033","Patent Center")</f>
        <v>0.0</v>
      </c>
      <c r="H3471" s="2" t="n">
        <f>HYPERLINK("https://worldwide.espacenet.com/patent/search?q=US20100083968","Espacenet")</f>
        <v>0.0</v>
      </c>
      <c r="I3471" s="2" t="n">
        <f>HYPERLINK("https://ppubs.uspto.gov/pubwebapp/external.html?q=20100083968.pn.","USPTO")</f>
        <v>0.0</v>
      </c>
      <c r="J3471" s="2" t="n">
        <f>HYPERLINK("https://image-ppubs.uspto.gov/dirsearch-public/print/downloadPdf/20100083968","USPTO PDF")</f>
        <v>0.0</v>
      </c>
      <c r="K3471" s="2" t="n">
        <f>HYPERLINK("https://sectors.patentforecast.com/pmd/US20100083968","PMD")</f>
        <v>0.0</v>
      </c>
      <c r="L3471" s="2" t="n">
        <f>HYPERLINK("https://globaldossier.uspto.gov/result/application/US/12572033/1","US20100083968")</f>
        <v>0.0</v>
      </c>
      <c r="M3471" t="s">
        <v>22249</v>
      </c>
      <c r="N3471" t="s">
        <v>22250</v>
      </c>
      <c r="O3471" t="s">
        <v>22251</v>
      </c>
      <c r="P3471" t="s">
        <v>22252</v>
      </c>
      <c r="Q3471" s="3" t="n">
        <v>40087.0</v>
      </c>
      <c r="R3471" s="3" t="n">
        <v>40276.0</v>
      </c>
      <c r="S3471" s="3" t="n">
        <v>44271.23389293982</v>
      </c>
      <c r="T3471" s="3" t="n">
        <v>44271.53298239583</v>
      </c>
      <c r="U3471" t="s">
        <v>22253</v>
      </c>
      <c r="V3471" t="s">
        <v>22254</v>
      </c>
    </row>
    <row r="3472">
      <c r="A3472" t="s">
        <v>22</v>
      </c>
      <c r="B3472" t="s">
        <v>22255</v>
      </c>
      <c r="C3472" t="s">
        <v>24</v>
      </c>
      <c r="D3472" t="s">
        <v>25</v>
      </c>
      <c r="E3472" t="s">
        <v>22256</v>
      </c>
      <c r="F3472" s="2" t="n">
        <f>HYPERLINK("https://patents.google.com/patent/US20100066540","Google")</f>
        <v>0.0</v>
      </c>
      <c r="G3472" s="2" t="n">
        <f>HYPERLINK("https://patentcenter.uspto.gov/applications/12583978","Patent Center")</f>
        <v>0.0</v>
      </c>
      <c r="H3472" s="2" t="n">
        <f>HYPERLINK("https://worldwide.espacenet.com/patent/search?q=US20100066540","Espacenet")</f>
        <v>0.0</v>
      </c>
      <c r="I3472" s="2" t="n">
        <f>HYPERLINK("https://ppubs.uspto.gov/pubwebapp/external.html?q=20100066540.pn.","USPTO")</f>
        <v>0.0</v>
      </c>
      <c r="J3472" s="2" t="n">
        <f>HYPERLINK("https://image-ppubs.uspto.gov/dirsearch-public/print/downloadPdf/20100066540","USPTO PDF")</f>
        <v>0.0</v>
      </c>
      <c r="K3472" s="2" t="n">
        <f>HYPERLINK("https://sectors.patentforecast.com/pmd/US20100066540","PMD")</f>
        <v>0.0</v>
      </c>
      <c r="L3472" s="2" t="n">
        <f>HYPERLINK("https://globaldossier.uspto.gov/result/application/US/12583978/1","US20100066540")</f>
        <v>0.0</v>
      </c>
      <c r="M3472" t="s">
        <v>22257</v>
      </c>
      <c r="N3472" t="s">
        <v>22258</v>
      </c>
      <c r="O3472" t="s">
        <v>22259</v>
      </c>
      <c r="P3472" t="s">
        <v>22260</v>
      </c>
      <c r="Q3472" s="3" t="n">
        <v>40053.0</v>
      </c>
      <c r="R3472" s="3" t="n">
        <v>40255.0</v>
      </c>
      <c r="S3472" s="3" t="n">
        <v>43266.45737344908</v>
      </c>
      <c r="T3472" s="3" t="n">
        <v>43901.721565300926</v>
      </c>
      <c r="U3472" t="s">
        <v>22261</v>
      </c>
      <c r="V3472" t="s">
        <v>22262</v>
      </c>
    </row>
    <row r="3473">
      <c r="A3473" t="s">
        <v>22</v>
      </c>
      <c r="B3473" t="s">
        <v>22263</v>
      </c>
      <c r="C3473" t="s">
        <v>60</v>
      </c>
      <c r="D3473" t="s">
        <v>61</v>
      </c>
      <c r="E3473" t="s">
        <v>22264</v>
      </c>
      <c r="F3473" s="2" t="n">
        <f>HYPERLINK("https://patents.google.com/patent/US20100048559","Google")</f>
        <v>0.0</v>
      </c>
      <c r="G3473" s="2" t="n">
        <f>HYPERLINK("https://patentcenter.uspto.gov/applications/12519500","Patent Center")</f>
        <v>0.0</v>
      </c>
      <c r="H3473" s="2" t="n">
        <f>HYPERLINK("https://worldwide.espacenet.com/patent/search?q=US20100048559","Espacenet")</f>
        <v>0.0</v>
      </c>
      <c r="I3473" s="2" t="n">
        <f>HYPERLINK("https://ppubs.uspto.gov/pubwebapp/external.html?q=20100048559.pn.","USPTO")</f>
        <v>0.0</v>
      </c>
      <c r="J3473" s="2" t="n">
        <f>HYPERLINK("https://image-ppubs.uspto.gov/dirsearch-public/print/downloadPdf/20100048559","USPTO PDF")</f>
        <v>0.0</v>
      </c>
      <c r="K3473" s="2" t="n">
        <f>HYPERLINK("https://sectors.patentforecast.com/pmd/US20100048559","PMD")</f>
        <v>0.0</v>
      </c>
      <c r="L3473" s="2" t="n">
        <f>HYPERLINK("https://globaldossier.uspto.gov/result/application/US/12519500/1","US20100048559")</f>
        <v>0.0</v>
      </c>
      <c r="M3473" t="s">
        <v>22265</v>
      </c>
      <c r="N3473" t="s">
        <v>664</v>
      </c>
      <c r="O3473" t="s">
        <v>665</v>
      </c>
      <c r="P3473" t="s">
        <v>22266</v>
      </c>
      <c r="Q3473" s="3" t="n">
        <v>39440.0</v>
      </c>
      <c r="R3473" s="3" t="n">
        <v>40234.0</v>
      </c>
      <c r="S3473" s="3" t="n">
        <v>43952.46303542824</v>
      </c>
      <c r="T3473" s="3" t="n">
        <v>44638.65579662037</v>
      </c>
      <c r="U3473" t="s">
        <v>22267</v>
      </c>
      <c r="V3473" t="s">
        <v>22268</v>
      </c>
    </row>
    <row r="3474">
      <c r="A3474" t="s">
        <v>22</v>
      </c>
      <c r="B3474" t="s">
        <v>22269</v>
      </c>
      <c r="C3474" t="s">
        <v>24</v>
      </c>
      <c r="D3474" t="s">
        <v>3193</v>
      </c>
      <c r="E3474" t="s">
        <v>22270</v>
      </c>
      <c r="F3474" s="2" t="n">
        <f>HYPERLINK("https://patents.google.com/patent/US20100042394","Google")</f>
        <v>0.0</v>
      </c>
      <c r="G3474" s="2" t="n">
        <f>HYPERLINK("https://patentcenter.uspto.gov/applications/12593976","Patent Center")</f>
        <v>0.0</v>
      </c>
      <c r="H3474" s="2" t="n">
        <f>HYPERLINK("https://worldwide.espacenet.com/patent/search?q=US20100042394","Espacenet")</f>
        <v>0.0</v>
      </c>
      <c r="I3474" s="2" t="n">
        <f>HYPERLINK("https://ppubs.uspto.gov/pubwebapp/external.html?q=20100042394.pn.","USPTO")</f>
        <v>0.0</v>
      </c>
      <c r="J3474" s="2" t="n">
        <f>HYPERLINK("https://image-ppubs.uspto.gov/dirsearch-public/print/downloadPdf/20100042394","USPTO PDF")</f>
        <v>0.0</v>
      </c>
      <c r="K3474" s="2" t="n">
        <f>HYPERLINK("https://sectors.patentforecast.com/pmd/US20100042394","PMD")</f>
        <v>0.0</v>
      </c>
      <c r="L3474" s="2" t="n">
        <f>HYPERLINK("https://globaldossier.uspto.gov/result/application/US/12593976/1","US20100042394")</f>
        <v>0.0</v>
      </c>
      <c r="M3474" t="s">
        <v>22271</v>
      </c>
      <c r="N3474" t="s">
        <v>20472</v>
      </c>
      <c r="O3474" t="s">
        <v>20473</v>
      </c>
      <c r="P3474" t="s">
        <v>20474</v>
      </c>
      <c r="Q3474" s="3" t="n">
        <v>39540.0</v>
      </c>
      <c r="R3474" s="3" t="n">
        <v>40227.0</v>
      </c>
      <c r="S3474" s="3" t="n">
        <v>43266.45737344908</v>
      </c>
      <c r="T3474" s="3" t="n">
        <v>43950.61128952546</v>
      </c>
      <c r="U3474" t="s">
        <v>22272</v>
      </c>
      <c r="V3474" t="s">
        <v>22273</v>
      </c>
    </row>
    <row r="3475">
      <c r="A3475" t="s">
        <v>22</v>
      </c>
      <c r="B3475" t="s">
        <v>22274</v>
      </c>
      <c r="C3475" t="s">
        <v>60</v>
      </c>
      <c r="D3475" t="s">
        <v>61</v>
      </c>
      <c r="E3475" t="s">
        <v>22275</v>
      </c>
      <c r="F3475" s="2" t="n">
        <f>HYPERLINK("https://patents.google.com/patent/US20100034827","Google")</f>
        <v>0.0</v>
      </c>
      <c r="G3475" s="2" t="n">
        <f>HYPERLINK("https://patentcenter.uspto.gov/applications/12373237","Patent Center")</f>
        <v>0.0</v>
      </c>
      <c r="H3475" s="2" t="n">
        <f>HYPERLINK("https://worldwide.espacenet.com/patent/search?q=US20100034827","Espacenet")</f>
        <v>0.0</v>
      </c>
      <c r="I3475" s="2" t="n">
        <f>HYPERLINK("https://ppubs.uspto.gov/pubwebapp/external.html?q=20100034827.pn.","USPTO")</f>
        <v>0.0</v>
      </c>
      <c r="J3475" s="2" t="n">
        <f>HYPERLINK("https://image-ppubs.uspto.gov/dirsearch-public/print/downloadPdf/20100034827","USPTO PDF")</f>
        <v>0.0</v>
      </c>
      <c r="K3475" s="2" t="n">
        <f>HYPERLINK("https://sectors.patentforecast.com/pmd/US20100034827","PMD")</f>
        <v>0.0</v>
      </c>
      <c r="L3475" s="2" t="n">
        <f>HYPERLINK("https://globaldossier.uspto.gov/result/application/US/12373237/1","US20100034827")</f>
        <v>0.0</v>
      </c>
      <c r="M3475" t="s">
        <v>22276</v>
      </c>
      <c r="N3475" t="s">
        <v>19232</v>
      </c>
      <c r="O3475" t="s">
        <v>19233</v>
      </c>
      <c r="P3475" t="s">
        <v>22277</v>
      </c>
      <c r="Q3475" s="3" t="n">
        <v>39287.0</v>
      </c>
      <c r="R3475" s="3" t="n">
        <v>40220.0</v>
      </c>
      <c r="S3475" s="3" t="n">
        <v>43952.46303542824</v>
      </c>
      <c r="T3475" s="3" t="n">
        <v>44638.662781747684</v>
      </c>
      <c r="U3475" t="s">
        <v>22278</v>
      </c>
      <c r="V3475" t="s">
        <v>22279</v>
      </c>
    </row>
    <row r="3476">
      <c r="A3476" t="s">
        <v>22</v>
      </c>
      <c r="B3476" t="s">
        <v>22280</v>
      </c>
      <c r="C3476" t="s">
        <v>60</v>
      </c>
      <c r="D3476" t="s">
        <v>61</v>
      </c>
      <c r="E3476" t="s">
        <v>16903</v>
      </c>
      <c r="F3476" s="2" t="n">
        <f>HYPERLINK("https://patents.google.com/patent/US20100022508","Google")</f>
        <v>0.0</v>
      </c>
      <c r="G3476" s="2" t="n">
        <f>HYPERLINK("https://patentcenter.uspto.gov/applications/12509250","Patent Center")</f>
        <v>0.0</v>
      </c>
      <c r="H3476" s="2" t="n">
        <f>HYPERLINK("https://worldwide.espacenet.com/patent/search?q=US20100022508","Espacenet")</f>
        <v>0.0</v>
      </c>
      <c r="I3476" s="2" t="n">
        <f>HYPERLINK("https://ppubs.uspto.gov/pubwebapp/external.html?q=20100022508.pn.","USPTO")</f>
        <v>0.0</v>
      </c>
      <c r="J3476" s="2" t="n">
        <f>HYPERLINK("https://image-ppubs.uspto.gov/dirsearch-public/print/downloadPdf/20100022508","USPTO PDF")</f>
        <v>0.0</v>
      </c>
      <c r="K3476" s="2" t="n">
        <f>HYPERLINK("https://sectors.patentforecast.com/pmd/US20100022508","PMD")</f>
        <v>0.0</v>
      </c>
      <c r="L3476" s="2" t="n">
        <f>HYPERLINK("https://globaldossier.uspto.gov/result/application/US/12509250/1","US20100022508")</f>
        <v>0.0</v>
      </c>
      <c r="M3476" t="s">
        <v>22281</v>
      </c>
      <c r="N3476" t="s">
        <v>664</v>
      </c>
      <c r="O3476" t="s">
        <v>665</v>
      </c>
      <c r="P3476" t="s">
        <v>22282</v>
      </c>
      <c r="Q3476" s="3" t="n">
        <v>40018.0</v>
      </c>
      <c r="R3476" s="3" t="n">
        <v>40206.0</v>
      </c>
      <c r="S3476" s="3" t="n">
        <v>43952.46303542824</v>
      </c>
      <c r="T3476" s="3" t="n">
        <v>44638.65271974537</v>
      </c>
      <c r="U3476" t="s">
        <v>22283</v>
      </c>
      <c r="V3476" t="s">
        <v>16907</v>
      </c>
    </row>
    <row r="3477">
      <c r="A3477" t="s">
        <v>22</v>
      </c>
      <c r="B3477" t="s">
        <v>22284</v>
      </c>
      <c r="C3477" t="s">
        <v>60</v>
      </c>
      <c r="D3477" t="s">
        <v>61</v>
      </c>
      <c r="E3477" t="s">
        <v>20929</v>
      </c>
      <c r="F3477" s="2" t="n">
        <f>HYPERLINK("https://patents.google.com/patent/US20100021425","Google")</f>
        <v>0.0</v>
      </c>
      <c r="G3477" s="2" t="n">
        <f>HYPERLINK("https://patentcenter.uspto.gov/applications/12428176","Patent Center")</f>
        <v>0.0</v>
      </c>
      <c r="H3477" s="2" t="n">
        <f>HYPERLINK("https://worldwide.espacenet.com/patent/search?q=US20100021425","Espacenet")</f>
        <v>0.0</v>
      </c>
      <c r="I3477" s="2" t="n">
        <f>HYPERLINK("https://ppubs.uspto.gov/pubwebapp/external.html?q=20100021425.pn.","USPTO")</f>
        <v>0.0</v>
      </c>
      <c r="J3477" s="2" t="n">
        <f>HYPERLINK("https://image-ppubs.uspto.gov/dirsearch-public/print/downloadPdf/20100021425","USPTO PDF")</f>
        <v>0.0</v>
      </c>
      <c r="K3477" s="2" t="n">
        <f>HYPERLINK("https://sectors.patentforecast.com/pmd/US20100021425","PMD")</f>
        <v>0.0</v>
      </c>
      <c r="L3477" s="2" t="n">
        <f>HYPERLINK("https://globaldossier.uspto.gov/result/application/US/12428176/1","US20100021425")</f>
        <v>0.0</v>
      </c>
      <c r="M3477" t="s">
        <v>22285</v>
      </c>
      <c r="N3477" t="s">
        <v>664</v>
      </c>
      <c r="O3477" t="s">
        <v>665</v>
      </c>
      <c r="P3477" t="s">
        <v>22286</v>
      </c>
      <c r="Q3477" s="3" t="n">
        <v>39925.0</v>
      </c>
      <c r="R3477" s="3" t="n">
        <v>40206.0</v>
      </c>
      <c r="S3477" s="3" t="n">
        <v>43952.46303542824</v>
      </c>
      <c r="T3477" s="3" t="n">
        <v>44638.65271974537</v>
      </c>
      <c r="U3477" t="s">
        <v>22287</v>
      </c>
      <c r="V3477" t="s">
        <v>20933</v>
      </c>
    </row>
    <row r="3478">
      <c r="A3478" t="s">
        <v>22</v>
      </c>
      <c r="B3478" t="s">
        <v>22288</v>
      </c>
      <c r="C3478" t="s">
        <v>132</v>
      </c>
      <c r="D3478" t="s">
        <v>1265</v>
      </c>
      <c r="E3478" t="s">
        <v>22289</v>
      </c>
      <c r="F3478" s="2" t="n">
        <f>HYPERLINK("https://patents.google.com/patent/US20100008952","Google")</f>
        <v>0.0</v>
      </c>
      <c r="G3478" s="2" t="n">
        <f>HYPERLINK("https://patentcenter.uspto.gov/applications/12509167","Patent Center")</f>
        <v>0.0</v>
      </c>
      <c r="H3478" s="2" t="n">
        <f>HYPERLINK("https://worldwide.espacenet.com/patent/search?q=US20100008952","Espacenet")</f>
        <v>0.0</v>
      </c>
      <c r="I3478" s="2" t="n">
        <f>HYPERLINK("https://ppubs.uspto.gov/pubwebapp/external.html?q=20100008952.pn.","USPTO")</f>
        <v>0.0</v>
      </c>
      <c r="J3478" s="2" t="n">
        <f>HYPERLINK("https://image-ppubs.uspto.gov/dirsearch-public/print/downloadPdf/20100008952","USPTO PDF")</f>
        <v>0.0</v>
      </c>
      <c r="K3478" s="2" t="n">
        <f>HYPERLINK("https://sectors.patentforecast.com/pmd/US20100008952","PMD")</f>
        <v>0.0</v>
      </c>
      <c r="L3478" s="2" t="n">
        <f>HYPERLINK("https://globaldossier.uspto.gov/result/application/US/12509167/1","US20100008952")</f>
        <v>0.0</v>
      </c>
      <c r="M3478" t="s">
        <v>22290</v>
      </c>
      <c r="N3478" t="s">
        <v>22291</v>
      </c>
      <c r="O3478" t="s">
        <v>22292</v>
      </c>
      <c r="P3478" t="s">
        <v>22293</v>
      </c>
      <c r="Q3478" s="3" t="n">
        <v>40018.0</v>
      </c>
      <c r="R3478" s="3" t="n">
        <v>40192.0</v>
      </c>
      <c r="S3478" s="3" t="n">
        <v>43900.43738930555</v>
      </c>
      <c r="T3478" s="3" t="n">
        <v>43901.721564583335</v>
      </c>
      <c r="U3478" t="s">
        <v>22294</v>
      </c>
      <c r="V3478" t="s">
        <v>22295</v>
      </c>
    </row>
    <row r="3479">
      <c r="A3479" t="s">
        <v>22</v>
      </c>
      <c r="B3479" t="s">
        <v>22296</v>
      </c>
      <c r="C3479" t="s">
        <v>24</v>
      </c>
      <c r="D3479" t="s">
        <v>258</v>
      </c>
      <c r="E3479" t="s">
        <v>22297</v>
      </c>
      <c r="F3479" s="2" t="n">
        <f>HYPERLINK("https://patents.google.com/patent/US20100004945","Google")</f>
        <v>0.0</v>
      </c>
      <c r="G3479" s="2" t="n">
        <f>HYPERLINK("https://patentcenter.uspto.gov/applications/12495003","Patent Center")</f>
        <v>0.0</v>
      </c>
      <c r="H3479" s="2" t="n">
        <f>HYPERLINK("https://worldwide.espacenet.com/patent/search?q=US20100004945","Espacenet")</f>
        <v>0.0</v>
      </c>
      <c r="I3479" s="2" t="n">
        <f>HYPERLINK("https://ppubs.uspto.gov/pubwebapp/external.html?q=20100004945.pn.","USPTO")</f>
        <v>0.0</v>
      </c>
      <c r="J3479" s="2" t="n">
        <f>HYPERLINK("https://image-ppubs.uspto.gov/dirsearch-public/print/downloadPdf/20100004945","USPTO PDF")</f>
        <v>0.0</v>
      </c>
      <c r="K3479" s="2" t="n">
        <f>HYPERLINK("https://sectors.patentforecast.com/pmd/US20100004945","PMD")</f>
        <v>0.0</v>
      </c>
      <c r="L3479" s="2" t="n">
        <f>HYPERLINK("https://globaldossier.uspto.gov/result/application/US/12495003/1","US20100004945")</f>
        <v>0.0</v>
      </c>
      <c r="M3479" t="s">
        <v>22298</v>
      </c>
      <c r="N3479" t="s">
        <v>22299</v>
      </c>
      <c r="O3479" t="s">
        <v>22300</v>
      </c>
      <c r="P3479" t="s">
        <v>22301</v>
      </c>
      <c r="Q3479" s="3" t="n">
        <v>39994.0</v>
      </c>
      <c r="R3479" s="3" t="n">
        <v>40185.0</v>
      </c>
      <c r="S3479" s="3" t="n">
        <v>44019.229931608796</v>
      </c>
      <c r="T3479" s="3" t="n">
        <v>44019.66918167824</v>
      </c>
      <c r="U3479" t="s">
        <v>22302</v>
      </c>
      <c r="V3479" t="s">
        <v>22303</v>
      </c>
    </row>
    <row r="3480">
      <c r="A3480" t="s">
        <v>22</v>
      </c>
      <c r="B3480" t="s">
        <v>22304</v>
      </c>
      <c r="C3480" t="s">
        <v>24</v>
      </c>
      <c r="D3480" t="s">
        <v>204</v>
      </c>
      <c r="E3480" t="s">
        <v>22305</v>
      </c>
      <c r="F3480" s="2" t="n">
        <f>HYPERLINK("https://patents.google.com/patent/US20090326978","Google")</f>
        <v>0.0</v>
      </c>
      <c r="G3480" s="2" t="n">
        <f>HYPERLINK("https://patentcenter.uspto.gov/applications/12495793","Patent Center")</f>
        <v>0.0</v>
      </c>
      <c r="H3480" s="2" t="n">
        <f>HYPERLINK("https://worldwide.espacenet.com/patent/search?q=US20090326978","Espacenet")</f>
        <v>0.0</v>
      </c>
      <c r="I3480" s="2" t="n">
        <f>HYPERLINK("https://ppubs.uspto.gov/pubwebapp/external.html?q=20090326978.pn.","USPTO")</f>
        <v>0.0</v>
      </c>
      <c r="J3480" s="2" t="n">
        <f>HYPERLINK("https://image-ppubs.uspto.gov/dirsearch-public/print/downloadPdf/20090326978","USPTO PDF")</f>
        <v>0.0</v>
      </c>
      <c r="K3480" s="2" t="n">
        <f>HYPERLINK("https://sectors.patentforecast.com/pmd/US20090326978","PMD")</f>
        <v>0.0</v>
      </c>
      <c r="L3480" s="2" t="n">
        <f>HYPERLINK("https://globaldossier.uspto.gov/result/application/US/12495793/1","US20090326978")</f>
        <v>0.0</v>
      </c>
      <c r="M3480" t="s">
        <v>22306</v>
      </c>
      <c r="N3480" t="s">
        <v>22307</v>
      </c>
      <c r="O3480" t="s">
        <v>22308</v>
      </c>
      <c r="P3480" t="s">
        <v>22309</v>
      </c>
      <c r="Q3480" s="3" t="n">
        <v>39994.0</v>
      </c>
      <c r="R3480" s="3" t="n">
        <v>40178.0</v>
      </c>
      <c r="S3480" s="3" t="n">
        <v>43900.43738930555</v>
      </c>
      <c r="T3480" s="3" t="n">
        <v>43901.72156409722</v>
      </c>
      <c r="U3480" t="s">
        <v>22310</v>
      </c>
      <c r="V3480" t="s">
        <v>22311</v>
      </c>
    </row>
    <row r="3481">
      <c r="A3481" t="s">
        <v>22</v>
      </c>
      <c r="B3481" t="s">
        <v>22312</v>
      </c>
      <c r="C3481" t="s">
        <v>60</v>
      </c>
      <c r="D3481" t="s">
        <v>61</v>
      </c>
      <c r="E3481" t="s">
        <v>22313</v>
      </c>
      <c r="F3481" s="2" t="n">
        <f>HYPERLINK("https://patents.google.com/patent/US20090324543","Google")</f>
        <v>0.0</v>
      </c>
      <c r="G3481" s="2" t="n">
        <f>HYPERLINK("https://patentcenter.uspto.gov/applications/12519496","Patent Center")</f>
        <v>0.0</v>
      </c>
      <c r="H3481" s="2" t="n">
        <f>HYPERLINK("https://worldwide.espacenet.com/patent/search?q=US20090324543","Espacenet")</f>
        <v>0.0</v>
      </c>
      <c r="I3481" s="2" t="n">
        <f>HYPERLINK("https://ppubs.uspto.gov/pubwebapp/external.html?q=20090324543.pn.","USPTO")</f>
        <v>0.0</v>
      </c>
      <c r="J3481" s="2" t="n">
        <f>HYPERLINK("https://image-ppubs.uspto.gov/dirsearch-public/print/downloadPdf/20090324543","USPTO PDF")</f>
        <v>0.0</v>
      </c>
      <c r="K3481" s="2" t="n">
        <f>HYPERLINK("https://sectors.patentforecast.com/pmd/US20090324543","PMD")</f>
        <v>0.0</v>
      </c>
      <c r="L3481" s="2" t="n">
        <f>HYPERLINK("https://globaldossier.uspto.gov/result/application/US/12519496/1","US20090324543")</f>
        <v>0.0</v>
      </c>
      <c r="M3481" t="s">
        <v>22314</v>
      </c>
      <c r="N3481" t="s">
        <v>664</v>
      </c>
      <c r="O3481" t="s">
        <v>665</v>
      </c>
      <c r="P3481" t="s">
        <v>22315</v>
      </c>
      <c r="Q3481" s="3" t="n">
        <v>39440.0</v>
      </c>
      <c r="R3481" s="3" t="n">
        <v>40178.0</v>
      </c>
      <c r="S3481" s="3" t="n">
        <v>43952.46303542824</v>
      </c>
      <c r="T3481" s="3" t="n">
        <v>44638.65579662037</v>
      </c>
      <c r="U3481" t="s">
        <v>22316</v>
      </c>
      <c r="V3481" t="s">
        <v>22317</v>
      </c>
    </row>
    <row r="3482">
      <c r="A3482" t="s">
        <v>22</v>
      </c>
      <c r="B3482" t="s">
        <v>22318</v>
      </c>
      <c r="C3482" t="s">
        <v>24</v>
      </c>
      <c r="D3482" t="s">
        <v>25</v>
      </c>
      <c r="E3482" t="s">
        <v>18958</v>
      </c>
      <c r="F3482" s="2" t="n">
        <f>HYPERLINK("https://patents.google.com/patent/US20090319295","Google")</f>
        <v>0.0</v>
      </c>
      <c r="G3482" s="2" t="n">
        <f>HYPERLINK("https://patentcenter.uspto.gov/applications/12309637","Patent Center")</f>
        <v>0.0</v>
      </c>
      <c r="H3482" s="2" t="n">
        <f>HYPERLINK("https://worldwide.espacenet.com/patent/search?q=US20090319295","Espacenet")</f>
        <v>0.0</v>
      </c>
      <c r="I3482" s="2" t="n">
        <f>HYPERLINK("https://ppubs.uspto.gov/pubwebapp/external.html?q=20090319295.pn.","USPTO")</f>
        <v>0.0</v>
      </c>
      <c r="J3482" s="2" t="n">
        <f>HYPERLINK("https://image-ppubs.uspto.gov/dirsearch-public/print/downloadPdf/20090319295","USPTO PDF")</f>
        <v>0.0</v>
      </c>
      <c r="K3482" s="2" t="n">
        <f>HYPERLINK("https://sectors.patentforecast.com/pmd/US20090319295","PMD")</f>
        <v>0.0</v>
      </c>
      <c r="L3482" s="2" t="n">
        <f>HYPERLINK("https://globaldossier.uspto.gov/result/application/US/12309637/1","US20090319295")</f>
        <v>0.0</v>
      </c>
      <c r="M3482" t="s">
        <v>22319</v>
      </c>
      <c r="N3482" t="s">
        <v>22320</v>
      </c>
      <c r="O3482" t="s">
        <v>22321</v>
      </c>
      <c r="P3482" t="s">
        <v>18962</v>
      </c>
      <c r="Q3482" s="3" t="n">
        <v>38981.0</v>
      </c>
      <c r="R3482" s="3" t="n">
        <v>40171.0</v>
      </c>
      <c r="S3482" s="3" t="n">
        <v>43266.45737344908</v>
      </c>
      <c r="T3482" s="3" t="n">
        <v>43903.494973483794</v>
      </c>
      <c r="U3482" t="s">
        <v>18963</v>
      </c>
      <c r="V3482" t="s">
        <v>18964</v>
      </c>
    </row>
    <row r="3483">
      <c r="A3483" t="s">
        <v>22</v>
      </c>
      <c r="B3483" t="s">
        <v>22322</v>
      </c>
      <c r="C3483" t="s">
        <v>60</v>
      </c>
      <c r="D3483" t="s">
        <v>61</v>
      </c>
      <c r="E3483" t="s">
        <v>22323</v>
      </c>
      <c r="F3483" s="2" t="n">
        <f>HYPERLINK("https://patents.google.com/patent/US20090318456","Google")</f>
        <v>0.0</v>
      </c>
      <c r="G3483" s="2" t="n">
        <f>HYPERLINK("https://patentcenter.uspto.gov/applications/12307727","Patent Center")</f>
        <v>0.0</v>
      </c>
      <c r="H3483" s="2" t="n">
        <f>HYPERLINK("https://worldwide.espacenet.com/patent/search?q=US20090318456","Espacenet")</f>
        <v>0.0</v>
      </c>
      <c r="I3483" s="2" t="n">
        <f>HYPERLINK("https://ppubs.uspto.gov/pubwebapp/external.html?q=20090318456.pn.","USPTO")</f>
        <v>0.0</v>
      </c>
      <c r="J3483" s="2" t="n">
        <f>HYPERLINK("https://image-ppubs.uspto.gov/dirsearch-public/print/downloadPdf/20090318456","USPTO PDF")</f>
        <v>0.0</v>
      </c>
      <c r="K3483" s="2" t="n">
        <f>HYPERLINK("https://sectors.patentforecast.com/pmd/US20090318456","PMD")</f>
        <v>0.0</v>
      </c>
      <c r="L3483" s="2" t="n">
        <f>HYPERLINK("https://globaldossier.uspto.gov/result/application/US/12307727/1","US20090318456")</f>
        <v>0.0</v>
      </c>
      <c r="M3483" t="s">
        <v>22324</v>
      </c>
      <c r="N3483" t="s">
        <v>664</v>
      </c>
      <c r="O3483" t="s">
        <v>665</v>
      </c>
      <c r="P3483" t="s">
        <v>22325</v>
      </c>
      <c r="Q3483" s="3" t="n">
        <v>39269.0</v>
      </c>
      <c r="R3483" s="3" t="n">
        <v>40171.0</v>
      </c>
      <c r="S3483" s="3" t="n">
        <v>43952.46303542824</v>
      </c>
      <c r="T3483" s="3" t="n">
        <v>44638.65579662037</v>
      </c>
      <c r="U3483" t="s">
        <v>22326</v>
      </c>
      <c r="V3483" t="s">
        <v>22327</v>
      </c>
    </row>
    <row r="3484">
      <c r="A3484" t="s">
        <v>22</v>
      </c>
      <c r="B3484" t="s">
        <v>22328</v>
      </c>
      <c r="C3484" t="s">
        <v>60</v>
      </c>
      <c r="D3484" t="s">
        <v>61</v>
      </c>
      <c r="E3484" t="s">
        <v>22092</v>
      </c>
      <c r="F3484" s="2" t="n">
        <f>HYPERLINK("https://patents.google.com/patent/US20090317361","Google")</f>
        <v>0.0</v>
      </c>
      <c r="G3484" s="2" t="n">
        <f>HYPERLINK("https://patentcenter.uspto.gov/applications/12428234","Patent Center")</f>
        <v>0.0</v>
      </c>
      <c r="H3484" s="2" t="n">
        <f>HYPERLINK("https://worldwide.espacenet.com/patent/search?q=US20090317361","Espacenet")</f>
        <v>0.0</v>
      </c>
      <c r="I3484" s="2" t="n">
        <f>HYPERLINK("https://ppubs.uspto.gov/pubwebapp/external.html?q=20090317361.pn.","USPTO")</f>
        <v>0.0</v>
      </c>
      <c r="J3484" s="2" t="n">
        <f>HYPERLINK("https://image-ppubs.uspto.gov/dirsearch-public/print/downloadPdf/20090317361","USPTO PDF")</f>
        <v>0.0</v>
      </c>
      <c r="K3484" s="2" t="n">
        <f>HYPERLINK("https://sectors.patentforecast.com/pmd/US20090317361","PMD")</f>
        <v>0.0</v>
      </c>
      <c r="L3484" s="2" t="n">
        <f>HYPERLINK("https://globaldossier.uspto.gov/result/application/US/12428234/1","US20090317361")</f>
        <v>0.0</v>
      </c>
      <c r="M3484" t="s">
        <v>22329</v>
      </c>
      <c r="N3484" t="s">
        <v>664</v>
      </c>
      <c r="O3484" t="s">
        <v>665</v>
      </c>
      <c r="P3484" t="s">
        <v>22330</v>
      </c>
      <c r="Q3484" s="3" t="n">
        <v>39925.0</v>
      </c>
      <c r="R3484" s="3" t="n">
        <v>40171.0</v>
      </c>
      <c r="S3484" s="3" t="n">
        <v>43952.46303542824</v>
      </c>
      <c r="T3484" s="3" t="n">
        <v>44638.65271974537</v>
      </c>
      <c r="U3484" t="s">
        <v>22331</v>
      </c>
      <c r="V3484" t="s">
        <v>22332</v>
      </c>
    </row>
    <row r="3485">
      <c r="A3485" t="s">
        <v>22</v>
      </c>
      <c r="B3485" t="s">
        <v>22333</v>
      </c>
      <c r="C3485" t="s">
        <v>60</v>
      </c>
      <c r="D3485" t="s">
        <v>61</v>
      </c>
      <c r="E3485" t="s">
        <v>22334</v>
      </c>
      <c r="F3485" s="2" t="n">
        <f>HYPERLINK("https://patents.google.com/patent/US20090306112","Google")</f>
        <v>0.0</v>
      </c>
      <c r="G3485" s="2" t="n">
        <f>HYPERLINK("https://patentcenter.uspto.gov/applications/12307674","Patent Center")</f>
        <v>0.0</v>
      </c>
      <c r="H3485" s="2" t="n">
        <f>HYPERLINK("https://worldwide.espacenet.com/patent/search?q=US20090306112","Espacenet")</f>
        <v>0.0</v>
      </c>
      <c r="I3485" s="2" t="n">
        <f>HYPERLINK("https://ppubs.uspto.gov/pubwebapp/external.html?q=20090306112.pn.","USPTO")</f>
        <v>0.0</v>
      </c>
      <c r="J3485" s="2" t="n">
        <f>HYPERLINK("https://image-ppubs.uspto.gov/dirsearch-public/print/downloadPdf/20090306112","USPTO PDF")</f>
        <v>0.0</v>
      </c>
      <c r="K3485" s="2" t="n">
        <f>HYPERLINK("https://sectors.patentforecast.com/pmd/US20090306112","PMD")</f>
        <v>0.0</v>
      </c>
      <c r="L3485" s="2" t="n">
        <f>HYPERLINK("https://globaldossier.uspto.gov/result/application/US/12307674/1","US20090306112")</f>
        <v>0.0</v>
      </c>
      <c r="M3485" t="s">
        <v>22335</v>
      </c>
      <c r="N3485" t="s">
        <v>664</v>
      </c>
      <c r="O3485" t="s">
        <v>665</v>
      </c>
      <c r="P3485" t="s">
        <v>22336</v>
      </c>
      <c r="Q3485" s="3" t="n">
        <v>39282.0</v>
      </c>
      <c r="R3485" s="3" t="n">
        <v>40157.0</v>
      </c>
      <c r="S3485" s="3" t="n">
        <v>43952.46303542824</v>
      </c>
      <c r="T3485" s="3" t="n">
        <v>44638.65271974537</v>
      </c>
      <c r="U3485" t="s">
        <v>22337</v>
      </c>
      <c r="V3485" t="s">
        <v>22338</v>
      </c>
    </row>
    <row r="3486">
      <c r="A3486" t="s">
        <v>22</v>
      </c>
      <c r="B3486" t="s">
        <v>22339</v>
      </c>
      <c r="C3486" t="s">
        <v>312</v>
      </c>
      <c r="D3486" t="s">
        <v>976</v>
      </c>
      <c r="E3486" t="s">
        <v>22340</v>
      </c>
      <c r="F3486" s="2" t="n">
        <f>HYPERLINK("https://patents.google.com/patent/US20090299767","Google")</f>
        <v>0.0</v>
      </c>
      <c r="G3486" s="2" t="n">
        <f>HYPERLINK("https://patentcenter.uspto.gov/applications/12291529","Patent Center")</f>
        <v>0.0</v>
      </c>
      <c r="H3486" s="2" t="n">
        <f>HYPERLINK("https://worldwide.espacenet.com/patent/search?q=US20090299767","Espacenet")</f>
        <v>0.0</v>
      </c>
      <c r="I3486" s="2" t="n">
        <f>HYPERLINK("https://ppubs.uspto.gov/pubwebapp/external.html?q=20090299767.pn.","USPTO")</f>
        <v>0.0</v>
      </c>
      <c r="J3486" s="2" t="n">
        <f>HYPERLINK("https://image-ppubs.uspto.gov/dirsearch-public/print/downloadPdf/20090299767","USPTO PDF")</f>
        <v>0.0</v>
      </c>
      <c r="K3486" s="2" t="n">
        <f>HYPERLINK("https://sectors.patentforecast.com/pmd/US20090299767","PMD")</f>
        <v>0.0</v>
      </c>
      <c r="L3486" s="2" t="n">
        <f>HYPERLINK("https://globaldossier.uspto.gov/result/application/US/12291529/1","US20090299767")</f>
        <v>0.0</v>
      </c>
      <c r="M3486" t="s">
        <v>22341</v>
      </c>
      <c r="N3486" t="s">
        <v>18940</v>
      </c>
      <c r="O3486" t="s">
        <v>18941</v>
      </c>
      <c r="P3486" t="s">
        <v>22342</v>
      </c>
      <c r="Q3486" s="3" t="n">
        <v>39762.0</v>
      </c>
      <c r="R3486" s="3" t="n">
        <v>40150.0</v>
      </c>
      <c r="S3486" s="3" t="n">
        <v>43266.4573734375</v>
      </c>
      <c r="T3486" s="3" t="n">
        <v>43950.55332638889</v>
      </c>
      <c r="U3486" t="s">
        <v>18943</v>
      </c>
      <c r="V3486" t="s">
        <v>22343</v>
      </c>
    </row>
    <row r="3487">
      <c r="A3487" t="s">
        <v>22</v>
      </c>
      <c r="B3487" t="s">
        <v>22344</v>
      </c>
      <c r="C3487" t="s">
        <v>60</v>
      </c>
      <c r="D3487" t="s">
        <v>696</v>
      </c>
      <c r="E3487" t="s">
        <v>16925</v>
      </c>
      <c r="F3487" s="2" t="n">
        <f>HYPERLINK("https://patents.google.com/patent/US20090297513","Google")</f>
        <v>0.0</v>
      </c>
      <c r="G3487" s="2" t="n">
        <f>HYPERLINK("https://patentcenter.uspto.gov/applications/12391717","Patent Center")</f>
        <v>0.0</v>
      </c>
      <c r="H3487" s="2" t="n">
        <f>HYPERLINK("https://worldwide.espacenet.com/patent/search?q=US20090297513","Espacenet")</f>
        <v>0.0</v>
      </c>
      <c r="I3487" s="2" t="n">
        <f>HYPERLINK("https://ppubs.uspto.gov/pubwebapp/external.html?q=20090297513.pn.","USPTO")</f>
        <v>0.0</v>
      </c>
      <c r="J3487" s="2" t="n">
        <f>HYPERLINK("https://image-ppubs.uspto.gov/dirsearch-public/print/downloadPdf/20090297513","USPTO PDF")</f>
        <v>0.0</v>
      </c>
      <c r="K3487" s="2" t="n">
        <f>HYPERLINK("https://sectors.patentforecast.com/pmd/US20090297513","PMD")</f>
        <v>0.0</v>
      </c>
      <c r="L3487" s="2" t="n">
        <f>HYPERLINK("https://globaldossier.uspto.gov/result/application/US/12391717/1","US20090297513")</f>
        <v>0.0</v>
      </c>
      <c r="M3487" t="s">
        <v>22345</v>
      </c>
      <c r="N3487" t="s">
        <v>16927</v>
      </c>
      <c r="O3487" t="s">
        <v>16928</v>
      </c>
      <c r="P3487" t="s">
        <v>21652</v>
      </c>
      <c r="Q3487" s="3" t="n">
        <v>39868.0</v>
      </c>
      <c r="R3487" s="3" t="n">
        <v>40150.0</v>
      </c>
      <c r="S3487" s="3" t="n">
        <v>43966.4870259375</v>
      </c>
      <c r="T3487" s="3" t="n">
        <v>44643.44490069444</v>
      </c>
      <c r="U3487" t="s">
        <v>22346</v>
      </c>
      <c r="V3487" t="s">
        <v>16993</v>
      </c>
    </row>
    <row r="3488">
      <c r="A3488" t="s">
        <v>22</v>
      </c>
      <c r="B3488" t="s">
        <v>22347</v>
      </c>
      <c r="C3488" t="s">
        <v>60</v>
      </c>
      <c r="D3488" t="s">
        <v>696</v>
      </c>
      <c r="E3488" t="s">
        <v>16925</v>
      </c>
      <c r="F3488" s="2" t="n">
        <f>HYPERLINK("https://patents.google.com/patent/US20090297436","Google")</f>
        <v>0.0</v>
      </c>
      <c r="G3488" s="2" t="n">
        <f>HYPERLINK("https://patentcenter.uspto.gov/applications/12366567","Patent Center")</f>
        <v>0.0</v>
      </c>
      <c r="H3488" s="2" t="n">
        <f>HYPERLINK("https://worldwide.espacenet.com/patent/search?q=US20090297436","Espacenet")</f>
        <v>0.0</v>
      </c>
      <c r="I3488" s="2" t="n">
        <f>HYPERLINK("https://ppubs.uspto.gov/pubwebapp/external.html?q=20090297436.pn.","USPTO")</f>
        <v>0.0</v>
      </c>
      <c r="J3488" s="2" t="n">
        <f>HYPERLINK("https://image-ppubs.uspto.gov/dirsearch-public/print/downloadPdf/20090297436","USPTO PDF")</f>
        <v>0.0</v>
      </c>
      <c r="K3488" s="2" t="n">
        <f>HYPERLINK("https://sectors.patentforecast.com/pmd/US20090297436","PMD")</f>
        <v>0.0</v>
      </c>
      <c r="L3488" s="2" t="n">
        <f>HYPERLINK("https://globaldossier.uspto.gov/result/application/US/12366567/1","US20090297436")</f>
        <v>0.0</v>
      </c>
      <c r="M3488" t="s">
        <v>22348</v>
      </c>
      <c r="N3488" t="s">
        <v>16927</v>
      </c>
      <c r="O3488" t="s">
        <v>16928</v>
      </c>
      <c r="P3488" t="s">
        <v>22349</v>
      </c>
      <c r="Q3488" s="3" t="n">
        <v>39849.0</v>
      </c>
      <c r="R3488" s="3" t="n">
        <v>40150.0</v>
      </c>
      <c r="S3488" s="3" t="n">
        <v>43966.4870259375</v>
      </c>
      <c r="T3488" s="3" t="n">
        <v>44643.44490069444</v>
      </c>
      <c r="U3488" t="s">
        <v>22350</v>
      </c>
      <c r="V3488" t="s">
        <v>22351</v>
      </c>
    </row>
    <row r="3489">
      <c r="A3489" t="s">
        <v>22</v>
      </c>
      <c r="B3489" t="s">
        <v>22352</v>
      </c>
      <c r="C3489" t="s">
        <v>60</v>
      </c>
      <c r="D3489" t="s">
        <v>696</v>
      </c>
      <c r="E3489" t="s">
        <v>22353</v>
      </c>
      <c r="F3489" s="2" t="n">
        <f>HYPERLINK("https://patents.google.com/patent/US20090291089","Google")</f>
        <v>0.0</v>
      </c>
      <c r="G3489" s="2" t="n">
        <f>HYPERLINK("https://patentcenter.uspto.gov/applications/12323194","Patent Center")</f>
        <v>0.0</v>
      </c>
      <c r="H3489" s="2" t="n">
        <f>HYPERLINK("https://worldwide.espacenet.com/patent/search?q=US20090291089","Espacenet")</f>
        <v>0.0</v>
      </c>
      <c r="I3489" s="2" t="n">
        <f>HYPERLINK("https://ppubs.uspto.gov/pubwebapp/external.html?q=20090291089.pn.","USPTO")</f>
        <v>0.0</v>
      </c>
      <c r="J3489" s="2" t="n">
        <f>HYPERLINK("https://image-ppubs.uspto.gov/dirsearch-public/print/downloadPdf/20090291089","USPTO PDF")</f>
        <v>0.0</v>
      </c>
      <c r="K3489" s="2" t="n">
        <f>HYPERLINK("https://sectors.patentforecast.com/pmd/US20090291089","PMD")</f>
        <v>0.0</v>
      </c>
      <c r="L3489" s="2" t="n">
        <f>HYPERLINK("https://globaldossier.uspto.gov/result/application/US/12323194/1","US20090291089")</f>
        <v>0.0</v>
      </c>
      <c r="M3489" t="s">
        <v>22354</v>
      </c>
      <c r="N3489" t="s">
        <v>16927</v>
      </c>
      <c r="O3489" t="s">
        <v>16928</v>
      </c>
      <c r="P3489" t="s">
        <v>21242</v>
      </c>
      <c r="Q3489" s="3" t="n">
        <v>39777.0</v>
      </c>
      <c r="R3489" s="3" t="n">
        <v>40143.0</v>
      </c>
      <c r="S3489" s="3" t="n">
        <v>43966.4870259375</v>
      </c>
      <c r="T3489" s="3" t="n">
        <v>44643.44490069444</v>
      </c>
      <c r="U3489" t="s">
        <v>22355</v>
      </c>
      <c r="V3489" t="s">
        <v>17701</v>
      </c>
    </row>
    <row r="3490">
      <c r="A3490" t="s">
        <v>22</v>
      </c>
      <c r="B3490" t="s">
        <v>22356</v>
      </c>
      <c r="C3490" t="s">
        <v>60</v>
      </c>
      <c r="D3490" t="s">
        <v>696</v>
      </c>
      <c r="E3490" t="s">
        <v>22357</v>
      </c>
      <c r="F3490" s="2" t="n">
        <f>HYPERLINK("https://patents.google.com/patent/US20090291082","Google")</f>
        <v>0.0</v>
      </c>
      <c r="G3490" s="2" t="n">
        <f>HYPERLINK("https://patentcenter.uspto.gov/applications/12323066","Patent Center")</f>
        <v>0.0</v>
      </c>
      <c r="H3490" s="2" t="n">
        <f>HYPERLINK("https://worldwide.espacenet.com/patent/search?q=US20090291082","Espacenet")</f>
        <v>0.0</v>
      </c>
      <c r="I3490" s="2" t="n">
        <f>HYPERLINK("https://ppubs.uspto.gov/pubwebapp/external.html?q=20090291082.pn.","USPTO")</f>
        <v>0.0</v>
      </c>
      <c r="J3490" s="2" t="n">
        <f>HYPERLINK("https://image-ppubs.uspto.gov/dirsearch-public/print/downloadPdf/20090291082","USPTO PDF")</f>
        <v>0.0</v>
      </c>
      <c r="K3490" s="2" t="n">
        <f>HYPERLINK("https://sectors.patentforecast.com/pmd/US20090291082","PMD")</f>
        <v>0.0</v>
      </c>
      <c r="L3490" s="2" t="n">
        <f>HYPERLINK("https://globaldossier.uspto.gov/result/application/US/12323066/1","US20090291082")</f>
        <v>0.0</v>
      </c>
      <c r="M3490" t="s">
        <v>22358</v>
      </c>
      <c r="N3490" t="s">
        <v>16927</v>
      </c>
      <c r="O3490" t="s">
        <v>16928</v>
      </c>
      <c r="P3490" t="s">
        <v>21242</v>
      </c>
      <c r="Q3490" s="3" t="n">
        <v>39777.0</v>
      </c>
      <c r="R3490" s="3" t="n">
        <v>40143.0</v>
      </c>
      <c r="S3490" s="3" t="n">
        <v>43966.4870259375</v>
      </c>
      <c r="T3490" s="3" t="n">
        <v>44643.44490069444</v>
      </c>
      <c r="U3490" t="s">
        <v>22359</v>
      </c>
      <c r="V3490" t="s">
        <v>17130</v>
      </c>
    </row>
    <row r="3491">
      <c r="A3491" t="s">
        <v>22</v>
      </c>
      <c r="B3491" t="s">
        <v>22360</v>
      </c>
      <c r="C3491" t="s">
        <v>1292</v>
      </c>
      <c r="D3491" t="s">
        <v>19154</v>
      </c>
      <c r="E3491" t="s">
        <v>22361</v>
      </c>
      <c r="F3491" s="2" t="n">
        <f>HYPERLINK("https://patents.google.com/patent/US20090291077","Google")</f>
        <v>0.0</v>
      </c>
      <c r="G3491" s="2" t="n">
        <f>HYPERLINK("https://patentcenter.uspto.gov/applications/12323147","Patent Center")</f>
        <v>0.0</v>
      </c>
      <c r="H3491" s="2" t="n">
        <f>HYPERLINK("https://worldwide.espacenet.com/patent/search?q=US20090291077","Espacenet")</f>
        <v>0.0</v>
      </c>
      <c r="I3491" s="2" t="n">
        <f>HYPERLINK("https://ppubs.uspto.gov/pubwebapp/external.html?q=20090291077.pn.","USPTO")</f>
        <v>0.0</v>
      </c>
      <c r="J3491" s="2" t="n">
        <f>HYPERLINK("https://image-ppubs.uspto.gov/dirsearch-public/print/downloadPdf/20090291077","USPTO PDF")</f>
        <v>0.0</v>
      </c>
      <c r="K3491" s="2" t="n">
        <f>HYPERLINK("https://sectors.patentforecast.com/pmd/US20090291077","PMD")</f>
        <v>0.0</v>
      </c>
      <c r="L3491" s="2" t="n">
        <f>HYPERLINK("https://globaldossier.uspto.gov/result/application/US/12323147/1","US20090291077")</f>
        <v>0.0</v>
      </c>
      <c r="M3491" t="s">
        <v>22362</v>
      </c>
      <c r="N3491" t="s">
        <v>16927</v>
      </c>
      <c r="O3491" t="s">
        <v>16928</v>
      </c>
      <c r="P3491" t="s">
        <v>21708</v>
      </c>
      <c r="Q3491" s="3" t="n">
        <v>39777.0</v>
      </c>
      <c r="R3491" s="3" t="n">
        <v>40143.0</v>
      </c>
      <c r="S3491" s="3" t="n">
        <v>43957.4638787963</v>
      </c>
      <c r="T3491" s="3" t="n">
        <v>44643.44490069444</v>
      </c>
      <c r="U3491" t="s">
        <v>19157</v>
      </c>
      <c r="V3491" t="s">
        <v>19158</v>
      </c>
    </row>
    <row r="3492">
      <c r="A3492" t="s">
        <v>22</v>
      </c>
      <c r="B3492" t="s">
        <v>22363</v>
      </c>
      <c r="C3492" t="s">
        <v>60</v>
      </c>
      <c r="D3492" t="s">
        <v>61</v>
      </c>
      <c r="E3492" t="s">
        <v>19529</v>
      </c>
      <c r="F3492" s="2" t="n">
        <f>HYPERLINK("https://patents.google.com/patent/US20090285782","Google")</f>
        <v>0.0</v>
      </c>
      <c r="G3492" s="2" t="n">
        <f>HYPERLINK("https://patentcenter.uspto.gov/applications/12374433","Patent Center")</f>
        <v>0.0</v>
      </c>
      <c r="H3492" s="2" t="n">
        <f>HYPERLINK("https://worldwide.espacenet.com/patent/search?q=US20090285782","Espacenet")</f>
        <v>0.0</v>
      </c>
      <c r="I3492" s="2" t="n">
        <f>HYPERLINK("https://ppubs.uspto.gov/pubwebapp/external.html?q=20090285782.pn.","USPTO")</f>
        <v>0.0</v>
      </c>
      <c r="J3492" s="2" t="n">
        <f>HYPERLINK("https://image-ppubs.uspto.gov/dirsearch-public/print/downloadPdf/20090285782","USPTO PDF")</f>
        <v>0.0</v>
      </c>
      <c r="K3492" s="2" t="n">
        <f>HYPERLINK("https://sectors.patentforecast.com/pmd/US20090285782","PMD")</f>
        <v>0.0</v>
      </c>
      <c r="L3492" s="2" t="n">
        <f>HYPERLINK("https://globaldossier.uspto.gov/result/application/US/12374433/1","US20090285782")</f>
        <v>0.0</v>
      </c>
      <c r="M3492" t="s">
        <v>22364</v>
      </c>
      <c r="N3492" t="s">
        <v>664</v>
      </c>
      <c r="O3492" t="s">
        <v>665</v>
      </c>
      <c r="P3492" t="s">
        <v>22365</v>
      </c>
      <c r="Q3492" s="3" t="n">
        <v>39283.0</v>
      </c>
      <c r="R3492" s="3" t="n">
        <v>40136.0</v>
      </c>
      <c r="S3492" s="3" t="n">
        <v>43952.46303542824</v>
      </c>
      <c r="T3492" s="3" t="n">
        <v>44638.65579662037</v>
      </c>
      <c r="U3492" t="s">
        <v>22366</v>
      </c>
      <c r="V3492" t="s">
        <v>22367</v>
      </c>
    </row>
    <row r="3493">
      <c r="A3493" t="s">
        <v>22</v>
      </c>
      <c r="B3493" t="s">
        <v>22368</v>
      </c>
      <c r="C3493" t="s">
        <v>132</v>
      </c>
      <c r="D3493" t="s">
        <v>1265</v>
      </c>
      <c r="E3493" t="s">
        <v>16152</v>
      </c>
      <c r="F3493" s="2" t="n">
        <f>HYPERLINK("https://patents.google.com/patent/US20090263422","Google")</f>
        <v>0.0</v>
      </c>
      <c r="G3493" s="2" t="n">
        <f>HYPERLINK("https://patentcenter.uspto.gov/applications/12374346","Patent Center")</f>
        <v>0.0</v>
      </c>
      <c r="H3493" s="2" t="n">
        <f>HYPERLINK("https://worldwide.espacenet.com/patent/search?q=US20090263422","Espacenet")</f>
        <v>0.0</v>
      </c>
      <c r="I3493" s="2" t="n">
        <f>HYPERLINK("https://ppubs.uspto.gov/pubwebapp/external.html?q=20090263422.pn.","USPTO")</f>
        <v>0.0</v>
      </c>
      <c r="J3493" s="2" t="n">
        <f>HYPERLINK("https://image-ppubs.uspto.gov/dirsearch-public/print/downloadPdf/20090263422","USPTO PDF")</f>
        <v>0.0</v>
      </c>
      <c r="K3493" s="2" t="n">
        <f>HYPERLINK("https://sectors.patentforecast.com/pmd/US20090263422","PMD")</f>
        <v>0.0</v>
      </c>
      <c r="L3493" s="2" t="n">
        <f>HYPERLINK("https://globaldossier.uspto.gov/result/application/US/12374346/1","US20090263422")</f>
        <v>0.0</v>
      </c>
      <c r="M3493" t="s">
        <v>22369</v>
      </c>
      <c r="N3493" t="s">
        <v>21669</v>
      </c>
      <c r="O3493" t="s">
        <v>21670</v>
      </c>
      <c r="P3493" t="s">
        <v>21693</v>
      </c>
      <c r="Q3493" s="3" t="n">
        <v>39017.0</v>
      </c>
      <c r="R3493" s="3" t="n">
        <v>40108.0</v>
      </c>
      <c r="S3493" s="3" t="n">
        <v>43900.43738930555</v>
      </c>
      <c r="T3493" s="3" t="n">
        <v>43901.72156372685</v>
      </c>
      <c r="U3493" t="s">
        <v>22370</v>
      </c>
      <c r="V3493" t="s">
        <v>22371</v>
      </c>
    </row>
    <row r="3494">
      <c r="A3494" t="s">
        <v>22</v>
      </c>
      <c r="B3494" t="s">
        <v>22372</v>
      </c>
      <c r="C3494" t="s">
        <v>60</v>
      </c>
      <c r="D3494" t="s">
        <v>61</v>
      </c>
      <c r="E3494" t="s">
        <v>22373</v>
      </c>
      <c r="F3494" s="2" t="n">
        <f>HYPERLINK("https://patents.google.com/patent/US20090257978","Google")</f>
        <v>0.0</v>
      </c>
      <c r="G3494" s="2" t="n">
        <f>HYPERLINK("https://patentcenter.uspto.gov/applications/12215605","Patent Center")</f>
        <v>0.0</v>
      </c>
      <c r="H3494" s="2" t="n">
        <f>HYPERLINK("https://worldwide.espacenet.com/patent/search?q=US20090257978","Espacenet")</f>
        <v>0.0</v>
      </c>
      <c r="I3494" s="2" t="n">
        <f>HYPERLINK("https://ppubs.uspto.gov/pubwebapp/external.html?q=20090257978.pn.","USPTO")</f>
        <v>0.0</v>
      </c>
      <c r="J3494" s="2" t="n">
        <f>HYPERLINK("https://image-ppubs.uspto.gov/dirsearch-public/print/downloadPdf/20090257978","USPTO PDF")</f>
        <v>0.0</v>
      </c>
      <c r="K3494" s="2" t="n">
        <f>HYPERLINK("https://sectors.patentforecast.com/pmd/US20090257978","PMD")</f>
        <v>0.0</v>
      </c>
      <c r="L3494" s="2" t="n">
        <f>HYPERLINK("https://globaldossier.uspto.gov/result/application/US/12215605/1","US20090257978")</f>
        <v>0.0</v>
      </c>
      <c r="M3494" t="s">
        <v>22374</v>
      </c>
      <c r="N3494" t="s">
        <v>22375</v>
      </c>
      <c r="O3494" t="s">
        <v>22376</v>
      </c>
      <c r="P3494" t="s">
        <v>21479</v>
      </c>
      <c r="Q3494" s="3" t="n">
        <v>39625.0</v>
      </c>
      <c r="R3494" s="3" t="n">
        <v>40101.0</v>
      </c>
      <c r="S3494" s="3" t="n">
        <v>43952.46303542824</v>
      </c>
      <c r="T3494" s="3" t="n">
        <v>44638.65271974537</v>
      </c>
      <c r="U3494" t="s">
        <v>22377</v>
      </c>
      <c r="V3494" t="s">
        <v>16907</v>
      </c>
    </row>
    <row r="3495">
      <c r="A3495" t="s">
        <v>22</v>
      </c>
      <c r="B3495" t="s">
        <v>22378</v>
      </c>
      <c r="C3495" t="s">
        <v>60</v>
      </c>
      <c r="D3495" t="s">
        <v>61</v>
      </c>
      <c r="E3495" t="s">
        <v>22379</v>
      </c>
      <c r="F3495" s="2" t="n">
        <f>HYPERLINK("https://patents.google.com/patent/US20090247487","Google")</f>
        <v>0.0</v>
      </c>
      <c r="G3495" s="2" t="n">
        <f>HYPERLINK("https://patentcenter.uspto.gov/applications/12483800","Patent Center")</f>
        <v>0.0</v>
      </c>
      <c r="H3495" s="2" t="n">
        <f>HYPERLINK("https://worldwide.espacenet.com/patent/search?q=US20090247487","Espacenet")</f>
        <v>0.0</v>
      </c>
      <c r="I3495" s="2" t="n">
        <f>HYPERLINK("https://ppubs.uspto.gov/pubwebapp/external.html?q=20090247487.pn.","USPTO")</f>
        <v>0.0</v>
      </c>
      <c r="J3495" s="2" t="n">
        <f>HYPERLINK("https://image-ppubs.uspto.gov/dirsearch-public/print/downloadPdf/20090247487","USPTO PDF")</f>
        <v>0.0</v>
      </c>
      <c r="K3495" s="2" t="n">
        <f>HYPERLINK("https://sectors.patentforecast.com/pmd/US20090247487","PMD")</f>
        <v>0.0</v>
      </c>
      <c r="L3495" s="2" t="n">
        <f>HYPERLINK("https://globaldossier.uspto.gov/result/application/US/12483800/1","US20090247487")</f>
        <v>0.0</v>
      </c>
      <c r="M3495" t="s">
        <v>22380</v>
      </c>
      <c r="N3495" t="s">
        <v>664</v>
      </c>
      <c r="O3495" t="s">
        <v>665</v>
      </c>
      <c r="P3495" t="s">
        <v>22381</v>
      </c>
      <c r="Q3495" s="3" t="n">
        <v>39976.0</v>
      </c>
      <c r="R3495" s="3" t="n">
        <v>40087.0</v>
      </c>
      <c r="S3495" s="3" t="n">
        <v>43952.46303542824</v>
      </c>
      <c r="T3495" s="3" t="n">
        <v>44638.65643378472</v>
      </c>
      <c r="U3495" t="s">
        <v>22382</v>
      </c>
      <c r="V3495" t="s">
        <v>22383</v>
      </c>
    </row>
    <row r="3496">
      <c r="A3496" t="s">
        <v>22</v>
      </c>
      <c r="B3496" t="s">
        <v>22384</v>
      </c>
      <c r="C3496" t="s">
        <v>60</v>
      </c>
      <c r="D3496" t="s">
        <v>61</v>
      </c>
      <c r="E3496" t="s">
        <v>22385</v>
      </c>
      <c r="F3496" s="2" t="n">
        <f>HYPERLINK("https://patents.google.com/patent/US20090233964","Google")</f>
        <v>0.0</v>
      </c>
      <c r="G3496" s="2" t="n">
        <f>HYPERLINK("https://patentcenter.uspto.gov/applications/12097859","Patent Center")</f>
        <v>0.0</v>
      </c>
      <c r="H3496" s="2" t="n">
        <f>HYPERLINK("https://worldwide.espacenet.com/patent/search?q=US20090233964","Espacenet")</f>
        <v>0.0</v>
      </c>
      <c r="I3496" s="2" t="n">
        <f>HYPERLINK("https://ppubs.uspto.gov/pubwebapp/external.html?q=20090233964.pn.","USPTO")</f>
        <v>0.0</v>
      </c>
      <c r="J3496" s="2" t="n">
        <f>HYPERLINK("https://image-ppubs.uspto.gov/dirsearch-public/print/downloadPdf/20090233964","USPTO PDF")</f>
        <v>0.0</v>
      </c>
      <c r="K3496" s="2" t="n">
        <f>HYPERLINK("https://sectors.patentforecast.com/pmd/US20090233964","PMD")</f>
        <v>0.0</v>
      </c>
      <c r="L3496" s="2" t="n">
        <f>HYPERLINK("https://globaldossier.uspto.gov/result/application/US/12097859/1","US20090233964")</f>
        <v>0.0</v>
      </c>
      <c r="M3496" t="s">
        <v>22386</v>
      </c>
      <c r="N3496" t="s">
        <v>22387</v>
      </c>
      <c r="O3496" t="s">
        <v>22388</v>
      </c>
      <c r="P3496" t="s">
        <v>22389</v>
      </c>
      <c r="Q3496" s="3" t="n">
        <v>39080.0</v>
      </c>
      <c r="R3496" s="3" t="n">
        <v>40073.0</v>
      </c>
      <c r="S3496" s="3" t="n">
        <v>43952.46303542824</v>
      </c>
      <c r="T3496" s="3" t="n">
        <v>44638.662781747684</v>
      </c>
      <c r="U3496" t="s">
        <v>22390</v>
      </c>
      <c r="V3496" t="s">
        <v>22391</v>
      </c>
    </row>
    <row r="3497">
      <c r="A3497" t="s">
        <v>22</v>
      </c>
      <c r="B3497" t="s">
        <v>22392</v>
      </c>
      <c r="C3497" t="s">
        <v>60</v>
      </c>
      <c r="D3497" t="s">
        <v>61</v>
      </c>
      <c r="E3497" t="s">
        <v>21830</v>
      </c>
      <c r="F3497" s="2" t="n">
        <f>HYPERLINK("https://patents.google.com/patent/US20090227491","Google")</f>
        <v>0.0</v>
      </c>
      <c r="G3497" s="2" t="n">
        <f>HYPERLINK("https://patentcenter.uspto.gov/applications/12303219","Patent Center")</f>
        <v>0.0</v>
      </c>
      <c r="H3497" s="2" t="n">
        <f>HYPERLINK("https://worldwide.espacenet.com/patent/search?q=US20090227491","Espacenet")</f>
        <v>0.0</v>
      </c>
      <c r="I3497" s="2" t="n">
        <f>HYPERLINK("https://ppubs.uspto.gov/pubwebapp/external.html?q=20090227491.pn.","USPTO")</f>
        <v>0.0</v>
      </c>
      <c r="J3497" s="2" t="n">
        <f>HYPERLINK("https://image-ppubs.uspto.gov/dirsearch-public/print/downloadPdf/20090227491","USPTO PDF")</f>
        <v>0.0</v>
      </c>
      <c r="K3497" s="2" t="n">
        <f>HYPERLINK("https://sectors.patentforecast.com/pmd/US20090227491","PMD")</f>
        <v>0.0</v>
      </c>
      <c r="L3497" s="2" t="n">
        <f>HYPERLINK("https://globaldossier.uspto.gov/result/application/US/12303219/1","US20090227491")</f>
        <v>0.0</v>
      </c>
      <c r="M3497" t="s">
        <v>22393</v>
      </c>
      <c r="N3497" t="s">
        <v>664</v>
      </c>
      <c r="O3497" t="s">
        <v>665</v>
      </c>
      <c r="P3497" t="s">
        <v>22394</v>
      </c>
      <c r="Q3497" s="3" t="n">
        <v>39269.0</v>
      </c>
      <c r="R3497" s="3" t="n">
        <v>40066.0</v>
      </c>
      <c r="S3497" s="3" t="n">
        <v>43952.46303542824</v>
      </c>
      <c r="T3497" s="3" t="n">
        <v>44638.65271974537</v>
      </c>
      <c r="U3497" t="s">
        <v>22395</v>
      </c>
      <c r="V3497" t="s">
        <v>21838</v>
      </c>
    </row>
    <row r="3498">
      <c r="A3498" t="s">
        <v>22</v>
      </c>
      <c r="B3498" t="s">
        <v>22396</v>
      </c>
      <c r="C3498" t="s">
        <v>24</v>
      </c>
      <c r="D3498" t="s">
        <v>25</v>
      </c>
      <c r="E3498" t="s">
        <v>22397</v>
      </c>
      <c r="F3498" s="2" t="n">
        <f>HYPERLINK("https://patents.google.com/patent/US20090226043","Google")</f>
        <v>0.0</v>
      </c>
      <c r="G3498" s="2" t="n">
        <f>HYPERLINK("https://patentcenter.uspto.gov/applications/12042857","Patent Center")</f>
        <v>0.0</v>
      </c>
      <c r="H3498" s="2" t="n">
        <f>HYPERLINK("https://worldwide.espacenet.com/patent/search?q=US20090226043","Espacenet")</f>
        <v>0.0</v>
      </c>
      <c r="I3498" s="2" t="n">
        <f>HYPERLINK("https://ppubs.uspto.gov/pubwebapp/external.html?q=20090226043.pn.","USPTO")</f>
        <v>0.0</v>
      </c>
      <c r="J3498" s="2" t="n">
        <f>HYPERLINK("https://image-ppubs.uspto.gov/dirsearch-public/print/downloadPdf/20090226043","USPTO PDF")</f>
        <v>0.0</v>
      </c>
      <c r="K3498" s="2" t="n">
        <f>HYPERLINK("https://sectors.patentforecast.com/pmd/US20090226043","PMD")</f>
        <v>0.0</v>
      </c>
      <c r="L3498" s="2" t="n">
        <f>HYPERLINK("https://globaldossier.uspto.gov/result/application/US/12042857/1","US20090226043")</f>
        <v>0.0</v>
      </c>
      <c r="M3498" t="s">
        <v>22398</v>
      </c>
      <c r="N3498" t="s">
        <v>947</v>
      </c>
      <c r="O3498" t="s">
        <v>948</v>
      </c>
      <c r="P3498" t="s">
        <v>22399</v>
      </c>
      <c r="Q3498" s="3" t="n">
        <v>39512.0</v>
      </c>
      <c r="R3498" s="3" t="n">
        <v>40066.0</v>
      </c>
      <c r="S3498" s="3" t="n">
        <v>43266.45737398148</v>
      </c>
      <c r="T3498" s="3" t="n">
        <v>43901.72156494213</v>
      </c>
      <c r="U3498" t="s">
        <v>22400</v>
      </c>
      <c r="V3498" t="s">
        <v>22401</v>
      </c>
    </row>
    <row r="3499">
      <c r="A3499" t="s">
        <v>22</v>
      </c>
      <c r="B3499" t="s">
        <v>22402</v>
      </c>
      <c r="C3499" t="s">
        <v>60</v>
      </c>
      <c r="D3499" t="s">
        <v>61</v>
      </c>
      <c r="E3499" t="s">
        <v>22403</v>
      </c>
      <c r="F3499" s="2" t="n">
        <f>HYPERLINK("https://patents.google.com/patent/US20090202470","Google")</f>
        <v>0.0</v>
      </c>
      <c r="G3499" s="2" t="n">
        <f>HYPERLINK("https://patentcenter.uspto.gov/applications/11658419","Patent Center")</f>
        <v>0.0</v>
      </c>
      <c r="H3499" s="2" t="n">
        <f>HYPERLINK("https://worldwide.espacenet.com/patent/search?q=US20090202470","Espacenet")</f>
        <v>0.0</v>
      </c>
      <c r="I3499" s="2" t="n">
        <f>HYPERLINK("https://ppubs.uspto.gov/pubwebapp/external.html?q=20090202470.pn.","USPTO")</f>
        <v>0.0</v>
      </c>
      <c r="J3499" s="2" t="n">
        <f>HYPERLINK("https://image-ppubs.uspto.gov/dirsearch-public/print/downloadPdf/20090202470","USPTO PDF")</f>
        <v>0.0</v>
      </c>
      <c r="K3499" s="2" t="n">
        <f>HYPERLINK("https://sectors.patentforecast.com/pmd/US20090202470","PMD")</f>
        <v>0.0</v>
      </c>
      <c r="L3499" s="2" t="n">
        <f>HYPERLINK("https://globaldossier.uspto.gov/result/application/US/11658419/1","US20090202470")</f>
        <v>0.0</v>
      </c>
      <c r="M3499" t="s">
        <v>22404</v>
      </c>
      <c r="N3499" t="s">
        <v>664</v>
      </c>
      <c r="O3499" t="s">
        <v>665</v>
      </c>
      <c r="P3499" t="s">
        <v>22405</v>
      </c>
      <c r="Q3499" s="3" t="n">
        <v>38559.0</v>
      </c>
      <c r="R3499" s="3" t="n">
        <v>40038.0</v>
      </c>
      <c r="S3499" s="3" t="n">
        <v>43952.46303542824</v>
      </c>
      <c r="T3499" s="3" t="n">
        <v>44638.662781747684</v>
      </c>
      <c r="U3499" t="s">
        <v>22406</v>
      </c>
      <c r="V3499" t="s">
        <v>17358</v>
      </c>
    </row>
    <row r="3500">
      <c r="A3500" t="s">
        <v>22</v>
      </c>
      <c r="B3500" t="s">
        <v>22407</v>
      </c>
      <c r="C3500" t="s">
        <v>60</v>
      </c>
      <c r="D3500" t="s">
        <v>77</v>
      </c>
      <c r="E3500" t="s">
        <v>22408</v>
      </c>
      <c r="F3500" s="2" t="n">
        <f>HYPERLINK("https://patents.google.com/patent/US20090196874","Google")</f>
        <v>0.0</v>
      </c>
      <c r="G3500" s="2" t="n">
        <f>HYPERLINK("https://patentcenter.uspto.gov/applications/12190802","Patent Center")</f>
        <v>0.0</v>
      </c>
      <c r="H3500" s="2" t="n">
        <f>HYPERLINK("https://worldwide.espacenet.com/patent/search?q=US20090196874","Espacenet")</f>
        <v>0.0</v>
      </c>
      <c r="I3500" s="2" t="n">
        <f>HYPERLINK("https://ppubs.uspto.gov/pubwebapp/external.html?q=20090196874.pn.","USPTO")</f>
        <v>0.0</v>
      </c>
      <c r="J3500" s="2" t="n">
        <f>HYPERLINK("https://image-ppubs.uspto.gov/dirsearch-public/print/downloadPdf/20090196874","USPTO PDF")</f>
        <v>0.0</v>
      </c>
      <c r="K3500" s="2" t="n">
        <f>HYPERLINK("https://sectors.patentforecast.com/pmd/US20090196874","PMD")</f>
        <v>0.0</v>
      </c>
      <c r="L3500" s="2" t="n">
        <f>HYPERLINK("https://globaldossier.uspto.gov/result/application/US/12190802/1","US20090196874")</f>
        <v>0.0</v>
      </c>
      <c r="M3500" t="s">
        <v>22409</v>
      </c>
      <c r="N3500" t="s">
        <v>22410</v>
      </c>
      <c r="O3500" t="s">
        <v>22410</v>
      </c>
      <c r="P3500" t="s">
        <v>22411</v>
      </c>
      <c r="Q3500" s="3" t="n">
        <v>39673.0</v>
      </c>
      <c r="R3500" s="3" t="n">
        <v>40031.0</v>
      </c>
      <c r="S3500" s="3" t="n">
        <v>43966.4870259375</v>
      </c>
      <c r="T3500" s="3" t="n">
        <v>43985.69532324074</v>
      </c>
      <c r="U3500" t="s">
        <v>22412</v>
      </c>
      <c r="V3500" t="s">
        <v>22413</v>
      </c>
    </row>
    <row r="3501">
      <c r="A3501" t="s">
        <v>22</v>
      </c>
      <c r="B3501" t="s">
        <v>22414</v>
      </c>
      <c r="C3501" t="s">
        <v>312</v>
      </c>
      <c r="D3501" t="s">
        <v>313</v>
      </c>
      <c r="E3501" t="s">
        <v>22415</v>
      </c>
      <c r="F3501" s="2" t="n">
        <f>HYPERLINK("https://patents.google.com/patent/US20090192825","Google")</f>
        <v>0.0</v>
      </c>
      <c r="G3501" s="2" t="n">
        <f>HYPERLINK("https://patentcenter.uspto.gov/applications/12403142","Patent Center")</f>
        <v>0.0</v>
      </c>
      <c r="H3501" s="2" t="n">
        <f>HYPERLINK("https://worldwide.espacenet.com/patent/search?q=US20090192825","Espacenet")</f>
        <v>0.0</v>
      </c>
      <c r="I3501" s="2" t="n">
        <f>HYPERLINK("https://ppubs.uspto.gov/pubwebapp/external.html?q=20090192825.pn.","USPTO")</f>
        <v>0.0</v>
      </c>
      <c r="J3501" s="2" t="n">
        <f>HYPERLINK("https://image-ppubs.uspto.gov/dirsearch-public/print/downloadPdf/20090192825","USPTO PDF")</f>
        <v>0.0</v>
      </c>
      <c r="K3501" s="2" t="n">
        <f>HYPERLINK("https://sectors.patentforecast.com/pmd/US20090192825","PMD")</f>
        <v>0.0</v>
      </c>
      <c r="L3501" s="2" t="n">
        <f>HYPERLINK("https://globaldossier.uspto.gov/result/application/US/12403142/1","US20090192825")</f>
        <v>0.0</v>
      </c>
      <c r="M3501" t="s">
        <v>22416</v>
      </c>
      <c r="N3501" t="s">
        <v>22417</v>
      </c>
      <c r="O3501" t="s">
        <v>22418</v>
      </c>
      <c r="P3501" t="s">
        <v>22419</v>
      </c>
      <c r="Q3501" s="3" t="n">
        <v>39884.0</v>
      </c>
      <c r="R3501" s="3" t="n">
        <v>40024.0</v>
      </c>
      <c r="S3501" s="3" t="n">
        <v>43266.45737398148</v>
      </c>
      <c r="T3501" s="3" t="n">
        <v>43266.63762232639</v>
      </c>
      <c r="U3501" t="s">
        <v>22420</v>
      </c>
      <c r="V3501" t="s">
        <v>22421</v>
      </c>
    </row>
    <row r="3502">
      <c r="A3502" t="s">
        <v>22</v>
      </c>
      <c r="B3502" t="s">
        <v>22422</v>
      </c>
      <c r="C3502" t="s">
        <v>60</v>
      </c>
      <c r="D3502" t="s">
        <v>845</v>
      </c>
      <c r="E3502" t="s">
        <v>22423</v>
      </c>
      <c r="F3502" s="2" t="n">
        <f>HYPERLINK("https://patents.google.com/patent/US20090192362","Google")</f>
        <v>0.0</v>
      </c>
      <c r="G3502" s="2" t="n">
        <f>HYPERLINK("https://patentcenter.uspto.gov/applications/12352469","Patent Center")</f>
        <v>0.0</v>
      </c>
      <c r="H3502" s="2" t="n">
        <f>HYPERLINK("https://worldwide.espacenet.com/patent/search?q=US20090192362","Espacenet")</f>
        <v>0.0</v>
      </c>
      <c r="I3502" s="2" t="n">
        <f>HYPERLINK("https://ppubs.uspto.gov/pubwebapp/external.html?q=20090192362.pn.","USPTO")</f>
        <v>0.0</v>
      </c>
      <c r="J3502" s="2" t="n">
        <f>HYPERLINK("https://image-ppubs.uspto.gov/dirsearch-public/print/downloadPdf/20090192362","USPTO PDF")</f>
        <v>0.0</v>
      </c>
      <c r="K3502" s="2" t="n">
        <f>HYPERLINK("https://sectors.patentforecast.com/pmd/US20090192362","PMD")</f>
        <v>0.0</v>
      </c>
      <c r="L3502" s="2" t="n">
        <f>HYPERLINK("https://globaldossier.uspto.gov/result/application/US/12352469/1","US20090192362")</f>
        <v>0.0</v>
      </c>
      <c r="M3502" t="s">
        <v>22424</v>
      </c>
      <c r="N3502" t="s">
        <v>4975</v>
      </c>
      <c r="O3502" t="s">
        <v>4976</v>
      </c>
      <c r="P3502" t="s">
        <v>22425</v>
      </c>
      <c r="Q3502" s="3" t="n">
        <v>39825.0</v>
      </c>
      <c r="R3502" s="3" t="n">
        <v>40024.0</v>
      </c>
      <c r="S3502" s="3" t="n">
        <v>43266.45737398148</v>
      </c>
      <c r="T3502" s="3" t="n">
        <v>43901.7215650463</v>
      </c>
      <c r="U3502" t="s">
        <v>22426</v>
      </c>
      <c r="V3502" t="s">
        <v>22427</v>
      </c>
    </row>
    <row r="3503">
      <c r="A3503" t="s">
        <v>22</v>
      </c>
      <c r="B3503" t="s">
        <v>22428</v>
      </c>
      <c r="C3503" t="s">
        <v>24</v>
      </c>
      <c r="D3503" t="s">
        <v>100</v>
      </c>
      <c r="E3503" t="s">
        <v>19021</v>
      </c>
      <c r="F3503" s="2" t="n">
        <f>HYPERLINK("https://patents.google.com/patent/US20090189759","Google")</f>
        <v>0.0</v>
      </c>
      <c r="G3503" s="2" t="n">
        <f>HYPERLINK("https://patentcenter.uspto.gov/applications/12185556","Patent Center")</f>
        <v>0.0</v>
      </c>
      <c r="H3503" s="2" t="n">
        <f>HYPERLINK("https://worldwide.espacenet.com/patent/search?q=US20090189759","Espacenet")</f>
        <v>0.0</v>
      </c>
      <c r="I3503" s="2" t="n">
        <f>HYPERLINK("https://ppubs.uspto.gov/pubwebapp/external.html?q=20090189759.pn.","USPTO")</f>
        <v>0.0</v>
      </c>
      <c r="J3503" s="2" t="n">
        <f>HYPERLINK("https://image-ppubs.uspto.gov/dirsearch-public/print/downloadPdf/20090189759","USPTO PDF")</f>
        <v>0.0</v>
      </c>
      <c r="K3503" s="2" t="n">
        <f>HYPERLINK("https://sectors.patentforecast.com/pmd/US20090189759","PMD")</f>
        <v>0.0</v>
      </c>
      <c r="L3503" s="2" t="n">
        <f>HYPERLINK("https://globaldossier.uspto.gov/result/application/US/12185556/1","US20090189759")</f>
        <v>0.0</v>
      </c>
      <c r="M3503" t="s">
        <v>22429</v>
      </c>
      <c r="N3503" t="s">
        <v>1444</v>
      </c>
      <c r="O3503" t="s">
        <v>1445</v>
      </c>
      <c r="P3503" t="s">
        <v>22430</v>
      </c>
      <c r="Q3503" s="3" t="n">
        <v>39664.0</v>
      </c>
      <c r="R3503" s="3" t="n">
        <v>40024.0</v>
      </c>
      <c r="S3503" s="3" t="n">
        <v>43266.457373969904</v>
      </c>
      <c r="T3503" s="3" t="n">
        <v>43906.35981086805</v>
      </c>
      <c r="U3503" t="s">
        <v>19024</v>
      </c>
      <c r="V3503" t="s">
        <v>21865</v>
      </c>
    </row>
    <row r="3504">
      <c r="A3504" t="s">
        <v>22</v>
      </c>
      <c r="B3504" t="s">
        <v>22431</v>
      </c>
      <c r="C3504" t="s">
        <v>60</v>
      </c>
      <c r="D3504" t="s">
        <v>61</v>
      </c>
      <c r="E3504" t="s">
        <v>22432</v>
      </c>
      <c r="F3504" s="2" t="n">
        <f>HYPERLINK("https://patents.google.com/patent/US20090186869","Google")</f>
        <v>0.0</v>
      </c>
      <c r="G3504" s="2" t="n">
        <f>HYPERLINK("https://patentcenter.uspto.gov/applications/12215601","Patent Center")</f>
        <v>0.0</v>
      </c>
      <c r="H3504" s="2" t="n">
        <f>HYPERLINK("https://worldwide.espacenet.com/patent/search?q=US20090186869","Espacenet")</f>
        <v>0.0</v>
      </c>
      <c r="I3504" s="2" t="n">
        <f>HYPERLINK("https://ppubs.uspto.gov/pubwebapp/external.html?q=20090186869.pn.","USPTO")</f>
        <v>0.0</v>
      </c>
      <c r="J3504" s="2" t="n">
        <f>HYPERLINK("https://image-ppubs.uspto.gov/dirsearch-public/print/downloadPdf/20090186869","USPTO PDF")</f>
        <v>0.0</v>
      </c>
      <c r="K3504" s="2" t="n">
        <f>HYPERLINK("https://sectors.patentforecast.com/pmd/US20090186869","PMD")</f>
        <v>0.0</v>
      </c>
      <c r="L3504" s="2" t="n">
        <f>HYPERLINK("https://globaldossier.uspto.gov/result/application/US/12215601/1","US20090186869")</f>
        <v>0.0</v>
      </c>
      <c r="M3504" t="s">
        <v>22433</v>
      </c>
      <c r="N3504" t="s">
        <v>664</v>
      </c>
      <c r="O3504" t="s">
        <v>665</v>
      </c>
      <c r="P3504" t="s">
        <v>20869</v>
      </c>
      <c r="Q3504" s="3" t="n">
        <v>39625.0</v>
      </c>
      <c r="R3504" s="3" t="n">
        <v>40017.0</v>
      </c>
      <c r="S3504" s="3" t="n">
        <v>43952.46303542824</v>
      </c>
      <c r="T3504" s="3" t="n">
        <v>44638.65271974537</v>
      </c>
      <c r="U3504" t="s">
        <v>22434</v>
      </c>
      <c r="V3504" t="s">
        <v>16907</v>
      </c>
    </row>
    <row r="3505">
      <c r="A3505" t="s">
        <v>22</v>
      </c>
      <c r="B3505" t="s">
        <v>22435</v>
      </c>
      <c r="C3505" t="s">
        <v>60</v>
      </c>
      <c r="D3505" t="s">
        <v>77</v>
      </c>
      <c r="E3505" t="s">
        <v>22408</v>
      </c>
      <c r="F3505" s="2" t="n">
        <f>HYPERLINK("https://patents.google.com/patent/US20090186041","Google")</f>
        <v>0.0</v>
      </c>
      <c r="G3505" s="2" t="n">
        <f>HYPERLINK("https://patentcenter.uspto.gov/applications/12105462","Patent Center")</f>
        <v>0.0</v>
      </c>
      <c r="H3505" s="2" t="n">
        <f>HYPERLINK("https://worldwide.espacenet.com/patent/search?q=US20090186041","Espacenet")</f>
        <v>0.0</v>
      </c>
      <c r="I3505" s="2" t="n">
        <f>HYPERLINK("https://ppubs.uspto.gov/pubwebapp/external.html?q=20090186041.pn.","USPTO")</f>
        <v>0.0</v>
      </c>
      <c r="J3505" s="2" t="n">
        <f>HYPERLINK("https://image-ppubs.uspto.gov/dirsearch-public/print/downloadPdf/20090186041","USPTO PDF")</f>
        <v>0.0</v>
      </c>
      <c r="K3505" s="2" t="n">
        <f>HYPERLINK("https://sectors.patentforecast.com/pmd/US20090186041","PMD")</f>
        <v>0.0</v>
      </c>
      <c r="L3505" s="2" t="n">
        <f>HYPERLINK("https://globaldossier.uspto.gov/result/application/US/12105462/1","US20090186041")</f>
        <v>0.0</v>
      </c>
      <c r="M3505" t="s">
        <v>22436</v>
      </c>
      <c r="N3505" t="s">
        <v>22410</v>
      </c>
      <c r="O3505" t="s">
        <v>22410</v>
      </c>
      <c r="P3505" t="s">
        <v>22437</v>
      </c>
      <c r="Q3505" s="3" t="n">
        <v>39556.0</v>
      </c>
      <c r="R3505" s="3" t="n">
        <v>40017.0</v>
      </c>
      <c r="S3505" s="3" t="n">
        <v>43966.4870259375</v>
      </c>
      <c r="T3505" s="3" t="n">
        <v>43985.69532324074</v>
      </c>
      <c r="U3505" t="s">
        <v>22438</v>
      </c>
      <c r="V3505" t="s">
        <v>22439</v>
      </c>
    </row>
    <row r="3506">
      <c r="A3506" t="s">
        <v>22</v>
      </c>
      <c r="B3506" t="s">
        <v>22440</v>
      </c>
      <c r="C3506" t="s">
        <v>24</v>
      </c>
      <c r="D3506" t="s">
        <v>25</v>
      </c>
      <c r="E3506" t="s">
        <v>22441</v>
      </c>
      <c r="F3506" s="2" t="n">
        <f>HYPERLINK("https://patents.google.com/patent/US20090179756","Google")</f>
        <v>0.0</v>
      </c>
      <c r="G3506" s="2" t="n">
        <f>HYPERLINK("https://patentcenter.uspto.gov/applications/12407141","Patent Center")</f>
        <v>0.0</v>
      </c>
      <c r="H3506" s="2" t="n">
        <f>HYPERLINK("https://worldwide.espacenet.com/patent/search?q=US20090179756","Espacenet")</f>
        <v>0.0</v>
      </c>
      <c r="I3506" s="2" t="n">
        <f>HYPERLINK("https://ppubs.uspto.gov/pubwebapp/external.html?q=20090179756.pn.","USPTO")</f>
        <v>0.0</v>
      </c>
      <c r="J3506" s="2" t="n">
        <f>HYPERLINK("https://image-ppubs.uspto.gov/dirsearch-public/print/downloadPdf/20090179756","USPTO PDF")</f>
        <v>0.0</v>
      </c>
      <c r="K3506" s="2" t="n">
        <f>HYPERLINK("https://sectors.patentforecast.com/pmd/US20090179756","PMD")</f>
        <v>0.0</v>
      </c>
      <c r="L3506" s="2" t="n">
        <f>HYPERLINK("https://globaldossier.uspto.gov/result/application/US/12407141/1","US20090179756")</f>
        <v>0.0</v>
      </c>
      <c r="M3506" t="s">
        <v>22442</v>
      </c>
      <c r="N3506" t="s">
        <v>22443</v>
      </c>
      <c r="O3506" t="s">
        <v>22443</v>
      </c>
      <c r="P3506" t="s">
        <v>22444</v>
      </c>
      <c r="Q3506" s="3" t="n">
        <v>39891.0</v>
      </c>
      <c r="R3506" s="3" t="n">
        <v>40010.0</v>
      </c>
      <c r="S3506" s="3" t="n">
        <v>43266.457373969904</v>
      </c>
      <c r="T3506" s="3" t="n">
        <v>43903.49497354167</v>
      </c>
      <c r="U3506" t="s">
        <v>22445</v>
      </c>
      <c r="V3506" t="s">
        <v>22446</v>
      </c>
    </row>
    <row r="3507">
      <c r="A3507" t="s">
        <v>22</v>
      </c>
      <c r="B3507" t="s">
        <v>22447</v>
      </c>
      <c r="C3507" t="s">
        <v>132</v>
      </c>
      <c r="D3507" t="s">
        <v>1265</v>
      </c>
      <c r="E3507" t="s">
        <v>22448</v>
      </c>
      <c r="F3507" s="2" t="n">
        <f>HYPERLINK("https://patents.google.com/patent/US20090175909","Google")</f>
        <v>0.0</v>
      </c>
      <c r="G3507" s="2" t="n">
        <f>HYPERLINK("https://patentcenter.uspto.gov/applications/12399312","Patent Center")</f>
        <v>0.0</v>
      </c>
      <c r="H3507" s="2" t="n">
        <f>HYPERLINK("https://worldwide.espacenet.com/patent/search?q=US20090175909","Espacenet")</f>
        <v>0.0</v>
      </c>
      <c r="I3507" s="2" t="n">
        <f>HYPERLINK("https://ppubs.uspto.gov/pubwebapp/external.html?q=20090175909.pn.","USPTO")</f>
        <v>0.0</v>
      </c>
      <c r="J3507" s="2" t="n">
        <f>HYPERLINK("https://image-ppubs.uspto.gov/dirsearch-public/print/downloadPdf/20090175909","USPTO PDF")</f>
        <v>0.0</v>
      </c>
      <c r="K3507" s="2" t="n">
        <f>HYPERLINK("https://sectors.patentforecast.com/pmd/US20090175909","PMD")</f>
        <v>0.0</v>
      </c>
      <c r="L3507" s="2" t="n">
        <f>HYPERLINK("https://globaldossier.uspto.gov/result/application/US/12399312/1","US20090175909")</f>
        <v>0.0</v>
      </c>
      <c r="M3507" t="s">
        <v>22449</v>
      </c>
      <c r="N3507" t="s">
        <v>21123</v>
      </c>
      <c r="O3507" t="s">
        <v>21124</v>
      </c>
      <c r="P3507" t="s">
        <v>22450</v>
      </c>
      <c r="Q3507" s="3" t="n">
        <v>39878.0</v>
      </c>
      <c r="R3507" s="3" t="n">
        <v>40003.0</v>
      </c>
      <c r="S3507" s="3" t="n">
        <v>43900.43738930555</v>
      </c>
      <c r="T3507" s="3" t="n">
        <v>43903.484632685184</v>
      </c>
      <c r="U3507" t="s">
        <v>21574</v>
      </c>
      <c r="V3507" t="s">
        <v>21127</v>
      </c>
    </row>
    <row r="3508">
      <c r="A3508" t="s">
        <v>22</v>
      </c>
      <c r="B3508" t="s">
        <v>22451</v>
      </c>
      <c r="C3508" t="s">
        <v>60</v>
      </c>
      <c r="D3508" t="s">
        <v>61</v>
      </c>
      <c r="E3508" t="s">
        <v>22452</v>
      </c>
      <c r="F3508" s="2" t="n">
        <f>HYPERLINK("https://patents.google.com/patent/US20090163712","Google")</f>
        <v>0.0</v>
      </c>
      <c r="G3508" s="2" t="n">
        <f>HYPERLINK("https://patentcenter.uspto.gov/applications/12336762","Patent Center")</f>
        <v>0.0</v>
      </c>
      <c r="H3508" s="2" t="n">
        <f>HYPERLINK("https://worldwide.espacenet.com/patent/search?q=US20090163712","Espacenet")</f>
        <v>0.0</v>
      </c>
      <c r="I3508" s="2" t="n">
        <f>HYPERLINK("https://ppubs.uspto.gov/pubwebapp/external.html?q=20090163712.pn.","USPTO")</f>
        <v>0.0</v>
      </c>
      <c r="J3508" s="2" t="n">
        <f>HYPERLINK("https://image-ppubs.uspto.gov/dirsearch-public/print/downloadPdf/20090163712","USPTO PDF")</f>
        <v>0.0</v>
      </c>
      <c r="K3508" s="2" t="n">
        <f>HYPERLINK("https://sectors.patentforecast.com/pmd/US20090163712","PMD")</f>
        <v>0.0</v>
      </c>
      <c r="L3508" s="2" t="n">
        <f>HYPERLINK("https://globaldossier.uspto.gov/result/application/US/12336762/1","US20090163712")</f>
        <v>0.0</v>
      </c>
      <c r="M3508" t="s">
        <v>22453</v>
      </c>
      <c r="N3508" t="s">
        <v>19232</v>
      </c>
      <c r="O3508" t="s">
        <v>19233</v>
      </c>
      <c r="P3508" t="s">
        <v>22454</v>
      </c>
      <c r="Q3508" s="3" t="n">
        <v>39799.0</v>
      </c>
      <c r="R3508" s="3" t="n">
        <v>39989.0</v>
      </c>
      <c r="S3508" s="3" t="n">
        <v>43952.46303542824</v>
      </c>
      <c r="T3508" s="3" t="n">
        <v>44638.662781747684</v>
      </c>
      <c r="U3508" t="s">
        <v>22455</v>
      </c>
      <c r="V3508" t="s">
        <v>22456</v>
      </c>
    </row>
    <row r="3509">
      <c r="A3509" t="s">
        <v>22</v>
      </c>
      <c r="B3509" t="s">
        <v>22457</v>
      </c>
      <c r="C3509" t="s">
        <v>24</v>
      </c>
      <c r="D3509" t="s">
        <v>258</v>
      </c>
      <c r="E3509" t="s">
        <v>22458</v>
      </c>
      <c r="F3509" s="2" t="n">
        <f>HYPERLINK("https://patents.google.com/patent/US20090144121","Google")</f>
        <v>0.0</v>
      </c>
      <c r="G3509" s="2" t="n">
        <f>HYPERLINK("https://patentcenter.uspto.gov/applications/11948735","Patent Center")</f>
        <v>0.0</v>
      </c>
      <c r="H3509" s="2" t="n">
        <f>HYPERLINK("https://worldwide.espacenet.com/patent/search?q=US20090144121","Espacenet")</f>
        <v>0.0</v>
      </c>
      <c r="I3509" s="2" t="n">
        <f>HYPERLINK("https://ppubs.uspto.gov/pubwebapp/external.html?q=20090144121.pn.","USPTO")</f>
        <v>0.0</v>
      </c>
      <c r="J3509" s="2" t="n">
        <f>HYPERLINK("https://image-ppubs.uspto.gov/dirsearch-public/print/downloadPdf/20090144121","USPTO PDF")</f>
        <v>0.0</v>
      </c>
      <c r="K3509" s="2" t="n">
        <f>HYPERLINK("https://sectors.patentforecast.com/pmd/US20090144121","PMD")</f>
        <v>0.0</v>
      </c>
      <c r="L3509" s="2" t="n">
        <f>HYPERLINK("https://globaldossier.uspto.gov/result/application/US/11948735/1","US20090144121")</f>
        <v>0.0</v>
      </c>
      <c r="M3509" t="s">
        <v>22459</v>
      </c>
      <c r="N3509" t="s">
        <v>22460</v>
      </c>
      <c r="O3509" t="s">
        <v>22461</v>
      </c>
      <c r="P3509" t="s">
        <v>22462</v>
      </c>
      <c r="Q3509" s="3" t="n">
        <v>39416.0</v>
      </c>
      <c r="R3509" s="3" t="n">
        <v>39968.0</v>
      </c>
      <c r="S3509" s="3" t="n">
        <v>43900.43738930555</v>
      </c>
      <c r="T3509" s="3" t="n">
        <v>43901.72156369213</v>
      </c>
      <c r="U3509" t="s">
        <v>22463</v>
      </c>
      <c r="V3509" t="s">
        <v>22464</v>
      </c>
    </row>
    <row r="3510">
      <c r="A3510" t="s">
        <v>22</v>
      </c>
      <c r="B3510" t="s">
        <v>22465</v>
      </c>
      <c r="C3510" t="s">
        <v>24</v>
      </c>
      <c r="D3510" t="s">
        <v>204</v>
      </c>
      <c r="E3510" t="s">
        <v>22466</v>
      </c>
      <c r="F3510" s="2" t="n">
        <f>HYPERLINK("https://patents.google.com/patent/US20090144078","Google")</f>
        <v>0.0</v>
      </c>
      <c r="G3510" s="2" t="n">
        <f>HYPERLINK("https://patentcenter.uspto.gov/applications/11948135","Patent Center")</f>
        <v>0.0</v>
      </c>
      <c r="H3510" s="2" t="n">
        <f>HYPERLINK("https://worldwide.espacenet.com/patent/search?q=US20090144078","Espacenet")</f>
        <v>0.0</v>
      </c>
      <c r="I3510" s="2" t="n">
        <f>HYPERLINK("https://ppubs.uspto.gov/pubwebapp/external.html?q=20090144078.pn.","USPTO")</f>
        <v>0.0</v>
      </c>
      <c r="J3510" s="2" t="n">
        <f>HYPERLINK("https://image-ppubs.uspto.gov/dirsearch-public/print/downloadPdf/20090144078","USPTO PDF")</f>
        <v>0.0</v>
      </c>
      <c r="K3510" s="2" t="n">
        <f>HYPERLINK("https://sectors.patentforecast.com/pmd/US20090144078","PMD")</f>
        <v>0.0</v>
      </c>
      <c r="L3510" s="2" t="n">
        <f>HYPERLINK("https://globaldossier.uspto.gov/result/application/US/11948135/1","US20090144078")</f>
        <v>0.0</v>
      </c>
      <c r="M3510" t="s">
        <v>22467</v>
      </c>
      <c r="N3510" t="s">
        <v>2016</v>
      </c>
      <c r="O3510" t="s">
        <v>2017</v>
      </c>
      <c r="P3510" t="s">
        <v>22468</v>
      </c>
      <c r="Q3510" s="3" t="n">
        <v>39416.0</v>
      </c>
      <c r="R3510" s="3" t="n">
        <v>39968.0</v>
      </c>
      <c r="S3510" s="3" t="n">
        <v>44019.229931608796</v>
      </c>
      <c r="T3510" s="3" t="n">
        <v>44019.69911925926</v>
      </c>
      <c r="U3510" t="s">
        <v>22469</v>
      </c>
      <c r="V3510" t="s">
        <v>22470</v>
      </c>
    </row>
    <row r="3511">
      <c r="A3511" t="s">
        <v>22</v>
      </c>
      <c r="B3511" t="s">
        <v>22471</v>
      </c>
      <c r="C3511" t="s">
        <v>60</v>
      </c>
      <c r="D3511" t="s">
        <v>61</v>
      </c>
      <c r="E3511" t="s">
        <v>20352</v>
      </c>
      <c r="F3511" s="2" t="n">
        <f>HYPERLINK("https://patents.google.com/patent/US20090143314","Google")</f>
        <v>0.0</v>
      </c>
      <c r="G3511" s="2" t="n">
        <f>HYPERLINK("https://patentcenter.uspto.gov/applications/12195161","Patent Center")</f>
        <v>0.0</v>
      </c>
      <c r="H3511" s="2" t="n">
        <f>HYPERLINK("https://worldwide.espacenet.com/patent/search?q=US20090143314","Espacenet")</f>
        <v>0.0</v>
      </c>
      <c r="I3511" s="2" t="n">
        <f>HYPERLINK("https://ppubs.uspto.gov/pubwebapp/external.html?q=20090143314.pn.","USPTO")</f>
        <v>0.0</v>
      </c>
      <c r="J3511" s="2" t="n">
        <f>HYPERLINK("https://image-ppubs.uspto.gov/dirsearch-public/print/downloadPdf/20090143314","USPTO PDF")</f>
        <v>0.0</v>
      </c>
      <c r="K3511" s="2" t="n">
        <f>HYPERLINK("https://sectors.patentforecast.com/pmd/US20090143314","PMD")</f>
        <v>0.0</v>
      </c>
      <c r="L3511" s="2" t="n">
        <f>HYPERLINK("https://globaldossier.uspto.gov/result/application/US/12195161/1","US20090143314")</f>
        <v>0.0</v>
      </c>
      <c r="M3511" t="s">
        <v>22472</v>
      </c>
      <c r="N3511" t="s">
        <v>664</v>
      </c>
      <c r="O3511" t="s">
        <v>665</v>
      </c>
      <c r="P3511" t="s">
        <v>22473</v>
      </c>
      <c r="Q3511" s="3" t="n">
        <v>39680.0</v>
      </c>
      <c r="R3511" s="3" t="n">
        <v>39968.0</v>
      </c>
      <c r="S3511" s="3" t="n">
        <v>43952.46303542824</v>
      </c>
      <c r="T3511" s="3" t="n">
        <v>44638.65271974537</v>
      </c>
      <c r="U3511" t="s">
        <v>22474</v>
      </c>
      <c r="V3511" t="s">
        <v>22475</v>
      </c>
    </row>
    <row r="3512">
      <c r="A3512" t="s">
        <v>22</v>
      </c>
      <c r="B3512" t="s">
        <v>22476</v>
      </c>
      <c r="C3512" t="s">
        <v>24</v>
      </c>
      <c r="D3512" t="s">
        <v>25</v>
      </c>
      <c r="E3512" t="s">
        <v>22477</v>
      </c>
      <c r="F3512" s="2" t="n">
        <f>HYPERLINK("https://patents.google.com/patent/US20090137882","Google")</f>
        <v>0.0</v>
      </c>
      <c r="G3512" s="2" t="n">
        <f>HYPERLINK("https://patentcenter.uspto.gov/applications/12283428","Patent Center")</f>
        <v>0.0</v>
      </c>
      <c r="H3512" s="2" t="n">
        <f>HYPERLINK("https://worldwide.espacenet.com/patent/search?q=US20090137882","Espacenet")</f>
        <v>0.0</v>
      </c>
      <c r="I3512" s="2" t="n">
        <f>HYPERLINK("https://ppubs.uspto.gov/pubwebapp/external.html?q=20090137882.pn.","USPTO")</f>
        <v>0.0</v>
      </c>
      <c r="J3512" s="2" t="n">
        <f>HYPERLINK("https://image-ppubs.uspto.gov/dirsearch-public/print/downloadPdf/20090137882","USPTO PDF")</f>
        <v>0.0</v>
      </c>
      <c r="K3512" s="2" t="n">
        <f>HYPERLINK("https://sectors.patentforecast.com/pmd/US20090137882","PMD")</f>
        <v>0.0</v>
      </c>
      <c r="L3512" s="2" t="n">
        <f>HYPERLINK("https://globaldossier.uspto.gov/result/application/US/12283428/1","US20090137882")</f>
        <v>0.0</v>
      </c>
      <c r="M3512" t="s">
        <v>22478</v>
      </c>
      <c r="N3512" t="s">
        <v>22479</v>
      </c>
      <c r="O3512" t="s">
        <v>22480</v>
      </c>
      <c r="P3512" t="s">
        <v>22481</v>
      </c>
      <c r="Q3512" s="3" t="n">
        <v>39702.0</v>
      </c>
      <c r="R3512" s="3" t="n">
        <v>39961.0</v>
      </c>
      <c r="S3512" s="3" t="n">
        <v>43266.457373969904</v>
      </c>
      <c r="T3512" s="3" t="n">
        <v>43903.48463225694</v>
      </c>
      <c r="U3512" t="s">
        <v>22482</v>
      </c>
      <c r="V3512" t="s">
        <v>22483</v>
      </c>
    </row>
    <row r="3513">
      <c r="A3513" t="s">
        <v>22</v>
      </c>
      <c r="B3513" t="s">
        <v>22484</v>
      </c>
      <c r="C3513" t="s">
        <v>24</v>
      </c>
      <c r="D3513" t="s">
        <v>25</v>
      </c>
      <c r="E3513" t="s">
        <v>22485</v>
      </c>
      <c r="F3513" s="2" t="n">
        <f>HYPERLINK("https://patents.google.com/patent/US20090137881","Google")</f>
        <v>0.0</v>
      </c>
      <c r="G3513" s="2" t="n">
        <f>HYPERLINK("https://patentcenter.uspto.gov/applications/12286756","Patent Center")</f>
        <v>0.0</v>
      </c>
      <c r="H3513" s="2" t="n">
        <f>HYPERLINK("https://worldwide.espacenet.com/patent/search?q=US20090137881","Espacenet")</f>
        <v>0.0</v>
      </c>
      <c r="I3513" s="2" t="n">
        <f>HYPERLINK("https://ppubs.uspto.gov/pubwebapp/external.html?q=20090137881.pn.","USPTO")</f>
        <v>0.0</v>
      </c>
      <c r="J3513" s="2" t="n">
        <f>HYPERLINK("https://image-ppubs.uspto.gov/dirsearch-public/print/downloadPdf/20090137881","USPTO PDF")</f>
        <v>0.0</v>
      </c>
      <c r="K3513" s="2" t="n">
        <f>HYPERLINK("https://sectors.patentforecast.com/pmd/US20090137881","PMD")</f>
        <v>0.0</v>
      </c>
      <c r="L3513" s="2" t="n">
        <f>HYPERLINK("https://globaldossier.uspto.gov/result/application/US/12286756/1","US20090137881")</f>
        <v>0.0</v>
      </c>
      <c r="M3513" t="s">
        <v>22486</v>
      </c>
      <c r="N3513" t="s">
        <v>2563</v>
      </c>
      <c r="O3513" t="s">
        <v>2563</v>
      </c>
      <c r="P3513" t="s">
        <v>22487</v>
      </c>
      <c r="Q3513" s="3" t="n">
        <v>39722.0</v>
      </c>
      <c r="R3513" s="3" t="n">
        <v>39961.0</v>
      </c>
      <c r="S3513" s="3" t="n">
        <v>43266.457373969904</v>
      </c>
      <c r="T3513" s="3" t="n">
        <v>43901.7215637037</v>
      </c>
      <c r="U3513" t="s">
        <v>15882</v>
      </c>
      <c r="V3513" t="s">
        <v>22488</v>
      </c>
    </row>
    <row r="3514">
      <c r="A3514" t="s">
        <v>22</v>
      </c>
      <c r="B3514" t="s">
        <v>22489</v>
      </c>
      <c r="C3514" t="s">
        <v>132</v>
      </c>
      <c r="D3514" t="s">
        <v>1265</v>
      </c>
      <c r="E3514" t="s">
        <v>22490</v>
      </c>
      <c r="F3514" s="2" t="n">
        <f>HYPERLINK("https://patents.google.com/patent/US20090136530","Google")</f>
        <v>0.0</v>
      </c>
      <c r="G3514" s="2" t="n">
        <f>HYPERLINK("https://patentcenter.uspto.gov/applications/12354085","Patent Center")</f>
        <v>0.0</v>
      </c>
      <c r="H3514" s="2" t="n">
        <f>HYPERLINK("https://worldwide.espacenet.com/patent/search?q=US20090136530","Espacenet")</f>
        <v>0.0</v>
      </c>
      <c r="I3514" s="2" t="n">
        <f>HYPERLINK("https://ppubs.uspto.gov/pubwebapp/external.html?q=20090136530.pn.","USPTO")</f>
        <v>0.0</v>
      </c>
      <c r="J3514" s="2" t="n">
        <f>HYPERLINK("https://image-ppubs.uspto.gov/dirsearch-public/print/downloadPdf/20090136530","USPTO PDF")</f>
        <v>0.0</v>
      </c>
      <c r="K3514" s="2" t="n">
        <f>HYPERLINK("https://sectors.patentforecast.com/pmd/US20090136530","PMD")</f>
        <v>0.0</v>
      </c>
      <c r="L3514" s="2" t="n">
        <f>HYPERLINK("https://globaldossier.uspto.gov/result/application/US/12354085/1","US20090136530")</f>
        <v>0.0</v>
      </c>
      <c r="M3514" t="s">
        <v>22491</v>
      </c>
      <c r="N3514" t="s">
        <v>21123</v>
      </c>
      <c r="O3514" t="s">
        <v>21124</v>
      </c>
      <c r="P3514" t="s">
        <v>21728</v>
      </c>
      <c r="Q3514" s="3" t="n">
        <v>39828.0</v>
      </c>
      <c r="R3514" s="3" t="n">
        <v>39961.0</v>
      </c>
      <c r="S3514" s="3" t="n">
        <v>43900.43738930555</v>
      </c>
      <c r="T3514" s="3" t="n">
        <v>43903.48463274306</v>
      </c>
      <c r="U3514" t="s">
        <v>21574</v>
      </c>
      <c r="V3514" t="s">
        <v>21127</v>
      </c>
    </row>
    <row r="3515">
      <c r="A3515" t="s">
        <v>22</v>
      </c>
      <c r="B3515" t="s">
        <v>22492</v>
      </c>
      <c r="C3515" t="s">
        <v>24</v>
      </c>
      <c r="D3515" t="s">
        <v>25</v>
      </c>
      <c r="E3515" t="s">
        <v>22493</v>
      </c>
      <c r="F3515" s="2" t="n">
        <f>HYPERLINK("https://patents.google.com/patent/US20090099783","Google")</f>
        <v>0.0</v>
      </c>
      <c r="G3515" s="2" t="n">
        <f>HYPERLINK("https://patentcenter.uspto.gov/applications/12134768","Patent Center")</f>
        <v>0.0</v>
      </c>
      <c r="H3515" s="2" t="n">
        <f>HYPERLINK("https://worldwide.espacenet.com/patent/search?q=US20090099783","Espacenet")</f>
        <v>0.0</v>
      </c>
      <c r="I3515" s="2" t="n">
        <f>HYPERLINK("https://ppubs.uspto.gov/pubwebapp/external.html?q=20090099783.pn.","USPTO")</f>
        <v>0.0</v>
      </c>
      <c r="J3515" s="2" t="n">
        <f>HYPERLINK("https://image-ppubs.uspto.gov/dirsearch-public/print/downloadPdf/20090099783","USPTO PDF")</f>
        <v>0.0</v>
      </c>
      <c r="K3515" s="2" t="n">
        <f>HYPERLINK("https://sectors.patentforecast.com/pmd/US20090099783","PMD")</f>
        <v>0.0</v>
      </c>
      <c r="L3515" s="2" t="n">
        <f>HYPERLINK("https://globaldossier.uspto.gov/result/application/US/12134768/1","US20090099783")</f>
        <v>0.0</v>
      </c>
      <c r="M3515" t="s">
        <v>22494</v>
      </c>
      <c r="N3515" t="s">
        <v>22495</v>
      </c>
      <c r="O3515" t="s">
        <v>22496</v>
      </c>
      <c r="P3515" t="s">
        <v>22497</v>
      </c>
      <c r="Q3515" s="3" t="n">
        <v>39605.0</v>
      </c>
      <c r="R3515" s="3" t="n">
        <v>39919.0</v>
      </c>
      <c r="S3515" s="3" t="n">
        <v>43266.45737447916</v>
      </c>
      <c r="T3515" s="3" t="n">
        <v>43903.68918175926</v>
      </c>
      <c r="U3515" t="s">
        <v>15882</v>
      </c>
      <c r="V3515" t="s">
        <v>22498</v>
      </c>
    </row>
    <row r="3516">
      <c r="A3516" t="s">
        <v>22</v>
      </c>
      <c r="B3516" t="s">
        <v>22499</v>
      </c>
      <c r="C3516" t="s">
        <v>60</v>
      </c>
      <c r="D3516" t="s">
        <v>77</v>
      </c>
      <c r="E3516" t="s">
        <v>22408</v>
      </c>
      <c r="F3516" s="2" t="n">
        <f>HYPERLINK("https://patents.google.com/patent/US20090087438","Google")</f>
        <v>0.0</v>
      </c>
      <c r="G3516" s="2" t="n">
        <f>HYPERLINK("https://patentcenter.uspto.gov/applications/12184330","Patent Center")</f>
        <v>0.0</v>
      </c>
      <c r="H3516" s="2" t="n">
        <f>HYPERLINK("https://worldwide.espacenet.com/patent/search?q=US20090087438","Espacenet")</f>
        <v>0.0</v>
      </c>
      <c r="I3516" s="2" t="n">
        <f>HYPERLINK("https://ppubs.uspto.gov/pubwebapp/external.html?q=20090087438.pn.","USPTO")</f>
        <v>0.0</v>
      </c>
      <c r="J3516" s="2" t="n">
        <f>HYPERLINK("https://image-ppubs.uspto.gov/dirsearch-public/print/downloadPdf/20090087438","USPTO PDF")</f>
        <v>0.0</v>
      </c>
      <c r="K3516" s="2" t="n">
        <f>HYPERLINK("https://sectors.patentforecast.com/pmd/US20090087438","PMD")</f>
        <v>0.0</v>
      </c>
      <c r="L3516" s="2" t="n">
        <f>HYPERLINK("https://globaldossier.uspto.gov/result/application/US/12184330/1","US20090087438")</f>
        <v>0.0</v>
      </c>
      <c r="M3516" t="s">
        <v>22500</v>
      </c>
      <c r="N3516" t="s">
        <v>22410</v>
      </c>
      <c r="O3516" t="s">
        <v>22410</v>
      </c>
      <c r="P3516" t="s">
        <v>22501</v>
      </c>
      <c r="Q3516" s="3" t="n">
        <v>39661.0</v>
      </c>
      <c r="R3516" s="3" t="n">
        <v>39905.0</v>
      </c>
      <c r="S3516" s="3" t="n">
        <v>43966.486436597224</v>
      </c>
      <c r="T3516" s="3" t="n">
        <v>43985.69532324074</v>
      </c>
      <c r="U3516" t="s">
        <v>22502</v>
      </c>
      <c r="V3516" t="s">
        <v>22503</v>
      </c>
    </row>
    <row r="3517">
      <c r="A3517" t="s">
        <v>22</v>
      </c>
      <c r="B3517" t="s">
        <v>22504</v>
      </c>
      <c r="C3517" t="s">
        <v>312</v>
      </c>
      <c r="D3517" t="s">
        <v>3202</v>
      </c>
      <c r="E3517" t="s">
        <v>22505</v>
      </c>
      <c r="F3517" s="2" t="n">
        <f>HYPERLINK("https://patents.google.com/patent/US20090076851","Google")</f>
        <v>0.0</v>
      </c>
      <c r="G3517" s="2" t="n">
        <f>HYPERLINK("https://patentcenter.uspto.gov/applications/12190675","Patent Center")</f>
        <v>0.0</v>
      </c>
      <c r="H3517" s="2" t="n">
        <f>HYPERLINK("https://worldwide.espacenet.com/patent/search?q=US20090076851","Espacenet")</f>
        <v>0.0</v>
      </c>
      <c r="I3517" s="2" t="n">
        <f>HYPERLINK("https://ppubs.uspto.gov/pubwebapp/external.html?q=20090076851.pn.","USPTO")</f>
        <v>0.0</v>
      </c>
      <c r="J3517" s="2" t="n">
        <f>HYPERLINK("https://image-ppubs.uspto.gov/dirsearch-public/print/downloadPdf/20090076851","USPTO PDF")</f>
        <v>0.0</v>
      </c>
      <c r="K3517" s="2" t="n">
        <f>HYPERLINK("https://sectors.patentforecast.com/pmd/US20090076851","PMD")</f>
        <v>0.0</v>
      </c>
      <c r="L3517" s="2" t="n">
        <f>HYPERLINK("https://globaldossier.uspto.gov/result/application/US/12190675/1","US20090076851")</f>
        <v>0.0</v>
      </c>
      <c r="M3517" t="s">
        <v>22506</v>
      </c>
      <c r="N3517" t="s">
        <v>6786</v>
      </c>
      <c r="O3517" t="s">
        <v>6787</v>
      </c>
      <c r="P3517" t="s">
        <v>22507</v>
      </c>
      <c r="Q3517" s="3" t="n">
        <v>39673.0</v>
      </c>
      <c r="R3517" s="3" t="n">
        <v>39891.0</v>
      </c>
      <c r="S3517" s="3" t="n">
        <v>43266.45737447916</v>
      </c>
      <c r="T3517" s="3" t="n">
        <v>43266.620227569445</v>
      </c>
      <c r="U3517" t="s">
        <v>22508</v>
      </c>
      <c r="V3517" t="s">
        <v>22509</v>
      </c>
    </row>
    <row r="3518">
      <c r="A3518" t="s">
        <v>22</v>
      </c>
      <c r="B3518" t="s">
        <v>22510</v>
      </c>
      <c r="C3518" t="s">
        <v>24</v>
      </c>
      <c r="D3518" t="s">
        <v>1356</v>
      </c>
      <c r="E3518" t="s">
        <v>22511</v>
      </c>
      <c r="F3518" s="2" t="n">
        <f>HYPERLINK("https://patents.google.com/patent/US20090070134","Google")</f>
        <v>0.0</v>
      </c>
      <c r="G3518" s="2" t="n">
        <f>HYPERLINK("https://patentcenter.uspto.gov/applications/11851151","Patent Center")</f>
        <v>0.0</v>
      </c>
      <c r="H3518" s="2" t="n">
        <f>HYPERLINK("https://worldwide.espacenet.com/patent/search?q=US20090070134","Espacenet")</f>
        <v>0.0</v>
      </c>
      <c r="I3518" s="2" t="n">
        <f>HYPERLINK("https://ppubs.uspto.gov/pubwebapp/external.html?q=20090070134.pn.","USPTO")</f>
        <v>0.0</v>
      </c>
      <c r="J3518" s="2" t="n">
        <f>HYPERLINK("https://image-ppubs.uspto.gov/dirsearch-public/print/downloadPdf/20090070134","USPTO PDF")</f>
        <v>0.0</v>
      </c>
      <c r="K3518" s="2" t="n">
        <f>HYPERLINK("https://sectors.patentforecast.com/pmd/US20090070134","PMD")</f>
        <v>0.0</v>
      </c>
      <c r="L3518" s="2" t="n">
        <f>HYPERLINK("https://globaldossier.uspto.gov/result/application/US/11851151/1","US20090070134")</f>
        <v>0.0</v>
      </c>
      <c r="M3518" t="s">
        <v>22512</v>
      </c>
      <c r="N3518" t="s">
        <v>22513</v>
      </c>
      <c r="O3518" t="s">
        <v>22514</v>
      </c>
      <c r="P3518" t="s">
        <v>22515</v>
      </c>
      <c r="Q3518" s="3" t="n">
        <v>39331.0</v>
      </c>
      <c r="R3518" s="3" t="n">
        <v>39884.0</v>
      </c>
      <c r="S3518" s="3" t="n">
        <v>44089.23016320602</v>
      </c>
      <c r="T3518" s="3" t="n">
        <v>44089.44205179398</v>
      </c>
      <c r="U3518" t="s">
        <v>22516</v>
      </c>
      <c r="V3518" t="s">
        <v>22517</v>
      </c>
    </row>
    <row r="3519">
      <c r="A3519" t="s">
        <v>22</v>
      </c>
      <c r="B3519" t="s">
        <v>22518</v>
      </c>
      <c r="C3519" t="s">
        <v>60</v>
      </c>
      <c r="D3519" t="s">
        <v>61</v>
      </c>
      <c r="E3519" t="s">
        <v>22519</v>
      </c>
      <c r="F3519" s="2" t="n">
        <f>HYPERLINK("https://patents.google.com/patent/US20090068719","Google")</f>
        <v>0.0</v>
      </c>
      <c r="G3519" s="2" t="n">
        <f>HYPERLINK("https://patentcenter.uspto.gov/applications/11972874","Patent Center")</f>
        <v>0.0</v>
      </c>
      <c r="H3519" s="2" t="n">
        <f>HYPERLINK("https://worldwide.espacenet.com/patent/search?q=US20090068719","Espacenet")</f>
        <v>0.0</v>
      </c>
      <c r="I3519" s="2" t="n">
        <f>HYPERLINK("https://ppubs.uspto.gov/pubwebapp/external.html?q=20090068719.pn.","USPTO")</f>
        <v>0.0</v>
      </c>
      <c r="J3519" s="2" t="n">
        <f>HYPERLINK("https://image-ppubs.uspto.gov/dirsearch-public/print/downloadPdf/20090068719","USPTO PDF")</f>
        <v>0.0</v>
      </c>
      <c r="K3519" s="2" t="n">
        <f>HYPERLINK("https://sectors.patentforecast.com/pmd/US20090068719","PMD")</f>
        <v>0.0</v>
      </c>
      <c r="L3519" s="2" t="n">
        <f>HYPERLINK("https://globaldossier.uspto.gov/result/application/US/11972874/1","US20090068719")</f>
        <v>0.0</v>
      </c>
      <c r="M3519" t="s">
        <v>22520</v>
      </c>
      <c r="N3519" t="s">
        <v>22521</v>
      </c>
      <c r="O3519" t="s">
        <v>22521</v>
      </c>
      <c r="P3519" t="s">
        <v>22522</v>
      </c>
      <c r="Q3519" s="3" t="n">
        <v>39458.0</v>
      </c>
      <c r="R3519" s="3" t="n">
        <v>39884.0</v>
      </c>
      <c r="S3519" s="3" t="n">
        <v>43966.486436597224</v>
      </c>
      <c r="T3519" s="3" t="n">
        <v>44678.45841467592</v>
      </c>
      <c r="U3519" t="s">
        <v>22523</v>
      </c>
      <c r="V3519" t="s">
        <v>22524</v>
      </c>
    </row>
    <row r="3520">
      <c r="A3520" t="s">
        <v>22</v>
      </c>
      <c r="B3520" t="s">
        <v>22525</v>
      </c>
      <c r="C3520" t="s">
        <v>60</v>
      </c>
      <c r="D3520" t="s">
        <v>61</v>
      </c>
      <c r="E3520" t="s">
        <v>22526</v>
      </c>
      <c r="F3520" s="2" t="n">
        <f>HYPERLINK("https://patents.google.com/patent/US20090048189","Google")</f>
        <v>0.0</v>
      </c>
      <c r="G3520" s="2" t="n">
        <f>HYPERLINK("https://patentcenter.uspto.gov/applications/11839380","Patent Center")</f>
        <v>0.0</v>
      </c>
      <c r="H3520" s="2" t="n">
        <f>HYPERLINK("https://worldwide.espacenet.com/patent/search?q=US20090048189","Espacenet")</f>
        <v>0.0</v>
      </c>
      <c r="I3520" s="2" t="n">
        <f>HYPERLINK("https://ppubs.uspto.gov/pubwebapp/external.html?q=20090048189.pn.","USPTO")</f>
        <v>0.0</v>
      </c>
      <c r="J3520" s="2" t="n">
        <f>HYPERLINK("https://image-ppubs.uspto.gov/dirsearch-public/print/downloadPdf/20090048189","USPTO PDF")</f>
        <v>0.0</v>
      </c>
      <c r="K3520" s="2" t="n">
        <f>HYPERLINK("https://sectors.patentforecast.com/pmd/US20090048189","PMD")</f>
        <v>0.0</v>
      </c>
      <c r="L3520" s="2" t="n">
        <f>HYPERLINK("https://globaldossier.uspto.gov/result/application/US/11839380/1","US20090048189")</f>
        <v>0.0</v>
      </c>
      <c r="M3520" t="s">
        <v>22527</v>
      </c>
      <c r="N3520" t="s">
        <v>22528</v>
      </c>
      <c r="O3520" t="s">
        <v>22529</v>
      </c>
      <c r="P3520" t="s">
        <v>22530</v>
      </c>
      <c r="Q3520" s="3" t="n">
        <v>39309.0</v>
      </c>
      <c r="R3520" s="3" t="n">
        <v>39863.0</v>
      </c>
      <c r="S3520" s="3" t="n">
        <v>43952.46140840278</v>
      </c>
      <c r="T3520" s="3" t="n">
        <v>44638.65579662037</v>
      </c>
      <c r="U3520" t="s">
        <v>22531</v>
      </c>
      <c r="V3520" t="s">
        <v>22532</v>
      </c>
    </row>
    <row r="3521">
      <c r="A3521" t="s">
        <v>22</v>
      </c>
      <c r="B3521" t="s">
        <v>22533</v>
      </c>
      <c r="C3521" t="s">
        <v>60</v>
      </c>
      <c r="D3521" t="s">
        <v>61</v>
      </c>
      <c r="E3521" t="s">
        <v>22432</v>
      </c>
      <c r="F3521" s="2" t="n">
        <f>HYPERLINK("https://patents.google.com/patent/US20090047252","Google")</f>
        <v>0.0</v>
      </c>
      <c r="G3521" s="2" t="n">
        <f>HYPERLINK("https://patentcenter.uspto.gov/applications/12215266","Patent Center")</f>
        <v>0.0</v>
      </c>
      <c r="H3521" s="2" t="n">
        <f>HYPERLINK("https://worldwide.espacenet.com/patent/search?q=US20090047252","Espacenet")</f>
        <v>0.0</v>
      </c>
      <c r="I3521" s="2" t="n">
        <f>HYPERLINK("https://ppubs.uspto.gov/pubwebapp/external.html?q=20090047252.pn.","USPTO")</f>
        <v>0.0</v>
      </c>
      <c r="J3521" s="2" t="n">
        <f>HYPERLINK("https://image-ppubs.uspto.gov/dirsearch-public/print/downloadPdf/20090047252","USPTO PDF")</f>
        <v>0.0</v>
      </c>
      <c r="K3521" s="2" t="n">
        <f>HYPERLINK("https://sectors.patentforecast.com/pmd/US20090047252","PMD")</f>
        <v>0.0</v>
      </c>
      <c r="L3521" s="2" t="n">
        <f>HYPERLINK("https://globaldossier.uspto.gov/result/application/US/12215266/1","US20090047252")</f>
        <v>0.0</v>
      </c>
      <c r="M3521" t="s">
        <v>22534</v>
      </c>
      <c r="N3521" t="s">
        <v>664</v>
      </c>
      <c r="O3521" t="s">
        <v>665</v>
      </c>
      <c r="P3521" t="s">
        <v>22535</v>
      </c>
      <c r="Q3521" s="3" t="n">
        <v>39625.0</v>
      </c>
      <c r="R3521" s="3" t="n">
        <v>39863.0</v>
      </c>
      <c r="S3521" s="3" t="n">
        <v>43952.46140840278</v>
      </c>
      <c r="T3521" s="3" t="n">
        <v>44638.65271974537</v>
      </c>
      <c r="U3521" t="s">
        <v>22536</v>
      </c>
      <c r="V3521" t="s">
        <v>16907</v>
      </c>
    </row>
    <row r="3522">
      <c r="A3522" t="s">
        <v>22</v>
      </c>
      <c r="B3522" t="s">
        <v>22537</v>
      </c>
      <c r="C3522" t="s">
        <v>60</v>
      </c>
      <c r="D3522" t="s">
        <v>61</v>
      </c>
      <c r="E3522" t="s">
        <v>20352</v>
      </c>
      <c r="F3522" s="2" t="n">
        <f>HYPERLINK("https://patents.google.com/patent/US20090036408","Google")</f>
        <v>0.0</v>
      </c>
      <c r="G3522" s="2" t="n">
        <f>HYPERLINK("https://patentcenter.uspto.gov/applications/12204174","Patent Center")</f>
        <v>0.0</v>
      </c>
      <c r="H3522" s="2" t="n">
        <f>HYPERLINK("https://worldwide.espacenet.com/patent/search?q=US20090036408","Espacenet")</f>
        <v>0.0</v>
      </c>
      <c r="I3522" s="2" t="n">
        <f>HYPERLINK("https://ppubs.uspto.gov/pubwebapp/external.html?q=20090036408.pn.","USPTO")</f>
        <v>0.0</v>
      </c>
      <c r="J3522" s="2" t="n">
        <f>HYPERLINK("https://image-ppubs.uspto.gov/dirsearch-public/print/downloadPdf/20090036408","USPTO PDF")</f>
        <v>0.0</v>
      </c>
      <c r="K3522" s="2" t="n">
        <f>HYPERLINK("https://sectors.patentforecast.com/pmd/US20090036408","PMD")</f>
        <v>0.0</v>
      </c>
      <c r="L3522" s="2" t="n">
        <f>HYPERLINK("https://globaldossier.uspto.gov/result/application/US/12204174/1","US20090036408")</f>
        <v>0.0</v>
      </c>
      <c r="M3522" t="s">
        <v>22538</v>
      </c>
      <c r="N3522" t="s">
        <v>664</v>
      </c>
      <c r="O3522" t="s">
        <v>665</v>
      </c>
      <c r="P3522" t="s">
        <v>22473</v>
      </c>
      <c r="Q3522" s="3" t="n">
        <v>39695.0</v>
      </c>
      <c r="R3522" s="3" t="n">
        <v>39849.0</v>
      </c>
      <c r="S3522" s="3" t="n">
        <v>43952.46140840278</v>
      </c>
      <c r="T3522" s="3" t="n">
        <v>44638.65271974537</v>
      </c>
      <c r="U3522" t="s">
        <v>22539</v>
      </c>
      <c r="V3522" t="s">
        <v>22540</v>
      </c>
    </row>
    <row r="3523">
      <c r="A3523" t="s">
        <v>22</v>
      </c>
      <c r="B3523" t="s">
        <v>22541</v>
      </c>
      <c r="C3523" t="s">
        <v>60</v>
      </c>
      <c r="D3523" t="s">
        <v>696</v>
      </c>
      <c r="E3523" t="s">
        <v>22011</v>
      </c>
      <c r="F3523" s="2" t="n">
        <f>HYPERLINK("https://patents.google.com/patent/US20090028784","Google")</f>
        <v>0.0</v>
      </c>
      <c r="G3523" s="2" t="n">
        <f>HYPERLINK("https://patentcenter.uspto.gov/applications/12153612","Patent Center")</f>
        <v>0.0</v>
      </c>
      <c r="H3523" s="2" t="n">
        <f>HYPERLINK("https://worldwide.espacenet.com/patent/search?q=US20090028784","Espacenet")</f>
        <v>0.0</v>
      </c>
      <c r="I3523" s="2" t="n">
        <f>HYPERLINK("https://ppubs.uspto.gov/pubwebapp/external.html?q=20090028784.pn.","USPTO")</f>
        <v>0.0</v>
      </c>
      <c r="J3523" s="2" t="n">
        <f>HYPERLINK("https://image-ppubs.uspto.gov/dirsearch-public/print/downloadPdf/20090028784","USPTO PDF")</f>
        <v>0.0</v>
      </c>
      <c r="K3523" s="2" t="n">
        <f>HYPERLINK("https://sectors.patentforecast.com/pmd/US20090028784","PMD")</f>
        <v>0.0</v>
      </c>
      <c r="L3523" s="2" t="n">
        <f>HYPERLINK("https://globaldossier.uspto.gov/result/application/US/12153612/1","US20090028784")</f>
        <v>0.0</v>
      </c>
      <c r="M3523" t="s">
        <v>22542</v>
      </c>
      <c r="N3523" t="s">
        <v>16927</v>
      </c>
      <c r="O3523" t="s">
        <v>16928</v>
      </c>
      <c r="P3523" t="s">
        <v>22543</v>
      </c>
      <c r="Q3523" s="3" t="n">
        <v>39589.0</v>
      </c>
      <c r="R3523" s="3" t="n">
        <v>39842.0</v>
      </c>
      <c r="S3523" s="3" t="n">
        <v>43966.488168888885</v>
      </c>
      <c r="T3523" s="3" t="n">
        <v>44643.44490069444</v>
      </c>
      <c r="U3523" t="s">
        <v>22544</v>
      </c>
      <c r="V3523" t="s">
        <v>22015</v>
      </c>
    </row>
    <row r="3524">
      <c r="A3524" t="s">
        <v>22</v>
      </c>
      <c r="B3524" t="s">
        <v>22545</v>
      </c>
      <c r="C3524" t="s">
        <v>24</v>
      </c>
      <c r="D3524" t="s">
        <v>25</v>
      </c>
      <c r="E3524" t="s">
        <v>22546</v>
      </c>
      <c r="F3524" s="2" t="n">
        <f>HYPERLINK("https://patents.google.com/patent/US20090024332","Google")</f>
        <v>0.0</v>
      </c>
      <c r="G3524" s="2" t="n">
        <f>HYPERLINK("https://patentcenter.uspto.gov/applications/12140880","Patent Center")</f>
        <v>0.0</v>
      </c>
      <c r="H3524" s="2" t="n">
        <f>HYPERLINK("https://worldwide.espacenet.com/patent/search?q=US20090024332","Espacenet")</f>
        <v>0.0</v>
      </c>
      <c r="I3524" s="2" t="n">
        <f>HYPERLINK("https://ppubs.uspto.gov/pubwebapp/external.html?q=20090024332.pn.","USPTO")</f>
        <v>0.0</v>
      </c>
      <c r="J3524" s="2" t="n">
        <f>HYPERLINK("https://image-ppubs.uspto.gov/dirsearch-public/print/downloadPdf/20090024332","USPTO PDF")</f>
        <v>0.0</v>
      </c>
      <c r="K3524" s="2" t="n">
        <f>HYPERLINK("https://sectors.patentforecast.com/pmd/US20090024332","PMD")</f>
        <v>0.0</v>
      </c>
      <c r="L3524" s="2" t="n">
        <f>HYPERLINK("https://globaldossier.uspto.gov/result/application/US/12140880/1","US20090024332")</f>
        <v>0.0</v>
      </c>
      <c r="M3524" t="s">
        <v>22547</v>
      </c>
      <c r="N3524" t="s">
        <v>22548</v>
      </c>
      <c r="O3524" t="s">
        <v>22549</v>
      </c>
      <c r="P3524" t="s">
        <v>22550</v>
      </c>
      <c r="Q3524" s="3" t="n">
        <v>39616.0</v>
      </c>
      <c r="R3524" s="3" t="n">
        <v>39835.0</v>
      </c>
      <c r="S3524" s="3" t="n">
        <v>43266.457374467594</v>
      </c>
      <c r="T3524" s="3" t="n">
        <v>43950.61213271991</v>
      </c>
      <c r="U3524" t="s">
        <v>22551</v>
      </c>
      <c r="V3524" t="s">
        <v>22552</v>
      </c>
    </row>
    <row r="3525">
      <c r="A3525" t="s">
        <v>22</v>
      </c>
      <c r="B3525" t="s">
        <v>22553</v>
      </c>
      <c r="C3525" t="s">
        <v>60</v>
      </c>
      <c r="D3525" t="s">
        <v>61</v>
      </c>
      <c r="E3525" t="s">
        <v>22554</v>
      </c>
      <c r="F3525" s="2" t="n">
        <f>HYPERLINK("https://patents.google.com/patent/US20090012037","Google")</f>
        <v>0.0</v>
      </c>
      <c r="G3525" s="2" t="n">
        <f>HYPERLINK("https://patentcenter.uspto.gov/applications/11658628","Patent Center")</f>
        <v>0.0</v>
      </c>
      <c r="H3525" s="2" t="n">
        <f>HYPERLINK("https://worldwide.espacenet.com/patent/search?q=US20090012037","Espacenet")</f>
        <v>0.0</v>
      </c>
      <c r="I3525" s="2" t="n">
        <f>HYPERLINK("https://ppubs.uspto.gov/pubwebapp/external.html?q=20090012037.pn.","USPTO")</f>
        <v>0.0</v>
      </c>
      <c r="J3525" s="2" t="n">
        <f>HYPERLINK("https://image-ppubs.uspto.gov/dirsearch-public/print/downloadPdf/20090012037","USPTO PDF")</f>
        <v>0.0</v>
      </c>
      <c r="K3525" s="2" t="n">
        <f>HYPERLINK("https://sectors.patentforecast.com/pmd/US20090012037","PMD")</f>
        <v>0.0</v>
      </c>
      <c r="L3525" s="2" t="n">
        <f>HYPERLINK("https://globaldossier.uspto.gov/result/application/US/11658628/1","US20090012037")</f>
        <v>0.0</v>
      </c>
      <c r="M3525" t="s">
        <v>22555</v>
      </c>
      <c r="N3525" t="s">
        <v>664</v>
      </c>
      <c r="O3525" t="s">
        <v>665</v>
      </c>
      <c r="P3525" t="s">
        <v>22556</v>
      </c>
      <c r="Q3525" s="3" t="n">
        <v>38560.0</v>
      </c>
      <c r="R3525" s="3" t="n">
        <v>39821.0</v>
      </c>
      <c r="S3525" s="3" t="n">
        <v>43952.46140840278</v>
      </c>
      <c r="T3525" s="3" t="n">
        <v>44638.65271974537</v>
      </c>
      <c r="U3525" t="s">
        <v>22557</v>
      </c>
      <c r="V3525" t="s">
        <v>17358</v>
      </c>
    </row>
    <row r="3526">
      <c r="A3526" t="s">
        <v>22</v>
      </c>
      <c r="B3526" t="s">
        <v>22558</v>
      </c>
      <c r="C3526" t="s">
        <v>24</v>
      </c>
      <c r="D3526" t="s">
        <v>69</v>
      </c>
      <c r="E3526" t="s">
        <v>22559</v>
      </c>
      <c r="F3526" s="2" t="n">
        <f>HYPERLINK("https://patents.google.com/patent/US20090004047","Google")</f>
        <v>0.0</v>
      </c>
      <c r="G3526" s="2" t="n">
        <f>HYPERLINK("https://patentcenter.uspto.gov/applications/12093040","Patent Center")</f>
        <v>0.0</v>
      </c>
      <c r="H3526" s="2" t="n">
        <f>HYPERLINK("https://worldwide.espacenet.com/patent/search?q=US20090004047","Espacenet")</f>
        <v>0.0</v>
      </c>
      <c r="I3526" s="2" t="n">
        <f>HYPERLINK("https://ppubs.uspto.gov/pubwebapp/external.html?q=20090004047.pn.","USPTO")</f>
        <v>0.0</v>
      </c>
      <c r="J3526" s="2" t="n">
        <f>HYPERLINK("https://image-ppubs.uspto.gov/dirsearch-public/print/downloadPdf/20090004047","USPTO PDF")</f>
        <v>0.0</v>
      </c>
      <c r="K3526" s="2" t="n">
        <f>HYPERLINK("https://sectors.patentforecast.com/pmd/US20090004047","PMD")</f>
        <v>0.0</v>
      </c>
      <c r="L3526" s="2" t="n">
        <f>HYPERLINK("https://globaldossier.uspto.gov/result/application/US/12093040/1","US20090004047")</f>
        <v>0.0</v>
      </c>
      <c r="M3526" t="s">
        <v>22560</v>
      </c>
      <c r="N3526" t="s">
        <v>22561</v>
      </c>
      <c r="O3526" t="s">
        <v>22562</v>
      </c>
      <c r="P3526" t="s">
        <v>22563</v>
      </c>
      <c r="Q3526" s="3" t="n">
        <v>39028.0</v>
      </c>
      <c r="R3526" s="3" t="n">
        <v>39814.0</v>
      </c>
      <c r="S3526" s="3" t="n">
        <v>43966.488168888885</v>
      </c>
      <c r="T3526" s="3" t="n">
        <v>44678.631319155094</v>
      </c>
      <c r="U3526" t="s">
        <v>22564</v>
      </c>
      <c r="V3526" t="s">
        <v>22565</v>
      </c>
    </row>
    <row r="3527">
      <c r="A3527" t="s">
        <v>22</v>
      </c>
      <c r="B3527" t="s">
        <v>22566</v>
      </c>
      <c r="C3527" t="s">
        <v>24</v>
      </c>
      <c r="D3527" t="s">
        <v>34</v>
      </c>
      <c r="E3527" t="s">
        <v>22567</v>
      </c>
      <c r="F3527" s="2" t="n">
        <f>HYPERLINK("https://patents.google.com/patent/US20080319800","Google")</f>
        <v>0.0</v>
      </c>
      <c r="G3527" s="2" t="n">
        <f>HYPERLINK("https://patentcenter.uspto.gov/applications/12217719","Patent Center")</f>
        <v>0.0</v>
      </c>
      <c r="H3527" s="2" t="n">
        <f>HYPERLINK("https://worldwide.espacenet.com/patent/search?q=US20080319800","Espacenet")</f>
        <v>0.0</v>
      </c>
      <c r="I3527" s="2" t="n">
        <f>HYPERLINK("https://ppubs.uspto.gov/pubwebapp/external.html?q=20080319800.pn.","USPTO")</f>
        <v>0.0</v>
      </c>
      <c r="J3527" s="2" t="n">
        <f>HYPERLINK("https://image-ppubs.uspto.gov/dirsearch-public/print/downloadPdf/20080319800","USPTO PDF")</f>
        <v>0.0</v>
      </c>
      <c r="K3527" s="2" t="n">
        <f>HYPERLINK("https://sectors.patentforecast.com/pmd/US20080319800","PMD")</f>
        <v>0.0</v>
      </c>
      <c r="L3527" s="2" t="n">
        <f>HYPERLINK("https://globaldossier.uspto.gov/result/application/US/12217719/1","US20080319800")</f>
        <v>0.0</v>
      </c>
      <c r="M3527" t="s">
        <v>22568</v>
      </c>
      <c r="N3527" t="s">
        <v>22569</v>
      </c>
      <c r="O3527" t="s">
        <v>22570</v>
      </c>
      <c r="P3527" t="s">
        <v>22571</v>
      </c>
      <c r="Q3527" s="3" t="n">
        <v>39637.0</v>
      </c>
      <c r="R3527" s="3" t="n">
        <v>39807.0</v>
      </c>
      <c r="S3527" s="3" t="n">
        <v>43900.43738930555</v>
      </c>
      <c r="T3527" s="3" t="n">
        <v>44643.38560940972</v>
      </c>
      <c r="U3527" t="s">
        <v>22572</v>
      </c>
      <c r="V3527" t="s">
        <v>22573</v>
      </c>
    </row>
    <row r="3528">
      <c r="A3528" t="s">
        <v>22</v>
      </c>
      <c r="B3528" t="s">
        <v>22574</v>
      </c>
      <c r="C3528" t="s">
        <v>60</v>
      </c>
      <c r="D3528" t="s">
        <v>61</v>
      </c>
      <c r="E3528" t="s">
        <v>22575</v>
      </c>
      <c r="F3528" s="2" t="n">
        <f>HYPERLINK("https://patents.google.com/patent/US20080317799","Google")</f>
        <v>0.0</v>
      </c>
      <c r="G3528" s="2" t="n">
        <f>HYPERLINK("https://patentcenter.uspto.gov/applications/12114573","Patent Center")</f>
        <v>0.0</v>
      </c>
      <c r="H3528" s="2" t="n">
        <f>HYPERLINK("https://worldwide.espacenet.com/patent/search?q=US20080317799","Espacenet")</f>
        <v>0.0</v>
      </c>
      <c r="I3528" s="2" t="n">
        <f>HYPERLINK("https://ppubs.uspto.gov/pubwebapp/external.html?q=20080317799.pn.","USPTO")</f>
        <v>0.0</v>
      </c>
      <c r="J3528" s="2" t="n">
        <f>HYPERLINK("https://image-ppubs.uspto.gov/dirsearch-public/print/downloadPdf/20080317799","USPTO PDF")</f>
        <v>0.0</v>
      </c>
      <c r="K3528" s="2" t="n">
        <f>HYPERLINK("https://sectors.patentforecast.com/pmd/US20080317799","PMD")</f>
        <v>0.0</v>
      </c>
      <c r="L3528" s="2" t="n">
        <f>HYPERLINK("https://globaldossier.uspto.gov/result/application/US/12114573/1","US20080317799")</f>
        <v>0.0</v>
      </c>
      <c r="M3528" t="s">
        <v>22576</v>
      </c>
      <c r="N3528" t="s">
        <v>8210</v>
      </c>
      <c r="O3528" t="s">
        <v>8211</v>
      </c>
      <c r="P3528" t="s">
        <v>22577</v>
      </c>
      <c r="Q3528" s="3" t="n">
        <v>39570.0</v>
      </c>
      <c r="R3528" s="3" t="n">
        <v>39807.0</v>
      </c>
      <c r="S3528" s="3" t="n">
        <v>43929.461069641206</v>
      </c>
      <c r="T3528" s="3" t="n">
        <v>43986.618570694445</v>
      </c>
      <c r="U3528" t="s">
        <v>22578</v>
      </c>
      <c r="V3528" t="s">
        <v>22579</v>
      </c>
    </row>
    <row r="3529">
      <c r="A3529" t="s">
        <v>22</v>
      </c>
      <c r="B3529" t="s">
        <v>22580</v>
      </c>
      <c r="C3529" t="s">
        <v>132</v>
      </c>
      <c r="D3529" t="s">
        <v>1265</v>
      </c>
      <c r="E3529" t="s">
        <v>22581</v>
      </c>
      <c r="F3529" s="2" t="n">
        <f>HYPERLINK("https://patents.google.com/patent/US20080311153","Google")</f>
        <v>0.0</v>
      </c>
      <c r="G3529" s="2" t="n">
        <f>HYPERLINK("https://patentcenter.uspto.gov/applications/11764532","Patent Center")</f>
        <v>0.0</v>
      </c>
      <c r="H3529" s="2" t="n">
        <f>HYPERLINK("https://worldwide.espacenet.com/patent/search?q=US20080311153","Espacenet")</f>
        <v>0.0</v>
      </c>
      <c r="I3529" s="2" t="n">
        <f>HYPERLINK("https://ppubs.uspto.gov/pubwebapp/external.html?q=20080311153.pn.","USPTO")</f>
        <v>0.0</v>
      </c>
      <c r="J3529" s="2" t="n">
        <f>HYPERLINK("https://image-ppubs.uspto.gov/dirsearch-public/print/downloadPdf/20080311153","USPTO PDF")</f>
        <v>0.0</v>
      </c>
      <c r="K3529" s="2" t="n">
        <f>HYPERLINK("https://sectors.patentforecast.com/pmd/US20080311153","PMD")</f>
        <v>0.0</v>
      </c>
      <c r="L3529" s="2" t="n">
        <f>HYPERLINK("https://globaldossier.uspto.gov/result/application/US/11764532/1","US20080311153")</f>
        <v>0.0</v>
      </c>
      <c r="M3529" t="s">
        <v>22582</v>
      </c>
      <c r="N3529" t="s">
        <v>22583</v>
      </c>
      <c r="O3529" t="s">
        <v>22584</v>
      </c>
      <c r="P3529" t="s">
        <v>22585</v>
      </c>
      <c r="Q3529" s="3" t="n">
        <v>39251.0</v>
      </c>
      <c r="R3529" s="3" t="n">
        <v>39800.0</v>
      </c>
      <c r="S3529" s="3" t="n">
        <v>43900.43738930555</v>
      </c>
      <c r="T3529" s="3" t="n">
        <v>43903.48463238426</v>
      </c>
      <c r="U3529" t="s">
        <v>22586</v>
      </c>
      <c r="V3529" t="s">
        <v>22587</v>
      </c>
    </row>
    <row r="3530">
      <c r="A3530" t="s">
        <v>22</v>
      </c>
      <c r="B3530" t="s">
        <v>22588</v>
      </c>
      <c r="C3530" t="s">
        <v>60</v>
      </c>
      <c r="D3530" t="s">
        <v>696</v>
      </c>
      <c r="E3530" t="s">
        <v>22589</v>
      </c>
      <c r="F3530" s="2" t="n">
        <f>HYPERLINK("https://patents.google.com/patent/US20080311135","Google")</f>
        <v>0.0</v>
      </c>
      <c r="G3530" s="2" t="n">
        <f>HYPERLINK("https://patentcenter.uspto.gov/applications/12125203","Patent Center")</f>
        <v>0.0</v>
      </c>
      <c r="H3530" s="2" t="n">
        <f>HYPERLINK("https://worldwide.espacenet.com/patent/search?q=US20080311135","Espacenet")</f>
        <v>0.0</v>
      </c>
      <c r="I3530" s="2" t="n">
        <f>HYPERLINK("https://ppubs.uspto.gov/pubwebapp/external.html?q=20080311135.pn.","USPTO")</f>
        <v>0.0</v>
      </c>
      <c r="J3530" s="2" t="n">
        <f>HYPERLINK("https://image-ppubs.uspto.gov/dirsearch-public/print/downloadPdf/20080311135","USPTO PDF")</f>
        <v>0.0</v>
      </c>
      <c r="K3530" s="2" t="n">
        <f>HYPERLINK("https://sectors.patentforecast.com/pmd/US20080311135","PMD")</f>
        <v>0.0</v>
      </c>
      <c r="L3530" s="2" t="n">
        <f>HYPERLINK("https://globaldossier.uspto.gov/result/application/US/12125203/1","US20080311135")</f>
        <v>0.0</v>
      </c>
      <c r="M3530" t="s">
        <v>22590</v>
      </c>
      <c r="N3530" t="s">
        <v>18220</v>
      </c>
      <c r="O3530" t="s">
        <v>18221</v>
      </c>
      <c r="P3530" t="s">
        <v>22591</v>
      </c>
      <c r="Q3530" s="3" t="n">
        <v>39590.0</v>
      </c>
      <c r="R3530" s="3" t="n">
        <v>39800.0</v>
      </c>
      <c r="S3530" s="3" t="n">
        <v>43929.461069641206</v>
      </c>
      <c r="T3530" s="3" t="n">
        <v>43986.462582002314</v>
      </c>
      <c r="U3530" t="s">
        <v>22592</v>
      </c>
      <c r="V3530" t="s">
        <v>22593</v>
      </c>
    </row>
    <row r="3531">
      <c r="A3531" t="s">
        <v>22</v>
      </c>
      <c r="B3531" t="s">
        <v>22594</v>
      </c>
      <c r="C3531" t="s">
        <v>24</v>
      </c>
      <c r="D3531" t="s">
        <v>25</v>
      </c>
      <c r="E3531" t="s">
        <v>22595</v>
      </c>
      <c r="F3531" s="2" t="n">
        <f>HYPERLINK("https://patents.google.com/patent/US20080306896","Google")</f>
        <v>0.0</v>
      </c>
      <c r="G3531" s="2" t="n">
        <f>HYPERLINK("https://patentcenter.uspto.gov/applications/11806996","Patent Center")</f>
        <v>0.0</v>
      </c>
      <c r="H3531" s="2" t="n">
        <f>HYPERLINK("https://worldwide.espacenet.com/patent/search?q=US20080306896","Espacenet")</f>
        <v>0.0</v>
      </c>
      <c r="I3531" s="2" t="n">
        <f>HYPERLINK("https://ppubs.uspto.gov/pubwebapp/external.html?q=20080306896.pn.","USPTO")</f>
        <v>0.0</v>
      </c>
      <c r="J3531" s="2" t="n">
        <f>HYPERLINK("https://image-ppubs.uspto.gov/dirsearch-public/print/downloadPdf/20080306896","USPTO PDF")</f>
        <v>0.0</v>
      </c>
      <c r="K3531" s="2" t="n">
        <f>HYPERLINK("https://sectors.patentforecast.com/pmd/US20080306896","PMD")</f>
        <v>0.0</v>
      </c>
      <c r="L3531" s="2" t="n">
        <f>HYPERLINK("https://globaldossier.uspto.gov/result/application/US/11806996/1","US20080306896")</f>
        <v>0.0</v>
      </c>
      <c r="M3531" t="s">
        <v>22596</v>
      </c>
      <c r="N3531" t="s">
        <v>15359</v>
      </c>
      <c r="O3531" t="s">
        <v>15360</v>
      </c>
      <c r="P3531" t="s">
        <v>22597</v>
      </c>
      <c r="Q3531" s="3" t="n">
        <v>39238.0</v>
      </c>
      <c r="R3531" s="3" t="n">
        <v>39793.0</v>
      </c>
      <c r="S3531" s="3" t="n">
        <v>43266.457374467594</v>
      </c>
      <c r="T3531" s="3" t="n">
        <v>43906.35855832176</v>
      </c>
      <c r="U3531" t="s">
        <v>20041</v>
      </c>
      <c r="V3531" t="s">
        <v>22598</v>
      </c>
    </row>
    <row r="3532">
      <c r="A3532" t="s">
        <v>22</v>
      </c>
      <c r="B3532" t="s">
        <v>22599</v>
      </c>
      <c r="C3532" t="s">
        <v>24</v>
      </c>
      <c r="D3532" t="s">
        <v>1356</v>
      </c>
      <c r="E3532" t="s">
        <v>22600</v>
      </c>
      <c r="F3532" s="2" t="n">
        <f>HYPERLINK("https://patents.google.com/patent/US20080300921","Google")</f>
        <v>0.0</v>
      </c>
      <c r="G3532" s="2" t="n">
        <f>HYPERLINK("https://patentcenter.uspto.gov/applications/12132668","Patent Center")</f>
        <v>0.0</v>
      </c>
      <c r="H3532" s="2" t="n">
        <f>HYPERLINK("https://worldwide.espacenet.com/patent/search?q=US20080300921","Espacenet")</f>
        <v>0.0</v>
      </c>
      <c r="I3532" s="2" t="n">
        <f>HYPERLINK("https://ppubs.uspto.gov/pubwebapp/external.html?q=20080300921.pn.","USPTO")</f>
        <v>0.0</v>
      </c>
      <c r="J3532" s="2" t="n">
        <f>HYPERLINK("https://image-ppubs.uspto.gov/dirsearch-public/print/downloadPdf/20080300921","USPTO PDF")</f>
        <v>0.0</v>
      </c>
      <c r="K3532" s="2" t="n">
        <f>HYPERLINK("https://sectors.patentforecast.com/pmd/US20080300921","PMD")</f>
        <v>0.0</v>
      </c>
      <c r="L3532" s="2" t="n">
        <f>HYPERLINK("https://globaldossier.uspto.gov/result/application/US/12132668/1","US20080300921")</f>
        <v>0.0</v>
      </c>
      <c r="M3532" t="s">
        <v>22601</v>
      </c>
      <c r="N3532" t="s">
        <v>22602</v>
      </c>
      <c r="O3532" t="s">
        <v>22603</v>
      </c>
      <c r="P3532" t="s">
        <v>22604</v>
      </c>
      <c r="Q3532" s="3" t="n">
        <v>39603.0</v>
      </c>
      <c r="R3532" s="3" t="n">
        <v>39786.0</v>
      </c>
      <c r="S3532" s="3" t="n">
        <v>43266.45737487268</v>
      </c>
      <c r="T3532" s="3" t="n">
        <v>43901.72156513889</v>
      </c>
      <c r="U3532" t="s">
        <v>22605</v>
      </c>
      <c r="V3532" t="s">
        <v>22606</v>
      </c>
    </row>
    <row r="3533">
      <c r="A3533" t="s">
        <v>22</v>
      </c>
      <c r="B3533" t="s">
        <v>22607</v>
      </c>
      <c r="C3533" t="s">
        <v>132</v>
      </c>
      <c r="D3533" t="s">
        <v>1265</v>
      </c>
      <c r="E3533" t="s">
        <v>20378</v>
      </c>
      <c r="F3533" s="2" t="n">
        <f>HYPERLINK("https://patents.google.com/patent/US20080299151","Google")</f>
        <v>0.0</v>
      </c>
      <c r="G3533" s="2" t="n">
        <f>HYPERLINK("https://patentcenter.uspto.gov/applications/12156456","Patent Center")</f>
        <v>0.0</v>
      </c>
      <c r="H3533" s="2" t="n">
        <f>HYPERLINK("https://worldwide.espacenet.com/patent/search?q=US20080299151","Espacenet")</f>
        <v>0.0</v>
      </c>
      <c r="I3533" s="2" t="n">
        <f>HYPERLINK("https://ppubs.uspto.gov/pubwebapp/external.html?q=20080299151.pn.","USPTO")</f>
        <v>0.0</v>
      </c>
      <c r="J3533" s="2" t="n">
        <f>HYPERLINK("https://image-ppubs.uspto.gov/dirsearch-public/print/downloadPdf/20080299151","USPTO PDF")</f>
        <v>0.0</v>
      </c>
      <c r="K3533" s="2" t="n">
        <f>HYPERLINK("https://sectors.patentforecast.com/pmd/US20080299151","PMD")</f>
        <v>0.0</v>
      </c>
      <c r="L3533" s="2" t="n">
        <f>HYPERLINK("https://globaldossier.uspto.gov/result/application/US/12156456/1","US20080299151")</f>
        <v>0.0</v>
      </c>
      <c r="M3533" t="s">
        <v>22608</v>
      </c>
      <c r="N3533" t="s">
        <v>21698</v>
      </c>
      <c r="O3533" t="s">
        <v>21698</v>
      </c>
      <c r="P3533" t="s">
        <v>22609</v>
      </c>
      <c r="Q3533" s="3" t="n">
        <v>39598.0</v>
      </c>
      <c r="R3533" s="3" t="n">
        <v>39786.0</v>
      </c>
      <c r="S3533" s="3" t="n">
        <v>43900.43738930555</v>
      </c>
      <c r="T3533" s="3" t="n">
        <v>43901.72156518519</v>
      </c>
      <c r="U3533" t="s">
        <v>22153</v>
      </c>
      <c r="V3533" t="s">
        <v>22154</v>
      </c>
    </row>
    <row r="3534">
      <c r="A3534" t="s">
        <v>22</v>
      </c>
      <c r="B3534" t="s">
        <v>22610</v>
      </c>
      <c r="C3534" t="s">
        <v>60</v>
      </c>
      <c r="D3534" t="s">
        <v>845</v>
      </c>
      <c r="E3534" t="s">
        <v>22611</v>
      </c>
      <c r="F3534" s="2" t="n">
        <f>HYPERLINK("https://patents.google.com/patent/US20080288293","Google")</f>
        <v>0.0</v>
      </c>
      <c r="G3534" s="2" t="n">
        <f>HYPERLINK("https://patentcenter.uspto.gov/applications/12144708","Patent Center")</f>
        <v>0.0</v>
      </c>
      <c r="H3534" s="2" t="n">
        <f>HYPERLINK("https://worldwide.espacenet.com/patent/search?q=US20080288293","Espacenet")</f>
        <v>0.0</v>
      </c>
      <c r="I3534" s="2" t="n">
        <f>HYPERLINK("https://ppubs.uspto.gov/pubwebapp/external.html?q=20080288293.pn.","USPTO")</f>
        <v>0.0</v>
      </c>
      <c r="J3534" s="2" t="n">
        <f>HYPERLINK("https://image-ppubs.uspto.gov/dirsearch-public/print/downloadPdf/20080288293","USPTO PDF")</f>
        <v>0.0</v>
      </c>
      <c r="K3534" s="2" t="n">
        <f>HYPERLINK("https://sectors.patentforecast.com/pmd/US20080288293","PMD")</f>
        <v>0.0</v>
      </c>
      <c r="L3534" s="2" t="n">
        <f>HYPERLINK("https://globaldossier.uspto.gov/result/application/US/12144708/1","US20080288293")</f>
        <v>0.0</v>
      </c>
      <c r="M3534" t="s">
        <v>22612</v>
      </c>
      <c r="N3534" t="s">
        <v>13643</v>
      </c>
      <c r="O3534" t="s">
        <v>13644</v>
      </c>
      <c r="P3534" t="s">
        <v>22613</v>
      </c>
      <c r="Q3534" s="3" t="n">
        <v>39623.0</v>
      </c>
      <c r="R3534" s="3" t="n">
        <v>39772.0</v>
      </c>
      <c r="S3534" s="3" t="n">
        <v>43266.457374861115</v>
      </c>
      <c r="T3534" s="3" t="n">
        <v>43984.50933072917</v>
      </c>
      <c r="U3534" t="s">
        <v>22614</v>
      </c>
      <c r="V3534" t="s">
        <v>22615</v>
      </c>
    </row>
    <row r="3535">
      <c r="A3535" t="s">
        <v>22</v>
      </c>
      <c r="B3535" t="s">
        <v>22616</v>
      </c>
      <c r="C3535" t="s">
        <v>24</v>
      </c>
      <c r="D3535" t="s">
        <v>25</v>
      </c>
      <c r="E3535" t="s">
        <v>22617</v>
      </c>
      <c r="F3535" s="2" t="n">
        <f>HYPERLINK("https://patents.google.com/patent/US20080279420","Google")</f>
        <v>0.0</v>
      </c>
      <c r="G3535" s="2" t="n">
        <f>HYPERLINK("https://patentcenter.uspto.gov/applications/11037914","Patent Center")</f>
        <v>0.0</v>
      </c>
      <c r="H3535" s="2" t="n">
        <f>HYPERLINK("https://worldwide.espacenet.com/patent/search?q=US20080279420","Espacenet")</f>
        <v>0.0</v>
      </c>
      <c r="I3535" s="2" t="n">
        <f>HYPERLINK("https://ppubs.uspto.gov/pubwebapp/external.html?q=20080279420.pn.","USPTO")</f>
        <v>0.0</v>
      </c>
      <c r="J3535" s="2" t="n">
        <f>HYPERLINK("https://image-ppubs.uspto.gov/dirsearch-public/print/downloadPdf/20080279420","USPTO PDF")</f>
        <v>0.0</v>
      </c>
      <c r="K3535" s="2" t="n">
        <f>HYPERLINK("https://sectors.patentforecast.com/pmd/US20080279420","PMD")</f>
        <v>0.0</v>
      </c>
      <c r="L3535" s="2" t="n">
        <f>HYPERLINK("https://globaldossier.uspto.gov/result/application/US/11037914/1","US20080279420")</f>
        <v>0.0</v>
      </c>
      <c r="M3535" t="s">
        <v>22618</v>
      </c>
      <c r="N3535" t="s">
        <v>7526</v>
      </c>
      <c r="O3535" t="s">
        <v>7527</v>
      </c>
      <c r="P3535" t="s">
        <v>22619</v>
      </c>
      <c r="Q3535" s="3" t="n">
        <v>38370.0</v>
      </c>
      <c r="R3535" s="3" t="n">
        <v>39765.0</v>
      </c>
      <c r="S3535" s="3" t="n">
        <v>43266.457374861115</v>
      </c>
      <c r="T3535" s="3" t="n">
        <v>44761.48939693287</v>
      </c>
      <c r="U3535" t="s">
        <v>22620</v>
      </c>
      <c r="V3535" t="s">
        <v>22621</v>
      </c>
    </row>
    <row r="3536">
      <c r="A3536" t="s">
        <v>22</v>
      </c>
      <c r="B3536" t="s">
        <v>22622</v>
      </c>
      <c r="C3536" t="s">
        <v>60</v>
      </c>
      <c r="D3536" t="s">
        <v>2262</v>
      </c>
      <c r="E3536" t="s">
        <v>22623</v>
      </c>
      <c r="F3536" s="2" t="n">
        <f>HYPERLINK("https://patents.google.com/patent/US20080274214","Google")</f>
        <v>0.0</v>
      </c>
      <c r="G3536" s="2" t="n">
        <f>HYPERLINK("https://patentcenter.uspto.gov/applications/12065663","Patent Center")</f>
        <v>0.0</v>
      </c>
      <c r="H3536" s="2" t="n">
        <f>HYPERLINK("https://worldwide.espacenet.com/patent/search?q=US20080274214","Espacenet")</f>
        <v>0.0</v>
      </c>
      <c r="I3536" s="2" t="n">
        <f>HYPERLINK("https://ppubs.uspto.gov/pubwebapp/external.html?q=20080274214.pn.","USPTO")</f>
        <v>0.0</v>
      </c>
      <c r="J3536" s="2" t="n">
        <f>HYPERLINK("https://image-ppubs.uspto.gov/dirsearch-public/print/downloadPdf/20080274214","USPTO PDF")</f>
        <v>0.0</v>
      </c>
      <c r="K3536" s="2" t="n">
        <f>HYPERLINK("https://sectors.patentforecast.com/pmd/US20080274214","PMD")</f>
        <v>0.0</v>
      </c>
      <c r="L3536" s="2" t="n">
        <f>HYPERLINK("https://globaldossier.uspto.gov/result/application/US/12065663/1","US20080274214")</f>
        <v>0.0</v>
      </c>
      <c r="M3536" t="s">
        <v>22624</v>
      </c>
      <c r="N3536" t="s">
        <v>22625</v>
      </c>
      <c r="O3536" t="s">
        <v>22625</v>
      </c>
      <c r="P3536" t="s">
        <v>22626</v>
      </c>
      <c r="Q3536" s="3" t="n">
        <v>38973.0</v>
      </c>
      <c r="R3536" s="3" t="n">
        <v>39758.0</v>
      </c>
      <c r="S3536" s="3" t="n">
        <v>43900.43738930555</v>
      </c>
      <c r="T3536" s="3" t="n">
        <v>43903.48463234954</v>
      </c>
      <c r="U3536" t="s">
        <v>22627</v>
      </c>
      <c r="V3536" t="s">
        <v>22628</v>
      </c>
    </row>
    <row r="3537">
      <c r="A3537" t="s">
        <v>22</v>
      </c>
      <c r="B3537" t="s">
        <v>22629</v>
      </c>
      <c r="C3537" t="s">
        <v>60</v>
      </c>
      <c r="D3537" t="s">
        <v>61</v>
      </c>
      <c r="E3537" t="s">
        <v>22630</v>
      </c>
      <c r="F3537" s="2" t="n">
        <f>HYPERLINK("https://patents.google.com/patent/US20080274095","Google")</f>
        <v>0.0</v>
      </c>
      <c r="G3537" s="2" t="n">
        <f>HYPERLINK("https://patentcenter.uspto.gov/applications/11665950","Patent Center")</f>
        <v>0.0</v>
      </c>
      <c r="H3537" s="2" t="n">
        <f>HYPERLINK("https://worldwide.espacenet.com/patent/search?q=US20080274095","Espacenet")</f>
        <v>0.0</v>
      </c>
      <c r="I3537" s="2" t="n">
        <f>HYPERLINK("https://ppubs.uspto.gov/pubwebapp/external.html?q=20080274095.pn.","USPTO")</f>
        <v>0.0</v>
      </c>
      <c r="J3537" s="2" t="n">
        <f>HYPERLINK("https://image-ppubs.uspto.gov/dirsearch-public/print/downloadPdf/20080274095","USPTO PDF")</f>
        <v>0.0</v>
      </c>
      <c r="K3537" s="2" t="n">
        <f>HYPERLINK("https://sectors.patentforecast.com/pmd/US20080274095","PMD")</f>
        <v>0.0</v>
      </c>
      <c r="L3537" s="2" t="n">
        <f>HYPERLINK("https://globaldossier.uspto.gov/result/application/US/11665950/1","US20080274095")</f>
        <v>0.0</v>
      </c>
      <c r="M3537" t="s">
        <v>22631</v>
      </c>
      <c r="N3537" t="s">
        <v>19704</v>
      </c>
      <c r="O3537" t="s">
        <v>19705</v>
      </c>
      <c r="P3537" t="s">
        <v>22632</v>
      </c>
      <c r="Q3537" s="3" t="n">
        <v>38644.0</v>
      </c>
      <c r="R3537" s="3" t="n">
        <v>39758.0</v>
      </c>
      <c r="S3537" s="3" t="n">
        <v>43938.46107361111</v>
      </c>
      <c r="T3537" s="3" t="n">
        <v>43985.38752960648</v>
      </c>
      <c r="U3537" t="s">
        <v>22633</v>
      </c>
      <c r="V3537" t="s">
        <v>22634</v>
      </c>
    </row>
    <row r="3538">
      <c r="A3538" t="s">
        <v>22</v>
      </c>
      <c r="B3538" t="s">
        <v>22635</v>
      </c>
      <c r="C3538" t="s">
        <v>24</v>
      </c>
      <c r="D3538" t="s">
        <v>25</v>
      </c>
      <c r="E3538" t="s">
        <v>22636</v>
      </c>
      <c r="F3538" s="2" t="n">
        <f>HYPERLINK("https://patents.google.com/patent/US20080270628","Google")</f>
        <v>0.0</v>
      </c>
      <c r="G3538" s="2" t="n">
        <f>HYPERLINK("https://patentcenter.uspto.gov/applications/10594670","Patent Center")</f>
        <v>0.0</v>
      </c>
      <c r="H3538" s="2" t="n">
        <f>HYPERLINK("https://worldwide.espacenet.com/patent/search?q=US20080270628","Espacenet")</f>
        <v>0.0</v>
      </c>
      <c r="I3538" s="2" t="n">
        <f>HYPERLINK("https://ppubs.uspto.gov/pubwebapp/external.html?q=20080270628.pn.","USPTO")</f>
        <v>0.0</v>
      </c>
      <c r="J3538" s="2" t="n">
        <f>HYPERLINK("https://image-ppubs.uspto.gov/dirsearch-public/print/downloadPdf/20080270628","USPTO PDF")</f>
        <v>0.0</v>
      </c>
      <c r="K3538" s="2" t="n">
        <f>HYPERLINK("https://sectors.patentforecast.com/pmd/US20080270628","PMD")</f>
        <v>0.0</v>
      </c>
      <c r="L3538" s="2" t="n">
        <f>HYPERLINK("https://globaldossier.uspto.gov/result/application/US/10594670/1","US20080270628")</f>
        <v>0.0</v>
      </c>
      <c r="M3538" t="s">
        <v>22637</v>
      </c>
      <c r="N3538" t="s">
        <v>22638</v>
      </c>
      <c r="O3538" t="s">
        <v>22639</v>
      </c>
      <c r="P3538" t="s">
        <v>22640</v>
      </c>
      <c r="Q3538" s="3" t="n">
        <v>38468.0</v>
      </c>
      <c r="R3538" s="3" t="n">
        <v>39751.0</v>
      </c>
      <c r="S3538" s="3" t="n">
        <v>43900.43738930555</v>
      </c>
      <c r="T3538" s="3" t="n">
        <v>43903.48463222222</v>
      </c>
      <c r="U3538" t="s">
        <v>22641</v>
      </c>
      <c r="V3538" t="s">
        <v>22642</v>
      </c>
    </row>
    <row r="3539">
      <c r="A3539" t="s">
        <v>22</v>
      </c>
      <c r="B3539" t="s">
        <v>22643</v>
      </c>
      <c r="C3539" t="s">
        <v>24</v>
      </c>
      <c r="D3539" t="s">
        <v>204</v>
      </c>
      <c r="E3539" t="s">
        <v>22644</v>
      </c>
      <c r="F3539" s="2" t="n">
        <f>HYPERLINK("https://patents.google.com/patent/US20080270200","Google")</f>
        <v>0.0</v>
      </c>
      <c r="G3539" s="2" t="n">
        <f>HYPERLINK("https://patentcenter.uspto.gov/applications/11741927","Patent Center")</f>
        <v>0.0</v>
      </c>
      <c r="H3539" s="2" t="n">
        <f>HYPERLINK("https://worldwide.espacenet.com/patent/search?q=US20080270200","Espacenet")</f>
        <v>0.0</v>
      </c>
      <c r="I3539" s="2" t="n">
        <f>HYPERLINK("https://ppubs.uspto.gov/pubwebapp/external.html?q=20080270200.pn.","USPTO")</f>
        <v>0.0</v>
      </c>
      <c r="J3539" s="2" t="n">
        <f>HYPERLINK("https://image-ppubs.uspto.gov/dirsearch-public/print/downloadPdf/20080270200","USPTO PDF")</f>
        <v>0.0</v>
      </c>
      <c r="K3539" s="2" t="n">
        <f>HYPERLINK("https://sectors.patentforecast.com/pmd/US20080270200","PMD")</f>
        <v>0.0</v>
      </c>
      <c r="L3539" s="2" t="n">
        <f>HYPERLINK("https://globaldossier.uspto.gov/result/application/US/11741927/1","US20080270200")</f>
        <v>0.0</v>
      </c>
      <c r="M3539" t="s">
        <v>22645</v>
      </c>
      <c r="N3539" t="s">
        <v>947</v>
      </c>
      <c r="O3539" t="s">
        <v>948</v>
      </c>
      <c r="P3539" t="s">
        <v>22646</v>
      </c>
      <c r="Q3539" s="3" t="n">
        <v>39202.0</v>
      </c>
      <c r="R3539" s="3" t="n">
        <v>39751.0</v>
      </c>
      <c r="S3539" s="3" t="n">
        <v>43900.4372669213</v>
      </c>
      <c r="T3539" s="3" t="n">
        <v>43901.721565092594</v>
      </c>
      <c r="U3539" t="s">
        <v>22647</v>
      </c>
      <c r="V3539" t="s">
        <v>22648</v>
      </c>
    </row>
    <row r="3540">
      <c r="A3540" t="s">
        <v>22</v>
      </c>
      <c r="B3540" t="s">
        <v>22649</v>
      </c>
      <c r="C3540" t="s">
        <v>24</v>
      </c>
      <c r="D3540" t="s">
        <v>25</v>
      </c>
      <c r="E3540" t="s">
        <v>22650</v>
      </c>
      <c r="F3540" s="2" t="n">
        <f>HYPERLINK("https://patents.google.com/patent/US20080270029","Google")</f>
        <v>0.0</v>
      </c>
      <c r="G3540" s="2" t="n">
        <f>HYPERLINK("https://patentcenter.uspto.gov/applications/11742010","Patent Center")</f>
        <v>0.0</v>
      </c>
      <c r="H3540" s="2" t="n">
        <f>HYPERLINK("https://worldwide.espacenet.com/patent/search?q=US20080270029","Espacenet")</f>
        <v>0.0</v>
      </c>
      <c r="I3540" s="2" t="n">
        <f>HYPERLINK("https://ppubs.uspto.gov/pubwebapp/external.html?q=20080270029.pn.","USPTO")</f>
        <v>0.0</v>
      </c>
      <c r="J3540" s="2" t="n">
        <f>HYPERLINK("https://image-ppubs.uspto.gov/dirsearch-public/print/downloadPdf/20080270029","USPTO PDF")</f>
        <v>0.0</v>
      </c>
      <c r="K3540" s="2" t="n">
        <f>HYPERLINK("https://sectors.patentforecast.com/pmd/US20080270029","PMD")</f>
        <v>0.0</v>
      </c>
      <c r="L3540" s="2" t="n">
        <f>HYPERLINK("https://globaldossier.uspto.gov/result/application/US/11742010/1","US20080270029")</f>
        <v>0.0</v>
      </c>
      <c r="M3540" t="s">
        <v>22651</v>
      </c>
      <c r="N3540" t="s">
        <v>22652</v>
      </c>
      <c r="O3540" t="s">
        <v>22652</v>
      </c>
      <c r="P3540" t="s">
        <v>22653</v>
      </c>
      <c r="Q3540" s="3" t="n">
        <v>39202.0</v>
      </c>
      <c r="R3540" s="3" t="n">
        <v>39751.0</v>
      </c>
      <c r="S3540" s="3" t="n">
        <v>43266.457374861115</v>
      </c>
      <c r="T3540" s="3" t="n">
        <v>43901.72156484954</v>
      </c>
      <c r="U3540" t="s">
        <v>15882</v>
      </c>
      <c r="V3540" t="s">
        <v>22654</v>
      </c>
    </row>
    <row r="3541">
      <c r="A3541" t="s">
        <v>22</v>
      </c>
      <c r="B3541" t="s">
        <v>22655</v>
      </c>
      <c r="C3541" t="s">
        <v>24</v>
      </c>
      <c r="D3541" t="s">
        <v>25</v>
      </c>
      <c r="E3541" t="s">
        <v>22656</v>
      </c>
      <c r="F3541" s="2" t="n">
        <f>HYPERLINK("https://patents.google.com/patent/US20080269571","Google")</f>
        <v>0.0</v>
      </c>
      <c r="G3541" s="2" t="n">
        <f>HYPERLINK("https://patentcenter.uspto.gov/applications/12137660","Patent Center")</f>
        <v>0.0</v>
      </c>
      <c r="H3541" s="2" t="n">
        <f>HYPERLINK("https://worldwide.espacenet.com/patent/search?q=US20080269571","Espacenet")</f>
        <v>0.0</v>
      </c>
      <c r="I3541" s="2" t="n">
        <f>HYPERLINK("https://ppubs.uspto.gov/pubwebapp/external.html?q=20080269571.pn.","USPTO")</f>
        <v>0.0</v>
      </c>
      <c r="J3541" s="2" t="n">
        <f>HYPERLINK("https://image-ppubs.uspto.gov/dirsearch-public/print/downloadPdf/20080269571","USPTO PDF")</f>
        <v>0.0</v>
      </c>
      <c r="K3541" s="2" t="n">
        <f>HYPERLINK("https://sectors.patentforecast.com/pmd/US20080269571","PMD")</f>
        <v>0.0</v>
      </c>
      <c r="L3541" s="2" t="n">
        <f>HYPERLINK("https://globaldossier.uspto.gov/result/application/US/12137660/1","US20080269571")</f>
        <v>0.0</v>
      </c>
      <c r="M3541" t="s">
        <v>22657</v>
      </c>
      <c r="N3541" t="s">
        <v>22658</v>
      </c>
      <c r="O3541" t="s">
        <v>22659</v>
      </c>
      <c r="P3541" t="s">
        <v>22660</v>
      </c>
      <c r="Q3541" s="3" t="n">
        <v>39611.0</v>
      </c>
      <c r="R3541" s="3" t="n">
        <v>39751.0</v>
      </c>
      <c r="S3541" s="3" t="n">
        <v>43266.457374861115</v>
      </c>
      <c r="T3541" s="3" t="n">
        <v>43903.48463222222</v>
      </c>
      <c r="U3541" t="s">
        <v>22661</v>
      </c>
      <c r="V3541" t="s">
        <v>22662</v>
      </c>
    </row>
    <row r="3542">
      <c r="A3542" t="s">
        <v>22</v>
      </c>
      <c r="B3542" t="s">
        <v>22663</v>
      </c>
      <c r="C3542" t="s">
        <v>60</v>
      </c>
      <c r="D3542" t="s">
        <v>61</v>
      </c>
      <c r="E3542" t="s">
        <v>22664</v>
      </c>
      <c r="F3542" s="2" t="n">
        <f>HYPERLINK("https://patents.google.com/patent/US20080269122","Google")</f>
        <v>0.0</v>
      </c>
      <c r="G3542" s="2" t="n">
        <f>HYPERLINK("https://patentcenter.uspto.gov/applications/11875349","Patent Center")</f>
        <v>0.0</v>
      </c>
      <c r="H3542" s="2" t="n">
        <f>HYPERLINK("https://worldwide.espacenet.com/patent/search?q=US20080269122","Espacenet")</f>
        <v>0.0</v>
      </c>
      <c r="I3542" s="2" t="n">
        <f>HYPERLINK("https://ppubs.uspto.gov/pubwebapp/external.html?q=20080269122.pn.","USPTO")</f>
        <v>0.0</v>
      </c>
      <c r="J3542" s="2" t="n">
        <f>HYPERLINK("https://image-ppubs.uspto.gov/dirsearch-public/print/downloadPdf/20080269122","USPTO PDF")</f>
        <v>0.0</v>
      </c>
      <c r="K3542" s="2" t="n">
        <f>HYPERLINK("https://sectors.patentforecast.com/pmd/US20080269122","PMD")</f>
        <v>0.0</v>
      </c>
      <c r="L3542" s="2" t="n">
        <f>HYPERLINK("https://globaldossier.uspto.gov/result/application/US/11875349/1","US20080269122")</f>
        <v>0.0</v>
      </c>
      <c r="M3542" t="s">
        <v>22665</v>
      </c>
      <c r="N3542" t="s">
        <v>19704</v>
      </c>
      <c r="O3542" t="s">
        <v>19705</v>
      </c>
      <c r="P3542" t="s">
        <v>22666</v>
      </c>
      <c r="Q3542" s="3" t="n">
        <v>39374.0</v>
      </c>
      <c r="R3542" s="3" t="n">
        <v>39751.0</v>
      </c>
      <c r="S3542" s="3" t="n">
        <v>43938.46107361111</v>
      </c>
      <c r="T3542" s="3" t="n">
        <v>43950.54441226852</v>
      </c>
      <c r="U3542" t="s">
        <v>22667</v>
      </c>
      <c r="V3542" t="s">
        <v>22668</v>
      </c>
    </row>
    <row r="3543">
      <c r="A3543" t="s">
        <v>22</v>
      </c>
      <c r="B3543" t="s">
        <v>22669</v>
      </c>
      <c r="C3543" t="s">
        <v>60</v>
      </c>
      <c r="D3543" t="s">
        <v>61</v>
      </c>
      <c r="E3543" t="s">
        <v>22670</v>
      </c>
      <c r="F3543" s="2" t="n">
        <f>HYPERLINK("https://patents.google.com/patent/US20080267943","Google")</f>
        <v>0.0</v>
      </c>
      <c r="G3543" s="2" t="n">
        <f>HYPERLINK("https://patentcenter.uspto.gov/applications/11875343","Patent Center")</f>
        <v>0.0</v>
      </c>
      <c r="H3543" s="2" t="n">
        <f>HYPERLINK("https://worldwide.espacenet.com/patent/search?q=US20080267943","Espacenet")</f>
        <v>0.0</v>
      </c>
      <c r="I3543" s="2" t="n">
        <f>HYPERLINK("https://ppubs.uspto.gov/pubwebapp/external.html?q=20080267943.pn.","USPTO")</f>
        <v>0.0</v>
      </c>
      <c r="J3543" s="2" t="n">
        <f>HYPERLINK("https://image-ppubs.uspto.gov/dirsearch-public/print/downloadPdf/20080267943","USPTO PDF")</f>
        <v>0.0</v>
      </c>
      <c r="K3543" s="2" t="n">
        <f>HYPERLINK("https://sectors.patentforecast.com/pmd/US20080267943","PMD")</f>
        <v>0.0</v>
      </c>
      <c r="L3543" s="2" t="n">
        <f>HYPERLINK("https://globaldossier.uspto.gov/result/application/US/11875343/1","US20080267943")</f>
        <v>0.0</v>
      </c>
      <c r="M3543" t="s">
        <v>22671</v>
      </c>
      <c r="N3543" t="s">
        <v>19704</v>
      </c>
      <c r="O3543" t="s">
        <v>19705</v>
      </c>
      <c r="P3543" t="s">
        <v>22666</v>
      </c>
      <c r="Q3543" s="3" t="n">
        <v>39374.0</v>
      </c>
      <c r="R3543" s="3" t="n">
        <v>39751.0</v>
      </c>
      <c r="S3543" s="3" t="n">
        <v>43938.46107361111</v>
      </c>
      <c r="T3543" s="3" t="n">
        <v>43985.39174122685</v>
      </c>
      <c r="U3543" t="s">
        <v>22667</v>
      </c>
      <c r="V3543" t="s">
        <v>22668</v>
      </c>
    </row>
    <row r="3544">
      <c r="A3544" t="s">
        <v>22</v>
      </c>
      <c r="B3544" t="s">
        <v>22672</v>
      </c>
      <c r="C3544" t="s">
        <v>24</v>
      </c>
      <c r="D3544" t="s">
        <v>25</v>
      </c>
      <c r="E3544" t="s">
        <v>22673</v>
      </c>
      <c r="F3544" s="2" t="n">
        <f>HYPERLINK("https://patents.google.com/patent/US20080262782","Google")</f>
        <v>0.0</v>
      </c>
      <c r="G3544" s="2" t="n">
        <f>HYPERLINK("https://patentcenter.uspto.gov/applications/11787651","Patent Center")</f>
        <v>0.0</v>
      </c>
      <c r="H3544" s="2" t="n">
        <f>HYPERLINK("https://worldwide.espacenet.com/patent/search?q=US20080262782","Espacenet")</f>
        <v>0.0</v>
      </c>
      <c r="I3544" s="2" t="n">
        <f>HYPERLINK("https://ppubs.uspto.gov/pubwebapp/external.html?q=20080262782.pn.","USPTO")</f>
        <v>0.0</v>
      </c>
      <c r="J3544" s="2" t="n">
        <f>HYPERLINK("https://image-ppubs.uspto.gov/dirsearch-public/print/downloadPdf/20080262782","USPTO PDF")</f>
        <v>0.0</v>
      </c>
      <c r="K3544" s="2" t="n">
        <f>HYPERLINK("https://sectors.patentforecast.com/pmd/US20080262782","PMD")</f>
        <v>0.0</v>
      </c>
      <c r="L3544" s="2" t="n">
        <f>HYPERLINK("https://globaldossier.uspto.gov/result/application/US/11787651/1","US20080262782")</f>
        <v>0.0</v>
      </c>
      <c r="M3544" t="s">
        <v>22674</v>
      </c>
      <c r="N3544" t="s">
        <v>18699</v>
      </c>
      <c r="O3544" t="s">
        <v>18700</v>
      </c>
      <c r="P3544" t="s">
        <v>18701</v>
      </c>
      <c r="Q3544" s="3" t="n">
        <v>39189.0</v>
      </c>
      <c r="R3544" s="3" t="n">
        <v>39744.0</v>
      </c>
      <c r="S3544" s="3" t="n">
        <v>43900.43738930555</v>
      </c>
      <c r="T3544" s="3" t="n">
        <v>44761.48445319445</v>
      </c>
      <c r="U3544" t="s">
        <v>22675</v>
      </c>
      <c r="V3544" t="s">
        <v>18703</v>
      </c>
    </row>
    <row r="3545">
      <c r="A3545" t="s">
        <v>22</v>
      </c>
      <c r="B3545" t="s">
        <v>22676</v>
      </c>
      <c r="C3545" t="s">
        <v>132</v>
      </c>
      <c r="D3545" t="s">
        <v>1265</v>
      </c>
      <c r="E3545" t="s">
        <v>22677</v>
      </c>
      <c r="F3545" s="2" t="n">
        <f>HYPERLINK("https://patents.google.com/patent/US20080254065","Google")</f>
        <v>0.0</v>
      </c>
      <c r="G3545" s="2" t="n">
        <f>HYPERLINK("https://patentcenter.uspto.gov/applications/10592092","Patent Center")</f>
        <v>0.0</v>
      </c>
      <c r="H3545" s="2" t="n">
        <f>HYPERLINK("https://worldwide.espacenet.com/patent/search?q=US20080254065","Espacenet")</f>
        <v>0.0</v>
      </c>
      <c r="I3545" s="2" t="n">
        <f>HYPERLINK("https://ppubs.uspto.gov/pubwebapp/external.html?q=20080254065.pn.","USPTO")</f>
        <v>0.0</v>
      </c>
      <c r="J3545" s="2" t="n">
        <f>HYPERLINK("https://image-ppubs.uspto.gov/dirsearch-public/print/downloadPdf/20080254065","USPTO PDF")</f>
        <v>0.0</v>
      </c>
      <c r="K3545" s="2" t="n">
        <f>HYPERLINK("https://sectors.patentforecast.com/pmd/US20080254065","PMD")</f>
        <v>0.0</v>
      </c>
      <c r="L3545" s="2" t="n">
        <f>HYPERLINK("https://globaldossier.uspto.gov/result/application/US/10592092/1","US20080254065")</f>
        <v>0.0</v>
      </c>
      <c r="M3545" t="s">
        <v>22678</v>
      </c>
      <c r="N3545" t="s">
        <v>14996</v>
      </c>
      <c r="O3545" t="s">
        <v>14997</v>
      </c>
      <c r="P3545" t="s">
        <v>22679</v>
      </c>
      <c r="Q3545" s="3" t="n">
        <v>38420.0</v>
      </c>
      <c r="R3545" s="3" t="n">
        <v>39737.0</v>
      </c>
      <c r="S3545" s="3" t="n">
        <v>43900.43738930555</v>
      </c>
      <c r="T3545" s="3" t="n">
        <v>43901.72156384259</v>
      </c>
      <c r="U3545" t="s">
        <v>17706</v>
      </c>
      <c r="V3545" t="s">
        <v>17707</v>
      </c>
    </row>
    <row r="3546">
      <c r="A3546" t="s">
        <v>22</v>
      </c>
      <c r="B3546" t="s">
        <v>22680</v>
      </c>
      <c r="C3546" t="s">
        <v>60</v>
      </c>
      <c r="D3546" t="s">
        <v>77</v>
      </c>
      <c r="E3546" t="s">
        <v>22681</v>
      </c>
      <c r="F3546" s="2" t="n">
        <f>HYPERLINK("https://patents.google.com/patent/US20080248043","Google")</f>
        <v>0.0</v>
      </c>
      <c r="G3546" s="2" t="n">
        <f>HYPERLINK("https://patentcenter.uspto.gov/applications/11805129","Patent Center")</f>
        <v>0.0</v>
      </c>
      <c r="H3546" s="2" t="n">
        <f>HYPERLINK("https://worldwide.espacenet.com/patent/search?q=US20080248043","Espacenet")</f>
        <v>0.0</v>
      </c>
      <c r="I3546" s="2" t="n">
        <f>HYPERLINK("https://ppubs.uspto.gov/pubwebapp/external.html?q=20080248043.pn.","USPTO")</f>
        <v>0.0</v>
      </c>
      <c r="J3546" s="2" t="n">
        <f>HYPERLINK("https://image-ppubs.uspto.gov/dirsearch-public/print/downloadPdf/20080248043","USPTO PDF")</f>
        <v>0.0</v>
      </c>
      <c r="K3546" s="2" t="n">
        <f>HYPERLINK("https://sectors.patentforecast.com/pmd/US20080248043","PMD")</f>
        <v>0.0</v>
      </c>
      <c r="L3546" s="2" t="n">
        <f>HYPERLINK("https://globaldossier.uspto.gov/result/application/US/11805129/1","US20080248043")</f>
        <v>0.0</v>
      </c>
      <c r="M3546" t="s">
        <v>22682</v>
      </c>
      <c r="N3546" t="s">
        <v>21198</v>
      </c>
      <c r="O3546" t="s">
        <v>21199</v>
      </c>
      <c r="P3546" t="s">
        <v>22683</v>
      </c>
      <c r="Q3546" s="3" t="n">
        <v>39223.0</v>
      </c>
      <c r="R3546" s="3" t="n">
        <v>39730.0</v>
      </c>
      <c r="S3546" s="3" t="n">
        <v>43966.488168888885</v>
      </c>
      <c r="T3546" s="3" t="n">
        <v>44638.64225171296</v>
      </c>
      <c r="U3546" t="s">
        <v>22684</v>
      </c>
      <c r="V3546" t="s">
        <v>22685</v>
      </c>
    </row>
    <row r="3547">
      <c r="A3547" t="s">
        <v>22</v>
      </c>
      <c r="B3547" t="s">
        <v>22686</v>
      </c>
      <c r="C3547" t="s">
        <v>312</v>
      </c>
      <c r="D3547" t="s">
        <v>976</v>
      </c>
      <c r="E3547" t="s">
        <v>22687</v>
      </c>
      <c r="F3547" s="2" t="n">
        <f>HYPERLINK("https://patents.google.com/patent/US20080228757","Google")</f>
        <v>0.0</v>
      </c>
      <c r="G3547" s="2" t="n">
        <f>HYPERLINK("https://patentcenter.uspto.gov/applications/11957443","Patent Center")</f>
        <v>0.0</v>
      </c>
      <c r="H3547" s="2" t="n">
        <f>HYPERLINK("https://worldwide.espacenet.com/patent/search?q=US20080228757","Espacenet")</f>
        <v>0.0</v>
      </c>
      <c r="I3547" s="2" t="n">
        <f>HYPERLINK("https://ppubs.uspto.gov/pubwebapp/external.html?q=20080228757.pn.","USPTO")</f>
        <v>0.0</v>
      </c>
      <c r="J3547" s="2" t="n">
        <f>HYPERLINK("https://image-ppubs.uspto.gov/dirsearch-public/print/downloadPdf/20080228757","USPTO PDF")</f>
        <v>0.0</v>
      </c>
      <c r="K3547" s="2" t="n">
        <f>HYPERLINK("https://sectors.patentforecast.com/pmd/US20080228757","PMD")</f>
        <v>0.0</v>
      </c>
      <c r="L3547" s="2" t="n">
        <f>HYPERLINK("https://globaldossier.uspto.gov/result/application/US/11957443/1","US20080228757")</f>
        <v>0.0</v>
      </c>
      <c r="M3547" t="s">
        <v>22688</v>
      </c>
      <c r="N3547" t="s">
        <v>16673</v>
      </c>
      <c r="O3547" t="s">
        <v>16674</v>
      </c>
      <c r="P3547" t="s">
        <v>21723</v>
      </c>
      <c r="Q3547" s="3" t="n">
        <v>39431.0</v>
      </c>
      <c r="R3547" s="3" t="n">
        <v>39709.0</v>
      </c>
      <c r="S3547" s="3" t="n">
        <v>43977.502012094905</v>
      </c>
      <c r="T3547" s="3" t="n">
        <v>44643.42582246528</v>
      </c>
      <c r="U3547" t="s">
        <v>22689</v>
      </c>
      <c r="V3547" t="s">
        <v>22690</v>
      </c>
    </row>
    <row r="3548">
      <c r="A3548" t="s">
        <v>22</v>
      </c>
      <c r="B3548" t="s">
        <v>22691</v>
      </c>
      <c r="C3548" t="s">
        <v>312</v>
      </c>
      <c r="D3548" t="s">
        <v>976</v>
      </c>
      <c r="E3548" t="s">
        <v>22692</v>
      </c>
      <c r="F3548" s="2" t="n">
        <f>HYPERLINK("https://patents.google.com/patent/US20080228730","Google")</f>
        <v>0.0</v>
      </c>
      <c r="G3548" s="2" t="n">
        <f>HYPERLINK("https://patentcenter.uspto.gov/applications/11968998","Patent Center")</f>
        <v>0.0</v>
      </c>
      <c r="H3548" s="2" t="n">
        <f>HYPERLINK("https://worldwide.espacenet.com/patent/search?q=US20080228730","Espacenet")</f>
        <v>0.0</v>
      </c>
      <c r="I3548" s="2" t="n">
        <f>HYPERLINK("https://ppubs.uspto.gov/pubwebapp/external.html?q=20080228730.pn.","USPTO")</f>
        <v>0.0</v>
      </c>
      <c r="J3548" s="2" t="n">
        <f>HYPERLINK("https://image-ppubs.uspto.gov/dirsearch-public/print/downloadPdf/20080228730","USPTO PDF")</f>
        <v>0.0</v>
      </c>
      <c r="K3548" s="2" t="n">
        <f>HYPERLINK("https://sectors.patentforecast.com/pmd/US20080228730","PMD")</f>
        <v>0.0</v>
      </c>
      <c r="L3548" s="2" t="n">
        <f>HYPERLINK("https://globaldossier.uspto.gov/result/application/US/11968998/1","US20080228730")</f>
        <v>0.0</v>
      </c>
      <c r="M3548" t="s">
        <v>22693</v>
      </c>
      <c r="N3548" t="s">
        <v>16673</v>
      </c>
      <c r="O3548" t="s">
        <v>16674</v>
      </c>
      <c r="P3548" t="s">
        <v>21723</v>
      </c>
      <c r="Q3548" s="3" t="n">
        <v>39450.0</v>
      </c>
      <c r="R3548" s="3" t="n">
        <v>39709.0</v>
      </c>
      <c r="S3548" s="3" t="n">
        <v>43977.502012094905</v>
      </c>
      <c r="T3548" s="3" t="n">
        <v>44643.42582246528</v>
      </c>
      <c r="U3548" t="s">
        <v>22694</v>
      </c>
      <c r="V3548" t="s">
        <v>22695</v>
      </c>
    </row>
    <row r="3549">
      <c r="A3549" t="s">
        <v>22</v>
      </c>
      <c r="B3549" t="s">
        <v>22696</v>
      </c>
      <c r="C3549" t="s">
        <v>24</v>
      </c>
      <c r="D3549" t="s">
        <v>25</v>
      </c>
      <c r="E3549" t="s">
        <v>22697</v>
      </c>
      <c r="F3549" s="2" t="n">
        <f>HYPERLINK("https://patents.google.com/patent/US20080208813","Google")</f>
        <v>0.0</v>
      </c>
      <c r="G3549" s="2" t="n">
        <f>HYPERLINK("https://patentcenter.uspto.gov/applications/11741467","Patent Center")</f>
        <v>0.0</v>
      </c>
      <c r="H3549" s="2" t="n">
        <f>HYPERLINK("https://worldwide.espacenet.com/patent/search?q=US20080208813","Espacenet")</f>
        <v>0.0</v>
      </c>
      <c r="I3549" s="2" t="n">
        <f>HYPERLINK("https://ppubs.uspto.gov/pubwebapp/external.html?q=20080208813.pn.","USPTO")</f>
        <v>0.0</v>
      </c>
      <c r="J3549" s="2" t="n">
        <f>HYPERLINK("https://image-ppubs.uspto.gov/dirsearch-public/print/downloadPdf/20080208813","USPTO PDF")</f>
        <v>0.0</v>
      </c>
      <c r="K3549" s="2" t="n">
        <f>HYPERLINK("https://sectors.patentforecast.com/pmd/US20080208813","PMD")</f>
        <v>0.0</v>
      </c>
      <c r="L3549" s="2" t="n">
        <f>HYPERLINK("https://globaldossier.uspto.gov/result/application/US/11741467/1","US20080208813")</f>
        <v>0.0</v>
      </c>
      <c r="M3549" t="s">
        <v>22698</v>
      </c>
      <c r="N3549" t="s">
        <v>1913</v>
      </c>
      <c r="O3549" t="s">
        <v>1914</v>
      </c>
      <c r="P3549" t="s">
        <v>22699</v>
      </c>
      <c r="Q3549" s="3" t="n">
        <v>39199.0</v>
      </c>
      <c r="R3549" s="3" t="n">
        <v>39688.0</v>
      </c>
      <c r="S3549" s="3" t="n">
        <v>43266.457375543985</v>
      </c>
      <c r="T3549" s="3" t="n">
        <v>44761.484283125</v>
      </c>
      <c r="U3549" t="s">
        <v>22700</v>
      </c>
      <c r="V3549" t="s">
        <v>22701</v>
      </c>
    </row>
    <row r="3550">
      <c r="A3550" t="s">
        <v>22</v>
      </c>
      <c r="B3550" t="s">
        <v>22702</v>
      </c>
      <c r="C3550" t="s">
        <v>24</v>
      </c>
      <c r="D3550" t="s">
        <v>1356</v>
      </c>
      <c r="E3550" t="s">
        <v>22023</v>
      </c>
      <c r="F3550" s="2" t="n">
        <f>HYPERLINK("https://patents.google.com/patent/US20080206767","Google")</f>
        <v>0.0</v>
      </c>
      <c r="G3550" s="2" t="n">
        <f>HYPERLINK("https://patentcenter.uspto.gov/applications/11979500","Patent Center")</f>
        <v>0.0</v>
      </c>
      <c r="H3550" s="2" t="n">
        <f>HYPERLINK("https://worldwide.espacenet.com/patent/search?q=US20080206767","Espacenet")</f>
        <v>0.0</v>
      </c>
      <c r="I3550" s="2" t="n">
        <f>HYPERLINK("https://ppubs.uspto.gov/pubwebapp/external.html?q=20080206767.pn.","USPTO")</f>
        <v>0.0</v>
      </c>
      <c r="J3550" s="2" t="n">
        <f>HYPERLINK("https://image-ppubs.uspto.gov/dirsearch-public/print/downloadPdf/20080206767","USPTO PDF")</f>
        <v>0.0</v>
      </c>
      <c r="K3550" s="2" t="n">
        <f>HYPERLINK("https://sectors.patentforecast.com/pmd/US20080206767","PMD")</f>
        <v>0.0</v>
      </c>
      <c r="L3550" s="2" t="n">
        <f>HYPERLINK("https://globaldossier.uspto.gov/result/application/US/11979500/1","US20080206767")</f>
        <v>0.0</v>
      </c>
      <c r="M3550" t="s">
        <v>22703</v>
      </c>
      <c r="N3550" t="s">
        <v>20175</v>
      </c>
      <c r="O3550" t="s">
        <v>20176</v>
      </c>
      <c r="P3550" t="s">
        <v>22704</v>
      </c>
      <c r="Q3550" s="3" t="n">
        <v>39391.0</v>
      </c>
      <c r="R3550" s="3" t="n">
        <v>39688.0</v>
      </c>
      <c r="S3550" s="3" t="n">
        <v>44019.232710069446</v>
      </c>
      <c r="T3550" s="3" t="n">
        <v>44020.410610300925</v>
      </c>
      <c r="U3550" t="s">
        <v>22705</v>
      </c>
      <c r="V3550" t="s">
        <v>22027</v>
      </c>
    </row>
    <row r="3551">
      <c r="A3551" t="s">
        <v>22</v>
      </c>
      <c r="B3551" t="s">
        <v>22706</v>
      </c>
      <c r="C3551" t="s">
        <v>24</v>
      </c>
      <c r="D3551" t="s">
        <v>187</v>
      </c>
      <c r="E3551" t="s">
        <v>22707</v>
      </c>
      <c r="F3551" s="2" t="n">
        <f>HYPERLINK("https://patents.google.com/patent/US20080195612","Google")</f>
        <v>0.0</v>
      </c>
      <c r="G3551" s="2" t="n">
        <f>HYPERLINK("https://patentcenter.uspto.gov/applications/11903564","Patent Center")</f>
        <v>0.0</v>
      </c>
      <c r="H3551" s="2" t="n">
        <f>HYPERLINK("https://worldwide.espacenet.com/patent/search?q=US20080195612","Espacenet")</f>
        <v>0.0</v>
      </c>
      <c r="I3551" s="2" t="n">
        <f>HYPERLINK("https://ppubs.uspto.gov/pubwebapp/external.html?q=20080195612.pn.","USPTO")</f>
        <v>0.0</v>
      </c>
      <c r="J3551" s="2" t="n">
        <f>HYPERLINK("https://image-ppubs.uspto.gov/dirsearch-public/print/downloadPdf/20080195612","USPTO PDF")</f>
        <v>0.0</v>
      </c>
      <c r="K3551" s="2" t="n">
        <f>HYPERLINK("https://sectors.patentforecast.com/pmd/US20080195612","PMD")</f>
        <v>0.0</v>
      </c>
      <c r="L3551" s="2" t="n">
        <f>HYPERLINK("https://globaldossier.uspto.gov/result/application/US/11903564/1","US20080195612")</f>
        <v>0.0</v>
      </c>
      <c r="M3551" t="s">
        <v>22708</v>
      </c>
      <c r="N3551" t="s">
        <v>22709</v>
      </c>
      <c r="O3551" t="s">
        <v>22710</v>
      </c>
      <c r="P3551" t="s">
        <v>22711</v>
      </c>
      <c r="Q3551" s="3" t="n">
        <v>39346.0</v>
      </c>
      <c r="R3551" s="3" t="n">
        <v>39674.0</v>
      </c>
      <c r="S3551" s="3" t="n">
        <v>43266.457375543985</v>
      </c>
      <c r="T3551" s="3" t="n">
        <v>43950.55131255787</v>
      </c>
      <c r="U3551" t="s">
        <v>22712</v>
      </c>
      <c r="V3551" t="s">
        <v>22713</v>
      </c>
    </row>
    <row r="3552">
      <c r="A3552" t="s">
        <v>22</v>
      </c>
      <c r="B3552" t="s">
        <v>22714</v>
      </c>
      <c r="C3552" t="s">
        <v>132</v>
      </c>
      <c r="D3552" t="s">
        <v>1265</v>
      </c>
      <c r="E3552" t="s">
        <v>22715</v>
      </c>
      <c r="F3552" s="2" t="n">
        <f>HYPERLINK("https://patents.google.com/patent/US20080187557","Google")</f>
        <v>0.0</v>
      </c>
      <c r="G3552" s="2" t="n">
        <f>HYPERLINK("https://patentcenter.uspto.gov/applications/11911189","Patent Center")</f>
        <v>0.0</v>
      </c>
      <c r="H3552" s="2" t="n">
        <f>HYPERLINK("https://worldwide.espacenet.com/patent/search?q=US20080187557","Espacenet")</f>
        <v>0.0</v>
      </c>
      <c r="I3552" s="2" t="n">
        <f>HYPERLINK("https://ppubs.uspto.gov/pubwebapp/external.html?q=20080187557.pn.","USPTO")</f>
        <v>0.0</v>
      </c>
      <c r="J3552" s="2" t="n">
        <f>HYPERLINK("https://image-ppubs.uspto.gov/dirsearch-public/print/downloadPdf/20080187557","USPTO PDF")</f>
        <v>0.0</v>
      </c>
      <c r="K3552" s="2" t="n">
        <f>HYPERLINK("https://sectors.patentforecast.com/pmd/US20080187557","PMD")</f>
        <v>0.0</v>
      </c>
      <c r="L3552" s="2" t="n">
        <f>HYPERLINK("https://globaldossier.uspto.gov/result/application/US/11911189/1","US20080187557")</f>
        <v>0.0</v>
      </c>
      <c r="M3552" t="s">
        <v>22716</v>
      </c>
      <c r="N3552" t="s">
        <v>22717</v>
      </c>
      <c r="O3552" t="s">
        <v>22718</v>
      </c>
      <c r="P3552" t="s">
        <v>22160</v>
      </c>
      <c r="Q3552" s="3" t="n">
        <v>38817.0</v>
      </c>
      <c r="R3552" s="3" t="n">
        <v>39667.0</v>
      </c>
      <c r="S3552" s="3" t="n">
        <v>43900.43738920139</v>
      </c>
      <c r="T3552" s="3" t="n">
        <v>43901.72156486111</v>
      </c>
      <c r="U3552" t="s">
        <v>22161</v>
      </c>
      <c r="V3552" t="s">
        <v>22162</v>
      </c>
    </row>
    <row r="3553">
      <c r="A3553" t="s">
        <v>22</v>
      </c>
      <c r="B3553" t="s">
        <v>22719</v>
      </c>
      <c r="C3553" t="s">
        <v>60</v>
      </c>
      <c r="D3553" t="s">
        <v>77</v>
      </c>
      <c r="E3553" t="s">
        <v>22408</v>
      </c>
      <c r="F3553" s="2" t="n">
        <f>HYPERLINK("https://patents.google.com/patent/US20080187528","Google")</f>
        <v>0.0</v>
      </c>
      <c r="G3553" s="2" t="n">
        <f>HYPERLINK("https://patentcenter.uspto.gov/applications/11940714","Patent Center")</f>
        <v>0.0</v>
      </c>
      <c r="H3553" s="2" t="n">
        <f>HYPERLINK("https://worldwide.espacenet.com/patent/search?q=US20080187528","Espacenet")</f>
        <v>0.0</v>
      </c>
      <c r="I3553" s="2" t="n">
        <f>HYPERLINK("https://ppubs.uspto.gov/pubwebapp/external.html?q=20080187528.pn.","USPTO")</f>
        <v>0.0</v>
      </c>
      <c r="J3553" s="2" t="n">
        <f>HYPERLINK("https://image-ppubs.uspto.gov/dirsearch-public/print/downloadPdf/20080187528","USPTO PDF")</f>
        <v>0.0</v>
      </c>
      <c r="K3553" s="2" t="n">
        <f>HYPERLINK("https://sectors.patentforecast.com/pmd/US20080187528","PMD")</f>
        <v>0.0</v>
      </c>
      <c r="L3553" s="2" t="n">
        <f>HYPERLINK("https://globaldossier.uspto.gov/result/application/US/11940714/1","US20080187528")</f>
        <v>0.0</v>
      </c>
      <c r="M3553" t="s">
        <v>22720</v>
      </c>
      <c r="N3553" t="s">
        <v>22410</v>
      </c>
      <c r="O3553" t="s">
        <v>22410</v>
      </c>
      <c r="P3553" t="s">
        <v>22721</v>
      </c>
      <c r="Q3553" s="3" t="n">
        <v>39401.0</v>
      </c>
      <c r="R3553" s="3" t="n">
        <v>39667.0</v>
      </c>
      <c r="S3553" s="3" t="n">
        <v>43966.48643596065</v>
      </c>
      <c r="T3553" s="3" t="n">
        <v>43985.69532324074</v>
      </c>
      <c r="U3553" t="s">
        <v>22722</v>
      </c>
      <c r="V3553" t="s">
        <v>22439</v>
      </c>
    </row>
    <row r="3554">
      <c r="A3554" t="s">
        <v>22</v>
      </c>
      <c r="B3554" t="s">
        <v>22723</v>
      </c>
      <c r="C3554" t="s">
        <v>24</v>
      </c>
      <c r="D3554" t="s">
        <v>258</v>
      </c>
      <c r="E3554" t="s">
        <v>22724</v>
      </c>
      <c r="F3554" s="2" t="n">
        <f>HYPERLINK("https://patents.google.com/patent/US20080183550","Google")</f>
        <v>0.0</v>
      </c>
      <c r="G3554" s="2" t="n">
        <f>HYPERLINK("https://patentcenter.uspto.gov/applications/11627076","Patent Center")</f>
        <v>0.0</v>
      </c>
      <c r="H3554" s="2" t="n">
        <f>HYPERLINK("https://worldwide.espacenet.com/patent/search?q=US20080183550","Espacenet")</f>
        <v>0.0</v>
      </c>
      <c r="I3554" s="2" t="n">
        <f>HYPERLINK("https://ppubs.uspto.gov/pubwebapp/external.html?q=20080183550.pn.","USPTO")</f>
        <v>0.0</v>
      </c>
      <c r="J3554" s="2" t="n">
        <f>HYPERLINK("https://image-ppubs.uspto.gov/dirsearch-public/print/downloadPdf/20080183550","USPTO PDF")</f>
        <v>0.0</v>
      </c>
      <c r="K3554" s="2" t="n">
        <f>HYPERLINK("https://sectors.patentforecast.com/pmd/US20080183550","PMD")</f>
        <v>0.0</v>
      </c>
      <c r="L3554" s="2" t="n">
        <f>HYPERLINK("https://globaldossier.uspto.gov/result/application/US/11627076/1","US20080183550")</f>
        <v>0.0</v>
      </c>
      <c r="M3554" t="s">
        <v>22725</v>
      </c>
      <c r="N3554" t="s">
        <v>947</v>
      </c>
      <c r="O3554" t="s">
        <v>948</v>
      </c>
      <c r="P3554" t="s">
        <v>22726</v>
      </c>
      <c r="Q3554" s="3" t="n">
        <v>39107.0</v>
      </c>
      <c r="R3554" s="3" t="n">
        <v>39660.0</v>
      </c>
      <c r="S3554" s="3" t="n">
        <v>43900.43738920139</v>
      </c>
      <c r="T3554" s="3" t="n">
        <v>43903.48463226852</v>
      </c>
      <c r="U3554" t="s">
        <v>22727</v>
      </c>
      <c r="V3554" t="s">
        <v>22728</v>
      </c>
    </row>
    <row r="3555">
      <c r="A3555" t="s">
        <v>22</v>
      </c>
      <c r="B3555" t="s">
        <v>22729</v>
      </c>
      <c r="C3555" t="s">
        <v>24</v>
      </c>
      <c r="D3555" t="s">
        <v>25</v>
      </c>
      <c r="E3555" t="s">
        <v>22730</v>
      </c>
      <c r="F3555" s="2" t="n">
        <f>HYPERLINK("https://patents.google.com/patent/US20080183433","Google")</f>
        <v>0.0</v>
      </c>
      <c r="G3555" s="2" t="n">
        <f>HYPERLINK("https://patentcenter.uspto.gov/applications/11700686","Patent Center")</f>
        <v>0.0</v>
      </c>
      <c r="H3555" s="2" t="n">
        <f>HYPERLINK("https://worldwide.espacenet.com/patent/search?q=US20080183433","Espacenet")</f>
        <v>0.0</v>
      </c>
      <c r="I3555" s="2" t="n">
        <f>HYPERLINK("https://ppubs.uspto.gov/pubwebapp/external.html?q=20080183433.pn.","USPTO")</f>
        <v>0.0</v>
      </c>
      <c r="J3555" s="2" t="n">
        <f>HYPERLINK("https://image-ppubs.uspto.gov/dirsearch-public/print/downloadPdf/20080183433","USPTO PDF")</f>
        <v>0.0</v>
      </c>
      <c r="K3555" s="2" t="n">
        <f>HYPERLINK("https://sectors.patentforecast.com/pmd/US20080183433","PMD")</f>
        <v>0.0</v>
      </c>
      <c r="L3555" s="2" t="n">
        <f>HYPERLINK("https://globaldossier.uspto.gov/result/application/US/11700686/1","US20080183433")</f>
        <v>0.0</v>
      </c>
      <c r="M3555" t="s">
        <v>22731</v>
      </c>
      <c r="N3555" t="s">
        <v>22732</v>
      </c>
      <c r="O3555" t="s">
        <v>22733</v>
      </c>
      <c r="P3555" t="s">
        <v>22734</v>
      </c>
      <c r="Q3555" s="3" t="n">
        <v>39112.0</v>
      </c>
      <c r="R3555" s="3" t="n">
        <v>39660.0</v>
      </c>
      <c r="S3555" s="3" t="n">
        <v>43266.457375543985</v>
      </c>
      <c r="T3555" s="3" t="n">
        <v>44761.484177060185</v>
      </c>
      <c r="U3555" t="s">
        <v>15882</v>
      </c>
      <c r="V3555" t="s">
        <v>22735</v>
      </c>
    </row>
    <row r="3556">
      <c r="A3556" t="s">
        <v>22</v>
      </c>
      <c r="B3556" t="s">
        <v>22736</v>
      </c>
      <c r="C3556" t="s">
        <v>60</v>
      </c>
      <c r="D3556" t="s">
        <v>61</v>
      </c>
      <c r="E3556" t="s">
        <v>22313</v>
      </c>
      <c r="F3556" s="2" t="n">
        <f>HYPERLINK("https://patents.google.com/patent/US20080182870","Google")</f>
        <v>0.0</v>
      </c>
      <c r="G3556" s="2" t="n">
        <f>HYPERLINK("https://patentcenter.uspto.gov/applications/11963723","Patent Center")</f>
        <v>0.0</v>
      </c>
      <c r="H3556" s="2" t="n">
        <f>HYPERLINK("https://worldwide.espacenet.com/patent/search?q=US20080182870","Espacenet")</f>
        <v>0.0</v>
      </c>
      <c r="I3556" s="2" t="n">
        <f>HYPERLINK("https://ppubs.uspto.gov/pubwebapp/external.html?q=20080182870.pn.","USPTO")</f>
        <v>0.0</v>
      </c>
      <c r="J3556" s="2" t="n">
        <f>HYPERLINK("https://image-ppubs.uspto.gov/dirsearch-public/print/downloadPdf/20080182870","USPTO PDF")</f>
        <v>0.0</v>
      </c>
      <c r="K3556" s="2" t="n">
        <f>HYPERLINK("https://sectors.patentforecast.com/pmd/US20080182870","PMD")</f>
        <v>0.0</v>
      </c>
      <c r="L3556" s="2" t="n">
        <f>HYPERLINK("https://globaldossier.uspto.gov/result/application/US/11963723/1","US20080182870")</f>
        <v>0.0</v>
      </c>
      <c r="M3556" t="s">
        <v>22737</v>
      </c>
      <c r="N3556" t="s">
        <v>664</v>
      </c>
      <c r="O3556" t="s">
        <v>665</v>
      </c>
      <c r="P3556" t="s">
        <v>22738</v>
      </c>
      <c r="Q3556" s="3" t="n">
        <v>39437.0</v>
      </c>
      <c r="R3556" s="3" t="n">
        <v>39660.0</v>
      </c>
      <c r="S3556" s="3" t="n">
        <v>43952.46140840278</v>
      </c>
      <c r="T3556" s="3" t="n">
        <v>44638.65579662037</v>
      </c>
      <c r="U3556" t="s">
        <v>22739</v>
      </c>
      <c r="V3556" t="s">
        <v>22740</v>
      </c>
    </row>
    <row r="3557">
      <c r="A3557" t="s">
        <v>22</v>
      </c>
      <c r="B3557" t="s">
        <v>22741</v>
      </c>
      <c r="C3557" t="s">
        <v>24</v>
      </c>
      <c r="D3557" t="s">
        <v>258</v>
      </c>
      <c r="E3557" t="s">
        <v>22742</v>
      </c>
      <c r="F3557" s="2" t="n">
        <f>HYPERLINK("https://patents.google.com/patent/US20080177614","Google")</f>
        <v>0.0</v>
      </c>
      <c r="G3557" s="2" t="n">
        <f>HYPERLINK("https://patentcenter.uspto.gov/applications/11626452","Patent Center")</f>
        <v>0.0</v>
      </c>
      <c r="H3557" s="2" t="n">
        <f>HYPERLINK("https://worldwide.espacenet.com/patent/search?q=US20080177614","Espacenet")</f>
        <v>0.0</v>
      </c>
      <c r="I3557" s="2" t="n">
        <f>HYPERLINK("https://ppubs.uspto.gov/pubwebapp/external.html?q=20080177614.pn.","USPTO")</f>
        <v>0.0</v>
      </c>
      <c r="J3557" s="2" t="n">
        <f>HYPERLINK("https://image-ppubs.uspto.gov/dirsearch-public/print/downloadPdf/20080177614","USPTO PDF")</f>
        <v>0.0</v>
      </c>
      <c r="K3557" s="2" t="n">
        <f>HYPERLINK("https://sectors.patentforecast.com/pmd/US20080177614","PMD")</f>
        <v>0.0</v>
      </c>
      <c r="L3557" s="2" t="n">
        <f>HYPERLINK("https://globaldossier.uspto.gov/result/application/US/11626452/1","US20080177614")</f>
        <v>0.0</v>
      </c>
      <c r="M3557" t="s">
        <v>22743</v>
      </c>
      <c r="N3557" t="s">
        <v>947</v>
      </c>
      <c r="O3557" t="s">
        <v>948</v>
      </c>
      <c r="P3557" t="s">
        <v>22744</v>
      </c>
      <c r="Q3557" s="3" t="n">
        <v>39106.0</v>
      </c>
      <c r="R3557" s="3" t="n">
        <v>39653.0</v>
      </c>
      <c r="S3557" s="3" t="n">
        <v>43266.457375543985</v>
      </c>
      <c r="T3557" s="3" t="n">
        <v>43903.68813326389</v>
      </c>
      <c r="U3557" t="s">
        <v>22745</v>
      </c>
      <c r="V3557" t="s">
        <v>22746</v>
      </c>
    </row>
    <row r="3558">
      <c r="A3558" t="s">
        <v>22</v>
      </c>
      <c r="B3558" t="s">
        <v>22747</v>
      </c>
      <c r="C3558" t="s">
        <v>24</v>
      </c>
      <c r="D3558" t="s">
        <v>25</v>
      </c>
      <c r="E3558" t="s">
        <v>22748</v>
      </c>
      <c r="F3558" s="2" t="n">
        <f>HYPERLINK("https://patents.google.com/patent/US20080177571","Google")</f>
        <v>0.0</v>
      </c>
      <c r="G3558" s="2" t="n">
        <f>HYPERLINK("https://patentcenter.uspto.gov/applications/11870582","Patent Center")</f>
        <v>0.0</v>
      </c>
      <c r="H3558" s="2" t="n">
        <f>HYPERLINK("https://worldwide.espacenet.com/patent/search?q=US20080177571","Espacenet")</f>
        <v>0.0</v>
      </c>
      <c r="I3558" s="2" t="n">
        <f>HYPERLINK("https://ppubs.uspto.gov/pubwebapp/external.html?q=20080177571.pn.","USPTO")</f>
        <v>0.0</v>
      </c>
      <c r="J3558" s="2" t="n">
        <f>HYPERLINK("https://image-ppubs.uspto.gov/dirsearch-public/print/downloadPdf/20080177571","USPTO PDF")</f>
        <v>0.0</v>
      </c>
      <c r="K3558" s="2" t="n">
        <f>HYPERLINK("https://sectors.patentforecast.com/pmd/US20080177571","PMD")</f>
        <v>0.0</v>
      </c>
      <c r="L3558" s="2" t="n">
        <f>HYPERLINK("https://globaldossier.uspto.gov/result/application/US/11870582/1","US20080177571")</f>
        <v>0.0</v>
      </c>
      <c r="M3558" t="s">
        <v>22749</v>
      </c>
      <c r="N3558" t="s">
        <v>1227</v>
      </c>
      <c r="O3558" t="s">
        <v>1228</v>
      </c>
      <c r="P3558" t="s">
        <v>22750</v>
      </c>
      <c r="Q3558" s="3" t="n">
        <v>39366.0</v>
      </c>
      <c r="R3558" s="3" t="n">
        <v>39653.0</v>
      </c>
      <c r="S3558" s="3" t="n">
        <v>43266.457375543985</v>
      </c>
      <c r="T3558" s="3" t="n">
        <v>43901.721565162035</v>
      </c>
      <c r="U3558" t="s">
        <v>22516</v>
      </c>
      <c r="V3558" t="s">
        <v>22751</v>
      </c>
    </row>
    <row r="3559">
      <c r="A3559" t="s">
        <v>22</v>
      </c>
      <c r="B3559" t="s">
        <v>22752</v>
      </c>
      <c r="C3559" t="s">
        <v>24</v>
      </c>
      <c r="D3559" t="s">
        <v>258</v>
      </c>
      <c r="E3559" t="s">
        <v>22753</v>
      </c>
      <c r="F3559" s="2" t="n">
        <f>HYPERLINK("https://patents.google.com/patent/US20080172262","Google")</f>
        <v>0.0</v>
      </c>
      <c r="G3559" s="2" t="n">
        <f>HYPERLINK("https://patentcenter.uspto.gov/applications/11622705","Patent Center")</f>
        <v>0.0</v>
      </c>
      <c r="H3559" s="2" t="n">
        <f>HYPERLINK("https://worldwide.espacenet.com/patent/search?q=US20080172262","Espacenet")</f>
        <v>0.0</v>
      </c>
      <c r="I3559" s="2" t="n">
        <f>HYPERLINK("https://ppubs.uspto.gov/pubwebapp/external.html?q=20080172262.pn.","USPTO")</f>
        <v>0.0</v>
      </c>
      <c r="J3559" s="2" t="n">
        <f>HYPERLINK("https://image-ppubs.uspto.gov/dirsearch-public/print/downloadPdf/20080172262","USPTO PDF")</f>
        <v>0.0</v>
      </c>
      <c r="K3559" s="2" t="n">
        <f>HYPERLINK("https://sectors.patentforecast.com/pmd/US20080172262","PMD")</f>
        <v>0.0</v>
      </c>
      <c r="L3559" s="2" t="n">
        <f>HYPERLINK("https://globaldossier.uspto.gov/result/application/US/11622705/1","US20080172262")</f>
        <v>0.0</v>
      </c>
      <c r="M3559" t="s">
        <v>22754</v>
      </c>
      <c r="N3559" t="s">
        <v>947</v>
      </c>
      <c r="O3559" t="s">
        <v>948</v>
      </c>
      <c r="P3559" t="s">
        <v>22755</v>
      </c>
      <c r="Q3559" s="3" t="n">
        <v>39094.0</v>
      </c>
      <c r="R3559" s="3" t="n">
        <v>39646.0</v>
      </c>
      <c r="S3559" s="3" t="n">
        <v>43931.46057217593</v>
      </c>
      <c r="T3559" s="3" t="n">
        <v>43991.45871224537</v>
      </c>
      <c r="U3559" t="s">
        <v>22756</v>
      </c>
      <c r="V3559" t="s">
        <v>22757</v>
      </c>
    </row>
    <row r="3560">
      <c r="A3560" t="s">
        <v>22</v>
      </c>
      <c r="B3560" t="s">
        <v>22758</v>
      </c>
      <c r="C3560" t="s">
        <v>24</v>
      </c>
      <c r="D3560" t="s">
        <v>34</v>
      </c>
      <c r="E3560" t="s">
        <v>22759</v>
      </c>
      <c r="F3560" s="2" t="n">
        <f>HYPERLINK("https://patents.google.com/patent/US20080171916","Google")</f>
        <v>0.0</v>
      </c>
      <c r="G3560" s="2" t="n">
        <f>HYPERLINK("https://patentcenter.uspto.gov/applications/12075609","Patent Center")</f>
        <v>0.0</v>
      </c>
      <c r="H3560" s="2" t="n">
        <f>HYPERLINK("https://worldwide.espacenet.com/patent/search?q=US20080171916","Espacenet")</f>
        <v>0.0</v>
      </c>
      <c r="I3560" s="2" t="n">
        <f>HYPERLINK("https://ppubs.uspto.gov/pubwebapp/external.html?q=20080171916.pn.","USPTO")</f>
        <v>0.0</v>
      </c>
      <c r="J3560" s="2" t="n">
        <f>HYPERLINK("https://image-ppubs.uspto.gov/dirsearch-public/print/downloadPdf/20080171916","USPTO PDF")</f>
        <v>0.0</v>
      </c>
      <c r="K3560" s="2" t="n">
        <f>HYPERLINK("https://sectors.patentforecast.com/pmd/US20080171916","PMD")</f>
        <v>0.0</v>
      </c>
      <c r="L3560" s="2" t="n">
        <f>HYPERLINK("https://globaldossier.uspto.gov/result/application/US/12075609/1","US20080171916")</f>
        <v>0.0</v>
      </c>
      <c r="M3560" t="s">
        <v>22760</v>
      </c>
      <c r="N3560" t="s">
        <v>22761</v>
      </c>
      <c r="O3560" t="s">
        <v>22762</v>
      </c>
      <c r="P3560" t="s">
        <v>22763</v>
      </c>
      <c r="Q3560" s="3" t="n">
        <v>39520.0</v>
      </c>
      <c r="R3560" s="3" t="n">
        <v>39646.0</v>
      </c>
      <c r="S3560" s="3" t="n">
        <v>43906.373019363426</v>
      </c>
      <c r="T3560" s="3" t="n">
        <v>44678.64301946759</v>
      </c>
      <c r="U3560" t="s">
        <v>22764</v>
      </c>
      <c r="V3560" t="s">
        <v>22765</v>
      </c>
    </row>
    <row r="3561">
      <c r="A3561" t="s">
        <v>22</v>
      </c>
      <c r="B3561" t="s">
        <v>22766</v>
      </c>
      <c r="C3561" t="s">
        <v>132</v>
      </c>
      <c r="D3561" t="s">
        <v>1265</v>
      </c>
      <c r="E3561" t="s">
        <v>22767</v>
      </c>
      <c r="F3561" s="2" t="n">
        <f>HYPERLINK("https://patents.google.com/patent/US20080171063","Google")</f>
        <v>0.0</v>
      </c>
      <c r="G3561" s="2" t="n">
        <f>HYPERLINK("https://patentcenter.uspto.gov/applications/11909388","Patent Center")</f>
        <v>0.0</v>
      </c>
      <c r="H3561" s="2" t="n">
        <f>HYPERLINK("https://worldwide.espacenet.com/patent/search?q=US20080171063","Espacenet")</f>
        <v>0.0</v>
      </c>
      <c r="I3561" s="2" t="n">
        <f>HYPERLINK("https://ppubs.uspto.gov/pubwebapp/external.html?q=20080171063.pn.","USPTO")</f>
        <v>0.0</v>
      </c>
      <c r="J3561" s="2" t="n">
        <f>HYPERLINK("https://image-ppubs.uspto.gov/dirsearch-public/print/downloadPdf/20080171063","USPTO PDF")</f>
        <v>0.0</v>
      </c>
      <c r="K3561" s="2" t="n">
        <f>HYPERLINK("https://sectors.patentforecast.com/pmd/US20080171063","PMD")</f>
        <v>0.0</v>
      </c>
      <c r="L3561" s="2" t="n">
        <f>HYPERLINK("https://globaldossier.uspto.gov/result/application/US/11909388/1","US20080171063")</f>
        <v>0.0</v>
      </c>
      <c r="M3561" t="s">
        <v>22768</v>
      </c>
      <c r="N3561" t="s">
        <v>15147</v>
      </c>
      <c r="O3561" t="s">
        <v>15148</v>
      </c>
      <c r="P3561" t="s">
        <v>21693</v>
      </c>
      <c r="Q3561" s="3" t="n">
        <v>38797.0</v>
      </c>
      <c r="R3561" s="3" t="n">
        <v>39646.0</v>
      </c>
      <c r="S3561" s="3" t="n">
        <v>43900.43738920139</v>
      </c>
      <c r="T3561" s="3" t="n">
        <v>43901.72156431713</v>
      </c>
      <c r="U3561" t="s">
        <v>22769</v>
      </c>
      <c r="V3561" t="s">
        <v>20495</v>
      </c>
    </row>
    <row r="3562">
      <c r="A3562" t="s">
        <v>22</v>
      </c>
      <c r="B3562" t="s">
        <v>22770</v>
      </c>
      <c r="C3562" t="s">
        <v>60</v>
      </c>
      <c r="D3562" t="s">
        <v>715</v>
      </c>
      <c r="E3562" t="s">
        <v>21971</v>
      </c>
      <c r="F3562" s="2" t="n">
        <f>HYPERLINK("https://patents.google.com/patent/US20080168990","Google")</f>
        <v>0.0</v>
      </c>
      <c r="G3562" s="2" t="n">
        <f>HYPERLINK("https://patentcenter.uspto.gov/applications/11871341","Patent Center")</f>
        <v>0.0</v>
      </c>
      <c r="H3562" s="2" t="n">
        <f>HYPERLINK("https://worldwide.espacenet.com/patent/search?q=US20080168990","Espacenet")</f>
        <v>0.0</v>
      </c>
      <c r="I3562" s="2" t="n">
        <f>HYPERLINK("https://ppubs.uspto.gov/pubwebapp/external.html?q=20080168990.pn.","USPTO")</f>
        <v>0.0</v>
      </c>
      <c r="J3562" s="2" t="n">
        <f>HYPERLINK("https://image-ppubs.uspto.gov/dirsearch-public/print/downloadPdf/20080168990","USPTO PDF")</f>
        <v>0.0</v>
      </c>
      <c r="K3562" s="2" t="n">
        <f>HYPERLINK("https://sectors.patentforecast.com/pmd/US20080168990","PMD")</f>
        <v>0.0</v>
      </c>
      <c r="L3562" s="2" t="n">
        <f>HYPERLINK("https://globaldossier.uspto.gov/result/application/US/11871341/1","US20080168990")</f>
        <v>0.0</v>
      </c>
      <c r="M3562" t="s">
        <v>22771</v>
      </c>
      <c r="N3562" t="s">
        <v>21973</v>
      </c>
      <c r="O3562" t="s">
        <v>21974</v>
      </c>
      <c r="P3562" t="s">
        <v>22772</v>
      </c>
      <c r="Q3562" s="3" t="n">
        <v>39367.0</v>
      </c>
      <c r="R3562" s="3" t="n">
        <v>39646.0</v>
      </c>
      <c r="S3562" s="3" t="n">
        <v>43900.43738920139</v>
      </c>
      <c r="T3562" s="3" t="n">
        <v>44643.4015740625</v>
      </c>
      <c r="U3562" t="s">
        <v>22773</v>
      </c>
      <c r="V3562" t="s">
        <v>22774</v>
      </c>
    </row>
    <row r="3563">
      <c r="A3563" t="s">
        <v>22</v>
      </c>
      <c r="B3563" t="s">
        <v>22775</v>
      </c>
      <c r="C3563" t="s">
        <v>60</v>
      </c>
      <c r="D3563" t="s">
        <v>61</v>
      </c>
      <c r="E3563" t="s">
        <v>22776</v>
      </c>
      <c r="F3563" s="2" t="n">
        <f>HYPERLINK("https://patents.google.com/patent/US20080153783","Google")</f>
        <v>0.0</v>
      </c>
      <c r="G3563" s="2" t="n">
        <f>HYPERLINK("https://patentcenter.uspto.gov/applications/10585504","Patent Center")</f>
        <v>0.0</v>
      </c>
      <c r="H3563" s="2" t="n">
        <f>HYPERLINK("https://worldwide.espacenet.com/patent/search?q=US20080153783","Espacenet")</f>
        <v>0.0</v>
      </c>
      <c r="I3563" s="2" t="n">
        <f>HYPERLINK("https://ppubs.uspto.gov/pubwebapp/external.html?q=20080153783.pn.","USPTO")</f>
        <v>0.0</v>
      </c>
      <c r="J3563" s="2" t="n">
        <f>HYPERLINK("https://image-ppubs.uspto.gov/dirsearch-public/print/downloadPdf/20080153783","USPTO PDF")</f>
        <v>0.0</v>
      </c>
      <c r="K3563" s="2" t="n">
        <f>HYPERLINK("https://sectors.patentforecast.com/pmd/US20080153783","PMD")</f>
        <v>0.0</v>
      </c>
      <c r="L3563" s="2" t="n">
        <f>HYPERLINK("https://globaldossier.uspto.gov/result/application/US/10585504/1","US20080153783")</f>
        <v>0.0</v>
      </c>
      <c r="M3563" t="s">
        <v>22777</v>
      </c>
      <c r="N3563" t="s">
        <v>664</v>
      </c>
      <c r="O3563" t="s">
        <v>665</v>
      </c>
      <c r="P3563" t="s">
        <v>22778</v>
      </c>
      <c r="Q3563" s="3" t="n">
        <v>38657.0</v>
      </c>
      <c r="R3563" s="3" t="n">
        <v>39625.0</v>
      </c>
      <c r="S3563" s="3" t="n">
        <v>43952.46140840278</v>
      </c>
      <c r="T3563" s="3" t="n">
        <v>44638.65271974537</v>
      </c>
      <c r="U3563" t="s">
        <v>22779</v>
      </c>
      <c r="V3563" t="s">
        <v>22780</v>
      </c>
    </row>
    <row r="3564">
      <c r="A3564" t="s">
        <v>22</v>
      </c>
      <c r="B3564" t="s">
        <v>22781</v>
      </c>
      <c r="C3564" t="s">
        <v>60</v>
      </c>
      <c r="D3564" t="s">
        <v>2262</v>
      </c>
      <c r="E3564" t="s">
        <v>22782</v>
      </c>
      <c r="F3564" s="2" t="n">
        <f>HYPERLINK("https://patents.google.com/patent/US20080152735","Google")</f>
        <v>0.0</v>
      </c>
      <c r="G3564" s="2" t="n">
        <f>HYPERLINK("https://patentcenter.uspto.gov/applications/11963628","Patent Center")</f>
        <v>0.0</v>
      </c>
      <c r="H3564" s="2" t="n">
        <f>HYPERLINK("https://worldwide.espacenet.com/patent/search?q=US20080152735","Espacenet")</f>
        <v>0.0</v>
      </c>
      <c r="I3564" s="2" t="n">
        <f>HYPERLINK("https://ppubs.uspto.gov/pubwebapp/external.html?q=20080152735.pn.","USPTO")</f>
        <v>0.0</v>
      </c>
      <c r="J3564" s="2" t="n">
        <f>HYPERLINK("https://image-ppubs.uspto.gov/dirsearch-public/print/downloadPdf/20080152735","USPTO PDF")</f>
        <v>0.0</v>
      </c>
      <c r="K3564" s="2" t="n">
        <f>HYPERLINK("https://sectors.patentforecast.com/pmd/US20080152735","PMD")</f>
        <v>0.0</v>
      </c>
      <c r="L3564" s="2" t="n">
        <f>HYPERLINK("https://globaldossier.uspto.gov/result/application/US/11963628/1","US20080152735")</f>
        <v>0.0</v>
      </c>
      <c r="M3564" t="s">
        <v>22783</v>
      </c>
      <c r="N3564" t="s">
        <v>3823</v>
      </c>
      <c r="O3564" t="s">
        <v>3823</v>
      </c>
      <c r="P3564" t="s">
        <v>22784</v>
      </c>
      <c r="Q3564" s="3" t="n">
        <v>39437.0</v>
      </c>
      <c r="R3564" s="3" t="n">
        <v>39625.0</v>
      </c>
      <c r="S3564" s="3" t="n">
        <v>43966.48643596065</v>
      </c>
      <c r="T3564" s="3" t="n">
        <v>44672.395482789354</v>
      </c>
      <c r="U3564" t="s">
        <v>22785</v>
      </c>
      <c r="V3564" t="s">
        <v>22786</v>
      </c>
    </row>
    <row r="3565">
      <c r="A3565" t="s">
        <v>22</v>
      </c>
      <c r="B3565" t="s">
        <v>22787</v>
      </c>
      <c r="C3565" t="s">
        <v>24</v>
      </c>
      <c r="D3565" t="s">
        <v>34</v>
      </c>
      <c r="E3565" t="s">
        <v>22788</v>
      </c>
      <c r="F3565" s="2" t="n">
        <f>HYPERLINK("https://patents.google.com/patent/US20080140708","Google")</f>
        <v>0.0</v>
      </c>
      <c r="G3565" s="2" t="n">
        <f>HYPERLINK("https://patentcenter.uspto.gov/applications/10355091","Patent Center")</f>
        <v>0.0</v>
      </c>
      <c r="H3565" s="2" t="n">
        <f>HYPERLINK("https://worldwide.espacenet.com/patent/search?q=US20080140708","Espacenet")</f>
        <v>0.0</v>
      </c>
      <c r="I3565" s="2" t="n">
        <f>HYPERLINK("https://ppubs.uspto.gov/pubwebapp/external.html?q=20080140708.pn.","USPTO")</f>
        <v>0.0</v>
      </c>
      <c r="J3565" s="2" t="n">
        <f>HYPERLINK("https://image-ppubs.uspto.gov/dirsearch-public/print/downloadPdf/20080140708","USPTO PDF")</f>
        <v>0.0</v>
      </c>
      <c r="K3565" s="2" t="n">
        <f>HYPERLINK("https://sectors.patentforecast.com/pmd/US20080140708","PMD")</f>
        <v>0.0</v>
      </c>
      <c r="L3565" s="2" t="n">
        <f>HYPERLINK("https://globaldossier.uspto.gov/result/application/US/10355091/1","US20080140708")</f>
        <v>0.0</v>
      </c>
      <c r="M3565" t="s">
        <v>22789</v>
      </c>
      <c r="N3565" t="s">
        <v>22790</v>
      </c>
      <c r="O3565" t="s">
        <v>22791</v>
      </c>
      <c r="P3565" t="s">
        <v>22792</v>
      </c>
      <c r="Q3565" s="3" t="n">
        <v>37652.0</v>
      </c>
      <c r="R3565" s="3" t="n">
        <v>39611.0</v>
      </c>
      <c r="S3565" s="3" t="n">
        <v>43266.45737642361</v>
      </c>
      <c r="T3565" s="3" t="n">
        <v>43901.72156518519</v>
      </c>
      <c r="U3565" t="s">
        <v>22793</v>
      </c>
      <c r="V3565" t="s">
        <v>22794</v>
      </c>
    </row>
    <row r="3566">
      <c r="A3566" t="s">
        <v>22</v>
      </c>
      <c r="B3566" t="s">
        <v>22795</v>
      </c>
      <c r="C3566" t="s">
        <v>312</v>
      </c>
      <c r="D3566" t="s">
        <v>3202</v>
      </c>
      <c r="E3566" t="s">
        <v>22796</v>
      </c>
      <c r="F3566" s="2" t="n">
        <f>HYPERLINK("https://patents.google.com/patent/US20080139890","Google")</f>
        <v>0.0</v>
      </c>
      <c r="G3566" s="2" t="n">
        <f>HYPERLINK("https://patentcenter.uspto.gov/applications/11581912","Patent Center")</f>
        <v>0.0</v>
      </c>
      <c r="H3566" s="2" t="n">
        <f>HYPERLINK("https://worldwide.espacenet.com/patent/search?q=US20080139890","Espacenet")</f>
        <v>0.0</v>
      </c>
      <c r="I3566" s="2" t="n">
        <f>HYPERLINK("https://ppubs.uspto.gov/pubwebapp/external.html?q=20080139890.pn.","USPTO")</f>
        <v>0.0</v>
      </c>
      <c r="J3566" s="2" t="n">
        <f>HYPERLINK("https://image-ppubs.uspto.gov/dirsearch-public/print/downloadPdf/20080139890","USPTO PDF")</f>
        <v>0.0</v>
      </c>
      <c r="K3566" s="2" t="n">
        <f>HYPERLINK("https://sectors.patentforecast.com/pmd/US20080139890","PMD")</f>
        <v>0.0</v>
      </c>
      <c r="L3566" s="2" t="n">
        <f>HYPERLINK("https://globaldossier.uspto.gov/result/application/US/11581912/1","US20080139890")</f>
        <v>0.0</v>
      </c>
      <c r="M3566" t="s">
        <v>22797</v>
      </c>
      <c r="N3566" t="s">
        <v>17334</v>
      </c>
      <c r="O3566" t="s">
        <v>17335</v>
      </c>
      <c r="P3566" t="s">
        <v>17582</v>
      </c>
      <c r="Q3566" s="3" t="n">
        <v>39007.0</v>
      </c>
      <c r="R3566" s="3" t="n">
        <v>39611.0</v>
      </c>
      <c r="S3566" s="3" t="n">
        <v>43266.45737642361</v>
      </c>
      <c r="T3566" s="3" t="n">
        <v>44643.6535825463</v>
      </c>
      <c r="U3566" t="s">
        <v>20713</v>
      </c>
      <c r="V3566" t="s">
        <v>17584</v>
      </c>
    </row>
    <row r="3567">
      <c r="A3567" t="s">
        <v>22</v>
      </c>
      <c r="B3567" t="s">
        <v>22798</v>
      </c>
      <c r="C3567" t="s">
        <v>312</v>
      </c>
      <c r="D3567" t="s">
        <v>976</v>
      </c>
      <c r="E3567" t="s">
        <v>22799</v>
      </c>
      <c r="F3567" s="2" t="n">
        <f>HYPERLINK("https://patents.google.com/patent/US20080091471","Google")</f>
        <v>0.0</v>
      </c>
      <c r="G3567" s="2" t="n">
        <f>HYPERLINK("https://patentcenter.uspto.gov/applications/11796727","Patent Center")</f>
        <v>0.0</v>
      </c>
      <c r="H3567" s="2" t="n">
        <f>HYPERLINK("https://worldwide.espacenet.com/patent/search?q=US20080091471","Espacenet")</f>
        <v>0.0</v>
      </c>
      <c r="I3567" s="2" t="n">
        <f>HYPERLINK("https://ppubs.uspto.gov/pubwebapp/external.html?q=20080091471.pn.","USPTO")</f>
        <v>0.0</v>
      </c>
      <c r="J3567" s="2" t="n">
        <f>HYPERLINK("https://image-ppubs.uspto.gov/dirsearch-public/print/downloadPdf/20080091471","USPTO PDF")</f>
        <v>0.0</v>
      </c>
      <c r="K3567" s="2" t="n">
        <f>HYPERLINK("https://sectors.patentforecast.com/pmd/US20080091471","PMD")</f>
        <v>0.0</v>
      </c>
      <c r="L3567" s="2" t="n">
        <f>HYPERLINK("https://globaldossier.uspto.gov/result/application/US/11796727/1","US20080091471")</f>
        <v>0.0</v>
      </c>
      <c r="M3567" t="s">
        <v>22800</v>
      </c>
      <c r="N3567" t="s">
        <v>22801</v>
      </c>
      <c r="O3567" t="s">
        <v>22802</v>
      </c>
      <c r="P3567" t="s">
        <v>22803</v>
      </c>
      <c r="Q3567" s="3" t="n">
        <v>39199.0</v>
      </c>
      <c r="R3567" s="3" t="n">
        <v>39555.0</v>
      </c>
      <c r="S3567" s="3" t="n">
        <v>43266.457376412036</v>
      </c>
      <c r="T3567" s="3" t="n">
        <v>44761.48487086806</v>
      </c>
      <c r="U3567" t="s">
        <v>22804</v>
      </c>
      <c r="V3567" t="s">
        <v>22805</v>
      </c>
    </row>
    <row r="3568">
      <c r="A3568" t="s">
        <v>22</v>
      </c>
      <c r="B3568" t="s">
        <v>22806</v>
      </c>
      <c r="C3568" t="s">
        <v>60</v>
      </c>
      <c r="D3568" t="s">
        <v>61</v>
      </c>
      <c r="E3568" t="s">
        <v>22432</v>
      </c>
      <c r="F3568" s="2" t="n">
        <f>HYPERLINK("https://patents.google.com/patent/US20080076740","Google")</f>
        <v>0.0</v>
      </c>
      <c r="G3568" s="2" t="n">
        <f>HYPERLINK("https://patentcenter.uspto.gov/applications/11494818","Patent Center")</f>
        <v>0.0</v>
      </c>
      <c r="H3568" s="2" t="n">
        <f>HYPERLINK("https://worldwide.espacenet.com/patent/search?q=US20080076740","Espacenet")</f>
        <v>0.0</v>
      </c>
      <c r="I3568" s="2" t="n">
        <f>HYPERLINK("https://ppubs.uspto.gov/pubwebapp/external.html?q=20080076740.pn.","USPTO")</f>
        <v>0.0</v>
      </c>
      <c r="J3568" s="2" t="n">
        <f>HYPERLINK("https://image-ppubs.uspto.gov/dirsearch-public/print/downloadPdf/20080076740","USPTO PDF")</f>
        <v>0.0</v>
      </c>
      <c r="K3568" s="2" t="n">
        <f>HYPERLINK("https://sectors.patentforecast.com/pmd/US20080076740","PMD")</f>
        <v>0.0</v>
      </c>
      <c r="L3568" s="2" t="n">
        <f>HYPERLINK("https://globaldossier.uspto.gov/result/application/US/11494818/1","US20080076740")</f>
        <v>0.0</v>
      </c>
      <c r="M3568" t="s">
        <v>22807</v>
      </c>
      <c r="N3568" t="s">
        <v>664</v>
      </c>
      <c r="O3568" t="s">
        <v>665</v>
      </c>
      <c r="P3568" t="s">
        <v>22808</v>
      </c>
      <c r="Q3568" s="3" t="n">
        <v>38925.0</v>
      </c>
      <c r="R3568" s="3" t="n">
        <v>39534.0</v>
      </c>
      <c r="S3568" s="3" t="n">
        <v>43952.46140840278</v>
      </c>
      <c r="T3568" s="3" t="n">
        <v>44638.65271974537</v>
      </c>
      <c r="U3568" t="s">
        <v>22809</v>
      </c>
      <c r="V3568" t="s">
        <v>17358</v>
      </c>
    </row>
    <row r="3569">
      <c r="A3569" t="s">
        <v>22</v>
      </c>
      <c r="B3569" t="s">
        <v>22810</v>
      </c>
      <c r="C3569" t="s">
        <v>132</v>
      </c>
      <c r="D3569" t="s">
        <v>1265</v>
      </c>
      <c r="E3569" t="s">
        <v>22448</v>
      </c>
      <c r="F3569" s="2" t="n">
        <f>HYPERLINK("https://patents.google.com/patent/US20080069821","Google")</f>
        <v>0.0</v>
      </c>
      <c r="G3569" s="2" t="n">
        <f>HYPERLINK("https://patentcenter.uspto.gov/applications/11836413","Patent Center")</f>
        <v>0.0</v>
      </c>
      <c r="H3569" s="2" t="n">
        <f>HYPERLINK("https://worldwide.espacenet.com/patent/search?q=US20080069821","Espacenet")</f>
        <v>0.0</v>
      </c>
      <c r="I3569" s="2" t="n">
        <f>HYPERLINK("https://ppubs.uspto.gov/pubwebapp/external.html?q=20080069821.pn.","USPTO")</f>
        <v>0.0</v>
      </c>
      <c r="J3569" s="2" t="n">
        <f>HYPERLINK("https://image-ppubs.uspto.gov/dirsearch-public/print/downloadPdf/20080069821","USPTO PDF")</f>
        <v>0.0</v>
      </c>
      <c r="K3569" s="2" t="n">
        <f>HYPERLINK("https://sectors.patentforecast.com/pmd/US20080069821","PMD")</f>
        <v>0.0</v>
      </c>
      <c r="L3569" s="2" t="n">
        <f>HYPERLINK("https://globaldossier.uspto.gov/result/application/US/11836413/1","US20080069821")</f>
        <v>0.0</v>
      </c>
      <c r="M3569" t="s">
        <v>22811</v>
      </c>
      <c r="N3569" t="s">
        <v>21123</v>
      </c>
      <c r="O3569" t="s">
        <v>21124</v>
      </c>
      <c r="P3569" t="s">
        <v>21728</v>
      </c>
      <c r="Q3569" s="3" t="n">
        <v>39303.0</v>
      </c>
      <c r="R3569" s="3" t="n">
        <v>39527.0</v>
      </c>
      <c r="S3569" s="3" t="n">
        <v>43900.43738920139</v>
      </c>
      <c r="T3569" s="3" t="n">
        <v>43901.72156506944</v>
      </c>
      <c r="U3569" t="s">
        <v>21126</v>
      </c>
      <c r="V3569" t="s">
        <v>21127</v>
      </c>
    </row>
    <row r="3570">
      <c r="A3570" t="s">
        <v>22</v>
      </c>
      <c r="B3570" t="s">
        <v>22812</v>
      </c>
      <c r="C3570" t="s">
        <v>312</v>
      </c>
      <c r="D3570" t="s">
        <v>715</v>
      </c>
      <c r="E3570" t="s">
        <v>22813</v>
      </c>
      <c r="F3570" s="2" t="n">
        <f>HYPERLINK("https://patents.google.com/patent/US20080065416","Google")</f>
        <v>0.0</v>
      </c>
      <c r="G3570" s="2" t="n">
        <f>HYPERLINK("https://patentcenter.uspto.gov/applications/11872841","Patent Center")</f>
        <v>0.0</v>
      </c>
      <c r="H3570" s="2" t="n">
        <f>HYPERLINK("https://worldwide.espacenet.com/patent/search?q=US20080065416","Espacenet")</f>
        <v>0.0</v>
      </c>
      <c r="I3570" s="2" t="n">
        <f>HYPERLINK("https://ppubs.uspto.gov/pubwebapp/external.html?q=20080065416.pn.","USPTO")</f>
        <v>0.0</v>
      </c>
      <c r="J3570" s="2" t="n">
        <f>HYPERLINK("https://image-ppubs.uspto.gov/dirsearch-public/print/downloadPdf/20080065416","USPTO PDF")</f>
        <v>0.0</v>
      </c>
      <c r="K3570" s="2" t="n">
        <f>HYPERLINK("https://sectors.patentforecast.com/pmd/US20080065416","PMD")</f>
        <v>0.0</v>
      </c>
      <c r="L3570" s="2" t="n">
        <f>HYPERLINK("https://globaldossier.uspto.gov/result/application/US/11872841/1","US20080065416")</f>
        <v>0.0</v>
      </c>
      <c r="M3570" t="s">
        <v>22814</v>
      </c>
      <c r="N3570" t="s">
        <v>4975</v>
      </c>
      <c r="O3570" t="s">
        <v>4976</v>
      </c>
      <c r="P3570" t="s">
        <v>22815</v>
      </c>
      <c r="Q3570" s="3" t="n">
        <v>39371.0</v>
      </c>
      <c r="R3570" s="3" t="n">
        <v>39520.0</v>
      </c>
      <c r="S3570" s="3" t="n">
        <v>43266.457376412036</v>
      </c>
      <c r="T3570" s="3" t="n">
        <v>43328.45413824074</v>
      </c>
      <c r="U3570" t="s">
        <v>22816</v>
      </c>
      <c r="V3570" t="s">
        <v>22817</v>
      </c>
    </row>
    <row r="3571">
      <c r="A3571" t="s">
        <v>22</v>
      </c>
      <c r="B3571" t="s">
        <v>22818</v>
      </c>
      <c r="C3571" t="s">
        <v>132</v>
      </c>
      <c r="D3571" t="s">
        <v>22819</v>
      </c>
      <c r="E3571" t="s">
        <v>22820</v>
      </c>
      <c r="F3571" s="2" t="n">
        <f>HYPERLINK("https://patents.google.com/patent/US20080063665","Google")</f>
        <v>0.0</v>
      </c>
      <c r="G3571" s="2" t="n">
        <f>HYPERLINK("https://patentcenter.uspto.gov/applications/11661996","Patent Center")</f>
        <v>0.0</v>
      </c>
      <c r="H3571" s="2" t="n">
        <f>HYPERLINK("https://worldwide.espacenet.com/patent/search?q=US20080063665","Espacenet")</f>
        <v>0.0</v>
      </c>
      <c r="I3571" s="2" t="n">
        <f>HYPERLINK("https://ppubs.uspto.gov/pubwebapp/external.html?q=20080063665.pn.","USPTO")</f>
        <v>0.0</v>
      </c>
      <c r="J3571" s="2" t="n">
        <f>HYPERLINK("https://image-ppubs.uspto.gov/dirsearch-public/print/downloadPdf/20080063665","USPTO PDF")</f>
        <v>0.0</v>
      </c>
      <c r="K3571" s="2" t="n">
        <f>HYPERLINK("https://sectors.patentforecast.com/pmd/US20080063665","PMD")</f>
        <v>0.0</v>
      </c>
      <c r="L3571" s="2" t="n">
        <f>HYPERLINK("https://globaldossier.uspto.gov/result/application/US/11661996/1","US20080063665")</f>
        <v>0.0</v>
      </c>
      <c r="M3571" t="s">
        <v>22821</v>
      </c>
      <c r="N3571" t="s">
        <v>16845</v>
      </c>
      <c r="O3571" t="s">
        <v>16846</v>
      </c>
      <c r="P3571" t="s">
        <v>22822</v>
      </c>
      <c r="Q3571" s="3" t="n">
        <v>38600.0</v>
      </c>
      <c r="R3571" s="3" t="n">
        <v>39520.0</v>
      </c>
      <c r="S3571" s="3" t="n">
        <v>43900.43738920139</v>
      </c>
      <c r="T3571" s="3" t="n">
        <v>43903.484632314816</v>
      </c>
      <c r="U3571" t="s">
        <v>22823</v>
      </c>
      <c r="V3571" t="s">
        <v>22824</v>
      </c>
    </row>
    <row r="3572">
      <c r="A3572" t="s">
        <v>22</v>
      </c>
      <c r="B3572" t="s">
        <v>22825</v>
      </c>
      <c r="C3572" t="s">
        <v>132</v>
      </c>
      <c r="D3572" t="s">
        <v>1265</v>
      </c>
      <c r="E3572" t="s">
        <v>22448</v>
      </c>
      <c r="F3572" s="2" t="n">
        <f>HYPERLINK("https://patents.google.com/patent/US20080057081","Google")</f>
        <v>0.0</v>
      </c>
      <c r="G3572" s="2" t="n">
        <f>HYPERLINK("https://patentcenter.uspto.gov/applications/11836369","Patent Center")</f>
        <v>0.0</v>
      </c>
      <c r="H3572" s="2" t="n">
        <f>HYPERLINK("https://worldwide.espacenet.com/patent/search?q=US20080057081","Espacenet")</f>
        <v>0.0</v>
      </c>
      <c r="I3572" s="2" t="n">
        <f>HYPERLINK("https://ppubs.uspto.gov/pubwebapp/external.html?q=20080057081.pn.","USPTO")</f>
        <v>0.0</v>
      </c>
      <c r="J3572" s="2" t="n">
        <f>HYPERLINK("https://image-ppubs.uspto.gov/dirsearch-public/print/downloadPdf/20080057081","USPTO PDF")</f>
        <v>0.0</v>
      </c>
      <c r="K3572" s="2" t="n">
        <f>HYPERLINK("https://sectors.patentforecast.com/pmd/US20080057081","PMD")</f>
        <v>0.0</v>
      </c>
      <c r="L3572" s="2" t="n">
        <f>HYPERLINK("https://globaldossier.uspto.gov/result/application/US/11836369/1","US20080057081")</f>
        <v>0.0</v>
      </c>
      <c r="M3572" t="s">
        <v>22826</v>
      </c>
      <c r="N3572" t="s">
        <v>21123</v>
      </c>
      <c r="O3572" t="s">
        <v>21124</v>
      </c>
      <c r="P3572" t="s">
        <v>21573</v>
      </c>
      <c r="Q3572" s="3" t="n">
        <v>39303.0</v>
      </c>
      <c r="R3572" s="3" t="n">
        <v>39513.0</v>
      </c>
      <c r="S3572" s="3" t="n">
        <v>43900.43738920139</v>
      </c>
      <c r="T3572" s="3" t="n">
        <v>43903.48463238426</v>
      </c>
      <c r="U3572" t="s">
        <v>21126</v>
      </c>
      <c r="V3572" t="s">
        <v>21127</v>
      </c>
    </row>
    <row r="3573">
      <c r="A3573" t="s">
        <v>22</v>
      </c>
      <c r="B3573" t="s">
        <v>22827</v>
      </c>
      <c r="C3573" t="s">
        <v>60</v>
      </c>
      <c r="D3573" t="s">
        <v>61</v>
      </c>
      <c r="E3573" t="s">
        <v>22828</v>
      </c>
      <c r="F3573" s="2" t="n">
        <f>HYPERLINK("https://patents.google.com/patent/US20080057031","Google")</f>
        <v>0.0</v>
      </c>
      <c r="G3573" s="2" t="n">
        <f>HYPERLINK("https://patentcenter.uspto.gov/applications/11825606","Patent Center")</f>
        <v>0.0</v>
      </c>
      <c r="H3573" s="2" t="n">
        <f>HYPERLINK("https://worldwide.espacenet.com/patent/search?q=US20080057031","Espacenet")</f>
        <v>0.0</v>
      </c>
      <c r="I3573" s="2" t="n">
        <f>HYPERLINK("https://ppubs.uspto.gov/pubwebapp/external.html?q=20080057031.pn.","USPTO")</f>
        <v>0.0</v>
      </c>
      <c r="J3573" s="2" t="n">
        <f>HYPERLINK("https://image-ppubs.uspto.gov/dirsearch-public/print/downloadPdf/20080057031","USPTO PDF")</f>
        <v>0.0</v>
      </c>
      <c r="K3573" s="2" t="n">
        <f>HYPERLINK("https://sectors.patentforecast.com/pmd/US20080057031","PMD")</f>
        <v>0.0</v>
      </c>
      <c r="L3573" s="2" t="n">
        <f>HYPERLINK("https://globaldossier.uspto.gov/result/application/US/11825606/1","US20080057031")</f>
        <v>0.0</v>
      </c>
      <c r="M3573" t="s">
        <v>22829</v>
      </c>
      <c r="N3573" t="s">
        <v>664</v>
      </c>
      <c r="O3573" t="s">
        <v>665</v>
      </c>
      <c r="P3573" t="s">
        <v>22830</v>
      </c>
      <c r="Q3573" s="3" t="n">
        <v>39269.0</v>
      </c>
      <c r="R3573" s="3" t="n">
        <v>39513.0</v>
      </c>
      <c r="S3573" s="3" t="n">
        <v>43952.46140840278</v>
      </c>
      <c r="T3573" s="3" t="n">
        <v>44638.65271974537</v>
      </c>
      <c r="U3573" t="s">
        <v>22831</v>
      </c>
      <c r="V3573" t="s">
        <v>21838</v>
      </c>
    </row>
    <row r="3574">
      <c r="A3574" t="s">
        <v>22</v>
      </c>
      <c r="B3574" t="s">
        <v>22832</v>
      </c>
      <c r="C3574" t="s">
        <v>60</v>
      </c>
      <c r="D3574" t="s">
        <v>845</v>
      </c>
      <c r="E3574" t="s">
        <v>22833</v>
      </c>
      <c r="F3574" s="2" t="n">
        <f>HYPERLINK("https://patents.google.com/patent/US20080052122","Google")</f>
        <v>0.0</v>
      </c>
      <c r="G3574" s="2" t="n">
        <f>HYPERLINK("https://patentcenter.uspto.gov/applications/11933098","Patent Center")</f>
        <v>0.0</v>
      </c>
      <c r="H3574" s="2" t="n">
        <f>HYPERLINK("https://worldwide.espacenet.com/patent/search?q=US20080052122","Espacenet")</f>
        <v>0.0</v>
      </c>
      <c r="I3574" s="2" t="n">
        <f>HYPERLINK("https://ppubs.uspto.gov/pubwebapp/external.html?q=20080052122.pn.","USPTO")</f>
        <v>0.0</v>
      </c>
      <c r="J3574" s="2" t="n">
        <f>HYPERLINK("https://image-ppubs.uspto.gov/dirsearch-public/print/downloadPdf/20080052122","USPTO PDF")</f>
        <v>0.0</v>
      </c>
      <c r="K3574" s="2" t="n">
        <f>HYPERLINK("https://sectors.patentforecast.com/pmd/US20080052122","PMD")</f>
        <v>0.0</v>
      </c>
      <c r="L3574" s="2" t="n">
        <f>HYPERLINK("https://globaldossier.uspto.gov/result/application/US/11933098/1","US20080052122")</f>
        <v>0.0</v>
      </c>
      <c r="M3574" t="s">
        <v>22834</v>
      </c>
      <c r="N3574" t="s">
        <v>22835</v>
      </c>
      <c r="O3574" t="s">
        <v>22836</v>
      </c>
      <c r="P3574" t="s">
        <v>22837</v>
      </c>
      <c r="Q3574" s="3" t="n">
        <v>39386.0</v>
      </c>
      <c r="R3574" s="3" t="n">
        <v>39506.0</v>
      </c>
      <c r="S3574" s="3" t="n">
        <v>43906.37291232639</v>
      </c>
      <c r="T3574" s="3" t="n">
        <v>44643.42310893519</v>
      </c>
      <c r="U3574" t="s">
        <v>22838</v>
      </c>
      <c r="V3574" t="s">
        <v>22839</v>
      </c>
    </row>
    <row r="3575">
      <c r="A3575" t="s">
        <v>22</v>
      </c>
      <c r="B3575" t="s">
        <v>22840</v>
      </c>
      <c r="C3575" t="s">
        <v>60</v>
      </c>
      <c r="D3575" t="s">
        <v>845</v>
      </c>
      <c r="E3575" t="s">
        <v>22833</v>
      </c>
      <c r="F3575" s="2" t="n">
        <f>HYPERLINK("https://patents.google.com/patent/US20080052116","Google")</f>
        <v>0.0</v>
      </c>
      <c r="G3575" s="2" t="n">
        <f>HYPERLINK("https://patentcenter.uspto.gov/applications/11927630","Patent Center")</f>
        <v>0.0</v>
      </c>
      <c r="H3575" s="2" t="n">
        <f>HYPERLINK("https://worldwide.espacenet.com/patent/search?q=US20080052116","Espacenet")</f>
        <v>0.0</v>
      </c>
      <c r="I3575" s="2" t="n">
        <f>HYPERLINK("https://ppubs.uspto.gov/pubwebapp/external.html?q=20080052116.pn.","USPTO")</f>
        <v>0.0</v>
      </c>
      <c r="J3575" s="2" t="n">
        <f>HYPERLINK("https://image-ppubs.uspto.gov/dirsearch-public/print/downloadPdf/20080052116","USPTO PDF")</f>
        <v>0.0</v>
      </c>
      <c r="K3575" s="2" t="n">
        <f>HYPERLINK("https://sectors.patentforecast.com/pmd/US20080052116","PMD")</f>
        <v>0.0</v>
      </c>
      <c r="L3575" s="2" t="n">
        <f>HYPERLINK("https://globaldossier.uspto.gov/result/application/US/11927630/1","US20080052116")</f>
        <v>0.0</v>
      </c>
      <c r="M3575" t="s">
        <v>22841</v>
      </c>
      <c r="N3575" t="s">
        <v>22835</v>
      </c>
      <c r="O3575" t="s">
        <v>22836</v>
      </c>
      <c r="P3575" t="s">
        <v>22837</v>
      </c>
      <c r="Q3575" s="3" t="n">
        <v>39384.0</v>
      </c>
      <c r="R3575" s="3" t="n">
        <v>39506.0</v>
      </c>
      <c r="S3575" s="3" t="n">
        <v>43906.37291232639</v>
      </c>
      <c r="T3575" s="3" t="n">
        <v>44643.42310893519</v>
      </c>
      <c r="U3575" t="s">
        <v>22838</v>
      </c>
      <c r="V3575" t="s">
        <v>22839</v>
      </c>
    </row>
    <row r="3576">
      <c r="A3576" t="s">
        <v>22</v>
      </c>
      <c r="B3576" t="s">
        <v>22842</v>
      </c>
      <c r="C3576" t="s">
        <v>60</v>
      </c>
      <c r="D3576" t="s">
        <v>61</v>
      </c>
      <c r="E3576" t="s">
        <v>22843</v>
      </c>
      <c r="F3576" s="2" t="n">
        <f>HYPERLINK("https://patents.google.com/patent/US20080035155","Google")</f>
        <v>0.0</v>
      </c>
      <c r="G3576" s="2" t="n">
        <f>HYPERLINK("https://patentcenter.uspto.gov/applications/11631876","Patent Center")</f>
        <v>0.0</v>
      </c>
      <c r="H3576" s="2" t="n">
        <f>HYPERLINK("https://worldwide.espacenet.com/patent/search?q=US20080035155","Espacenet")</f>
        <v>0.0</v>
      </c>
      <c r="I3576" s="2" t="n">
        <f>HYPERLINK("https://ppubs.uspto.gov/pubwebapp/external.html?q=20080035155.pn.","USPTO")</f>
        <v>0.0</v>
      </c>
      <c r="J3576" s="2" t="n">
        <f>HYPERLINK("https://image-ppubs.uspto.gov/dirsearch-public/print/downloadPdf/20080035155","USPTO PDF")</f>
        <v>0.0</v>
      </c>
      <c r="K3576" s="2" t="n">
        <f>HYPERLINK("https://sectors.patentforecast.com/pmd/US20080035155","PMD")</f>
        <v>0.0</v>
      </c>
      <c r="L3576" s="2" t="n">
        <f>HYPERLINK("https://globaldossier.uspto.gov/result/application/US/11631876/1","US20080035155")</f>
        <v>0.0</v>
      </c>
      <c r="M3576" t="s">
        <v>22844</v>
      </c>
      <c r="N3576" t="s">
        <v>22845</v>
      </c>
      <c r="O3576" t="s">
        <v>22845</v>
      </c>
      <c r="P3576" t="s">
        <v>22846</v>
      </c>
      <c r="Q3576" s="3" t="n">
        <v>38534.0</v>
      </c>
      <c r="R3576" s="3" t="n">
        <v>39492.0</v>
      </c>
      <c r="S3576" s="3" t="n">
        <v>43952.46140840278</v>
      </c>
      <c r="T3576" s="3" t="n">
        <v>44638.65271974537</v>
      </c>
      <c r="U3576" t="s">
        <v>22847</v>
      </c>
      <c r="V3576" t="s">
        <v>22848</v>
      </c>
    </row>
    <row r="3577">
      <c r="A3577" t="s">
        <v>22</v>
      </c>
      <c r="B3577" t="s">
        <v>22849</v>
      </c>
      <c r="C3577" t="s">
        <v>24</v>
      </c>
      <c r="D3577" t="s">
        <v>204</v>
      </c>
      <c r="E3577" t="s">
        <v>22850</v>
      </c>
      <c r="F3577" s="2" t="n">
        <f>HYPERLINK("https://patents.google.com/patent/US20080027751","Google")</f>
        <v>0.0</v>
      </c>
      <c r="G3577" s="2" t="n">
        <f>HYPERLINK("https://patentcenter.uspto.gov/applications/11493690","Patent Center")</f>
        <v>0.0</v>
      </c>
      <c r="H3577" s="2" t="n">
        <f>HYPERLINK("https://worldwide.espacenet.com/patent/search?q=US20080027751","Espacenet")</f>
        <v>0.0</v>
      </c>
      <c r="I3577" s="2" t="n">
        <f>HYPERLINK("https://ppubs.uspto.gov/pubwebapp/external.html?q=20080027751.pn.","USPTO")</f>
        <v>0.0</v>
      </c>
      <c r="J3577" s="2" t="n">
        <f>HYPERLINK("https://image-ppubs.uspto.gov/dirsearch-public/print/downloadPdf/20080027751","USPTO PDF")</f>
        <v>0.0</v>
      </c>
      <c r="K3577" s="2" t="n">
        <f>HYPERLINK("https://sectors.patentforecast.com/pmd/US20080027751","PMD")</f>
        <v>0.0</v>
      </c>
      <c r="L3577" s="2" t="n">
        <f>HYPERLINK("https://globaldossier.uspto.gov/result/application/US/11493690/1","US20080027751")</f>
        <v>0.0</v>
      </c>
      <c r="M3577" t="s">
        <v>22851</v>
      </c>
      <c r="N3577" t="s">
        <v>22852</v>
      </c>
      <c r="O3577" t="s">
        <v>22852</v>
      </c>
      <c r="P3577" t="s">
        <v>22853</v>
      </c>
      <c r="Q3577" s="3" t="n">
        <v>38923.0</v>
      </c>
      <c r="R3577" s="3" t="n">
        <v>39478.0</v>
      </c>
      <c r="S3577" s="3" t="n">
        <v>43900.43738920139</v>
      </c>
      <c r="T3577" s="3" t="n">
        <v>43901.7215646875</v>
      </c>
      <c r="U3577" t="s">
        <v>22854</v>
      </c>
      <c r="V3577" t="s">
        <v>22855</v>
      </c>
    </row>
    <row r="3578">
      <c r="A3578" t="s">
        <v>22</v>
      </c>
      <c r="B3578" t="s">
        <v>22856</v>
      </c>
      <c r="C3578" t="s">
        <v>132</v>
      </c>
      <c r="D3578" t="s">
        <v>1265</v>
      </c>
      <c r="E3578" t="s">
        <v>16152</v>
      </c>
      <c r="F3578" s="2" t="n">
        <f>HYPERLINK("https://patents.google.com/patent/US20080014217","Google")</f>
        <v>0.0</v>
      </c>
      <c r="G3578" s="2" t="n">
        <f>HYPERLINK("https://patentcenter.uspto.gov/applications/11692792","Patent Center")</f>
        <v>0.0</v>
      </c>
      <c r="H3578" s="2" t="n">
        <f>HYPERLINK("https://worldwide.espacenet.com/patent/search?q=US20080014217","Espacenet")</f>
        <v>0.0</v>
      </c>
      <c r="I3578" s="2" t="n">
        <f>HYPERLINK("https://ppubs.uspto.gov/pubwebapp/external.html?q=20080014217.pn.","USPTO")</f>
        <v>0.0</v>
      </c>
      <c r="J3578" s="2" t="n">
        <f>HYPERLINK("https://image-ppubs.uspto.gov/dirsearch-public/print/downloadPdf/20080014217","USPTO PDF")</f>
        <v>0.0</v>
      </c>
      <c r="K3578" s="2" t="n">
        <f>HYPERLINK("https://sectors.patentforecast.com/pmd/US20080014217","PMD")</f>
        <v>0.0</v>
      </c>
      <c r="L3578" s="2" t="n">
        <f>HYPERLINK("https://globaldossier.uspto.gov/result/application/US/11692792/1","US20080014217")</f>
        <v>0.0</v>
      </c>
      <c r="M3578" t="s">
        <v>22857</v>
      </c>
      <c r="N3578" t="s">
        <v>15147</v>
      </c>
      <c r="O3578" t="s">
        <v>15148</v>
      </c>
      <c r="P3578" t="s">
        <v>21693</v>
      </c>
      <c r="Q3578" s="3" t="n">
        <v>39169.0</v>
      </c>
      <c r="R3578" s="3" t="n">
        <v>39464.0</v>
      </c>
      <c r="S3578" s="3" t="n">
        <v>43900.43738920139</v>
      </c>
      <c r="T3578" s="3" t="n">
        <v>43901.721564583335</v>
      </c>
      <c r="U3578" t="s">
        <v>22858</v>
      </c>
      <c r="V3578" t="s">
        <v>16156</v>
      </c>
    </row>
    <row r="3579">
      <c r="A3579" t="s">
        <v>22</v>
      </c>
      <c r="B3579" t="s">
        <v>22859</v>
      </c>
      <c r="C3579" t="s">
        <v>60</v>
      </c>
      <c r="D3579" t="s">
        <v>845</v>
      </c>
      <c r="E3579" t="s">
        <v>22860</v>
      </c>
      <c r="F3579" s="2" t="n">
        <f>HYPERLINK("https://patents.google.com/patent/US20080009682","Google")</f>
        <v>0.0</v>
      </c>
      <c r="G3579" s="2" t="n">
        <f>HYPERLINK("https://patentcenter.uspto.gov/applications/11483206","Patent Center")</f>
        <v>0.0</v>
      </c>
      <c r="H3579" s="2" t="n">
        <f>HYPERLINK("https://worldwide.espacenet.com/patent/search?q=US20080009682","Espacenet")</f>
        <v>0.0</v>
      </c>
      <c r="I3579" s="2" t="n">
        <f>HYPERLINK("https://ppubs.uspto.gov/pubwebapp/external.html?q=20080009682.pn.","USPTO")</f>
        <v>0.0</v>
      </c>
      <c r="J3579" s="2" t="n">
        <f>HYPERLINK("https://image-ppubs.uspto.gov/dirsearch-public/print/downloadPdf/20080009682","USPTO PDF")</f>
        <v>0.0</v>
      </c>
      <c r="K3579" s="2" t="n">
        <f>HYPERLINK("https://sectors.patentforecast.com/pmd/US20080009682","PMD")</f>
        <v>0.0</v>
      </c>
      <c r="L3579" s="2" t="n">
        <f>HYPERLINK("https://globaldossier.uspto.gov/result/application/US/11483206/1","US20080009682")</f>
        <v>0.0</v>
      </c>
      <c r="M3579" t="s">
        <v>22861</v>
      </c>
      <c r="N3579" t="s">
        <v>11093</v>
      </c>
      <c r="O3579" t="s">
        <v>11094</v>
      </c>
      <c r="P3579" t="s">
        <v>22862</v>
      </c>
      <c r="Q3579" s="3" t="n">
        <v>38905.0</v>
      </c>
      <c r="R3579" s="3" t="n">
        <v>39457.0</v>
      </c>
      <c r="S3579" s="3" t="n">
        <v>43266.457376412036</v>
      </c>
      <c r="T3579" s="3" t="n">
        <v>43901.72156537037</v>
      </c>
      <c r="U3579" t="s">
        <v>22863</v>
      </c>
      <c r="V3579" t="s">
        <v>22864</v>
      </c>
    </row>
    <row r="3580">
      <c r="A3580" t="s">
        <v>22</v>
      </c>
      <c r="B3580" t="s">
        <v>22865</v>
      </c>
      <c r="C3580" t="s">
        <v>60</v>
      </c>
      <c r="D3580" t="s">
        <v>61</v>
      </c>
      <c r="E3580" t="s">
        <v>22866</v>
      </c>
      <c r="F3580" s="2" t="n">
        <f>HYPERLINK("https://patents.google.com/patent/US20080004242","Google")</f>
        <v>0.0</v>
      </c>
      <c r="G3580" s="2" t="n">
        <f>HYPERLINK("https://patentcenter.uspto.gov/applications/11729522","Patent Center")</f>
        <v>0.0</v>
      </c>
      <c r="H3580" s="2" t="n">
        <f>HYPERLINK("https://worldwide.espacenet.com/patent/search?q=US20080004242","Espacenet")</f>
        <v>0.0</v>
      </c>
      <c r="I3580" s="2" t="n">
        <f>HYPERLINK("https://ppubs.uspto.gov/pubwebapp/external.html?q=20080004242.pn.","USPTO")</f>
        <v>0.0</v>
      </c>
      <c r="J3580" s="2" t="n">
        <f>HYPERLINK("https://image-ppubs.uspto.gov/dirsearch-public/print/downloadPdf/20080004242","USPTO PDF")</f>
        <v>0.0</v>
      </c>
      <c r="K3580" s="2" t="n">
        <f>HYPERLINK("https://sectors.patentforecast.com/pmd/US20080004242","PMD")</f>
        <v>0.0</v>
      </c>
      <c r="L3580" s="2" t="n">
        <f>HYPERLINK("https://globaldossier.uspto.gov/result/application/US/11729522/1","US20080004242")</f>
        <v>0.0</v>
      </c>
      <c r="M3580" t="s">
        <v>22867</v>
      </c>
      <c r="N3580" t="s">
        <v>664</v>
      </c>
      <c r="O3580" t="s">
        <v>665</v>
      </c>
      <c r="P3580" t="s">
        <v>22868</v>
      </c>
      <c r="Q3580" s="3" t="n">
        <v>39170.0</v>
      </c>
      <c r="R3580" s="3" t="n">
        <v>39450.0</v>
      </c>
      <c r="S3580" s="3" t="n">
        <v>43950.647371782405</v>
      </c>
      <c r="T3580" s="3" t="n">
        <v>44638.662781747684</v>
      </c>
      <c r="U3580" t="s">
        <v>22869</v>
      </c>
      <c r="V3580" t="s">
        <v>21162</v>
      </c>
    </row>
    <row r="3581">
      <c r="A3581" t="s">
        <v>22</v>
      </c>
      <c r="B3581" t="s">
        <v>22870</v>
      </c>
      <c r="C3581" t="s">
        <v>24</v>
      </c>
      <c r="D3581" t="s">
        <v>25</v>
      </c>
      <c r="E3581" t="s">
        <v>22871</v>
      </c>
      <c r="F3581" s="2" t="n">
        <f>HYPERLINK("https://patents.google.com/patent/US20070293781","Google")</f>
        <v>0.0</v>
      </c>
      <c r="G3581" s="2" t="n">
        <f>HYPERLINK("https://patentcenter.uspto.gov/applications/10595674","Patent Center")</f>
        <v>0.0</v>
      </c>
      <c r="H3581" s="2" t="n">
        <f>HYPERLINK("https://worldwide.espacenet.com/patent/search?q=US20070293781","Espacenet")</f>
        <v>0.0</v>
      </c>
      <c r="I3581" s="2" t="n">
        <f>HYPERLINK("https://ppubs.uspto.gov/pubwebapp/external.html?q=20070293781.pn.","USPTO")</f>
        <v>0.0</v>
      </c>
      <c r="J3581" s="2" t="n">
        <f>HYPERLINK("https://image-ppubs.uspto.gov/dirsearch-public/print/downloadPdf/20070293781","USPTO PDF")</f>
        <v>0.0</v>
      </c>
      <c r="K3581" s="2" t="n">
        <f>HYPERLINK("https://sectors.patentforecast.com/pmd/US20070293781","PMD")</f>
        <v>0.0</v>
      </c>
      <c r="L3581" s="2" t="n">
        <f>HYPERLINK("https://globaldossier.uspto.gov/result/application/US/10595674/1","US20070293781")</f>
        <v>0.0</v>
      </c>
      <c r="M3581" t="s">
        <v>22872</v>
      </c>
      <c r="N3581" t="s">
        <v>1792</v>
      </c>
      <c r="O3581" t="s">
        <v>1793</v>
      </c>
      <c r="P3581" t="s">
        <v>22873</v>
      </c>
      <c r="Q3581" s="3" t="n">
        <v>38294.0</v>
      </c>
      <c r="R3581" s="3" t="n">
        <v>39436.0</v>
      </c>
      <c r="S3581" s="3" t="n">
        <v>43266.457376412036</v>
      </c>
      <c r="T3581" s="3" t="n">
        <v>43901.72156358796</v>
      </c>
      <c r="U3581" t="s">
        <v>22874</v>
      </c>
      <c r="V3581" t="s">
        <v>22875</v>
      </c>
    </row>
    <row r="3582">
      <c r="A3582" t="s">
        <v>22</v>
      </c>
      <c r="B3582" t="s">
        <v>22876</v>
      </c>
      <c r="C3582" t="s">
        <v>60</v>
      </c>
      <c r="D3582" t="s">
        <v>61</v>
      </c>
      <c r="E3582" t="s">
        <v>22877</v>
      </c>
      <c r="F3582" s="2" t="n">
        <f>HYPERLINK("https://patents.google.com/patent/US20070281911","Google")</f>
        <v>0.0</v>
      </c>
      <c r="G3582" s="2" t="n">
        <f>HYPERLINK("https://patentcenter.uspto.gov/applications/10586627","Patent Center")</f>
        <v>0.0</v>
      </c>
      <c r="H3582" s="2" t="n">
        <f>HYPERLINK("https://worldwide.espacenet.com/patent/search?q=US20070281911","Espacenet")</f>
        <v>0.0</v>
      </c>
      <c r="I3582" s="2" t="n">
        <f>HYPERLINK("https://ppubs.uspto.gov/pubwebapp/external.html?q=20070281911.pn.","USPTO")</f>
        <v>0.0</v>
      </c>
      <c r="J3582" s="2" t="n">
        <f>HYPERLINK("https://image-ppubs.uspto.gov/dirsearch-public/print/downloadPdf/20070281911","USPTO PDF")</f>
        <v>0.0</v>
      </c>
      <c r="K3582" s="2" t="n">
        <f>HYPERLINK("https://sectors.patentforecast.com/pmd/US20070281911","PMD")</f>
        <v>0.0</v>
      </c>
      <c r="L3582" s="2" t="n">
        <f>HYPERLINK("https://globaldossier.uspto.gov/result/application/US/10586627/1","US20070281911")</f>
        <v>0.0</v>
      </c>
      <c r="M3582" t="s">
        <v>22878</v>
      </c>
      <c r="N3582" t="s">
        <v>664</v>
      </c>
      <c r="O3582" t="s">
        <v>665</v>
      </c>
      <c r="P3582" t="s">
        <v>22879</v>
      </c>
      <c r="Q3582" s="3" t="n">
        <v>38373.0</v>
      </c>
      <c r="R3582" s="3" t="n">
        <v>39422.0</v>
      </c>
      <c r="S3582" s="3" t="n">
        <v>43952.46140840278</v>
      </c>
      <c r="T3582" s="3" t="n">
        <v>44638.65643378472</v>
      </c>
      <c r="U3582" t="s">
        <v>22880</v>
      </c>
      <c r="V3582" t="s">
        <v>22881</v>
      </c>
    </row>
    <row r="3583">
      <c r="A3583" t="s">
        <v>22</v>
      </c>
      <c r="B3583" t="s">
        <v>22882</v>
      </c>
      <c r="C3583" t="s">
        <v>132</v>
      </c>
      <c r="D3583" t="s">
        <v>133</v>
      </c>
      <c r="E3583" t="s">
        <v>22883</v>
      </c>
      <c r="F3583" s="2" t="n">
        <f>HYPERLINK("https://patents.google.com/patent/US20070258999","Google")</f>
        <v>0.0</v>
      </c>
      <c r="G3583" s="2" t="n">
        <f>HYPERLINK("https://patentcenter.uspto.gov/applications/10555073","Patent Center")</f>
        <v>0.0</v>
      </c>
      <c r="H3583" s="2" t="n">
        <f>HYPERLINK("https://worldwide.espacenet.com/patent/search?q=US20070258999","Espacenet")</f>
        <v>0.0</v>
      </c>
      <c r="I3583" s="2" t="n">
        <f>HYPERLINK("https://ppubs.uspto.gov/pubwebapp/external.html?q=20070258999.pn.","USPTO")</f>
        <v>0.0</v>
      </c>
      <c r="J3583" s="2" t="n">
        <f>HYPERLINK("https://image-ppubs.uspto.gov/dirsearch-public/print/downloadPdf/20070258999","USPTO PDF")</f>
        <v>0.0</v>
      </c>
      <c r="K3583" s="2" t="n">
        <f>HYPERLINK("https://sectors.patentforecast.com/pmd/US20070258999","PMD")</f>
        <v>0.0</v>
      </c>
      <c r="L3583" s="2" t="n">
        <f>HYPERLINK("https://globaldossier.uspto.gov/result/application/US/10555073/1","US20070258999")</f>
        <v>0.0</v>
      </c>
      <c r="M3583" t="s">
        <v>22884</v>
      </c>
      <c r="N3583" t="s">
        <v>22885</v>
      </c>
      <c r="O3583" t="s">
        <v>22886</v>
      </c>
      <c r="P3583" t="s">
        <v>22887</v>
      </c>
      <c r="Q3583" s="3" t="n">
        <v>38105.0</v>
      </c>
      <c r="R3583" s="3" t="n">
        <v>39394.0</v>
      </c>
      <c r="S3583" s="3" t="n">
        <v>43966.4904803588</v>
      </c>
      <c r="T3583" s="3" t="n">
        <v>44638.70094758102</v>
      </c>
      <c r="U3583" t="s">
        <v>22888</v>
      </c>
      <c r="V3583" t="s">
        <v>22889</v>
      </c>
    </row>
    <row r="3584">
      <c r="A3584" t="s">
        <v>22</v>
      </c>
      <c r="B3584" t="s">
        <v>22890</v>
      </c>
      <c r="C3584" t="s">
        <v>24</v>
      </c>
      <c r="D3584" t="s">
        <v>204</v>
      </c>
      <c r="E3584" t="s">
        <v>22891</v>
      </c>
      <c r="F3584" s="2" t="n">
        <f>HYPERLINK("https://patents.google.com/patent/US20070239480","Google")</f>
        <v>0.0</v>
      </c>
      <c r="G3584" s="2" t="n">
        <f>HYPERLINK("https://patentcenter.uspto.gov/applications/11394350","Patent Center")</f>
        <v>0.0</v>
      </c>
      <c r="H3584" s="2" t="n">
        <f>HYPERLINK("https://worldwide.espacenet.com/patent/search?q=US20070239480","Espacenet")</f>
        <v>0.0</v>
      </c>
      <c r="I3584" s="2" t="n">
        <f>HYPERLINK("https://ppubs.uspto.gov/pubwebapp/external.html?q=20070239480.pn.","USPTO")</f>
        <v>0.0</v>
      </c>
      <c r="J3584" s="2" t="n">
        <f>HYPERLINK("https://image-ppubs.uspto.gov/dirsearch-public/print/downloadPdf/20070239480","USPTO PDF")</f>
        <v>0.0</v>
      </c>
      <c r="K3584" s="2" t="n">
        <f>HYPERLINK("https://sectors.patentforecast.com/pmd/US20070239480","PMD")</f>
        <v>0.0</v>
      </c>
      <c r="L3584" s="2" t="n">
        <f>HYPERLINK("https://globaldossier.uspto.gov/result/application/US/11394350/1","US20070239480")</f>
        <v>0.0</v>
      </c>
      <c r="M3584" t="s">
        <v>22892</v>
      </c>
      <c r="N3584" t="s">
        <v>22893</v>
      </c>
      <c r="O3584" t="s">
        <v>22894</v>
      </c>
      <c r="P3584" t="s">
        <v>22895</v>
      </c>
      <c r="Q3584" s="3" t="n">
        <v>38806.0</v>
      </c>
      <c r="R3584" s="3" t="n">
        <v>39366.0</v>
      </c>
      <c r="S3584" s="3" t="n">
        <v>43266.457376770835</v>
      </c>
      <c r="T3584" s="3" t="n">
        <v>43903.613503912035</v>
      </c>
      <c r="U3584" t="s">
        <v>22896</v>
      </c>
      <c r="V3584" t="s">
        <v>22897</v>
      </c>
    </row>
    <row r="3585">
      <c r="A3585" t="s">
        <v>22</v>
      </c>
      <c r="B3585" t="s">
        <v>22898</v>
      </c>
      <c r="C3585" t="s">
        <v>312</v>
      </c>
      <c r="D3585" t="s">
        <v>3202</v>
      </c>
      <c r="E3585" t="s">
        <v>22899</v>
      </c>
      <c r="F3585" s="2" t="n">
        <f>HYPERLINK("https://patents.google.com/patent/US20070229290","Google")</f>
        <v>0.0</v>
      </c>
      <c r="G3585" s="2" t="n">
        <f>HYPERLINK("https://patentcenter.uspto.gov/applications/11686908","Patent Center")</f>
        <v>0.0</v>
      </c>
      <c r="H3585" s="2" t="n">
        <f>HYPERLINK("https://worldwide.espacenet.com/patent/search?q=US20070229290","Espacenet")</f>
        <v>0.0</v>
      </c>
      <c r="I3585" s="2" t="n">
        <f>HYPERLINK("https://ppubs.uspto.gov/pubwebapp/external.html?q=20070229290.pn.","USPTO")</f>
        <v>0.0</v>
      </c>
      <c r="J3585" s="2" t="n">
        <f>HYPERLINK("https://image-ppubs.uspto.gov/dirsearch-public/print/downloadPdf/20070229290","USPTO PDF")</f>
        <v>0.0</v>
      </c>
      <c r="K3585" s="2" t="n">
        <f>HYPERLINK("https://sectors.patentforecast.com/pmd/US20070229290","PMD")</f>
        <v>0.0</v>
      </c>
      <c r="L3585" s="2" t="n">
        <f>HYPERLINK("https://globaldossier.uspto.gov/result/application/US/11686908/1","US20070229290")</f>
        <v>0.0</v>
      </c>
      <c r="M3585" t="s">
        <v>22900</v>
      </c>
      <c r="N3585" t="s">
        <v>22901</v>
      </c>
      <c r="O3585" t="s">
        <v>22902</v>
      </c>
      <c r="P3585" t="s">
        <v>22903</v>
      </c>
      <c r="Q3585" s="3" t="n">
        <v>39156.0</v>
      </c>
      <c r="R3585" s="3" t="n">
        <v>39359.0</v>
      </c>
      <c r="S3585" s="3" t="n">
        <v>43266.457376770835</v>
      </c>
      <c r="T3585" s="3" t="n">
        <v>44761.48387451389</v>
      </c>
      <c r="U3585" t="s">
        <v>15882</v>
      </c>
      <c r="V3585" t="s">
        <v>22904</v>
      </c>
    </row>
    <row r="3586">
      <c r="A3586" t="s">
        <v>22</v>
      </c>
      <c r="B3586" t="s">
        <v>22905</v>
      </c>
      <c r="C3586" t="s">
        <v>24</v>
      </c>
      <c r="D3586" t="s">
        <v>25</v>
      </c>
      <c r="E3586" t="s">
        <v>22906</v>
      </c>
      <c r="F3586" s="2" t="n">
        <f>HYPERLINK("https://patents.google.com/patent/US20070228145","Google")</f>
        <v>0.0</v>
      </c>
      <c r="G3586" s="2" t="n">
        <f>HYPERLINK("https://patentcenter.uspto.gov/applications/11221599","Patent Center")</f>
        <v>0.0</v>
      </c>
      <c r="H3586" s="2" t="n">
        <f>HYPERLINK("https://worldwide.espacenet.com/patent/search?q=US20070228145","Espacenet")</f>
        <v>0.0</v>
      </c>
      <c r="I3586" s="2" t="n">
        <f>HYPERLINK("https://ppubs.uspto.gov/pubwebapp/external.html?q=20070228145.pn.","USPTO")</f>
        <v>0.0</v>
      </c>
      <c r="J3586" s="2" t="n">
        <f>HYPERLINK("https://image-ppubs.uspto.gov/dirsearch-public/print/downloadPdf/20070228145","USPTO PDF")</f>
        <v>0.0</v>
      </c>
      <c r="K3586" s="2" t="n">
        <f>HYPERLINK("https://sectors.patentforecast.com/pmd/US20070228145","PMD")</f>
        <v>0.0</v>
      </c>
      <c r="L3586" s="2" t="n">
        <f>HYPERLINK("https://globaldossier.uspto.gov/result/application/US/11221599/1","US20070228145")</f>
        <v>0.0</v>
      </c>
      <c r="M3586" t="s">
        <v>22907</v>
      </c>
      <c r="N3586" t="s">
        <v>22908</v>
      </c>
      <c r="O3586" t="s">
        <v>22909</v>
      </c>
      <c r="P3586" t="s">
        <v>22910</v>
      </c>
      <c r="Q3586" s="3" t="n">
        <v>38602.0</v>
      </c>
      <c r="R3586" s="3" t="n">
        <v>39359.0</v>
      </c>
      <c r="S3586" s="3" t="n">
        <v>43266.457376770835</v>
      </c>
      <c r="T3586" s="3" t="n">
        <v>43903.48463222222</v>
      </c>
      <c r="U3586" t="s">
        <v>22911</v>
      </c>
      <c r="V3586" t="s">
        <v>22912</v>
      </c>
    </row>
    <row r="3587">
      <c r="A3587" t="s">
        <v>22</v>
      </c>
      <c r="B3587" t="s">
        <v>22913</v>
      </c>
      <c r="C3587" t="s">
        <v>24</v>
      </c>
      <c r="D3587" t="s">
        <v>1356</v>
      </c>
      <c r="E3587" t="s">
        <v>22914</v>
      </c>
      <c r="F3587" s="2" t="n">
        <f>HYPERLINK("https://patents.google.com/patent/US20070222599","Google")</f>
        <v>0.0</v>
      </c>
      <c r="G3587" s="2" t="n">
        <f>HYPERLINK("https://patentcenter.uspto.gov/applications/10589128","Patent Center")</f>
        <v>0.0</v>
      </c>
      <c r="H3587" s="2" t="n">
        <f>HYPERLINK("https://worldwide.espacenet.com/patent/search?q=US20070222599","Espacenet")</f>
        <v>0.0</v>
      </c>
      <c r="I3587" s="2" t="n">
        <f>HYPERLINK("https://ppubs.uspto.gov/pubwebapp/external.html?q=20070222599.pn.","USPTO")</f>
        <v>0.0</v>
      </c>
      <c r="J3587" s="2" t="n">
        <f>HYPERLINK("https://image-ppubs.uspto.gov/dirsearch-public/print/downloadPdf/20070222599","USPTO PDF")</f>
        <v>0.0</v>
      </c>
      <c r="K3587" s="2" t="n">
        <f>HYPERLINK("https://sectors.patentforecast.com/pmd/US20070222599","PMD")</f>
        <v>0.0</v>
      </c>
      <c r="L3587" s="2" t="n">
        <f>HYPERLINK("https://globaldossier.uspto.gov/result/application/US/10589128/1","US20070222599")</f>
        <v>0.0</v>
      </c>
      <c r="M3587" t="s">
        <v>22915</v>
      </c>
      <c r="N3587" t="s">
        <v>22916</v>
      </c>
      <c r="O3587" t="s">
        <v>22917</v>
      </c>
      <c r="P3587" t="s">
        <v>22918</v>
      </c>
      <c r="Q3587" s="3" t="n">
        <v>38394.0</v>
      </c>
      <c r="R3587" s="3" t="n">
        <v>39352.0</v>
      </c>
      <c r="S3587" s="3" t="n">
        <v>43266.457376770835</v>
      </c>
      <c r="T3587" s="3" t="n">
        <v>43903.48463236111</v>
      </c>
      <c r="U3587" t="s">
        <v>22919</v>
      </c>
      <c r="V3587" t="s">
        <v>22920</v>
      </c>
    </row>
    <row r="3588">
      <c r="A3588" t="s">
        <v>22</v>
      </c>
      <c r="B3588" t="s">
        <v>22921</v>
      </c>
      <c r="C3588" t="s">
        <v>60</v>
      </c>
      <c r="D3588" t="s">
        <v>715</v>
      </c>
      <c r="E3588" t="s">
        <v>21971</v>
      </c>
      <c r="F3588" s="2" t="n">
        <f>HYPERLINK("https://patents.google.com/patent/US20070221221","Google")</f>
        <v>0.0</v>
      </c>
      <c r="G3588" s="2" t="n">
        <f>HYPERLINK("https://patentcenter.uspto.gov/applications/11678201","Patent Center")</f>
        <v>0.0</v>
      </c>
      <c r="H3588" s="2" t="n">
        <f>HYPERLINK("https://worldwide.espacenet.com/patent/search?q=US20070221221","Espacenet")</f>
        <v>0.0</v>
      </c>
      <c r="I3588" s="2" t="n">
        <f>HYPERLINK("https://ppubs.uspto.gov/pubwebapp/external.html?q=20070221221.pn.","USPTO")</f>
        <v>0.0</v>
      </c>
      <c r="J3588" s="2" t="n">
        <f>HYPERLINK("https://image-ppubs.uspto.gov/dirsearch-public/print/downloadPdf/20070221221","USPTO PDF")</f>
        <v>0.0</v>
      </c>
      <c r="K3588" s="2" t="n">
        <f>HYPERLINK("https://sectors.patentforecast.com/pmd/US20070221221","PMD")</f>
        <v>0.0</v>
      </c>
      <c r="L3588" s="2" t="n">
        <f>HYPERLINK("https://globaldossier.uspto.gov/result/application/US/11678201/1","US20070221221")</f>
        <v>0.0</v>
      </c>
      <c r="M3588" t="s">
        <v>22922</v>
      </c>
      <c r="N3588" t="s">
        <v>21973</v>
      </c>
      <c r="O3588" t="s">
        <v>21974</v>
      </c>
      <c r="P3588" t="s">
        <v>22772</v>
      </c>
      <c r="Q3588" s="3" t="n">
        <v>39136.0</v>
      </c>
      <c r="R3588" s="3" t="n">
        <v>39352.0</v>
      </c>
      <c r="S3588" s="3" t="n">
        <v>43900.43738920139</v>
      </c>
      <c r="T3588" s="3" t="n">
        <v>43901.72156527778</v>
      </c>
      <c r="U3588" t="s">
        <v>22773</v>
      </c>
      <c r="V3588" t="s">
        <v>22923</v>
      </c>
    </row>
    <row r="3589">
      <c r="A3589" t="s">
        <v>22</v>
      </c>
      <c r="B3589" t="s">
        <v>22924</v>
      </c>
      <c r="C3589" t="s">
        <v>60</v>
      </c>
      <c r="D3589" t="s">
        <v>61</v>
      </c>
      <c r="E3589" t="s">
        <v>22925</v>
      </c>
      <c r="F3589" s="2" t="n">
        <f>HYPERLINK("https://patents.google.com/patent/US20070218486","Google")</f>
        <v>0.0</v>
      </c>
      <c r="G3589" s="2" t="n">
        <f>HYPERLINK("https://patentcenter.uspto.gov/applications/11681072","Patent Center")</f>
        <v>0.0</v>
      </c>
      <c r="H3589" s="2" t="n">
        <f>HYPERLINK("https://worldwide.espacenet.com/patent/search?q=US20070218486","Espacenet")</f>
        <v>0.0</v>
      </c>
      <c r="I3589" s="2" t="n">
        <f>HYPERLINK("https://ppubs.uspto.gov/pubwebapp/external.html?q=20070218486.pn.","USPTO")</f>
        <v>0.0</v>
      </c>
      <c r="J3589" s="2" t="n">
        <f>HYPERLINK("https://image-ppubs.uspto.gov/dirsearch-public/print/downloadPdf/20070218486","USPTO PDF")</f>
        <v>0.0</v>
      </c>
      <c r="K3589" s="2" t="n">
        <f>HYPERLINK("https://sectors.patentforecast.com/pmd/US20070218486","PMD")</f>
        <v>0.0</v>
      </c>
      <c r="L3589" s="2" t="n">
        <f>HYPERLINK("https://globaldossier.uspto.gov/result/application/US/11681072/1","US20070218486")</f>
        <v>0.0</v>
      </c>
      <c r="M3589" t="s">
        <v>22926</v>
      </c>
      <c r="N3589" t="s">
        <v>22927</v>
      </c>
      <c r="O3589" t="s">
        <v>22928</v>
      </c>
      <c r="P3589" t="s">
        <v>22522</v>
      </c>
      <c r="Q3589" s="3" t="n">
        <v>39142.0</v>
      </c>
      <c r="R3589" s="3" t="n">
        <v>39345.0</v>
      </c>
      <c r="S3589" s="3" t="n">
        <v>43966.4904803588</v>
      </c>
      <c r="T3589" s="3" t="n">
        <v>44678.45840883102</v>
      </c>
      <c r="U3589" t="s">
        <v>22929</v>
      </c>
      <c r="V3589" t="s">
        <v>22930</v>
      </c>
    </row>
    <row r="3590">
      <c r="A3590" t="s">
        <v>22</v>
      </c>
      <c r="B3590" t="s">
        <v>22931</v>
      </c>
      <c r="C3590" t="s">
        <v>24</v>
      </c>
      <c r="D3590" t="s">
        <v>34</v>
      </c>
      <c r="E3590" t="s">
        <v>22932</v>
      </c>
      <c r="F3590" s="2" t="n">
        <f>HYPERLINK("https://patents.google.com/patent/US20070214007","Google")</f>
        <v>0.0</v>
      </c>
      <c r="G3590" s="2" t="n">
        <f>HYPERLINK("https://patentcenter.uspto.gov/applications/11373568","Patent Center")</f>
        <v>0.0</v>
      </c>
      <c r="H3590" s="2" t="n">
        <f>HYPERLINK("https://worldwide.espacenet.com/patent/search?q=US20070214007","Espacenet")</f>
        <v>0.0</v>
      </c>
      <c r="I3590" s="2" t="n">
        <f>HYPERLINK("https://ppubs.uspto.gov/pubwebapp/external.html?q=20070214007.pn.","USPTO")</f>
        <v>0.0</v>
      </c>
      <c r="J3590" s="2" t="n">
        <f>HYPERLINK("https://image-ppubs.uspto.gov/dirsearch-public/print/downloadPdf/20070214007","USPTO PDF")</f>
        <v>0.0</v>
      </c>
      <c r="K3590" s="2" t="n">
        <f>HYPERLINK("https://sectors.patentforecast.com/pmd/US20070214007","PMD")</f>
        <v>0.0</v>
      </c>
      <c r="L3590" s="2" t="n">
        <f>HYPERLINK("https://globaldossier.uspto.gov/result/application/US/11373568/1","US20070214007")</f>
        <v>0.0</v>
      </c>
      <c r="M3590" t="s">
        <v>22933</v>
      </c>
      <c r="N3590" t="s">
        <v>4923</v>
      </c>
      <c r="O3590" t="s">
        <v>4923</v>
      </c>
      <c r="P3590" t="s">
        <v>22934</v>
      </c>
      <c r="Q3590" s="3" t="n">
        <v>38786.0</v>
      </c>
      <c r="R3590" s="3" t="n">
        <v>39338.0</v>
      </c>
      <c r="S3590" s="3" t="n">
        <v>43266.45737675926</v>
      </c>
      <c r="T3590" s="3" t="n">
        <v>43950.55397892361</v>
      </c>
      <c r="U3590" t="s">
        <v>22935</v>
      </c>
      <c r="V3590" t="s">
        <v>22936</v>
      </c>
    </row>
    <row r="3591">
      <c r="A3591" t="s">
        <v>22</v>
      </c>
      <c r="B3591" t="s">
        <v>22937</v>
      </c>
      <c r="C3591" t="s">
        <v>132</v>
      </c>
      <c r="D3591" t="s">
        <v>1265</v>
      </c>
      <c r="E3591" t="s">
        <v>22938</v>
      </c>
      <c r="F3591" s="2" t="n">
        <f>HYPERLINK("https://patents.google.com/patent/US20070184526","Google")</f>
        <v>0.0</v>
      </c>
      <c r="G3591" s="2" t="n">
        <f>HYPERLINK("https://patentcenter.uspto.gov/applications/11582540","Patent Center")</f>
        <v>0.0</v>
      </c>
      <c r="H3591" s="2" t="n">
        <f>HYPERLINK("https://worldwide.espacenet.com/patent/search?q=US20070184526","Espacenet")</f>
        <v>0.0</v>
      </c>
      <c r="I3591" s="2" t="n">
        <f>HYPERLINK("https://ppubs.uspto.gov/pubwebapp/external.html?q=20070184526.pn.","USPTO")</f>
        <v>0.0</v>
      </c>
      <c r="J3591" s="2" t="n">
        <f>HYPERLINK("https://image-ppubs.uspto.gov/dirsearch-public/print/downloadPdf/20070184526","USPTO PDF")</f>
        <v>0.0</v>
      </c>
      <c r="K3591" s="2" t="n">
        <f>HYPERLINK("https://sectors.patentforecast.com/pmd/US20070184526","PMD")</f>
        <v>0.0</v>
      </c>
      <c r="L3591" s="2" t="n">
        <f>HYPERLINK("https://globaldossier.uspto.gov/result/application/US/11582540/1","US20070184526")</f>
        <v>0.0</v>
      </c>
      <c r="M3591" t="s">
        <v>22939</v>
      </c>
      <c r="N3591" t="s">
        <v>1275</v>
      </c>
      <c r="O3591" t="s">
        <v>1275</v>
      </c>
      <c r="P3591" t="s">
        <v>22940</v>
      </c>
      <c r="Q3591" s="3" t="n">
        <v>39008.0</v>
      </c>
      <c r="R3591" s="3" t="n">
        <v>39303.0</v>
      </c>
      <c r="S3591" s="3" t="n">
        <v>43900.43738920139</v>
      </c>
      <c r="T3591" s="3" t="n">
        <v>43903.48463267361</v>
      </c>
      <c r="U3591" t="s">
        <v>22941</v>
      </c>
      <c r="V3591" t="s">
        <v>17402</v>
      </c>
    </row>
    <row r="3592">
      <c r="A3592" t="s">
        <v>22</v>
      </c>
      <c r="B3592" t="s">
        <v>22942</v>
      </c>
      <c r="C3592" t="s">
        <v>312</v>
      </c>
      <c r="D3592" t="s">
        <v>313</v>
      </c>
      <c r="E3592" t="s">
        <v>22943</v>
      </c>
      <c r="F3592" s="2" t="n">
        <f>HYPERLINK("https://patents.google.com/patent/US20070174091","Google")</f>
        <v>0.0</v>
      </c>
      <c r="G3592" s="2" t="n">
        <f>HYPERLINK("https://patentcenter.uspto.gov/applications/11339932","Patent Center")</f>
        <v>0.0</v>
      </c>
      <c r="H3592" s="2" t="n">
        <f>HYPERLINK("https://worldwide.espacenet.com/patent/search?q=US20070174091","Espacenet")</f>
        <v>0.0</v>
      </c>
      <c r="I3592" s="2" t="n">
        <f>HYPERLINK("https://ppubs.uspto.gov/pubwebapp/external.html?q=20070174091.pn.","USPTO")</f>
        <v>0.0</v>
      </c>
      <c r="J3592" s="2" t="n">
        <f>HYPERLINK("https://image-ppubs.uspto.gov/dirsearch-public/print/downloadPdf/20070174091","USPTO PDF")</f>
        <v>0.0</v>
      </c>
      <c r="K3592" s="2" t="n">
        <f>HYPERLINK("https://sectors.patentforecast.com/pmd/US20070174091","PMD")</f>
        <v>0.0</v>
      </c>
      <c r="L3592" s="2" t="n">
        <f>HYPERLINK("https://globaldossier.uspto.gov/result/application/US/11339932/1","US20070174091")</f>
        <v>0.0</v>
      </c>
      <c r="M3592" t="s">
        <v>22944</v>
      </c>
      <c r="N3592" t="s">
        <v>947</v>
      </c>
      <c r="O3592" t="s">
        <v>948</v>
      </c>
      <c r="P3592" t="s">
        <v>22945</v>
      </c>
      <c r="Q3592" s="3" t="n">
        <v>38743.0</v>
      </c>
      <c r="R3592" s="3" t="n">
        <v>39289.0</v>
      </c>
      <c r="S3592" s="3" t="n">
        <v>43266.457377465274</v>
      </c>
      <c r="T3592" s="3" t="n">
        <v>43991.46315549769</v>
      </c>
      <c r="U3592" t="s">
        <v>22946</v>
      </c>
      <c r="V3592" t="s">
        <v>22947</v>
      </c>
    </row>
    <row r="3593">
      <c r="A3593" t="s">
        <v>22</v>
      </c>
      <c r="B3593" t="s">
        <v>22948</v>
      </c>
      <c r="C3593" t="s">
        <v>132</v>
      </c>
      <c r="D3593" t="s">
        <v>1265</v>
      </c>
      <c r="E3593" t="s">
        <v>22949</v>
      </c>
      <c r="F3593" s="2" t="n">
        <f>HYPERLINK("https://patents.google.com/patent/US20070172929","Google")</f>
        <v>0.0</v>
      </c>
      <c r="G3593" s="2" t="n">
        <f>HYPERLINK("https://patentcenter.uspto.gov/applications/11690498","Patent Center")</f>
        <v>0.0</v>
      </c>
      <c r="H3593" s="2" t="n">
        <f>HYPERLINK("https://worldwide.espacenet.com/patent/search?q=US20070172929","Espacenet")</f>
        <v>0.0</v>
      </c>
      <c r="I3593" s="2" t="n">
        <f>HYPERLINK("https://ppubs.uspto.gov/pubwebapp/external.html?q=20070172929.pn.","USPTO")</f>
        <v>0.0</v>
      </c>
      <c r="J3593" s="2" t="n">
        <f>HYPERLINK("https://image-ppubs.uspto.gov/dirsearch-public/print/downloadPdf/20070172929","USPTO PDF")</f>
        <v>0.0</v>
      </c>
      <c r="K3593" s="2" t="n">
        <f>HYPERLINK("https://sectors.patentforecast.com/pmd/US20070172929","PMD")</f>
        <v>0.0</v>
      </c>
      <c r="L3593" s="2" t="n">
        <f>HYPERLINK("https://globaldossier.uspto.gov/result/application/US/11690498/1","US20070172929")</f>
        <v>0.0</v>
      </c>
      <c r="M3593" t="s">
        <v>22950</v>
      </c>
      <c r="N3593" t="s">
        <v>4005</v>
      </c>
      <c r="O3593" t="s">
        <v>4006</v>
      </c>
      <c r="P3593" t="s">
        <v>22951</v>
      </c>
      <c r="Q3593" s="3" t="n">
        <v>39164.0</v>
      </c>
      <c r="R3593" s="3" t="n">
        <v>39289.0</v>
      </c>
      <c r="S3593" s="3" t="n">
        <v>43900.43738920139</v>
      </c>
      <c r="T3593" s="3" t="n">
        <v>44761.48406325231</v>
      </c>
      <c r="U3593" t="s">
        <v>22952</v>
      </c>
      <c r="V3593" t="s">
        <v>22953</v>
      </c>
    </row>
    <row r="3594">
      <c r="A3594" t="s">
        <v>22</v>
      </c>
      <c r="B3594" t="s">
        <v>22954</v>
      </c>
      <c r="C3594" t="s">
        <v>60</v>
      </c>
      <c r="D3594" t="s">
        <v>61</v>
      </c>
      <c r="E3594" t="s">
        <v>22955</v>
      </c>
      <c r="F3594" s="2" t="n">
        <f>HYPERLINK("https://patents.google.com/patent/US20070148124","Google")</f>
        <v>0.0</v>
      </c>
      <c r="G3594" s="2" t="n">
        <f>HYPERLINK("https://patentcenter.uspto.gov/applications/11592479","Patent Center")</f>
        <v>0.0</v>
      </c>
      <c r="H3594" s="2" t="n">
        <f>HYPERLINK("https://worldwide.espacenet.com/patent/search?q=US20070148124","Espacenet")</f>
        <v>0.0</v>
      </c>
      <c r="I3594" s="2" t="n">
        <f>HYPERLINK("https://ppubs.uspto.gov/pubwebapp/external.html?q=20070148124.pn.","USPTO")</f>
        <v>0.0</v>
      </c>
      <c r="J3594" s="2" t="n">
        <f>HYPERLINK("https://image-ppubs.uspto.gov/dirsearch-public/print/downloadPdf/20070148124","USPTO PDF")</f>
        <v>0.0</v>
      </c>
      <c r="K3594" s="2" t="n">
        <f>HYPERLINK("https://sectors.patentforecast.com/pmd/US20070148124","PMD")</f>
        <v>0.0</v>
      </c>
      <c r="L3594" s="2" t="n">
        <f>HYPERLINK("https://globaldossier.uspto.gov/result/application/US/11592479/1","US20070148124")</f>
        <v>0.0</v>
      </c>
      <c r="M3594" t="s">
        <v>22956</v>
      </c>
      <c r="N3594" t="s">
        <v>22957</v>
      </c>
      <c r="O3594" t="s">
        <v>22958</v>
      </c>
      <c r="P3594" t="s">
        <v>22959</v>
      </c>
      <c r="Q3594" s="3" t="n">
        <v>39024.0</v>
      </c>
      <c r="R3594" s="3" t="n">
        <v>39261.0</v>
      </c>
      <c r="S3594" s="3" t="n">
        <v>43966.48632137731</v>
      </c>
      <c r="T3594" s="3" t="n">
        <v>44678.61181834491</v>
      </c>
      <c r="U3594" t="s">
        <v>22960</v>
      </c>
      <c r="V3594" t="s">
        <v>22961</v>
      </c>
    </row>
    <row r="3595">
      <c r="A3595" t="s">
        <v>22</v>
      </c>
      <c r="B3595" t="s">
        <v>22962</v>
      </c>
      <c r="C3595" t="s">
        <v>132</v>
      </c>
      <c r="D3595" t="s">
        <v>1265</v>
      </c>
      <c r="E3595" t="s">
        <v>22963</v>
      </c>
      <c r="F3595" s="2" t="n">
        <f>HYPERLINK("https://patents.google.com/patent/US20070143088","Google")</f>
        <v>0.0</v>
      </c>
      <c r="G3595" s="2" t="n">
        <f>HYPERLINK("https://patentcenter.uspto.gov/applications/11303389","Patent Center")</f>
        <v>0.0</v>
      </c>
      <c r="H3595" s="2" t="n">
        <f>HYPERLINK("https://worldwide.espacenet.com/patent/search?q=US20070143088","Espacenet")</f>
        <v>0.0</v>
      </c>
      <c r="I3595" s="2" t="n">
        <f>HYPERLINK("https://ppubs.uspto.gov/pubwebapp/external.html?q=20070143088.pn.","USPTO")</f>
        <v>0.0</v>
      </c>
      <c r="J3595" s="2" t="n">
        <f>HYPERLINK("https://image-ppubs.uspto.gov/dirsearch-public/print/downloadPdf/20070143088","USPTO PDF")</f>
        <v>0.0</v>
      </c>
      <c r="K3595" s="2" t="n">
        <f>HYPERLINK("https://sectors.patentforecast.com/pmd/US20070143088","PMD")</f>
        <v>0.0</v>
      </c>
      <c r="L3595" s="2" t="n">
        <f>HYPERLINK("https://globaldossier.uspto.gov/result/application/US/11303389/1","US20070143088")</f>
        <v>0.0</v>
      </c>
      <c r="M3595" t="s">
        <v>22964</v>
      </c>
      <c r="N3595" t="s">
        <v>22965</v>
      </c>
      <c r="O3595" t="s">
        <v>22966</v>
      </c>
      <c r="P3595" t="s">
        <v>22967</v>
      </c>
      <c r="Q3595" s="3" t="n">
        <v>38702.0</v>
      </c>
      <c r="R3595" s="3" t="n">
        <v>39254.0</v>
      </c>
      <c r="S3595" s="3" t="n">
        <v>43266.457377453706</v>
      </c>
      <c r="T3595" s="3" t="n">
        <v>43901.7215653125</v>
      </c>
      <c r="U3595" t="s">
        <v>22700</v>
      </c>
      <c r="V3595" t="s">
        <v>22968</v>
      </c>
    </row>
    <row r="3596">
      <c r="A3596" t="s">
        <v>22</v>
      </c>
      <c r="B3596" t="s">
        <v>22969</v>
      </c>
      <c r="C3596" t="s">
        <v>132</v>
      </c>
      <c r="D3596" t="s">
        <v>1265</v>
      </c>
      <c r="E3596" t="s">
        <v>22970</v>
      </c>
      <c r="F3596" s="2" t="n">
        <f>HYPERLINK("https://patents.google.com/patent/US20070141078","Google")</f>
        <v>0.0</v>
      </c>
      <c r="G3596" s="2" t="n">
        <f>HYPERLINK("https://patentcenter.uspto.gov/applications/11487769","Patent Center")</f>
        <v>0.0</v>
      </c>
      <c r="H3596" s="2" t="n">
        <f>HYPERLINK("https://worldwide.espacenet.com/patent/search?q=US20070141078","Espacenet")</f>
        <v>0.0</v>
      </c>
      <c r="I3596" s="2" t="n">
        <f>HYPERLINK("https://ppubs.uspto.gov/pubwebapp/external.html?q=20070141078.pn.","USPTO")</f>
        <v>0.0</v>
      </c>
      <c r="J3596" s="2" t="n">
        <f>HYPERLINK("https://image-ppubs.uspto.gov/dirsearch-public/print/downloadPdf/20070141078","USPTO PDF")</f>
        <v>0.0</v>
      </c>
      <c r="K3596" s="2" t="n">
        <f>HYPERLINK("https://sectors.patentforecast.com/pmd/US20070141078","PMD")</f>
        <v>0.0</v>
      </c>
      <c r="L3596" s="2" t="n">
        <f>HYPERLINK("https://globaldossier.uspto.gov/result/application/US/11487769/1","US20070141078")</f>
        <v>0.0</v>
      </c>
      <c r="M3596" t="s">
        <v>22971</v>
      </c>
      <c r="N3596" t="s">
        <v>22972</v>
      </c>
      <c r="O3596" t="s">
        <v>22973</v>
      </c>
      <c r="P3596" t="s">
        <v>22974</v>
      </c>
      <c r="Q3596" s="3" t="n">
        <v>38915.0</v>
      </c>
      <c r="R3596" s="3" t="n">
        <v>39254.0</v>
      </c>
      <c r="S3596" s="3" t="n">
        <v>43900.43738920139</v>
      </c>
      <c r="T3596" s="3" t="n">
        <v>43901.72156371528</v>
      </c>
      <c r="U3596" t="s">
        <v>22975</v>
      </c>
      <c r="V3596" t="s">
        <v>22976</v>
      </c>
    </row>
    <row r="3597">
      <c r="A3597" t="s">
        <v>22</v>
      </c>
      <c r="B3597" t="s">
        <v>22977</v>
      </c>
      <c r="C3597" t="s">
        <v>60</v>
      </c>
      <c r="D3597" t="s">
        <v>61</v>
      </c>
      <c r="E3597" t="s">
        <v>22978</v>
      </c>
      <c r="F3597" s="2" t="n">
        <f>HYPERLINK("https://patents.google.com/patent/US20070128625","Google")</f>
        <v>0.0</v>
      </c>
      <c r="G3597" s="2" t="n">
        <f>HYPERLINK("https://patentcenter.uspto.gov/applications/11491756","Patent Center")</f>
        <v>0.0</v>
      </c>
      <c r="H3597" s="2" t="n">
        <f>HYPERLINK("https://worldwide.espacenet.com/patent/search?q=US20070128625","Espacenet")</f>
        <v>0.0</v>
      </c>
      <c r="I3597" s="2" t="n">
        <f>HYPERLINK("https://ppubs.uspto.gov/pubwebapp/external.html?q=20070128625.pn.","USPTO")</f>
        <v>0.0</v>
      </c>
      <c r="J3597" s="2" t="n">
        <f>HYPERLINK("https://image-ppubs.uspto.gov/dirsearch-public/print/downloadPdf/20070128625","USPTO PDF")</f>
        <v>0.0</v>
      </c>
      <c r="K3597" s="2" t="n">
        <f>HYPERLINK("https://sectors.patentforecast.com/pmd/US20070128625","PMD")</f>
        <v>0.0</v>
      </c>
      <c r="L3597" s="2" t="n">
        <f>HYPERLINK("https://globaldossier.uspto.gov/result/application/US/11491756/1","US20070128625")</f>
        <v>0.0</v>
      </c>
      <c r="M3597" t="s">
        <v>22979</v>
      </c>
      <c r="N3597" t="s">
        <v>664</v>
      </c>
      <c r="O3597" t="s">
        <v>665</v>
      </c>
      <c r="P3597" t="s">
        <v>22980</v>
      </c>
      <c r="Q3597" s="3" t="n">
        <v>38922.0</v>
      </c>
      <c r="R3597" s="3" t="n">
        <v>39240.0</v>
      </c>
      <c r="S3597" s="3" t="n">
        <v>43952.46140840278</v>
      </c>
      <c r="T3597" s="3" t="n">
        <v>44638.65643378472</v>
      </c>
      <c r="U3597" t="s">
        <v>22981</v>
      </c>
      <c r="V3597" t="s">
        <v>22982</v>
      </c>
    </row>
    <row r="3598">
      <c r="A3598" t="s">
        <v>22</v>
      </c>
      <c r="B3598" t="s">
        <v>22983</v>
      </c>
      <c r="C3598" t="s">
        <v>24</v>
      </c>
      <c r="D3598" t="s">
        <v>258</v>
      </c>
      <c r="E3598" t="s">
        <v>22984</v>
      </c>
      <c r="F3598" s="2" t="n">
        <f>HYPERLINK("https://patents.google.com/patent/US20070124190","Google")</f>
        <v>0.0</v>
      </c>
      <c r="G3598" s="2" t="n">
        <f>HYPERLINK("https://patentcenter.uspto.gov/applications/11627064","Patent Center")</f>
        <v>0.0</v>
      </c>
      <c r="H3598" s="2" t="n">
        <f>HYPERLINK("https://worldwide.espacenet.com/patent/search?q=US20070124190","Espacenet")</f>
        <v>0.0</v>
      </c>
      <c r="I3598" s="2" t="n">
        <f>HYPERLINK("https://ppubs.uspto.gov/pubwebapp/external.html?q=20070124190.pn.","USPTO")</f>
        <v>0.0</v>
      </c>
      <c r="J3598" s="2" t="n">
        <f>HYPERLINK("https://image-ppubs.uspto.gov/dirsearch-public/print/downloadPdf/20070124190","USPTO PDF")</f>
        <v>0.0</v>
      </c>
      <c r="K3598" s="2" t="n">
        <f>HYPERLINK("https://sectors.patentforecast.com/pmd/US20070124190","PMD")</f>
        <v>0.0</v>
      </c>
      <c r="L3598" s="2" t="n">
        <f>HYPERLINK("https://globaldossier.uspto.gov/result/application/US/11627064/1","US20070124190")</f>
        <v>0.0</v>
      </c>
      <c r="M3598" t="s">
        <v>22985</v>
      </c>
      <c r="N3598" t="s">
        <v>947</v>
      </c>
      <c r="O3598" t="s">
        <v>948</v>
      </c>
      <c r="P3598" t="s">
        <v>22726</v>
      </c>
      <c r="Q3598" s="3" t="n">
        <v>39107.0</v>
      </c>
      <c r="R3598" s="3" t="n">
        <v>39233.0</v>
      </c>
      <c r="S3598" s="3" t="n">
        <v>43964.462406736115</v>
      </c>
      <c r="T3598" s="3" t="n">
        <v>43985.50536861111</v>
      </c>
      <c r="U3598" t="s">
        <v>22986</v>
      </c>
      <c r="V3598" t="s">
        <v>22987</v>
      </c>
    </row>
    <row r="3599">
      <c r="A3599" t="s">
        <v>22</v>
      </c>
      <c r="B3599" t="s">
        <v>22988</v>
      </c>
      <c r="C3599" t="s">
        <v>60</v>
      </c>
      <c r="D3599" t="s">
        <v>61</v>
      </c>
      <c r="E3599" t="s">
        <v>22989</v>
      </c>
      <c r="F3599" s="2" t="n">
        <f>HYPERLINK("https://patents.google.com/patent/US20070118916","Google")</f>
        <v>0.0</v>
      </c>
      <c r="G3599" s="2" t="n">
        <f>HYPERLINK("https://patentcenter.uspto.gov/applications/11516230","Patent Center")</f>
        <v>0.0</v>
      </c>
      <c r="H3599" s="2" t="n">
        <f>HYPERLINK("https://worldwide.espacenet.com/patent/search?q=US20070118916","Espacenet")</f>
        <v>0.0</v>
      </c>
      <c r="I3599" s="2" t="n">
        <f>HYPERLINK("https://ppubs.uspto.gov/pubwebapp/external.html?q=20070118916.pn.","USPTO")</f>
        <v>0.0</v>
      </c>
      <c r="J3599" s="2" t="n">
        <f>HYPERLINK("https://image-ppubs.uspto.gov/dirsearch-public/print/downloadPdf/20070118916","USPTO PDF")</f>
        <v>0.0</v>
      </c>
      <c r="K3599" s="2" t="n">
        <f>HYPERLINK("https://sectors.patentforecast.com/pmd/US20070118916","PMD")</f>
        <v>0.0</v>
      </c>
      <c r="L3599" s="2" t="n">
        <f>HYPERLINK("https://globaldossier.uspto.gov/result/application/US/11516230/1","US20070118916")</f>
        <v>0.0</v>
      </c>
      <c r="M3599" t="s">
        <v>22990</v>
      </c>
      <c r="N3599" t="s">
        <v>22991</v>
      </c>
      <c r="O3599" t="s">
        <v>22992</v>
      </c>
      <c r="P3599" t="s">
        <v>22993</v>
      </c>
      <c r="Q3599" s="3" t="n">
        <v>38966.0</v>
      </c>
      <c r="R3599" s="3" t="n">
        <v>39226.0</v>
      </c>
      <c r="S3599" s="3" t="n">
        <v>43964.462406736115</v>
      </c>
      <c r="T3599" s="3" t="n">
        <v>43986.41265914352</v>
      </c>
      <c r="U3599" t="s">
        <v>22994</v>
      </c>
      <c r="V3599" t="s">
        <v>22995</v>
      </c>
    </row>
    <row r="3600">
      <c r="A3600" t="s">
        <v>22</v>
      </c>
      <c r="B3600" t="s">
        <v>22996</v>
      </c>
      <c r="C3600" t="s">
        <v>24</v>
      </c>
      <c r="D3600" t="s">
        <v>43</v>
      </c>
      <c r="E3600" t="s">
        <v>22997</v>
      </c>
      <c r="F3600" s="2" t="n">
        <f>HYPERLINK("https://patents.google.com/patent/US20070106775","Google")</f>
        <v>0.0</v>
      </c>
      <c r="G3600" s="2" t="n">
        <f>HYPERLINK("https://patentcenter.uspto.gov/applications/11363103","Patent Center")</f>
        <v>0.0</v>
      </c>
      <c r="H3600" s="2" t="n">
        <f>HYPERLINK("https://worldwide.espacenet.com/patent/search?q=US20070106775","Espacenet")</f>
        <v>0.0</v>
      </c>
      <c r="I3600" s="2" t="n">
        <f>HYPERLINK("https://ppubs.uspto.gov/pubwebapp/external.html?q=20070106775.pn.","USPTO")</f>
        <v>0.0</v>
      </c>
      <c r="J3600" s="2" t="n">
        <f>HYPERLINK("https://image-ppubs.uspto.gov/dirsearch-public/print/downloadPdf/20070106775","USPTO PDF")</f>
        <v>0.0</v>
      </c>
      <c r="K3600" s="2" t="n">
        <f>HYPERLINK("https://sectors.patentforecast.com/pmd/US20070106775","PMD")</f>
        <v>0.0</v>
      </c>
      <c r="L3600" s="2" t="n">
        <f>HYPERLINK("https://globaldossier.uspto.gov/result/application/US/11363103/1","US20070106775")</f>
        <v>0.0</v>
      </c>
      <c r="M3600" t="s">
        <v>22998</v>
      </c>
      <c r="N3600" t="s">
        <v>22239</v>
      </c>
      <c r="O3600" t="s">
        <v>22240</v>
      </c>
      <c r="P3600" t="s">
        <v>22241</v>
      </c>
      <c r="Q3600" s="3" t="n">
        <v>38775.0</v>
      </c>
      <c r="R3600" s="3" t="n">
        <v>39212.0</v>
      </c>
      <c r="S3600" s="3" t="n">
        <v>43900.43738920139</v>
      </c>
      <c r="T3600" s="3" t="n">
        <v>44761.48244511574</v>
      </c>
      <c r="U3600" t="s">
        <v>22999</v>
      </c>
      <c r="V3600" t="s">
        <v>23000</v>
      </c>
    </row>
    <row r="3601">
      <c r="A3601" t="s">
        <v>22</v>
      </c>
      <c r="B3601" t="s">
        <v>23001</v>
      </c>
      <c r="C3601" t="s">
        <v>24</v>
      </c>
      <c r="D3601" t="s">
        <v>69</v>
      </c>
      <c r="E3601" t="s">
        <v>23002</v>
      </c>
      <c r="F3601" s="2" t="n">
        <f>HYPERLINK("https://patents.google.com/patent/US20070102280","Google")</f>
        <v>0.0</v>
      </c>
      <c r="G3601" s="2" t="n">
        <f>HYPERLINK("https://patentcenter.uspto.gov/applications/11434552","Patent Center")</f>
        <v>0.0</v>
      </c>
      <c r="H3601" s="2" t="n">
        <f>HYPERLINK("https://worldwide.espacenet.com/patent/search?q=US20070102280","Espacenet")</f>
        <v>0.0</v>
      </c>
      <c r="I3601" s="2" t="n">
        <f>HYPERLINK("https://ppubs.uspto.gov/pubwebapp/external.html?q=20070102280.pn.","USPTO")</f>
        <v>0.0</v>
      </c>
      <c r="J3601" s="2" t="n">
        <f>HYPERLINK("https://image-ppubs.uspto.gov/dirsearch-public/print/downloadPdf/20070102280","USPTO PDF")</f>
        <v>0.0</v>
      </c>
      <c r="K3601" s="2" t="n">
        <f>HYPERLINK("https://sectors.patentforecast.com/pmd/US20070102280","PMD")</f>
        <v>0.0</v>
      </c>
      <c r="L3601" s="2" t="n">
        <f>HYPERLINK("https://globaldossier.uspto.gov/result/application/US/11434552/1","US20070102280")</f>
        <v>0.0</v>
      </c>
      <c r="M3601" t="s">
        <v>23003</v>
      </c>
      <c r="N3601" t="s">
        <v>23004</v>
      </c>
      <c r="O3601" t="s">
        <v>23005</v>
      </c>
      <c r="P3601" t="s">
        <v>23006</v>
      </c>
      <c r="Q3601" s="3" t="n">
        <v>38852.0</v>
      </c>
      <c r="R3601" s="3" t="n">
        <v>39212.0</v>
      </c>
      <c r="S3601" s="3" t="n">
        <v>43966.48632137731</v>
      </c>
      <c r="T3601" s="3" t="n">
        <v>44678.631319155094</v>
      </c>
      <c r="U3601" t="s">
        <v>23007</v>
      </c>
      <c r="V3601" t="s">
        <v>22565</v>
      </c>
    </row>
    <row r="3602">
      <c r="A3602" t="s">
        <v>22</v>
      </c>
      <c r="B3602" t="s">
        <v>23008</v>
      </c>
      <c r="C3602" t="s">
        <v>24</v>
      </c>
      <c r="D3602" t="s">
        <v>25</v>
      </c>
      <c r="E3602" t="s">
        <v>23009</v>
      </c>
      <c r="F3602" s="2" t="n">
        <f>HYPERLINK("https://patents.google.com/patent/US20070090942","Google")</f>
        <v>0.0</v>
      </c>
      <c r="G3602" s="2" t="n">
        <f>HYPERLINK("https://patentcenter.uspto.gov/applications/11514567","Patent Center")</f>
        <v>0.0</v>
      </c>
      <c r="H3602" s="2" t="n">
        <f>HYPERLINK("https://worldwide.espacenet.com/patent/search?q=US20070090942","Espacenet")</f>
        <v>0.0</v>
      </c>
      <c r="I3602" s="2" t="n">
        <f>HYPERLINK("https://ppubs.uspto.gov/pubwebapp/external.html?q=20070090942.pn.","USPTO")</f>
        <v>0.0</v>
      </c>
      <c r="J3602" s="2" t="n">
        <f>HYPERLINK("https://image-ppubs.uspto.gov/dirsearch-public/print/downloadPdf/20070090942","USPTO PDF")</f>
        <v>0.0</v>
      </c>
      <c r="K3602" s="2" t="n">
        <f>HYPERLINK("https://sectors.patentforecast.com/pmd/US20070090942","PMD")</f>
        <v>0.0</v>
      </c>
      <c r="L3602" s="2" t="n">
        <f>HYPERLINK("https://globaldossier.uspto.gov/result/application/US/11514567/1","US20070090942")</f>
        <v>0.0</v>
      </c>
      <c r="M3602" t="s">
        <v>23010</v>
      </c>
      <c r="N3602" t="s">
        <v>23011</v>
      </c>
      <c r="O3602" t="s">
        <v>23012</v>
      </c>
      <c r="P3602" t="s">
        <v>23013</v>
      </c>
      <c r="Q3602" s="3" t="n">
        <v>38961.0</v>
      </c>
      <c r="R3602" s="3" t="n">
        <v>39198.0</v>
      </c>
      <c r="S3602" s="3" t="n">
        <v>43266.457377453706</v>
      </c>
      <c r="T3602" s="3" t="n">
        <v>44643.651170763886</v>
      </c>
      <c r="U3602" t="s">
        <v>23014</v>
      </c>
      <c r="V3602" t="s">
        <v>23015</v>
      </c>
    </row>
    <row r="3603">
      <c r="A3603" t="s">
        <v>22</v>
      </c>
      <c r="B3603" t="s">
        <v>23016</v>
      </c>
      <c r="C3603" t="s">
        <v>60</v>
      </c>
      <c r="D3603" t="s">
        <v>61</v>
      </c>
      <c r="E3603" t="s">
        <v>22432</v>
      </c>
      <c r="F3603" s="2" t="n">
        <f>HYPERLINK("https://patents.google.com/patent/US20070078081","Google")</f>
        <v>0.0</v>
      </c>
      <c r="G3603" s="2" t="n">
        <f>HYPERLINK("https://patentcenter.uspto.gov/applications/11487445","Patent Center")</f>
        <v>0.0</v>
      </c>
      <c r="H3603" s="2" t="n">
        <f>HYPERLINK("https://worldwide.espacenet.com/patent/search?q=US20070078081","Espacenet")</f>
        <v>0.0</v>
      </c>
      <c r="I3603" s="2" t="n">
        <f>HYPERLINK("https://ppubs.uspto.gov/pubwebapp/external.html?q=20070078081.pn.","USPTO")</f>
        <v>0.0</v>
      </c>
      <c r="J3603" s="2" t="n">
        <f>HYPERLINK("https://image-ppubs.uspto.gov/dirsearch-public/print/downloadPdf/20070078081","USPTO PDF")</f>
        <v>0.0</v>
      </c>
      <c r="K3603" s="2" t="n">
        <f>HYPERLINK("https://sectors.patentforecast.com/pmd/US20070078081","PMD")</f>
        <v>0.0</v>
      </c>
      <c r="L3603" s="2" t="n">
        <f>HYPERLINK("https://globaldossier.uspto.gov/result/application/US/11487445/1","US20070078081")</f>
        <v>0.0</v>
      </c>
      <c r="M3603" t="s">
        <v>23017</v>
      </c>
      <c r="N3603" t="s">
        <v>664</v>
      </c>
      <c r="O3603" t="s">
        <v>665</v>
      </c>
      <c r="P3603" t="s">
        <v>23018</v>
      </c>
      <c r="Q3603" s="3" t="n">
        <v>38912.0</v>
      </c>
      <c r="R3603" s="3" t="n">
        <v>39177.0</v>
      </c>
      <c r="S3603" s="3" t="n">
        <v>43952.46140840278</v>
      </c>
      <c r="T3603" s="3" t="n">
        <v>44638.65271974537</v>
      </c>
      <c r="U3603" t="s">
        <v>23019</v>
      </c>
      <c r="V3603" t="s">
        <v>23020</v>
      </c>
    </row>
    <row r="3604">
      <c r="A3604" t="s">
        <v>22</v>
      </c>
      <c r="B3604" t="s">
        <v>23021</v>
      </c>
      <c r="C3604" t="s">
        <v>60</v>
      </c>
      <c r="D3604" t="s">
        <v>61</v>
      </c>
      <c r="E3604" t="s">
        <v>22432</v>
      </c>
      <c r="F3604" s="2" t="n">
        <f>HYPERLINK("https://patents.google.com/patent/US20070072809","Google")</f>
        <v>0.0</v>
      </c>
      <c r="G3604" s="2" t="n">
        <f>HYPERLINK("https://patentcenter.uspto.gov/applications/11487542","Patent Center")</f>
        <v>0.0</v>
      </c>
      <c r="H3604" s="2" t="n">
        <f>HYPERLINK("https://worldwide.espacenet.com/patent/search?q=US20070072809","Espacenet")</f>
        <v>0.0</v>
      </c>
      <c r="I3604" s="2" t="n">
        <f>HYPERLINK("https://ppubs.uspto.gov/pubwebapp/external.html?q=20070072809.pn.","USPTO")</f>
        <v>0.0</v>
      </c>
      <c r="J3604" s="2" t="n">
        <f>HYPERLINK("https://image-ppubs.uspto.gov/dirsearch-public/print/downloadPdf/20070072809","USPTO PDF")</f>
        <v>0.0</v>
      </c>
      <c r="K3604" s="2" t="n">
        <f>HYPERLINK("https://sectors.patentforecast.com/pmd/US20070072809","PMD")</f>
        <v>0.0</v>
      </c>
      <c r="L3604" s="2" t="n">
        <f>HYPERLINK("https://globaldossier.uspto.gov/result/application/US/11487542/1","US20070072809")</f>
        <v>0.0</v>
      </c>
      <c r="M3604" t="s">
        <v>23022</v>
      </c>
      <c r="N3604" t="s">
        <v>664</v>
      </c>
      <c r="O3604" t="s">
        <v>665</v>
      </c>
      <c r="P3604" t="s">
        <v>23023</v>
      </c>
      <c r="Q3604" s="3" t="n">
        <v>38912.0</v>
      </c>
      <c r="R3604" s="3" t="n">
        <v>39170.0</v>
      </c>
      <c r="S3604" s="3" t="n">
        <v>43952.46140840278</v>
      </c>
      <c r="T3604" s="3" t="n">
        <v>44638.65271974537</v>
      </c>
      <c r="U3604" t="s">
        <v>23024</v>
      </c>
      <c r="V3604" t="s">
        <v>23025</v>
      </c>
    </row>
    <row r="3605">
      <c r="A3605" t="s">
        <v>22</v>
      </c>
      <c r="B3605" t="s">
        <v>23026</v>
      </c>
      <c r="C3605" t="s">
        <v>60</v>
      </c>
      <c r="D3605" t="s">
        <v>61</v>
      </c>
      <c r="E3605" t="s">
        <v>18626</v>
      </c>
      <c r="F3605" s="2" t="n">
        <f>HYPERLINK("https://patents.google.com/patent/US20070049754","Google")</f>
        <v>0.0</v>
      </c>
      <c r="G3605" s="2" t="n">
        <f>HYPERLINK("https://patentcenter.uspto.gov/applications/11190225","Patent Center")</f>
        <v>0.0</v>
      </c>
      <c r="H3605" s="2" t="n">
        <f>HYPERLINK("https://worldwide.espacenet.com/patent/search?q=US20070049754","Espacenet")</f>
        <v>0.0</v>
      </c>
      <c r="I3605" s="2" t="n">
        <f>HYPERLINK("https://ppubs.uspto.gov/pubwebapp/external.html?q=20070049754.pn.","USPTO")</f>
        <v>0.0</v>
      </c>
      <c r="J3605" s="2" t="n">
        <f>HYPERLINK("https://image-ppubs.uspto.gov/dirsearch-public/print/downloadPdf/20070049754","USPTO PDF")</f>
        <v>0.0</v>
      </c>
      <c r="K3605" s="2" t="n">
        <f>HYPERLINK("https://sectors.patentforecast.com/pmd/US20070049754","PMD")</f>
        <v>0.0</v>
      </c>
      <c r="L3605" s="2" t="n">
        <f>HYPERLINK("https://globaldossier.uspto.gov/result/application/US/11190225/1","US20070049754")</f>
        <v>0.0</v>
      </c>
      <c r="M3605" t="s">
        <v>23027</v>
      </c>
      <c r="N3605" t="s">
        <v>664</v>
      </c>
      <c r="O3605" t="s">
        <v>665</v>
      </c>
      <c r="P3605" t="s">
        <v>23028</v>
      </c>
      <c r="Q3605" s="3" t="n">
        <v>38559.0</v>
      </c>
      <c r="R3605" s="3" t="n">
        <v>39142.0</v>
      </c>
      <c r="S3605" s="3" t="n">
        <v>43952.46140840278</v>
      </c>
      <c r="T3605" s="3" t="n">
        <v>44638.662781747684</v>
      </c>
      <c r="U3605" t="s">
        <v>23029</v>
      </c>
      <c r="V3605" t="s">
        <v>17358</v>
      </c>
    </row>
    <row r="3606">
      <c r="A3606" t="s">
        <v>22</v>
      </c>
      <c r="B3606" t="s">
        <v>23030</v>
      </c>
      <c r="C3606" t="s">
        <v>24</v>
      </c>
      <c r="D3606" t="s">
        <v>25</v>
      </c>
      <c r="E3606" t="s">
        <v>23031</v>
      </c>
      <c r="F3606" s="2" t="n">
        <f>HYPERLINK("https://patents.google.com/patent/US20070026426","Google")</f>
        <v>0.0</v>
      </c>
      <c r="G3606" s="2" t="n">
        <f>HYPERLINK("https://patentcenter.uspto.gov/applications/11412030","Patent Center")</f>
        <v>0.0</v>
      </c>
      <c r="H3606" s="2" t="n">
        <f>HYPERLINK("https://worldwide.espacenet.com/patent/search?q=US20070026426","Espacenet")</f>
        <v>0.0</v>
      </c>
      <c r="I3606" s="2" t="n">
        <f>HYPERLINK("https://ppubs.uspto.gov/pubwebapp/external.html?q=20070026426.pn.","USPTO")</f>
        <v>0.0</v>
      </c>
      <c r="J3606" s="2" t="n">
        <f>HYPERLINK("https://image-ppubs.uspto.gov/dirsearch-public/print/downloadPdf/20070026426","USPTO PDF")</f>
        <v>0.0</v>
      </c>
      <c r="K3606" s="2" t="n">
        <f>HYPERLINK("https://sectors.patentforecast.com/pmd/US20070026426","PMD")</f>
        <v>0.0</v>
      </c>
      <c r="L3606" s="2" t="n">
        <f>HYPERLINK("https://globaldossier.uspto.gov/result/application/US/11412030/1","US20070026426")</f>
        <v>0.0</v>
      </c>
      <c r="M3606" t="s">
        <v>23032</v>
      </c>
      <c r="N3606" t="s">
        <v>20199</v>
      </c>
      <c r="O3606" t="s">
        <v>20200</v>
      </c>
      <c r="P3606" t="s">
        <v>23033</v>
      </c>
      <c r="Q3606" s="3" t="n">
        <v>38833.0</v>
      </c>
      <c r="R3606" s="3" t="n">
        <v>39114.0</v>
      </c>
      <c r="S3606" s="3" t="n">
        <v>43266.457377453706</v>
      </c>
      <c r="T3606" s="3" t="n">
        <v>43903.494973472225</v>
      </c>
      <c r="U3606" t="s">
        <v>20202</v>
      </c>
      <c r="V3606" t="s">
        <v>20203</v>
      </c>
    </row>
    <row r="3607">
      <c r="A3607" t="s">
        <v>22</v>
      </c>
      <c r="B3607" t="s">
        <v>23034</v>
      </c>
      <c r="C3607" t="s">
        <v>132</v>
      </c>
      <c r="D3607" t="s">
        <v>1265</v>
      </c>
      <c r="E3607" t="s">
        <v>23035</v>
      </c>
      <c r="F3607" s="2" t="n">
        <f>HYPERLINK("https://patents.google.com/patent/US20070003576","Google")</f>
        <v>0.0</v>
      </c>
      <c r="G3607" s="2" t="n">
        <f>HYPERLINK("https://patentcenter.uspto.gov/applications/11298102","Patent Center")</f>
        <v>0.0</v>
      </c>
      <c r="H3607" s="2" t="n">
        <f>HYPERLINK("https://worldwide.espacenet.com/patent/search?q=US20070003576","Espacenet")</f>
        <v>0.0</v>
      </c>
      <c r="I3607" s="2" t="n">
        <f>HYPERLINK("https://ppubs.uspto.gov/pubwebapp/external.html?q=20070003576.pn.","USPTO")</f>
        <v>0.0</v>
      </c>
      <c r="J3607" s="2" t="n">
        <f>HYPERLINK("https://image-ppubs.uspto.gov/dirsearch-public/print/downloadPdf/20070003576","USPTO PDF")</f>
        <v>0.0</v>
      </c>
      <c r="K3607" s="2" t="n">
        <f>HYPERLINK("https://sectors.patentforecast.com/pmd/US20070003576","PMD")</f>
        <v>0.0</v>
      </c>
      <c r="L3607" s="2" t="n">
        <f>HYPERLINK("https://globaldossier.uspto.gov/result/application/US/11298102/1","US20070003576")</f>
        <v>0.0</v>
      </c>
      <c r="M3607" t="s">
        <v>23036</v>
      </c>
      <c r="N3607" t="s">
        <v>4069</v>
      </c>
      <c r="O3607" t="s">
        <v>4070</v>
      </c>
      <c r="P3607" t="s">
        <v>22293</v>
      </c>
      <c r="Q3607" s="3" t="n">
        <v>38695.0</v>
      </c>
      <c r="R3607" s="3" t="n">
        <v>39086.0</v>
      </c>
      <c r="S3607" s="3" t="n">
        <v>43900.43738920139</v>
      </c>
      <c r="T3607" s="3" t="n">
        <v>43901.72156533565</v>
      </c>
      <c r="U3607" t="s">
        <v>22294</v>
      </c>
      <c r="V3607" t="s">
        <v>23037</v>
      </c>
    </row>
    <row r="3608">
      <c r="A3608" t="s">
        <v>22</v>
      </c>
      <c r="B3608" t="s">
        <v>23038</v>
      </c>
      <c r="C3608" t="s">
        <v>132</v>
      </c>
      <c r="D3608" t="s">
        <v>1265</v>
      </c>
      <c r="E3608" t="s">
        <v>23039</v>
      </c>
      <c r="F3608" s="2" t="n">
        <f>HYPERLINK("https://patents.google.com/patent/US20060263804","Google")</f>
        <v>0.0</v>
      </c>
      <c r="G3608" s="2" t="n">
        <f>HYPERLINK("https://patentcenter.uspto.gov/applications/11372466","Patent Center")</f>
        <v>0.0</v>
      </c>
      <c r="H3608" s="2" t="n">
        <f>HYPERLINK("https://worldwide.espacenet.com/patent/search?q=US20060263804","Espacenet")</f>
        <v>0.0</v>
      </c>
      <c r="I3608" s="2" t="n">
        <f>HYPERLINK("https://ppubs.uspto.gov/pubwebapp/external.html?q=20060263804.pn.","USPTO")</f>
        <v>0.0</v>
      </c>
      <c r="J3608" s="2" t="n">
        <f>HYPERLINK("https://image-ppubs.uspto.gov/dirsearch-public/print/downloadPdf/20060263804","USPTO PDF")</f>
        <v>0.0</v>
      </c>
      <c r="K3608" s="2" t="n">
        <f>HYPERLINK("https://sectors.patentforecast.com/pmd/US20060263804","PMD")</f>
        <v>0.0</v>
      </c>
      <c r="L3608" s="2" t="n">
        <f>HYPERLINK("https://globaldossier.uspto.gov/result/application/US/11372466/1","US20060263804")</f>
        <v>0.0</v>
      </c>
      <c r="M3608" t="s">
        <v>23040</v>
      </c>
      <c r="N3608" t="s">
        <v>1275</v>
      </c>
      <c r="O3608" t="s">
        <v>1275</v>
      </c>
      <c r="P3608" t="s">
        <v>23041</v>
      </c>
      <c r="Q3608" s="3" t="n">
        <v>38786.0</v>
      </c>
      <c r="R3608" s="3" t="n">
        <v>39044.0</v>
      </c>
      <c r="S3608" s="3" t="n">
        <v>44019.685537523146</v>
      </c>
      <c r="T3608" s="3" t="n">
        <v>44020.62053453704</v>
      </c>
      <c r="U3608" t="s">
        <v>23042</v>
      </c>
      <c r="V3608" t="s">
        <v>19103</v>
      </c>
    </row>
    <row r="3609">
      <c r="A3609" t="s">
        <v>22</v>
      </c>
      <c r="B3609" t="s">
        <v>23043</v>
      </c>
      <c r="C3609" t="s">
        <v>60</v>
      </c>
      <c r="D3609" t="s">
        <v>61</v>
      </c>
      <c r="E3609" t="s">
        <v>23044</v>
      </c>
      <c r="F3609" s="2" t="n">
        <f>HYPERLINK("https://patents.google.com/patent/US20060252791","Google")</f>
        <v>0.0</v>
      </c>
      <c r="G3609" s="2" t="n">
        <f>HYPERLINK("https://patentcenter.uspto.gov/applications/11316050","Patent Center")</f>
        <v>0.0</v>
      </c>
      <c r="H3609" s="2" t="n">
        <f>HYPERLINK("https://worldwide.espacenet.com/patent/search?q=US20060252791","Espacenet")</f>
        <v>0.0</v>
      </c>
      <c r="I3609" s="2" t="n">
        <f>HYPERLINK("https://ppubs.uspto.gov/pubwebapp/external.html?q=20060252791.pn.","USPTO")</f>
        <v>0.0</v>
      </c>
      <c r="J3609" s="2" t="n">
        <f>HYPERLINK("https://image-ppubs.uspto.gov/dirsearch-public/print/downloadPdf/20060252791","USPTO PDF")</f>
        <v>0.0</v>
      </c>
      <c r="K3609" s="2" t="n">
        <f>HYPERLINK("https://sectors.patentforecast.com/pmd/US20060252791","PMD")</f>
        <v>0.0</v>
      </c>
      <c r="L3609" s="2" t="n">
        <f>HYPERLINK("https://globaldossier.uspto.gov/result/application/US/11316050/1","US20060252791")</f>
        <v>0.0</v>
      </c>
      <c r="M3609" t="s">
        <v>23045</v>
      </c>
      <c r="N3609" t="s">
        <v>20636</v>
      </c>
      <c r="O3609" t="s">
        <v>20637</v>
      </c>
      <c r="P3609" t="s">
        <v>23046</v>
      </c>
      <c r="Q3609" s="3" t="n">
        <v>38707.0</v>
      </c>
      <c r="R3609" s="3" t="n">
        <v>39030.0</v>
      </c>
      <c r="S3609" s="3" t="n">
        <v>43952.46140840278</v>
      </c>
      <c r="T3609" s="3" t="n">
        <v>44638.65271974537</v>
      </c>
      <c r="U3609" t="s">
        <v>23047</v>
      </c>
      <c r="V3609" t="s">
        <v>23048</v>
      </c>
    </row>
    <row r="3610">
      <c r="A3610" t="s">
        <v>22</v>
      </c>
      <c r="B3610" t="s">
        <v>23049</v>
      </c>
      <c r="C3610" t="s">
        <v>60</v>
      </c>
      <c r="D3610" t="s">
        <v>61</v>
      </c>
      <c r="E3610" t="s">
        <v>23050</v>
      </c>
      <c r="F3610" s="2" t="n">
        <f>HYPERLINK("https://patents.google.com/patent/US20060252715","Google")</f>
        <v>0.0</v>
      </c>
      <c r="G3610" s="2" t="n">
        <f>HYPERLINK("https://patentcenter.uspto.gov/applications/11365321","Patent Center")</f>
        <v>0.0</v>
      </c>
      <c r="H3610" s="2" t="n">
        <f>HYPERLINK("https://worldwide.espacenet.com/patent/search?q=US20060252715","Espacenet")</f>
        <v>0.0</v>
      </c>
      <c r="I3610" s="2" t="n">
        <f>HYPERLINK("https://ppubs.uspto.gov/pubwebapp/external.html?q=20060252715.pn.","USPTO")</f>
        <v>0.0</v>
      </c>
      <c r="J3610" s="2" t="n">
        <f>HYPERLINK("https://image-ppubs.uspto.gov/dirsearch-public/print/downloadPdf/20060252715","USPTO PDF")</f>
        <v>0.0</v>
      </c>
      <c r="K3610" s="2" t="n">
        <f>HYPERLINK("https://sectors.patentforecast.com/pmd/US20060252715","PMD")</f>
        <v>0.0</v>
      </c>
      <c r="L3610" s="2" t="n">
        <f>HYPERLINK("https://globaldossier.uspto.gov/result/application/US/11365321/1","US20060252715")</f>
        <v>0.0</v>
      </c>
      <c r="M3610" t="s">
        <v>23051</v>
      </c>
      <c r="N3610" t="s">
        <v>22528</v>
      </c>
      <c r="O3610" t="s">
        <v>22529</v>
      </c>
      <c r="P3610" t="s">
        <v>23052</v>
      </c>
      <c r="Q3610" s="3" t="n">
        <v>38776.0</v>
      </c>
      <c r="R3610" s="3" t="n">
        <v>39030.0</v>
      </c>
      <c r="S3610" s="3" t="n">
        <v>43952.46140840278</v>
      </c>
      <c r="T3610" s="3" t="n">
        <v>44638.65579662037</v>
      </c>
      <c r="U3610" t="s">
        <v>23053</v>
      </c>
      <c r="V3610" t="s">
        <v>23054</v>
      </c>
    </row>
    <row r="3611">
      <c r="A3611" t="s">
        <v>22</v>
      </c>
      <c r="B3611" t="s">
        <v>23055</v>
      </c>
      <c r="C3611" t="s">
        <v>24</v>
      </c>
      <c r="D3611" t="s">
        <v>25</v>
      </c>
      <c r="E3611" t="s">
        <v>22256</v>
      </c>
      <c r="F3611" s="2" t="n">
        <f>HYPERLINK("https://patents.google.com/patent/US20060229822","Google")</f>
        <v>0.0</v>
      </c>
      <c r="G3611" s="2" t="n">
        <f>HYPERLINK("https://patentcenter.uspto.gov/applications/11284094","Patent Center")</f>
        <v>0.0</v>
      </c>
      <c r="H3611" s="2" t="n">
        <f>HYPERLINK("https://worldwide.espacenet.com/patent/search?q=US20060229822","Espacenet")</f>
        <v>0.0</v>
      </c>
      <c r="I3611" s="2" t="n">
        <f>HYPERLINK("https://ppubs.uspto.gov/pubwebapp/external.html?q=20060229822.pn.","USPTO")</f>
        <v>0.0</v>
      </c>
      <c r="J3611" s="2" t="n">
        <f>HYPERLINK("https://image-ppubs.uspto.gov/dirsearch-public/print/downloadPdf/20060229822","USPTO PDF")</f>
        <v>0.0</v>
      </c>
      <c r="K3611" s="2" t="n">
        <f>HYPERLINK("https://sectors.patentforecast.com/pmd/US20060229822","PMD")</f>
        <v>0.0</v>
      </c>
      <c r="L3611" s="2" t="n">
        <f>HYPERLINK("https://globaldossier.uspto.gov/result/application/US/11284094/1","US20060229822")</f>
        <v>0.0</v>
      </c>
      <c r="M3611" t="s">
        <v>23056</v>
      </c>
      <c r="N3611" t="s">
        <v>22258</v>
      </c>
      <c r="O3611" t="s">
        <v>22259</v>
      </c>
      <c r="P3611" t="s">
        <v>22260</v>
      </c>
      <c r="Q3611" s="3" t="n">
        <v>38678.0</v>
      </c>
      <c r="R3611" s="3" t="n">
        <v>39002.0</v>
      </c>
      <c r="S3611" s="3" t="n">
        <v>43266.457377453706</v>
      </c>
      <c r="T3611" s="3" t="n">
        <v>43901.72156359954</v>
      </c>
      <c r="U3611" t="s">
        <v>22261</v>
      </c>
      <c r="V3611" t="s">
        <v>22262</v>
      </c>
    </row>
    <row r="3612">
      <c r="A3612" t="s">
        <v>22</v>
      </c>
      <c r="B3612" t="s">
        <v>23057</v>
      </c>
      <c r="C3612" t="s">
        <v>312</v>
      </c>
      <c r="D3612" t="s">
        <v>976</v>
      </c>
      <c r="E3612" t="s">
        <v>23058</v>
      </c>
      <c r="F3612" s="2" t="n">
        <f>HYPERLINK("https://patents.google.com/patent/US20060218010","Google")</f>
        <v>0.0</v>
      </c>
      <c r="G3612" s="2" t="n">
        <f>HYPERLINK("https://patentcenter.uspto.gov/applications/11255161","Patent Center")</f>
        <v>0.0</v>
      </c>
      <c r="H3612" s="2" t="n">
        <f>HYPERLINK("https://worldwide.espacenet.com/patent/search?q=US20060218010","Espacenet")</f>
        <v>0.0</v>
      </c>
      <c r="I3612" s="2" t="n">
        <f>HYPERLINK("https://ppubs.uspto.gov/pubwebapp/external.html?q=20060218010.pn.","USPTO")</f>
        <v>0.0</v>
      </c>
      <c r="J3612" s="2" t="n">
        <f>HYPERLINK("https://image-ppubs.uspto.gov/dirsearch-public/print/downloadPdf/20060218010","USPTO PDF")</f>
        <v>0.0</v>
      </c>
      <c r="K3612" s="2" t="n">
        <f>HYPERLINK("https://sectors.patentforecast.com/pmd/US20060218010","PMD")</f>
        <v>0.0</v>
      </c>
      <c r="L3612" s="2" t="n">
        <f>HYPERLINK("https://globaldossier.uspto.gov/result/application/US/11255161/1","US20060218010")</f>
        <v>0.0</v>
      </c>
      <c r="M3612" t="s">
        <v>23059</v>
      </c>
      <c r="N3612" t="s">
        <v>23060</v>
      </c>
      <c r="O3612" t="s">
        <v>23061</v>
      </c>
      <c r="P3612" t="s">
        <v>23062</v>
      </c>
      <c r="Q3612" s="3" t="n">
        <v>38643.0</v>
      </c>
      <c r="R3612" s="3" t="n">
        <v>38988.0</v>
      </c>
      <c r="S3612" s="3" t="n">
        <v>43266.457377453706</v>
      </c>
      <c r="T3612" s="3" t="n">
        <v>44643.402824247685</v>
      </c>
      <c r="U3612" t="s">
        <v>23063</v>
      </c>
      <c r="V3612" t="s">
        <v>23064</v>
      </c>
    </row>
    <row r="3613">
      <c r="A3613" t="s">
        <v>22</v>
      </c>
      <c r="B3613" t="s">
        <v>23065</v>
      </c>
      <c r="C3613" t="s">
        <v>24</v>
      </c>
      <c r="D3613" t="s">
        <v>34</v>
      </c>
      <c r="E3613" t="s">
        <v>23066</v>
      </c>
      <c r="F3613" s="2" t="n">
        <f>HYPERLINK("https://patents.google.com/patent/US20060206010","Google")</f>
        <v>0.0</v>
      </c>
      <c r="G3613" s="2" t="n">
        <f>HYPERLINK("https://patentcenter.uspto.gov/applications/10554532","Patent Center")</f>
        <v>0.0</v>
      </c>
      <c r="H3613" s="2" t="n">
        <f>HYPERLINK("https://worldwide.espacenet.com/patent/search?q=US20060206010","Espacenet")</f>
        <v>0.0</v>
      </c>
      <c r="I3613" s="2" t="n">
        <f>HYPERLINK("https://ppubs.uspto.gov/pubwebapp/external.html?q=20060206010.pn.","USPTO")</f>
        <v>0.0</v>
      </c>
      <c r="J3613" s="2" t="n">
        <f>HYPERLINK("https://image-ppubs.uspto.gov/dirsearch-public/print/downloadPdf/20060206010","USPTO PDF")</f>
        <v>0.0</v>
      </c>
      <c r="K3613" s="2" t="n">
        <f>HYPERLINK("https://sectors.patentforecast.com/pmd/US20060206010","PMD")</f>
        <v>0.0</v>
      </c>
      <c r="L3613" s="2" t="n">
        <f>HYPERLINK("https://globaldossier.uspto.gov/result/application/US/10554532/1","US20060206010")</f>
        <v>0.0</v>
      </c>
      <c r="M3613" t="s">
        <v>23067</v>
      </c>
      <c r="N3613" t="s">
        <v>1384</v>
      </c>
      <c r="O3613" t="s">
        <v>1385</v>
      </c>
      <c r="P3613" t="s">
        <v>23068</v>
      </c>
      <c r="Q3613" s="3" t="n">
        <v>38114.0</v>
      </c>
      <c r="R3613" s="3" t="n">
        <v>38974.0</v>
      </c>
      <c r="S3613" s="3" t="n">
        <v>43266.45737798611</v>
      </c>
      <c r="T3613" s="3" t="n">
        <v>43901.72156366898</v>
      </c>
      <c r="U3613" t="s">
        <v>23069</v>
      </c>
      <c r="V3613" t="s">
        <v>23070</v>
      </c>
    </row>
    <row r="3614">
      <c r="A3614" t="s">
        <v>22</v>
      </c>
      <c r="B3614" t="s">
        <v>23071</v>
      </c>
      <c r="C3614" t="s">
        <v>312</v>
      </c>
      <c r="D3614" t="s">
        <v>3202</v>
      </c>
      <c r="E3614" t="s">
        <v>23072</v>
      </c>
      <c r="F3614" s="2" t="n">
        <f>HYPERLINK("https://patents.google.com/patent/US20060184337","Google")</f>
        <v>0.0</v>
      </c>
      <c r="G3614" s="2" t="n">
        <f>HYPERLINK("https://patentcenter.uspto.gov/applications/11347049","Patent Center")</f>
        <v>0.0</v>
      </c>
      <c r="H3614" s="2" t="n">
        <f>HYPERLINK("https://worldwide.espacenet.com/patent/search?q=US20060184337","Espacenet")</f>
        <v>0.0</v>
      </c>
      <c r="I3614" s="2" t="n">
        <f>HYPERLINK("https://ppubs.uspto.gov/pubwebapp/external.html?q=20060184337.pn.","USPTO")</f>
        <v>0.0</v>
      </c>
      <c r="J3614" s="2" t="n">
        <f>HYPERLINK("https://image-ppubs.uspto.gov/dirsearch-public/print/downloadPdf/20060184337","USPTO PDF")</f>
        <v>0.0</v>
      </c>
      <c r="K3614" s="2" t="n">
        <f>HYPERLINK("https://sectors.patentforecast.com/pmd/US20060184337","PMD")</f>
        <v>0.0</v>
      </c>
      <c r="L3614" s="2" t="n">
        <f>HYPERLINK("https://globaldossier.uspto.gov/result/application/US/11347049/1","US20060184337")</f>
        <v>0.0</v>
      </c>
      <c r="M3614" t="s">
        <v>23073</v>
      </c>
      <c r="N3614" t="s">
        <v>23074</v>
      </c>
      <c r="O3614" t="s">
        <v>23075</v>
      </c>
      <c r="P3614" t="s">
        <v>23076</v>
      </c>
      <c r="Q3614" s="3" t="n">
        <v>38750.0</v>
      </c>
      <c r="R3614" s="3" t="n">
        <v>38946.0</v>
      </c>
      <c r="S3614" s="3" t="n">
        <v>43266.45737797454</v>
      </c>
      <c r="T3614" s="3" t="n">
        <v>43950.593528125</v>
      </c>
      <c r="U3614" t="s">
        <v>23077</v>
      </c>
      <c r="V3614" t="s">
        <v>23078</v>
      </c>
    </row>
    <row r="3615">
      <c r="A3615" t="s">
        <v>22</v>
      </c>
      <c r="B3615" t="s">
        <v>23079</v>
      </c>
      <c r="C3615" t="s">
        <v>24</v>
      </c>
      <c r="D3615" t="s">
        <v>25</v>
      </c>
      <c r="E3615" t="s">
        <v>23080</v>
      </c>
      <c r="F3615" s="2" t="n">
        <f>HYPERLINK("https://patents.google.com/patent/US20060178567","Google")</f>
        <v>0.0</v>
      </c>
      <c r="G3615" s="2" t="n">
        <f>HYPERLINK("https://patentcenter.uspto.gov/applications/10564493","Patent Center")</f>
        <v>0.0</v>
      </c>
      <c r="H3615" s="2" t="n">
        <f>HYPERLINK("https://worldwide.espacenet.com/patent/search?q=US20060178567","Espacenet")</f>
        <v>0.0</v>
      </c>
      <c r="I3615" s="2" t="n">
        <f>HYPERLINK("https://ppubs.uspto.gov/pubwebapp/external.html?q=20060178567.pn.","USPTO")</f>
        <v>0.0</v>
      </c>
      <c r="J3615" s="2" t="n">
        <f>HYPERLINK("https://image-ppubs.uspto.gov/dirsearch-public/print/downloadPdf/20060178567","USPTO PDF")</f>
        <v>0.0</v>
      </c>
      <c r="K3615" s="2" t="n">
        <f>HYPERLINK("https://sectors.patentforecast.com/pmd/US20060178567","PMD")</f>
        <v>0.0</v>
      </c>
      <c r="L3615" s="2" t="n">
        <f>HYPERLINK("https://globaldossier.uspto.gov/result/application/US/10564493/1","US20060178567")</f>
        <v>0.0</v>
      </c>
      <c r="M3615" t="s">
        <v>23081</v>
      </c>
      <c r="N3615" t="s">
        <v>23082</v>
      </c>
      <c r="O3615" t="s">
        <v>23083</v>
      </c>
      <c r="P3615" t="s">
        <v>23084</v>
      </c>
      <c r="Q3615" s="3" t="n">
        <v>37819.0</v>
      </c>
      <c r="R3615" s="3" t="n">
        <v>38939.0</v>
      </c>
      <c r="S3615" s="3" t="n">
        <v>43266.45737797454</v>
      </c>
      <c r="T3615" s="3" t="n">
        <v>43903.4846322338</v>
      </c>
      <c r="U3615" t="s">
        <v>23085</v>
      </c>
      <c r="V3615" t="s">
        <v>23086</v>
      </c>
    </row>
    <row r="3616">
      <c r="A3616" t="s">
        <v>22</v>
      </c>
      <c r="B3616" t="s">
        <v>23087</v>
      </c>
      <c r="C3616" t="s">
        <v>24</v>
      </c>
      <c r="D3616" t="s">
        <v>25</v>
      </c>
      <c r="E3616" t="s">
        <v>23088</v>
      </c>
      <c r="F3616" s="2" t="n">
        <f>HYPERLINK("https://patents.google.com/patent/US20060167742","Google")</f>
        <v>0.0</v>
      </c>
      <c r="G3616" s="2" t="n">
        <f>HYPERLINK("https://patentcenter.uspto.gov/applications/11391006","Patent Center")</f>
        <v>0.0</v>
      </c>
      <c r="H3616" s="2" t="n">
        <f>HYPERLINK("https://worldwide.espacenet.com/patent/search?q=US20060167742","Espacenet")</f>
        <v>0.0</v>
      </c>
      <c r="I3616" s="2" t="n">
        <f>HYPERLINK("https://ppubs.uspto.gov/pubwebapp/external.html?q=20060167742.pn.","USPTO")</f>
        <v>0.0</v>
      </c>
      <c r="J3616" s="2" t="n">
        <f>HYPERLINK("https://image-ppubs.uspto.gov/dirsearch-public/print/downloadPdf/20060167742","USPTO PDF")</f>
        <v>0.0</v>
      </c>
      <c r="K3616" s="2" t="n">
        <f>HYPERLINK("https://sectors.patentforecast.com/pmd/US20060167742","PMD")</f>
        <v>0.0</v>
      </c>
      <c r="L3616" s="2" t="n">
        <f>HYPERLINK("https://globaldossier.uspto.gov/result/application/US/11391006/1","US20060167742")</f>
        <v>0.0</v>
      </c>
      <c r="M3616" t="s">
        <v>23089</v>
      </c>
      <c r="N3616" t="s">
        <v>23090</v>
      </c>
      <c r="O3616" t="s">
        <v>23091</v>
      </c>
      <c r="P3616" t="s">
        <v>23092</v>
      </c>
      <c r="Q3616" s="3" t="n">
        <v>38804.0</v>
      </c>
      <c r="R3616" s="3" t="n">
        <v>38925.0</v>
      </c>
      <c r="S3616" s="3" t="n">
        <v>43266.45737797454</v>
      </c>
      <c r="T3616" s="3" t="n">
        <v>43901.72156453704</v>
      </c>
      <c r="U3616" t="s">
        <v>23093</v>
      </c>
      <c r="V3616" t="s">
        <v>23094</v>
      </c>
    </row>
    <row r="3617">
      <c r="A3617" t="s">
        <v>22</v>
      </c>
      <c r="B3617" t="s">
        <v>23095</v>
      </c>
      <c r="C3617" t="s">
        <v>312</v>
      </c>
      <c r="D3617" t="s">
        <v>313</v>
      </c>
      <c r="E3617" t="s">
        <v>23096</v>
      </c>
      <c r="F3617" s="2" t="n">
        <f>HYPERLINK("https://patents.google.com/patent/US20060155578","Google")</f>
        <v>0.0</v>
      </c>
      <c r="G3617" s="2" t="n">
        <f>HYPERLINK("https://patentcenter.uspto.gov/applications/11032391","Patent Center")</f>
        <v>0.0</v>
      </c>
      <c r="H3617" s="2" t="n">
        <f>HYPERLINK("https://worldwide.espacenet.com/patent/search?q=US20060155578","Espacenet")</f>
        <v>0.0</v>
      </c>
      <c r="I3617" s="2" t="n">
        <f>HYPERLINK("https://ppubs.uspto.gov/pubwebapp/external.html?q=20060155578.pn.","USPTO")</f>
        <v>0.0</v>
      </c>
      <c r="J3617" s="2" t="n">
        <f>HYPERLINK("https://image-ppubs.uspto.gov/dirsearch-public/print/downloadPdf/20060155578","USPTO PDF")</f>
        <v>0.0</v>
      </c>
      <c r="K3617" s="2" t="n">
        <f>HYPERLINK("https://sectors.patentforecast.com/pmd/US20060155578","PMD")</f>
        <v>0.0</v>
      </c>
      <c r="L3617" s="2" t="n">
        <f>HYPERLINK("https://globaldossier.uspto.gov/result/application/US/11032391/1","US20060155578")</f>
        <v>0.0</v>
      </c>
      <c r="M3617" t="s">
        <v>23097</v>
      </c>
      <c r="N3617" t="s">
        <v>947</v>
      </c>
      <c r="O3617" t="s">
        <v>948</v>
      </c>
      <c r="P3617" t="s">
        <v>23098</v>
      </c>
      <c r="Q3617" s="3" t="n">
        <v>38362.0</v>
      </c>
      <c r="R3617" s="3" t="n">
        <v>38911.0</v>
      </c>
      <c r="S3617" s="3" t="n">
        <v>43266.45737797454</v>
      </c>
      <c r="T3617" s="3" t="n">
        <v>43266.63762232639</v>
      </c>
      <c r="U3617" t="s">
        <v>23099</v>
      </c>
      <c r="V3617" t="s">
        <v>23100</v>
      </c>
    </row>
    <row r="3618">
      <c r="A3618" t="s">
        <v>22</v>
      </c>
      <c r="B3618" t="s">
        <v>23101</v>
      </c>
      <c r="C3618" t="s">
        <v>60</v>
      </c>
      <c r="D3618" t="s">
        <v>61</v>
      </c>
      <c r="E3618" t="s">
        <v>22630</v>
      </c>
      <c r="F3618" s="2" t="n">
        <f>HYPERLINK("https://patents.google.com/patent/US20060147442","Google")</f>
        <v>0.0</v>
      </c>
      <c r="G3618" s="2" t="n">
        <f>HYPERLINK("https://patentcenter.uspto.gov/applications/11254500","Patent Center")</f>
        <v>0.0</v>
      </c>
      <c r="H3618" s="2" t="n">
        <f>HYPERLINK("https://worldwide.espacenet.com/patent/search?q=US20060147442","Espacenet")</f>
        <v>0.0</v>
      </c>
      <c r="I3618" s="2" t="n">
        <f>HYPERLINK("https://ppubs.uspto.gov/pubwebapp/external.html?q=20060147442.pn.","USPTO")</f>
        <v>0.0</v>
      </c>
      <c r="J3618" s="2" t="n">
        <f>HYPERLINK("https://image-ppubs.uspto.gov/dirsearch-public/print/downloadPdf/20060147442","USPTO PDF")</f>
        <v>0.0</v>
      </c>
      <c r="K3618" s="2" t="n">
        <f>HYPERLINK("https://sectors.patentforecast.com/pmd/US20060147442","PMD")</f>
        <v>0.0</v>
      </c>
      <c r="L3618" s="2" t="n">
        <f>HYPERLINK("https://globaldossier.uspto.gov/result/application/US/11254500/1","US20060147442")</f>
        <v>0.0</v>
      </c>
      <c r="M3618" t="s">
        <v>23102</v>
      </c>
      <c r="N3618" t="s">
        <v>3605</v>
      </c>
      <c r="O3618" t="s">
        <v>3606</v>
      </c>
      <c r="P3618" t="s">
        <v>23103</v>
      </c>
      <c r="Q3618" s="3" t="n">
        <v>38645.0</v>
      </c>
      <c r="R3618" s="3" t="n">
        <v>38904.0</v>
      </c>
      <c r="S3618" s="3" t="n">
        <v>43938.461072488426</v>
      </c>
      <c r="T3618" s="3" t="n">
        <v>43985.3917940625</v>
      </c>
      <c r="U3618" t="s">
        <v>23104</v>
      </c>
      <c r="V3618" t="s">
        <v>22634</v>
      </c>
    </row>
    <row r="3619">
      <c r="A3619" t="s">
        <v>22</v>
      </c>
      <c r="B3619" t="s">
        <v>23105</v>
      </c>
      <c r="C3619" t="s">
        <v>24</v>
      </c>
      <c r="D3619" t="s">
        <v>100</v>
      </c>
      <c r="E3619" t="s">
        <v>23106</v>
      </c>
      <c r="F3619" s="2" t="n">
        <f>HYPERLINK("https://patents.google.com/patent/US20060132316","Google")</f>
        <v>0.0</v>
      </c>
      <c r="G3619" s="2" t="n">
        <f>HYPERLINK("https://patentcenter.uspto.gov/applications/11339378","Patent Center")</f>
        <v>0.0</v>
      </c>
      <c r="H3619" s="2" t="n">
        <f>HYPERLINK("https://worldwide.espacenet.com/patent/search?q=US20060132316","Espacenet")</f>
        <v>0.0</v>
      </c>
      <c r="I3619" s="2" t="n">
        <f>HYPERLINK("https://ppubs.uspto.gov/pubwebapp/external.html?q=20060132316.pn.","USPTO")</f>
        <v>0.0</v>
      </c>
      <c r="J3619" s="2" t="n">
        <f>HYPERLINK("https://image-ppubs.uspto.gov/dirsearch-public/print/downloadPdf/20060132316","USPTO PDF")</f>
        <v>0.0</v>
      </c>
      <c r="K3619" s="2" t="n">
        <f>HYPERLINK("https://sectors.patentforecast.com/pmd/US20060132316","PMD")</f>
        <v>0.0</v>
      </c>
      <c r="L3619" s="2" t="n">
        <f>HYPERLINK("https://globaldossier.uspto.gov/result/application/US/11339378/1","US20060132316")</f>
        <v>0.0</v>
      </c>
      <c r="M3619" t="s">
        <v>23107</v>
      </c>
      <c r="N3619" t="s">
        <v>17055</v>
      </c>
      <c r="O3619" t="s">
        <v>17056</v>
      </c>
      <c r="P3619" t="s">
        <v>19023</v>
      </c>
      <c r="Q3619" s="3" t="n">
        <v>38742.0</v>
      </c>
      <c r="R3619" s="3" t="n">
        <v>38890.0</v>
      </c>
      <c r="S3619" s="3" t="n">
        <v>43266.45737797454</v>
      </c>
      <c r="T3619" s="3" t="n">
        <v>43906.35771765046</v>
      </c>
      <c r="U3619" t="s">
        <v>19024</v>
      </c>
      <c r="V3619" t="s">
        <v>21865</v>
      </c>
    </row>
    <row r="3620">
      <c r="A3620" t="s">
        <v>22</v>
      </c>
      <c r="B3620" t="s">
        <v>23108</v>
      </c>
      <c r="C3620" t="s">
        <v>60</v>
      </c>
      <c r="D3620" t="s">
        <v>61</v>
      </c>
      <c r="E3620" t="s">
        <v>22432</v>
      </c>
      <c r="F3620" s="2" t="n">
        <f>HYPERLINK("https://patents.google.com/patent/US20060122123","Google")</f>
        <v>0.0</v>
      </c>
      <c r="G3620" s="2" t="n">
        <f>HYPERLINK("https://patentcenter.uspto.gov/applications/11184429","Patent Center")</f>
        <v>0.0</v>
      </c>
      <c r="H3620" s="2" t="n">
        <f>HYPERLINK("https://worldwide.espacenet.com/patent/search?q=US20060122123","Espacenet")</f>
        <v>0.0</v>
      </c>
      <c r="I3620" s="2" t="n">
        <f>HYPERLINK("https://ppubs.uspto.gov/pubwebapp/external.html?q=20060122123.pn.","USPTO")</f>
        <v>0.0</v>
      </c>
      <c r="J3620" s="2" t="n">
        <f>HYPERLINK("https://image-ppubs.uspto.gov/dirsearch-public/print/downloadPdf/20060122123","USPTO PDF")</f>
        <v>0.0</v>
      </c>
      <c r="K3620" s="2" t="n">
        <f>HYPERLINK("https://sectors.patentforecast.com/pmd/US20060122123","PMD")</f>
        <v>0.0</v>
      </c>
      <c r="L3620" s="2" t="n">
        <f>HYPERLINK("https://globaldossier.uspto.gov/result/application/US/11184429/1","US20060122123")</f>
        <v>0.0</v>
      </c>
      <c r="M3620" t="s">
        <v>23109</v>
      </c>
      <c r="N3620" t="s">
        <v>664</v>
      </c>
      <c r="O3620" t="s">
        <v>665</v>
      </c>
      <c r="P3620" t="s">
        <v>23110</v>
      </c>
      <c r="Q3620" s="3" t="n">
        <v>38551.0</v>
      </c>
      <c r="R3620" s="3" t="n">
        <v>38876.0</v>
      </c>
      <c r="S3620" s="3" t="n">
        <v>43952.46140840278</v>
      </c>
      <c r="T3620" s="3" t="n">
        <v>44761.48197097222</v>
      </c>
      <c r="U3620" t="s">
        <v>23111</v>
      </c>
      <c r="V3620" t="s">
        <v>17358</v>
      </c>
    </row>
    <row r="3621">
      <c r="A3621" t="s">
        <v>22</v>
      </c>
      <c r="B3621" t="s">
        <v>23112</v>
      </c>
      <c r="C3621" t="s">
        <v>132</v>
      </c>
      <c r="D3621" t="s">
        <v>1265</v>
      </c>
      <c r="E3621" t="s">
        <v>23113</v>
      </c>
      <c r="F3621" s="2" t="n">
        <f>HYPERLINK("https://patents.google.com/patent/US20060121447","Google")</f>
        <v>0.0</v>
      </c>
      <c r="G3621" s="2" t="n">
        <f>HYPERLINK("https://patentcenter.uspto.gov/applications/10511229","Patent Center")</f>
        <v>0.0</v>
      </c>
      <c r="H3621" s="2" t="n">
        <f>HYPERLINK("https://worldwide.espacenet.com/patent/search?q=US20060121447","Espacenet")</f>
        <v>0.0</v>
      </c>
      <c r="I3621" s="2" t="n">
        <f>HYPERLINK("https://ppubs.uspto.gov/pubwebapp/external.html?q=20060121447.pn.","USPTO")</f>
        <v>0.0</v>
      </c>
      <c r="J3621" s="2" t="n">
        <f>HYPERLINK("https://image-ppubs.uspto.gov/dirsearch-public/print/downloadPdf/20060121447","USPTO PDF")</f>
        <v>0.0</v>
      </c>
      <c r="K3621" s="2" t="n">
        <f>HYPERLINK("https://sectors.patentforecast.com/pmd/US20060121447","PMD")</f>
        <v>0.0</v>
      </c>
      <c r="L3621" s="2" t="n">
        <f>HYPERLINK("https://globaldossier.uspto.gov/result/application/US/10511229/1","US20060121447")</f>
        <v>0.0</v>
      </c>
      <c r="M3621" t="s">
        <v>23114</v>
      </c>
      <c r="N3621" t="s">
        <v>23115</v>
      </c>
      <c r="O3621" t="s">
        <v>23116</v>
      </c>
      <c r="P3621" t="s">
        <v>23117</v>
      </c>
      <c r="Q3621" s="3" t="n">
        <v>37358.0</v>
      </c>
      <c r="R3621" s="3" t="n">
        <v>38876.0</v>
      </c>
      <c r="S3621" s="3" t="n">
        <v>43900.43738920139</v>
      </c>
      <c r="T3621" s="3" t="n">
        <v>43901.7215649537</v>
      </c>
      <c r="U3621" t="s">
        <v>23118</v>
      </c>
      <c r="V3621" t="s">
        <v>23119</v>
      </c>
    </row>
    <row r="3622">
      <c r="A3622" t="s">
        <v>22</v>
      </c>
      <c r="B3622" t="s">
        <v>23120</v>
      </c>
      <c r="C3622" t="s">
        <v>24</v>
      </c>
      <c r="D3622" t="s">
        <v>34</v>
      </c>
      <c r="E3622" t="s">
        <v>23121</v>
      </c>
      <c r="F3622" s="2" t="n">
        <f>HYPERLINK("https://patents.google.com/patent/US20060099628","Google")</f>
        <v>0.0</v>
      </c>
      <c r="G3622" s="2" t="n">
        <f>HYPERLINK("https://patentcenter.uspto.gov/applications/11272419","Patent Center")</f>
        <v>0.0</v>
      </c>
      <c r="H3622" s="2" t="n">
        <f>HYPERLINK("https://worldwide.espacenet.com/patent/search?q=US20060099628","Espacenet")</f>
        <v>0.0</v>
      </c>
      <c r="I3622" s="2" t="n">
        <f>HYPERLINK("https://ppubs.uspto.gov/pubwebapp/external.html?q=20060099628.pn.","USPTO")</f>
        <v>0.0</v>
      </c>
      <c r="J3622" s="2" t="n">
        <f>HYPERLINK("https://image-ppubs.uspto.gov/dirsearch-public/print/downloadPdf/20060099628","USPTO PDF")</f>
        <v>0.0</v>
      </c>
      <c r="K3622" s="2" t="n">
        <f>HYPERLINK("https://sectors.patentforecast.com/pmd/US20060099628","PMD")</f>
        <v>0.0</v>
      </c>
      <c r="L3622" s="2" t="n">
        <f>HYPERLINK("https://globaldossier.uspto.gov/result/application/US/11272419/1","US20060099628")</f>
        <v>0.0</v>
      </c>
      <c r="M3622" t="s">
        <v>23122</v>
      </c>
      <c r="N3622" t="s">
        <v>23123</v>
      </c>
      <c r="O3622" t="s">
        <v>23124</v>
      </c>
      <c r="P3622" t="s">
        <v>23125</v>
      </c>
      <c r="Q3622" s="3" t="n">
        <v>38665.0</v>
      </c>
      <c r="R3622" s="3" t="n">
        <v>38848.0</v>
      </c>
      <c r="S3622" s="3" t="n">
        <v>43900.43738920139</v>
      </c>
      <c r="T3622" s="3" t="n">
        <v>43901.721563680556</v>
      </c>
      <c r="U3622" t="s">
        <v>23126</v>
      </c>
      <c r="V3622" t="s">
        <v>23127</v>
      </c>
    </row>
    <row r="3623">
      <c r="A3623" t="s">
        <v>22</v>
      </c>
      <c r="B3623" t="s">
        <v>23128</v>
      </c>
      <c r="C3623" t="s">
        <v>312</v>
      </c>
      <c r="D3623" t="s">
        <v>313</v>
      </c>
      <c r="E3623" t="s">
        <v>23129</v>
      </c>
      <c r="F3623" s="2" t="n">
        <f>HYPERLINK("https://patents.google.com/patent/US20060080149","Google")</f>
        <v>0.0</v>
      </c>
      <c r="G3623" s="2" t="n">
        <f>HYPERLINK("https://patentcenter.uspto.gov/applications/11195686","Patent Center")</f>
        <v>0.0</v>
      </c>
      <c r="H3623" s="2" t="n">
        <f>HYPERLINK("https://worldwide.espacenet.com/patent/search?q=US20060080149","Espacenet")</f>
        <v>0.0</v>
      </c>
      <c r="I3623" s="2" t="n">
        <f>HYPERLINK("https://ppubs.uspto.gov/pubwebapp/external.html?q=20060080149.pn.","USPTO")</f>
        <v>0.0</v>
      </c>
      <c r="J3623" s="2" t="n">
        <f>HYPERLINK("https://image-ppubs.uspto.gov/dirsearch-public/print/downloadPdf/20060080149","USPTO PDF")</f>
        <v>0.0</v>
      </c>
      <c r="K3623" s="2" t="n">
        <f>HYPERLINK("https://sectors.patentforecast.com/pmd/US20060080149","PMD")</f>
        <v>0.0</v>
      </c>
      <c r="L3623" s="2" t="n">
        <f>HYPERLINK("https://globaldossier.uspto.gov/result/application/US/11195686/1","US20060080149")</f>
        <v>0.0</v>
      </c>
      <c r="M3623" t="s">
        <v>23130</v>
      </c>
      <c r="N3623" t="s">
        <v>23131</v>
      </c>
      <c r="O3623" t="s">
        <v>23132</v>
      </c>
      <c r="P3623" t="s">
        <v>23133</v>
      </c>
      <c r="Q3623" s="3" t="n">
        <v>38567.0</v>
      </c>
      <c r="R3623" s="3" t="n">
        <v>38820.0</v>
      </c>
      <c r="S3623" s="3" t="n">
        <v>43908.458623541665</v>
      </c>
      <c r="T3623" s="3" t="n">
        <v>44543.60215517361</v>
      </c>
      <c r="U3623" t="s">
        <v>23134</v>
      </c>
      <c r="V3623" t="s">
        <v>23135</v>
      </c>
    </row>
    <row r="3624">
      <c r="A3624" t="s">
        <v>22</v>
      </c>
      <c r="B3624" t="s">
        <v>23136</v>
      </c>
      <c r="C3624" t="s">
        <v>60</v>
      </c>
      <c r="D3624" t="s">
        <v>61</v>
      </c>
      <c r="E3624" t="s">
        <v>23137</v>
      </c>
      <c r="F3624" s="2" t="n">
        <f>HYPERLINK("https://patents.google.com/patent/US20060058265","Google")</f>
        <v>0.0</v>
      </c>
      <c r="G3624" s="2" t="n">
        <f>HYPERLINK("https://patentcenter.uspto.gov/applications/11174215","Patent Center")</f>
        <v>0.0</v>
      </c>
      <c r="H3624" s="2" t="n">
        <f>HYPERLINK("https://worldwide.espacenet.com/patent/search?q=US20060058265","Espacenet")</f>
        <v>0.0</v>
      </c>
      <c r="I3624" s="2" t="n">
        <f>HYPERLINK("https://ppubs.uspto.gov/pubwebapp/external.html?q=20060058265.pn.","USPTO")</f>
        <v>0.0</v>
      </c>
      <c r="J3624" s="2" t="n">
        <f>HYPERLINK("https://image-ppubs.uspto.gov/dirsearch-public/print/downloadPdf/20060058265","USPTO PDF")</f>
        <v>0.0</v>
      </c>
      <c r="K3624" s="2" t="n">
        <f>HYPERLINK("https://sectors.patentforecast.com/pmd/US20060058265","PMD")</f>
        <v>0.0</v>
      </c>
      <c r="L3624" s="2" t="n">
        <f>HYPERLINK("https://globaldossier.uspto.gov/result/application/US/11174215/1","US20060058265")</f>
        <v>0.0</v>
      </c>
      <c r="M3624" t="s">
        <v>23138</v>
      </c>
      <c r="N3624" t="s">
        <v>22845</v>
      </c>
      <c r="O3624" t="s">
        <v>22845</v>
      </c>
      <c r="P3624" t="s">
        <v>22846</v>
      </c>
      <c r="Q3624" s="3" t="n">
        <v>38534.0</v>
      </c>
      <c r="R3624" s="3" t="n">
        <v>38792.0</v>
      </c>
      <c r="S3624" s="3" t="n">
        <v>43952.45970623843</v>
      </c>
      <c r="T3624" s="3" t="n">
        <v>44638.65271974537</v>
      </c>
      <c r="U3624" t="s">
        <v>23139</v>
      </c>
      <c r="V3624" t="s">
        <v>23140</v>
      </c>
    </row>
    <row r="3625">
      <c r="A3625" t="s">
        <v>22</v>
      </c>
      <c r="B3625" t="s">
        <v>23141</v>
      </c>
      <c r="C3625" t="s">
        <v>60</v>
      </c>
      <c r="D3625" t="s">
        <v>61</v>
      </c>
      <c r="E3625" t="s">
        <v>23142</v>
      </c>
      <c r="F3625" s="2" t="n">
        <f>HYPERLINK("https://patents.google.com/patent/US20060052326","Google")</f>
        <v>0.0</v>
      </c>
      <c r="G3625" s="2" t="n">
        <f>HYPERLINK("https://patentcenter.uspto.gov/applications/11213359","Patent Center")</f>
        <v>0.0</v>
      </c>
      <c r="H3625" s="2" t="n">
        <f>HYPERLINK("https://worldwide.espacenet.com/patent/search?q=US20060052326","Espacenet")</f>
        <v>0.0</v>
      </c>
      <c r="I3625" s="2" t="n">
        <f>HYPERLINK("https://ppubs.uspto.gov/pubwebapp/external.html?q=20060052326.pn.","USPTO")</f>
        <v>0.0</v>
      </c>
      <c r="J3625" s="2" t="n">
        <f>HYPERLINK("https://image-ppubs.uspto.gov/dirsearch-public/print/downloadPdf/20060052326","USPTO PDF")</f>
        <v>0.0</v>
      </c>
      <c r="K3625" s="2" t="n">
        <f>HYPERLINK("https://sectors.patentforecast.com/pmd/US20060052326","PMD")</f>
        <v>0.0</v>
      </c>
      <c r="L3625" s="2" t="n">
        <f>HYPERLINK("https://globaldossier.uspto.gov/result/application/US/11213359/1","US20060052326")</f>
        <v>0.0</v>
      </c>
      <c r="M3625" t="s">
        <v>23143</v>
      </c>
      <c r="N3625" t="s">
        <v>23144</v>
      </c>
      <c r="O3625" t="s">
        <v>23144</v>
      </c>
      <c r="P3625" t="s">
        <v>23145</v>
      </c>
      <c r="Q3625" s="3" t="n">
        <v>38590.0</v>
      </c>
      <c r="R3625" s="3" t="n">
        <v>38785.0</v>
      </c>
      <c r="S3625" s="3" t="n">
        <v>43966.491868425925</v>
      </c>
      <c r="T3625" s="3" t="n">
        <v>44678.611276585645</v>
      </c>
      <c r="U3625" t="s">
        <v>23146</v>
      </c>
      <c r="V3625" t="s">
        <v>23147</v>
      </c>
    </row>
    <row r="3626">
      <c r="A3626" t="s">
        <v>22</v>
      </c>
      <c r="B3626" t="s">
        <v>23148</v>
      </c>
      <c r="C3626" t="s">
        <v>24</v>
      </c>
      <c r="D3626" t="s">
        <v>43</v>
      </c>
      <c r="E3626" t="s">
        <v>23149</v>
      </c>
      <c r="F3626" s="2" t="n">
        <f>HYPERLINK("https://patents.google.com/patent/US20060036619","Google")</f>
        <v>0.0</v>
      </c>
      <c r="G3626" s="2" t="n">
        <f>HYPERLINK("https://patentcenter.uspto.gov/applications/11198588","Patent Center")</f>
        <v>0.0</v>
      </c>
      <c r="H3626" s="2" t="n">
        <f>HYPERLINK("https://worldwide.espacenet.com/patent/search?q=US20060036619","Espacenet")</f>
        <v>0.0</v>
      </c>
      <c r="I3626" s="2" t="n">
        <f>HYPERLINK("https://ppubs.uspto.gov/pubwebapp/external.html?q=20060036619.pn.","USPTO")</f>
        <v>0.0</v>
      </c>
      <c r="J3626" s="2" t="n">
        <f>HYPERLINK("https://image-ppubs.uspto.gov/dirsearch-public/print/downloadPdf/20060036619","USPTO PDF")</f>
        <v>0.0</v>
      </c>
      <c r="K3626" s="2" t="n">
        <f>HYPERLINK("https://sectors.patentforecast.com/pmd/US20060036619","PMD")</f>
        <v>0.0</v>
      </c>
      <c r="L3626" s="2" t="n">
        <f>HYPERLINK("https://globaldossier.uspto.gov/result/application/US/11198588/1","US20060036619")</f>
        <v>0.0</v>
      </c>
      <c r="M3626" t="s">
        <v>23150</v>
      </c>
      <c r="N3626" t="s">
        <v>22790</v>
      </c>
      <c r="O3626" t="s">
        <v>22791</v>
      </c>
      <c r="P3626" t="s">
        <v>22792</v>
      </c>
      <c r="Q3626" s="3" t="n">
        <v>38568.0</v>
      </c>
      <c r="R3626" s="3" t="n">
        <v>38764.0</v>
      </c>
      <c r="S3626" s="3" t="n">
        <v>43266.45737797454</v>
      </c>
      <c r="T3626" s="3" t="n">
        <v>43901.72156347222</v>
      </c>
      <c r="U3626" t="s">
        <v>23151</v>
      </c>
      <c r="V3626" t="s">
        <v>23152</v>
      </c>
    </row>
    <row r="3627">
      <c r="A3627" t="s">
        <v>22</v>
      </c>
      <c r="B3627" t="s">
        <v>23153</v>
      </c>
      <c r="C3627" t="s">
        <v>24</v>
      </c>
      <c r="D3627" t="s">
        <v>204</v>
      </c>
      <c r="E3627" t="s">
        <v>23154</v>
      </c>
      <c r="F3627" s="2" t="n">
        <f>HYPERLINK("https://patents.google.com/patent/US20060031018","Google")</f>
        <v>0.0</v>
      </c>
      <c r="G3627" s="2" t="n">
        <f>HYPERLINK("https://patentcenter.uspto.gov/applications/10911713","Patent Center")</f>
        <v>0.0</v>
      </c>
      <c r="H3627" s="2" t="n">
        <f>HYPERLINK("https://worldwide.espacenet.com/patent/search?q=US20060031018","Espacenet")</f>
        <v>0.0</v>
      </c>
      <c r="I3627" s="2" t="n">
        <f>HYPERLINK("https://ppubs.uspto.gov/pubwebapp/external.html?q=20060031018.pn.","USPTO")</f>
        <v>0.0</v>
      </c>
      <c r="J3627" s="2" t="n">
        <f>HYPERLINK("https://image-ppubs.uspto.gov/dirsearch-public/print/downloadPdf/20060031018","USPTO PDF")</f>
        <v>0.0</v>
      </c>
      <c r="K3627" s="2" t="n">
        <f>HYPERLINK("https://sectors.patentforecast.com/pmd/US20060031018","PMD")</f>
        <v>0.0</v>
      </c>
      <c r="L3627" s="2" t="n">
        <f>HYPERLINK("https://globaldossier.uspto.gov/result/application/US/10911713/1","US20060031018")</f>
        <v>0.0</v>
      </c>
      <c r="M3627" t="s">
        <v>23155</v>
      </c>
      <c r="N3627" t="s">
        <v>6786</v>
      </c>
      <c r="O3627" t="s">
        <v>6787</v>
      </c>
      <c r="P3627" t="s">
        <v>23156</v>
      </c>
      <c r="Q3627" s="3" t="n">
        <v>38204.0</v>
      </c>
      <c r="R3627" s="3" t="n">
        <v>38757.0</v>
      </c>
      <c r="S3627" s="3" t="n">
        <v>44019.22993175926</v>
      </c>
      <c r="T3627" s="3" t="n">
        <v>44020.39983981482</v>
      </c>
      <c r="U3627" t="s">
        <v>23157</v>
      </c>
      <c r="V3627" t="s">
        <v>23158</v>
      </c>
    </row>
    <row r="3628">
      <c r="A3628" t="s">
        <v>22</v>
      </c>
      <c r="B3628" t="s">
        <v>23159</v>
      </c>
      <c r="C3628" t="s">
        <v>132</v>
      </c>
      <c r="D3628" t="s">
        <v>133</v>
      </c>
      <c r="E3628" t="s">
        <v>23160</v>
      </c>
      <c r="F3628" s="2" t="n">
        <f>HYPERLINK("https://patents.google.com/patent/US20060024668","Google")</f>
        <v>0.0</v>
      </c>
      <c r="G3628" s="2" t="n">
        <f>HYPERLINK("https://patentcenter.uspto.gov/applications/10922232","Patent Center")</f>
        <v>0.0</v>
      </c>
      <c r="H3628" s="2" t="n">
        <f>HYPERLINK("https://worldwide.espacenet.com/patent/search?q=US20060024668","Espacenet")</f>
        <v>0.0</v>
      </c>
      <c r="I3628" s="2" t="n">
        <f>HYPERLINK("https://ppubs.uspto.gov/pubwebapp/external.html?q=20060024668.pn.","USPTO")</f>
        <v>0.0</v>
      </c>
      <c r="J3628" s="2" t="n">
        <f>HYPERLINK("https://image-ppubs.uspto.gov/dirsearch-public/print/downloadPdf/20060024668","USPTO PDF")</f>
        <v>0.0</v>
      </c>
      <c r="K3628" s="2" t="n">
        <f>HYPERLINK("https://sectors.patentforecast.com/pmd/US20060024668","PMD")</f>
        <v>0.0</v>
      </c>
      <c r="L3628" s="2" t="n">
        <f>HYPERLINK("https://globaldossier.uspto.gov/result/application/US/10922232/1","US20060024668")</f>
        <v>0.0</v>
      </c>
      <c r="M3628" t="s">
        <v>23161</v>
      </c>
      <c r="N3628" t="s">
        <v>21887</v>
      </c>
      <c r="O3628" t="s">
        <v>21888</v>
      </c>
      <c r="P3628" t="s">
        <v>23162</v>
      </c>
      <c r="Q3628" s="3" t="n">
        <v>38217.0</v>
      </c>
      <c r="R3628" s="3" t="n">
        <v>38750.0</v>
      </c>
      <c r="S3628" s="3" t="n">
        <v>43966.491868425925</v>
      </c>
      <c r="T3628" s="3" t="n">
        <v>44638.68962553241</v>
      </c>
      <c r="U3628" t="s">
        <v>23163</v>
      </c>
      <c r="V3628" t="s">
        <v>23164</v>
      </c>
    </row>
    <row r="3629">
      <c r="A3629" t="s">
        <v>22</v>
      </c>
      <c r="B3629" t="s">
        <v>23165</v>
      </c>
      <c r="C3629" t="s">
        <v>24</v>
      </c>
      <c r="D3629" t="s">
        <v>1356</v>
      </c>
      <c r="E3629" t="s">
        <v>23166</v>
      </c>
      <c r="F3629" s="2" t="n">
        <f>HYPERLINK("https://patents.google.com/patent/US20060020391","Google")</f>
        <v>0.0</v>
      </c>
      <c r="G3629" s="2" t="n">
        <f>HYPERLINK("https://patentcenter.uspto.gov/applications/10799749","Patent Center")</f>
        <v>0.0</v>
      </c>
      <c r="H3629" s="2" t="n">
        <f>HYPERLINK("https://worldwide.espacenet.com/patent/search?q=US20060020391","Espacenet")</f>
        <v>0.0</v>
      </c>
      <c r="I3629" s="2" t="n">
        <f>HYPERLINK("https://ppubs.uspto.gov/pubwebapp/external.html?q=20060020391.pn.","USPTO")</f>
        <v>0.0</v>
      </c>
      <c r="J3629" s="2" t="n">
        <f>HYPERLINK("https://image-ppubs.uspto.gov/dirsearch-public/print/downloadPdf/20060020391","USPTO PDF")</f>
        <v>0.0</v>
      </c>
      <c r="K3629" s="2" t="n">
        <f>HYPERLINK("https://sectors.patentforecast.com/pmd/US20060020391","PMD")</f>
        <v>0.0</v>
      </c>
      <c r="L3629" s="2" t="n">
        <f>HYPERLINK("https://globaldossier.uspto.gov/result/application/US/10799749/1","US20060020391")</f>
        <v>0.0</v>
      </c>
      <c r="M3629" t="s">
        <v>23167</v>
      </c>
      <c r="N3629" t="s">
        <v>20175</v>
      </c>
      <c r="O3629" t="s">
        <v>20176</v>
      </c>
      <c r="P3629" t="s">
        <v>22704</v>
      </c>
      <c r="Q3629" s="3" t="n">
        <v>38061.0</v>
      </c>
      <c r="R3629" s="3" t="n">
        <v>38743.0</v>
      </c>
      <c r="S3629" s="3" t="n">
        <v>43266.45737797454</v>
      </c>
      <c r="T3629" s="3" t="n">
        <v>43903.49497356481</v>
      </c>
      <c r="U3629" t="s">
        <v>23168</v>
      </c>
      <c r="V3629" t="s">
        <v>22027</v>
      </c>
    </row>
    <row r="3630">
      <c r="A3630" t="s">
        <v>22</v>
      </c>
      <c r="B3630" t="s">
        <v>23169</v>
      </c>
      <c r="C3630" t="s">
        <v>132</v>
      </c>
      <c r="D3630" t="s">
        <v>1265</v>
      </c>
      <c r="E3630" t="s">
        <v>23170</v>
      </c>
      <c r="F3630" s="2" t="n">
        <f>HYPERLINK("https://patents.google.com/patent/US20060008473","Google")</f>
        <v>0.0</v>
      </c>
      <c r="G3630" s="2" t="n">
        <f>HYPERLINK("https://patentcenter.uspto.gov/applications/11133346","Patent Center")</f>
        <v>0.0</v>
      </c>
      <c r="H3630" s="2" t="n">
        <f>HYPERLINK("https://worldwide.espacenet.com/patent/search?q=US20060008473","Espacenet")</f>
        <v>0.0</v>
      </c>
      <c r="I3630" s="2" t="n">
        <f>HYPERLINK("https://ppubs.uspto.gov/pubwebapp/external.html?q=20060008473.pn.","USPTO")</f>
        <v>0.0</v>
      </c>
      <c r="J3630" s="2" t="n">
        <f>HYPERLINK("https://image-ppubs.uspto.gov/dirsearch-public/print/downloadPdf/20060008473","USPTO PDF")</f>
        <v>0.0</v>
      </c>
      <c r="K3630" s="2" t="n">
        <f>HYPERLINK("https://sectors.patentforecast.com/pmd/US20060008473","PMD")</f>
        <v>0.0</v>
      </c>
      <c r="L3630" s="2" t="n">
        <f>HYPERLINK("https://globaldossier.uspto.gov/result/application/US/11133346/1","US20060008473")</f>
        <v>0.0</v>
      </c>
      <c r="M3630" t="s">
        <v>23171</v>
      </c>
      <c r="N3630" t="s">
        <v>21123</v>
      </c>
      <c r="O3630" t="s">
        <v>21124</v>
      </c>
      <c r="P3630" t="s">
        <v>23172</v>
      </c>
      <c r="Q3630" s="3" t="n">
        <v>38492.0</v>
      </c>
      <c r="R3630" s="3" t="n">
        <v>38729.0</v>
      </c>
      <c r="S3630" s="3" t="n">
        <v>43900.43738920139</v>
      </c>
      <c r="T3630" s="3" t="n">
        <v>43903.48463237269</v>
      </c>
      <c r="U3630" t="s">
        <v>21574</v>
      </c>
      <c r="V3630" t="s">
        <v>21127</v>
      </c>
    </row>
    <row r="3631">
      <c r="A3631" t="s">
        <v>22</v>
      </c>
      <c r="B3631" t="s">
        <v>23173</v>
      </c>
      <c r="C3631" t="s">
        <v>132</v>
      </c>
      <c r="D3631" t="s">
        <v>1265</v>
      </c>
      <c r="E3631" t="s">
        <v>23170</v>
      </c>
      <c r="F3631" s="2" t="n">
        <f>HYPERLINK("https://patents.google.com/patent/US20050287172","Google")</f>
        <v>0.0</v>
      </c>
      <c r="G3631" s="2" t="n">
        <f>HYPERLINK("https://patentcenter.uspto.gov/applications/11133360","Patent Center")</f>
        <v>0.0</v>
      </c>
      <c r="H3631" s="2" t="n">
        <f>HYPERLINK("https://worldwide.espacenet.com/patent/search?q=US20050287172","Espacenet")</f>
        <v>0.0</v>
      </c>
      <c r="I3631" s="2" t="n">
        <f>HYPERLINK("https://ppubs.uspto.gov/pubwebapp/external.html?q=20050287172.pn.","USPTO")</f>
        <v>0.0</v>
      </c>
      <c r="J3631" s="2" t="n">
        <f>HYPERLINK("https://image-ppubs.uspto.gov/dirsearch-public/print/downloadPdf/20050287172","USPTO PDF")</f>
        <v>0.0</v>
      </c>
      <c r="K3631" s="2" t="n">
        <f>HYPERLINK("https://sectors.patentforecast.com/pmd/US20050287172","PMD")</f>
        <v>0.0</v>
      </c>
      <c r="L3631" s="2" t="n">
        <f>HYPERLINK("https://globaldossier.uspto.gov/result/application/US/11133360/1","US20050287172")</f>
        <v>0.0</v>
      </c>
      <c r="M3631" t="s">
        <v>23174</v>
      </c>
      <c r="N3631" t="s">
        <v>21123</v>
      </c>
      <c r="O3631" t="s">
        <v>21124</v>
      </c>
      <c r="P3631" t="s">
        <v>23175</v>
      </c>
      <c r="Q3631" s="3" t="n">
        <v>38492.0</v>
      </c>
      <c r="R3631" s="3" t="n">
        <v>38715.0</v>
      </c>
      <c r="S3631" s="3" t="n">
        <v>43900.43738920139</v>
      </c>
      <c r="T3631" s="3" t="n">
        <v>43903.48463237269</v>
      </c>
      <c r="U3631" t="s">
        <v>21574</v>
      </c>
      <c r="V3631" t="s">
        <v>21127</v>
      </c>
    </row>
    <row r="3632">
      <c r="A3632" t="s">
        <v>22</v>
      </c>
      <c r="B3632" t="s">
        <v>23176</v>
      </c>
      <c r="C3632" t="s">
        <v>60</v>
      </c>
      <c r="D3632" t="s">
        <v>61</v>
      </c>
      <c r="E3632" t="s">
        <v>23177</v>
      </c>
      <c r="F3632" s="2" t="n">
        <f>HYPERLINK("https://patents.google.com/patent/US20050282839","Google")</f>
        <v>0.0</v>
      </c>
      <c r="G3632" s="2" t="n">
        <f>HYPERLINK("https://patentcenter.uspto.gov/applications/11033422","Patent Center")</f>
        <v>0.0</v>
      </c>
      <c r="H3632" s="2" t="n">
        <f>HYPERLINK("https://worldwide.espacenet.com/patent/search?q=US20050282839","Espacenet")</f>
        <v>0.0</v>
      </c>
      <c r="I3632" s="2" t="n">
        <f>HYPERLINK("https://ppubs.uspto.gov/pubwebapp/external.html?q=20050282839.pn.","USPTO")</f>
        <v>0.0</v>
      </c>
      <c r="J3632" s="2" t="n">
        <f>HYPERLINK("https://image-ppubs.uspto.gov/dirsearch-public/print/downloadPdf/20050282839","USPTO PDF")</f>
        <v>0.0</v>
      </c>
      <c r="K3632" s="2" t="n">
        <f>HYPERLINK("https://sectors.patentforecast.com/pmd/US20050282839","PMD")</f>
        <v>0.0</v>
      </c>
      <c r="L3632" s="2" t="n">
        <f>HYPERLINK("https://globaldossier.uspto.gov/result/application/US/11033422/1","US20050282839")</f>
        <v>0.0</v>
      </c>
      <c r="M3632" t="s">
        <v>23178</v>
      </c>
      <c r="N3632" t="s">
        <v>664</v>
      </c>
      <c r="O3632" t="s">
        <v>665</v>
      </c>
      <c r="P3632" t="s">
        <v>23179</v>
      </c>
      <c r="Q3632" s="3" t="n">
        <v>38363.0</v>
      </c>
      <c r="R3632" s="3" t="n">
        <v>38708.0</v>
      </c>
      <c r="S3632" s="3" t="n">
        <v>43952.45970623843</v>
      </c>
      <c r="T3632" s="3" t="n">
        <v>44638.65271974537</v>
      </c>
      <c r="U3632" t="s">
        <v>23180</v>
      </c>
      <c r="V3632" t="s">
        <v>23181</v>
      </c>
    </row>
    <row r="3633">
      <c r="A3633" t="s">
        <v>22</v>
      </c>
      <c r="B3633" t="s">
        <v>23182</v>
      </c>
      <c r="C3633" t="s">
        <v>24</v>
      </c>
      <c r="D3633" t="s">
        <v>8459</v>
      </c>
      <c r="E3633" t="s">
        <v>23183</v>
      </c>
      <c r="F3633" s="2" t="n">
        <f>HYPERLINK("https://patents.google.com/patent/US20050261841","Google")</f>
        <v>0.0</v>
      </c>
      <c r="G3633" s="2" t="n">
        <f>HYPERLINK("https://patentcenter.uspto.gov/applications/10983379","Patent Center")</f>
        <v>0.0</v>
      </c>
      <c r="H3633" s="2" t="n">
        <f>HYPERLINK("https://worldwide.espacenet.com/patent/search?q=US20050261841","Espacenet")</f>
        <v>0.0</v>
      </c>
      <c r="I3633" s="2" t="n">
        <f>HYPERLINK("https://ppubs.uspto.gov/pubwebapp/external.html?q=20050261841.pn.","USPTO")</f>
        <v>0.0</v>
      </c>
      <c r="J3633" s="2" t="n">
        <f>HYPERLINK("https://image-ppubs.uspto.gov/dirsearch-public/print/downloadPdf/20050261841","USPTO PDF")</f>
        <v>0.0</v>
      </c>
      <c r="K3633" s="2" t="n">
        <f>HYPERLINK("https://sectors.patentforecast.com/pmd/US20050261841","PMD")</f>
        <v>0.0</v>
      </c>
      <c r="L3633" s="2" t="n">
        <f>HYPERLINK("https://globaldossier.uspto.gov/result/application/US/10983379/1","US20050261841")</f>
        <v>0.0</v>
      </c>
      <c r="M3633" t="s">
        <v>23184</v>
      </c>
      <c r="N3633" t="s">
        <v>23185</v>
      </c>
      <c r="O3633" t="s">
        <v>23186</v>
      </c>
      <c r="P3633" t="s">
        <v>23187</v>
      </c>
      <c r="Q3633" s="3" t="n">
        <v>38299.0</v>
      </c>
      <c r="R3633" s="3" t="n">
        <v>38680.0</v>
      </c>
      <c r="S3633" s="3" t="n">
        <v>43266.45737846065</v>
      </c>
      <c r="T3633" s="3" t="n">
        <v>43901.72156482639</v>
      </c>
      <c r="U3633" t="s">
        <v>22189</v>
      </c>
      <c r="V3633" t="s">
        <v>22190</v>
      </c>
    </row>
    <row r="3634">
      <c r="A3634" t="s">
        <v>22</v>
      </c>
      <c r="B3634" t="s">
        <v>23188</v>
      </c>
      <c r="C3634" t="s">
        <v>60</v>
      </c>
      <c r="D3634" t="s">
        <v>77</v>
      </c>
      <c r="E3634" t="s">
        <v>23189</v>
      </c>
      <c r="F3634" s="2" t="n">
        <f>HYPERLINK("https://patents.google.com/patent/US20050249739","Google")</f>
        <v>0.0</v>
      </c>
      <c r="G3634" s="2" t="n">
        <f>HYPERLINK("https://patentcenter.uspto.gov/applications/10997201","Patent Center")</f>
        <v>0.0</v>
      </c>
      <c r="H3634" s="2" t="n">
        <f>HYPERLINK("https://worldwide.espacenet.com/patent/search?q=US20050249739","Espacenet")</f>
        <v>0.0</v>
      </c>
      <c r="I3634" s="2" t="n">
        <f>HYPERLINK("https://ppubs.uspto.gov/pubwebapp/external.html?q=20050249739.pn.","USPTO")</f>
        <v>0.0</v>
      </c>
      <c r="J3634" s="2" t="n">
        <f>HYPERLINK("https://image-ppubs.uspto.gov/dirsearch-public/print/downloadPdf/20050249739","USPTO PDF")</f>
        <v>0.0</v>
      </c>
      <c r="K3634" s="2" t="n">
        <f>HYPERLINK("https://sectors.patentforecast.com/pmd/US20050249739","PMD")</f>
        <v>0.0</v>
      </c>
      <c r="L3634" s="2" t="n">
        <f>HYPERLINK("https://globaldossier.uspto.gov/result/application/US/10997201/1","US20050249739")</f>
        <v>0.0</v>
      </c>
      <c r="M3634" t="s">
        <v>23190</v>
      </c>
      <c r="N3634" t="s">
        <v>15231</v>
      </c>
      <c r="O3634" t="s">
        <v>15232</v>
      </c>
      <c r="P3634" t="s">
        <v>23191</v>
      </c>
      <c r="Q3634" s="3" t="n">
        <v>38315.0</v>
      </c>
      <c r="R3634" s="3" t="n">
        <v>38666.0</v>
      </c>
      <c r="S3634" s="3" t="n">
        <v>43966.479611076385</v>
      </c>
      <c r="T3634" s="3" t="n">
        <v>44638.638650092595</v>
      </c>
      <c r="U3634" t="s">
        <v>23192</v>
      </c>
      <c r="V3634" t="s">
        <v>23193</v>
      </c>
    </row>
    <row r="3635">
      <c r="A3635" t="s">
        <v>22</v>
      </c>
      <c r="B3635" t="s">
        <v>23194</v>
      </c>
      <c r="C3635" t="s">
        <v>60</v>
      </c>
      <c r="D3635" t="s">
        <v>61</v>
      </c>
      <c r="E3635" t="s">
        <v>23195</v>
      </c>
      <c r="F3635" s="2" t="n">
        <f>HYPERLINK("https://patents.google.com/patent/US20050244816","Google")</f>
        <v>0.0</v>
      </c>
      <c r="G3635" s="2" t="n">
        <f>HYPERLINK("https://patentcenter.uspto.gov/applications/11019419","Patent Center")</f>
        <v>0.0</v>
      </c>
      <c r="H3635" s="2" t="n">
        <f>HYPERLINK("https://worldwide.espacenet.com/patent/search?q=US20050244816","Espacenet")</f>
        <v>0.0</v>
      </c>
      <c r="I3635" s="2" t="n">
        <f>HYPERLINK("https://ppubs.uspto.gov/pubwebapp/external.html?q=20050244816.pn.","USPTO")</f>
        <v>0.0</v>
      </c>
      <c r="J3635" s="2" t="n">
        <f>HYPERLINK("https://image-ppubs.uspto.gov/dirsearch-public/print/downloadPdf/20050244816","USPTO PDF")</f>
        <v>0.0</v>
      </c>
      <c r="K3635" s="2" t="n">
        <f>HYPERLINK("https://sectors.patentforecast.com/pmd/US20050244816","PMD")</f>
        <v>0.0</v>
      </c>
      <c r="L3635" s="2" t="n">
        <f>HYPERLINK("https://globaldossier.uspto.gov/result/application/US/11019419/1","US20050244816")</f>
        <v>0.0</v>
      </c>
      <c r="M3635" t="s">
        <v>23196</v>
      </c>
      <c r="N3635" t="s">
        <v>22927</v>
      </c>
      <c r="O3635" t="s">
        <v>22928</v>
      </c>
      <c r="P3635" t="s">
        <v>23197</v>
      </c>
      <c r="Q3635" s="3" t="n">
        <v>38341.0</v>
      </c>
      <c r="R3635" s="3" t="n">
        <v>38659.0</v>
      </c>
      <c r="S3635" s="3" t="n">
        <v>43966.479611076385</v>
      </c>
      <c r="T3635" s="3" t="n">
        <v>44678.45832694444</v>
      </c>
      <c r="U3635" t="s">
        <v>22523</v>
      </c>
      <c r="V3635" t="s">
        <v>22524</v>
      </c>
    </row>
    <row r="3636">
      <c r="A3636" t="s">
        <v>22</v>
      </c>
      <c r="B3636" t="s">
        <v>23198</v>
      </c>
      <c r="C3636" t="s">
        <v>60</v>
      </c>
      <c r="D3636" t="s">
        <v>61</v>
      </c>
      <c r="E3636" t="s">
        <v>23199</v>
      </c>
      <c r="F3636" s="2" t="n">
        <f>HYPERLINK("https://patents.google.com/patent/US20050239753","Google")</f>
        <v>0.0</v>
      </c>
      <c r="G3636" s="2" t="n">
        <f>HYPERLINK("https://patentcenter.uspto.gov/applications/11040929","Patent Center")</f>
        <v>0.0</v>
      </c>
      <c r="H3636" s="2" t="n">
        <f>HYPERLINK("https://worldwide.espacenet.com/patent/search?q=US20050239753","Espacenet")</f>
        <v>0.0</v>
      </c>
      <c r="I3636" s="2" t="n">
        <f>HYPERLINK("https://ppubs.uspto.gov/pubwebapp/external.html?q=20050239753.pn.","USPTO")</f>
        <v>0.0</v>
      </c>
      <c r="J3636" s="2" t="n">
        <f>HYPERLINK("https://image-ppubs.uspto.gov/dirsearch-public/print/downloadPdf/20050239753","USPTO PDF")</f>
        <v>0.0</v>
      </c>
      <c r="K3636" s="2" t="n">
        <f>HYPERLINK("https://sectors.patentforecast.com/pmd/US20050239753","PMD")</f>
        <v>0.0</v>
      </c>
      <c r="L3636" s="2" t="n">
        <f>HYPERLINK("https://globaldossier.uspto.gov/result/application/US/11040929/1","US20050239753")</f>
        <v>0.0</v>
      </c>
      <c r="M3636" t="s">
        <v>23200</v>
      </c>
      <c r="N3636" t="s">
        <v>664</v>
      </c>
      <c r="O3636" t="s">
        <v>665</v>
      </c>
      <c r="P3636" t="s">
        <v>23201</v>
      </c>
      <c r="Q3636" s="3" t="n">
        <v>38373.0</v>
      </c>
      <c r="R3636" s="3" t="n">
        <v>38652.0</v>
      </c>
      <c r="S3636" s="3" t="n">
        <v>43952.45970623843</v>
      </c>
      <c r="T3636" s="3" t="n">
        <v>44638.65643378472</v>
      </c>
      <c r="U3636" t="s">
        <v>23202</v>
      </c>
      <c r="V3636" t="s">
        <v>22881</v>
      </c>
    </row>
    <row r="3637">
      <c r="A3637" t="s">
        <v>22</v>
      </c>
      <c r="B3637" t="s">
        <v>23203</v>
      </c>
      <c r="C3637" t="s">
        <v>60</v>
      </c>
      <c r="D3637" t="s">
        <v>61</v>
      </c>
      <c r="E3637" t="s">
        <v>23204</v>
      </c>
      <c r="F3637" s="2" t="n">
        <f>HYPERLINK("https://patents.google.com/patent/US20050222198","Google")</f>
        <v>0.0</v>
      </c>
      <c r="G3637" s="2" t="n">
        <f>HYPERLINK("https://patentcenter.uspto.gov/applications/11019830","Patent Center")</f>
        <v>0.0</v>
      </c>
      <c r="H3637" s="2" t="n">
        <f>HYPERLINK("https://worldwide.espacenet.com/patent/search?q=US20050222198","Espacenet")</f>
        <v>0.0</v>
      </c>
      <c r="I3637" s="2" t="n">
        <f>HYPERLINK("https://ppubs.uspto.gov/pubwebapp/external.html?q=20050222198.pn.","USPTO")</f>
        <v>0.0</v>
      </c>
      <c r="J3637" s="2" t="n">
        <f>HYPERLINK("https://image-ppubs.uspto.gov/dirsearch-public/print/downloadPdf/20050222198","USPTO PDF")</f>
        <v>0.0</v>
      </c>
      <c r="K3637" s="2" t="n">
        <f>HYPERLINK("https://sectors.patentforecast.com/pmd/US20050222198","PMD")</f>
        <v>0.0</v>
      </c>
      <c r="L3637" s="2" t="n">
        <f>HYPERLINK("https://globaldossier.uspto.gov/result/application/US/11019830/1","US20050222198")</f>
        <v>0.0</v>
      </c>
      <c r="M3637" t="s">
        <v>23205</v>
      </c>
      <c r="N3637" t="s">
        <v>20636</v>
      </c>
      <c r="O3637" t="s">
        <v>20637</v>
      </c>
      <c r="P3637" t="s">
        <v>23206</v>
      </c>
      <c r="Q3637" s="3" t="n">
        <v>38342.0</v>
      </c>
      <c r="R3637" s="3" t="n">
        <v>38631.0</v>
      </c>
      <c r="S3637" s="3" t="n">
        <v>43952.45970623843</v>
      </c>
      <c r="T3637" s="3" t="n">
        <v>44638.65271974537</v>
      </c>
      <c r="U3637" t="s">
        <v>23207</v>
      </c>
      <c r="V3637" t="s">
        <v>23208</v>
      </c>
    </row>
    <row r="3638">
      <c r="A3638" t="s">
        <v>22</v>
      </c>
      <c r="B3638" t="s">
        <v>23209</v>
      </c>
      <c r="C3638" t="s">
        <v>60</v>
      </c>
      <c r="D3638" t="s">
        <v>61</v>
      </c>
      <c r="E3638" t="s">
        <v>23210</v>
      </c>
      <c r="F3638" s="2" t="n">
        <f>HYPERLINK("https://patents.google.com/patent/US20050215525","Google")</f>
        <v>0.0</v>
      </c>
      <c r="G3638" s="2" t="n">
        <f>HYPERLINK("https://patentcenter.uspto.gov/applications/10833291","Patent Center")</f>
        <v>0.0</v>
      </c>
      <c r="H3638" s="2" t="n">
        <f>HYPERLINK("https://worldwide.espacenet.com/patent/search?q=US20050215525","Espacenet")</f>
        <v>0.0</v>
      </c>
      <c r="I3638" s="2" t="n">
        <f>HYPERLINK("https://ppubs.uspto.gov/pubwebapp/external.html?q=20050215525.pn.","USPTO")</f>
        <v>0.0</v>
      </c>
      <c r="J3638" s="2" t="n">
        <f>HYPERLINK("https://image-ppubs.uspto.gov/dirsearch-public/print/downloadPdf/20050215525","USPTO PDF")</f>
        <v>0.0</v>
      </c>
      <c r="K3638" s="2" t="n">
        <f>HYPERLINK("https://sectors.patentforecast.com/pmd/US20050215525","PMD")</f>
        <v>0.0</v>
      </c>
      <c r="L3638" s="2" t="n">
        <f>HYPERLINK("https://globaldossier.uspto.gov/result/application/US/10833291/1","US20050215525")</f>
        <v>0.0</v>
      </c>
      <c r="M3638" t="s">
        <v>23211</v>
      </c>
      <c r="N3638" t="s">
        <v>664</v>
      </c>
      <c r="O3638" t="s">
        <v>665</v>
      </c>
      <c r="P3638" t="s">
        <v>23212</v>
      </c>
      <c r="Q3638" s="3" t="n">
        <v>38103.0</v>
      </c>
      <c r="R3638" s="3" t="n">
        <v>38624.0</v>
      </c>
      <c r="S3638" s="3" t="n">
        <v>43952.45970623843</v>
      </c>
      <c r="T3638" s="3" t="n">
        <v>44638.65703299768</v>
      </c>
      <c r="U3638" t="s">
        <v>23213</v>
      </c>
      <c r="V3638" t="s">
        <v>23214</v>
      </c>
    </row>
    <row r="3639">
      <c r="A3639" t="s">
        <v>22</v>
      </c>
      <c r="B3639" t="s">
        <v>23215</v>
      </c>
      <c r="C3639" t="s">
        <v>60</v>
      </c>
      <c r="D3639" t="s">
        <v>61</v>
      </c>
      <c r="E3639" t="s">
        <v>23216</v>
      </c>
      <c r="F3639" s="2" t="n">
        <f>HYPERLINK("https://patents.google.com/patent/US20050209197","Google")</f>
        <v>0.0</v>
      </c>
      <c r="G3639" s="2" t="n">
        <f>HYPERLINK("https://patentcenter.uspto.gov/applications/10423496","Patent Center")</f>
        <v>0.0</v>
      </c>
      <c r="H3639" s="2" t="n">
        <f>HYPERLINK("https://worldwide.espacenet.com/patent/search?q=US20050209197","Espacenet")</f>
        <v>0.0</v>
      </c>
      <c r="I3639" s="2" t="n">
        <f>HYPERLINK("https://ppubs.uspto.gov/pubwebapp/external.html?q=20050209197.pn.","USPTO")</f>
        <v>0.0</v>
      </c>
      <c r="J3639" s="2" t="n">
        <f>HYPERLINK("https://image-ppubs.uspto.gov/dirsearch-public/print/downloadPdf/20050209197","USPTO PDF")</f>
        <v>0.0</v>
      </c>
      <c r="K3639" s="2" t="n">
        <f>HYPERLINK("https://sectors.patentforecast.com/pmd/US20050209197","PMD")</f>
        <v>0.0</v>
      </c>
      <c r="L3639" s="2" t="n">
        <f>HYPERLINK("https://globaldossier.uspto.gov/result/application/US/10423496/1","US20050209197")</f>
        <v>0.0</v>
      </c>
      <c r="M3639" t="s">
        <v>23217</v>
      </c>
      <c r="N3639" t="s">
        <v>664</v>
      </c>
      <c r="O3639" t="s">
        <v>665</v>
      </c>
      <c r="P3639" t="s">
        <v>23218</v>
      </c>
      <c r="Q3639" s="3" t="n">
        <v>37736.0</v>
      </c>
      <c r="R3639" s="3" t="n">
        <v>38617.0</v>
      </c>
      <c r="S3639" s="3" t="n">
        <v>43950.647371782405</v>
      </c>
      <c r="T3639" s="3" t="n">
        <v>44638.662781747684</v>
      </c>
      <c r="U3639" t="s">
        <v>23219</v>
      </c>
      <c r="V3639" t="s">
        <v>23220</v>
      </c>
    </row>
    <row r="3640">
      <c r="A3640" t="s">
        <v>22</v>
      </c>
      <c r="B3640" t="s">
        <v>23221</v>
      </c>
      <c r="C3640" t="s">
        <v>24</v>
      </c>
      <c r="D3640" t="s">
        <v>204</v>
      </c>
      <c r="E3640" t="s">
        <v>23222</v>
      </c>
      <c r="F3640" s="2" t="n">
        <f>HYPERLINK("https://patents.google.com/patent/US20050177393","Google")</f>
        <v>0.0</v>
      </c>
      <c r="G3640" s="2" t="n">
        <f>HYPERLINK("https://patentcenter.uspto.gov/applications/10944110","Patent Center")</f>
        <v>0.0</v>
      </c>
      <c r="H3640" s="2" t="n">
        <f>HYPERLINK("https://worldwide.espacenet.com/patent/search?q=US20050177393","Espacenet")</f>
        <v>0.0</v>
      </c>
      <c r="I3640" s="2" t="n">
        <f>HYPERLINK("https://ppubs.uspto.gov/pubwebapp/external.html?q=20050177393.pn.","USPTO")</f>
        <v>0.0</v>
      </c>
      <c r="J3640" s="2" t="n">
        <f>HYPERLINK("https://image-ppubs.uspto.gov/dirsearch-public/print/downloadPdf/20050177393","USPTO PDF")</f>
        <v>0.0</v>
      </c>
      <c r="K3640" s="2" t="n">
        <f>HYPERLINK("https://sectors.patentforecast.com/pmd/US20050177393","PMD")</f>
        <v>0.0</v>
      </c>
      <c r="L3640" s="2" t="n">
        <f>HYPERLINK("https://globaldossier.uspto.gov/result/application/US/10944110/1","US20050177393")</f>
        <v>0.0</v>
      </c>
      <c r="M3640" t="s">
        <v>23223</v>
      </c>
      <c r="N3640" t="s">
        <v>21634</v>
      </c>
      <c r="O3640" t="s">
        <v>21635</v>
      </c>
      <c r="P3640" t="s">
        <v>23224</v>
      </c>
      <c r="Q3640" s="3" t="n">
        <v>38246.0</v>
      </c>
      <c r="R3640" s="3" t="n">
        <v>38575.0</v>
      </c>
      <c r="S3640" s="3" t="n">
        <v>43266.45737846065</v>
      </c>
      <c r="T3640" s="3" t="n">
        <v>44643.46252900463</v>
      </c>
      <c r="U3640" t="s">
        <v>23225</v>
      </c>
      <c r="V3640" t="s">
        <v>23226</v>
      </c>
    </row>
    <row r="3641">
      <c r="A3641" t="s">
        <v>22</v>
      </c>
      <c r="B3641" t="s">
        <v>23227</v>
      </c>
      <c r="C3641" t="s">
        <v>60</v>
      </c>
      <c r="D3641" t="s">
        <v>2262</v>
      </c>
      <c r="E3641" t="s">
        <v>23228</v>
      </c>
      <c r="F3641" s="2" t="n">
        <f>HYPERLINK("https://patents.google.com/patent/US20050158402","Google")</f>
        <v>0.0</v>
      </c>
      <c r="G3641" s="2" t="n">
        <f>HYPERLINK("https://patentcenter.uspto.gov/applications/10858055","Patent Center")</f>
        <v>0.0</v>
      </c>
      <c r="H3641" s="2" t="n">
        <f>HYPERLINK("https://worldwide.espacenet.com/patent/search?q=US20050158402","Espacenet")</f>
        <v>0.0</v>
      </c>
      <c r="I3641" s="2" t="n">
        <f>HYPERLINK("https://ppubs.uspto.gov/pubwebapp/external.html?q=20050158402.pn.","USPTO")</f>
        <v>0.0</v>
      </c>
      <c r="J3641" s="2" t="n">
        <f>HYPERLINK("https://image-ppubs.uspto.gov/dirsearch-public/print/downloadPdf/20050158402","USPTO PDF")</f>
        <v>0.0</v>
      </c>
      <c r="K3641" s="2" t="n">
        <f>HYPERLINK("https://sectors.patentforecast.com/pmd/US20050158402","PMD")</f>
        <v>0.0</v>
      </c>
      <c r="L3641" s="2" t="n">
        <f>HYPERLINK("https://globaldossier.uspto.gov/result/application/US/10858055/1","US20050158402")</f>
        <v>0.0</v>
      </c>
      <c r="M3641" t="s">
        <v>23229</v>
      </c>
      <c r="N3641" t="s">
        <v>23230</v>
      </c>
      <c r="O3641" t="s">
        <v>23231</v>
      </c>
      <c r="P3641" t="s">
        <v>23232</v>
      </c>
      <c r="Q3641" s="3" t="n">
        <v>38140.0</v>
      </c>
      <c r="R3641" s="3" t="n">
        <v>38554.0</v>
      </c>
      <c r="S3641" s="3" t="n">
        <v>43900.43738920139</v>
      </c>
      <c r="T3641" s="3" t="n">
        <v>43901.72156355324</v>
      </c>
      <c r="U3641" t="s">
        <v>23233</v>
      </c>
      <c r="V3641" t="s">
        <v>23234</v>
      </c>
    </row>
    <row r="3642">
      <c r="A3642" t="s">
        <v>22</v>
      </c>
      <c r="B3642" t="s">
        <v>23235</v>
      </c>
      <c r="C3642" t="s">
        <v>24</v>
      </c>
      <c r="D3642" t="s">
        <v>25</v>
      </c>
      <c r="E3642" t="s">
        <v>23236</v>
      </c>
      <c r="F3642" s="2" t="n">
        <f>HYPERLINK("https://patents.google.com/patent/US20050136395","Google")</f>
        <v>0.0</v>
      </c>
      <c r="G3642" s="2" t="n">
        <f>HYPERLINK("https://patentcenter.uspto.gov/applications/10843527","Patent Center")</f>
        <v>0.0</v>
      </c>
      <c r="H3642" s="2" t="n">
        <f>HYPERLINK("https://worldwide.espacenet.com/patent/search?q=US20050136395","Espacenet")</f>
        <v>0.0</v>
      </c>
      <c r="I3642" s="2" t="n">
        <f>HYPERLINK("https://ppubs.uspto.gov/pubwebapp/external.html?q=20050136395.pn.","USPTO")</f>
        <v>0.0</v>
      </c>
      <c r="J3642" s="2" t="n">
        <f>HYPERLINK("https://image-ppubs.uspto.gov/dirsearch-public/print/downloadPdf/20050136395","USPTO PDF")</f>
        <v>0.0</v>
      </c>
      <c r="K3642" s="2" t="n">
        <f>HYPERLINK("https://sectors.patentforecast.com/pmd/US20050136395","PMD")</f>
        <v>0.0</v>
      </c>
      <c r="L3642" s="2" t="n">
        <f>HYPERLINK("https://globaldossier.uspto.gov/result/application/US/10843527/1","US20050136395")</f>
        <v>0.0</v>
      </c>
      <c r="M3642" t="s">
        <v>23237</v>
      </c>
      <c r="N3642" t="s">
        <v>23238</v>
      </c>
      <c r="O3642" t="s">
        <v>23239</v>
      </c>
      <c r="P3642" t="s">
        <v>23240</v>
      </c>
      <c r="Q3642" s="3" t="n">
        <v>38117.0</v>
      </c>
      <c r="R3642" s="3" t="n">
        <v>38526.0</v>
      </c>
      <c r="S3642" s="3" t="n">
        <v>43900.43738920139</v>
      </c>
      <c r="T3642" s="3" t="n">
        <v>43901.72156421296</v>
      </c>
      <c r="U3642" t="s">
        <v>23241</v>
      </c>
      <c r="V3642" t="s">
        <v>23242</v>
      </c>
    </row>
    <row r="3643">
      <c r="A3643" t="s">
        <v>22</v>
      </c>
      <c r="B3643" t="s">
        <v>23243</v>
      </c>
      <c r="C3643" t="s">
        <v>132</v>
      </c>
      <c r="D3643" t="s">
        <v>11423</v>
      </c>
      <c r="E3643" t="s">
        <v>23244</v>
      </c>
      <c r="F3643" s="2" t="n">
        <f>HYPERLINK("https://patents.google.com/patent/US20050123599","Google")</f>
        <v>0.0</v>
      </c>
      <c r="G3643" s="2" t="n">
        <f>HYPERLINK("https://patentcenter.uspto.gov/applications/11042745","Patent Center")</f>
        <v>0.0</v>
      </c>
      <c r="H3643" s="2" t="n">
        <f>HYPERLINK("https://worldwide.espacenet.com/patent/search?q=US20050123599","Espacenet")</f>
        <v>0.0</v>
      </c>
      <c r="I3643" s="2" t="n">
        <f>HYPERLINK("https://ppubs.uspto.gov/pubwebapp/external.html?q=20050123599.pn.","USPTO")</f>
        <v>0.0</v>
      </c>
      <c r="J3643" s="2" t="n">
        <f>HYPERLINK("https://image-ppubs.uspto.gov/dirsearch-public/print/downloadPdf/20050123599","USPTO PDF")</f>
        <v>0.0</v>
      </c>
      <c r="K3643" s="2" t="n">
        <f>HYPERLINK("https://sectors.patentforecast.com/pmd/US20050123599","PMD")</f>
        <v>0.0</v>
      </c>
      <c r="L3643" s="2" t="n">
        <f>HYPERLINK("https://globaldossier.uspto.gov/result/application/US/11042745/1","US20050123599")</f>
        <v>0.0</v>
      </c>
      <c r="M3643" t="s">
        <v>23245</v>
      </c>
      <c r="N3643" t="s">
        <v>16845</v>
      </c>
      <c r="O3643" t="s">
        <v>16846</v>
      </c>
      <c r="P3643" t="s">
        <v>23246</v>
      </c>
      <c r="Q3643" s="3" t="n">
        <v>38377.0</v>
      </c>
      <c r="R3643" s="3" t="n">
        <v>38512.0</v>
      </c>
      <c r="S3643" s="3" t="n">
        <v>44179.58170241898</v>
      </c>
      <c r="T3643" s="3" t="n">
        <v>44678.4587296875</v>
      </c>
      <c r="U3643" t="s">
        <v>23247</v>
      </c>
      <c r="V3643" t="s">
        <v>23248</v>
      </c>
    </row>
    <row r="3644">
      <c r="A3644" t="s">
        <v>22</v>
      </c>
      <c r="B3644" t="s">
        <v>23249</v>
      </c>
      <c r="C3644" t="s">
        <v>24</v>
      </c>
      <c r="D3644" t="s">
        <v>25</v>
      </c>
      <c r="E3644" t="s">
        <v>23250</v>
      </c>
      <c r="F3644" s="2" t="n">
        <f>HYPERLINK("https://patents.google.com/patent/US20050060189","Google")</f>
        <v>0.0</v>
      </c>
      <c r="G3644" s="2" t="n">
        <f>HYPERLINK("https://patentcenter.uspto.gov/applications/10662552","Patent Center")</f>
        <v>0.0</v>
      </c>
      <c r="H3644" s="2" t="n">
        <f>HYPERLINK("https://worldwide.espacenet.com/patent/search?q=US20050060189","Espacenet")</f>
        <v>0.0</v>
      </c>
      <c r="I3644" s="2" t="n">
        <f>HYPERLINK("https://ppubs.uspto.gov/pubwebapp/external.html?q=20050060189.pn.","USPTO")</f>
        <v>0.0</v>
      </c>
      <c r="J3644" s="2" t="n">
        <f>HYPERLINK("https://image-ppubs.uspto.gov/dirsearch-public/print/downloadPdf/20050060189","USPTO PDF")</f>
        <v>0.0</v>
      </c>
      <c r="K3644" s="2" t="n">
        <f>HYPERLINK("https://sectors.patentforecast.com/pmd/US20050060189","PMD")</f>
        <v>0.0</v>
      </c>
      <c r="L3644" s="2" t="n">
        <f>HYPERLINK("https://globaldossier.uspto.gov/result/application/US/10662552/1","US20050060189")</f>
        <v>0.0</v>
      </c>
      <c r="M3644" t="s">
        <v>23251</v>
      </c>
      <c r="N3644" t="s">
        <v>23252</v>
      </c>
      <c r="O3644" t="s">
        <v>23253</v>
      </c>
      <c r="P3644" t="s">
        <v>23254</v>
      </c>
      <c r="Q3644" s="3" t="n">
        <v>37879.0</v>
      </c>
      <c r="R3644" s="3" t="n">
        <v>38428.0</v>
      </c>
      <c r="S3644" s="3" t="n">
        <v>43266.45737844907</v>
      </c>
      <c r="T3644" s="3" t="n">
        <v>43901.72156372685</v>
      </c>
      <c r="U3644" t="s">
        <v>23255</v>
      </c>
      <c r="V3644" t="s">
        <v>23256</v>
      </c>
    </row>
    <row r="3645">
      <c r="A3645" t="s">
        <v>22</v>
      </c>
      <c r="B3645" t="s">
        <v>23257</v>
      </c>
      <c r="C3645" t="s">
        <v>60</v>
      </c>
      <c r="D3645" t="s">
        <v>61</v>
      </c>
      <c r="E3645" t="s">
        <v>23258</v>
      </c>
      <c r="F3645" s="2" t="n">
        <f>HYPERLINK("https://patents.google.com/patent/US20050059637","Google")</f>
        <v>0.0</v>
      </c>
      <c r="G3645" s="2" t="n">
        <f>HYPERLINK("https://patentcenter.uspto.gov/applications/10903288","Patent Center")</f>
        <v>0.0</v>
      </c>
      <c r="H3645" s="2" t="n">
        <f>HYPERLINK("https://worldwide.espacenet.com/patent/search?q=US20050059637","Espacenet")</f>
        <v>0.0</v>
      </c>
      <c r="I3645" s="2" t="n">
        <f>HYPERLINK("https://ppubs.uspto.gov/pubwebapp/external.html?q=20050059637.pn.","USPTO")</f>
        <v>0.0</v>
      </c>
      <c r="J3645" s="2" t="n">
        <f>HYPERLINK("https://image-ppubs.uspto.gov/dirsearch-public/print/downloadPdf/20050059637","USPTO PDF")</f>
        <v>0.0</v>
      </c>
      <c r="K3645" s="2" t="n">
        <f>HYPERLINK("https://sectors.patentforecast.com/pmd/US20050059637","PMD")</f>
        <v>0.0</v>
      </c>
      <c r="L3645" s="2" t="n">
        <f>HYPERLINK("https://globaldossier.uspto.gov/result/application/US/10903288/1","US20050059637")</f>
        <v>0.0</v>
      </c>
      <c r="M3645" t="s">
        <v>23259</v>
      </c>
      <c r="N3645" t="s">
        <v>664</v>
      </c>
      <c r="O3645" t="s">
        <v>665</v>
      </c>
      <c r="P3645" t="s">
        <v>23260</v>
      </c>
      <c r="Q3645" s="3" t="n">
        <v>38198.0</v>
      </c>
      <c r="R3645" s="3" t="n">
        <v>38428.0</v>
      </c>
      <c r="S3645" s="3" t="n">
        <v>43952.45970623843</v>
      </c>
      <c r="T3645" s="3" t="n">
        <v>44638.65271974537</v>
      </c>
      <c r="U3645" t="s">
        <v>23261</v>
      </c>
      <c r="V3645" t="s">
        <v>23262</v>
      </c>
    </row>
    <row r="3646">
      <c r="A3646" t="s">
        <v>22</v>
      </c>
      <c r="B3646" t="s">
        <v>23263</v>
      </c>
      <c r="C3646" t="s">
        <v>24</v>
      </c>
      <c r="D3646" t="s">
        <v>8459</v>
      </c>
      <c r="E3646" t="s">
        <v>23264</v>
      </c>
      <c r="F3646" s="2" t="n">
        <f>HYPERLINK("https://patents.google.com/patent/US20050043223","Google")</f>
        <v>0.0</v>
      </c>
      <c r="G3646" s="2" t="n">
        <f>HYPERLINK("https://patentcenter.uspto.gov/applications/10832965","Patent Center")</f>
        <v>0.0</v>
      </c>
      <c r="H3646" s="2" t="n">
        <f>HYPERLINK("https://worldwide.espacenet.com/patent/search?q=US20050043223","Espacenet")</f>
        <v>0.0</v>
      </c>
      <c r="I3646" s="2" t="n">
        <f>HYPERLINK("https://ppubs.uspto.gov/pubwebapp/external.html?q=20050043223.pn.","USPTO")</f>
        <v>0.0</v>
      </c>
      <c r="J3646" s="2" t="n">
        <f>HYPERLINK("https://image-ppubs.uspto.gov/dirsearch-public/print/downloadPdf/20050043223","USPTO PDF")</f>
        <v>0.0</v>
      </c>
      <c r="K3646" s="2" t="n">
        <f>HYPERLINK("https://sectors.patentforecast.com/pmd/US20050043223","PMD")</f>
        <v>0.0</v>
      </c>
      <c r="L3646" s="2" t="n">
        <f>HYPERLINK("https://globaldossier.uspto.gov/result/application/US/10832965/1","US20050043223")</f>
        <v>0.0</v>
      </c>
      <c r="M3646" t="s">
        <v>23265</v>
      </c>
      <c r="N3646" t="s">
        <v>23266</v>
      </c>
      <c r="O3646" t="s">
        <v>23267</v>
      </c>
      <c r="P3646" t="s">
        <v>23268</v>
      </c>
      <c r="Q3646" s="3" t="n">
        <v>38103.0</v>
      </c>
      <c r="R3646" s="3" t="n">
        <v>38407.0</v>
      </c>
      <c r="S3646" s="3" t="n">
        <v>43900.43738920139</v>
      </c>
      <c r="T3646" s="3" t="n">
        <v>43901.72156527778</v>
      </c>
      <c r="U3646" t="s">
        <v>22228</v>
      </c>
      <c r="V3646" t="s">
        <v>22229</v>
      </c>
    </row>
    <row r="3647">
      <c r="A3647" t="s">
        <v>22</v>
      </c>
      <c r="B3647" t="s">
        <v>23269</v>
      </c>
      <c r="C3647" t="s">
        <v>24</v>
      </c>
      <c r="D3647" t="s">
        <v>100</v>
      </c>
      <c r="E3647" t="s">
        <v>23270</v>
      </c>
      <c r="F3647" s="2" t="n">
        <f>HYPERLINK("https://patents.google.com/patent/US20050038685","Google")</f>
        <v>0.0</v>
      </c>
      <c r="G3647" s="2" t="n">
        <f>HYPERLINK("https://patentcenter.uspto.gov/applications/10641439","Patent Center")</f>
        <v>0.0</v>
      </c>
      <c r="H3647" s="2" t="n">
        <f>HYPERLINK("https://worldwide.espacenet.com/patent/search?q=US20050038685","Espacenet")</f>
        <v>0.0</v>
      </c>
      <c r="I3647" s="2" t="n">
        <f>HYPERLINK("https://ppubs.uspto.gov/pubwebapp/external.html?q=20050038685.pn.","USPTO")</f>
        <v>0.0</v>
      </c>
      <c r="J3647" s="2" t="n">
        <f>HYPERLINK("https://image-ppubs.uspto.gov/dirsearch-public/print/downloadPdf/20050038685","USPTO PDF")</f>
        <v>0.0</v>
      </c>
      <c r="K3647" s="2" t="n">
        <f>HYPERLINK("https://sectors.patentforecast.com/pmd/US20050038685","PMD")</f>
        <v>0.0</v>
      </c>
      <c r="L3647" s="2" t="n">
        <f>HYPERLINK("https://globaldossier.uspto.gov/result/application/US/10641439/1","US20050038685")</f>
        <v>0.0</v>
      </c>
      <c r="M3647" t="s">
        <v>23271</v>
      </c>
      <c r="N3647" t="s">
        <v>23272</v>
      </c>
      <c r="O3647" t="s">
        <v>23273</v>
      </c>
      <c r="P3647" t="s">
        <v>23274</v>
      </c>
      <c r="Q3647" s="3" t="n">
        <v>37848.0</v>
      </c>
      <c r="R3647" s="3" t="n">
        <v>38400.0</v>
      </c>
      <c r="S3647" s="3" t="n">
        <v>43900.43738920139</v>
      </c>
      <c r="T3647" s="3" t="n">
        <v>43901.721564293985</v>
      </c>
      <c r="U3647" t="s">
        <v>23275</v>
      </c>
      <c r="V3647" t="s">
        <v>23276</v>
      </c>
    </row>
    <row r="3648">
      <c r="A3648" t="s">
        <v>22</v>
      </c>
      <c r="B3648" t="s">
        <v>23277</v>
      </c>
      <c r="C3648" t="s">
        <v>24</v>
      </c>
      <c r="D3648" t="s">
        <v>187</v>
      </c>
      <c r="E3648" t="s">
        <v>23278</v>
      </c>
      <c r="F3648" s="2" t="n">
        <f>HYPERLINK("https://patents.google.com/patent/US20050027459","Google")</f>
        <v>0.0</v>
      </c>
      <c r="G3648" s="2" t="n">
        <f>HYPERLINK("https://patentcenter.uspto.gov/applications/10439706","Patent Center")</f>
        <v>0.0</v>
      </c>
      <c r="H3648" s="2" t="n">
        <f>HYPERLINK("https://worldwide.espacenet.com/patent/search?q=US20050027459","Espacenet")</f>
        <v>0.0</v>
      </c>
      <c r="I3648" s="2" t="n">
        <f>HYPERLINK("https://ppubs.uspto.gov/pubwebapp/external.html?q=20050027459.pn.","USPTO")</f>
        <v>0.0</v>
      </c>
      <c r="J3648" s="2" t="n">
        <f>HYPERLINK("https://image-ppubs.uspto.gov/dirsearch-public/print/downloadPdf/20050027459","USPTO PDF")</f>
        <v>0.0</v>
      </c>
      <c r="K3648" s="2" t="n">
        <f>HYPERLINK("https://sectors.patentforecast.com/pmd/US20050027459","PMD")</f>
        <v>0.0</v>
      </c>
      <c r="L3648" s="2" t="n">
        <f>HYPERLINK("https://globaldossier.uspto.gov/result/application/US/10439706/1","US20050027459")</f>
        <v>0.0</v>
      </c>
      <c r="M3648" t="s">
        <v>23279</v>
      </c>
      <c r="N3648" t="s">
        <v>6851</v>
      </c>
      <c r="O3648" t="s">
        <v>6852</v>
      </c>
      <c r="P3648" t="s">
        <v>23280</v>
      </c>
      <c r="Q3648" s="3" t="n">
        <v>37757.0</v>
      </c>
      <c r="R3648" s="3" t="n">
        <v>38386.0</v>
      </c>
      <c r="S3648" s="3" t="n">
        <v>43266.45737885417</v>
      </c>
      <c r="T3648" s="3" t="n">
        <v>43266.61438974537</v>
      </c>
      <c r="U3648" t="s">
        <v>19647</v>
      </c>
      <c r="V3648" t="s">
        <v>19648</v>
      </c>
    </row>
    <row r="3649">
      <c r="A3649" t="s">
        <v>22</v>
      </c>
      <c r="B3649" t="s">
        <v>23281</v>
      </c>
      <c r="C3649" t="s">
        <v>60</v>
      </c>
      <c r="D3649" t="s">
        <v>61</v>
      </c>
      <c r="E3649" t="s">
        <v>23282</v>
      </c>
      <c r="F3649" s="2" t="n">
        <f>HYPERLINK("https://patents.google.com/patent/US20050014932","Google")</f>
        <v>0.0</v>
      </c>
      <c r="G3649" s="2" t="n">
        <f>HYPERLINK("https://patentcenter.uspto.gov/applications/10844837","Patent Center")</f>
        <v>0.0</v>
      </c>
      <c r="H3649" s="2" t="n">
        <f>HYPERLINK("https://worldwide.espacenet.com/patent/search?q=US20050014932","Espacenet")</f>
        <v>0.0</v>
      </c>
      <c r="I3649" s="2" t="n">
        <f>HYPERLINK("https://ppubs.uspto.gov/pubwebapp/external.html?q=20050014932.pn.","USPTO")</f>
        <v>0.0</v>
      </c>
      <c r="J3649" s="2" t="n">
        <f>HYPERLINK("https://image-ppubs.uspto.gov/dirsearch-public/print/downloadPdf/20050014932","USPTO PDF")</f>
        <v>0.0</v>
      </c>
      <c r="K3649" s="2" t="n">
        <f>HYPERLINK("https://sectors.patentforecast.com/pmd/US20050014932","PMD")</f>
        <v>0.0</v>
      </c>
      <c r="L3649" s="2" t="n">
        <f>HYPERLINK("https://globaldossier.uspto.gov/result/application/US/10844837/1","US20050014932")</f>
        <v>0.0</v>
      </c>
      <c r="M3649" t="s">
        <v>23283</v>
      </c>
      <c r="N3649" t="s">
        <v>19704</v>
      </c>
      <c r="O3649" t="s">
        <v>19705</v>
      </c>
      <c r="P3649" t="s">
        <v>23284</v>
      </c>
      <c r="Q3649" s="3" t="n">
        <v>38120.0</v>
      </c>
      <c r="R3649" s="3" t="n">
        <v>38372.0</v>
      </c>
      <c r="S3649" s="3" t="n">
        <v>43943.46090579861</v>
      </c>
      <c r="T3649" s="3" t="n">
        <v>43985.411965150466</v>
      </c>
      <c r="U3649" t="s">
        <v>22667</v>
      </c>
      <c r="V3649" t="s">
        <v>22668</v>
      </c>
    </row>
    <row r="3650">
      <c r="A3650" t="s">
        <v>22</v>
      </c>
      <c r="B3650" t="s">
        <v>23285</v>
      </c>
      <c r="C3650" t="s">
        <v>24</v>
      </c>
      <c r="D3650" t="s">
        <v>25</v>
      </c>
      <c r="E3650" t="s">
        <v>23286</v>
      </c>
      <c r="F3650" s="2" t="n">
        <f>HYPERLINK("https://patents.google.com/patent/US20040236604","Google")</f>
        <v>0.0</v>
      </c>
      <c r="G3650" s="2" t="n">
        <f>HYPERLINK("https://patentcenter.uspto.gov/applications/10744976","Patent Center")</f>
        <v>0.0</v>
      </c>
      <c r="H3650" s="2" t="n">
        <f>HYPERLINK("https://worldwide.espacenet.com/patent/search?q=US20040236604","Espacenet")</f>
        <v>0.0</v>
      </c>
      <c r="I3650" s="2" t="n">
        <f>HYPERLINK("https://ppubs.uspto.gov/pubwebapp/external.html?q=20040236604.pn.","USPTO")</f>
        <v>0.0</v>
      </c>
      <c r="J3650" s="2" t="n">
        <f>HYPERLINK("https://image-ppubs.uspto.gov/dirsearch-public/print/downloadPdf/20040236604","USPTO PDF")</f>
        <v>0.0</v>
      </c>
      <c r="K3650" s="2" t="n">
        <f>HYPERLINK("https://sectors.patentforecast.com/pmd/US20040236604","PMD")</f>
        <v>0.0</v>
      </c>
      <c r="L3650" s="2" t="n">
        <f>HYPERLINK("https://globaldossier.uspto.gov/result/application/US/10744976/1","US20040236604")</f>
        <v>0.0</v>
      </c>
      <c r="M3650" t="s">
        <v>23287</v>
      </c>
      <c r="N3650" t="s">
        <v>6786</v>
      </c>
      <c r="O3650" t="s">
        <v>6787</v>
      </c>
      <c r="P3650" t="s">
        <v>23288</v>
      </c>
      <c r="Q3650" s="3" t="n">
        <v>37977.0</v>
      </c>
      <c r="R3650" s="3" t="n">
        <v>38316.0</v>
      </c>
      <c r="S3650" s="3" t="n">
        <v>43266.45737885417</v>
      </c>
      <c r="T3650" s="3" t="n">
        <v>43901.72156427083</v>
      </c>
      <c r="U3650" t="s">
        <v>23289</v>
      </c>
      <c r="V3650" t="s">
        <v>23290</v>
      </c>
    </row>
    <row r="3651">
      <c r="A3651" t="s">
        <v>22</v>
      </c>
      <c r="B3651" t="s">
        <v>23291</v>
      </c>
      <c r="C3651" t="s">
        <v>60</v>
      </c>
      <c r="D3651" t="s">
        <v>61</v>
      </c>
      <c r="E3651" t="s">
        <v>23292</v>
      </c>
      <c r="F3651" s="2" t="n">
        <f>HYPERLINK("https://patents.google.com/patent/US20040224917","Google")</f>
        <v>0.0</v>
      </c>
      <c r="G3651" s="2" t="n">
        <f>HYPERLINK("https://patentcenter.uspto.gov/applications/10757141","Patent Center")</f>
        <v>0.0</v>
      </c>
      <c r="H3651" s="2" t="n">
        <f>HYPERLINK("https://worldwide.espacenet.com/patent/search?q=US20040224917","Espacenet")</f>
        <v>0.0</v>
      </c>
      <c r="I3651" s="2" t="n">
        <f>HYPERLINK("https://ppubs.uspto.gov/pubwebapp/external.html?q=20040224917.pn.","USPTO")</f>
        <v>0.0</v>
      </c>
      <c r="J3651" s="2" t="n">
        <f>HYPERLINK("https://image-ppubs.uspto.gov/dirsearch-public/print/downloadPdf/20040224917","USPTO PDF")</f>
        <v>0.0</v>
      </c>
      <c r="K3651" s="2" t="n">
        <f>HYPERLINK("https://sectors.patentforecast.com/pmd/US20040224917","PMD")</f>
        <v>0.0</v>
      </c>
      <c r="L3651" s="2" t="n">
        <f>HYPERLINK("https://globaldossier.uspto.gov/result/application/US/10757141/1","US20040224917")</f>
        <v>0.0</v>
      </c>
      <c r="M3651" t="s">
        <v>23293</v>
      </c>
      <c r="N3651" t="s">
        <v>664</v>
      </c>
      <c r="O3651" t="s">
        <v>665</v>
      </c>
      <c r="P3651" t="s">
        <v>23294</v>
      </c>
      <c r="Q3651" s="3" t="n">
        <v>37999.0</v>
      </c>
      <c r="R3651" s="3" t="n">
        <v>38302.0</v>
      </c>
      <c r="S3651" s="3" t="n">
        <v>43952.45970623843</v>
      </c>
      <c r="T3651" s="3" t="n">
        <v>44638.65271974537</v>
      </c>
      <c r="U3651" t="s">
        <v>23295</v>
      </c>
      <c r="V3651" t="s">
        <v>23296</v>
      </c>
    </row>
    <row r="3652">
      <c r="A3652" t="s">
        <v>22</v>
      </c>
      <c r="B3652" t="s">
        <v>23297</v>
      </c>
      <c r="C3652" t="s">
        <v>60</v>
      </c>
      <c r="D3652" t="s">
        <v>61</v>
      </c>
      <c r="E3652" t="s">
        <v>23292</v>
      </c>
      <c r="F3652" s="2" t="n">
        <f>HYPERLINK("https://patents.google.com/patent/US20040224916","Google")</f>
        <v>0.0</v>
      </c>
      <c r="G3652" s="2" t="n">
        <f>HYPERLINK("https://patentcenter.uspto.gov/applications/10757122","Patent Center")</f>
        <v>0.0</v>
      </c>
      <c r="H3652" s="2" t="n">
        <f>HYPERLINK("https://worldwide.espacenet.com/patent/search?q=US20040224916","Espacenet")</f>
        <v>0.0</v>
      </c>
      <c r="I3652" s="2" t="n">
        <f>HYPERLINK("https://ppubs.uspto.gov/pubwebapp/external.html?q=20040224916.pn.","USPTO")</f>
        <v>0.0</v>
      </c>
      <c r="J3652" s="2" t="n">
        <f>HYPERLINK("https://image-ppubs.uspto.gov/dirsearch-public/print/downloadPdf/20040224916","USPTO PDF")</f>
        <v>0.0</v>
      </c>
      <c r="K3652" s="2" t="n">
        <f>HYPERLINK("https://sectors.patentforecast.com/pmd/US20040224916","PMD")</f>
        <v>0.0</v>
      </c>
      <c r="L3652" s="2" t="n">
        <f>HYPERLINK("https://globaldossier.uspto.gov/result/application/US/10757122/1","US20040224916")</f>
        <v>0.0</v>
      </c>
      <c r="M3652" t="s">
        <v>23298</v>
      </c>
      <c r="N3652" t="s">
        <v>664</v>
      </c>
      <c r="O3652" t="s">
        <v>665</v>
      </c>
      <c r="P3652" t="s">
        <v>23294</v>
      </c>
      <c r="Q3652" s="3" t="n">
        <v>37999.0</v>
      </c>
      <c r="R3652" s="3" t="n">
        <v>38302.0</v>
      </c>
      <c r="S3652" s="3" t="n">
        <v>43952.45970623843</v>
      </c>
      <c r="T3652" s="3" t="n">
        <v>44638.65271974537</v>
      </c>
      <c r="U3652" t="s">
        <v>23299</v>
      </c>
      <c r="V3652" t="s">
        <v>23300</v>
      </c>
    </row>
    <row r="3653">
      <c r="A3653" t="s">
        <v>22</v>
      </c>
      <c r="B3653" t="s">
        <v>23301</v>
      </c>
      <c r="C3653" t="s">
        <v>24</v>
      </c>
      <c r="D3653" t="s">
        <v>25</v>
      </c>
      <c r="E3653" t="s">
        <v>23302</v>
      </c>
      <c r="F3653" s="2" t="n">
        <f>HYPERLINK("https://patents.google.com/patent/US20040204915","Google")</f>
        <v>0.0</v>
      </c>
      <c r="G3653" s="2" t="n">
        <f>HYPERLINK("https://patentcenter.uspto.gov/applications/10698042","Patent Center")</f>
        <v>0.0</v>
      </c>
      <c r="H3653" s="2" t="n">
        <f>HYPERLINK("https://worldwide.espacenet.com/patent/search?q=US20040204915","Espacenet")</f>
        <v>0.0</v>
      </c>
      <c r="I3653" s="2" t="n">
        <f>HYPERLINK("https://ppubs.uspto.gov/pubwebapp/external.html?q=20040204915.pn.","USPTO")</f>
        <v>0.0</v>
      </c>
      <c r="J3653" s="2" t="n">
        <f>HYPERLINK("https://image-ppubs.uspto.gov/dirsearch-public/print/downloadPdf/20040204915","USPTO PDF")</f>
        <v>0.0</v>
      </c>
      <c r="K3653" s="2" t="n">
        <f>HYPERLINK("https://sectors.patentforecast.com/pmd/US20040204915","PMD")</f>
        <v>0.0</v>
      </c>
      <c r="L3653" s="2" t="n">
        <f>HYPERLINK("https://globaldossier.uspto.gov/result/application/US/10698042/1","US20040204915")</f>
        <v>0.0</v>
      </c>
      <c r="M3653" t="s">
        <v>23303</v>
      </c>
      <c r="N3653" t="s">
        <v>23304</v>
      </c>
      <c r="O3653" t="s">
        <v>23305</v>
      </c>
      <c r="P3653" t="s">
        <v>23306</v>
      </c>
      <c r="Q3653" s="3" t="n">
        <v>37923.0</v>
      </c>
      <c r="R3653" s="3" t="n">
        <v>38274.0</v>
      </c>
      <c r="S3653" s="3" t="n">
        <v>43266.45737885417</v>
      </c>
      <c r="T3653" s="3" t="n">
        <v>43950.55439140047</v>
      </c>
      <c r="U3653" t="s">
        <v>23307</v>
      </c>
      <c r="V3653" t="s">
        <v>23308</v>
      </c>
    </row>
    <row r="3654">
      <c r="A3654" t="s">
        <v>22</v>
      </c>
      <c r="B3654" t="s">
        <v>23309</v>
      </c>
      <c r="C3654" t="s">
        <v>24</v>
      </c>
      <c r="D3654" t="s">
        <v>1450</v>
      </c>
      <c r="E3654" t="s">
        <v>23310</v>
      </c>
      <c r="F3654" s="2" t="n">
        <f>HYPERLINK("https://patents.google.com/patent/US20040162707","Google")</f>
        <v>0.0</v>
      </c>
      <c r="G3654" s="2" t="n">
        <f>HYPERLINK("https://patentcenter.uspto.gov/applications/10777330","Patent Center")</f>
        <v>0.0</v>
      </c>
      <c r="H3654" s="2" t="n">
        <f>HYPERLINK("https://worldwide.espacenet.com/patent/search?q=US20040162707","Espacenet")</f>
        <v>0.0</v>
      </c>
      <c r="I3654" s="2" t="n">
        <f>HYPERLINK("https://ppubs.uspto.gov/pubwebapp/external.html?q=20040162707.pn.","USPTO")</f>
        <v>0.0</v>
      </c>
      <c r="J3654" s="2" t="n">
        <f>HYPERLINK("https://image-ppubs.uspto.gov/dirsearch-public/print/downloadPdf/20040162707","USPTO PDF")</f>
        <v>0.0</v>
      </c>
      <c r="K3654" s="2" t="n">
        <f>HYPERLINK("https://sectors.patentforecast.com/pmd/US20040162707","PMD")</f>
        <v>0.0</v>
      </c>
      <c r="L3654" s="2" t="n">
        <f>HYPERLINK("https://globaldossier.uspto.gov/result/application/US/10777330/1","US20040162707")</f>
        <v>0.0</v>
      </c>
      <c r="M3654" t="s">
        <v>23311</v>
      </c>
      <c r="N3654" t="s">
        <v>23312</v>
      </c>
      <c r="O3654" t="s">
        <v>23313</v>
      </c>
      <c r="P3654" t="s">
        <v>23314</v>
      </c>
      <c r="Q3654" s="3" t="n">
        <v>38029.0</v>
      </c>
      <c r="R3654" s="3" t="n">
        <v>38218.0</v>
      </c>
      <c r="S3654" s="3" t="n">
        <v>43266.45737885417</v>
      </c>
      <c r="T3654" s="3" t="n">
        <v>43901.72156413194</v>
      </c>
      <c r="U3654" t="s">
        <v>23315</v>
      </c>
      <c r="V3654" t="s">
        <v>23316</v>
      </c>
    </row>
    <row r="3655">
      <c r="A3655" t="s">
        <v>22</v>
      </c>
      <c r="B3655" t="s">
        <v>23317</v>
      </c>
      <c r="C3655" t="s">
        <v>312</v>
      </c>
      <c r="D3655" t="s">
        <v>3202</v>
      </c>
      <c r="E3655" t="s">
        <v>23072</v>
      </c>
      <c r="F3655" s="2" t="n">
        <f>HYPERLINK("https://patents.google.com/patent/US20040162703","Google")</f>
        <v>0.0</v>
      </c>
      <c r="G3655" s="2" t="n">
        <f>HYPERLINK("https://patentcenter.uspto.gov/applications/10775319","Patent Center")</f>
        <v>0.0</v>
      </c>
      <c r="H3655" s="2" t="n">
        <f>HYPERLINK("https://worldwide.espacenet.com/patent/search?q=US20040162703","Espacenet")</f>
        <v>0.0</v>
      </c>
      <c r="I3655" s="2" t="n">
        <f>HYPERLINK("https://ppubs.uspto.gov/pubwebapp/external.html?q=20040162703.pn.","USPTO")</f>
        <v>0.0</v>
      </c>
      <c r="J3655" s="2" t="n">
        <f>HYPERLINK("https://image-ppubs.uspto.gov/dirsearch-public/print/downloadPdf/20040162703","USPTO PDF")</f>
        <v>0.0</v>
      </c>
      <c r="K3655" s="2" t="n">
        <f>HYPERLINK("https://sectors.patentforecast.com/pmd/US20040162703","PMD")</f>
        <v>0.0</v>
      </c>
      <c r="L3655" s="2" t="n">
        <f>HYPERLINK("https://globaldossier.uspto.gov/result/application/US/10775319/1","US20040162703")</f>
        <v>0.0</v>
      </c>
      <c r="M3655" t="s">
        <v>23318</v>
      </c>
      <c r="N3655" t="s">
        <v>23074</v>
      </c>
      <c r="O3655" t="s">
        <v>23075</v>
      </c>
      <c r="P3655" t="s">
        <v>23319</v>
      </c>
      <c r="Q3655" s="3" t="n">
        <v>38027.0</v>
      </c>
      <c r="R3655" s="3" t="n">
        <v>38218.0</v>
      </c>
      <c r="S3655" s="3" t="n">
        <v>43266.45737885417</v>
      </c>
      <c r="T3655" s="3" t="n">
        <v>43950.593528125</v>
      </c>
      <c r="U3655" t="s">
        <v>23077</v>
      </c>
      <c r="V3655" t="s">
        <v>23320</v>
      </c>
    </row>
    <row r="3656">
      <c r="A3656" t="s">
        <v>22</v>
      </c>
      <c r="B3656" t="s">
        <v>23321</v>
      </c>
      <c r="C3656" t="s">
        <v>312</v>
      </c>
      <c r="D3656" t="s">
        <v>313</v>
      </c>
      <c r="E3656" t="s">
        <v>23322</v>
      </c>
      <c r="F3656" s="2" t="n">
        <f>HYPERLINK("https://patents.google.com/patent/US20040143462","Google")</f>
        <v>0.0</v>
      </c>
      <c r="G3656" s="2" t="n">
        <f>HYPERLINK("https://patentcenter.uspto.gov/applications/10346937","Patent Center")</f>
        <v>0.0</v>
      </c>
      <c r="H3656" s="2" t="n">
        <f>HYPERLINK("https://worldwide.espacenet.com/patent/search?q=US20040143462","Espacenet")</f>
        <v>0.0</v>
      </c>
      <c r="I3656" s="2" t="n">
        <f>HYPERLINK("https://ppubs.uspto.gov/pubwebapp/external.html?q=20040143462.pn.","USPTO")</f>
        <v>0.0</v>
      </c>
      <c r="J3656" s="2" t="n">
        <f>HYPERLINK("https://image-ppubs.uspto.gov/dirsearch-public/print/downloadPdf/20040143462","USPTO PDF")</f>
        <v>0.0</v>
      </c>
      <c r="K3656" s="2" t="n">
        <f>HYPERLINK("https://sectors.patentforecast.com/pmd/US20040143462","PMD")</f>
        <v>0.0</v>
      </c>
      <c r="L3656" s="2" t="n">
        <f>HYPERLINK("https://globaldossier.uspto.gov/result/application/US/10346937/1","US20040143462")</f>
        <v>0.0</v>
      </c>
      <c r="M3656" t="s">
        <v>23323</v>
      </c>
      <c r="N3656" t="s">
        <v>22417</v>
      </c>
      <c r="O3656" t="s">
        <v>22418</v>
      </c>
      <c r="P3656" t="s">
        <v>23324</v>
      </c>
      <c r="Q3656" s="3" t="n">
        <v>37638.0</v>
      </c>
      <c r="R3656" s="3" t="n">
        <v>38190.0</v>
      </c>
      <c r="S3656" s="3" t="n">
        <v>43266.45737885417</v>
      </c>
      <c r="T3656" s="3" t="n">
        <v>43266.63762232639</v>
      </c>
      <c r="U3656" t="s">
        <v>22420</v>
      </c>
      <c r="V3656" t="s">
        <v>22421</v>
      </c>
    </row>
    <row r="3657">
      <c r="A3657" t="s">
        <v>22</v>
      </c>
      <c r="B3657" t="s">
        <v>23325</v>
      </c>
      <c r="C3657" t="s">
        <v>312</v>
      </c>
      <c r="D3657" t="s">
        <v>3202</v>
      </c>
      <c r="E3657" t="s">
        <v>23326</v>
      </c>
      <c r="F3657" s="2" t="n">
        <f>HYPERLINK("https://patents.google.com/patent/US20040143455","Google")</f>
        <v>0.0</v>
      </c>
      <c r="G3657" s="2" t="n">
        <f>HYPERLINK("https://patentcenter.uspto.gov/applications/10350217","Patent Center")</f>
        <v>0.0</v>
      </c>
      <c r="H3657" s="2" t="n">
        <f>HYPERLINK("https://worldwide.espacenet.com/patent/search?q=US20040143455","Espacenet")</f>
        <v>0.0</v>
      </c>
      <c r="I3657" s="2" t="n">
        <f>HYPERLINK("https://ppubs.uspto.gov/pubwebapp/external.html?q=20040143455.pn.","USPTO")</f>
        <v>0.0</v>
      </c>
      <c r="J3657" s="2" t="n">
        <f>HYPERLINK("https://image-ppubs.uspto.gov/dirsearch-public/print/downloadPdf/20040143455","USPTO PDF")</f>
        <v>0.0</v>
      </c>
      <c r="K3657" s="2" t="n">
        <f>HYPERLINK("https://sectors.patentforecast.com/pmd/US20040143455","PMD")</f>
        <v>0.0</v>
      </c>
      <c r="L3657" s="2" t="n">
        <f>HYPERLINK("https://globaldossier.uspto.gov/result/application/US/10350217/1","US20040143455")</f>
        <v>0.0</v>
      </c>
      <c r="M3657" t="s">
        <v>23327</v>
      </c>
      <c r="N3657" t="s">
        <v>23328</v>
      </c>
      <c r="O3657" t="s">
        <v>23329</v>
      </c>
      <c r="P3657" t="s">
        <v>23330</v>
      </c>
      <c r="Q3657" s="3" t="n">
        <v>37643.0</v>
      </c>
      <c r="R3657" s="3" t="n">
        <v>38190.0</v>
      </c>
      <c r="S3657" s="3" t="n">
        <v>43266.457379583335</v>
      </c>
      <c r="T3657" s="3" t="n">
        <v>44643.45846642361</v>
      </c>
      <c r="U3657" t="s">
        <v>23331</v>
      </c>
      <c r="V3657" t="s">
        <v>23332</v>
      </c>
    </row>
    <row r="3658">
      <c r="A3658" t="s">
        <v>22</v>
      </c>
      <c r="B3658" t="s">
        <v>23333</v>
      </c>
      <c r="C3658" t="s">
        <v>24</v>
      </c>
      <c r="D3658" t="s">
        <v>25</v>
      </c>
      <c r="E3658" t="s">
        <v>23334</v>
      </c>
      <c r="F3658" s="2" t="n">
        <f>HYPERLINK("https://patents.google.com/patent/US20040128184","Google")</f>
        <v>0.0</v>
      </c>
      <c r="G3658" s="2" t="n">
        <f>HYPERLINK("https://patentcenter.uspto.gov/applications/10335467","Patent Center")</f>
        <v>0.0</v>
      </c>
      <c r="H3658" s="2" t="n">
        <f>HYPERLINK("https://worldwide.espacenet.com/patent/search?q=US20040128184","Espacenet")</f>
        <v>0.0</v>
      </c>
      <c r="I3658" s="2" t="n">
        <f>HYPERLINK("https://ppubs.uspto.gov/pubwebapp/external.html?q=20040128184.pn.","USPTO")</f>
        <v>0.0</v>
      </c>
      <c r="J3658" s="2" t="n">
        <f>HYPERLINK("https://image-ppubs.uspto.gov/dirsearch-public/print/downloadPdf/20040128184","USPTO PDF")</f>
        <v>0.0</v>
      </c>
      <c r="K3658" s="2" t="n">
        <f>HYPERLINK("https://sectors.patentforecast.com/pmd/US20040128184","PMD")</f>
        <v>0.0</v>
      </c>
      <c r="L3658" s="2" t="n">
        <f>HYPERLINK("https://globaldossier.uspto.gov/result/application/US/10335467/1","US20040128184")</f>
        <v>0.0</v>
      </c>
      <c r="M3658" t="s">
        <v>23335</v>
      </c>
      <c r="N3658" t="s">
        <v>23090</v>
      </c>
      <c r="O3658" t="s">
        <v>23091</v>
      </c>
      <c r="P3658" t="s">
        <v>23336</v>
      </c>
      <c r="Q3658" s="3" t="n">
        <v>37621.0</v>
      </c>
      <c r="R3658" s="3" t="n">
        <v>38169.0</v>
      </c>
      <c r="S3658" s="3" t="n">
        <v>43266.457379583335</v>
      </c>
      <c r="T3658" s="3" t="n">
        <v>43903.484632210646</v>
      </c>
      <c r="U3658" t="s">
        <v>23093</v>
      </c>
      <c r="V3658" t="s">
        <v>23094</v>
      </c>
    </row>
    <row r="3659">
      <c r="A3659" t="s">
        <v>22</v>
      </c>
      <c r="B3659" t="s">
        <v>23337</v>
      </c>
      <c r="C3659" t="s">
        <v>24</v>
      </c>
      <c r="D3659" t="s">
        <v>25</v>
      </c>
      <c r="E3659" t="s">
        <v>23338</v>
      </c>
      <c r="F3659" s="2" t="n">
        <f>HYPERLINK("https://patents.google.com/patent/US20040126365","Google")</f>
        <v>0.0</v>
      </c>
      <c r="G3659" s="2" t="n">
        <f>HYPERLINK("https://patentcenter.uspto.gov/applications/10381271","Patent Center")</f>
        <v>0.0</v>
      </c>
      <c r="H3659" s="2" t="n">
        <f>HYPERLINK("https://worldwide.espacenet.com/patent/search?q=US20040126365","Espacenet")</f>
        <v>0.0</v>
      </c>
      <c r="I3659" s="2" t="n">
        <f>HYPERLINK("https://ppubs.uspto.gov/pubwebapp/external.html?q=20040126365.pn.","USPTO")</f>
        <v>0.0</v>
      </c>
      <c r="J3659" s="2" t="n">
        <f>HYPERLINK("https://image-ppubs.uspto.gov/dirsearch-public/print/downloadPdf/20040126365","USPTO PDF")</f>
        <v>0.0</v>
      </c>
      <c r="K3659" s="2" t="n">
        <f>HYPERLINK("https://sectors.patentforecast.com/pmd/US20040126365","PMD")</f>
        <v>0.0</v>
      </c>
      <c r="L3659" s="2" t="n">
        <f>HYPERLINK("https://globaldossier.uspto.gov/result/application/US/10381271/1","US20040126365")</f>
        <v>0.0</v>
      </c>
      <c r="M3659" t="s">
        <v>23339</v>
      </c>
      <c r="N3659" t="s">
        <v>23340</v>
      </c>
      <c r="O3659" t="s">
        <v>23341</v>
      </c>
      <c r="P3659" t="s">
        <v>23342</v>
      </c>
      <c r="Q3659" s="3" t="n">
        <v>37872.0</v>
      </c>
      <c r="R3659" s="3" t="n">
        <v>38169.0</v>
      </c>
      <c r="S3659" s="3" t="n">
        <v>43266.457379583335</v>
      </c>
      <c r="T3659" s="3" t="n">
        <v>44643.46339431713</v>
      </c>
      <c r="U3659" t="s">
        <v>23343</v>
      </c>
      <c r="V3659" t="s">
        <v>23344</v>
      </c>
    </row>
    <row r="3660">
      <c r="A3660" t="s">
        <v>22</v>
      </c>
      <c r="B3660" t="s">
        <v>23345</v>
      </c>
      <c r="C3660" t="s">
        <v>60</v>
      </c>
      <c r="D3660" t="s">
        <v>61</v>
      </c>
      <c r="E3660" t="s">
        <v>23346</v>
      </c>
      <c r="F3660" s="2" t="n">
        <f>HYPERLINK("https://patents.google.com/patent/US20040121316","Google")</f>
        <v>0.0</v>
      </c>
      <c r="G3660" s="2" t="n">
        <f>HYPERLINK("https://patentcenter.uspto.gov/applications/10424186","Patent Center")</f>
        <v>0.0</v>
      </c>
      <c r="H3660" s="2" t="n">
        <f>HYPERLINK("https://worldwide.espacenet.com/patent/search?q=US20040121316","Espacenet")</f>
        <v>0.0</v>
      </c>
      <c r="I3660" s="2" t="n">
        <f>HYPERLINK("https://ppubs.uspto.gov/pubwebapp/external.html?q=20040121316.pn.","USPTO")</f>
        <v>0.0</v>
      </c>
      <c r="J3660" s="2" t="n">
        <f>HYPERLINK("https://image-ppubs.uspto.gov/dirsearch-public/print/downloadPdf/20040121316","USPTO PDF")</f>
        <v>0.0</v>
      </c>
      <c r="K3660" s="2" t="n">
        <f>HYPERLINK("https://sectors.patentforecast.com/pmd/US20040121316","PMD")</f>
        <v>0.0</v>
      </c>
      <c r="L3660" s="2" t="n">
        <f>HYPERLINK("https://globaldossier.uspto.gov/result/application/US/10424186/1","US20040121316")</f>
        <v>0.0</v>
      </c>
      <c r="M3660" t="s">
        <v>23347</v>
      </c>
      <c r="N3660" t="s">
        <v>664</v>
      </c>
      <c r="O3660" t="s">
        <v>665</v>
      </c>
      <c r="P3660" t="s">
        <v>23348</v>
      </c>
      <c r="Q3660" s="3" t="n">
        <v>37736.0</v>
      </c>
      <c r="R3660" s="3" t="n">
        <v>38162.0</v>
      </c>
      <c r="S3660" s="3" t="n">
        <v>43952.45970623843</v>
      </c>
      <c r="T3660" s="3" t="n">
        <v>44638.657627719906</v>
      </c>
      <c r="U3660" t="s">
        <v>23349</v>
      </c>
      <c r="V3660" t="s">
        <v>23350</v>
      </c>
    </row>
    <row r="3661">
      <c r="A3661" t="s">
        <v>22</v>
      </c>
      <c r="B3661" t="s">
        <v>23351</v>
      </c>
      <c r="C3661" t="s">
        <v>24</v>
      </c>
      <c r="D3661" t="s">
        <v>187</v>
      </c>
      <c r="E3661" t="s">
        <v>23278</v>
      </c>
      <c r="F3661" s="2" t="n">
        <f>HYPERLINK("https://patents.google.com/patent/US20040117129","Google")</f>
        <v>0.0</v>
      </c>
      <c r="G3661" s="2" t="n">
        <f>HYPERLINK("https://patentcenter.uspto.gov/applications/10439690","Patent Center")</f>
        <v>0.0</v>
      </c>
      <c r="H3661" s="2" t="n">
        <f>HYPERLINK("https://worldwide.espacenet.com/patent/search?q=US20040117129","Espacenet")</f>
        <v>0.0</v>
      </c>
      <c r="I3661" s="2" t="n">
        <f>HYPERLINK("https://ppubs.uspto.gov/pubwebapp/external.html?q=20040117129.pn.","USPTO")</f>
        <v>0.0</v>
      </c>
      <c r="J3661" s="2" t="n">
        <f>HYPERLINK("https://image-ppubs.uspto.gov/dirsearch-public/print/downloadPdf/20040117129","USPTO PDF")</f>
        <v>0.0</v>
      </c>
      <c r="K3661" s="2" t="n">
        <f>HYPERLINK("https://sectors.patentforecast.com/pmd/US20040117129","PMD")</f>
        <v>0.0</v>
      </c>
      <c r="L3661" s="2" t="n">
        <f>HYPERLINK("https://globaldossier.uspto.gov/result/application/US/10439690/1","US20040117129")</f>
        <v>0.0</v>
      </c>
      <c r="M3661" t="s">
        <v>23352</v>
      </c>
      <c r="N3661" t="s">
        <v>6851</v>
      </c>
      <c r="O3661" t="s">
        <v>6852</v>
      </c>
      <c r="P3661" t="s">
        <v>23280</v>
      </c>
      <c r="Q3661" s="3" t="n">
        <v>37757.0</v>
      </c>
      <c r="R3661" s="3" t="n">
        <v>38155.0</v>
      </c>
      <c r="S3661" s="3" t="n">
        <v>43266.457379583335</v>
      </c>
      <c r="T3661" s="3" t="n">
        <v>43266.61438974537</v>
      </c>
      <c r="U3661" t="s">
        <v>19647</v>
      </c>
      <c r="V3661" t="s">
        <v>19648</v>
      </c>
    </row>
    <row r="3662">
      <c r="A3662" t="s">
        <v>22</v>
      </c>
      <c r="B3662" t="s">
        <v>23353</v>
      </c>
      <c r="C3662" t="s">
        <v>24</v>
      </c>
      <c r="D3662" t="s">
        <v>25</v>
      </c>
      <c r="E3662" t="s">
        <v>23354</v>
      </c>
      <c r="F3662" s="2" t="n">
        <f>HYPERLINK("https://patents.google.com/patent/US20040116821","Google")</f>
        <v>0.0</v>
      </c>
      <c r="G3662" s="2" t="n">
        <f>HYPERLINK("https://patentcenter.uspto.gov/applications/10080746","Patent Center")</f>
        <v>0.0</v>
      </c>
      <c r="H3662" s="2" t="n">
        <f>HYPERLINK("https://worldwide.espacenet.com/patent/search?q=US20040116821","Espacenet")</f>
        <v>0.0</v>
      </c>
      <c r="I3662" s="2" t="n">
        <f>HYPERLINK("https://ppubs.uspto.gov/pubwebapp/external.html?q=20040116821.pn.","USPTO")</f>
        <v>0.0</v>
      </c>
      <c r="J3662" s="2" t="n">
        <f>HYPERLINK("https://image-ppubs.uspto.gov/dirsearch-public/print/downloadPdf/20040116821","USPTO PDF")</f>
        <v>0.0</v>
      </c>
      <c r="K3662" s="2" t="n">
        <f>HYPERLINK("https://sectors.patentforecast.com/pmd/US20040116821","PMD")</f>
        <v>0.0</v>
      </c>
      <c r="L3662" s="2" t="n">
        <f>HYPERLINK("https://globaldossier.uspto.gov/result/application/US/10080746/1","US20040116821")</f>
        <v>0.0</v>
      </c>
      <c r="M3662" t="s">
        <v>23355</v>
      </c>
      <c r="N3662" t="s">
        <v>23356</v>
      </c>
      <c r="O3662" t="s">
        <v>23357</v>
      </c>
      <c r="P3662" t="s">
        <v>23358</v>
      </c>
      <c r="Q3662" s="3" t="n">
        <v>37309.0</v>
      </c>
      <c r="R3662" s="3" t="n">
        <v>38155.0</v>
      </c>
      <c r="S3662" s="3" t="n">
        <v>43266.457379583335</v>
      </c>
      <c r="T3662" s="3" t="n">
        <v>43903.484632210646</v>
      </c>
      <c r="U3662" t="s">
        <v>23359</v>
      </c>
      <c r="V3662" t="s">
        <v>23360</v>
      </c>
    </row>
    <row r="3663">
      <c r="A3663" t="s">
        <v>22</v>
      </c>
      <c r="B3663" t="s">
        <v>23361</v>
      </c>
      <c r="C3663" t="s">
        <v>24</v>
      </c>
      <c r="D3663" t="s">
        <v>100</v>
      </c>
      <c r="E3663" t="s">
        <v>23106</v>
      </c>
      <c r="F3663" s="2" t="n">
        <f>HYPERLINK("https://patents.google.com/patent/US20040090333","Google")</f>
        <v>0.0</v>
      </c>
      <c r="G3663" s="2" t="n">
        <f>HYPERLINK("https://patentcenter.uspto.gov/applications/10698652","Patent Center")</f>
        <v>0.0</v>
      </c>
      <c r="H3663" s="2" t="n">
        <f>HYPERLINK("https://worldwide.espacenet.com/patent/search?q=US20040090333","Espacenet")</f>
        <v>0.0</v>
      </c>
      <c r="I3663" s="2" t="n">
        <f>HYPERLINK("https://ppubs.uspto.gov/pubwebapp/external.html?q=20040090333.pn.","USPTO")</f>
        <v>0.0</v>
      </c>
      <c r="J3663" s="2" t="n">
        <f>HYPERLINK("https://image-ppubs.uspto.gov/dirsearch-public/print/downloadPdf/20040090333","USPTO PDF")</f>
        <v>0.0</v>
      </c>
      <c r="K3663" s="2" t="n">
        <f>HYPERLINK("https://sectors.patentforecast.com/pmd/US20040090333","PMD")</f>
        <v>0.0</v>
      </c>
      <c r="L3663" s="2" t="n">
        <f>HYPERLINK("https://globaldossier.uspto.gov/result/application/US/10698652/1","US20040090333")</f>
        <v>0.0</v>
      </c>
      <c r="M3663" t="s">
        <v>23362</v>
      </c>
      <c r="N3663" t="s">
        <v>20565</v>
      </c>
      <c r="O3663" t="s">
        <v>20566</v>
      </c>
      <c r="P3663" t="s">
        <v>23363</v>
      </c>
      <c r="Q3663" s="3" t="n">
        <v>37925.0</v>
      </c>
      <c r="R3663" s="3" t="n">
        <v>38120.0</v>
      </c>
      <c r="S3663" s="3" t="n">
        <v>43266.45737957176</v>
      </c>
      <c r="T3663" s="3" t="n">
        <v>43906.35771765046</v>
      </c>
      <c r="U3663" t="s">
        <v>19024</v>
      </c>
      <c r="V3663" t="s">
        <v>21865</v>
      </c>
    </row>
    <row r="3664">
      <c r="A3664" t="s">
        <v>22</v>
      </c>
      <c r="B3664" t="s">
        <v>23364</v>
      </c>
      <c r="C3664" t="s">
        <v>24</v>
      </c>
      <c r="D3664" t="s">
        <v>25</v>
      </c>
      <c r="E3664" t="s">
        <v>23365</v>
      </c>
      <c r="F3664" s="2" t="n">
        <f>HYPERLINK("https://patents.google.com/patent/US20040073459","Google")</f>
        <v>0.0</v>
      </c>
      <c r="G3664" s="2" t="n">
        <f>HYPERLINK("https://patentcenter.uspto.gov/applications/10649127","Patent Center")</f>
        <v>0.0</v>
      </c>
      <c r="H3664" s="2" t="n">
        <f>HYPERLINK("https://worldwide.espacenet.com/patent/search?q=US20040073459","Espacenet")</f>
        <v>0.0</v>
      </c>
      <c r="I3664" s="2" t="n">
        <f>HYPERLINK("https://ppubs.uspto.gov/pubwebapp/external.html?q=20040073459.pn.","USPTO")</f>
        <v>0.0</v>
      </c>
      <c r="J3664" s="2" t="n">
        <f>HYPERLINK("https://image-ppubs.uspto.gov/dirsearch-public/print/downloadPdf/20040073459","USPTO PDF")</f>
        <v>0.0</v>
      </c>
      <c r="K3664" s="2" t="n">
        <f>HYPERLINK("https://sectors.patentforecast.com/pmd/US20040073459","PMD")</f>
        <v>0.0</v>
      </c>
      <c r="L3664" s="2" t="n">
        <f>HYPERLINK("https://globaldossier.uspto.gov/result/application/US/10649127/1","US20040073459")</f>
        <v>0.0</v>
      </c>
      <c r="M3664" t="s">
        <v>23366</v>
      </c>
      <c r="N3664" t="s">
        <v>23367</v>
      </c>
      <c r="O3664" t="s">
        <v>23368</v>
      </c>
      <c r="P3664" t="s">
        <v>23369</v>
      </c>
      <c r="Q3664" s="3" t="n">
        <v>37860.0</v>
      </c>
      <c r="R3664" s="3" t="n">
        <v>38092.0</v>
      </c>
      <c r="S3664" s="3" t="n">
        <v>43266.45737991898</v>
      </c>
      <c r="T3664" s="3" t="n">
        <v>43901.72156453704</v>
      </c>
      <c r="U3664" t="s">
        <v>23370</v>
      </c>
      <c r="V3664" t="s">
        <v>23371</v>
      </c>
    </row>
    <row r="3665">
      <c r="A3665" t="s">
        <v>22</v>
      </c>
      <c r="B3665" t="s">
        <v>23372</v>
      </c>
      <c r="C3665" t="s">
        <v>132</v>
      </c>
      <c r="D3665" t="s">
        <v>2629</v>
      </c>
      <c r="E3665" t="s">
        <v>23373</v>
      </c>
      <c r="F3665" s="2" t="n">
        <f>HYPERLINK("https://patents.google.com/patent/US20040052773","Google")</f>
        <v>0.0</v>
      </c>
      <c r="G3665" s="2" t="n">
        <f>HYPERLINK("https://patentcenter.uspto.gov/applications/10345410","Patent Center")</f>
        <v>0.0</v>
      </c>
      <c r="H3665" s="2" t="n">
        <f>HYPERLINK("https://worldwide.espacenet.com/patent/search?q=US20040052773","Espacenet")</f>
        <v>0.0</v>
      </c>
      <c r="I3665" s="2" t="n">
        <f>HYPERLINK("https://ppubs.uspto.gov/pubwebapp/external.html?q=20040052773.pn.","USPTO")</f>
        <v>0.0</v>
      </c>
      <c r="J3665" s="2" t="n">
        <f>HYPERLINK("https://image-ppubs.uspto.gov/dirsearch-public/print/downloadPdf/20040052773","USPTO PDF")</f>
        <v>0.0</v>
      </c>
      <c r="K3665" s="2" t="n">
        <f>HYPERLINK("https://sectors.patentforecast.com/pmd/US20040052773","PMD")</f>
        <v>0.0</v>
      </c>
      <c r="L3665" s="2" t="n">
        <f>HYPERLINK("https://globaldossier.uspto.gov/result/application/US/10345410/1","US20040052773")</f>
        <v>0.0</v>
      </c>
      <c r="M3665" t="s">
        <v>23374</v>
      </c>
      <c r="N3665" t="s">
        <v>23375</v>
      </c>
      <c r="O3665" t="s">
        <v>23376</v>
      </c>
      <c r="P3665" t="s">
        <v>23377</v>
      </c>
      <c r="Q3665" s="3" t="n">
        <v>37637.0</v>
      </c>
      <c r="R3665" s="3" t="n">
        <v>38064.0</v>
      </c>
      <c r="S3665" s="3" t="n">
        <v>43936.4604880787</v>
      </c>
      <c r="T3665" s="3" t="n">
        <v>44543.680882395834</v>
      </c>
      <c r="U3665" t="s">
        <v>23378</v>
      </c>
      <c r="V3665" t="s">
        <v>23379</v>
      </c>
    </row>
    <row r="3666">
      <c r="A3666" t="s">
        <v>22</v>
      </c>
      <c r="B3666" t="s">
        <v>23380</v>
      </c>
      <c r="C3666" t="s">
        <v>24</v>
      </c>
      <c r="D3666" t="s">
        <v>34</v>
      </c>
      <c r="E3666" t="s">
        <v>23381</v>
      </c>
      <c r="F3666" s="2" t="n">
        <f>HYPERLINK("https://patents.google.com/patent/US20040019259","Google")</f>
        <v>0.0</v>
      </c>
      <c r="G3666" s="2" t="n">
        <f>HYPERLINK("https://patentcenter.uspto.gov/applications/10435619","Patent Center")</f>
        <v>0.0</v>
      </c>
      <c r="H3666" s="2" t="n">
        <f>HYPERLINK("https://worldwide.espacenet.com/patent/search?q=US20040019259","Espacenet")</f>
        <v>0.0</v>
      </c>
      <c r="I3666" s="2" t="n">
        <f>HYPERLINK("https://ppubs.uspto.gov/pubwebapp/external.html?q=20040019259.pn.","USPTO")</f>
        <v>0.0</v>
      </c>
      <c r="J3666" s="2" t="n">
        <f>HYPERLINK("https://image-ppubs.uspto.gov/dirsearch-public/print/downloadPdf/20040019259","USPTO PDF")</f>
        <v>0.0</v>
      </c>
      <c r="K3666" s="2" t="n">
        <f>HYPERLINK("https://sectors.patentforecast.com/pmd/US20040019259","PMD")</f>
        <v>0.0</v>
      </c>
      <c r="L3666" s="2" t="n">
        <f>HYPERLINK("https://globaldossier.uspto.gov/result/application/US/10435619/1","US20040019259")</f>
        <v>0.0</v>
      </c>
      <c r="M3666" t="s">
        <v>23382</v>
      </c>
      <c r="N3666" t="s">
        <v>23312</v>
      </c>
      <c r="O3666" t="s">
        <v>23313</v>
      </c>
      <c r="P3666" t="s">
        <v>23383</v>
      </c>
      <c r="Q3666" s="3" t="n">
        <v>37749.0</v>
      </c>
      <c r="R3666" s="3" t="n">
        <v>38015.0</v>
      </c>
      <c r="S3666" s="3" t="n">
        <v>44019.232598090275</v>
      </c>
      <c r="T3666" s="3" t="n">
        <v>44019.70987101852</v>
      </c>
      <c r="U3666" t="s">
        <v>23384</v>
      </c>
      <c r="V3666" t="s">
        <v>23385</v>
      </c>
    </row>
    <row r="3667">
      <c r="A3667" t="s">
        <v>22</v>
      </c>
      <c r="B3667" t="s">
        <v>23386</v>
      </c>
      <c r="C3667" t="s">
        <v>24</v>
      </c>
      <c r="D3667" t="s">
        <v>204</v>
      </c>
      <c r="E3667" t="s">
        <v>23387</v>
      </c>
      <c r="F3667" s="2" t="n">
        <f>HYPERLINK("https://patents.google.com/patent/US20040015337","Google")</f>
        <v>0.0</v>
      </c>
      <c r="G3667" s="2" t="n">
        <f>HYPERLINK("https://patentcenter.uspto.gov/applications/10336688","Patent Center")</f>
        <v>0.0</v>
      </c>
      <c r="H3667" s="2" t="n">
        <f>HYPERLINK("https://worldwide.espacenet.com/patent/search?q=US20040015337","Espacenet")</f>
        <v>0.0</v>
      </c>
      <c r="I3667" s="2" t="n">
        <f>HYPERLINK("https://ppubs.uspto.gov/pubwebapp/external.html?q=20040015337.pn.","USPTO")</f>
        <v>0.0</v>
      </c>
      <c r="J3667" s="2" t="n">
        <f>HYPERLINK("https://image-ppubs.uspto.gov/dirsearch-public/print/downloadPdf/20040015337","USPTO PDF")</f>
        <v>0.0</v>
      </c>
      <c r="K3667" s="2" t="n">
        <f>HYPERLINK("https://sectors.patentforecast.com/pmd/US20040015337","PMD")</f>
        <v>0.0</v>
      </c>
      <c r="L3667" s="2" t="n">
        <f>HYPERLINK("https://globaldossier.uspto.gov/result/application/US/10336688/1","US20040015337")</f>
        <v>0.0</v>
      </c>
      <c r="M3667" t="s">
        <v>23388</v>
      </c>
      <c r="N3667" t="s">
        <v>23389</v>
      </c>
      <c r="O3667" t="s">
        <v>23390</v>
      </c>
      <c r="P3667" t="s">
        <v>23391</v>
      </c>
      <c r="Q3667" s="3" t="n">
        <v>37627.0</v>
      </c>
      <c r="R3667" s="3" t="n">
        <v>38008.0</v>
      </c>
      <c r="S3667" s="3" t="n">
        <v>44019.22993175926</v>
      </c>
      <c r="T3667" s="3" t="n">
        <v>44020.57540511574</v>
      </c>
      <c r="U3667" t="s">
        <v>23392</v>
      </c>
      <c r="V3667" t="s">
        <v>23393</v>
      </c>
    </row>
    <row r="3668">
      <c r="A3668" t="s">
        <v>22</v>
      </c>
      <c r="B3668" t="s">
        <v>23394</v>
      </c>
      <c r="C3668" t="s">
        <v>60</v>
      </c>
      <c r="D3668" t="s">
        <v>2262</v>
      </c>
      <c r="E3668" t="s">
        <v>23395</v>
      </c>
      <c r="F3668" s="2" t="n">
        <f>HYPERLINK("https://patents.google.com/patent/US20040009245","Google")</f>
        <v>0.0</v>
      </c>
      <c r="G3668" s="2" t="n">
        <f>HYPERLINK("https://patentcenter.uspto.gov/applications/10429077","Patent Center")</f>
        <v>0.0</v>
      </c>
      <c r="H3668" s="2" t="n">
        <f>HYPERLINK("https://worldwide.espacenet.com/patent/search?q=US20040009245","Espacenet")</f>
        <v>0.0</v>
      </c>
      <c r="I3668" s="2" t="n">
        <f>HYPERLINK("https://ppubs.uspto.gov/pubwebapp/external.html?q=20040009245.pn.","USPTO")</f>
        <v>0.0</v>
      </c>
      <c r="J3668" s="2" t="n">
        <f>HYPERLINK("https://image-ppubs.uspto.gov/dirsearch-public/print/downloadPdf/20040009245","USPTO PDF")</f>
        <v>0.0</v>
      </c>
      <c r="K3668" s="2" t="n">
        <f>HYPERLINK("https://sectors.patentforecast.com/pmd/US20040009245","PMD")</f>
        <v>0.0</v>
      </c>
      <c r="L3668" s="2" t="n">
        <f>HYPERLINK("https://globaldossier.uspto.gov/result/application/US/10429077/1","US20040009245")</f>
        <v>0.0</v>
      </c>
      <c r="M3668" t="s">
        <v>23396</v>
      </c>
      <c r="N3668" t="s">
        <v>23397</v>
      </c>
      <c r="O3668" t="s">
        <v>23398</v>
      </c>
      <c r="P3668" t="s">
        <v>23399</v>
      </c>
      <c r="Q3668" s="3" t="n">
        <v>37743.0</v>
      </c>
      <c r="R3668" s="3" t="n">
        <v>38001.0</v>
      </c>
      <c r="S3668" s="3" t="n">
        <v>43966.49107130787</v>
      </c>
      <c r="T3668" s="3" t="n">
        <v>44678.56052868056</v>
      </c>
      <c r="U3668" t="s">
        <v>23400</v>
      </c>
      <c r="V3668" t="s">
        <v>23401</v>
      </c>
    </row>
    <row r="3669">
      <c r="A3669" t="s">
        <v>22</v>
      </c>
      <c r="B3669" t="s">
        <v>23402</v>
      </c>
      <c r="C3669" t="s">
        <v>24</v>
      </c>
      <c r="D3669" t="s">
        <v>187</v>
      </c>
      <c r="E3669" t="s">
        <v>23403</v>
      </c>
      <c r="F3669" s="2" t="n">
        <f>HYPERLINK("https://patents.google.com/patent/US20030225529","Google")</f>
        <v>0.0</v>
      </c>
      <c r="G3669" s="2" t="n">
        <f>HYPERLINK("https://patentcenter.uspto.gov/applications/10323210","Patent Center")</f>
        <v>0.0</v>
      </c>
      <c r="H3669" s="2" t="n">
        <f>HYPERLINK("https://worldwide.espacenet.com/patent/search?q=US20030225529","Espacenet")</f>
        <v>0.0</v>
      </c>
      <c r="I3669" s="2" t="n">
        <f>HYPERLINK("https://ppubs.uspto.gov/pubwebapp/external.html?q=20030225529.pn.","USPTO")</f>
        <v>0.0</v>
      </c>
      <c r="J3669" s="2" t="n">
        <f>HYPERLINK("https://image-ppubs.uspto.gov/dirsearch-public/print/downloadPdf/20030225529","USPTO PDF")</f>
        <v>0.0</v>
      </c>
      <c r="K3669" s="2" t="n">
        <f>HYPERLINK("https://sectors.patentforecast.com/pmd/US20030225529","PMD")</f>
        <v>0.0</v>
      </c>
      <c r="L3669" s="2" t="n">
        <f>HYPERLINK("https://globaldossier.uspto.gov/result/application/US/10323210/1","US20030225529")</f>
        <v>0.0</v>
      </c>
      <c r="M3669" t="s">
        <v>23404</v>
      </c>
      <c r="N3669" t="s">
        <v>6851</v>
      </c>
      <c r="O3669" t="s">
        <v>6852</v>
      </c>
      <c r="P3669" t="s">
        <v>23405</v>
      </c>
      <c r="Q3669" s="3" t="n">
        <v>37608.0</v>
      </c>
      <c r="R3669" s="3" t="n">
        <v>37959.0</v>
      </c>
      <c r="S3669" s="3" t="n">
        <v>43266.45737991898</v>
      </c>
      <c r="T3669" s="3" t="n">
        <v>43266.61438974537</v>
      </c>
      <c r="U3669" t="s">
        <v>19647</v>
      </c>
      <c r="V3669" t="s">
        <v>19648</v>
      </c>
    </row>
    <row r="3670">
      <c r="A3670" t="s">
        <v>22</v>
      </c>
      <c r="B3670" t="s">
        <v>23406</v>
      </c>
      <c r="C3670" t="s">
        <v>312</v>
      </c>
      <c r="D3670" t="s">
        <v>3202</v>
      </c>
      <c r="E3670" t="s">
        <v>23072</v>
      </c>
      <c r="F3670" s="2" t="n">
        <f>HYPERLINK("https://patents.google.com/patent/US20030212492","Google")</f>
        <v>0.0</v>
      </c>
      <c r="G3670" s="2" t="n">
        <f>HYPERLINK("https://patentcenter.uspto.gov/applications/10457963","Patent Center")</f>
        <v>0.0</v>
      </c>
      <c r="H3670" s="2" t="n">
        <f>HYPERLINK("https://worldwide.espacenet.com/patent/search?q=US20030212492","Espacenet")</f>
        <v>0.0</v>
      </c>
      <c r="I3670" s="2" t="n">
        <f>HYPERLINK("https://ppubs.uspto.gov/pubwebapp/external.html?q=20030212492.pn.","USPTO")</f>
        <v>0.0</v>
      </c>
      <c r="J3670" s="2" t="n">
        <f>HYPERLINK("https://image-ppubs.uspto.gov/dirsearch-public/print/downloadPdf/20030212492","USPTO PDF")</f>
        <v>0.0</v>
      </c>
      <c r="K3670" s="2" t="n">
        <f>HYPERLINK("https://sectors.patentforecast.com/pmd/US20030212492","PMD")</f>
        <v>0.0</v>
      </c>
      <c r="L3670" s="2" t="n">
        <f>HYPERLINK("https://globaldossier.uspto.gov/result/application/US/10457963/1","US20030212492")</f>
        <v>0.0</v>
      </c>
      <c r="M3670" t="s">
        <v>23407</v>
      </c>
      <c r="N3670" t="s">
        <v>23074</v>
      </c>
      <c r="O3670" t="s">
        <v>23075</v>
      </c>
      <c r="P3670" t="s">
        <v>23319</v>
      </c>
      <c r="Q3670" s="3" t="n">
        <v>37782.0</v>
      </c>
      <c r="R3670" s="3" t="n">
        <v>37938.0</v>
      </c>
      <c r="S3670" s="3" t="n">
        <v>43266.457379907406</v>
      </c>
      <c r="T3670" s="3" t="n">
        <v>43950.594007974534</v>
      </c>
      <c r="U3670" t="s">
        <v>23077</v>
      </c>
      <c r="V3670" t="s">
        <v>23320</v>
      </c>
    </row>
    <row r="3671">
      <c r="A3671" t="s">
        <v>22</v>
      </c>
      <c r="B3671" t="s">
        <v>23408</v>
      </c>
      <c r="C3671" t="s">
        <v>24</v>
      </c>
      <c r="D3671" t="s">
        <v>25</v>
      </c>
      <c r="E3671" t="s">
        <v>23409</v>
      </c>
      <c r="F3671" s="2" t="n">
        <f>HYPERLINK("https://patents.google.com/patent/US20030204130","Google")</f>
        <v>0.0</v>
      </c>
      <c r="G3671" s="2" t="n">
        <f>HYPERLINK("https://patentcenter.uspto.gov/applications/10375273","Patent Center")</f>
        <v>0.0</v>
      </c>
      <c r="H3671" s="2" t="n">
        <f>HYPERLINK("https://worldwide.espacenet.com/patent/search?q=US20030204130","Espacenet")</f>
        <v>0.0</v>
      </c>
      <c r="I3671" s="2" t="n">
        <f>HYPERLINK("https://ppubs.uspto.gov/pubwebapp/external.html?q=20030204130.pn.","USPTO")</f>
        <v>0.0</v>
      </c>
      <c r="J3671" s="2" t="n">
        <f>HYPERLINK("https://image-ppubs.uspto.gov/dirsearch-public/print/downloadPdf/20030204130","USPTO PDF")</f>
        <v>0.0</v>
      </c>
      <c r="K3671" s="2" t="n">
        <f>HYPERLINK("https://sectors.patentforecast.com/pmd/US20030204130","PMD")</f>
        <v>0.0</v>
      </c>
      <c r="L3671" s="2" t="n">
        <f>HYPERLINK("https://globaldossier.uspto.gov/result/application/US/10375273/1","US20030204130")</f>
        <v>0.0</v>
      </c>
      <c r="M3671" t="s">
        <v>23410</v>
      </c>
      <c r="N3671" t="s">
        <v>22732</v>
      </c>
      <c r="O3671" t="s">
        <v>22733</v>
      </c>
      <c r="P3671" t="s">
        <v>23411</v>
      </c>
      <c r="Q3671" s="3" t="n">
        <v>37678.0</v>
      </c>
      <c r="R3671" s="3" t="n">
        <v>37924.0</v>
      </c>
      <c r="S3671" s="3" t="n">
        <v>43266.457379907406</v>
      </c>
      <c r="T3671" s="3" t="n">
        <v>43903.49497326389</v>
      </c>
      <c r="U3671" t="s">
        <v>23412</v>
      </c>
      <c r="V3671" t="s">
        <v>23413</v>
      </c>
    </row>
    <row r="3672">
      <c r="A3672" t="s">
        <v>22</v>
      </c>
      <c r="B3672" t="s">
        <v>23414</v>
      </c>
      <c r="C3672" t="s">
        <v>24</v>
      </c>
      <c r="D3672" t="s">
        <v>25</v>
      </c>
      <c r="E3672" t="s">
        <v>23415</v>
      </c>
      <c r="F3672" s="2" t="n">
        <f>HYPERLINK("https://patents.google.com/patent/US20030187809","Google")</f>
        <v>0.0</v>
      </c>
      <c r="G3672" s="2" t="n">
        <f>HYPERLINK("https://patentcenter.uspto.gov/applications/10113318","Patent Center")</f>
        <v>0.0</v>
      </c>
      <c r="H3672" s="2" t="n">
        <f>HYPERLINK("https://worldwide.espacenet.com/patent/search?q=US20030187809","Espacenet")</f>
        <v>0.0</v>
      </c>
      <c r="I3672" s="2" t="n">
        <f>HYPERLINK("https://ppubs.uspto.gov/pubwebapp/external.html?q=20030187809.pn.","USPTO")</f>
        <v>0.0</v>
      </c>
      <c r="J3672" s="2" t="n">
        <f>HYPERLINK("https://image-ppubs.uspto.gov/dirsearch-public/print/downloadPdf/20030187809","USPTO PDF")</f>
        <v>0.0</v>
      </c>
      <c r="K3672" s="2" t="n">
        <f>HYPERLINK("https://sectors.patentforecast.com/pmd/US20030187809","PMD")</f>
        <v>0.0</v>
      </c>
      <c r="L3672" s="2" t="n">
        <f>HYPERLINK("https://globaldossier.uspto.gov/result/application/US/10113318/1","US20030187809")</f>
        <v>0.0</v>
      </c>
      <c r="M3672" t="s">
        <v>23416</v>
      </c>
      <c r="N3672" t="s">
        <v>895</v>
      </c>
      <c r="O3672" t="s">
        <v>896</v>
      </c>
      <c r="P3672" t="s">
        <v>23417</v>
      </c>
      <c r="Q3672" s="3" t="n">
        <v>37344.0</v>
      </c>
      <c r="R3672" s="3" t="n">
        <v>37896.0</v>
      </c>
      <c r="S3672" s="3" t="n">
        <v>43266.457379907406</v>
      </c>
      <c r="T3672" s="3" t="n">
        <v>43903.4846321875</v>
      </c>
      <c r="U3672" t="s">
        <v>15882</v>
      </c>
      <c r="V3672" t="s">
        <v>23418</v>
      </c>
    </row>
    <row r="3673">
      <c r="A3673" t="s">
        <v>22</v>
      </c>
      <c r="B3673" t="s">
        <v>23419</v>
      </c>
      <c r="C3673" t="s">
        <v>24</v>
      </c>
      <c r="D3673" t="s">
        <v>25</v>
      </c>
      <c r="E3673" t="s">
        <v>23420</v>
      </c>
      <c r="F3673" s="2" t="n">
        <f>HYPERLINK("https://patents.google.com/patent/US20030187615","Google")</f>
        <v>0.0</v>
      </c>
      <c r="G3673" s="2" t="n">
        <f>HYPERLINK("https://patentcenter.uspto.gov/applications/10106841","Patent Center")</f>
        <v>0.0</v>
      </c>
      <c r="H3673" s="2" t="n">
        <f>HYPERLINK("https://worldwide.espacenet.com/patent/search?q=US20030187615","Espacenet")</f>
        <v>0.0</v>
      </c>
      <c r="I3673" s="2" t="n">
        <f>HYPERLINK("https://ppubs.uspto.gov/pubwebapp/external.html?q=20030187615.pn.","USPTO")</f>
        <v>0.0</v>
      </c>
      <c r="J3673" s="2" t="n">
        <f>HYPERLINK("https://image-ppubs.uspto.gov/dirsearch-public/print/downloadPdf/20030187615","USPTO PDF")</f>
        <v>0.0</v>
      </c>
      <c r="K3673" s="2" t="n">
        <f>HYPERLINK("https://sectors.patentforecast.com/pmd/US20030187615","PMD")</f>
        <v>0.0</v>
      </c>
      <c r="L3673" s="2" t="n">
        <f>HYPERLINK("https://globaldossier.uspto.gov/result/application/US/10106841/1","US20030187615")</f>
        <v>0.0</v>
      </c>
      <c r="M3673" t="s">
        <v>23421</v>
      </c>
      <c r="N3673" t="s">
        <v>23422</v>
      </c>
      <c r="O3673" t="s">
        <v>23423</v>
      </c>
      <c r="P3673" t="s">
        <v>23424</v>
      </c>
      <c r="Q3673" s="3" t="n">
        <v>37341.0</v>
      </c>
      <c r="R3673" s="3" t="n">
        <v>37896.0</v>
      </c>
      <c r="S3673" s="3" t="n">
        <v>43266.457379907406</v>
      </c>
      <c r="T3673" s="3" t="n">
        <v>43903.484632210646</v>
      </c>
      <c r="U3673" t="s">
        <v>23425</v>
      </c>
      <c r="V3673" t="s">
        <v>23426</v>
      </c>
    </row>
    <row r="3674">
      <c r="A3674" t="s">
        <v>22</v>
      </c>
      <c r="B3674" t="s">
        <v>23427</v>
      </c>
      <c r="C3674" t="s">
        <v>24</v>
      </c>
      <c r="D3674" t="s">
        <v>187</v>
      </c>
      <c r="E3674" t="s">
        <v>23278</v>
      </c>
      <c r="F3674" s="2" t="n">
        <f>HYPERLINK("https://patents.google.com/patent/US20030187593","Google")</f>
        <v>0.0</v>
      </c>
      <c r="G3674" s="2" t="n">
        <f>HYPERLINK("https://patentcenter.uspto.gov/applications/10340482","Patent Center")</f>
        <v>0.0</v>
      </c>
      <c r="H3674" s="2" t="n">
        <f>HYPERLINK("https://worldwide.espacenet.com/patent/search?q=US20030187593","Espacenet")</f>
        <v>0.0</v>
      </c>
      <c r="I3674" s="2" t="n">
        <f>HYPERLINK("https://ppubs.uspto.gov/pubwebapp/external.html?q=20030187593.pn.","USPTO")</f>
        <v>0.0</v>
      </c>
      <c r="J3674" s="2" t="n">
        <f>HYPERLINK("https://image-ppubs.uspto.gov/dirsearch-public/print/downloadPdf/20030187593","USPTO PDF")</f>
        <v>0.0</v>
      </c>
      <c r="K3674" s="2" t="n">
        <f>HYPERLINK("https://sectors.patentforecast.com/pmd/US20030187593","PMD")</f>
        <v>0.0</v>
      </c>
      <c r="L3674" s="2" t="n">
        <f>HYPERLINK("https://globaldossier.uspto.gov/result/application/US/10340482/1","US20030187593")</f>
        <v>0.0</v>
      </c>
      <c r="M3674" t="s">
        <v>23428</v>
      </c>
      <c r="N3674" t="s">
        <v>6851</v>
      </c>
      <c r="O3674" t="s">
        <v>6852</v>
      </c>
      <c r="P3674" t="s">
        <v>23429</v>
      </c>
      <c r="Q3674" s="3" t="n">
        <v>37631.0</v>
      </c>
      <c r="R3674" s="3" t="n">
        <v>37896.0</v>
      </c>
      <c r="S3674" s="3" t="n">
        <v>43266.45738042824</v>
      </c>
      <c r="T3674" s="3" t="n">
        <v>44638.63374150463</v>
      </c>
      <c r="U3674" t="s">
        <v>23430</v>
      </c>
      <c r="V3674" t="s">
        <v>19648</v>
      </c>
    </row>
    <row r="3675">
      <c r="A3675" t="s">
        <v>22</v>
      </c>
      <c r="B3675" t="s">
        <v>23431</v>
      </c>
      <c r="C3675" t="s">
        <v>24</v>
      </c>
      <c r="D3675" t="s">
        <v>187</v>
      </c>
      <c r="E3675" t="s">
        <v>23278</v>
      </c>
      <c r="F3675" s="2" t="n">
        <f>HYPERLINK("https://patents.google.com/patent/US20030187588","Google")</f>
        <v>0.0</v>
      </c>
      <c r="G3675" s="2" t="n">
        <f>HYPERLINK("https://patentcenter.uspto.gov/applications/10340321","Patent Center")</f>
        <v>0.0</v>
      </c>
      <c r="H3675" s="2" t="n">
        <f>HYPERLINK("https://worldwide.espacenet.com/patent/search?q=US20030187588","Espacenet")</f>
        <v>0.0</v>
      </c>
      <c r="I3675" s="2" t="n">
        <f>HYPERLINK("https://ppubs.uspto.gov/pubwebapp/external.html?q=20030187588.pn.","USPTO")</f>
        <v>0.0</v>
      </c>
      <c r="J3675" s="2" t="n">
        <f>HYPERLINK("https://image-ppubs.uspto.gov/dirsearch-public/print/downloadPdf/20030187588","USPTO PDF")</f>
        <v>0.0</v>
      </c>
      <c r="K3675" s="2" t="n">
        <f>HYPERLINK("https://sectors.patentforecast.com/pmd/US20030187588","PMD")</f>
        <v>0.0</v>
      </c>
      <c r="L3675" s="2" t="n">
        <f>HYPERLINK("https://globaldossier.uspto.gov/result/application/US/10340321/1","US20030187588")</f>
        <v>0.0</v>
      </c>
      <c r="M3675" t="s">
        <v>23432</v>
      </c>
      <c r="N3675" t="s">
        <v>6851</v>
      </c>
      <c r="O3675" t="s">
        <v>6852</v>
      </c>
      <c r="P3675" t="s">
        <v>23433</v>
      </c>
      <c r="Q3675" s="3" t="n">
        <v>37631.0</v>
      </c>
      <c r="R3675" s="3" t="n">
        <v>37896.0</v>
      </c>
      <c r="S3675" s="3" t="n">
        <v>43266.45738042824</v>
      </c>
      <c r="T3675" s="3" t="n">
        <v>43266.61438974537</v>
      </c>
      <c r="U3675" t="s">
        <v>19647</v>
      </c>
      <c r="V3675" t="s">
        <v>19648</v>
      </c>
    </row>
    <row r="3676">
      <c r="A3676" t="s">
        <v>22</v>
      </c>
      <c r="B3676" t="s">
        <v>23434</v>
      </c>
      <c r="C3676" t="s">
        <v>312</v>
      </c>
      <c r="D3676" t="s">
        <v>3202</v>
      </c>
      <c r="E3676" t="s">
        <v>22505</v>
      </c>
      <c r="F3676" s="2" t="n">
        <f>HYPERLINK("https://patents.google.com/patent/US20030177038","Google")</f>
        <v>0.0</v>
      </c>
      <c r="G3676" s="2" t="n">
        <f>HYPERLINK("https://patentcenter.uspto.gov/applications/10319365","Patent Center")</f>
        <v>0.0</v>
      </c>
      <c r="H3676" s="2" t="n">
        <f>HYPERLINK("https://worldwide.espacenet.com/patent/search?q=US20030177038","Espacenet")</f>
        <v>0.0</v>
      </c>
      <c r="I3676" s="2" t="n">
        <f>HYPERLINK("https://ppubs.uspto.gov/pubwebapp/external.html?q=20030177038.pn.","USPTO")</f>
        <v>0.0</v>
      </c>
      <c r="J3676" s="2" t="n">
        <f>HYPERLINK("https://image-ppubs.uspto.gov/dirsearch-public/print/downloadPdf/20030177038","USPTO PDF")</f>
        <v>0.0</v>
      </c>
      <c r="K3676" s="2" t="n">
        <f>HYPERLINK("https://sectors.patentforecast.com/pmd/US20030177038","PMD")</f>
        <v>0.0</v>
      </c>
      <c r="L3676" s="2" t="n">
        <f>HYPERLINK("https://globaldossier.uspto.gov/result/application/US/10319365/1","US20030177038")</f>
        <v>0.0</v>
      </c>
      <c r="M3676" t="s">
        <v>23435</v>
      </c>
      <c r="N3676" t="s">
        <v>6786</v>
      </c>
      <c r="O3676" t="s">
        <v>6787</v>
      </c>
      <c r="P3676" t="s">
        <v>23436</v>
      </c>
      <c r="Q3676" s="3" t="n">
        <v>37603.0</v>
      </c>
      <c r="R3676" s="3" t="n">
        <v>37882.0</v>
      </c>
      <c r="S3676" s="3" t="n">
        <v>43266.457380416665</v>
      </c>
      <c r="T3676" s="3" t="n">
        <v>43266.620227569445</v>
      </c>
      <c r="U3676" t="s">
        <v>22508</v>
      </c>
      <c r="V3676" t="s">
        <v>22509</v>
      </c>
    </row>
    <row r="3677">
      <c r="A3677" t="s">
        <v>22</v>
      </c>
      <c r="B3677" t="s">
        <v>23437</v>
      </c>
      <c r="C3677" t="s">
        <v>24</v>
      </c>
      <c r="D3677" t="s">
        <v>187</v>
      </c>
      <c r="E3677" t="s">
        <v>23278</v>
      </c>
      <c r="F3677" s="2" t="n">
        <f>HYPERLINK("https://patents.google.com/patent/US20030167134","Google")</f>
        <v>0.0</v>
      </c>
      <c r="G3677" s="2" t="n">
        <f>HYPERLINK("https://patentcenter.uspto.gov/applications/10340483","Patent Center")</f>
        <v>0.0</v>
      </c>
      <c r="H3677" s="2" t="n">
        <f>HYPERLINK("https://worldwide.espacenet.com/patent/search?q=US20030167134","Espacenet")</f>
        <v>0.0</v>
      </c>
      <c r="I3677" s="2" t="n">
        <f>HYPERLINK("https://ppubs.uspto.gov/pubwebapp/external.html?q=20030167134.pn.","USPTO")</f>
        <v>0.0</v>
      </c>
      <c r="J3677" s="2" t="n">
        <f>HYPERLINK("https://image-ppubs.uspto.gov/dirsearch-public/print/downloadPdf/20030167134","USPTO PDF")</f>
        <v>0.0</v>
      </c>
      <c r="K3677" s="2" t="n">
        <f>HYPERLINK("https://sectors.patentforecast.com/pmd/US20030167134","PMD")</f>
        <v>0.0</v>
      </c>
      <c r="L3677" s="2" t="n">
        <f>HYPERLINK("https://globaldossier.uspto.gov/result/application/US/10340483/1","US20030167134")</f>
        <v>0.0</v>
      </c>
      <c r="M3677" t="s">
        <v>23438</v>
      </c>
      <c r="N3677" t="s">
        <v>6851</v>
      </c>
      <c r="O3677" t="s">
        <v>6852</v>
      </c>
      <c r="P3677" t="s">
        <v>23280</v>
      </c>
      <c r="Q3677" s="3" t="n">
        <v>37631.0</v>
      </c>
      <c r="R3677" s="3" t="n">
        <v>37868.0</v>
      </c>
      <c r="S3677" s="3" t="n">
        <v>43266.457380416665</v>
      </c>
      <c r="T3677" s="3" t="n">
        <v>44638.63388045139</v>
      </c>
      <c r="U3677" t="s">
        <v>19647</v>
      </c>
      <c r="V3677" t="s">
        <v>19648</v>
      </c>
    </row>
    <row r="3678">
      <c r="A3678" t="s">
        <v>22</v>
      </c>
      <c r="B3678" t="s">
        <v>23439</v>
      </c>
      <c r="C3678" t="s">
        <v>24</v>
      </c>
      <c r="D3678" t="s">
        <v>187</v>
      </c>
      <c r="E3678" t="s">
        <v>23278</v>
      </c>
      <c r="F3678" s="2" t="n">
        <f>HYPERLINK("https://patents.google.com/patent/US20030167133","Google")</f>
        <v>0.0</v>
      </c>
      <c r="G3678" s="2" t="n">
        <f>HYPERLINK("https://patentcenter.uspto.gov/applications/10340461","Patent Center")</f>
        <v>0.0</v>
      </c>
      <c r="H3678" s="2" t="n">
        <f>HYPERLINK("https://worldwide.espacenet.com/patent/search?q=US20030167133","Espacenet")</f>
        <v>0.0</v>
      </c>
      <c r="I3678" s="2" t="n">
        <f>HYPERLINK("https://ppubs.uspto.gov/pubwebapp/external.html?q=20030167133.pn.","USPTO")</f>
        <v>0.0</v>
      </c>
      <c r="J3678" s="2" t="n">
        <f>HYPERLINK("https://image-ppubs.uspto.gov/dirsearch-public/print/downloadPdf/20030167133","USPTO PDF")</f>
        <v>0.0</v>
      </c>
      <c r="K3678" s="2" t="n">
        <f>HYPERLINK("https://sectors.patentforecast.com/pmd/US20030167133","PMD")</f>
        <v>0.0</v>
      </c>
      <c r="L3678" s="2" t="n">
        <f>HYPERLINK("https://globaldossier.uspto.gov/result/application/US/10340461/1","US20030167133")</f>
        <v>0.0</v>
      </c>
      <c r="M3678" t="s">
        <v>23440</v>
      </c>
      <c r="N3678" t="s">
        <v>23441</v>
      </c>
      <c r="O3678" t="s">
        <v>23442</v>
      </c>
      <c r="P3678" t="s">
        <v>23280</v>
      </c>
      <c r="Q3678" s="3" t="n">
        <v>37631.0</v>
      </c>
      <c r="R3678" s="3" t="n">
        <v>37868.0</v>
      </c>
      <c r="S3678" s="3" t="n">
        <v>43266.457380416665</v>
      </c>
      <c r="T3678" s="3" t="n">
        <v>44638.63390173611</v>
      </c>
      <c r="U3678" t="s">
        <v>19647</v>
      </c>
      <c r="V3678" t="s">
        <v>19648</v>
      </c>
    </row>
    <row r="3679">
      <c r="A3679" t="s">
        <v>22</v>
      </c>
      <c r="B3679" t="s">
        <v>23443</v>
      </c>
      <c r="C3679" t="s">
        <v>24</v>
      </c>
      <c r="D3679" t="s">
        <v>25</v>
      </c>
      <c r="E3679" t="s">
        <v>23444</v>
      </c>
      <c r="F3679" s="2" t="n">
        <f>HYPERLINK("https://patents.google.com/patent/US20030163351","Google")</f>
        <v>0.0</v>
      </c>
      <c r="G3679" s="2" t="n">
        <f>HYPERLINK("https://patentcenter.uspto.gov/applications/10279749","Patent Center")</f>
        <v>0.0</v>
      </c>
      <c r="H3679" s="2" t="n">
        <f>HYPERLINK("https://worldwide.espacenet.com/patent/search?q=US20030163351","Espacenet")</f>
        <v>0.0</v>
      </c>
      <c r="I3679" s="2" t="n">
        <f>HYPERLINK("https://ppubs.uspto.gov/pubwebapp/external.html?q=20030163351.pn.","USPTO")</f>
        <v>0.0</v>
      </c>
      <c r="J3679" s="2" t="n">
        <f>HYPERLINK("https://image-ppubs.uspto.gov/dirsearch-public/print/downloadPdf/20030163351","USPTO PDF")</f>
        <v>0.0</v>
      </c>
      <c r="K3679" s="2" t="n">
        <f>HYPERLINK("https://sectors.patentforecast.com/pmd/US20030163351","PMD")</f>
        <v>0.0</v>
      </c>
      <c r="L3679" s="2" t="n">
        <f>HYPERLINK("https://globaldossier.uspto.gov/result/application/US/10279749/1","US20030163351")</f>
        <v>0.0</v>
      </c>
      <c r="M3679" t="s">
        <v>23445</v>
      </c>
      <c r="N3679" t="s">
        <v>23446</v>
      </c>
      <c r="O3679" t="s">
        <v>23447</v>
      </c>
      <c r="P3679" t="s">
        <v>23448</v>
      </c>
      <c r="Q3679" s="3" t="n">
        <v>37552.0</v>
      </c>
      <c r="R3679" s="3" t="n">
        <v>37861.0</v>
      </c>
      <c r="S3679" s="3" t="n">
        <v>43266.457380416665</v>
      </c>
      <c r="T3679" s="3" t="n">
        <v>43903.494973333334</v>
      </c>
      <c r="U3679" t="s">
        <v>23449</v>
      </c>
      <c r="V3679" t="s">
        <v>23450</v>
      </c>
    </row>
    <row r="3680">
      <c r="A3680" t="s">
        <v>22</v>
      </c>
      <c r="B3680" t="s">
        <v>23451</v>
      </c>
      <c r="C3680" t="s">
        <v>60</v>
      </c>
      <c r="D3680" t="s">
        <v>845</v>
      </c>
      <c r="E3680" t="s">
        <v>23452</v>
      </c>
      <c r="F3680" s="2" t="n">
        <f>HYPERLINK("https://patents.google.com/patent/US20030153819","Google")</f>
        <v>0.0</v>
      </c>
      <c r="G3680" s="2" t="n">
        <f>HYPERLINK("https://patentcenter.uspto.gov/applications/10368681","Patent Center")</f>
        <v>0.0</v>
      </c>
      <c r="H3680" s="2" t="n">
        <f>HYPERLINK("https://worldwide.espacenet.com/patent/search?q=US20030153819","Espacenet")</f>
        <v>0.0</v>
      </c>
      <c r="I3680" s="2" t="n">
        <f>HYPERLINK("https://ppubs.uspto.gov/pubwebapp/external.html?q=20030153819.pn.","USPTO")</f>
        <v>0.0</v>
      </c>
      <c r="J3680" s="2" t="n">
        <f>HYPERLINK("https://image-ppubs.uspto.gov/dirsearch-public/print/downloadPdf/20030153819","USPTO PDF")</f>
        <v>0.0</v>
      </c>
      <c r="K3680" s="2" t="n">
        <f>HYPERLINK("https://sectors.patentforecast.com/pmd/US20030153819","PMD")</f>
        <v>0.0</v>
      </c>
      <c r="L3680" s="2" t="n">
        <f>HYPERLINK("https://globaldossier.uspto.gov/result/application/US/10368681/1","US20030153819")</f>
        <v>0.0</v>
      </c>
      <c r="M3680" t="s">
        <v>23453</v>
      </c>
      <c r="N3680" t="s">
        <v>22835</v>
      </c>
      <c r="O3680" t="s">
        <v>22836</v>
      </c>
      <c r="P3680" t="s">
        <v>23454</v>
      </c>
      <c r="Q3680" s="3" t="n">
        <v>37665.0</v>
      </c>
      <c r="R3680" s="3" t="n">
        <v>37847.0</v>
      </c>
      <c r="S3680" s="3" t="n">
        <v>43906.37291479167</v>
      </c>
      <c r="T3680" s="3" t="n">
        <v>44643.42310893519</v>
      </c>
      <c r="U3680" t="s">
        <v>22838</v>
      </c>
      <c r="V3680" t="s">
        <v>22839</v>
      </c>
    </row>
    <row r="3681">
      <c r="A3681" t="s">
        <v>22</v>
      </c>
      <c r="B3681" t="s">
        <v>23455</v>
      </c>
      <c r="C3681" t="s">
        <v>24</v>
      </c>
      <c r="D3681" t="s">
        <v>25</v>
      </c>
      <c r="E3681" t="s">
        <v>23456</v>
      </c>
      <c r="F3681" s="2" t="n">
        <f>HYPERLINK("https://patents.google.com/patent/US20030129578","Google")</f>
        <v>0.0</v>
      </c>
      <c r="G3681" s="2" t="n">
        <f>HYPERLINK("https://patentcenter.uspto.gov/applications/10162510","Patent Center")</f>
        <v>0.0</v>
      </c>
      <c r="H3681" s="2" t="n">
        <f>HYPERLINK("https://worldwide.espacenet.com/patent/search?q=US20030129578","Espacenet")</f>
        <v>0.0</v>
      </c>
      <c r="I3681" s="2" t="n">
        <f>HYPERLINK("https://ppubs.uspto.gov/pubwebapp/external.html?q=20030129578.pn.","USPTO")</f>
        <v>0.0</v>
      </c>
      <c r="J3681" s="2" t="n">
        <f>HYPERLINK("https://image-ppubs.uspto.gov/dirsearch-public/print/downloadPdf/20030129578","USPTO PDF")</f>
        <v>0.0</v>
      </c>
      <c r="K3681" s="2" t="n">
        <f>HYPERLINK("https://sectors.patentforecast.com/pmd/US20030129578","PMD")</f>
        <v>0.0</v>
      </c>
      <c r="L3681" s="2" t="n">
        <f>HYPERLINK("https://globaldossier.uspto.gov/result/application/US/10162510/1","US20030129578")</f>
        <v>0.0</v>
      </c>
      <c r="M3681" t="s">
        <v>23457</v>
      </c>
      <c r="N3681" t="s">
        <v>23458</v>
      </c>
      <c r="O3681" t="s">
        <v>23459</v>
      </c>
      <c r="P3681" t="s">
        <v>23460</v>
      </c>
      <c r="Q3681" s="3" t="n">
        <v>37411.0</v>
      </c>
      <c r="R3681" s="3" t="n">
        <v>37812.0</v>
      </c>
      <c r="S3681" s="3" t="n">
        <v>43266.457380416665</v>
      </c>
      <c r="T3681" s="3" t="n">
        <v>43901.721565300926</v>
      </c>
      <c r="U3681" t="s">
        <v>23461</v>
      </c>
      <c r="V3681" t="s">
        <v>23462</v>
      </c>
    </row>
    <row r="3682">
      <c r="A3682" t="s">
        <v>22</v>
      </c>
      <c r="B3682" t="s">
        <v>23463</v>
      </c>
      <c r="C3682" t="s">
        <v>24</v>
      </c>
      <c r="D3682" t="s">
        <v>25</v>
      </c>
      <c r="E3682" t="s">
        <v>23464</v>
      </c>
      <c r="F3682" s="2" t="n">
        <f>HYPERLINK("https://patents.google.com/patent/US20030114986","Google")</f>
        <v>0.0</v>
      </c>
      <c r="G3682" s="2" t="n">
        <f>HYPERLINK("https://patentcenter.uspto.gov/applications/10021898","Patent Center")</f>
        <v>0.0</v>
      </c>
      <c r="H3682" s="2" t="n">
        <f>HYPERLINK("https://worldwide.espacenet.com/patent/search?q=US20030114986","Espacenet")</f>
        <v>0.0</v>
      </c>
      <c r="I3682" s="2" t="n">
        <f>HYPERLINK("https://ppubs.uspto.gov/pubwebapp/external.html?q=20030114986.pn.","USPTO")</f>
        <v>0.0</v>
      </c>
      <c r="J3682" s="2" t="n">
        <f>HYPERLINK("https://image-ppubs.uspto.gov/dirsearch-public/print/downloadPdf/20030114986","USPTO PDF")</f>
        <v>0.0</v>
      </c>
      <c r="K3682" s="2" t="n">
        <f>HYPERLINK("https://sectors.patentforecast.com/pmd/US20030114986","PMD")</f>
        <v>0.0</v>
      </c>
      <c r="L3682" s="2" t="n">
        <f>HYPERLINK("https://globaldossier.uspto.gov/result/application/US/10021898/1","US20030114986")</f>
        <v>0.0</v>
      </c>
      <c r="M3682" t="s">
        <v>23465</v>
      </c>
      <c r="N3682" t="s">
        <v>2232</v>
      </c>
      <c r="O3682" t="s">
        <v>2232</v>
      </c>
      <c r="P3682" t="s">
        <v>23466</v>
      </c>
      <c r="Q3682" s="3" t="n">
        <v>37242.0</v>
      </c>
      <c r="R3682" s="3" t="n">
        <v>37791.0</v>
      </c>
      <c r="S3682" s="3" t="n">
        <v>43266.457380416665</v>
      </c>
      <c r="T3682" s="3" t="n">
        <v>43901.7215650463</v>
      </c>
      <c r="U3682" t="s">
        <v>15882</v>
      </c>
      <c r="V3682" t="s">
        <v>23467</v>
      </c>
    </row>
    <row r="3683">
      <c r="A3683" t="s">
        <v>22</v>
      </c>
      <c r="B3683" t="s">
        <v>23468</v>
      </c>
      <c r="C3683" t="s">
        <v>24</v>
      </c>
      <c r="D3683" t="s">
        <v>25</v>
      </c>
      <c r="E3683" t="s">
        <v>23469</v>
      </c>
      <c r="F3683" s="2" t="n">
        <f>HYPERLINK("https://patents.google.com/patent/US20030104503","Google")</f>
        <v>0.0</v>
      </c>
      <c r="G3683" s="2" t="n">
        <f>HYPERLINK("https://patentcenter.uspto.gov/applications/10055318","Patent Center")</f>
        <v>0.0</v>
      </c>
      <c r="H3683" s="2" t="n">
        <f>HYPERLINK("https://worldwide.espacenet.com/patent/search?q=US20030104503","Espacenet")</f>
        <v>0.0</v>
      </c>
      <c r="I3683" s="2" t="n">
        <f>HYPERLINK("https://ppubs.uspto.gov/pubwebapp/external.html?q=20030104503.pn.","USPTO")</f>
        <v>0.0</v>
      </c>
      <c r="J3683" s="2" t="n">
        <f>HYPERLINK("https://image-ppubs.uspto.gov/dirsearch-public/print/downloadPdf/20030104503","USPTO PDF")</f>
        <v>0.0</v>
      </c>
      <c r="K3683" s="2" t="n">
        <f>HYPERLINK("https://sectors.patentforecast.com/pmd/US20030104503","PMD")</f>
        <v>0.0</v>
      </c>
      <c r="L3683" s="2" t="n">
        <f>HYPERLINK("https://globaldossier.uspto.gov/result/application/US/10055318/1","US20030104503")</f>
        <v>0.0</v>
      </c>
      <c r="M3683" t="s">
        <v>23470</v>
      </c>
      <c r="N3683" t="s">
        <v>22320</v>
      </c>
      <c r="O3683" t="s">
        <v>22321</v>
      </c>
      <c r="P3683" t="s">
        <v>23471</v>
      </c>
      <c r="Q3683" s="3" t="n">
        <v>37187.0</v>
      </c>
      <c r="R3683" s="3" t="n">
        <v>37777.0</v>
      </c>
      <c r="S3683" s="3" t="n">
        <v>43266.457380416665</v>
      </c>
      <c r="T3683" s="3" t="n">
        <v>43903.4846322338</v>
      </c>
      <c r="U3683" t="s">
        <v>23472</v>
      </c>
      <c r="V3683" t="s">
        <v>23473</v>
      </c>
    </row>
    <row r="3684">
      <c r="A3684" t="s">
        <v>22</v>
      </c>
      <c r="B3684" t="s">
        <v>23474</v>
      </c>
      <c r="C3684" t="s">
        <v>132</v>
      </c>
      <c r="D3684" t="s">
        <v>2629</v>
      </c>
      <c r="E3684" t="s">
        <v>23475</v>
      </c>
      <c r="F3684" s="2" t="n">
        <f>HYPERLINK("https://patents.google.com/patent/US20030095988","Google")</f>
        <v>0.0</v>
      </c>
      <c r="G3684" s="2" t="n">
        <f>HYPERLINK("https://patentcenter.uspto.gov/applications/09493769","Patent Center")</f>
        <v>0.0</v>
      </c>
      <c r="H3684" s="2" t="n">
        <f>HYPERLINK("https://worldwide.espacenet.com/patent/search?q=US20030095988","Espacenet")</f>
        <v>0.0</v>
      </c>
      <c r="I3684" s="2" t="n">
        <f>HYPERLINK("https://ppubs.uspto.gov/pubwebapp/external.html?q=20030095988.pn.","USPTO")</f>
        <v>0.0</v>
      </c>
      <c r="J3684" s="2" t="n">
        <f>HYPERLINK("https://image-ppubs.uspto.gov/dirsearch-public/print/downloadPdf/20030095988","USPTO PDF")</f>
        <v>0.0</v>
      </c>
      <c r="K3684" s="2" t="n">
        <f>HYPERLINK("https://sectors.patentforecast.com/pmd/US20030095988","PMD")</f>
        <v>0.0</v>
      </c>
      <c r="L3684" s="2" t="n">
        <f>HYPERLINK("https://globaldossier.uspto.gov/result/application/US/09493769/1","US20030095988")</f>
        <v>0.0</v>
      </c>
      <c r="M3684" t="s">
        <v>23476</v>
      </c>
      <c r="N3684" t="s">
        <v>23477</v>
      </c>
      <c r="O3684" t="s">
        <v>23478</v>
      </c>
      <c r="P3684" t="s">
        <v>23479</v>
      </c>
      <c r="Q3684" s="3" t="n">
        <v>36553.0</v>
      </c>
      <c r="R3684" s="3" t="n">
        <v>37763.0</v>
      </c>
      <c r="S3684" s="3" t="n">
        <v>43966.49107130787</v>
      </c>
      <c r="T3684" s="3" t="n">
        <v>44678.611457349536</v>
      </c>
      <c r="U3684" t="s">
        <v>23480</v>
      </c>
      <c r="V3684" t="s">
        <v>23481</v>
      </c>
    </row>
    <row r="3685">
      <c r="A3685" t="s">
        <v>22</v>
      </c>
      <c r="B3685" t="s">
        <v>23482</v>
      </c>
      <c r="C3685" t="s">
        <v>24</v>
      </c>
      <c r="D3685" t="s">
        <v>187</v>
      </c>
      <c r="E3685" t="s">
        <v>23278</v>
      </c>
      <c r="F3685" s="2" t="n">
        <f>HYPERLINK("https://patents.google.com/patent/US20030082539","Google")</f>
        <v>0.0</v>
      </c>
      <c r="G3685" s="2" t="n">
        <f>HYPERLINK("https://patentcenter.uspto.gov/applications/09891793","Patent Center")</f>
        <v>0.0</v>
      </c>
      <c r="H3685" s="2" t="n">
        <f>HYPERLINK("https://worldwide.espacenet.com/patent/search?q=US20030082539","Espacenet")</f>
        <v>0.0</v>
      </c>
      <c r="I3685" s="2" t="n">
        <f>HYPERLINK("https://ppubs.uspto.gov/pubwebapp/external.html?q=20030082539.pn.","USPTO")</f>
        <v>0.0</v>
      </c>
      <c r="J3685" s="2" t="n">
        <f>HYPERLINK("https://image-ppubs.uspto.gov/dirsearch-public/print/downloadPdf/20030082539","USPTO PDF")</f>
        <v>0.0</v>
      </c>
      <c r="K3685" s="2" t="n">
        <f>HYPERLINK("https://sectors.patentforecast.com/pmd/US20030082539","PMD")</f>
        <v>0.0</v>
      </c>
      <c r="L3685" s="2" t="n">
        <f>HYPERLINK("https://globaldossier.uspto.gov/result/application/US/09891793/1","US20030082539")</f>
        <v>0.0</v>
      </c>
      <c r="M3685" t="s">
        <v>23483</v>
      </c>
      <c r="N3685" t="s">
        <v>6851</v>
      </c>
      <c r="O3685" t="s">
        <v>6852</v>
      </c>
      <c r="P3685" t="s">
        <v>23280</v>
      </c>
      <c r="Q3685" s="3" t="n">
        <v>37068.0</v>
      </c>
      <c r="R3685" s="3" t="n">
        <v>37742.0</v>
      </c>
      <c r="S3685" s="3" t="n">
        <v>43266.457380416665</v>
      </c>
      <c r="T3685" s="3" t="n">
        <v>43266.61438974537</v>
      </c>
      <c r="U3685" t="s">
        <v>19647</v>
      </c>
      <c r="V3685" t="s">
        <v>19648</v>
      </c>
    </row>
    <row r="3686">
      <c r="A3686" t="s">
        <v>22</v>
      </c>
      <c r="B3686" t="s">
        <v>23484</v>
      </c>
      <c r="C3686" t="s">
        <v>132</v>
      </c>
      <c r="D3686" t="s">
        <v>23485</v>
      </c>
      <c r="E3686" t="s">
        <v>23486</v>
      </c>
      <c r="F3686" s="2" t="n">
        <f>HYPERLINK("https://patents.google.com/patent/US20030068324","Google")</f>
        <v>0.0</v>
      </c>
      <c r="G3686" s="2" t="n">
        <f>HYPERLINK("https://patentcenter.uspto.gov/applications/10116109","Patent Center")</f>
        <v>0.0</v>
      </c>
      <c r="H3686" s="2" t="n">
        <f>HYPERLINK("https://worldwide.espacenet.com/patent/search?q=US20030068324","Espacenet")</f>
        <v>0.0</v>
      </c>
      <c r="I3686" s="2" t="n">
        <f>HYPERLINK("https://ppubs.uspto.gov/pubwebapp/external.html?q=20030068324.pn.","USPTO")</f>
        <v>0.0</v>
      </c>
      <c r="J3686" s="2" t="n">
        <f>HYPERLINK("https://image-ppubs.uspto.gov/dirsearch-public/print/downloadPdf/20030068324","USPTO PDF")</f>
        <v>0.0</v>
      </c>
      <c r="K3686" s="2" t="n">
        <f>HYPERLINK("https://sectors.patentforecast.com/pmd/US20030068324","PMD")</f>
        <v>0.0</v>
      </c>
      <c r="L3686" s="2" t="n">
        <f>HYPERLINK("https://globaldossier.uspto.gov/result/application/US/10116109/1","US20030068324")</f>
        <v>0.0</v>
      </c>
      <c r="M3686" t="s">
        <v>23487</v>
      </c>
      <c r="N3686" t="s">
        <v>6864</v>
      </c>
      <c r="O3686" t="s">
        <v>6864</v>
      </c>
      <c r="P3686" t="s">
        <v>23488</v>
      </c>
      <c r="Q3686" s="3" t="n">
        <v>37351.0</v>
      </c>
      <c r="R3686" s="3" t="n">
        <v>37721.0</v>
      </c>
      <c r="S3686" s="3" t="n">
        <v>43900.43738920139</v>
      </c>
      <c r="T3686" s="3" t="n">
        <v>43901.72156445602</v>
      </c>
      <c r="U3686" t="s">
        <v>23489</v>
      </c>
      <c r="V3686" t="s">
        <v>23490</v>
      </c>
    </row>
    <row r="3687">
      <c r="A3687" t="s">
        <v>22</v>
      </c>
      <c r="B3687" t="s">
        <v>23491</v>
      </c>
      <c r="C3687" t="s">
        <v>24</v>
      </c>
      <c r="D3687" t="s">
        <v>25</v>
      </c>
      <c r="E3687" t="s">
        <v>23492</v>
      </c>
      <c r="F3687" s="2" t="n">
        <f>HYPERLINK("https://patents.google.com/patent/US20030065535","Google")</f>
        <v>0.0</v>
      </c>
      <c r="G3687" s="2" t="n">
        <f>HYPERLINK("https://patentcenter.uspto.gov/applications/10138068","Patent Center")</f>
        <v>0.0</v>
      </c>
      <c r="H3687" s="2" t="n">
        <f>HYPERLINK("https://worldwide.espacenet.com/patent/search?q=US20030065535","Espacenet")</f>
        <v>0.0</v>
      </c>
      <c r="I3687" s="2" t="n">
        <f>HYPERLINK("https://ppubs.uspto.gov/pubwebapp/external.html?q=20030065535.pn.","USPTO")</f>
        <v>0.0</v>
      </c>
      <c r="J3687" s="2" t="n">
        <f>HYPERLINK("https://image-ppubs.uspto.gov/dirsearch-public/print/downloadPdf/20030065535","USPTO PDF")</f>
        <v>0.0</v>
      </c>
      <c r="K3687" s="2" t="n">
        <f>HYPERLINK("https://sectors.patentforecast.com/pmd/US20030065535","PMD")</f>
        <v>0.0</v>
      </c>
      <c r="L3687" s="2" t="n">
        <f>HYPERLINK("https://globaldossier.uspto.gov/result/application/US/10138068/1","US20030065535")</f>
        <v>0.0</v>
      </c>
      <c r="M3687" t="s">
        <v>23493</v>
      </c>
      <c r="N3687" t="s">
        <v>22548</v>
      </c>
      <c r="O3687" t="s">
        <v>22549</v>
      </c>
      <c r="P3687" t="s">
        <v>23494</v>
      </c>
      <c r="Q3687" s="3" t="n">
        <v>37377.0</v>
      </c>
      <c r="R3687" s="3" t="n">
        <v>37714.0</v>
      </c>
      <c r="S3687" s="3" t="n">
        <v>43266.45738101852</v>
      </c>
      <c r="T3687" s="3" t="n">
        <v>43950.61215025463</v>
      </c>
      <c r="U3687" t="s">
        <v>22551</v>
      </c>
      <c r="V3687" t="s">
        <v>22552</v>
      </c>
    </row>
    <row r="3688">
      <c r="A3688" t="s">
        <v>22</v>
      </c>
      <c r="B3688" t="s">
        <v>23495</v>
      </c>
      <c r="C3688" t="s">
        <v>132</v>
      </c>
      <c r="D3688" t="s">
        <v>142</v>
      </c>
      <c r="E3688" t="s">
        <v>23496</v>
      </c>
      <c r="F3688" s="2" t="n">
        <f>HYPERLINK("https://patents.google.com/patent/US20030065362","Google")</f>
        <v>0.0</v>
      </c>
      <c r="G3688" s="2" t="n">
        <f>HYPERLINK("https://patentcenter.uspto.gov/applications/10141561","Patent Center")</f>
        <v>0.0</v>
      </c>
      <c r="H3688" s="2" t="n">
        <f>HYPERLINK("https://worldwide.espacenet.com/patent/search?q=US20030065362","Espacenet")</f>
        <v>0.0</v>
      </c>
      <c r="I3688" s="2" t="n">
        <f>HYPERLINK("https://ppubs.uspto.gov/pubwebapp/external.html?q=20030065362.pn.","USPTO")</f>
        <v>0.0</v>
      </c>
      <c r="J3688" s="2" t="n">
        <f>HYPERLINK("https://image-ppubs.uspto.gov/dirsearch-public/print/downloadPdf/20030065362","USPTO PDF")</f>
        <v>0.0</v>
      </c>
      <c r="K3688" s="2" t="n">
        <f>HYPERLINK("https://sectors.patentforecast.com/pmd/US20030065362","PMD")</f>
        <v>0.0</v>
      </c>
      <c r="L3688" s="2" t="n">
        <f>HYPERLINK("https://globaldossier.uspto.gov/result/application/US/10141561/1","US20030065362")</f>
        <v>0.0</v>
      </c>
      <c r="M3688" t="s">
        <v>23497</v>
      </c>
      <c r="N3688" t="s">
        <v>23375</v>
      </c>
      <c r="O3688" t="s">
        <v>23376</v>
      </c>
      <c r="P3688" t="s">
        <v>23498</v>
      </c>
      <c r="Q3688" s="3" t="n">
        <v>37383.0</v>
      </c>
      <c r="R3688" s="3" t="n">
        <v>37714.0</v>
      </c>
      <c r="S3688" s="3" t="n">
        <v>43936.4604880787</v>
      </c>
      <c r="T3688" s="3" t="n">
        <v>44543.67343592593</v>
      </c>
      <c r="U3688" t="s">
        <v>23499</v>
      </c>
      <c r="V3688" t="s">
        <v>23500</v>
      </c>
    </row>
    <row r="3689">
      <c r="A3689" t="s">
        <v>22</v>
      </c>
      <c r="B3689" t="s">
        <v>23501</v>
      </c>
      <c r="C3689" t="s">
        <v>60</v>
      </c>
      <c r="D3689" t="s">
        <v>61</v>
      </c>
      <c r="E3689" t="s">
        <v>23502</v>
      </c>
      <c r="F3689" s="2" t="n">
        <f>HYPERLINK("https://patents.google.com/patent/US20030049275","Google")</f>
        <v>0.0</v>
      </c>
      <c r="G3689" s="2" t="n">
        <f>HYPERLINK("https://patentcenter.uspto.gov/applications/10115653","Patent Center")</f>
        <v>0.0</v>
      </c>
      <c r="H3689" s="2" t="n">
        <f>HYPERLINK("https://worldwide.espacenet.com/patent/search?q=US20030049275","Espacenet")</f>
        <v>0.0</v>
      </c>
      <c r="I3689" s="2" t="n">
        <f>HYPERLINK("https://ppubs.uspto.gov/pubwebapp/external.html?q=20030049275.pn.","USPTO")</f>
        <v>0.0</v>
      </c>
      <c r="J3689" s="2" t="n">
        <f>HYPERLINK("https://image-ppubs.uspto.gov/dirsearch-public/print/downloadPdf/20030049275","USPTO PDF")</f>
        <v>0.0</v>
      </c>
      <c r="K3689" s="2" t="n">
        <f>HYPERLINK("https://sectors.patentforecast.com/pmd/US20030049275","PMD")</f>
        <v>0.0</v>
      </c>
      <c r="L3689" s="2" t="n">
        <f>HYPERLINK("https://globaldossier.uspto.gov/result/application/US/10115653/1","US20030049275")</f>
        <v>0.0</v>
      </c>
      <c r="M3689" t="s">
        <v>23503</v>
      </c>
      <c r="N3689" t="s">
        <v>23504</v>
      </c>
      <c r="O3689" t="s">
        <v>23505</v>
      </c>
      <c r="P3689" t="s">
        <v>23506</v>
      </c>
      <c r="Q3689" s="3" t="n">
        <v>37343.0</v>
      </c>
      <c r="R3689" s="3" t="n">
        <v>37693.0</v>
      </c>
      <c r="S3689" s="3" t="n">
        <v>43900.43738920139</v>
      </c>
      <c r="T3689" s="3" t="n">
        <v>43903.48463230324</v>
      </c>
      <c r="U3689" t="s">
        <v>23507</v>
      </c>
      <c r="V3689" t="s">
        <v>23508</v>
      </c>
    </row>
    <row r="3690">
      <c r="A3690" t="s">
        <v>22</v>
      </c>
      <c r="B3690" t="s">
        <v>23509</v>
      </c>
      <c r="C3690" t="s">
        <v>24</v>
      </c>
      <c r="D3690" t="s">
        <v>25</v>
      </c>
      <c r="E3690" t="s">
        <v>23510</v>
      </c>
      <c r="F3690" s="2" t="n">
        <f>HYPERLINK("https://patents.google.com/patent/US20030009239","Google")</f>
        <v>0.0</v>
      </c>
      <c r="G3690" s="2" t="n">
        <f>HYPERLINK("https://patentcenter.uspto.gov/applications/10130404","Patent Center")</f>
        <v>0.0</v>
      </c>
      <c r="H3690" s="2" t="n">
        <f>HYPERLINK("https://worldwide.espacenet.com/patent/search?q=US20030009239","Espacenet")</f>
        <v>0.0</v>
      </c>
      <c r="I3690" s="2" t="n">
        <f>HYPERLINK("https://ppubs.uspto.gov/pubwebapp/external.html?q=20030009239.pn.","USPTO")</f>
        <v>0.0</v>
      </c>
      <c r="J3690" s="2" t="n">
        <f>HYPERLINK("https://image-ppubs.uspto.gov/dirsearch-public/print/downloadPdf/20030009239","USPTO PDF")</f>
        <v>0.0</v>
      </c>
      <c r="K3690" s="2" t="n">
        <f>HYPERLINK("https://sectors.patentforecast.com/pmd/US20030009239","PMD")</f>
        <v>0.0</v>
      </c>
      <c r="L3690" s="2" t="n">
        <f>HYPERLINK("https://globaldossier.uspto.gov/result/application/US/10130404/1","US20030009239")</f>
        <v>0.0</v>
      </c>
      <c r="M3690" t="s">
        <v>23511</v>
      </c>
      <c r="N3690" t="s">
        <v>16349</v>
      </c>
      <c r="O3690" t="s">
        <v>16350</v>
      </c>
      <c r="P3690" t="s">
        <v>23512</v>
      </c>
      <c r="Q3690" s="3" t="n">
        <v>37391.0</v>
      </c>
      <c r="R3690" s="3" t="n">
        <v>37630.0</v>
      </c>
      <c r="S3690" s="3" t="n">
        <v>43266.45738101852</v>
      </c>
      <c r="T3690" s="3" t="n">
        <v>43903.49497314815</v>
      </c>
      <c r="U3690" t="s">
        <v>23513</v>
      </c>
      <c r="V3690" t="s">
        <v>23514</v>
      </c>
    </row>
    <row r="3691">
      <c r="A3691" t="s">
        <v>22</v>
      </c>
      <c r="B3691" t="s">
        <v>23515</v>
      </c>
      <c r="C3691" t="s">
        <v>24</v>
      </c>
      <c r="D3691" t="s">
        <v>25</v>
      </c>
      <c r="E3691" t="s">
        <v>23516</v>
      </c>
      <c r="F3691" s="2" t="n">
        <f>HYPERLINK("https://patents.google.com/patent/US20020193967","Google")</f>
        <v>0.0</v>
      </c>
      <c r="G3691" s="2" t="n">
        <f>HYPERLINK("https://patentcenter.uspto.gov/applications/09882886","Patent Center")</f>
        <v>0.0</v>
      </c>
      <c r="H3691" s="2" t="n">
        <f>HYPERLINK("https://worldwide.espacenet.com/patent/search?q=US20020193967","Espacenet")</f>
        <v>0.0</v>
      </c>
      <c r="I3691" s="2" t="n">
        <f>HYPERLINK("https://ppubs.uspto.gov/pubwebapp/external.html?q=20020193967.pn.","USPTO")</f>
        <v>0.0</v>
      </c>
      <c r="J3691" s="2" t="n">
        <f>HYPERLINK("https://image-ppubs.uspto.gov/dirsearch-public/print/downloadPdf/20020193967","USPTO PDF")</f>
        <v>0.0</v>
      </c>
      <c r="K3691" s="2" t="n">
        <f>HYPERLINK("https://sectors.patentforecast.com/pmd/US20020193967","PMD")</f>
        <v>0.0</v>
      </c>
      <c r="L3691" s="2" t="n">
        <f>HYPERLINK("https://globaldossier.uspto.gov/result/application/US/09882886/1","US20020193967")</f>
        <v>0.0</v>
      </c>
      <c r="M3691" t="s">
        <v>23517</v>
      </c>
      <c r="N3691" t="s">
        <v>22320</v>
      </c>
      <c r="O3691" t="s">
        <v>22321</v>
      </c>
      <c r="P3691" t="s">
        <v>23518</v>
      </c>
      <c r="Q3691" s="3" t="n">
        <v>37057.0</v>
      </c>
      <c r="R3691" s="3" t="n">
        <v>37609.0</v>
      </c>
      <c r="S3691" s="3" t="n">
        <v>43266.45738100694</v>
      </c>
      <c r="T3691" s="3" t="n">
        <v>43903.484632210646</v>
      </c>
      <c r="U3691" t="s">
        <v>23519</v>
      </c>
      <c r="V3691" t="s">
        <v>23520</v>
      </c>
    </row>
    <row r="3692">
      <c r="A3692" t="s">
        <v>22</v>
      </c>
      <c r="B3692" t="s">
        <v>23521</v>
      </c>
      <c r="C3692" t="s">
        <v>132</v>
      </c>
      <c r="D3692" t="s">
        <v>23522</v>
      </c>
      <c r="E3692" t="s">
        <v>23523</v>
      </c>
      <c r="F3692" s="2" t="n">
        <f>HYPERLINK("https://patents.google.com/patent/US20020146434","Google")</f>
        <v>0.0</v>
      </c>
      <c r="G3692" s="2" t="n">
        <f>HYPERLINK("https://patentcenter.uspto.gov/applications/09873233","Patent Center")</f>
        <v>0.0</v>
      </c>
      <c r="H3692" s="2" t="n">
        <f>HYPERLINK("https://worldwide.espacenet.com/patent/search?q=US20020146434","Espacenet")</f>
        <v>0.0</v>
      </c>
      <c r="I3692" s="2" t="n">
        <f>HYPERLINK("https://ppubs.uspto.gov/pubwebapp/external.html?q=20020146434.pn.","USPTO")</f>
        <v>0.0</v>
      </c>
      <c r="J3692" s="2" t="n">
        <f>HYPERLINK("https://image-ppubs.uspto.gov/dirsearch-public/print/downloadPdf/20020146434","USPTO PDF")</f>
        <v>0.0</v>
      </c>
      <c r="K3692" s="2" t="n">
        <f>HYPERLINK("https://sectors.patentforecast.com/pmd/US20020146434","PMD")</f>
        <v>0.0</v>
      </c>
      <c r="L3692" s="2" t="n">
        <f>HYPERLINK("https://globaldossier.uspto.gov/result/application/US/09873233/1","US20020146434")</f>
        <v>0.0</v>
      </c>
      <c r="M3692" t="s">
        <v>23524</v>
      </c>
      <c r="N3692" t="s">
        <v>23525</v>
      </c>
      <c r="O3692" t="s">
        <v>23526</v>
      </c>
      <c r="P3692" t="s">
        <v>23527</v>
      </c>
      <c r="Q3692" s="3" t="n">
        <v>37047.0</v>
      </c>
      <c r="R3692" s="3" t="n">
        <v>37539.0</v>
      </c>
      <c r="S3692" s="3" t="n">
        <v>43900.43738920139</v>
      </c>
      <c r="T3692" s="3" t="n">
        <v>43903.484632280095</v>
      </c>
      <c r="U3692" t="s">
        <v>23528</v>
      </c>
      <c r="V3692" t="s">
        <v>23529</v>
      </c>
    </row>
    <row r="3693">
      <c r="A3693" t="s">
        <v>22</v>
      </c>
      <c r="B3693" t="s">
        <v>23530</v>
      </c>
      <c r="C3693" t="s">
        <v>312</v>
      </c>
      <c r="D3693" t="s">
        <v>976</v>
      </c>
      <c r="E3693" t="s">
        <v>23531</v>
      </c>
      <c r="F3693" s="2" t="n">
        <f>HYPERLINK("https://patents.google.com/patent/US20020128860","Google")</f>
        <v>0.0</v>
      </c>
      <c r="G3693" s="2" t="n">
        <f>HYPERLINK("https://patentcenter.uspto.gov/applications/09754743","Patent Center")</f>
        <v>0.0</v>
      </c>
      <c r="H3693" s="2" t="n">
        <f>HYPERLINK("https://worldwide.espacenet.com/patent/search?q=US20020128860","Espacenet")</f>
        <v>0.0</v>
      </c>
      <c r="I3693" s="2" t="n">
        <f>HYPERLINK("https://ppubs.uspto.gov/pubwebapp/external.html?q=20020128860.pn.","USPTO")</f>
        <v>0.0</v>
      </c>
      <c r="J3693" s="2" t="n">
        <f>HYPERLINK("https://image-ppubs.uspto.gov/dirsearch-public/print/downloadPdf/20020128860","USPTO PDF")</f>
        <v>0.0</v>
      </c>
      <c r="K3693" s="2" t="n">
        <f>HYPERLINK("https://sectors.patentforecast.com/pmd/US20020128860","PMD")</f>
        <v>0.0</v>
      </c>
      <c r="L3693" s="2" t="n">
        <f>HYPERLINK("https://globaldossier.uspto.gov/result/application/US/09754743/1","US20020128860")</f>
        <v>0.0</v>
      </c>
      <c r="M3693" t="s">
        <v>23532</v>
      </c>
      <c r="N3693" t="s">
        <v>23533</v>
      </c>
      <c r="O3693" t="s">
        <v>23533</v>
      </c>
      <c r="P3693" t="s">
        <v>23534</v>
      </c>
      <c r="Q3693" s="3" t="n">
        <v>36895.0</v>
      </c>
      <c r="R3693" s="3" t="n">
        <v>37511.0</v>
      </c>
      <c r="S3693" s="3" t="n">
        <v>43266.45738100694</v>
      </c>
      <c r="T3693" s="3" t="n">
        <v>43950.55570480324</v>
      </c>
      <c r="U3693" t="s">
        <v>23535</v>
      </c>
      <c r="V3693" t="s">
        <v>23536</v>
      </c>
    </row>
    <row r="3694">
      <c r="A3694" t="s">
        <v>22</v>
      </c>
      <c r="B3694" t="s">
        <v>23537</v>
      </c>
      <c r="C3694" t="s">
        <v>24</v>
      </c>
      <c r="D3694" t="s">
        <v>1356</v>
      </c>
      <c r="E3694" t="s">
        <v>22023</v>
      </c>
      <c r="F3694" s="2" t="n">
        <f>HYPERLINK("https://patents.google.com/patent/US20020120408","Google")</f>
        <v>0.0</v>
      </c>
      <c r="G3694" s="2" t="n">
        <f>HYPERLINK("https://patentcenter.uspto.gov/applications/10073256","Patent Center")</f>
        <v>0.0</v>
      </c>
      <c r="H3694" s="2" t="n">
        <f>HYPERLINK("https://worldwide.espacenet.com/patent/search?q=US20020120408","Espacenet")</f>
        <v>0.0</v>
      </c>
      <c r="I3694" s="2" t="n">
        <f>HYPERLINK("https://ppubs.uspto.gov/pubwebapp/external.html?q=20020120408.pn.","USPTO")</f>
        <v>0.0</v>
      </c>
      <c r="J3694" s="2" t="n">
        <f>HYPERLINK("https://image-ppubs.uspto.gov/dirsearch-public/print/downloadPdf/20020120408","USPTO PDF")</f>
        <v>0.0</v>
      </c>
      <c r="K3694" s="2" t="n">
        <f>HYPERLINK("https://sectors.patentforecast.com/pmd/US20020120408","PMD")</f>
        <v>0.0</v>
      </c>
      <c r="L3694" s="2" t="n">
        <f>HYPERLINK("https://globaldossier.uspto.gov/result/application/US/10073256/1","US20020120408")</f>
        <v>0.0</v>
      </c>
      <c r="M3694" t="s">
        <v>23538</v>
      </c>
      <c r="N3694" t="s">
        <v>20175</v>
      </c>
      <c r="O3694" t="s">
        <v>20176</v>
      </c>
      <c r="P3694" t="s">
        <v>23539</v>
      </c>
      <c r="Q3694" s="3" t="n">
        <v>37300.0</v>
      </c>
      <c r="R3694" s="3" t="n">
        <v>37497.0</v>
      </c>
      <c r="S3694" s="3" t="n">
        <v>43266.45738100694</v>
      </c>
      <c r="T3694" s="3" t="n">
        <v>43903.49497315972</v>
      </c>
      <c r="U3694" t="s">
        <v>22026</v>
      </c>
      <c r="V3694" t="s">
        <v>22027</v>
      </c>
    </row>
    <row r="3695">
      <c r="A3695" t="s">
        <v>22</v>
      </c>
      <c r="B3695" t="s">
        <v>23540</v>
      </c>
      <c r="C3695" t="s">
        <v>60</v>
      </c>
      <c r="D3695" t="s">
        <v>61</v>
      </c>
      <c r="E3695" t="s">
        <v>23541</v>
      </c>
      <c r="F3695" s="2" t="n">
        <f>HYPERLINK("https://patents.google.com/patent/US20020037497","Google")</f>
        <v>0.0</v>
      </c>
      <c r="G3695" s="2" t="n">
        <f>HYPERLINK("https://patentcenter.uspto.gov/applications/08814866","Patent Center")</f>
        <v>0.0</v>
      </c>
      <c r="H3695" s="2" t="n">
        <f>HYPERLINK("https://worldwide.espacenet.com/patent/search?q=US20020037497","Espacenet")</f>
        <v>0.0</v>
      </c>
      <c r="I3695" s="2" t="n">
        <f>HYPERLINK("https://ppubs.uspto.gov/pubwebapp/external.html?q=20020037497.pn.","USPTO")</f>
        <v>0.0</v>
      </c>
      <c r="J3695" s="2" t="n">
        <f>HYPERLINK("https://image-ppubs.uspto.gov/dirsearch-public/print/downloadPdf/20020037497","USPTO PDF")</f>
        <v>0.0</v>
      </c>
      <c r="K3695" s="2" t="n">
        <f>HYPERLINK("https://sectors.patentforecast.com/pmd/US20020037497","PMD")</f>
        <v>0.0</v>
      </c>
      <c r="L3695" s="2" t="n">
        <f>HYPERLINK("https://globaldossier.uspto.gov/result/application/US/08814866/1","US20020037497")</f>
        <v>0.0</v>
      </c>
      <c r="M3695" t="s">
        <v>23542</v>
      </c>
      <c r="N3695" t="s">
        <v>23543</v>
      </c>
      <c r="O3695" t="s">
        <v>23543</v>
      </c>
      <c r="P3695" t="s">
        <v>23544</v>
      </c>
      <c r="Q3695" s="3" t="n">
        <v>35500.0</v>
      </c>
      <c r="R3695" s="3" t="n">
        <v>37343.0</v>
      </c>
      <c r="S3695" s="3" t="n">
        <v>43966.49140322916</v>
      </c>
      <c r="T3695" s="3" t="n">
        <v>44672.30752795139</v>
      </c>
      <c r="U3695" t="s">
        <v>23545</v>
      </c>
      <c r="V3695" t="s">
        <v>23546</v>
      </c>
    </row>
    <row r="3696">
      <c r="A3696" t="s">
        <v>22</v>
      </c>
      <c r="B3696" t="s">
        <v>23547</v>
      </c>
      <c r="C3696" t="s">
        <v>60</v>
      </c>
      <c r="D3696" t="s">
        <v>845</v>
      </c>
      <c r="E3696" t="s">
        <v>23452</v>
      </c>
      <c r="F3696" s="2" t="n">
        <f>HYPERLINK("https://patents.google.com/patent/US20010012913","Google")</f>
        <v>0.0</v>
      </c>
      <c r="G3696" s="2" t="n">
        <f>HYPERLINK("https://patentcenter.uspto.gov/applications/09818187","Patent Center")</f>
        <v>0.0</v>
      </c>
      <c r="H3696" s="2" t="n">
        <f>HYPERLINK("https://worldwide.espacenet.com/patent/search?q=US20010012913","Espacenet")</f>
        <v>0.0</v>
      </c>
      <c r="I3696" s="2" t="n">
        <f>HYPERLINK("https://ppubs.uspto.gov/pubwebapp/external.html?q=20010012913.pn.","USPTO")</f>
        <v>0.0</v>
      </c>
      <c r="J3696" s="2" t="n">
        <f>HYPERLINK("https://image-ppubs.uspto.gov/dirsearch-public/print/downloadPdf/20010012913","USPTO PDF")</f>
        <v>0.0</v>
      </c>
      <c r="K3696" s="2" t="n">
        <f>HYPERLINK("https://sectors.patentforecast.com/pmd/US20010012913","PMD")</f>
        <v>0.0</v>
      </c>
      <c r="L3696" s="2" t="n">
        <f>HYPERLINK("https://globaldossier.uspto.gov/result/application/US/09818187/1","US20010012913")</f>
        <v>0.0</v>
      </c>
      <c r="M3696" t="s">
        <v>23548</v>
      </c>
      <c r="N3696" t="s">
        <v>23549</v>
      </c>
      <c r="O3696" t="s">
        <v>23550</v>
      </c>
      <c r="P3696" t="s">
        <v>23454</v>
      </c>
      <c r="Q3696" s="3" t="n">
        <v>36976.0</v>
      </c>
      <c r="R3696" s="3" t="n">
        <v>37112.0</v>
      </c>
      <c r="S3696" s="3" t="n">
        <v>43906.37291280093</v>
      </c>
      <c r="T3696" s="3" t="n">
        <v>44643.42310893519</v>
      </c>
      <c r="U3696" t="s">
        <v>22838</v>
      </c>
      <c r="V3696" t="s">
        <v>22839</v>
      </c>
    </row>
    <row r="3697">
      <c r="A3697" t="s">
        <v>22</v>
      </c>
      <c r="B3697" t="s">
        <v>23551</v>
      </c>
      <c r="C3697" t="s">
        <v>60</v>
      </c>
      <c r="D3697" t="s">
        <v>61</v>
      </c>
      <c r="E3697" t="s">
        <v>23552</v>
      </c>
      <c r="F3697" s="2" t="n">
        <f>HYPERLINK("https://patents.google.com/patent/US20010006681","Google")</f>
        <v>0.0</v>
      </c>
      <c r="G3697" s="2" t="n">
        <f>HYPERLINK("https://patentcenter.uspto.gov/applications/09747142","Patent Center")</f>
        <v>0.0</v>
      </c>
      <c r="H3697" s="2" t="n">
        <f>HYPERLINK("https://worldwide.espacenet.com/patent/search?q=US20010006681","Espacenet")</f>
        <v>0.0</v>
      </c>
      <c r="I3697" s="2" t="n">
        <f>HYPERLINK("https://ppubs.uspto.gov/pubwebapp/external.html?q=20010006681.pn.","USPTO")</f>
        <v>0.0</v>
      </c>
      <c r="J3697" s="2" t="n">
        <f>HYPERLINK("https://image-ppubs.uspto.gov/dirsearch-public/print/downloadPdf/20010006681","USPTO PDF")</f>
        <v>0.0</v>
      </c>
      <c r="K3697" s="2" t="n">
        <f>HYPERLINK("https://sectors.patentforecast.com/pmd/US20010006681","PMD")</f>
        <v>0.0</v>
      </c>
      <c r="L3697" s="2" t="n">
        <f>HYPERLINK("https://globaldossier.uspto.gov/result/application/US/09747142/1","US20010006681")</f>
        <v>0.0</v>
      </c>
      <c r="M3697" t="s">
        <v>23553</v>
      </c>
      <c r="N3697" t="s">
        <v>3334</v>
      </c>
      <c r="O3697" t="s">
        <v>3335</v>
      </c>
      <c r="P3697" t="s">
        <v>23554</v>
      </c>
      <c r="Q3697" s="3" t="n">
        <v>36882.0</v>
      </c>
      <c r="R3697" s="3" t="n">
        <v>37077.0</v>
      </c>
      <c r="S3697" s="3" t="n">
        <v>43966.49140322916</v>
      </c>
      <c r="T3697" s="3" t="n">
        <v>44672.34393340278</v>
      </c>
      <c r="U3697" t="s">
        <v>23555</v>
      </c>
      <c r="V3697" t="s">
        <v>23556</v>
      </c>
    </row>
    <row r="3698">
      <c r="A3698" t="s">
        <v>23557</v>
      </c>
      <c r="B3698" t="s">
        <v>23558</v>
      </c>
      <c r="C3698" t="s">
        <v>60</v>
      </c>
      <c r="D3698" t="s">
        <v>61</v>
      </c>
      <c r="E3698" t="s">
        <v>23559</v>
      </c>
      <c r="F3698" s="2" t="n">
        <f>HYPERLINK("https://patents.google.com/patent/USRE47351","Google")</f>
        <v>0.0</v>
      </c>
      <c r="G3698" s="2" t="n">
        <f>HYPERLINK("https://patentcenter.uspto.gov/applications/15635017","Patent Center")</f>
        <v>0.0</v>
      </c>
      <c r="H3698" s="2" t="n">
        <f>HYPERLINK("https://worldwide.espacenet.com/patent/search?q=USRE47351","Espacenet")</f>
        <v>0.0</v>
      </c>
      <c r="I3698" s="2" t="n">
        <f>HYPERLINK("https://ppubs.uspto.gov/pubwebapp/external.html?q=RE47351.pn.","USPTO")</f>
        <v>0.0</v>
      </c>
      <c r="J3698" s="2" t="n">
        <f>HYPERLINK("https://image-ppubs.uspto.gov/dirsearch-public/print/downloadPdf/RE47351","USPTO PDF")</f>
        <v>0.0</v>
      </c>
      <c r="K3698" s="2" t="n">
        <f>HYPERLINK("https://sectors.patentforecast.com/pmd/USRE47351","PMD")</f>
        <v>0.0</v>
      </c>
      <c r="L3698" s="2" t="n">
        <f>HYPERLINK("https://globaldossier.uspto.gov/result/patent/US/RE47351/1","USRE47351")</f>
        <v>0.0</v>
      </c>
      <c r="M3698" t="s">
        <v>23560</v>
      </c>
      <c r="N3698" t="s">
        <v>664</v>
      </c>
      <c r="O3698" t="s">
        <v>665</v>
      </c>
      <c r="P3698" t="s">
        <v>23561</v>
      </c>
      <c r="Q3698" s="3" t="n">
        <v>42913.0</v>
      </c>
      <c r="R3698" s="3" t="n">
        <v>43571.0</v>
      </c>
      <c r="S3698" s="3" t="n">
        <v>43952.45951180556</v>
      </c>
      <c r="T3698" s="3" t="n">
        <v>44678.59625119213</v>
      </c>
      <c r="U3698" t="s">
        <v>31</v>
      </c>
      <c r="V3698" t="s">
        <v>23562</v>
      </c>
    </row>
    <row r="3699">
      <c r="A3699" t="s">
        <v>23557</v>
      </c>
      <c r="B3699" t="s">
        <v>23563</v>
      </c>
      <c r="C3699" t="s">
        <v>60</v>
      </c>
      <c r="D3699" t="s">
        <v>61</v>
      </c>
      <c r="E3699" t="s">
        <v>23564</v>
      </c>
      <c r="F3699" s="2" t="n">
        <f>HYPERLINK("https://patents.google.com/patent/USRE47334","Google")</f>
        <v>0.0</v>
      </c>
      <c r="G3699" s="2" t="n">
        <f>HYPERLINK("https://patentcenter.uspto.gov/applications/15715080","Patent Center")</f>
        <v>0.0</v>
      </c>
      <c r="H3699" s="2" t="n">
        <f>HYPERLINK("https://worldwide.espacenet.com/patent/search?q=USRE47334","Espacenet")</f>
        <v>0.0</v>
      </c>
      <c r="I3699" s="2" t="n">
        <f>HYPERLINK("https://ppubs.uspto.gov/pubwebapp/external.html?q=RE47334.pn.","USPTO")</f>
        <v>0.0</v>
      </c>
      <c r="J3699" s="2" t="n">
        <f>HYPERLINK("https://image-ppubs.uspto.gov/dirsearch-public/print/downloadPdf/RE47334","USPTO PDF")</f>
        <v>0.0</v>
      </c>
      <c r="K3699" s="2" t="n">
        <f>HYPERLINK("https://sectors.patentforecast.com/pmd/USRE47334","PMD")</f>
        <v>0.0</v>
      </c>
      <c r="L3699" s="2" t="n">
        <f>HYPERLINK("https://globaldossier.uspto.gov/result/patent/US/RE47334/1","USRE47334")</f>
        <v>0.0</v>
      </c>
      <c r="M3699" t="s">
        <v>23565</v>
      </c>
      <c r="N3699" t="s">
        <v>19174</v>
      </c>
      <c r="O3699" t="s">
        <v>19175</v>
      </c>
      <c r="P3699" t="s">
        <v>23566</v>
      </c>
      <c r="Q3699" s="3" t="n">
        <v>43003.0</v>
      </c>
      <c r="R3699" s="3" t="n">
        <v>43557.0</v>
      </c>
      <c r="S3699" s="3" t="n">
        <v>43957.459709930554</v>
      </c>
      <c r="T3699" s="3" t="n">
        <v>44638.65643378472</v>
      </c>
      <c r="U3699" t="s">
        <v>23567</v>
      </c>
      <c r="V3699" t="s">
        <v>23568</v>
      </c>
    </row>
    <row r="3700">
      <c r="A3700" t="s">
        <v>23557</v>
      </c>
      <c r="B3700" t="s">
        <v>23569</v>
      </c>
      <c r="C3700" t="s">
        <v>60</v>
      </c>
      <c r="D3700" t="s">
        <v>61</v>
      </c>
      <c r="E3700" t="s">
        <v>23570</v>
      </c>
      <c r="F3700" s="2" t="n">
        <f>HYPERLINK("https://patents.google.com/patent/USRE46762","Google")</f>
        <v>0.0</v>
      </c>
      <c r="G3700" s="2" t="n">
        <f>HYPERLINK("https://patentcenter.uspto.gov/applications/15288271","Patent Center")</f>
        <v>0.0</v>
      </c>
      <c r="H3700" s="2" t="n">
        <f>HYPERLINK("https://worldwide.espacenet.com/patent/search?q=USRE46762","Espacenet")</f>
        <v>0.0</v>
      </c>
      <c r="I3700" s="2" t="n">
        <f>HYPERLINK("https://ppubs.uspto.gov/pubwebapp/external.html?q=RE46762.pn.","USPTO")</f>
        <v>0.0</v>
      </c>
      <c r="J3700" s="2" t="n">
        <f>HYPERLINK("https://image-ppubs.uspto.gov/dirsearch-public/print/downloadPdf/RE46762","USPTO PDF")</f>
        <v>0.0</v>
      </c>
      <c r="K3700" s="2" t="n">
        <f>HYPERLINK("https://sectors.patentforecast.com/pmd/USRE46762","PMD")</f>
        <v>0.0</v>
      </c>
      <c r="L3700" s="2" t="n">
        <f>HYPERLINK("https://globaldossier.uspto.gov/result/patent/US/RE46762/1","USRE46762")</f>
        <v>0.0</v>
      </c>
      <c r="M3700" t="s">
        <v>23571</v>
      </c>
      <c r="N3700" t="s">
        <v>664</v>
      </c>
      <c r="O3700" t="s">
        <v>665</v>
      </c>
      <c r="P3700" t="s">
        <v>23572</v>
      </c>
      <c r="Q3700" s="3" t="n">
        <v>42650.0</v>
      </c>
      <c r="R3700" s="3" t="n">
        <v>43186.0</v>
      </c>
      <c r="S3700" s="3" t="n">
        <v>43957.460613773146</v>
      </c>
      <c r="T3700" s="3" t="n">
        <v>44638.65271974537</v>
      </c>
      <c r="U3700" t="s">
        <v>23573</v>
      </c>
      <c r="V3700" t="s">
        <v>20933</v>
      </c>
    </row>
    <row r="3701">
      <c r="A3701" t="s">
        <v>23557</v>
      </c>
      <c r="B3701" t="s">
        <v>23574</v>
      </c>
      <c r="C3701" t="s">
        <v>60</v>
      </c>
      <c r="D3701" t="s">
        <v>61</v>
      </c>
      <c r="E3701" t="s">
        <v>23575</v>
      </c>
      <c r="F3701" s="2" t="n">
        <f>HYPERLINK("https://patents.google.com/patent/USRE38333","Google")</f>
        <v>0.0</v>
      </c>
      <c r="G3701" s="2" t="n">
        <f>HYPERLINK("https://patentcenter.uspto.gov/applications/10159888","Patent Center")</f>
        <v>0.0</v>
      </c>
      <c r="H3701" s="2" t="n">
        <f>HYPERLINK("https://worldwide.espacenet.com/patent/search?q=USRE38333","Espacenet")</f>
        <v>0.0</v>
      </c>
      <c r="I3701" s="2" t="n">
        <f>HYPERLINK("https://ppubs.uspto.gov/pubwebapp/external.html?q=RE38333.pn.","USPTO")</f>
        <v>0.0</v>
      </c>
      <c r="J3701" s="2" t="n">
        <f>HYPERLINK("https://image-ppubs.uspto.gov/dirsearch-public/print/downloadPdf/RE38333","USPTO PDF")</f>
        <v>0.0</v>
      </c>
      <c r="K3701" s="2" t="n">
        <f>HYPERLINK("https://sectors.patentforecast.com/pmd/USRE38333","PMD")</f>
        <v>0.0</v>
      </c>
      <c r="L3701" s="2" t="n">
        <f>HYPERLINK("https://globaldossier.uspto.gov/result/patent/US/RE38333/1","USRE38333")</f>
        <v>0.0</v>
      </c>
      <c r="M3701" t="s">
        <v>23576</v>
      </c>
      <c r="N3701" t="s">
        <v>664</v>
      </c>
      <c r="O3701" t="s">
        <v>665</v>
      </c>
      <c r="P3701" t="s">
        <v>23577</v>
      </c>
      <c r="Q3701" s="3" t="n">
        <v>37405.0</v>
      </c>
      <c r="R3701" s="3" t="n">
        <v>37950.0</v>
      </c>
      <c r="S3701" s="3" t="n">
        <v>43950.647372685184</v>
      </c>
      <c r="T3701" s="3" t="n">
        <v>44638.65271974537</v>
      </c>
      <c r="U3701" t="s">
        <v>23578</v>
      </c>
      <c r="V3701" t="s">
        <v>23579</v>
      </c>
    </row>
    <row r="3702">
      <c r="A3702" t="s">
        <v>23557</v>
      </c>
      <c r="B3702" t="s">
        <v>23580</v>
      </c>
      <c r="C3702" t="s">
        <v>24</v>
      </c>
      <c r="D3702" t="s">
        <v>1356</v>
      </c>
      <c r="E3702" t="s">
        <v>23581</v>
      </c>
      <c r="F3702" s="2" t="n">
        <f>HYPERLINK("https://patents.google.com/patent/USD881233","Google")</f>
        <v>0.0</v>
      </c>
      <c r="G3702" s="2" t="n">
        <f>HYPERLINK("https://patentcenter.uspto.gov/applications/D650172","Patent Center")</f>
        <v>0.0</v>
      </c>
      <c r="H3702" s="2" t="n">
        <f>HYPERLINK("https://worldwide.espacenet.com/patent/search?q=USD881233","Espacenet")</f>
        <v>0.0</v>
      </c>
      <c r="I3702" s="2" t="n">
        <f>HYPERLINK("https://ppubs.uspto.gov/pubwebapp/external.html?q=D881233.pn.","USPTO")</f>
        <v>0.0</v>
      </c>
      <c r="J3702" s="2" t="n">
        <f>HYPERLINK("https://image-ppubs.uspto.gov/dirsearch-public/print/downloadPdf/D881233","USPTO PDF")</f>
        <v>0.0</v>
      </c>
      <c r="K3702" s="2" t="n">
        <f>HYPERLINK("https://sectors.patentforecast.com/pmd/USD881233","PMD")</f>
        <v>0.0</v>
      </c>
      <c r="L3702" s="2" t="n">
        <f>HYPERLINK("https://globaldossier.uspto.gov/result/patent/US/D881233/1","USD881233")</f>
        <v>0.0</v>
      </c>
      <c r="M3702" t="s">
        <v>23582</v>
      </c>
      <c r="N3702" t="s">
        <v>17502</v>
      </c>
      <c r="O3702" t="s">
        <v>17503</v>
      </c>
      <c r="P3702" t="s">
        <v>23583</v>
      </c>
      <c r="Q3702" s="3" t="n">
        <v>43256.0</v>
      </c>
      <c r="R3702" s="3" t="n">
        <v>43935.0</v>
      </c>
      <c r="S3702" s="3" t="n">
        <v>43943.45870012732</v>
      </c>
      <c r="T3702" s="3" t="n">
        <v>43985.41263855324</v>
      </c>
      <c r="U3702" t="s">
        <v>23584</v>
      </c>
      <c r="V3702" t="s">
        <v>31</v>
      </c>
    </row>
    <row r="3703">
      <c r="A3703" t="s">
        <v>23557</v>
      </c>
      <c r="B3703" t="s">
        <v>23585</v>
      </c>
      <c r="C3703" t="s">
        <v>60</v>
      </c>
      <c r="D3703" t="s">
        <v>696</v>
      </c>
      <c r="E3703" t="s">
        <v>21604</v>
      </c>
      <c r="F3703" s="2" t="n">
        <f>HYPERLINK("https://patents.google.com/patent/US9994635","Google")</f>
        <v>0.0</v>
      </c>
      <c r="G3703" s="2" t="n">
        <f>HYPERLINK("https://patentcenter.uspto.gov/applications/14988337","Patent Center")</f>
        <v>0.0</v>
      </c>
      <c r="H3703" s="2" t="n">
        <f>HYPERLINK("https://worldwide.espacenet.com/patent/search?q=US9994635","Espacenet")</f>
        <v>0.0</v>
      </c>
      <c r="I3703" s="2" t="n">
        <f>HYPERLINK("https://ppubs.uspto.gov/pubwebapp/external.html?q=9994635.pn.","USPTO")</f>
        <v>0.0</v>
      </c>
      <c r="J3703" s="2" t="n">
        <f>HYPERLINK("https://image-ppubs.uspto.gov/dirsearch-public/print/downloadPdf/9994635","USPTO PDF")</f>
        <v>0.0</v>
      </c>
      <c r="K3703" s="2" t="n">
        <f>HYPERLINK("https://sectors.patentforecast.com/pmd/US9994635","PMD")</f>
        <v>0.0</v>
      </c>
      <c r="L3703" s="2" t="n">
        <f>HYPERLINK("https://globaldossier.uspto.gov/result/patent/US/9994635/1","US9994635")</f>
        <v>0.0</v>
      </c>
      <c r="M3703" t="s">
        <v>19447</v>
      </c>
      <c r="N3703" t="s">
        <v>16927</v>
      </c>
      <c r="O3703" t="s">
        <v>16928</v>
      </c>
      <c r="P3703" t="s">
        <v>23586</v>
      </c>
      <c r="Q3703" s="3" t="n">
        <v>42374.0</v>
      </c>
      <c r="R3703" s="3" t="n">
        <v>43263.0</v>
      </c>
      <c r="S3703" s="3" t="n">
        <v>43966.486089791666</v>
      </c>
      <c r="T3703" s="3" t="n">
        <v>44643.44490069444</v>
      </c>
      <c r="U3703" t="s">
        <v>23587</v>
      </c>
      <c r="V3703" t="s">
        <v>16961</v>
      </c>
    </row>
    <row r="3704">
      <c r="A3704" t="s">
        <v>23557</v>
      </c>
      <c r="B3704" t="s">
        <v>23588</v>
      </c>
      <c r="C3704" t="s">
        <v>132</v>
      </c>
      <c r="D3704" t="s">
        <v>2629</v>
      </c>
      <c r="E3704" t="s">
        <v>23589</v>
      </c>
      <c r="F3704" s="2" t="n">
        <f>HYPERLINK("https://patents.google.com/patent/US9993545","Google")</f>
        <v>0.0</v>
      </c>
      <c r="G3704" s="2" t="n">
        <f>HYPERLINK("https://patentcenter.uspto.gov/applications/14774356","Patent Center")</f>
        <v>0.0</v>
      </c>
      <c r="H3704" s="2" t="n">
        <f>HYPERLINK("https://worldwide.espacenet.com/patent/search?q=US9993545","Espacenet")</f>
        <v>0.0</v>
      </c>
      <c r="I3704" s="2" t="n">
        <f>HYPERLINK("https://ppubs.uspto.gov/pubwebapp/external.html?q=9993545.pn.","USPTO")</f>
        <v>0.0</v>
      </c>
      <c r="J3704" s="2" t="n">
        <f>HYPERLINK("https://image-ppubs.uspto.gov/dirsearch-public/print/downloadPdf/9993545","USPTO PDF")</f>
        <v>0.0</v>
      </c>
      <c r="K3704" s="2" t="n">
        <f>HYPERLINK("https://sectors.patentforecast.com/pmd/US9993545","PMD")</f>
        <v>0.0</v>
      </c>
      <c r="L3704" s="2" t="n">
        <f>HYPERLINK("https://globaldossier.uspto.gov/result/patent/US/9993545/1","US9993545")</f>
        <v>0.0</v>
      </c>
      <c r="M3704" t="s">
        <v>19831</v>
      </c>
      <c r="N3704" t="s">
        <v>10151</v>
      </c>
      <c r="O3704" t="s">
        <v>10152</v>
      </c>
      <c r="P3704" t="s">
        <v>23590</v>
      </c>
      <c r="Q3704" s="3" t="n">
        <v>41715.0</v>
      </c>
      <c r="R3704" s="3" t="n">
        <v>43263.0</v>
      </c>
      <c r="S3704" s="3" t="n">
        <v>43936.4602653125</v>
      </c>
      <c r="T3704" s="3" t="n">
        <v>44543.66998335648</v>
      </c>
      <c r="U3704" t="s">
        <v>23591</v>
      </c>
      <c r="V3704" t="s">
        <v>23592</v>
      </c>
    </row>
    <row r="3705">
      <c r="A3705" t="s">
        <v>23557</v>
      </c>
      <c r="B3705" t="s">
        <v>23593</v>
      </c>
      <c r="C3705" t="s">
        <v>132</v>
      </c>
      <c r="D3705" t="s">
        <v>2629</v>
      </c>
      <c r="E3705" t="s">
        <v>23594</v>
      </c>
      <c r="F3705" s="2" t="n">
        <f>HYPERLINK("https://patents.google.com/patent/US9987347","Google")</f>
        <v>0.0</v>
      </c>
      <c r="G3705" s="2" t="n">
        <f>HYPERLINK("https://patentcenter.uspto.gov/applications/14775069","Patent Center")</f>
        <v>0.0</v>
      </c>
      <c r="H3705" s="2" t="n">
        <f>HYPERLINK("https://worldwide.espacenet.com/patent/search?q=US9987347","Espacenet")</f>
        <v>0.0</v>
      </c>
      <c r="I3705" s="2" t="n">
        <f>HYPERLINK("https://ppubs.uspto.gov/pubwebapp/external.html?q=9987347.pn.","USPTO")</f>
        <v>0.0</v>
      </c>
      <c r="J3705" s="2" t="n">
        <f>HYPERLINK("https://image-ppubs.uspto.gov/dirsearch-public/print/downloadPdf/9987347","USPTO PDF")</f>
        <v>0.0</v>
      </c>
      <c r="K3705" s="2" t="n">
        <f>HYPERLINK("https://sectors.patentforecast.com/pmd/US9987347","PMD")</f>
        <v>0.0</v>
      </c>
      <c r="L3705" s="2" t="n">
        <f>HYPERLINK("https://globaldossier.uspto.gov/result/patent/US/9987347/1","US9987347")</f>
        <v>0.0</v>
      </c>
      <c r="M3705" t="s">
        <v>19916</v>
      </c>
      <c r="N3705" t="s">
        <v>2541</v>
      </c>
      <c r="O3705" t="s">
        <v>2542</v>
      </c>
      <c r="P3705" t="s">
        <v>23595</v>
      </c>
      <c r="Q3705" s="3" t="n">
        <v>41712.0</v>
      </c>
      <c r="R3705" s="3" t="n">
        <v>43256.0</v>
      </c>
      <c r="S3705" s="3" t="n">
        <v>43936.4602653125</v>
      </c>
      <c r="T3705" s="3" t="n">
        <v>44543.68328877315</v>
      </c>
      <c r="U3705" t="s">
        <v>23596</v>
      </c>
      <c r="V3705" t="s">
        <v>23597</v>
      </c>
    </row>
    <row r="3706">
      <c r="A3706" t="s">
        <v>23557</v>
      </c>
      <c r="B3706" t="s">
        <v>23598</v>
      </c>
      <c r="C3706" t="s">
        <v>312</v>
      </c>
      <c r="D3706" t="s">
        <v>3202</v>
      </c>
      <c r="E3706" t="s">
        <v>23599</v>
      </c>
      <c r="F3706" s="2" t="n">
        <f>HYPERLINK("https://patents.google.com/patent/US9984214","Google")</f>
        <v>0.0</v>
      </c>
      <c r="G3706" s="2" t="n">
        <f>HYPERLINK("https://patentcenter.uspto.gov/applications/14175060","Patent Center")</f>
        <v>0.0</v>
      </c>
      <c r="H3706" s="2" t="n">
        <f>HYPERLINK("https://worldwide.espacenet.com/patent/search?q=US9984214","Espacenet")</f>
        <v>0.0</v>
      </c>
      <c r="I3706" s="2" t="n">
        <f>HYPERLINK("https://ppubs.uspto.gov/pubwebapp/external.html?q=9984214.pn.","USPTO")</f>
        <v>0.0</v>
      </c>
      <c r="J3706" s="2" t="n">
        <f>HYPERLINK("https://image-ppubs.uspto.gov/dirsearch-public/print/downloadPdf/9984214","USPTO PDF")</f>
        <v>0.0</v>
      </c>
      <c r="K3706" s="2" t="n">
        <f>HYPERLINK("https://sectors.patentforecast.com/pmd/US9984214","PMD")</f>
        <v>0.0</v>
      </c>
      <c r="L3706" s="2" t="n">
        <f>HYPERLINK("https://globaldossier.uspto.gov/result/patent/US/9984214/1","US9984214")</f>
        <v>0.0</v>
      </c>
      <c r="M3706" t="s">
        <v>20712</v>
      </c>
      <c r="N3706" t="s">
        <v>17334</v>
      </c>
      <c r="O3706" t="s">
        <v>17335</v>
      </c>
      <c r="P3706" t="s">
        <v>23600</v>
      </c>
      <c r="Q3706" s="3" t="n">
        <v>41677.0</v>
      </c>
      <c r="R3706" s="3" t="n">
        <v>43249.0</v>
      </c>
      <c r="S3706" s="3" t="n">
        <v>43266.4573530787</v>
      </c>
      <c r="T3706" s="3" t="n">
        <v>44643.651441539354</v>
      </c>
      <c r="U3706" t="s">
        <v>23601</v>
      </c>
      <c r="V3706" t="s">
        <v>17584</v>
      </c>
    </row>
    <row r="3707">
      <c r="A3707" t="s">
        <v>23557</v>
      </c>
      <c r="B3707" t="s">
        <v>23602</v>
      </c>
      <c r="C3707" t="s">
        <v>60</v>
      </c>
      <c r="D3707" t="s">
        <v>61</v>
      </c>
      <c r="E3707" t="s">
        <v>23603</v>
      </c>
      <c r="F3707" s="2" t="n">
        <f>HYPERLINK("https://patents.google.com/patent/US9982006","Google")</f>
        <v>0.0</v>
      </c>
      <c r="G3707" s="2" t="n">
        <f>HYPERLINK("https://patentcenter.uspto.gov/applications/15441561","Patent Center")</f>
        <v>0.0</v>
      </c>
      <c r="H3707" s="2" t="n">
        <f>HYPERLINK("https://worldwide.espacenet.com/patent/search?q=US9982006","Espacenet")</f>
        <v>0.0</v>
      </c>
      <c r="I3707" s="2" t="n">
        <f>HYPERLINK("https://ppubs.uspto.gov/pubwebapp/external.html?q=9982006.pn.","USPTO")</f>
        <v>0.0</v>
      </c>
      <c r="J3707" s="2" t="n">
        <f>HYPERLINK("https://image-ppubs.uspto.gov/dirsearch-public/print/downloadPdf/9982006","USPTO PDF")</f>
        <v>0.0</v>
      </c>
      <c r="K3707" s="2" t="n">
        <f>HYPERLINK("https://sectors.patentforecast.com/pmd/US9982006","PMD")</f>
        <v>0.0</v>
      </c>
      <c r="L3707" s="2" t="n">
        <f>HYPERLINK("https://globaldossier.uspto.gov/result/patent/US/9982006/1","US9982006")</f>
        <v>0.0</v>
      </c>
      <c r="M3707" t="s">
        <v>18921</v>
      </c>
      <c r="N3707" t="s">
        <v>664</v>
      </c>
      <c r="O3707" t="s">
        <v>665</v>
      </c>
      <c r="P3707" t="s">
        <v>23604</v>
      </c>
      <c r="Q3707" s="3" t="n">
        <v>42790.0</v>
      </c>
      <c r="R3707" s="3" t="n">
        <v>43249.0</v>
      </c>
      <c r="S3707" s="3" t="n">
        <v>43957.460613773146</v>
      </c>
      <c r="T3707" s="3" t="n">
        <v>44544.41359534722</v>
      </c>
      <c r="U3707" t="s">
        <v>23605</v>
      </c>
      <c r="V3707" t="s">
        <v>23606</v>
      </c>
    </row>
    <row r="3708">
      <c r="A3708" t="s">
        <v>23557</v>
      </c>
      <c r="B3708" t="s">
        <v>23607</v>
      </c>
      <c r="C3708" t="s">
        <v>60</v>
      </c>
      <c r="D3708" t="s">
        <v>61</v>
      </c>
      <c r="E3708" t="s">
        <v>22432</v>
      </c>
      <c r="F3708" s="2" t="n">
        <f>HYPERLINK("https://patents.google.com/patent/US9981955","Google")</f>
        <v>0.0</v>
      </c>
      <c r="G3708" s="2" t="n">
        <f>HYPERLINK("https://patentcenter.uspto.gov/applications/15279303","Patent Center")</f>
        <v>0.0</v>
      </c>
      <c r="H3708" s="2" t="n">
        <f>HYPERLINK("https://worldwide.espacenet.com/patent/search?q=US9981955","Espacenet")</f>
        <v>0.0</v>
      </c>
      <c r="I3708" s="2" t="n">
        <f>HYPERLINK("https://ppubs.uspto.gov/pubwebapp/external.html?q=9981955.pn.","USPTO")</f>
        <v>0.0</v>
      </c>
      <c r="J3708" s="2" t="n">
        <f>HYPERLINK("https://image-ppubs.uspto.gov/dirsearch-public/print/downloadPdf/9981955","USPTO PDF")</f>
        <v>0.0</v>
      </c>
      <c r="K3708" s="2" t="n">
        <f>HYPERLINK("https://sectors.patentforecast.com/pmd/US9981955","PMD")</f>
        <v>0.0</v>
      </c>
      <c r="L3708" s="2" t="n">
        <f>HYPERLINK("https://globaldossier.uspto.gov/result/patent/US/9981955/1","US9981955")</f>
        <v>0.0</v>
      </c>
      <c r="M3708" t="s">
        <v>19398</v>
      </c>
      <c r="N3708" t="s">
        <v>664</v>
      </c>
      <c r="O3708" t="s">
        <v>665</v>
      </c>
      <c r="P3708" t="s">
        <v>23608</v>
      </c>
      <c r="Q3708" s="3" t="n">
        <v>42641.0</v>
      </c>
      <c r="R3708" s="3" t="n">
        <v>43249.0</v>
      </c>
      <c r="S3708" s="3" t="n">
        <v>43957.460613773146</v>
      </c>
      <c r="T3708" s="3" t="n">
        <v>44544.45550188657</v>
      </c>
      <c r="U3708" t="s">
        <v>23609</v>
      </c>
      <c r="V3708" t="s">
        <v>16907</v>
      </c>
    </row>
    <row r="3709">
      <c r="A3709" t="s">
        <v>23557</v>
      </c>
      <c r="B3709" t="s">
        <v>23610</v>
      </c>
      <c r="C3709" t="s">
        <v>24</v>
      </c>
      <c r="D3709" t="s">
        <v>25</v>
      </c>
      <c r="E3709" t="s">
        <v>23611</v>
      </c>
      <c r="F3709" s="2" t="n">
        <f>HYPERLINK("https://patents.google.com/patent/US9973834","Google")</f>
        <v>0.0</v>
      </c>
      <c r="G3709" s="2" t="n">
        <f>HYPERLINK("https://patentcenter.uspto.gov/applications/14507600","Patent Center")</f>
        <v>0.0</v>
      </c>
      <c r="H3709" s="2" t="n">
        <f>HYPERLINK("https://worldwide.espacenet.com/patent/search?q=US9973834","Espacenet")</f>
        <v>0.0</v>
      </c>
      <c r="I3709" s="2" t="n">
        <f>HYPERLINK("https://ppubs.uspto.gov/pubwebapp/external.html?q=9973834.pn.","USPTO")</f>
        <v>0.0</v>
      </c>
      <c r="J3709" s="2" t="n">
        <f>HYPERLINK("https://image-ppubs.uspto.gov/dirsearch-public/print/downloadPdf/9973834","USPTO PDF")</f>
        <v>0.0</v>
      </c>
      <c r="K3709" s="2" t="n">
        <f>HYPERLINK("https://sectors.patentforecast.com/pmd/US9973834","PMD")</f>
        <v>0.0</v>
      </c>
      <c r="L3709" s="2" t="n">
        <f>HYPERLINK("https://globaldossier.uspto.gov/result/patent/US/9973834/1","US9973834")</f>
        <v>0.0</v>
      </c>
      <c r="M3709" t="s">
        <v>23612</v>
      </c>
      <c r="N3709" t="s">
        <v>23613</v>
      </c>
      <c r="O3709" t="s">
        <v>23614</v>
      </c>
      <c r="P3709" t="s">
        <v>23615</v>
      </c>
      <c r="Q3709" s="3" t="n">
        <v>41918.0</v>
      </c>
      <c r="R3709" s="3" t="n">
        <v>43235.0</v>
      </c>
      <c r="S3709" s="3" t="n">
        <v>43908.45839354167</v>
      </c>
      <c r="T3709" s="3" t="n">
        <v>43950.55820131944</v>
      </c>
      <c r="U3709" t="s">
        <v>23616</v>
      </c>
      <c r="V3709" t="s">
        <v>23617</v>
      </c>
    </row>
    <row r="3710">
      <c r="A3710" t="s">
        <v>23557</v>
      </c>
      <c r="B3710" t="s">
        <v>23618</v>
      </c>
      <c r="C3710" t="s">
        <v>132</v>
      </c>
      <c r="D3710" t="s">
        <v>142</v>
      </c>
      <c r="E3710" t="s">
        <v>23619</v>
      </c>
      <c r="F3710" s="2" t="n">
        <f>HYPERLINK("https://patents.google.com/patent/US9962449","Google")</f>
        <v>0.0</v>
      </c>
      <c r="G3710" s="2" t="n">
        <f>HYPERLINK("https://patentcenter.uspto.gov/applications/15224474","Patent Center")</f>
        <v>0.0</v>
      </c>
      <c r="H3710" s="2" t="n">
        <f>HYPERLINK("https://worldwide.espacenet.com/patent/search?q=US9962449","Espacenet")</f>
        <v>0.0</v>
      </c>
      <c r="I3710" s="2" t="n">
        <f>HYPERLINK("https://ppubs.uspto.gov/pubwebapp/external.html?q=9962449.pn.","USPTO")</f>
        <v>0.0</v>
      </c>
      <c r="J3710" s="2" t="n">
        <f>HYPERLINK("https://image-ppubs.uspto.gov/dirsearch-public/print/downloadPdf/9962449","USPTO PDF")</f>
        <v>0.0</v>
      </c>
      <c r="K3710" s="2" t="n">
        <f>HYPERLINK("https://sectors.patentforecast.com/pmd/US9962449","PMD")</f>
        <v>0.0</v>
      </c>
      <c r="L3710" s="2" t="n">
        <f>HYPERLINK("https://globaldossier.uspto.gov/result/patent/US/9962449/1","US9962449")</f>
        <v>0.0</v>
      </c>
      <c r="M3710" t="s">
        <v>23620</v>
      </c>
      <c r="N3710" t="s">
        <v>13916</v>
      </c>
      <c r="O3710" t="s">
        <v>13917</v>
      </c>
      <c r="P3710" t="s">
        <v>23621</v>
      </c>
      <c r="Q3710" s="3" t="n">
        <v>42580.0</v>
      </c>
      <c r="R3710" s="3" t="n">
        <v>43228.0</v>
      </c>
      <c r="S3710" s="3" t="n">
        <v>43992.42685876157</v>
      </c>
      <c r="T3710" s="3" t="n">
        <v>43992.49974054398</v>
      </c>
      <c r="U3710" t="s">
        <v>23622</v>
      </c>
      <c r="V3710" t="s">
        <v>23623</v>
      </c>
    </row>
    <row r="3711">
      <c r="A3711" t="s">
        <v>23557</v>
      </c>
      <c r="B3711" t="s">
        <v>23624</v>
      </c>
      <c r="C3711" t="s">
        <v>60</v>
      </c>
      <c r="D3711" t="s">
        <v>61</v>
      </c>
      <c r="E3711" t="s">
        <v>23625</v>
      </c>
      <c r="F3711" s="2" t="n">
        <f>HYPERLINK("https://patents.google.com/patent/US9957275","Google")</f>
        <v>0.0</v>
      </c>
      <c r="G3711" s="2" t="n">
        <f>HYPERLINK("https://patentcenter.uspto.gov/applications/15639970","Patent Center")</f>
        <v>0.0</v>
      </c>
      <c r="H3711" s="2" t="n">
        <f>HYPERLINK("https://worldwide.espacenet.com/patent/search?q=US9957275","Espacenet")</f>
        <v>0.0</v>
      </c>
      <c r="I3711" s="2" t="n">
        <f>HYPERLINK("https://ppubs.uspto.gov/pubwebapp/external.html?q=9957275.pn.","USPTO")</f>
        <v>0.0</v>
      </c>
      <c r="J3711" s="2" t="n">
        <f>HYPERLINK("https://image-ppubs.uspto.gov/dirsearch-public/print/downloadPdf/9957275","USPTO PDF")</f>
        <v>0.0</v>
      </c>
      <c r="K3711" s="2" t="n">
        <f>HYPERLINK("https://sectors.patentforecast.com/pmd/US9957275","PMD")</f>
        <v>0.0</v>
      </c>
      <c r="L3711" s="2" t="n">
        <f>HYPERLINK("https://globaldossier.uspto.gov/result/patent/US/9957275/1","US9957275")</f>
        <v>0.0</v>
      </c>
      <c r="M3711" t="s">
        <v>18828</v>
      </c>
      <c r="N3711" t="s">
        <v>664</v>
      </c>
      <c r="O3711" t="s">
        <v>665</v>
      </c>
      <c r="P3711" t="s">
        <v>23626</v>
      </c>
      <c r="Q3711" s="3" t="n">
        <v>42916.0</v>
      </c>
      <c r="R3711" s="3" t="n">
        <v>43221.0</v>
      </c>
      <c r="S3711" s="3" t="n">
        <v>43957.460613773146</v>
      </c>
      <c r="T3711" s="3" t="n">
        <v>44638.65271974537</v>
      </c>
      <c r="U3711" t="s">
        <v>23627</v>
      </c>
      <c r="V3711" t="s">
        <v>23628</v>
      </c>
    </row>
    <row r="3712">
      <c r="A3712" t="s">
        <v>23557</v>
      </c>
      <c r="B3712" t="s">
        <v>23629</v>
      </c>
      <c r="C3712" t="s">
        <v>132</v>
      </c>
      <c r="D3712" t="s">
        <v>1265</v>
      </c>
      <c r="E3712" t="s">
        <v>23039</v>
      </c>
      <c r="F3712" s="2" t="n">
        <f>HYPERLINK("https://patents.google.com/patent/US9956280","Google")</f>
        <v>0.0</v>
      </c>
      <c r="G3712" s="2" t="n">
        <f>HYPERLINK("https://patentcenter.uspto.gov/applications/15332330","Patent Center")</f>
        <v>0.0</v>
      </c>
      <c r="H3712" s="2" t="n">
        <f>HYPERLINK("https://worldwide.espacenet.com/patent/search?q=US9956280","Espacenet")</f>
        <v>0.0</v>
      </c>
      <c r="I3712" s="2" t="n">
        <f>HYPERLINK("https://ppubs.uspto.gov/pubwebapp/external.html?q=9956280.pn.","USPTO")</f>
        <v>0.0</v>
      </c>
      <c r="J3712" s="2" t="n">
        <f>HYPERLINK("https://image-ppubs.uspto.gov/dirsearch-public/print/downloadPdf/9956280","USPTO PDF")</f>
        <v>0.0</v>
      </c>
      <c r="K3712" s="2" t="n">
        <f>HYPERLINK("https://sectors.patentforecast.com/pmd/US9956280","PMD")</f>
        <v>0.0</v>
      </c>
      <c r="L3712" s="2" t="n">
        <f>HYPERLINK("https://globaldossier.uspto.gov/result/patent/US/9956280/1","US9956280")</f>
        <v>0.0</v>
      </c>
      <c r="M3712" t="s">
        <v>19100</v>
      </c>
      <c r="N3712" t="s">
        <v>1275</v>
      </c>
      <c r="O3712" t="s">
        <v>1275</v>
      </c>
      <c r="P3712" t="s">
        <v>23630</v>
      </c>
      <c r="Q3712" s="3" t="n">
        <v>42667.0</v>
      </c>
      <c r="R3712" s="3" t="n">
        <v>43221.0</v>
      </c>
      <c r="S3712" s="3" t="n">
        <v>43966.486089791666</v>
      </c>
      <c r="T3712" s="3" t="n">
        <v>44020.62046440972</v>
      </c>
      <c r="U3712" t="s">
        <v>23631</v>
      </c>
      <c r="V3712" t="s">
        <v>19103</v>
      </c>
    </row>
    <row r="3713">
      <c r="A3713" t="s">
        <v>23557</v>
      </c>
      <c r="B3713" t="s">
        <v>23632</v>
      </c>
      <c r="C3713" t="s">
        <v>60</v>
      </c>
      <c r="D3713" t="s">
        <v>77</v>
      </c>
      <c r="E3713" t="s">
        <v>23633</v>
      </c>
      <c r="F3713" s="2" t="n">
        <f>HYPERLINK("https://patents.google.com/patent/US9951122","Google")</f>
        <v>0.0</v>
      </c>
      <c r="G3713" s="2" t="n">
        <f>HYPERLINK("https://patentcenter.uspto.gov/applications/13965092","Patent Center")</f>
        <v>0.0</v>
      </c>
      <c r="H3713" s="2" t="n">
        <f>HYPERLINK("https://worldwide.espacenet.com/patent/search?q=US9951122","Espacenet")</f>
        <v>0.0</v>
      </c>
      <c r="I3713" s="2" t="n">
        <f>HYPERLINK("https://ppubs.uspto.gov/pubwebapp/external.html?q=9951122.pn.","USPTO")</f>
        <v>0.0</v>
      </c>
      <c r="J3713" s="2" t="n">
        <f>HYPERLINK("https://image-ppubs.uspto.gov/dirsearch-public/print/downloadPdf/9951122","USPTO PDF")</f>
        <v>0.0</v>
      </c>
      <c r="K3713" s="2" t="n">
        <f>HYPERLINK("https://sectors.patentforecast.com/pmd/US9951122","PMD")</f>
        <v>0.0</v>
      </c>
      <c r="L3713" s="2" t="n">
        <f>HYPERLINK("https://globaldossier.uspto.gov/result/patent/US/9951122/1","US9951122")</f>
        <v>0.0</v>
      </c>
      <c r="M3713" t="s">
        <v>20904</v>
      </c>
      <c r="N3713" t="s">
        <v>18144</v>
      </c>
      <c r="O3713" t="s">
        <v>18144</v>
      </c>
      <c r="P3713" t="s">
        <v>23634</v>
      </c>
      <c r="Q3713" s="3" t="n">
        <v>41498.0</v>
      </c>
      <c r="R3713" s="3" t="n">
        <v>43214.0</v>
      </c>
      <c r="S3713" s="3" t="n">
        <v>43966.486089791666</v>
      </c>
      <c r="T3713" s="3" t="n">
        <v>44638.638650092595</v>
      </c>
      <c r="U3713" t="s">
        <v>23635</v>
      </c>
      <c r="V3713" t="s">
        <v>18147</v>
      </c>
    </row>
    <row r="3714">
      <c r="A3714" t="s">
        <v>23557</v>
      </c>
      <c r="B3714" t="s">
        <v>23636</v>
      </c>
      <c r="C3714" t="s">
        <v>60</v>
      </c>
      <c r="D3714" t="s">
        <v>61</v>
      </c>
      <c r="E3714" t="s">
        <v>23637</v>
      </c>
      <c r="F3714" s="2" t="n">
        <f>HYPERLINK("https://patents.google.com/patent/US9951065","Google")</f>
        <v>0.0</v>
      </c>
      <c r="G3714" s="2" t="n">
        <f>HYPERLINK("https://patentcenter.uspto.gov/applications/15153527","Patent Center")</f>
        <v>0.0</v>
      </c>
      <c r="H3714" s="2" t="n">
        <f>HYPERLINK("https://worldwide.espacenet.com/patent/search?q=US9951065","Espacenet")</f>
        <v>0.0</v>
      </c>
      <c r="I3714" s="2" t="n">
        <f>HYPERLINK("https://ppubs.uspto.gov/pubwebapp/external.html?q=9951065.pn.","USPTO")</f>
        <v>0.0</v>
      </c>
      <c r="J3714" s="2" t="n">
        <f>HYPERLINK("https://image-ppubs.uspto.gov/dirsearch-public/print/downloadPdf/9951065","USPTO PDF")</f>
        <v>0.0</v>
      </c>
      <c r="K3714" s="2" t="n">
        <f>HYPERLINK("https://sectors.patentforecast.com/pmd/US9951065","PMD")</f>
        <v>0.0</v>
      </c>
      <c r="L3714" s="2" t="n">
        <f>HYPERLINK("https://globaldossier.uspto.gov/result/patent/US/9951065/1","US9951065")</f>
        <v>0.0</v>
      </c>
      <c r="M3714" t="s">
        <v>23638</v>
      </c>
      <c r="N3714" t="s">
        <v>664</v>
      </c>
      <c r="O3714" t="s">
        <v>665</v>
      </c>
      <c r="P3714" t="s">
        <v>23639</v>
      </c>
      <c r="Q3714" s="3" t="n">
        <v>42502.0</v>
      </c>
      <c r="R3714" s="3" t="n">
        <v>43214.0</v>
      </c>
      <c r="S3714" s="3" t="n">
        <v>43957.460613773146</v>
      </c>
      <c r="T3714" s="3" t="n">
        <v>44544.45691049768</v>
      </c>
      <c r="U3714" t="s">
        <v>23640</v>
      </c>
      <c r="V3714" t="s">
        <v>23641</v>
      </c>
    </row>
    <row r="3715">
      <c r="A3715" t="s">
        <v>23557</v>
      </c>
      <c r="B3715" t="s">
        <v>23642</v>
      </c>
      <c r="C3715" t="s">
        <v>60</v>
      </c>
      <c r="D3715" t="s">
        <v>61</v>
      </c>
      <c r="E3715" t="s">
        <v>23643</v>
      </c>
      <c r="F3715" s="2" t="n">
        <f>HYPERLINK("https://patents.google.com/patent/US9951058","Google")</f>
        <v>0.0</v>
      </c>
      <c r="G3715" s="2" t="n">
        <f>HYPERLINK("https://patentcenter.uspto.gov/applications/15433536","Patent Center")</f>
        <v>0.0</v>
      </c>
      <c r="H3715" s="2" t="n">
        <f>HYPERLINK("https://worldwide.espacenet.com/patent/search?q=US9951058","Espacenet")</f>
        <v>0.0</v>
      </c>
      <c r="I3715" s="2" t="n">
        <f>HYPERLINK("https://ppubs.uspto.gov/pubwebapp/external.html?q=9951058.pn.","USPTO")</f>
        <v>0.0</v>
      </c>
      <c r="J3715" s="2" t="n">
        <f>HYPERLINK("https://image-ppubs.uspto.gov/dirsearch-public/print/downloadPdf/9951058","USPTO PDF")</f>
        <v>0.0</v>
      </c>
      <c r="K3715" s="2" t="n">
        <f>HYPERLINK("https://sectors.patentforecast.com/pmd/US9951058","PMD")</f>
        <v>0.0</v>
      </c>
      <c r="L3715" s="2" t="n">
        <f>HYPERLINK("https://globaldossier.uspto.gov/result/patent/US/9951058/1","US9951058")</f>
        <v>0.0</v>
      </c>
      <c r="M3715" t="s">
        <v>19231</v>
      </c>
      <c r="N3715" t="s">
        <v>19232</v>
      </c>
      <c r="O3715" t="s">
        <v>19233</v>
      </c>
      <c r="P3715" t="s">
        <v>23644</v>
      </c>
      <c r="Q3715" s="3" t="n">
        <v>42781.0</v>
      </c>
      <c r="R3715" s="3" t="n">
        <v>43214.0</v>
      </c>
      <c r="S3715" s="3" t="n">
        <v>43900.437181712965</v>
      </c>
      <c r="T3715" s="3" t="n">
        <v>43901.705570729166</v>
      </c>
      <c r="U3715" t="s">
        <v>23645</v>
      </c>
      <c r="V3715" t="s">
        <v>23646</v>
      </c>
    </row>
    <row r="3716">
      <c r="A3716" t="s">
        <v>23557</v>
      </c>
      <c r="B3716" t="s">
        <v>23647</v>
      </c>
      <c r="C3716" t="s">
        <v>132</v>
      </c>
      <c r="D3716" t="s">
        <v>142</v>
      </c>
      <c r="E3716" t="s">
        <v>23648</v>
      </c>
      <c r="F3716" s="2" t="n">
        <f>HYPERLINK("https://patents.google.com/patent/US9951002","Google")</f>
        <v>0.0</v>
      </c>
      <c r="G3716" s="2" t="n">
        <f>HYPERLINK("https://patentcenter.uspto.gov/applications/15818424","Patent Center")</f>
        <v>0.0</v>
      </c>
      <c r="H3716" s="2" t="n">
        <f>HYPERLINK("https://worldwide.espacenet.com/patent/search?q=US9951002","Espacenet")</f>
        <v>0.0</v>
      </c>
      <c r="I3716" s="2" t="n">
        <f>HYPERLINK("https://ppubs.uspto.gov/pubwebapp/external.html?q=9951002.pn.","USPTO")</f>
        <v>0.0</v>
      </c>
      <c r="J3716" s="2" t="n">
        <f>HYPERLINK("https://image-ppubs.uspto.gov/dirsearch-public/print/downloadPdf/9951002","USPTO PDF")</f>
        <v>0.0</v>
      </c>
      <c r="K3716" s="2" t="n">
        <f>HYPERLINK("https://sectors.patentforecast.com/pmd/US9951002","PMD")</f>
        <v>0.0</v>
      </c>
      <c r="L3716" s="2" t="n">
        <f>HYPERLINK("https://globaldossier.uspto.gov/result/patent/US/9951002/1","US9951002")</f>
        <v>0.0</v>
      </c>
      <c r="M3716" t="s">
        <v>23649</v>
      </c>
      <c r="N3716" t="s">
        <v>13916</v>
      </c>
      <c r="O3716" t="s">
        <v>13917</v>
      </c>
      <c r="P3716" t="s">
        <v>23650</v>
      </c>
      <c r="Q3716" s="3" t="n">
        <v>43059.0</v>
      </c>
      <c r="R3716" s="3" t="n">
        <v>43214.0</v>
      </c>
      <c r="S3716" s="3" t="n">
        <v>43992.42685876157</v>
      </c>
      <c r="T3716" s="3" t="n">
        <v>43992.471590381945</v>
      </c>
      <c r="U3716" t="s">
        <v>23651</v>
      </c>
      <c r="V3716" t="s">
        <v>23652</v>
      </c>
    </row>
    <row r="3717">
      <c r="A3717" t="s">
        <v>23557</v>
      </c>
      <c r="B3717" t="s">
        <v>23653</v>
      </c>
      <c r="C3717" t="s">
        <v>132</v>
      </c>
      <c r="D3717" t="s">
        <v>133</v>
      </c>
      <c r="E3717" t="s">
        <v>23654</v>
      </c>
      <c r="F3717" s="2" t="n">
        <f>HYPERLINK("https://patents.google.com/patent/US9950061","Google")</f>
        <v>0.0</v>
      </c>
      <c r="G3717" s="2" t="n">
        <f>HYPERLINK("https://patentcenter.uspto.gov/applications/14672631","Patent Center")</f>
        <v>0.0</v>
      </c>
      <c r="H3717" s="2" t="n">
        <f>HYPERLINK("https://worldwide.espacenet.com/patent/search?q=US9950061","Espacenet")</f>
        <v>0.0</v>
      </c>
      <c r="I3717" s="2" t="n">
        <f>HYPERLINK("https://ppubs.uspto.gov/pubwebapp/external.html?q=9950061.pn.","USPTO")</f>
        <v>0.0</v>
      </c>
      <c r="J3717" s="2" t="n">
        <f>HYPERLINK("https://image-ppubs.uspto.gov/dirsearch-public/print/downloadPdf/9950061","USPTO PDF")</f>
        <v>0.0</v>
      </c>
      <c r="K3717" s="2" t="n">
        <f>HYPERLINK("https://sectors.patentforecast.com/pmd/US9950061","PMD")</f>
        <v>0.0</v>
      </c>
      <c r="L3717" s="2" t="n">
        <f>HYPERLINK("https://globaldossier.uspto.gov/result/patent/US/9950061/1","US9950061")</f>
        <v>0.0</v>
      </c>
      <c r="M3717" t="s">
        <v>20118</v>
      </c>
      <c r="N3717" t="s">
        <v>16179</v>
      </c>
      <c r="O3717" t="s">
        <v>16180</v>
      </c>
      <c r="P3717" t="s">
        <v>23655</v>
      </c>
      <c r="Q3717" s="3" t="n">
        <v>42093.0</v>
      </c>
      <c r="R3717" s="3" t="n">
        <v>43214.0</v>
      </c>
      <c r="S3717" s="3" t="n">
        <v>43900.437181712965</v>
      </c>
      <c r="T3717" s="3" t="n">
        <v>43901.70556983796</v>
      </c>
      <c r="U3717" t="s">
        <v>23656</v>
      </c>
      <c r="V3717" t="s">
        <v>18304</v>
      </c>
    </row>
    <row r="3718">
      <c r="A3718" t="s">
        <v>23557</v>
      </c>
      <c r="B3718" t="s">
        <v>23657</v>
      </c>
      <c r="C3718" t="s">
        <v>60</v>
      </c>
      <c r="D3718" t="s">
        <v>61</v>
      </c>
      <c r="E3718" t="s">
        <v>23658</v>
      </c>
      <c r="F3718" s="2" t="n">
        <f>HYPERLINK("https://patents.google.com/patent/US9949994","Google")</f>
        <v>0.0</v>
      </c>
      <c r="G3718" s="2" t="n">
        <f>HYPERLINK("https://patentcenter.uspto.gov/applications/15246240","Patent Center")</f>
        <v>0.0</v>
      </c>
      <c r="H3718" s="2" t="n">
        <f>HYPERLINK("https://worldwide.espacenet.com/patent/search?q=US9949994","Espacenet")</f>
        <v>0.0</v>
      </c>
      <c r="I3718" s="2" t="n">
        <f>HYPERLINK("https://ppubs.uspto.gov/pubwebapp/external.html?q=9949994.pn.","USPTO")</f>
        <v>0.0</v>
      </c>
      <c r="J3718" s="2" t="n">
        <f>HYPERLINK("https://image-ppubs.uspto.gov/dirsearch-public/print/downloadPdf/9949994","USPTO PDF")</f>
        <v>0.0</v>
      </c>
      <c r="K3718" s="2" t="n">
        <f>HYPERLINK("https://sectors.patentforecast.com/pmd/US9949994","PMD")</f>
        <v>0.0</v>
      </c>
      <c r="L3718" s="2" t="n">
        <f>HYPERLINK("https://globaldossier.uspto.gov/result/patent/US/9949994/1","US9949994")</f>
        <v>0.0</v>
      </c>
      <c r="M3718" t="s">
        <v>19443</v>
      </c>
      <c r="N3718" t="s">
        <v>664</v>
      </c>
      <c r="O3718" t="s">
        <v>665</v>
      </c>
      <c r="P3718" t="s">
        <v>23659</v>
      </c>
      <c r="Q3718" s="3" t="n">
        <v>42606.0</v>
      </c>
      <c r="R3718" s="3" t="n">
        <v>43214.0</v>
      </c>
      <c r="S3718" s="3" t="n">
        <v>43957.460613773146</v>
      </c>
      <c r="T3718" s="3" t="n">
        <v>44638.65643378472</v>
      </c>
      <c r="U3718" t="s">
        <v>23660</v>
      </c>
      <c r="V3718" t="s">
        <v>23661</v>
      </c>
    </row>
    <row r="3719">
      <c r="A3719" t="s">
        <v>23557</v>
      </c>
      <c r="B3719" t="s">
        <v>23662</v>
      </c>
      <c r="C3719" t="s">
        <v>60</v>
      </c>
      <c r="D3719" t="s">
        <v>61</v>
      </c>
      <c r="E3719" t="s">
        <v>23663</v>
      </c>
      <c r="F3719" s="2" t="n">
        <f>HYPERLINK("https://patents.google.com/patent/US9949945","Google")</f>
        <v>0.0</v>
      </c>
      <c r="G3719" s="2" t="n">
        <f>HYPERLINK("https://patentcenter.uspto.gov/applications/15243679","Patent Center")</f>
        <v>0.0</v>
      </c>
      <c r="H3719" s="2" t="n">
        <f>HYPERLINK("https://worldwide.espacenet.com/patent/search?q=US9949945","Espacenet")</f>
        <v>0.0</v>
      </c>
      <c r="I3719" s="2" t="n">
        <f>HYPERLINK("https://ppubs.uspto.gov/pubwebapp/external.html?q=9949945.pn.","USPTO")</f>
        <v>0.0</v>
      </c>
      <c r="J3719" s="2" t="n">
        <f>HYPERLINK("https://image-ppubs.uspto.gov/dirsearch-public/print/downloadPdf/9949945","USPTO PDF")</f>
        <v>0.0</v>
      </c>
      <c r="K3719" s="2" t="n">
        <f>HYPERLINK("https://sectors.patentforecast.com/pmd/US9949945","PMD")</f>
        <v>0.0</v>
      </c>
      <c r="L3719" s="2" t="n">
        <f>HYPERLINK("https://globaldossier.uspto.gov/result/patent/US/9949945/1","US9949945")</f>
        <v>0.0</v>
      </c>
      <c r="M3719" t="s">
        <v>19215</v>
      </c>
      <c r="N3719" t="s">
        <v>16801</v>
      </c>
      <c r="O3719" t="s">
        <v>16802</v>
      </c>
      <c r="P3719" t="s">
        <v>23664</v>
      </c>
      <c r="Q3719" s="3" t="n">
        <v>42604.0</v>
      </c>
      <c r="R3719" s="3" t="n">
        <v>43214.0</v>
      </c>
      <c r="S3719" s="3" t="n">
        <v>43966.486089791666</v>
      </c>
      <c r="T3719" s="3" t="n">
        <v>43985.67803753472</v>
      </c>
      <c r="U3719" t="s">
        <v>23665</v>
      </c>
      <c r="V3719" t="s">
        <v>23666</v>
      </c>
    </row>
    <row r="3720">
      <c r="A3720" t="s">
        <v>23557</v>
      </c>
      <c r="B3720" t="s">
        <v>23667</v>
      </c>
      <c r="C3720" t="s">
        <v>132</v>
      </c>
      <c r="D3720" t="s">
        <v>133</v>
      </c>
      <c r="E3720" t="s">
        <v>23160</v>
      </c>
      <c r="F3720" s="2" t="n">
        <f>HYPERLINK("https://patents.google.com/patent/US9945856","Google")</f>
        <v>0.0</v>
      </c>
      <c r="G3720" s="2" t="n">
        <f>HYPERLINK("https://patentcenter.uspto.gov/applications/14458984","Patent Center")</f>
        <v>0.0</v>
      </c>
      <c r="H3720" s="2" t="n">
        <f>HYPERLINK("https://worldwide.espacenet.com/patent/search?q=US9945856","Espacenet")</f>
        <v>0.0</v>
      </c>
      <c r="I3720" s="2" t="n">
        <f>HYPERLINK("https://ppubs.uspto.gov/pubwebapp/external.html?q=9945856.pn.","USPTO")</f>
        <v>0.0</v>
      </c>
      <c r="J3720" s="2" t="n">
        <f>HYPERLINK("https://image-ppubs.uspto.gov/dirsearch-public/print/downloadPdf/9945856","USPTO PDF")</f>
        <v>0.0</v>
      </c>
      <c r="K3720" s="2" t="n">
        <f>HYPERLINK("https://sectors.patentforecast.com/pmd/US9945856","PMD")</f>
        <v>0.0</v>
      </c>
      <c r="L3720" s="2" t="n">
        <f>HYPERLINK("https://globaldossier.uspto.gov/result/patent/US/9945856/1","US9945856")</f>
        <v>0.0</v>
      </c>
      <c r="M3720" t="s">
        <v>20419</v>
      </c>
      <c r="N3720" t="s">
        <v>21887</v>
      </c>
      <c r="O3720" t="s">
        <v>21888</v>
      </c>
      <c r="P3720" t="s">
        <v>23668</v>
      </c>
      <c r="Q3720" s="3" t="n">
        <v>41864.0</v>
      </c>
      <c r="R3720" s="3" t="n">
        <v>43207.0</v>
      </c>
      <c r="S3720" s="3" t="n">
        <v>43966.486089791666</v>
      </c>
      <c r="T3720" s="3" t="n">
        <v>44638.68962553241</v>
      </c>
      <c r="U3720" t="s">
        <v>23669</v>
      </c>
      <c r="V3720" t="s">
        <v>20424</v>
      </c>
    </row>
    <row r="3721">
      <c r="A3721" t="s">
        <v>23557</v>
      </c>
      <c r="B3721" t="s">
        <v>23670</v>
      </c>
      <c r="C3721" t="s">
        <v>60</v>
      </c>
      <c r="D3721" t="s">
        <v>61</v>
      </c>
      <c r="E3721" t="s">
        <v>23671</v>
      </c>
      <c r="F3721" s="2" t="n">
        <f>HYPERLINK("https://patents.google.com/patent/US9944619","Google")</f>
        <v>0.0</v>
      </c>
      <c r="G3721" s="2" t="n">
        <f>HYPERLINK("https://patentcenter.uspto.gov/applications/15357290","Patent Center")</f>
        <v>0.0</v>
      </c>
      <c r="H3721" s="2" t="n">
        <f>HYPERLINK("https://worldwide.espacenet.com/patent/search?q=US9944619","Espacenet")</f>
        <v>0.0</v>
      </c>
      <c r="I3721" s="2" t="n">
        <f>HYPERLINK("https://ppubs.uspto.gov/pubwebapp/external.html?q=9944619.pn.","USPTO")</f>
        <v>0.0</v>
      </c>
      <c r="J3721" s="2" t="n">
        <f>HYPERLINK("https://image-ppubs.uspto.gov/dirsearch-public/print/downloadPdf/9944619","USPTO PDF")</f>
        <v>0.0</v>
      </c>
      <c r="K3721" s="2" t="n">
        <f>HYPERLINK("https://sectors.patentforecast.com/pmd/US9944619","PMD")</f>
        <v>0.0</v>
      </c>
      <c r="L3721" s="2" t="n">
        <f>HYPERLINK("https://globaldossier.uspto.gov/result/patent/US/9944619/1","US9944619")</f>
        <v>0.0</v>
      </c>
      <c r="M3721" t="s">
        <v>19242</v>
      </c>
      <c r="N3721" t="s">
        <v>664</v>
      </c>
      <c r="O3721" t="s">
        <v>665</v>
      </c>
      <c r="P3721" t="s">
        <v>23672</v>
      </c>
      <c r="Q3721" s="3" t="n">
        <v>42769.0</v>
      </c>
      <c r="R3721" s="3" t="n">
        <v>43207.0</v>
      </c>
      <c r="S3721" s="3" t="n">
        <v>43957.460613773146</v>
      </c>
      <c r="T3721" s="3" t="n">
        <v>44638.662781747684</v>
      </c>
      <c r="U3721" t="s">
        <v>23673</v>
      </c>
      <c r="V3721" t="s">
        <v>17286</v>
      </c>
    </row>
    <row r="3722">
      <c r="A3722" t="s">
        <v>23557</v>
      </c>
      <c r="B3722" t="s">
        <v>23674</v>
      </c>
      <c r="C3722" t="s">
        <v>132</v>
      </c>
      <c r="D3722" t="s">
        <v>1265</v>
      </c>
      <c r="E3722" t="s">
        <v>22970</v>
      </c>
      <c r="F3722" s="2" t="n">
        <f>HYPERLINK("https://patents.google.com/patent/US9943588","Google")</f>
        <v>0.0</v>
      </c>
      <c r="G3722" s="2" t="n">
        <f>HYPERLINK("https://patentcenter.uspto.gov/applications/14996446","Patent Center")</f>
        <v>0.0</v>
      </c>
      <c r="H3722" s="2" t="n">
        <f>HYPERLINK("https://worldwide.espacenet.com/patent/search?q=US9943588","Espacenet")</f>
        <v>0.0</v>
      </c>
      <c r="I3722" s="2" t="n">
        <f>HYPERLINK("https://ppubs.uspto.gov/pubwebapp/external.html?q=9943588.pn.","USPTO")</f>
        <v>0.0</v>
      </c>
      <c r="J3722" s="2" t="n">
        <f>HYPERLINK("https://image-ppubs.uspto.gov/dirsearch-public/print/downloadPdf/9943588","USPTO PDF")</f>
        <v>0.0</v>
      </c>
      <c r="K3722" s="2" t="n">
        <f>HYPERLINK("https://sectors.patentforecast.com/pmd/US9943588","PMD")</f>
        <v>0.0</v>
      </c>
      <c r="L3722" s="2" t="n">
        <f>HYPERLINK("https://globaldossier.uspto.gov/result/patent/US/9943588/1","US9943588")</f>
        <v>0.0</v>
      </c>
      <c r="M3722" t="s">
        <v>19541</v>
      </c>
      <c r="N3722" t="s">
        <v>15147</v>
      </c>
      <c r="O3722" t="s">
        <v>15148</v>
      </c>
      <c r="P3722" t="s">
        <v>23675</v>
      </c>
      <c r="Q3722" s="3" t="n">
        <v>42384.0</v>
      </c>
      <c r="R3722" s="3" t="n">
        <v>43207.0</v>
      </c>
      <c r="S3722" s="3" t="n">
        <v>43900.437181712965</v>
      </c>
      <c r="T3722" s="3" t="n">
        <v>43901.705571053244</v>
      </c>
      <c r="U3722" t="s">
        <v>23676</v>
      </c>
      <c r="V3722" t="s">
        <v>23677</v>
      </c>
    </row>
    <row r="3723">
      <c r="A3723" t="s">
        <v>23557</v>
      </c>
      <c r="B3723" t="s">
        <v>23678</v>
      </c>
      <c r="C3723" t="s">
        <v>132</v>
      </c>
      <c r="D3723" t="s">
        <v>1265</v>
      </c>
      <c r="E3723" t="s">
        <v>23679</v>
      </c>
      <c r="F3723" s="2" t="n">
        <f>HYPERLINK("https://patents.google.com/patent/US9937253","Google")</f>
        <v>0.0</v>
      </c>
      <c r="G3723" s="2" t="n">
        <f>HYPERLINK("https://patentcenter.uspto.gov/applications/15454820","Patent Center")</f>
        <v>0.0</v>
      </c>
      <c r="H3723" s="2" t="n">
        <f>HYPERLINK("https://worldwide.espacenet.com/patent/search?q=US9937253","Espacenet")</f>
        <v>0.0</v>
      </c>
      <c r="I3723" s="2" t="n">
        <f>HYPERLINK("https://ppubs.uspto.gov/pubwebapp/external.html?q=9937253.pn.","USPTO")</f>
        <v>0.0</v>
      </c>
      <c r="J3723" s="2" t="n">
        <f>HYPERLINK("https://image-ppubs.uspto.gov/dirsearch-public/print/downloadPdf/9937253","USPTO PDF")</f>
        <v>0.0</v>
      </c>
      <c r="K3723" s="2" t="n">
        <f>HYPERLINK("https://sectors.patentforecast.com/pmd/US9937253","PMD")</f>
        <v>0.0</v>
      </c>
      <c r="L3723" s="2" t="n">
        <f>HYPERLINK("https://globaldossier.uspto.gov/result/patent/US/9937253/1","US9937253")</f>
        <v>0.0</v>
      </c>
      <c r="M3723" t="s">
        <v>19066</v>
      </c>
      <c r="N3723" t="s">
        <v>1275</v>
      </c>
      <c r="O3723" t="s">
        <v>1275</v>
      </c>
      <c r="P3723" t="s">
        <v>23680</v>
      </c>
      <c r="Q3723" s="3" t="n">
        <v>42803.0</v>
      </c>
      <c r="R3723" s="3" t="n">
        <v>43200.0</v>
      </c>
      <c r="S3723" s="3" t="n">
        <v>43900.437181712965</v>
      </c>
      <c r="T3723" s="3" t="n">
        <v>43901.705571018516</v>
      </c>
      <c r="U3723" t="s">
        <v>23681</v>
      </c>
      <c r="V3723" t="s">
        <v>18573</v>
      </c>
    </row>
    <row r="3724">
      <c r="A3724" t="s">
        <v>23557</v>
      </c>
      <c r="B3724" t="s">
        <v>23682</v>
      </c>
      <c r="C3724" t="s">
        <v>24</v>
      </c>
      <c r="D3724" t="s">
        <v>34</v>
      </c>
      <c r="E3724" t="s">
        <v>23683</v>
      </c>
      <c r="F3724" s="2" t="n">
        <f>HYPERLINK("https://patents.google.com/patent/US9926553","Google")</f>
        <v>0.0</v>
      </c>
      <c r="G3724" s="2" t="n">
        <f>HYPERLINK("https://patentcenter.uspto.gov/applications/14530449","Patent Center")</f>
        <v>0.0</v>
      </c>
      <c r="H3724" s="2" t="n">
        <f>HYPERLINK("https://worldwide.espacenet.com/patent/search?q=US9926553","Espacenet")</f>
        <v>0.0</v>
      </c>
      <c r="I3724" s="2" t="n">
        <f>HYPERLINK("https://ppubs.uspto.gov/pubwebapp/external.html?q=9926553.pn.","USPTO")</f>
        <v>0.0</v>
      </c>
      <c r="J3724" s="2" t="n">
        <f>HYPERLINK("https://image-ppubs.uspto.gov/dirsearch-public/print/downloadPdf/9926553","USPTO PDF")</f>
        <v>0.0</v>
      </c>
      <c r="K3724" s="2" t="n">
        <f>HYPERLINK("https://sectors.patentforecast.com/pmd/US9926553","PMD")</f>
        <v>0.0</v>
      </c>
      <c r="L3724" s="2" t="n">
        <f>HYPERLINK("https://globaldossier.uspto.gov/result/patent/US/9926553/1","US9926553")</f>
        <v>0.0</v>
      </c>
      <c r="M3724" t="s">
        <v>20315</v>
      </c>
      <c r="N3724" t="s">
        <v>4728</v>
      </c>
      <c r="O3724" t="s">
        <v>4729</v>
      </c>
      <c r="P3724" t="s">
        <v>23684</v>
      </c>
      <c r="Q3724" s="3" t="n">
        <v>41943.0</v>
      </c>
      <c r="R3724" s="3" t="n">
        <v>43186.0</v>
      </c>
      <c r="S3724" s="3" t="n">
        <v>44370.45832486111</v>
      </c>
      <c r="T3724" s="3" t="n">
        <v>44372.38111516204</v>
      </c>
      <c r="U3724" t="s">
        <v>23685</v>
      </c>
      <c r="V3724" t="s">
        <v>16093</v>
      </c>
    </row>
    <row r="3725">
      <c r="A3725" t="s">
        <v>23557</v>
      </c>
      <c r="B3725" t="s">
        <v>23686</v>
      </c>
      <c r="C3725" t="s">
        <v>60</v>
      </c>
      <c r="D3725" t="s">
        <v>696</v>
      </c>
      <c r="E3725" t="s">
        <v>23687</v>
      </c>
      <c r="F3725" s="2" t="n">
        <f>HYPERLINK("https://patents.google.com/patent/US9926370","Google")</f>
        <v>0.0</v>
      </c>
      <c r="G3725" s="2" t="n">
        <f>HYPERLINK("https://patentcenter.uspto.gov/applications/14679767","Patent Center")</f>
        <v>0.0</v>
      </c>
      <c r="H3725" s="2" t="n">
        <f>HYPERLINK("https://worldwide.espacenet.com/patent/search?q=US9926370","Espacenet")</f>
        <v>0.0</v>
      </c>
      <c r="I3725" s="2" t="n">
        <f>HYPERLINK("https://ppubs.uspto.gov/pubwebapp/external.html?q=9926370.pn.","USPTO")</f>
        <v>0.0</v>
      </c>
      <c r="J3725" s="2" t="n">
        <f>HYPERLINK("https://image-ppubs.uspto.gov/dirsearch-public/print/downloadPdf/9926370","USPTO PDF")</f>
        <v>0.0</v>
      </c>
      <c r="K3725" s="2" t="n">
        <f>HYPERLINK("https://sectors.patentforecast.com/pmd/US9926370","PMD")</f>
        <v>0.0</v>
      </c>
      <c r="L3725" s="2" t="n">
        <f>HYPERLINK("https://globaldossier.uspto.gov/result/patent/US/9926370/1","US9926370")</f>
        <v>0.0</v>
      </c>
      <c r="M3725" t="s">
        <v>20002</v>
      </c>
      <c r="N3725" t="s">
        <v>16927</v>
      </c>
      <c r="O3725" t="s">
        <v>16928</v>
      </c>
      <c r="P3725" t="s">
        <v>23586</v>
      </c>
      <c r="Q3725" s="3" t="n">
        <v>42100.0</v>
      </c>
      <c r="R3725" s="3" t="n">
        <v>43186.0</v>
      </c>
      <c r="S3725" s="3" t="n">
        <v>43973.46867256944</v>
      </c>
      <c r="T3725" s="3" t="n">
        <v>44643.44490069444</v>
      </c>
      <c r="U3725" t="s">
        <v>23688</v>
      </c>
      <c r="V3725" t="s">
        <v>17701</v>
      </c>
    </row>
    <row r="3726">
      <c r="A3726" t="s">
        <v>23557</v>
      </c>
      <c r="B3726" t="s">
        <v>23689</v>
      </c>
      <c r="C3726" t="s">
        <v>132</v>
      </c>
      <c r="D3726" t="s">
        <v>1265</v>
      </c>
      <c r="E3726" t="s">
        <v>23690</v>
      </c>
      <c r="F3726" s="2" t="n">
        <f>HYPERLINK("https://patents.google.com/patent/US9919043","Google")</f>
        <v>0.0</v>
      </c>
      <c r="G3726" s="2" t="n">
        <f>HYPERLINK("https://patentcenter.uspto.gov/applications/15040705","Patent Center")</f>
        <v>0.0</v>
      </c>
      <c r="H3726" s="2" t="n">
        <f>HYPERLINK("https://worldwide.espacenet.com/patent/search?q=US9919043","Espacenet")</f>
        <v>0.0</v>
      </c>
      <c r="I3726" s="2" t="n">
        <f>HYPERLINK("https://ppubs.uspto.gov/pubwebapp/external.html?q=9919043.pn.","USPTO")</f>
        <v>0.0</v>
      </c>
      <c r="J3726" s="2" t="n">
        <f>HYPERLINK("https://image-ppubs.uspto.gov/dirsearch-public/print/downloadPdf/9919043","USPTO PDF")</f>
        <v>0.0</v>
      </c>
      <c r="K3726" s="2" t="n">
        <f>HYPERLINK("https://sectors.patentforecast.com/pmd/US9919043","PMD")</f>
        <v>0.0</v>
      </c>
      <c r="L3726" s="2" t="n">
        <f>HYPERLINK("https://globaldossier.uspto.gov/result/patent/US/9919043/1","US9919043")</f>
        <v>0.0</v>
      </c>
      <c r="M3726" t="s">
        <v>23691</v>
      </c>
      <c r="N3726" t="s">
        <v>23692</v>
      </c>
      <c r="O3726" t="s">
        <v>23693</v>
      </c>
      <c r="P3726" t="s">
        <v>23694</v>
      </c>
      <c r="Q3726" s="3" t="n">
        <v>42410.0</v>
      </c>
      <c r="R3726" s="3" t="n">
        <v>43179.0</v>
      </c>
      <c r="S3726" s="3" t="n">
        <v>43973.46867256944</v>
      </c>
      <c r="T3726" s="3" t="n">
        <v>44545.61403375</v>
      </c>
      <c r="U3726" t="s">
        <v>23695</v>
      </c>
      <c r="V3726" t="s">
        <v>23696</v>
      </c>
    </row>
    <row r="3727">
      <c r="A3727" t="s">
        <v>23557</v>
      </c>
      <c r="B3727" t="s">
        <v>23697</v>
      </c>
      <c r="C3727" t="s">
        <v>132</v>
      </c>
      <c r="D3727" t="s">
        <v>1265</v>
      </c>
      <c r="E3727" t="s">
        <v>23690</v>
      </c>
      <c r="F3727" s="2" t="n">
        <f>HYPERLINK("https://patents.google.com/patent/US9919042","Google")</f>
        <v>0.0</v>
      </c>
      <c r="G3727" s="2" t="n">
        <f>HYPERLINK("https://patentcenter.uspto.gov/applications/15040277","Patent Center")</f>
        <v>0.0</v>
      </c>
      <c r="H3727" s="2" t="n">
        <f>HYPERLINK("https://worldwide.espacenet.com/patent/search?q=US9919042","Espacenet")</f>
        <v>0.0</v>
      </c>
      <c r="I3727" s="2" t="n">
        <f>HYPERLINK("https://ppubs.uspto.gov/pubwebapp/external.html?q=9919042.pn.","USPTO")</f>
        <v>0.0</v>
      </c>
      <c r="J3727" s="2" t="n">
        <f>HYPERLINK("https://image-ppubs.uspto.gov/dirsearch-public/print/downloadPdf/9919042","USPTO PDF")</f>
        <v>0.0</v>
      </c>
      <c r="K3727" s="2" t="n">
        <f>HYPERLINK("https://sectors.patentforecast.com/pmd/US9919042","PMD")</f>
        <v>0.0</v>
      </c>
      <c r="L3727" s="2" t="n">
        <f>HYPERLINK("https://globaldossier.uspto.gov/result/patent/US/9919042/1","US9919042")</f>
        <v>0.0</v>
      </c>
      <c r="M3727" t="s">
        <v>23698</v>
      </c>
      <c r="N3727" t="s">
        <v>23692</v>
      </c>
      <c r="O3727" t="s">
        <v>23693</v>
      </c>
      <c r="P3727" t="s">
        <v>23694</v>
      </c>
      <c r="Q3727" s="3" t="n">
        <v>42410.0</v>
      </c>
      <c r="R3727" s="3" t="n">
        <v>43179.0</v>
      </c>
      <c r="S3727" s="3" t="n">
        <v>43973.46867256944</v>
      </c>
      <c r="T3727" s="3" t="n">
        <v>44545.61425259259</v>
      </c>
      <c r="U3727" t="s">
        <v>23699</v>
      </c>
      <c r="V3727" t="s">
        <v>23696</v>
      </c>
    </row>
    <row r="3728">
      <c r="A3728" t="s">
        <v>23557</v>
      </c>
      <c r="B3728" t="s">
        <v>23700</v>
      </c>
      <c r="C3728" t="s">
        <v>24</v>
      </c>
      <c r="D3728" t="s">
        <v>25</v>
      </c>
      <c r="E3728" t="s">
        <v>23701</v>
      </c>
      <c r="F3728" s="2" t="n">
        <f>HYPERLINK("https://patents.google.com/patent/US9916428","Google")</f>
        <v>0.0</v>
      </c>
      <c r="G3728" s="2" t="n">
        <f>HYPERLINK("https://patentcenter.uspto.gov/applications/14604194","Patent Center")</f>
        <v>0.0</v>
      </c>
      <c r="H3728" s="2" t="n">
        <f>HYPERLINK("https://worldwide.espacenet.com/patent/search?q=US9916428","Espacenet")</f>
        <v>0.0</v>
      </c>
      <c r="I3728" s="2" t="n">
        <f>HYPERLINK("https://ppubs.uspto.gov/pubwebapp/external.html?q=9916428.pn.","USPTO")</f>
        <v>0.0</v>
      </c>
      <c r="J3728" s="2" t="n">
        <f>HYPERLINK("https://image-ppubs.uspto.gov/dirsearch-public/print/downloadPdf/9916428","USPTO PDF")</f>
        <v>0.0</v>
      </c>
      <c r="K3728" s="2" t="n">
        <f>HYPERLINK("https://sectors.patentforecast.com/pmd/US9916428","PMD")</f>
        <v>0.0</v>
      </c>
      <c r="L3728" s="2" t="n">
        <f>HYPERLINK("https://globaldossier.uspto.gov/result/patent/US/9916428/1","US9916428")</f>
        <v>0.0</v>
      </c>
      <c r="M3728" t="s">
        <v>20096</v>
      </c>
      <c r="N3728" t="s">
        <v>3621</v>
      </c>
      <c r="O3728" t="s">
        <v>3622</v>
      </c>
      <c r="P3728" t="s">
        <v>23702</v>
      </c>
      <c r="Q3728" s="3" t="n">
        <v>42027.0</v>
      </c>
      <c r="R3728" s="3" t="n">
        <v>43172.0</v>
      </c>
      <c r="S3728" s="3" t="n">
        <v>43906.372850162035</v>
      </c>
      <c r="T3728" s="3" t="n">
        <v>43958.41062627315</v>
      </c>
      <c r="U3728" t="s">
        <v>23703</v>
      </c>
      <c r="V3728" t="s">
        <v>19555</v>
      </c>
    </row>
    <row r="3729">
      <c r="A3729" t="s">
        <v>23557</v>
      </c>
      <c r="B3729" t="s">
        <v>23704</v>
      </c>
      <c r="C3729" t="s">
        <v>24</v>
      </c>
      <c r="D3729" t="s">
        <v>100</v>
      </c>
      <c r="E3729" t="s">
        <v>23106</v>
      </c>
      <c r="F3729" s="2" t="n">
        <f>HYPERLINK("https://patents.google.com/patent/US9911312","Google")</f>
        <v>0.0</v>
      </c>
      <c r="G3729" s="2" t="n">
        <f>HYPERLINK("https://patentcenter.uspto.gov/applications/15628713","Patent Center")</f>
        <v>0.0</v>
      </c>
      <c r="H3729" s="2" t="n">
        <f>HYPERLINK("https://worldwide.espacenet.com/patent/search?q=US9911312","Espacenet")</f>
        <v>0.0</v>
      </c>
      <c r="I3729" s="2" t="n">
        <f>HYPERLINK("https://ppubs.uspto.gov/pubwebapp/external.html?q=9911312.pn.","USPTO")</f>
        <v>0.0</v>
      </c>
      <c r="J3729" s="2" t="n">
        <f>HYPERLINK("https://image-ppubs.uspto.gov/dirsearch-public/print/downloadPdf/9911312","USPTO PDF")</f>
        <v>0.0</v>
      </c>
      <c r="K3729" s="2" t="n">
        <f>HYPERLINK("https://sectors.patentforecast.com/pmd/US9911312","PMD")</f>
        <v>0.0</v>
      </c>
      <c r="L3729" s="2" t="n">
        <f>HYPERLINK("https://globaldossier.uspto.gov/result/patent/US/9911312/1","US9911312")</f>
        <v>0.0</v>
      </c>
      <c r="M3729" t="s">
        <v>19022</v>
      </c>
      <c r="N3729" t="s">
        <v>1444</v>
      </c>
      <c r="O3729" t="s">
        <v>1445</v>
      </c>
      <c r="P3729" t="s">
        <v>23705</v>
      </c>
      <c r="Q3729" s="3" t="n">
        <v>42907.0</v>
      </c>
      <c r="R3729" s="3" t="n">
        <v>43165.0</v>
      </c>
      <c r="S3729" s="3" t="n">
        <v>43266.45735306713</v>
      </c>
      <c r="T3729" s="3" t="n">
        <v>43906.35771765046</v>
      </c>
      <c r="U3729" t="s">
        <v>23706</v>
      </c>
      <c r="V3729" t="s">
        <v>19025</v>
      </c>
    </row>
    <row r="3730">
      <c r="A3730" t="s">
        <v>23557</v>
      </c>
      <c r="B3730" t="s">
        <v>23707</v>
      </c>
      <c r="C3730" t="s">
        <v>60</v>
      </c>
      <c r="D3730" t="s">
        <v>77</v>
      </c>
      <c r="E3730" t="s">
        <v>23708</v>
      </c>
      <c r="F3730" s="2" t="n">
        <f>HYPERLINK("https://patents.google.com/patent/US9908931","Google")</f>
        <v>0.0</v>
      </c>
      <c r="G3730" s="2" t="n">
        <f>HYPERLINK("https://patentcenter.uspto.gov/applications/15042436","Patent Center")</f>
        <v>0.0</v>
      </c>
      <c r="H3730" s="2" t="n">
        <f>HYPERLINK("https://worldwide.espacenet.com/patent/search?q=US9908931","Espacenet")</f>
        <v>0.0</v>
      </c>
      <c r="I3730" s="2" t="n">
        <f>HYPERLINK("https://ppubs.uspto.gov/pubwebapp/external.html?q=9908931.pn.","USPTO")</f>
        <v>0.0</v>
      </c>
      <c r="J3730" s="2" t="n">
        <f>HYPERLINK("https://image-ppubs.uspto.gov/dirsearch-public/print/downloadPdf/9908931","USPTO PDF")</f>
        <v>0.0</v>
      </c>
      <c r="K3730" s="2" t="n">
        <f>HYPERLINK("https://sectors.patentforecast.com/pmd/US9908931","PMD")</f>
        <v>0.0</v>
      </c>
      <c r="L3730" s="2" t="n">
        <f>HYPERLINK("https://globaldossier.uspto.gov/result/patent/US/9908931/1","US9908931")</f>
        <v>0.0</v>
      </c>
      <c r="M3730" t="s">
        <v>23709</v>
      </c>
      <c r="N3730" t="s">
        <v>23710</v>
      </c>
      <c r="O3730" t="s">
        <v>23711</v>
      </c>
      <c r="P3730" t="s">
        <v>23712</v>
      </c>
      <c r="Q3730" s="3" t="n">
        <v>42412.0</v>
      </c>
      <c r="R3730" s="3" t="n">
        <v>43165.0</v>
      </c>
      <c r="S3730" s="3" t="n">
        <v>43973.46867256944</v>
      </c>
      <c r="T3730" s="3" t="n">
        <v>44545.36114811343</v>
      </c>
      <c r="U3730" t="s">
        <v>23713</v>
      </c>
      <c r="V3730" t="s">
        <v>23714</v>
      </c>
    </row>
    <row r="3731">
      <c r="A3731" t="s">
        <v>23557</v>
      </c>
      <c r="B3731" t="s">
        <v>23715</v>
      </c>
      <c r="C3731" t="s">
        <v>132</v>
      </c>
      <c r="D3731" t="s">
        <v>11423</v>
      </c>
      <c r="E3731" t="s">
        <v>23716</v>
      </c>
      <c r="F3731" s="2" t="n">
        <f>HYPERLINK("https://patents.google.com/patent/US9907846","Google")</f>
        <v>0.0</v>
      </c>
      <c r="G3731" s="2" t="n">
        <f>HYPERLINK("https://patentcenter.uspto.gov/applications/14781761","Patent Center")</f>
        <v>0.0</v>
      </c>
      <c r="H3731" s="2" t="n">
        <f>HYPERLINK("https://worldwide.espacenet.com/patent/search?q=US9907846","Espacenet")</f>
        <v>0.0</v>
      </c>
      <c r="I3731" s="2" t="n">
        <f>HYPERLINK("https://ppubs.uspto.gov/pubwebapp/external.html?q=9907846.pn.","USPTO")</f>
        <v>0.0</v>
      </c>
      <c r="J3731" s="2" t="n">
        <f>HYPERLINK("https://image-ppubs.uspto.gov/dirsearch-public/print/downloadPdf/9907846","USPTO PDF")</f>
        <v>0.0</v>
      </c>
      <c r="K3731" s="2" t="n">
        <f>HYPERLINK("https://sectors.patentforecast.com/pmd/US9907846","PMD")</f>
        <v>0.0</v>
      </c>
      <c r="L3731" s="2" t="n">
        <f>HYPERLINK("https://globaldossier.uspto.gov/result/patent/US/9907846/1","US9907846")</f>
        <v>0.0</v>
      </c>
      <c r="M3731" t="s">
        <v>23717</v>
      </c>
      <c r="N3731" t="s">
        <v>23718</v>
      </c>
      <c r="O3731" t="s">
        <v>23719</v>
      </c>
      <c r="P3731" t="s">
        <v>23720</v>
      </c>
      <c r="Q3731" s="3" t="n">
        <v>41729.0</v>
      </c>
      <c r="R3731" s="3" t="n">
        <v>43165.0</v>
      </c>
      <c r="S3731" s="3" t="n">
        <v>43973.46867256944</v>
      </c>
      <c r="T3731" s="3" t="n">
        <v>44545.683781203705</v>
      </c>
      <c r="U3731" t="s">
        <v>23721</v>
      </c>
      <c r="V3731" t="s">
        <v>23722</v>
      </c>
    </row>
    <row r="3732">
      <c r="A3732" t="s">
        <v>23557</v>
      </c>
      <c r="B3732" t="s">
        <v>23723</v>
      </c>
      <c r="C3732" t="s">
        <v>132</v>
      </c>
      <c r="D3732" t="s">
        <v>11423</v>
      </c>
      <c r="E3732" t="s">
        <v>23724</v>
      </c>
      <c r="F3732" s="2" t="n">
        <f>HYPERLINK("https://patents.google.com/patent/US9907845","Google")</f>
        <v>0.0</v>
      </c>
      <c r="G3732" s="2" t="n">
        <f>HYPERLINK("https://patentcenter.uspto.gov/applications/14096582","Patent Center")</f>
        <v>0.0</v>
      </c>
      <c r="H3732" s="2" t="n">
        <f>HYPERLINK("https://worldwide.espacenet.com/patent/search?q=US9907845","Espacenet")</f>
        <v>0.0</v>
      </c>
      <c r="I3732" s="2" t="n">
        <f>HYPERLINK("https://ppubs.uspto.gov/pubwebapp/external.html?q=9907845.pn.","USPTO")</f>
        <v>0.0</v>
      </c>
      <c r="J3732" s="2" t="n">
        <f>HYPERLINK("https://image-ppubs.uspto.gov/dirsearch-public/print/downloadPdf/9907845","USPTO PDF")</f>
        <v>0.0</v>
      </c>
      <c r="K3732" s="2" t="n">
        <f>HYPERLINK("https://sectors.patentforecast.com/pmd/US9907845","PMD")</f>
        <v>0.0</v>
      </c>
      <c r="L3732" s="2" t="n">
        <f>HYPERLINK("https://globaldossier.uspto.gov/result/patent/US/9907845/1","US9907845")</f>
        <v>0.0</v>
      </c>
      <c r="M3732" t="s">
        <v>23725</v>
      </c>
      <c r="N3732" t="s">
        <v>20464</v>
      </c>
      <c r="O3732" t="s">
        <v>20465</v>
      </c>
      <c r="P3732" t="s">
        <v>23726</v>
      </c>
      <c r="Q3732" s="3" t="n">
        <v>41612.0</v>
      </c>
      <c r="R3732" s="3" t="n">
        <v>43165.0</v>
      </c>
      <c r="S3732" s="3" t="n">
        <v>43973.46867256944</v>
      </c>
      <c r="T3732" s="3" t="n">
        <v>44545.668641041666</v>
      </c>
      <c r="U3732" t="s">
        <v>23727</v>
      </c>
      <c r="V3732" t="s">
        <v>23728</v>
      </c>
    </row>
    <row r="3733">
      <c r="A3733" t="s">
        <v>23557</v>
      </c>
      <c r="B3733" t="s">
        <v>23729</v>
      </c>
      <c r="C3733" t="s">
        <v>60</v>
      </c>
      <c r="D3733" t="s">
        <v>61</v>
      </c>
      <c r="E3733" t="s">
        <v>23730</v>
      </c>
      <c r="F3733" s="2" t="n">
        <f>HYPERLINK("https://patents.google.com/patent/US9907809","Google")</f>
        <v>0.0</v>
      </c>
      <c r="G3733" s="2" t="n">
        <f>HYPERLINK("https://patentcenter.uspto.gov/applications/14681817","Patent Center")</f>
        <v>0.0</v>
      </c>
      <c r="H3733" s="2" t="n">
        <f>HYPERLINK("https://worldwide.espacenet.com/patent/search?q=US9907809","Espacenet")</f>
        <v>0.0</v>
      </c>
      <c r="I3733" s="2" t="n">
        <f>HYPERLINK("https://ppubs.uspto.gov/pubwebapp/external.html?q=9907809.pn.","USPTO")</f>
        <v>0.0</v>
      </c>
      <c r="J3733" s="2" t="n">
        <f>HYPERLINK("https://image-ppubs.uspto.gov/dirsearch-public/print/downloadPdf/9907809","USPTO PDF")</f>
        <v>0.0</v>
      </c>
      <c r="K3733" s="2" t="n">
        <f>HYPERLINK("https://sectors.patentforecast.com/pmd/US9907809","PMD")</f>
        <v>0.0</v>
      </c>
      <c r="L3733" s="2" t="n">
        <f>HYPERLINK("https://globaldossier.uspto.gov/result/patent/US/9907809/1","US9907809")</f>
        <v>0.0</v>
      </c>
      <c r="M3733" t="s">
        <v>23731</v>
      </c>
      <c r="N3733" t="s">
        <v>16935</v>
      </c>
      <c r="O3733" t="s">
        <v>16936</v>
      </c>
      <c r="P3733" t="s">
        <v>23732</v>
      </c>
      <c r="Q3733" s="3" t="n">
        <v>42102.0</v>
      </c>
      <c r="R3733" s="3" t="n">
        <v>43165.0</v>
      </c>
      <c r="S3733" s="3" t="n">
        <v>43973.46867256944</v>
      </c>
      <c r="T3733" s="3" t="n">
        <v>44545.36692086806</v>
      </c>
      <c r="U3733" t="s">
        <v>23733</v>
      </c>
      <c r="V3733" t="s">
        <v>16939</v>
      </c>
    </row>
    <row r="3734">
      <c r="A3734" t="s">
        <v>23557</v>
      </c>
      <c r="B3734" t="s">
        <v>23734</v>
      </c>
      <c r="C3734" t="s">
        <v>24</v>
      </c>
      <c r="D3734" t="s">
        <v>51</v>
      </c>
      <c r="E3734" t="s">
        <v>23735</v>
      </c>
      <c r="F3734" s="2" t="n">
        <f>HYPERLINK("https://patents.google.com/patent/US9903874","Google")</f>
        <v>0.0</v>
      </c>
      <c r="G3734" s="2" t="n">
        <f>HYPERLINK("https://patentcenter.uspto.gov/applications/14913879","Patent Center")</f>
        <v>0.0</v>
      </c>
      <c r="H3734" s="2" t="n">
        <f>HYPERLINK("https://worldwide.espacenet.com/patent/search?q=US9903874","Espacenet")</f>
        <v>0.0</v>
      </c>
      <c r="I3734" s="2" t="n">
        <f>HYPERLINK("https://ppubs.uspto.gov/pubwebapp/external.html?q=9903874.pn.","USPTO")</f>
        <v>0.0</v>
      </c>
      <c r="J3734" s="2" t="n">
        <f>HYPERLINK("https://image-ppubs.uspto.gov/dirsearch-public/print/downloadPdf/9903874","USPTO PDF")</f>
        <v>0.0</v>
      </c>
      <c r="K3734" s="2" t="n">
        <f>HYPERLINK("https://sectors.patentforecast.com/pmd/US9903874","PMD")</f>
        <v>0.0</v>
      </c>
      <c r="L3734" s="2" t="n">
        <f>HYPERLINK("https://globaldossier.uspto.gov/result/patent/US/9903874/1","US9903874")</f>
        <v>0.0</v>
      </c>
      <c r="M3734" t="s">
        <v>19615</v>
      </c>
      <c r="N3734" t="s">
        <v>23736</v>
      </c>
      <c r="O3734" t="s">
        <v>23736</v>
      </c>
      <c r="P3734" t="s">
        <v>23737</v>
      </c>
      <c r="Q3734" s="3" t="n">
        <v>41869.0</v>
      </c>
      <c r="R3734" s="3" t="n">
        <v>43158.0</v>
      </c>
      <c r="S3734" s="3" t="n">
        <v>43900.437267939815</v>
      </c>
      <c r="T3734" s="3" t="n">
        <v>43903.61411408565</v>
      </c>
      <c r="U3734" t="s">
        <v>23738</v>
      </c>
      <c r="V3734" t="s">
        <v>19619</v>
      </c>
    </row>
    <row r="3735">
      <c r="A3735" t="s">
        <v>23557</v>
      </c>
      <c r="B3735" t="s">
        <v>23739</v>
      </c>
      <c r="C3735" t="s">
        <v>60</v>
      </c>
      <c r="D3735" t="s">
        <v>77</v>
      </c>
      <c r="E3735" t="s">
        <v>23740</v>
      </c>
      <c r="F3735" s="2" t="n">
        <f>HYPERLINK("https://patents.google.com/patent/US9902990","Google")</f>
        <v>0.0</v>
      </c>
      <c r="G3735" s="2" t="n">
        <f>HYPERLINK("https://patentcenter.uspto.gov/applications/14122653","Patent Center")</f>
        <v>0.0</v>
      </c>
      <c r="H3735" s="2" t="n">
        <f>HYPERLINK("https://worldwide.espacenet.com/patent/search?q=US9902990","Espacenet")</f>
        <v>0.0</v>
      </c>
      <c r="I3735" s="2" t="n">
        <f>HYPERLINK("https://ppubs.uspto.gov/pubwebapp/external.html?q=9902990.pn.","USPTO")</f>
        <v>0.0</v>
      </c>
      <c r="J3735" s="2" t="n">
        <f>HYPERLINK("https://image-ppubs.uspto.gov/dirsearch-public/print/downloadPdf/9902990","USPTO PDF")</f>
        <v>0.0</v>
      </c>
      <c r="K3735" s="2" t="n">
        <f>HYPERLINK("https://sectors.patentforecast.com/pmd/US9902990","PMD")</f>
        <v>0.0</v>
      </c>
      <c r="L3735" s="2" t="n">
        <f>HYPERLINK("https://globaldossier.uspto.gov/result/patent/US/9902990/1","US9902990")</f>
        <v>0.0</v>
      </c>
      <c r="M3735" t="s">
        <v>20451</v>
      </c>
      <c r="N3735" t="s">
        <v>16801</v>
      </c>
      <c r="O3735" t="s">
        <v>16802</v>
      </c>
      <c r="P3735" t="s">
        <v>23741</v>
      </c>
      <c r="Q3735" s="3" t="n">
        <v>40690.0</v>
      </c>
      <c r="R3735" s="3" t="n">
        <v>43158.0</v>
      </c>
      <c r="S3735" s="3" t="n">
        <v>43985.66920376157</v>
      </c>
      <c r="T3735" s="3" t="n">
        <v>43985.67861778935</v>
      </c>
      <c r="U3735" t="s">
        <v>23742</v>
      </c>
      <c r="V3735" t="s">
        <v>20454</v>
      </c>
    </row>
    <row r="3736">
      <c r="A3736" t="s">
        <v>23557</v>
      </c>
      <c r="B3736" t="s">
        <v>23743</v>
      </c>
      <c r="C3736" t="s">
        <v>132</v>
      </c>
      <c r="D3736" t="s">
        <v>11423</v>
      </c>
      <c r="E3736" t="s">
        <v>23744</v>
      </c>
      <c r="F3736" s="2" t="n">
        <f>HYPERLINK("https://patents.google.com/patent/US9901634","Google")</f>
        <v>0.0</v>
      </c>
      <c r="G3736" s="2" t="n">
        <f>HYPERLINK("https://patentcenter.uspto.gov/applications/14933722","Patent Center")</f>
        <v>0.0</v>
      </c>
      <c r="H3736" s="2" t="n">
        <f>HYPERLINK("https://worldwide.espacenet.com/patent/search?q=US9901634","Espacenet")</f>
        <v>0.0</v>
      </c>
      <c r="I3736" s="2" t="n">
        <f>HYPERLINK("https://ppubs.uspto.gov/pubwebapp/external.html?q=9901634.pn.","USPTO")</f>
        <v>0.0</v>
      </c>
      <c r="J3736" s="2" t="n">
        <f>HYPERLINK("https://image-ppubs.uspto.gov/dirsearch-public/print/downloadPdf/9901634","USPTO PDF")</f>
        <v>0.0</v>
      </c>
      <c r="K3736" s="2" t="n">
        <f>HYPERLINK("https://sectors.patentforecast.com/pmd/US9901634","PMD")</f>
        <v>0.0</v>
      </c>
      <c r="L3736" s="2" t="n">
        <f>HYPERLINK("https://globaldossier.uspto.gov/result/patent/US/9901634/1","US9901634")</f>
        <v>0.0</v>
      </c>
      <c r="M3736" t="s">
        <v>19738</v>
      </c>
      <c r="N3736" t="s">
        <v>1275</v>
      </c>
      <c r="O3736" t="s">
        <v>1275</v>
      </c>
      <c r="P3736" t="s">
        <v>23745</v>
      </c>
      <c r="Q3736" s="3" t="n">
        <v>42313.0</v>
      </c>
      <c r="R3736" s="3" t="n">
        <v>43158.0</v>
      </c>
      <c r="S3736" s="3" t="n">
        <v>44019.685416631946</v>
      </c>
      <c r="T3736" s="3" t="n">
        <v>44020.62008091435</v>
      </c>
      <c r="U3736" t="s">
        <v>23746</v>
      </c>
      <c r="V3736" t="s">
        <v>16326</v>
      </c>
    </row>
    <row r="3737">
      <c r="A3737" t="s">
        <v>23557</v>
      </c>
      <c r="B3737" t="s">
        <v>23747</v>
      </c>
      <c r="C3737" t="s">
        <v>132</v>
      </c>
      <c r="D3737" t="s">
        <v>142</v>
      </c>
      <c r="E3737" t="s">
        <v>23648</v>
      </c>
      <c r="F3737" s="2" t="n">
        <f>HYPERLINK("https://patents.google.com/patent/US9896413","Google")</f>
        <v>0.0</v>
      </c>
      <c r="G3737" s="2" t="n">
        <f>HYPERLINK("https://patentcenter.uspto.gov/applications/15614499","Patent Center")</f>
        <v>0.0</v>
      </c>
      <c r="H3737" s="2" t="n">
        <f>HYPERLINK("https://worldwide.espacenet.com/patent/search?q=US9896413","Espacenet")</f>
        <v>0.0</v>
      </c>
      <c r="I3737" s="2" t="n">
        <f>HYPERLINK("https://ppubs.uspto.gov/pubwebapp/external.html?q=9896413.pn.","USPTO")</f>
        <v>0.0</v>
      </c>
      <c r="J3737" s="2" t="n">
        <f>HYPERLINK("https://image-ppubs.uspto.gov/dirsearch-public/print/downloadPdf/9896413","USPTO PDF")</f>
        <v>0.0</v>
      </c>
      <c r="K3737" s="2" t="n">
        <f>HYPERLINK("https://sectors.patentforecast.com/pmd/US9896413","PMD")</f>
        <v>0.0</v>
      </c>
      <c r="L3737" s="2" t="n">
        <f>HYPERLINK("https://globaldossier.uspto.gov/result/patent/US/9896413/1","US9896413")</f>
        <v>0.0</v>
      </c>
      <c r="M3737" t="s">
        <v>23748</v>
      </c>
      <c r="N3737" t="s">
        <v>13916</v>
      </c>
      <c r="O3737" t="s">
        <v>13917</v>
      </c>
      <c r="P3737" t="s">
        <v>23650</v>
      </c>
      <c r="Q3737" s="3" t="n">
        <v>42891.0</v>
      </c>
      <c r="R3737" s="3" t="n">
        <v>43151.0</v>
      </c>
      <c r="S3737" s="3" t="n">
        <v>43992.43079226852</v>
      </c>
      <c r="T3737" s="3" t="n">
        <v>43992.4996362963</v>
      </c>
      <c r="U3737" t="s">
        <v>23749</v>
      </c>
      <c r="V3737" t="s">
        <v>23750</v>
      </c>
    </row>
    <row r="3738">
      <c r="A3738" t="s">
        <v>23557</v>
      </c>
      <c r="B3738" t="s">
        <v>23751</v>
      </c>
      <c r="C3738" t="s">
        <v>132</v>
      </c>
      <c r="D3738" t="s">
        <v>1265</v>
      </c>
      <c r="E3738" t="s">
        <v>23752</v>
      </c>
      <c r="F3738" s="2" t="n">
        <f>HYPERLINK("https://patents.google.com/patent/US9890363","Google")</f>
        <v>0.0</v>
      </c>
      <c r="G3738" s="2" t="n">
        <f>HYPERLINK("https://patentcenter.uspto.gov/applications/15203581","Patent Center")</f>
        <v>0.0</v>
      </c>
      <c r="H3738" s="2" t="n">
        <f>HYPERLINK("https://worldwide.espacenet.com/patent/search?q=US9890363","Espacenet")</f>
        <v>0.0</v>
      </c>
      <c r="I3738" s="2" t="n">
        <f>HYPERLINK("https://ppubs.uspto.gov/pubwebapp/external.html?q=9890363.pn.","USPTO")</f>
        <v>0.0</v>
      </c>
      <c r="J3738" s="2" t="n">
        <f>HYPERLINK("https://image-ppubs.uspto.gov/dirsearch-public/print/downloadPdf/9890363","USPTO PDF")</f>
        <v>0.0</v>
      </c>
      <c r="K3738" s="2" t="n">
        <f>HYPERLINK("https://sectors.patentforecast.com/pmd/US9890363","PMD")</f>
        <v>0.0</v>
      </c>
      <c r="L3738" s="2" t="n">
        <f>HYPERLINK("https://globaldossier.uspto.gov/result/patent/US/9890363/1","US9890363")</f>
        <v>0.0</v>
      </c>
      <c r="M3738" t="s">
        <v>23753</v>
      </c>
      <c r="N3738" t="s">
        <v>1649</v>
      </c>
      <c r="O3738" t="s">
        <v>1650</v>
      </c>
      <c r="P3738" t="s">
        <v>23754</v>
      </c>
      <c r="Q3738" s="3" t="n">
        <v>42557.0</v>
      </c>
      <c r="R3738" s="3" t="n">
        <v>43144.0</v>
      </c>
      <c r="S3738" s="3" t="n">
        <v>43973.46867256944</v>
      </c>
      <c r="T3738" s="3" t="n">
        <v>44545.61425259259</v>
      </c>
      <c r="U3738" t="s">
        <v>23755</v>
      </c>
      <c r="V3738" t="s">
        <v>23756</v>
      </c>
    </row>
    <row r="3739">
      <c r="A3739" t="s">
        <v>23557</v>
      </c>
      <c r="B3739" t="s">
        <v>23757</v>
      </c>
      <c r="C3739" t="s">
        <v>60</v>
      </c>
      <c r="D3739" t="s">
        <v>61</v>
      </c>
      <c r="E3739" t="s">
        <v>23758</v>
      </c>
      <c r="F3739" s="2" t="n">
        <f>HYPERLINK("https://patents.google.com/patent/US9890134","Google")</f>
        <v>0.0</v>
      </c>
      <c r="G3739" s="2" t="n">
        <f>HYPERLINK("https://patentcenter.uspto.gov/applications/15582224","Patent Center")</f>
        <v>0.0</v>
      </c>
      <c r="H3739" s="2" t="n">
        <f>HYPERLINK("https://worldwide.espacenet.com/patent/search?q=US9890134","Espacenet")</f>
        <v>0.0</v>
      </c>
      <c r="I3739" s="2" t="n">
        <f>HYPERLINK("https://ppubs.uspto.gov/pubwebapp/external.html?q=9890134.pn.","USPTO")</f>
        <v>0.0</v>
      </c>
      <c r="J3739" s="2" t="n">
        <f>HYPERLINK("https://image-ppubs.uspto.gov/dirsearch-public/print/downloadPdf/9890134","USPTO PDF")</f>
        <v>0.0</v>
      </c>
      <c r="K3739" s="2" t="n">
        <f>HYPERLINK("https://sectors.patentforecast.com/pmd/US9890134","PMD")</f>
        <v>0.0</v>
      </c>
      <c r="L3739" s="2" t="n">
        <f>HYPERLINK("https://globaldossier.uspto.gov/result/patent/US/9890134/1","US9890134")</f>
        <v>0.0</v>
      </c>
      <c r="M3739" t="s">
        <v>19018</v>
      </c>
      <c r="N3739" t="s">
        <v>664</v>
      </c>
      <c r="O3739" t="s">
        <v>665</v>
      </c>
      <c r="P3739" t="s">
        <v>23759</v>
      </c>
      <c r="Q3739" s="3" t="n">
        <v>42853.0</v>
      </c>
      <c r="R3739" s="3" t="n">
        <v>43144.0</v>
      </c>
      <c r="S3739" s="3" t="n">
        <v>43950.647372685184</v>
      </c>
      <c r="T3739" s="3" t="n">
        <v>44638.65271974537</v>
      </c>
      <c r="U3739" t="s">
        <v>23760</v>
      </c>
      <c r="V3739" t="s">
        <v>23761</v>
      </c>
    </row>
    <row r="3740">
      <c r="A3740" t="s">
        <v>23557</v>
      </c>
      <c r="B3740" t="s">
        <v>23762</v>
      </c>
      <c r="C3740" t="s">
        <v>60</v>
      </c>
      <c r="D3740" t="s">
        <v>61</v>
      </c>
      <c r="E3740" t="s">
        <v>23763</v>
      </c>
      <c r="F3740" s="2" t="n">
        <f>HYPERLINK("https://patents.google.com/patent/US9890133","Google")</f>
        <v>0.0</v>
      </c>
      <c r="G3740" s="2" t="n">
        <f>HYPERLINK("https://patentcenter.uspto.gov/applications/15189771","Patent Center")</f>
        <v>0.0</v>
      </c>
      <c r="H3740" s="2" t="n">
        <f>HYPERLINK("https://worldwide.espacenet.com/patent/search?q=US9890133","Espacenet")</f>
        <v>0.0</v>
      </c>
      <c r="I3740" s="2" t="n">
        <f>HYPERLINK("https://ppubs.uspto.gov/pubwebapp/external.html?q=9890133.pn.","USPTO")</f>
        <v>0.0</v>
      </c>
      <c r="J3740" s="2" t="n">
        <f>HYPERLINK("https://image-ppubs.uspto.gov/dirsearch-public/print/downloadPdf/9890133","USPTO PDF")</f>
        <v>0.0</v>
      </c>
      <c r="K3740" s="2" t="n">
        <f>HYPERLINK("https://sectors.patentforecast.com/pmd/US9890133","PMD")</f>
        <v>0.0</v>
      </c>
      <c r="L3740" s="2" t="n">
        <f>HYPERLINK("https://globaldossier.uspto.gov/result/patent/US/9890133/1","US9890133")</f>
        <v>0.0</v>
      </c>
      <c r="M3740" t="s">
        <v>19503</v>
      </c>
      <c r="N3740" t="s">
        <v>19232</v>
      </c>
      <c r="O3740" t="s">
        <v>19233</v>
      </c>
      <c r="P3740" t="s">
        <v>23764</v>
      </c>
      <c r="Q3740" s="3" t="n">
        <v>42543.0</v>
      </c>
      <c r="R3740" s="3" t="n">
        <v>43144.0</v>
      </c>
      <c r="S3740" s="3" t="n">
        <v>43900.437267939815</v>
      </c>
      <c r="T3740" s="3" t="n">
        <v>43901.70557077546</v>
      </c>
      <c r="U3740" t="s">
        <v>23765</v>
      </c>
      <c r="V3740" t="s">
        <v>19506</v>
      </c>
    </row>
    <row r="3741">
      <c r="A3741" t="s">
        <v>23557</v>
      </c>
      <c r="B3741" t="s">
        <v>23766</v>
      </c>
      <c r="C3741" t="s">
        <v>132</v>
      </c>
      <c r="D3741" t="s">
        <v>133</v>
      </c>
      <c r="E3741" t="s">
        <v>23767</v>
      </c>
      <c r="F3741" s="2" t="n">
        <f>HYPERLINK("https://patents.google.com/patent/US9889194","Google")</f>
        <v>0.0</v>
      </c>
      <c r="G3741" s="2" t="n">
        <f>HYPERLINK("https://patentcenter.uspto.gov/applications/14375083","Patent Center")</f>
        <v>0.0</v>
      </c>
      <c r="H3741" s="2" t="n">
        <f>HYPERLINK("https://worldwide.espacenet.com/patent/search?q=US9889194","Espacenet")</f>
        <v>0.0</v>
      </c>
      <c r="I3741" s="2" t="n">
        <f>HYPERLINK("https://ppubs.uspto.gov/pubwebapp/external.html?q=9889194.pn.","USPTO")</f>
        <v>0.0</v>
      </c>
      <c r="J3741" s="2" t="n">
        <f>HYPERLINK("https://image-ppubs.uspto.gov/dirsearch-public/print/downloadPdf/9889194","USPTO PDF")</f>
        <v>0.0</v>
      </c>
      <c r="K3741" s="2" t="n">
        <f>HYPERLINK("https://sectors.patentforecast.com/pmd/US9889194","PMD")</f>
        <v>0.0</v>
      </c>
      <c r="L3741" s="2" t="n">
        <f>HYPERLINK("https://globaldossier.uspto.gov/result/patent/US/9889194/1","US9889194")</f>
        <v>0.0</v>
      </c>
      <c r="M3741" t="s">
        <v>19509</v>
      </c>
      <c r="N3741" t="s">
        <v>17380</v>
      </c>
      <c r="O3741" t="s">
        <v>17381</v>
      </c>
      <c r="P3741" t="s">
        <v>23768</v>
      </c>
      <c r="Q3741" s="3" t="n">
        <v>41698.0</v>
      </c>
      <c r="R3741" s="3" t="n">
        <v>43144.0</v>
      </c>
      <c r="S3741" s="3" t="n">
        <v>43935.70415306713</v>
      </c>
      <c r="T3741" s="3" t="n">
        <v>43950.462844837966</v>
      </c>
      <c r="U3741" t="s">
        <v>23769</v>
      </c>
      <c r="V3741" t="s">
        <v>17384</v>
      </c>
    </row>
    <row r="3742">
      <c r="A3742" t="s">
        <v>23557</v>
      </c>
      <c r="B3742" t="s">
        <v>23770</v>
      </c>
      <c r="C3742" t="s">
        <v>60</v>
      </c>
      <c r="D3742" t="s">
        <v>696</v>
      </c>
      <c r="E3742" t="s">
        <v>22011</v>
      </c>
      <c r="F3742" s="2" t="n">
        <f>HYPERLINK("https://patents.google.com/patent/US9884912","Google")</f>
        <v>0.0</v>
      </c>
      <c r="G3742" s="2" t="n">
        <f>HYPERLINK("https://patentcenter.uspto.gov/applications/14546074","Patent Center")</f>
        <v>0.0</v>
      </c>
      <c r="H3742" s="2" t="n">
        <f>HYPERLINK("https://worldwide.espacenet.com/patent/search?q=US9884912","Espacenet")</f>
        <v>0.0</v>
      </c>
      <c r="I3742" s="2" t="n">
        <f>HYPERLINK("https://ppubs.uspto.gov/pubwebapp/external.html?q=9884912.pn.","USPTO")</f>
        <v>0.0</v>
      </c>
      <c r="J3742" s="2" t="n">
        <f>HYPERLINK("https://image-ppubs.uspto.gov/dirsearch-public/print/downloadPdf/9884912","USPTO PDF")</f>
        <v>0.0</v>
      </c>
      <c r="K3742" s="2" t="n">
        <f>HYPERLINK("https://sectors.patentforecast.com/pmd/US9884912","PMD")</f>
        <v>0.0</v>
      </c>
      <c r="L3742" s="2" t="n">
        <f>HYPERLINK("https://globaldossier.uspto.gov/result/patent/US/9884912/1","US9884912")</f>
        <v>0.0</v>
      </c>
      <c r="M3742" t="s">
        <v>20311</v>
      </c>
      <c r="N3742" t="s">
        <v>16927</v>
      </c>
      <c r="O3742" t="s">
        <v>16928</v>
      </c>
      <c r="P3742" t="s">
        <v>23771</v>
      </c>
      <c r="Q3742" s="3" t="n">
        <v>41961.0</v>
      </c>
      <c r="R3742" s="3" t="n">
        <v>43137.0</v>
      </c>
      <c r="S3742" s="3" t="n">
        <v>43973.46867256944</v>
      </c>
      <c r="T3742" s="3" t="n">
        <v>44643.44490069444</v>
      </c>
      <c r="U3742" t="s">
        <v>23772</v>
      </c>
      <c r="V3742" t="s">
        <v>16993</v>
      </c>
    </row>
    <row r="3743">
      <c r="A3743" t="s">
        <v>23557</v>
      </c>
      <c r="B3743" t="s">
        <v>23773</v>
      </c>
      <c r="C3743" t="s">
        <v>132</v>
      </c>
      <c r="D3743" t="s">
        <v>133</v>
      </c>
      <c r="E3743" t="s">
        <v>23774</v>
      </c>
      <c r="F3743" s="2" t="n">
        <f>HYPERLINK("https://patents.google.com/patent/US9884895","Google")</f>
        <v>0.0</v>
      </c>
      <c r="G3743" s="2" t="n">
        <f>HYPERLINK("https://patentcenter.uspto.gov/applications/15124992","Patent Center")</f>
        <v>0.0</v>
      </c>
      <c r="H3743" s="2" t="n">
        <f>HYPERLINK("https://worldwide.espacenet.com/patent/search?q=US9884895","Espacenet")</f>
        <v>0.0</v>
      </c>
      <c r="I3743" s="2" t="n">
        <f>HYPERLINK("https://ppubs.uspto.gov/pubwebapp/external.html?q=9884895.pn.","USPTO")</f>
        <v>0.0</v>
      </c>
      <c r="J3743" s="2" t="n">
        <f>HYPERLINK("https://image-ppubs.uspto.gov/dirsearch-public/print/downloadPdf/9884895","USPTO PDF")</f>
        <v>0.0</v>
      </c>
      <c r="K3743" s="2" t="n">
        <f>HYPERLINK("https://sectors.patentforecast.com/pmd/US9884895","PMD")</f>
        <v>0.0</v>
      </c>
      <c r="L3743" s="2" t="n">
        <f>HYPERLINK("https://globaldossier.uspto.gov/result/patent/US/9884895/1","US9884895")</f>
        <v>0.0</v>
      </c>
      <c r="M3743" t="s">
        <v>19325</v>
      </c>
      <c r="N3743" t="s">
        <v>12054</v>
      </c>
      <c r="O3743" t="s">
        <v>12055</v>
      </c>
      <c r="P3743" t="s">
        <v>23775</v>
      </c>
      <c r="Q3743" s="3" t="n">
        <v>42083.0</v>
      </c>
      <c r="R3743" s="3" t="n">
        <v>43137.0</v>
      </c>
      <c r="S3743" s="3" t="n">
        <v>43935.70415306713</v>
      </c>
      <c r="T3743" s="3" t="n">
        <v>43950.462844837966</v>
      </c>
      <c r="U3743" t="s">
        <v>23776</v>
      </c>
      <c r="V3743" t="s">
        <v>19328</v>
      </c>
    </row>
    <row r="3744">
      <c r="A3744" t="s">
        <v>23557</v>
      </c>
      <c r="B3744" t="s">
        <v>23777</v>
      </c>
      <c r="C3744" t="s">
        <v>60</v>
      </c>
      <c r="D3744" t="s">
        <v>61</v>
      </c>
      <c r="E3744" t="s">
        <v>23778</v>
      </c>
      <c r="F3744" s="2" t="n">
        <f>HYPERLINK("https://patents.google.com/patent/US9884876","Google")</f>
        <v>0.0</v>
      </c>
      <c r="G3744" s="2" t="n">
        <f>HYPERLINK("https://patentcenter.uspto.gov/applications/15308058","Patent Center")</f>
        <v>0.0</v>
      </c>
      <c r="H3744" s="2" t="n">
        <f>HYPERLINK("https://worldwide.espacenet.com/patent/search?q=US9884876","Espacenet")</f>
        <v>0.0</v>
      </c>
      <c r="I3744" s="2" t="n">
        <f>HYPERLINK("https://ppubs.uspto.gov/pubwebapp/external.html?q=9884876.pn.","USPTO")</f>
        <v>0.0</v>
      </c>
      <c r="J3744" s="2" t="n">
        <f>HYPERLINK("https://image-ppubs.uspto.gov/dirsearch-public/print/downloadPdf/9884876","USPTO PDF")</f>
        <v>0.0</v>
      </c>
      <c r="K3744" s="2" t="n">
        <f>HYPERLINK("https://sectors.patentforecast.com/pmd/US9884876","PMD")</f>
        <v>0.0</v>
      </c>
      <c r="L3744" s="2" t="n">
        <f>HYPERLINK("https://globaldossier.uspto.gov/result/patent/US/9884876/1","US9884876")</f>
        <v>0.0</v>
      </c>
      <c r="M3744" t="s">
        <v>23779</v>
      </c>
      <c r="N3744" t="s">
        <v>23780</v>
      </c>
      <c r="O3744" t="s">
        <v>23781</v>
      </c>
      <c r="P3744" t="s">
        <v>23782</v>
      </c>
      <c r="Q3744" s="3" t="n">
        <v>42132.0</v>
      </c>
      <c r="R3744" s="3" t="n">
        <v>43137.0</v>
      </c>
      <c r="S3744" s="3" t="n">
        <v>43973.46867256944</v>
      </c>
      <c r="T3744" s="3" t="n">
        <v>44545.362065520836</v>
      </c>
      <c r="U3744" t="s">
        <v>23783</v>
      </c>
      <c r="V3744" t="s">
        <v>23784</v>
      </c>
    </row>
    <row r="3745">
      <c r="A3745" t="s">
        <v>23557</v>
      </c>
      <c r="B3745" t="s">
        <v>23785</v>
      </c>
      <c r="C3745" t="s">
        <v>60</v>
      </c>
      <c r="D3745" t="s">
        <v>61</v>
      </c>
      <c r="E3745" t="s">
        <v>23786</v>
      </c>
      <c r="F3745" s="2" t="n">
        <f>HYPERLINK("https://patents.google.com/patent/US9884873","Google")</f>
        <v>0.0</v>
      </c>
      <c r="G3745" s="2" t="n">
        <f>HYPERLINK("https://patentcenter.uspto.gov/applications/15459785","Patent Center")</f>
        <v>0.0</v>
      </c>
      <c r="H3745" s="2" t="n">
        <f>HYPERLINK("https://worldwide.espacenet.com/patent/search?q=US9884873","Espacenet")</f>
        <v>0.0</v>
      </c>
      <c r="I3745" s="2" t="n">
        <f>HYPERLINK("https://ppubs.uspto.gov/pubwebapp/external.html?q=9884873.pn.","USPTO")</f>
        <v>0.0</v>
      </c>
      <c r="J3745" s="2" t="n">
        <f>HYPERLINK("https://image-ppubs.uspto.gov/dirsearch-public/print/downloadPdf/9884873","USPTO PDF")</f>
        <v>0.0</v>
      </c>
      <c r="K3745" s="2" t="n">
        <f>HYPERLINK("https://sectors.patentforecast.com/pmd/US9884873","PMD")</f>
        <v>0.0</v>
      </c>
      <c r="L3745" s="2" t="n">
        <f>HYPERLINK("https://globaldossier.uspto.gov/result/patent/US/9884873/1","US9884873")</f>
        <v>0.0</v>
      </c>
      <c r="M3745" t="s">
        <v>19078</v>
      </c>
      <c r="N3745" t="s">
        <v>664</v>
      </c>
      <c r="O3745" t="s">
        <v>665</v>
      </c>
      <c r="P3745" t="s">
        <v>23787</v>
      </c>
      <c r="Q3745" s="3" t="n">
        <v>42809.0</v>
      </c>
      <c r="R3745" s="3" t="n">
        <v>43137.0</v>
      </c>
      <c r="S3745" s="3" t="n">
        <v>43957.460613773146</v>
      </c>
      <c r="T3745" s="3" t="n">
        <v>44638.65271974537</v>
      </c>
      <c r="U3745" t="s">
        <v>23788</v>
      </c>
      <c r="V3745" t="s">
        <v>23789</v>
      </c>
    </row>
    <row r="3746">
      <c r="A3746" t="s">
        <v>23557</v>
      </c>
      <c r="B3746" t="s">
        <v>23790</v>
      </c>
      <c r="C3746" t="s">
        <v>132</v>
      </c>
      <c r="D3746" t="s">
        <v>1265</v>
      </c>
      <c r="E3746" t="s">
        <v>23791</v>
      </c>
      <c r="F3746" s="2" t="n">
        <f>HYPERLINK("https://patents.google.com/patent/US9884832","Google")</f>
        <v>0.0</v>
      </c>
      <c r="G3746" s="2" t="n">
        <f>HYPERLINK("https://patentcenter.uspto.gov/applications/14363116","Patent Center")</f>
        <v>0.0</v>
      </c>
      <c r="H3746" s="2" t="n">
        <f>HYPERLINK("https://worldwide.espacenet.com/patent/search?q=US9884832","Espacenet")</f>
        <v>0.0</v>
      </c>
      <c r="I3746" s="2" t="n">
        <f>HYPERLINK("https://ppubs.uspto.gov/pubwebapp/external.html?q=9884832.pn.","USPTO")</f>
        <v>0.0</v>
      </c>
      <c r="J3746" s="2" t="n">
        <f>HYPERLINK("https://image-ppubs.uspto.gov/dirsearch-public/print/downloadPdf/9884832","USPTO PDF")</f>
        <v>0.0</v>
      </c>
      <c r="K3746" s="2" t="n">
        <f>HYPERLINK("https://sectors.patentforecast.com/pmd/US9884832","PMD")</f>
        <v>0.0</v>
      </c>
      <c r="L3746" s="2" t="n">
        <f>HYPERLINK("https://globaldossier.uspto.gov/result/patent/US/9884832/1","US9884832")</f>
        <v>0.0</v>
      </c>
      <c r="M3746" t="s">
        <v>23792</v>
      </c>
      <c r="N3746" t="s">
        <v>14432</v>
      </c>
      <c r="O3746" t="s">
        <v>14432</v>
      </c>
      <c r="P3746" t="s">
        <v>23793</v>
      </c>
      <c r="Q3746" s="3" t="n">
        <v>41249.0</v>
      </c>
      <c r="R3746" s="3" t="n">
        <v>43137.0</v>
      </c>
      <c r="S3746" s="3" t="n">
        <v>43973.46867256944</v>
      </c>
      <c r="T3746" s="3" t="n">
        <v>44545.61462850695</v>
      </c>
      <c r="U3746" t="s">
        <v>23794</v>
      </c>
      <c r="V3746" t="s">
        <v>23795</v>
      </c>
    </row>
    <row r="3747">
      <c r="A3747" t="s">
        <v>23557</v>
      </c>
      <c r="B3747" t="s">
        <v>23796</v>
      </c>
      <c r="C3747" t="s">
        <v>60</v>
      </c>
      <c r="D3747" t="s">
        <v>696</v>
      </c>
      <c r="E3747" t="s">
        <v>22011</v>
      </c>
      <c r="F3747" s="2" t="n">
        <f>HYPERLINK("https://patents.google.com/patent/US9879074","Google")</f>
        <v>0.0</v>
      </c>
      <c r="G3747" s="2" t="n">
        <f>HYPERLINK("https://patentcenter.uspto.gov/applications/14725435","Patent Center")</f>
        <v>0.0</v>
      </c>
      <c r="H3747" s="2" t="n">
        <f>HYPERLINK("https://worldwide.espacenet.com/patent/search?q=US9879074","Espacenet")</f>
        <v>0.0</v>
      </c>
      <c r="I3747" s="2" t="n">
        <f>HYPERLINK("https://ppubs.uspto.gov/pubwebapp/external.html?q=9879074.pn.","USPTO")</f>
        <v>0.0</v>
      </c>
      <c r="J3747" s="2" t="n">
        <f>HYPERLINK("https://image-ppubs.uspto.gov/dirsearch-public/print/downloadPdf/9879074","USPTO PDF")</f>
        <v>0.0</v>
      </c>
      <c r="K3747" s="2" t="n">
        <f>HYPERLINK("https://sectors.patentforecast.com/pmd/US9879074","PMD")</f>
        <v>0.0</v>
      </c>
      <c r="L3747" s="2" t="n">
        <f>HYPERLINK("https://globaldossier.uspto.gov/result/patent/US/9879074/1","US9879074")</f>
        <v>0.0</v>
      </c>
      <c r="M3747" t="s">
        <v>20044</v>
      </c>
      <c r="N3747" t="s">
        <v>16927</v>
      </c>
      <c r="O3747" t="s">
        <v>16928</v>
      </c>
      <c r="P3747" t="s">
        <v>23797</v>
      </c>
      <c r="Q3747" s="3" t="n">
        <v>42153.0</v>
      </c>
      <c r="R3747" s="3" t="n">
        <v>43130.0</v>
      </c>
      <c r="S3747" s="3" t="n">
        <v>43971.49030503472</v>
      </c>
      <c r="T3747" s="3" t="n">
        <v>44643.44490069444</v>
      </c>
      <c r="U3747" t="s">
        <v>23798</v>
      </c>
      <c r="V3747" t="s">
        <v>17876</v>
      </c>
    </row>
    <row r="3748">
      <c r="A3748" t="s">
        <v>23557</v>
      </c>
      <c r="B3748" t="s">
        <v>23799</v>
      </c>
      <c r="C3748" t="s">
        <v>132</v>
      </c>
      <c r="D3748" t="s">
        <v>1265</v>
      </c>
      <c r="E3748" t="s">
        <v>23800</v>
      </c>
      <c r="F3748" s="2" t="n">
        <f>HYPERLINK("https://patents.google.com/patent/US9879066","Google")</f>
        <v>0.0</v>
      </c>
      <c r="G3748" s="2" t="n">
        <f>HYPERLINK("https://patentcenter.uspto.gov/applications/15215738","Patent Center")</f>
        <v>0.0</v>
      </c>
      <c r="H3748" s="2" t="n">
        <f>HYPERLINK("https://worldwide.espacenet.com/patent/search?q=US9879066","Espacenet")</f>
        <v>0.0</v>
      </c>
      <c r="I3748" s="2" t="n">
        <f>HYPERLINK("https://ppubs.uspto.gov/pubwebapp/external.html?q=9879066.pn.","USPTO")</f>
        <v>0.0</v>
      </c>
      <c r="J3748" s="2" t="n">
        <f>HYPERLINK("https://image-ppubs.uspto.gov/dirsearch-public/print/downloadPdf/9879066","USPTO PDF")</f>
        <v>0.0</v>
      </c>
      <c r="K3748" s="2" t="n">
        <f>HYPERLINK("https://sectors.patentforecast.com/pmd/US9879066","PMD")</f>
        <v>0.0</v>
      </c>
      <c r="L3748" s="2" t="n">
        <f>HYPERLINK("https://globaldossier.uspto.gov/result/patent/US/9879066/1","US9879066")</f>
        <v>0.0</v>
      </c>
      <c r="M3748" t="s">
        <v>23801</v>
      </c>
      <c r="N3748" t="s">
        <v>23710</v>
      </c>
      <c r="O3748" t="s">
        <v>23711</v>
      </c>
      <c r="P3748" t="s">
        <v>23802</v>
      </c>
      <c r="Q3748" s="3" t="n">
        <v>42572.0</v>
      </c>
      <c r="R3748" s="3" t="n">
        <v>43130.0</v>
      </c>
      <c r="S3748" s="3" t="n">
        <v>43973.46867256944</v>
      </c>
      <c r="T3748" s="3" t="n">
        <v>44545.61266407408</v>
      </c>
      <c r="U3748" t="s">
        <v>23803</v>
      </c>
      <c r="V3748" t="s">
        <v>23804</v>
      </c>
    </row>
    <row r="3749">
      <c r="A3749" t="s">
        <v>23557</v>
      </c>
      <c r="B3749" t="s">
        <v>23805</v>
      </c>
      <c r="C3749" t="s">
        <v>60</v>
      </c>
      <c r="D3749" t="s">
        <v>61</v>
      </c>
      <c r="E3749" t="s">
        <v>23564</v>
      </c>
      <c r="F3749" s="2" t="n">
        <f>HYPERLINK("https://patents.google.com/patent/US9873716","Google")</f>
        <v>0.0</v>
      </c>
      <c r="G3749" s="2" t="n">
        <f>HYPERLINK("https://patentcenter.uspto.gov/applications/14740680","Patent Center")</f>
        <v>0.0</v>
      </c>
      <c r="H3749" s="2" t="n">
        <f>HYPERLINK("https://worldwide.espacenet.com/patent/search?q=US9873716","Espacenet")</f>
        <v>0.0</v>
      </c>
      <c r="I3749" s="2" t="n">
        <f>HYPERLINK("https://ppubs.uspto.gov/pubwebapp/external.html?q=9873716.pn.","USPTO")</f>
        <v>0.0</v>
      </c>
      <c r="J3749" s="2" t="n">
        <f>HYPERLINK("https://image-ppubs.uspto.gov/dirsearch-public/print/downloadPdf/9873716","USPTO PDF")</f>
        <v>0.0</v>
      </c>
      <c r="K3749" s="2" t="n">
        <f>HYPERLINK("https://sectors.patentforecast.com/pmd/US9873716","PMD")</f>
        <v>0.0</v>
      </c>
      <c r="L3749" s="2" t="n">
        <f>HYPERLINK("https://globaldossier.uspto.gov/result/patent/US/9873716/1","US9873716")</f>
        <v>0.0</v>
      </c>
      <c r="M3749" t="s">
        <v>20140</v>
      </c>
      <c r="N3749" t="s">
        <v>19174</v>
      </c>
      <c r="O3749" t="s">
        <v>19175</v>
      </c>
      <c r="P3749" t="s">
        <v>23806</v>
      </c>
      <c r="Q3749" s="3" t="n">
        <v>42171.0</v>
      </c>
      <c r="R3749" s="3" t="n">
        <v>43123.0</v>
      </c>
      <c r="S3749" s="3" t="n">
        <v>43957.460613773146</v>
      </c>
      <c r="T3749" s="3" t="n">
        <v>44638.65643378472</v>
      </c>
      <c r="U3749" t="s">
        <v>23807</v>
      </c>
      <c r="V3749" t="s">
        <v>23808</v>
      </c>
    </row>
    <row r="3750">
      <c r="A3750" t="s">
        <v>23557</v>
      </c>
      <c r="B3750" t="s">
        <v>23809</v>
      </c>
      <c r="C3750" t="s">
        <v>132</v>
      </c>
      <c r="D3750" t="s">
        <v>142</v>
      </c>
      <c r="E3750" t="s">
        <v>23810</v>
      </c>
      <c r="F3750" s="2" t="n">
        <f>HYPERLINK("https://patents.google.com/patent/US9872900","Google")</f>
        <v>0.0</v>
      </c>
      <c r="G3750" s="2" t="n">
        <f>HYPERLINK("https://patentcenter.uspto.gov/applications/15091123","Patent Center")</f>
        <v>0.0</v>
      </c>
      <c r="H3750" s="2" t="n">
        <f>HYPERLINK("https://worldwide.espacenet.com/patent/search?q=US9872900","Espacenet")</f>
        <v>0.0</v>
      </c>
      <c r="I3750" s="2" t="n">
        <f>HYPERLINK("https://ppubs.uspto.gov/pubwebapp/external.html?q=9872900.pn.","USPTO")</f>
        <v>0.0</v>
      </c>
      <c r="J3750" s="2" t="n">
        <f>HYPERLINK("https://image-ppubs.uspto.gov/dirsearch-public/print/downloadPdf/9872900","USPTO PDF")</f>
        <v>0.0</v>
      </c>
      <c r="K3750" s="2" t="n">
        <f>HYPERLINK("https://sectors.patentforecast.com/pmd/US9872900","PMD")</f>
        <v>0.0</v>
      </c>
      <c r="L3750" s="2" t="n">
        <f>HYPERLINK("https://globaldossier.uspto.gov/result/patent/US/9872900/1","US9872900")</f>
        <v>0.0</v>
      </c>
      <c r="M3750" t="s">
        <v>19473</v>
      </c>
      <c r="N3750" t="s">
        <v>145</v>
      </c>
      <c r="O3750" t="s">
        <v>146</v>
      </c>
      <c r="P3750" t="s">
        <v>23811</v>
      </c>
      <c r="Q3750" s="3" t="n">
        <v>42465.0</v>
      </c>
      <c r="R3750" s="3" t="n">
        <v>43123.0</v>
      </c>
      <c r="S3750" s="3" t="n">
        <v>43935.70406527778</v>
      </c>
      <c r="T3750" s="3" t="n">
        <v>43950.49997215278</v>
      </c>
      <c r="U3750" t="s">
        <v>23812</v>
      </c>
      <c r="V3750" t="s">
        <v>17980</v>
      </c>
    </row>
    <row r="3751">
      <c r="A3751" t="s">
        <v>23557</v>
      </c>
      <c r="B3751" t="s">
        <v>23813</v>
      </c>
      <c r="C3751" t="s">
        <v>132</v>
      </c>
      <c r="D3751" t="s">
        <v>1265</v>
      </c>
      <c r="E3751" t="s">
        <v>23814</v>
      </c>
      <c r="F3751" s="2" t="n">
        <f>HYPERLINK("https://patents.google.com/patent/US9868952","Google")</f>
        <v>0.0</v>
      </c>
      <c r="G3751" s="2" t="n">
        <f>HYPERLINK("https://patentcenter.uspto.gov/applications/14418432","Patent Center")</f>
        <v>0.0</v>
      </c>
      <c r="H3751" s="2" t="n">
        <f>HYPERLINK("https://worldwide.espacenet.com/patent/search?q=US9868952","Espacenet")</f>
        <v>0.0</v>
      </c>
      <c r="I3751" s="2" t="n">
        <f>HYPERLINK("https://ppubs.uspto.gov/pubwebapp/external.html?q=9868952.pn.","USPTO")</f>
        <v>0.0</v>
      </c>
      <c r="J3751" s="2" t="n">
        <f>HYPERLINK("https://image-ppubs.uspto.gov/dirsearch-public/print/downloadPdf/9868952","USPTO PDF")</f>
        <v>0.0</v>
      </c>
      <c r="K3751" s="2" t="n">
        <f>HYPERLINK("https://sectors.patentforecast.com/pmd/US9868952","PMD")</f>
        <v>0.0</v>
      </c>
      <c r="L3751" s="2" t="n">
        <f>HYPERLINK("https://globaldossier.uspto.gov/result/patent/US/9868952/1","US9868952")</f>
        <v>0.0</v>
      </c>
      <c r="M3751" t="s">
        <v>23815</v>
      </c>
      <c r="N3751" t="s">
        <v>403</v>
      </c>
      <c r="O3751" t="s">
        <v>404</v>
      </c>
      <c r="P3751" t="s">
        <v>23816</v>
      </c>
      <c r="Q3751" s="3" t="n">
        <v>41462.0</v>
      </c>
      <c r="R3751" s="3" t="n">
        <v>43116.0</v>
      </c>
      <c r="S3751" s="3" t="n">
        <v>43973.46867256944</v>
      </c>
      <c r="T3751" s="3" t="n">
        <v>44545.57409056713</v>
      </c>
      <c r="U3751" t="s">
        <v>23817</v>
      </c>
      <c r="V3751" t="s">
        <v>23818</v>
      </c>
    </row>
    <row r="3752">
      <c r="A3752" t="s">
        <v>23557</v>
      </c>
      <c r="B3752" t="s">
        <v>23819</v>
      </c>
      <c r="C3752" t="s">
        <v>60</v>
      </c>
      <c r="D3752" t="s">
        <v>61</v>
      </c>
      <c r="E3752" t="s">
        <v>22432</v>
      </c>
      <c r="F3752" s="2" t="n">
        <f>HYPERLINK("https://patents.google.com/patent/US9868745","Google")</f>
        <v>0.0</v>
      </c>
      <c r="G3752" s="2" t="n">
        <f>HYPERLINK("https://patentcenter.uspto.gov/applications/14541057","Patent Center")</f>
        <v>0.0</v>
      </c>
      <c r="H3752" s="2" t="n">
        <f>HYPERLINK("https://worldwide.espacenet.com/patent/search?q=US9868745","Espacenet")</f>
        <v>0.0</v>
      </c>
      <c r="I3752" s="2" t="n">
        <f>HYPERLINK("https://ppubs.uspto.gov/pubwebapp/external.html?q=9868745.pn.","USPTO")</f>
        <v>0.0</v>
      </c>
      <c r="J3752" s="2" t="n">
        <f>HYPERLINK("https://image-ppubs.uspto.gov/dirsearch-public/print/downloadPdf/9868745","USPTO PDF")</f>
        <v>0.0</v>
      </c>
      <c r="K3752" s="2" t="n">
        <f>HYPERLINK("https://sectors.patentforecast.com/pmd/US9868745","PMD")</f>
        <v>0.0</v>
      </c>
      <c r="L3752" s="2" t="n">
        <f>HYPERLINK("https://globaldossier.uspto.gov/result/patent/US/9868745/1","US9868745")</f>
        <v>0.0</v>
      </c>
      <c r="M3752" t="s">
        <v>20303</v>
      </c>
      <c r="N3752" t="s">
        <v>664</v>
      </c>
      <c r="O3752" t="s">
        <v>665</v>
      </c>
      <c r="P3752" t="s">
        <v>23820</v>
      </c>
      <c r="Q3752" s="3" t="n">
        <v>41956.0</v>
      </c>
      <c r="R3752" s="3" t="n">
        <v>43116.0</v>
      </c>
      <c r="S3752" s="3" t="n">
        <v>43957.460613773146</v>
      </c>
      <c r="T3752" s="3" t="n">
        <v>44544.455635659724</v>
      </c>
      <c r="U3752" t="s">
        <v>23821</v>
      </c>
      <c r="V3752" t="s">
        <v>17072</v>
      </c>
    </row>
    <row r="3753">
      <c r="A3753" t="s">
        <v>23557</v>
      </c>
      <c r="B3753" t="s">
        <v>23822</v>
      </c>
      <c r="C3753" t="s">
        <v>60</v>
      </c>
      <c r="D3753" t="s">
        <v>61</v>
      </c>
      <c r="E3753" t="s">
        <v>23823</v>
      </c>
      <c r="F3753" s="2" t="n">
        <f>HYPERLINK("https://patents.google.com/patent/US9862728","Google")</f>
        <v>0.0</v>
      </c>
      <c r="G3753" s="2" t="n">
        <f>HYPERLINK("https://patentcenter.uspto.gov/applications/15387318","Patent Center")</f>
        <v>0.0</v>
      </c>
      <c r="H3753" s="2" t="n">
        <f>HYPERLINK("https://worldwide.espacenet.com/patent/search?q=US9862728","Espacenet")</f>
        <v>0.0</v>
      </c>
      <c r="I3753" s="2" t="n">
        <f>HYPERLINK("https://ppubs.uspto.gov/pubwebapp/external.html?q=9862728.pn.","USPTO")</f>
        <v>0.0</v>
      </c>
      <c r="J3753" s="2" t="n">
        <f>HYPERLINK("https://image-ppubs.uspto.gov/dirsearch-public/print/downloadPdf/9862728","USPTO PDF")</f>
        <v>0.0</v>
      </c>
      <c r="K3753" s="2" t="n">
        <f>HYPERLINK("https://sectors.patentforecast.com/pmd/US9862728","PMD")</f>
        <v>0.0</v>
      </c>
      <c r="L3753" s="2" t="n">
        <f>HYPERLINK("https://globaldossier.uspto.gov/result/patent/US/9862728/1","US9862728")</f>
        <v>0.0</v>
      </c>
      <c r="M3753" t="s">
        <v>19034</v>
      </c>
      <c r="N3753" t="s">
        <v>664</v>
      </c>
      <c r="O3753" t="s">
        <v>665</v>
      </c>
      <c r="P3753" t="s">
        <v>23824</v>
      </c>
      <c r="Q3753" s="3" t="n">
        <v>42725.0</v>
      </c>
      <c r="R3753" s="3" t="n">
        <v>43109.0</v>
      </c>
      <c r="S3753" s="3" t="n">
        <v>43957.460613773146</v>
      </c>
      <c r="T3753" s="3" t="n">
        <v>44638.65271974537</v>
      </c>
      <c r="U3753" t="s">
        <v>23825</v>
      </c>
      <c r="V3753" t="s">
        <v>23826</v>
      </c>
    </row>
    <row r="3754">
      <c r="A3754" t="s">
        <v>23557</v>
      </c>
      <c r="B3754" t="s">
        <v>23827</v>
      </c>
      <c r="C3754" t="s">
        <v>132</v>
      </c>
      <c r="D3754" t="s">
        <v>142</v>
      </c>
      <c r="E3754" t="s">
        <v>23648</v>
      </c>
      <c r="F3754" s="2" t="n">
        <f>HYPERLINK("https://patents.google.com/patent/US9850202","Google")</f>
        <v>0.0</v>
      </c>
      <c r="G3754" s="2" t="n">
        <f>HYPERLINK("https://patentcenter.uspto.gov/applications/15423008","Patent Center")</f>
        <v>0.0</v>
      </c>
      <c r="H3754" s="2" t="n">
        <f>HYPERLINK("https://worldwide.espacenet.com/patent/search?q=US9850202","Espacenet")</f>
        <v>0.0</v>
      </c>
      <c r="I3754" s="2" t="n">
        <f>HYPERLINK("https://ppubs.uspto.gov/pubwebapp/external.html?q=9850202.pn.","USPTO")</f>
        <v>0.0</v>
      </c>
      <c r="J3754" s="2" t="n">
        <f>HYPERLINK("https://image-ppubs.uspto.gov/dirsearch-public/print/downloadPdf/9850202","USPTO PDF")</f>
        <v>0.0</v>
      </c>
      <c r="K3754" s="2" t="n">
        <f>HYPERLINK("https://sectors.patentforecast.com/pmd/US9850202","PMD")</f>
        <v>0.0</v>
      </c>
      <c r="L3754" s="2" t="n">
        <f>HYPERLINK("https://globaldossier.uspto.gov/result/patent/US/9850202/1","US9850202")</f>
        <v>0.0</v>
      </c>
      <c r="M3754" t="s">
        <v>23828</v>
      </c>
      <c r="N3754" t="s">
        <v>13916</v>
      </c>
      <c r="O3754" t="s">
        <v>13917</v>
      </c>
      <c r="P3754" t="s">
        <v>23650</v>
      </c>
      <c r="Q3754" s="3" t="n">
        <v>42768.0</v>
      </c>
      <c r="R3754" s="3" t="n">
        <v>43095.0</v>
      </c>
      <c r="S3754" s="3" t="n">
        <v>43992.43079226852</v>
      </c>
      <c r="T3754" s="3" t="n">
        <v>43992.4996362963</v>
      </c>
      <c r="U3754" t="s">
        <v>23829</v>
      </c>
      <c r="V3754" t="s">
        <v>23830</v>
      </c>
    </row>
    <row r="3755">
      <c r="A3755" t="s">
        <v>23557</v>
      </c>
      <c r="B3755" t="s">
        <v>23831</v>
      </c>
      <c r="C3755" t="s">
        <v>24</v>
      </c>
      <c r="D3755" t="s">
        <v>25</v>
      </c>
      <c r="E3755" t="s">
        <v>23832</v>
      </c>
      <c r="F3755" s="2" t="n">
        <f>HYPERLINK("https://patents.google.com/patent/US9841425","Google")</f>
        <v>0.0</v>
      </c>
      <c r="G3755" s="2" t="n">
        <f>HYPERLINK("https://patentcenter.uspto.gov/applications/14926837","Patent Center")</f>
        <v>0.0</v>
      </c>
      <c r="H3755" s="2" t="n">
        <f>HYPERLINK("https://worldwide.espacenet.com/patent/search?q=US9841425","Espacenet")</f>
        <v>0.0</v>
      </c>
      <c r="I3755" s="2" t="n">
        <f>HYPERLINK("https://ppubs.uspto.gov/pubwebapp/external.html?q=9841425.pn.","USPTO")</f>
        <v>0.0</v>
      </c>
      <c r="J3755" s="2" t="n">
        <f>HYPERLINK("https://image-ppubs.uspto.gov/dirsearch-public/print/downloadPdf/9841425","USPTO PDF")</f>
        <v>0.0</v>
      </c>
      <c r="K3755" s="2" t="n">
        <f>HYPERLINK("https://sectors.patentforecast.com/pmd/US9841425","PMD")</f>
        <v>0.0</v>
      </c>
      <c r="L3755" s="2" t="n">
        <f>HYPERLINK("https://globaldossier.uspto.gov/result/patent/US/9841425/1","US9841425")</f>
        <v>0.0</v>
      </c>
      <c r="M3755" t="s">
        <v>23833</v>
      </c>
      <c r="N3755" t="s">
        <v>23834</v>
      </c>
      <c r="O3755" t="s">
        <v>23835</v>
      </c>
      <c r="P3755" t="s">
        <v>23836</v>
      </c>
      <c r="Q3755" s="3" t="n">
        <v>42306.0</v>
      </c>
      <c r="R3755" s="3" t="n">
        <v>43081.0</v>
      </c>
      <c r="S3755" s="3" t="n">
        <v>43973.46867256944</v>
      </c>
      <c r="T3755" s="3" t="n">
        <v>44545.666983344905</v>
      </c>
      <c r="U3755" t="s">
        <v>23837</v>
      </c>
      <c r="V3755" t="s">
        <v>23838</v>
      </c>
    </row>
    <row r="3756">
      <c r="A3756" t="s">
        <v>23557</v>
      </c>
      <c r="B3756" t="s">
        <v>23839</v>
      </c>
      <c r="C3756" t="s">
        <v>60</v>
      </c>
      <c r="D3756" t="s">
        <v>696</v>
      </c>
      <c r="E3756" t="s">
        <v>22011</v>
      </c>
      <c r="F3756" s="2" t="n">
        <f>HYPERLINK("https://patents.google.com/patent/US9834603","Google")</f>
        <v>0.0</v>
      </c>
      <c r="G3756" s="2" t="n">
        <f>HYPERLINK("https://patentcenter.uspto.gov/applications/14701290","Patent Center")</f>
        <v>0.0</v>
      </c>
      <c r="H3756" s="2" t="n">
        <f>HYPERLINK("https://worldwide.espacenet.com/patent/search?q=US9834603","Espacenet")</f>
        <v>0.0</v>
      </c>
      <c r="I3756" s="2" t="n">
        <f>HYPERLINK("https://ppubs.uspto.gov/pubwebapp/external.html?q=9834603.pn.","USPTO")</f>
        <v>0.0</v>
      </c>
      <c r="J3756" s="2" t="n">
        <f>HYPERLINK("https://image-ppubs.uspto.gov/dirsearch-public/print/downloadPdf/9834603","USPTO PDF")</f>
        <v>0.0</v>
      </c>
      <c r="K3756" s="2" t="n">
        <f>HYPERLINK("https://sectors.patentforecast.com/pmd/US9834603","PMD")</f>
        <v>0.0</v>
      </c>
      <c r="L3756" s="2" t="n">
        <f>HYPERLINK("https://globaldossier.uspto.gov/result/patent/US/9834603/1","US9834603")</f>
        <v>0.0</v>
      </c>
      <c r="M3756" t="s">
        <v>20133</v>
      </c>
      <c r="N3756" t="s">
        <v>16927</v>
      </c>
      <c r="O3756" t="s">
        <v>16928</v>
      </c>
      <c r="P3756" t="s">
        <v>23840</v>
      </c>
      <c r="Q3756" s="3" t="n">
        <v>42124.0</v>
      </c>
      <c r="R3756" s="3" t="n">
        <v>43074.0</v>
      </c>
      <c r="S3756" s="3" t="n">
        <v>43971.49162273148</v>
      </c>
      <c r="T3756" s="3" t="n">
        <v>44643.44490069444</v>
      </c>
      <c r="U3756" t="s">
        <v>23772</v>
      </c>
      <c r="V3756" t="s">
        <v>16993</v>
      </c>
    </row>
    <row r="3757">
      <c r="A3757" t="s">
        <v>23557</v>
      </c>
      <c r="B3757" t="s">
        <v>23841</v>
      </c>
      <c r="C3757" t="s">
        <v>132</v>
      </c>
      <c r="D3757" t="s">
        <v>142</v>
      </c>
      <c r="E3757" t="s">
        <v>23842</v>
      </c>
      <c r="F3757" s="2" t="n">
        <f>HYPERLINK("https://patents.google.com/patent/US9834510","Google")</f>
        <v>0.0</v>
      </c>
      <c r="G3757" s="2" t="n">
        <f>HYPERLINK("https://patentcenter.uspto.gov/applications/15393840","Patent Center")</f>
        <v>0.0</v>
      </c>
      <c r="H3757" s="2" t="n">
        <f>HYPERLINK("https://worldwide.espacenet.com/patent/search?q=US9834510","Espacenet")</f>
        <v>0.0</v>
      </c>
      <c r="I3757" s="2" t="n">
        <f>HYPERLINK("https://ppubs.uspto.gov/pubwebapp/external.html?q=9834510.pn.","USPTO")</f>
        <v>0.0</v>
      </c>
      <c r="J3757" s="2" t="n">
        <f>HYPERLINK("https://image-ppubs.uspto.gov/dirsearch-public/print/downloadPdf/9834510","USPTO PDF")</f>
        <v>0.0</v>
      </c>
      <c r="K3757" s="2" t="n">
        <f>HYPERLINK("https://sectors.patentforecast.com/pmd/US9834510","PMD")</f>
        <v>0.0</v>
      </c>
      <c r="L3757" s="2" t="n">
        <f>HYPERLINK("https://globaldossier.uspto.gov/result/patent/US/9834510/1","US9834510")</f>
        <v>0.0</v>
      </c>
      <c r="M3757" t="s">
        <v>23843</v>
      </c>
      <c r="N3757" t="s">
        <v>13916</v>
      </c>
      <c r="O3757" t="s">
        <v>13917</v>
      </c>
      <c r="P3757" t="s">
        <v>23621</v>
      </c>
      <c r="Q3757" s="3" t="n">
        <v>42733.0</v>
      </c>
      <c r="R3757" s="3" t="n">
        <v>43074.0</v>
      </c>
      <c r="S3757" s="3" t="n">
        <v>43992.43079226852</v>
      </c>
      <c r="T3757" s="3" t="n">
        <v>43992.49864549768</v>
      </c>
      <c r="U3757" t="s">
        <v>23844</v>
      </c>
      <c r="V3757" t="s">
        <v>23845</v>
      </c>
    </row>
    <row r="3758">
      <c r="A3758" t="s">
        <v>23557</v>
      </c>
      <c r="B3758" t="s">
        <v>23846</v>
      </c>
      <c r="C3758" t="s">
        <v>60</v>
      </c>
      <c r="D3758" t="s">
        <v>61</v>
      </c>
      <c r="E3758" t="s">
        <v>23847</v>
      </c>
      <c r="F3758" s="2" t="n">
        <f>HYPERLINK("https://patents.google.com/patent/US9833423","Google")</f>
        <v>0.0</v>
      </c>
      <c r="G3758" s="2" t="n">
        <f>HYPERLINK("https://patentcenter.uspto.gov/applications/15098972","Patent Center")</f>
        <v>0.0</v>
      </c>
      <c r="H3758" s="2" t="n">
        <f>HYPERLINK("https://worldwide.espacenet.com/patent/search?q=US9833423","Espacenet")</f>
        <v>0.0</v>
      </c>
      <c r="I3758" s="2" t="n">
        <f>HYPERLINK("https://ppubs.uspto.gov/pubwebapp/external.html?q=9833423.pn.","USPTO")</f>
        <v>0.0</v>
      </c>
      <c r="J3758" s="2" t="n">
        <f>HYPERLINK("https://image-ppubs.uspto.gov/dirsearch-public/print/downloadPdf/9833423","USPTO PDF")</f>
        <v>0.0</v>
      </c>
      <c r="K3758" s="2" t="n">
        <f>HYPERLINK("https://sectors.patentforecast.com/pmd/US9833423","PMD")</f>
        <v>0.0</v>
      </c>
      <c r="L3758" s="2" t="n">
        <f>HYPERLINK("https://globaldossier.uspto.gov/result/patent/US/9833423/1","US9833423")</f>
        <v>0.0</v>
      </c>
      <c r="M3758" t="s">
        <v>19520</v>
      </c>
      <c r="N3758" t="s">
        <v>23848</v>
      </c>
      <c r="O3758" t="s">
        <v>23849</v>
      </c>
      <c r="P3758" t="s">
        <v>23850</v>
      </c>
      <c r="Q3758" s="3" t="n">
        <v>42474.0</v>
      </c>
      <c r="R3758" s="3" t="n">
        <v>43074.0</v>
      </c>
      <c r="S3758" s="3" t="n">
        <v>43900.437267939815</v>
      </c>
      <c r="T3758" s="3" t="n">
        <v>43901.70557107639</v>
      </c>
      <c r="U3758" t="s">
        <v>23851</v>
      </c>
      <c r="V3758" t="s">
        <v>23852</v>
      </c>
    </row>
    <row r="3759">
      <c r="A3759" t="s">
        <v>23557</v>
      </c>
      <c r="B3759" t="s">
        <v>23853</v>
      </c>
      <c r="C3759" t="s">
        <v>60</v>
      </c>
      <c r="D3759" t="s">
        <v>61</v>
      </c>
      <c r="E3759" t="s">
        <v>23854</v>
      </c>
      <c r="F3759" s="2" t="n">
        <f>HYPERLINK("https://patents.google.com/patent/US9828388","Google")</f>
        <v>0.0</v>
      </c>
      <c r="G3759" s="2" t="n">
        <f>HYPERLINK("https://patentcenter.uspto.gov/applications/14806227","Patent Center")</f>
        <v>0.0</v>
      </c>
      <c r="H3759" s="2" t="n">
        <f>HYPERLINK("https://worldwide.espacenet.com/patent/search?q=US9828388","Espacenet")</f>
        <v>0.0</v>
      </c>
      <c r="I3759" s="2" t="n">
        <f>HYPERLINK("https://ppubs.uspto.gov/pubwebapp/external.html?q=9828388.pn.","USPTO")</f>
        <v>0.0</v>
      </c>
      <c r="J3759" s="2" t="n">
        <f>HYPERLINK("https://image-ppubs.uspto.gov/dirsearch-public/print/downloadPdf/9828388","USPTO PDF")</f>
        <v>0.0</v>
      </c>
      <c r="K3759" s="2" t="n">
        <f>HYPERLINK("https://sectors.patentforecast.com/pmd/US9828388","PMD")</f>
        <v>0.0</v>
      </c>
      <c r="L3759" s="2" t="n">
        <f>HYPERLINK("https://globaldossier.uspto.gov/result/patent/US/9828388/1","US9828388")</f>
        <v>0.0</v>
      </c>
      <c r="M3759" t="s">
        <v>19907</v>
      </c>
      <c r="N3759" t="s">
        <v>664</v>
      </c>
      <c r="O3759" t="s">
        <v>665</v>
      </c>
      <c r="P3759" t="s">
        <v>23604</v>
      </c>
      <c r="Q3759" s="3" t="n">
        <v>42207.0</v>
      </c>
      <c r="R3759" s="3" t="n">
        <v>43067.0</v>
      </c>
      <c r="S3759" s="3" t="n">
        <v>43957.460613773146</v>
      </c>
      <c r="T3759" s="3" t="n">
        <v>44638.65643378472</v>
      </c>
      <c r="U3759" t="s">
        <v>23855</v>
      </c>
      <c r="V3759" t="s">
        <v>17675</v>
      </c>
    </row>
    <row r="3760">
      <c r="A3760" t="s">
        <v>23557</v>
      </c>
      <c r="B3760" t="s">
        <v>23856</v>
      </c>
      <c r="C3760" t="s">
        <v>132</v>
      </c>
      <c r="D3760" t="s">
        <v>1265</v>
      </c>
      <c r="E3760" t="s">
        <v>23857</v>
      </c>
      <c r="F3760" s="2" t="n">
        <f>HYPERLINK("https://patents.google.com/patent/US9827304","Google")</f>
        <v>0.0</v>
      </c>
      <c r="G3760" s="2" t="n">
        <f>HYPERLINK("https://patentcenter.uspto.gov/applications/14940307","Patent Center")</f>
        <v>0.0</v>
      </c>
      <c r="H3760" s="2" t="n">
        <f>HYPERLINK("https://worldwide.espacenet.com/patent/search?q=US9827304","Espacenet")</f>
        <v>0.0</v>
      </c>
      <c r="I3760" s="2" t="n">
        <f>HYPERLINK("https://ppubs.uspto.gov/pubwebapp/external.html?q=9827304.pn.","USPTO")</f>
        <v>0.0</v>
      </c>
      <c r="J3760" s="2" t="n">
        <f>HYPERLINK("https://image-ppubs.uspto.gov/dirsearch-public/print/downloadPdf/9827304","USPTO PDF")</f>
        <v>0.0</v>
      </c>
      <c r="K3760" s="2" t="n">
        <f>HYPERLINK("https://sectors.patentforecast.com/pmd/US9827304","PMD")</f>
        <v>0.0</v>
      </c>
      <c r="L3760" s="2" t="n">
        <f>HYPERLINK("https://globaldossier.uspto.gov/result/patent/US/9827304/1","US9827304")</f>
        <v>0.0</v>
      </c>
      <c r="M3760" t="s">
        <v>23858</v>
      </c>
      <c r="N3760" t="s">
        <v>14442</v>
      </c>
      <c r="O3760" t="s">
        <v>14443</v>
      </c>
      <c r="P3760" t="s">
        <v>23859</v>
      </c>
      <c r="Q3760" s="3" t="n">
        <v>42321.0</v>
      </c>
      <c r="R3760" s="3" t="n">
        <v>43067.0</v>
      </c>
      <c r="S3760" s="3" t="n">
        <v>43973.46901997685</v>
      </c>
      <c r="T3760" s="3" t="n">
        <v>44545.615642881945</v>
      </c>
      <c r="U3760" t="s">
        <v>23860</v>
      </c>
      <c r="V3760" t="s">
        <v>23861</v>
      </c>
    </row>
    <row r="3761">
      <c r="A3761" t="s">
        <v>23557</v>
      </c>
      <c r="B3761" t="s">
        <v>23862</v>
      </c>
      <c r="C3761" t="s">
        <v>60</v>
      </c>
      <c r="D3761" t="s">
        <v>61</v>
      </c>
      <c r="E3761" t="s">
        <v>22432</v>
      </c>
      <c r="F3761" s="2" t="n">
        <f>HYPERLINK("https://patents.google.com/patent/US9809600","Google")</f>
        <v>0.0</v>
      </c>
      <c r="G3761" s="2" t="n">
        <f>HYPERLINK("https://patentcenter.uspto.gov/applications/15207415","Patent Center")</f>
        <v>0.0</v>
      </c>
      <c r="H3761" s="2" t="n">
        <f>HYPERLINK("https://worldwide.espacenet.com/patent/search?q=US9809600","Espacenet")</f>
        <v>0.0</v>
      </c>
      <c r="I3761" s="2" t="n">
        <f>HYPERLINK("https://ppubs.uspto.gov/pubwebapp/external.html?q=9809600.pn.","USPTO")</f>
        <v>0.0</v>
      </c>
      <c r="J3761" s="2" t="n">
        <f>HYPERLINK("https://image-ppubs.uspto.gov/dirsearch-public/print/downloadPdf/9809600","USPTO PDF")</f>
        <v>0.0</v>
      </c>
      <c r="K3761" s="2" t="n">
        <f>HYPERLINK("https://sectors.patentforecast.com/pmd/US9809600","PMD")</f>
        <v>0.0</v>
      </c>
      <c r="L3761" s="2" t="n">
        <f>HYPERLINK("https://globaldossier.uspto.gov/result/patent/US/9809600/1","US9809600")</f>
        <v>0.0</v>
      </c>
      <c r="M3761" t="s">
        <v>19238</v>
      </c>
      <c r="N3761" t="s">
        <v>664</v>
      </c>
      <c r="O3761" t="s">
        <v>665</v>
      </c>
      <c r="P3761" t="s">
        <v>23863</v>
      </c>
      <c r="Q3761" s="3" t="n">
        <v>42562.0</v>
      </c>
      <c r="R3761" s="3" t="n">
        <v>43046.0</v>
      </c>
      <c r="S3761" s="3" t="n">
        <v>43957.45970896991</v>
      </c>
      <c r="T3761" s="3" t="n">
        <v>44544.455635659724</v>
      </c>
      <c r="U3761" t="s">
        <v>23864</v>
      </c>
      <c r="V3761" t="s">
        <v>17072</v>
      </c>
    </row>
    <row r="3762">
      <c r="A3762" t="s">
        <v>23557</v>
      </c>
      <c r="B3762" t="s">
        <v>23865</v>
      </c>
      <c r="C3762" t="s">
        <v>132</v>
      </c>
      <c r="D3762" t="s">
        <v>1265</v>
      </c>
      <c r="E3762" t="s">
        <v>23866</v>
      </c>
      <c r="F3762" s="2" t="n">
        <f>HYPERLINK("https://patents.google.com/patent/US9808459","Google")</f>
        <v>0.0</v>
      </c>
      <c r="G3762" s="2" t="n">
        <f>HYPERLINK("https://patentcenter.uspto.gov/applications/15299757","Patent Center")</f>
        <v>0.0</v>
      </c>
      <c r="H3762" s="2" t="n">
        <f>HYPERLINK("https://worldwide.espacenet.com/patent/search?q=US9808459","Espacenet")</f>
        <v>0.0</v>
      </c>
      <c r="I3762" s="2" t="n">
        <f>HYPERLINK("https://ppubs.uspto.gov/pubwebapp/external.html?q=9808459.pn.","USPTO")</f>
        <v>0.0</v>
      </c>
      <c r="J3762" s="2" t="n">
        <f>HYPERLINK("https://image-ppubs.uspto.gov/dirsearch-public/print/downloadPdf/9808459","USPTO PDF")</f>
        <v>0.0</v>
      </c>
      <c r="K3762" s="2" t="n">
        <f>HYPERLINK("https://sectors.patentforecast.com/pmd/US9808459","PMD")</f>
        <v>0.0</v>
      </c>
      <c r="L3762" s="2" t="n">
        <f>HYPERLINK("https://globaldossier.uspto.gov/result/patent/US/9808459/1","US9808459")</f>
        <v>0.0</v>
      </c>
      <c r="M3762" t="s">
        <v>23867</v>
      </c>
      <c r="N3762" t="s">
        <v>23868</v>
      </c>
      <c r="O3762" t="s">
        <v>23869</v>
      </c>
      <c r="P3762" t="s">
        <v>23870</v>
      </c>
      <c r="Q3762" s="3" t="n">
        <v>42664.0</v>
      </c>
      <c r="R3762" s="3" t="n">
        <v>43046.0</v>
      </c>
      <c r="S3762" s="3" t="n">
        <v>43973.46901997685</v>
      </c>
      <c r="T3762" s="3" t="n">
        <v>44545.6145546412</v>
      </c>
      <c r="U3762" t="s">
        <v>23871</v>
      </c>
      <c r="V3762" t="s">
        <v>23872</v>
      </c>
    </row>
    <row r="3763">
      <c r="A3763" t="s">
        <v>23557</v>
      </c>
      <c r="B3763" t="s">
        <v>23873</v>
      </c>
      <c r="C3763" t="s">
        <v>24</v>
      </c>
      <c r="D3763" t="s">
        <v>1356</v>
      </c>
      <c r="E3763" t="s">
        <v>23874</v>
      </c>
      <c r="F3763" s="2" t="n">
        <f>HYPERLINK("https://patents.google.com/patent/US9807183","Google")</f>
        <v>0.0</v>
      </c>
      <c r="G3763" s="2" t="n">
        <f>HYPERLINK("https://patentcenter.uspto.gov/applications/14561564","Patent Center")</f>
        <v>0.0</v>
      </c>
      <c r="H3763" s="2" t="n">
        <f>HYPERLINK("https://worldwide.espacenet.com/patent/search?q=US9807183","Espacenet")</f>
        <v>0.0</v>
      </c>
      <c r="I3763" s="2" t="n">
        <f>HYPERLINK("https://ppubs.uspto.gov/pubwebapp/external.html?q=9807183.pn.","USPTO")</f>
        <v>0.0</v>
      </c>
      <c r="J3763" s="2" t="n">
        <f>HYPERLINK("https://image-ppubs.uspto.gov/dirsearch-public/print/downloadPdf/9807183","USPTO PDF")</f>
        <v>0.0</v>
      </c>
      <c r="K3763" s="2" t="n">
        <f>HYPERLINK("https://sectors.patentforecast.com/pmd/US9807183","PMD")</f>
        <v>0.0</v>
      </c>
      <c r="L3763" s="2" t="n">
        <f>HYPERLINK("https://globaldossier.uspto.gov/result/patent/US/9807183/1","US9807183")</f>
        <v>0.0</v>
      </c>
      <c r="M3763" t="s">
        <v>20270</v>
      </c>
      <c r="N3763" t="s">
        <v>17502</v>
      </c>
      <c r="O3763" t="s">
        <v>17503</v>
      </c>
      <c r="P3763" t="s">
        <v>23875</v>
      </c>
      <c r="Q3763" s="3" t="n">
        <v>41978.0</v>
      </c>
      <c r="R3763" s="3" t="n">
        <v>43039.0</v>
      </c>
      <c r="S3763" s="3" t="n">
        <v>43266.45735306713</v>
      </c>
      <c r="T3763" s="3" t="n">
        <v>43901.705571087965</v>
      </c>
      <c r="U3763" t="s">
        <v>23876</v>
      </c>
      <c r="V3763" t="s">
        <v>17506</v>
      </c>
    </row>
    <row r="3764">
      <c r="A3764" t="s">
        <v>23557</v>
      </c>
      <c r="B3764" t="s">
        <v>23877</v>
      </c>
      <c r="C3764" t="s">
        <v>132</v>
      </c>
      <c r="D3764" t="s">
        <v>1265</v>
      </c>
      <c r="E3764" t="s">
        <v>23878</v>
      </c>
      <c r="F3764" s="2" t="n">
        <f>HYPERLINK("https://patents.google.com/patent/US9801935","Google")</f>
        <v>0.0</v>
      </c>
      <c r="G3764" s="2" t="n">
        <f>HYPERLINK("https://patentcenter.uspto.gov/applications/15290349","Patent Center")</f>
        <v>0.0</v>
      </c>
      <c r="H3764" s="2" t="n">
        <f>HYPERLINK("https://worldwide.espacenet.com/patent/search?q=US9801935","Espacenet")</f>
        <v>0.0</v>
      </c>
      <c r="I3764" s="2" t="n">
        <f>HYPERLINK("https://ppubs.uspto.gov/pubwebapp/external.html?q=9801935.pn.","USPTO")</f>
        <v>0.0</v>
      </c>
      <c r="J3764" s="2" t="n">
        <f>HYPERLINK("https://image-ppubs.uspto.gov/dirsearch-public/print/downloadPdf/9801935","USPTO PDF")</f>
        <v>0.0</v>
      </c>
      <c r="K3764" s="2" t="n">
        <f>HYPERLINK("https://sectors.patentforecast.com/pmd/US9801935","PMD")</f>
        <v>0.0</v>
      </c>
      <c r="L3764" s="2" t="n">
        <f>HYPERLINK("https://globaldossier.uspto.gov/result/patent/US/9801935/1","US9801935")</f>
        <v>0.0</v>
      </c>
      <c r="M3764" t="s">
        <v>19269</v>
      </c>
      <c r="N3764" t="s">
        <v>14996</v>
      </c>
      <c r="O3764" t="s">
        <v>14997</v>
      </c>
      <c r="P3764" t="s">
        <v>23879</v>
      </c>
      <c r="Q3764" s="3" t="n">
        <v>42654.0</v>
      </c>
      <c r="R3764" s="3" t="n">
        <v>43039.0</v>
      </c>
      <c r="S3764" s="3" t="n">
        <v>43900.437267939815</v>
      </c>
      <c r="T3764" s="3" t="n">
        <v>43901.70557106481</v>
      </c>
      <c r="U3764" t="s">
        <v>23880</v>
      </c>
      <c r="V3764" t="s">
        <v>20997</v>
      </c>
    </row>
    <row r="3765">
      <c r="A3765" t="s">
        <v>23557</v>
      </c>
      <c r="B3765" t="s">
        <v>23881</v>
      </c>
      <c r="C3765" t="s">
        <v>132</v>
      </c>
      <c r="D3765" t="s">
        <v>142</v>
      </c>
      <c r="E3765" t="s">
        <v>23882</v>
      </c>
      <c r="F3765" s="2" t="n">
        <f>HYPERLINK("https://patents.google.com/patent/US9795666","Google")</f>
        <v>0.0</v>
      </c>
      <c r="G3765" s="2" t="n">
        <f>HYPERLINK("https://patentcenter.uspto.gov/applications/14619693","Patent Center")</f>
        <v>0.0</v>
      </c>
      <c r="H3765" s="2" t="n">
        <f>HYPERLINK("https://worldwide.espacenet.com/patent/search?q=US9795666","Espacenet")</f>
        <v>0.0</v>
      </c>
      <c r="I3765" s="2" t="n">
        <f>HYPERLINK("https://ppubs.uspto.gov/pubwebapp/external.html?q=9795666.pn.","USPTO")</f>
        <v>0.0</v>
      </c>
      <c r="J3765" s="2" t="n">
        <f>HYPERLINK("https://image-ppubs.uspto.gov/dirsearch-public/print/downloadPdf/9795666","USPTO PDF")</f>
        <v>0.0</v>
      </c>
      <c r="K3765" s="2" t="n">
        <f>HYPERLINK("https://sectors.patentforecast.com/pmd/US9795666","PMD")</f>
        <v>0.0</v>
      </c>
      <c r="L3765" s="2" t="n">
        <f>HYPERLINK("https://globaldossier.uspto.gov/result/patent/US/9795666/1","US9795666")</f>
        <v>0.0</v>
      </c>
      <c r="M3765" t="s">
        <v>23883</v>
      </c>
      <c r="N3765" t="s">
        <v>17097</v>
      </c>
      <c r="O3765" t="s">
        <v>17097</v>
      </c>
      <c r="P3765" t="s">
        <v>23884</v>
      </c>
      <c r="Q3765" s="3" t="n">
        <v>42046.0</v>
      </c>
      <c r="R3765" s="3" t="n">
        <v>43032.0</v>
      </c>
      <c r="S3765" s="3" t="n">
        <v>43973.46901997685</v>
      </c>
      <c r="T3765" s="3" t="n">
        <v>44545.60450261574</v>
      </c>
      <c r="U3765" t="s">
        <v>23885</v>
      </c>
      <c r="V3765" t="s">
        <v>23886</v>
      </c>
    </row>
    <row r="3766">
      <c r="A3766" t="s">
        <v>23557</v>
      </c>
      <c r="B3766" t="s">
        <v>23887</v>
      </c>
      <c r="C3766" t="s">
        <v>24</v>
      </c>
      <c r="D3766" t="s">
        <v>1450</v>
      </c>
      <c r="E3766" t="s">
        <v>23888</v>
      </c>
      <c r="F3766" s="2" t="n">
        <f>HYPERLINK("https://patents.google.com/patent/US9792809","Google")</f>
        <v>0.0</v>
      </c>
      <c r="G3766" s="2" t="n">
        <f>HYPERLINK("https://patentcenter.uspto.gov/applications/13000953","Patent Center")</f>
        <v>0.0</v>
      </c>
      <c r="H3766" s="2" t="n">
        <f>HYPERLINK("https://worldwide.espacenet.com/patent/search?q=US9792809","Espacenet")</f>
        <v>0.0</v>
      </c>
      <c r="I3766" s="2" t="n">
        <f>HYPERLINK("https://ppubs.uspto.gov/pubwebapp/external.html?q=9792809.pn.","USPTO")</f>
        <v>0.0</v>
      </c>
      <c r="J3766" s="2" t="n">
        <f>HYPERLINK("https://image-ppubs.uspto.gov/dirsearch-public/print/downloadPdf/9792809","USPTO PDF")</f>
        <v>0.0</v>
      </c>
      <c r="K3766" s="2" t="n">
        <f>HYPERLINK("https://sectors.patentforecast.com/pmd/US9792809","PMD")</f>
        <v>0.0</v>
      </c>
      <c r="L3766" s="2" t="n">
        <f>HYPERLINK("https://globaldossier.uspto.gov/result/patent/US/9792809/1","US9792809")</f>
        <v>0.0</v>
      </c>
      <c r="M3766" t="s">
        <v>21504</v>
      </c>
      <c r="N3766" t="s">
        <v>18780</v>
      </c>
      <c r="O3766" t="s">
        <v>18781</v>
      </c>
      <c r="P3766" t="s">
        <v>23889</v>
      </c>
      <c r="Q3766" s="3" t="n">
        <v>39989.0</v>
      </c>
      <c r="R3766" s="3" t="n">
        <v>43025.0</v>
      </c>
      <c r="S3766" s="3" t="n">
        <v>43266.45735306713</v>
      </c>
      <c r="T3766" s="3" t="n">
        <v>43903.654623842594</v>
      </c>
      <c r="U3766" t="s">
        <v>23890</v>
      </c>
      <c r="V3766" t="s">
        <v>18784</v>
      </c>
    </row>
    <row r="3767">
      <c r="A3767" t="s">
        <v>23557</v>
      </c>
      <c r="B3767" t="s">
        <v>23891</v>
      </c>
      <c r="C3767" t="s">
        <v>132</v>
      </c>
      <c r="D3767" t="s">
        <v>1265</v>
      </c>
      <c r="E3767" t="s">
        <v>23892</v>
      </c>
      <c r="F3767" s="2" t="n">
        <f>HYPERLINK("https://patents.google.com/patent/US9790509","Google")</f>
        <v>0.0</v>
      </c>
      <c r="G3767" s="2" t="n">
        <f>HYPERLINK("https://patentcenter.uspto.gov/applications/14802187","Patent Center")</f>
        <v>0.0</v>
      </c>
      <c r="H3767" s="2" t="n">
        <f>HYPERLINK("https://worldwide.espacenet.com/patent/search?q=US9790509","Espacenet")</f>
        <v>0.0</v>
      </c>
      <c r="I3767" s="2" t="n">
        <f>HYPERLINK("https://ppubs.uspto.gov/pubwebapp/external.html?q=9790509.pn.","USPTO")</f>
        <v>0.0</v>
      </c>
      <c r="J3767" s="2" t="n">
        <f>HYPERLINK("https://image-ppubs.uspto.gov/dirsearch-public/print/downloadPdf/9790509","USPTO PDF")</f>
        <v>0.0</v>
      </c>
      <c r="K3767" s="2" t="n">
        <f>HYPERLINK("https://sectors.patentforecast.com/pmd/US9790509","PMD")</f>
        <v>0.0</v>
      </c>
      <c r="L3767" s="2" t="n">
        <f>HYPERLINK("https://globaldossier.uspto.gov/result/patent/US/9790509/1","US9790509")</f>
        <v>0.0</v>
      </c>
      <c r="M3767" t="s">
        <v>23893</v>
      </c>
      <c r="N3767" t="s">
        <v>23894</v>
      </c>
      <c r="O3767" t="s">
        <v>23894</v>
      </c>
      <c r="P3767" t="s">
        <v>23895</v>
      </c>
      <c r="Q3767" s="3" t="n">
        <v>42202.0</v>
      </c>
      <c r="R3767" s="3" t="n">
        <v>43025.0</v>
      </c>
      <c r="S3767" s="3" t="n">
        <v>43973.46901997685</v>
      </c>
      <c r="T3767" s="3" t="n">
        <v>44545.358174733796</v>
      </c>
      <c r="U3767" t="s">
        <v>23896</v>
      </c>
      <c r="V3767" t="s">
        <v>23897</v>
      </c>
    </row>
    <row r="3768">
      <c r="A3768" t="s">
        <v>23557</v>
      </c>
      <c r="B3768" t="s">
        <v>23898</v>
      </c>
      <c r="C3768" t="s">
        <v>60</v>
      </c>
      <c r="D3768" t="s">
        <v>61</v>
      </c>
      <c r="E3768" t="s">
        <v>23899</v>
      </c>
      <c r="F3768" s="2" t="n">
        <f>HYPERLINK("https://patents.google.com/patent/US9790197","Google")</f>
        <v>0.0</v>
      </c>
      <c r="G3768" s="2" t="n">
        <f>HYPERLINK("https://patentcenter.uspto.gov/applications/14651656","Patent Center")</f>
        <v>0.0</v>
      </c>
      <c r="H3768" s="2" t="n">
        <f>HYPERLINK("https://worldwide.espacenet.com/patent/search?q=US9790197","Espacenet")</f>
        <v>0.0</v>
      </c>
      <c r="I3768" s="2" t="n">
        <f>HYPERLINK("https://ppubs.uspto.gov/pubwebapp/external.html?q=9790197.pn.","USPTO")</f>
        <v>0.0</v>
      </c>
      <c r="J3768" s="2" t="n">
        <f>HYPERLINK("https://image-ppubs.uspto.gov/dirsearch-public/print/downloadPdf/9790197","USPTO PDF")</f>
        <v>0.0</v>
      </c>
      <c r="K3768" s="2" t="n">
        <f>HYPERLINK("https://sectors.patentforecast.com/pmd/US9790197","PMD")</f>
        <v>0.0</v>
      </c>
      <c r="L3768" s="2" t="n">
        <f>HYPERLINK("https://globaldossier.uspto.gov/result/patent/US/9790197/1","US9790197")</f>
        <v>0.0</v>
      </c>
      <c r="M3768" t="s">
        <v>20053</v>
      </c>
      <c r="N3768" t="s">
        <v>19232</v>
      </c>
      <c r="O3768" t="s">
        <v>19233</v>
      </c>
      <c r="P3768" t="s">
        <v>23644</v>
      </c>
      <c r="Q3768" s="3" t="n">
        <v>41624.0</v>
      </c>
      <c r="R3768" s="3" t="n">
        <v>43025.0</v>
      </c>
      <c r="S3768" s="3" t="n">
        <v>43900.437267939815</v>
      </c>
      <c r="T3768" s="3" t="n">
        <v>43901.705570625</v>
      </c>
      <c r="U3768" t="s">
        <v>23900</v>
      </c>
      <c r="V3768" t="s">
        <v>19236</v>
      </c>
    </row>
    <row r="3769">
      <c r="A3769" t="s">
        <v>23557</v>
      </c>
      <c r="B3769" t="s">
        <v>23901</v>
      </c>
      <c r="C3769" t="s">
        <v>60</v>
      </c>
      <c r="D3769" t="s">
        <v>61</v>
      </c>
      <c r="E3769" t="s">
        <v>23902</v>
      </c>
      <c r="F3769" s="2" t="n">
        <f>HYPERLINK("https://patents.google.com/patent/US9783794","Google")</f>
        <v>0.0</v>
      </c>
      <c r="G3769" s="2" t="n">
        <f>HYPERLINK("https://patentcenter.uspto.gov/applications/14751634","Patent Center")</f>
        <v>0.0</v>
      </c>
      <c r="H3769" s="2" t="n">
        <f>HYPERLINK("https://worldwide.espacenet.com/patent/search?q=US9783794","Espacenet")</f>
        <v>0.0</v>
      </c>
      <c r="I3769" s="2" t="n">
        <f>HYPERLINK("https://ppubs.uspto.gov/pubwebapp/external.html?q=9783794.pn.","USPTO")</f>
        <v>0.0</v>
      </c>
      <c r="J3769" s="2" t="n">
        <f>HYPERLINK("https://image-ppubs.uspto.gov/dirsearch-public/print/downloadPdf/9783794","USPTO PDF")</f>
        <v>0.0</v>
      </c>
      <c r="K3769" s="2" t="n">
        <f>HYPERLINK("https://sectors.patentforecast.com/pmd/US9783794","PMD")</f>
        <v>0.0</v>
      </c>
      <c r="L3769" s="2" t="n">
        <f>HYPERLINK("https://globaldossier.uspto.gov/result/patent/US/9783794/1","US9783794")</f>
        <v>0.0</v>
      </c>
      <c r="M3769" t="s">
        <v>19824</v>
      </c>
      <c r="N3769" t="s">
        <v>18723</v>
      </c>
      <c r="O3769" t="s">
        <v>18723</v>
      </c>
      <c r="P3769" t="s">
        <v>23903</v>
      </c>
      <c r="Q3769" s="3" t="n">
        <v>42181.0</v>
      </c>
      <c r="R3769" s="3" t="n">
        <v>43018.0</v>
      </c>
      <c r="S3769" s="3" t="n">
        <v>43900.437267939815</v>
      </c>
      <c r="T3769" s="3" t="n">
        <v>43903.61215616898</v>
      </c>
      <c r="U3769" t="s">
        <v>23904</v>
      </c>
      <c r="V3769" t="s">
        <v>23905</v>
      </c>
    </row>
    <row r="3770">
      <c r="A3770" t="s">
        <v>23557</v>
      </c>
      <c r="B3770" t="s">
        <v>23906</v>
      </c>
      <c r="C3770" t="s">
        <v>60</v>
      </c>
      <c r="D3770" t="s">
        <v>61</v>
      </c>
      <c r="E3770" t="s">
        <v>23907</v>
      </c>
      <c r="F3770" s="2" t="n">
        <f>HYPERLINK("https://patents.google.com/patent/US9783568","Google")</f>
        <v>0.0</v>
      </c>
      <c r="G3770" s="2" t="n">
        <f>HYPERLINK("https://patentcenter.uspto.gov/applications/15170728","Patent Center")</f>
        <v>0.0</v>
      </c>
      <c r="H3770" s="2" t="n">
        <f>HYPERLINK("https://worldwide.espacenet.com/patent/search?q=US9783568","Espacenet")</f>
        <v>0.0</v>
      </c>
      <c r="I3770" s="2" t="n">
        <f>HYPERLINK("https://ppubs.uspto.gov/pubwebapp/external.html?q=9783568.pn.","USPTO")</f>
        <v>0.0</v>
      </c>
      <c r="J3770" s="2" t="n">
        <f>HYPERLINK("https://image-ppubs.uspto.gov/dirsearch-public/print/downloadPdf/9783568","USPTO PDF")</f>
        <v>0.0</v>
      </c>
      <c r="K3770" s="2" t="n">
        <f>HYPERLINK("https://sectors.patentforecast.com/pmd/US9783568","PMD")</f>
        <v>0.0</v>
      </c>
      <c r="L3770" s="2" t="n">
        <f>HYPERLINK("https://globaldossier.uspto.gov/result/patent/US/9783568/1","US9783568")</f>
        <v>0.0</v>
      </c>
      <c r="M3770" t="s">
        <v>19450</v>
      </c>
      <c r="N3770" t="s">
        <v>664</v>
      </c>
      <c r="O3770" t="s">
        <v>665</v>
      </c>
      <c r="P3770" t="s">
        <v>23908</v>
      </c>
      <c r="Q3770" s="3" t="n">
        <v>42522.0</v>
      </c>
      <c r="R3770" s="3" t="n">
        <v>43018.0</v>
      </c>
      <c r="S3770" s="3" t="n">
        <v>43957.45970896991</v>
      </c>
      <c r="T3770" s="3" t="n">
        <v>44638.662781747684</v>
      </c>
      <c r="U3770" t="s">
        <v>23909</v>
      </c>
      <c r="V3770" t="s">
        <v>18667</v>
      </c>
    </row>
    <row r="3771">
      <c r="A3771" t="s">
        <v>23557</v>
      </c>
      <c r="B3771" t="s">
        <v>23910</v>
      </c>
      <c r="C3771" t="s">
        <v>60</v>
      </c>
      <c r="D3771" t="s">
        <v>61</v>
      </c>
      <c r="E3771" t="s">
        <v>23911</v>
      </c>
      <c r="F3771" s="2" t="n">
        <f>HYPERLINK("https://patents.google.com/patent/US9783567","Google")</f>
        <v>0.0</v>
      </c>
      <c r="G3771" s="2" t="n">
        <f>HYPERLINK("https://patentcenter.uspto.gov/applications/15046399","Patent Center")</f>
        <v>0.0</v>
      </c>
      <c r="H3771" s="2" t="n">
        <f>HYPERLINK("https://worldwide.espacenet.com/patent/search?q=US9783567","Espacenet")</f>
        <v>0.0</v>
      </c>
      <c r="I3771" s="2" t="n">
        <f>HYPERLINK("https://ppubs.uspto.gov/pubwebapp/external.html?q=9783567.pn.","USPTO")</f>
        <v>0.0</v>
      </c>
      <c r="J3771" s="2" t="n">
        <f>HYPERLINK("https://image-ppubs.uspto.gov/dirsearch-public/print/downloadPdf/9783567","USPTO PDF")</f>
        <v>0.0</v>
      </c>
      <c r="K3771" s="2" t="n">
        <f>HYPERLINK("https://sectors.patentforecast.com/pmd/US9783567","PMD")</f>
        <v>0.0</v>
      </c>
      <c r="L3771" s="2" t="n">
        <f>HYPERLINK("https://globaldossier.uspto.gov/result/patent/US/9783567/1","US9783567")</f>
        <v>0.0</v>
      </c>
      <c r="M3771" t="s">
        <v>19460</v>
      </c>
      <c r="N3771" t="s">
        <v>664</v>
      </c>
      <c r="O3771" t="s">
        <v>665</v>
      </c>
      <c r="P3771" t="s">
        <v>23912</v>
      </c>
      <c r="Q3771" s="3" t="n">
        <v>42417.0</v>
      </c>
      <c r="R3771" s="3" t="n">
        <v>43018.0</v>
      </c>
      <c r="S3771" s="3" t="n">
        <v>43957.45970896991</v>
      </c>
      <c r="T3771" s="3" t="n">
        <v>44638.65789403935</v>
      </c>
      <c r="U3771" t="s">
        <v>23913</v>
      </c>
      <c r="V3771" t="s">
        <v>17322</v>
      </c>
    </row>
    <row r="3772">
      <c r="A3772" t="s">
        <v>23557</v>
      </c>
      <c r="B3772" t="s">
        <v>23914</v>
      </c>
      <c r="C3772" t="s">
        <v>132</v>
      </c>
      <c r="D3772" t="s">
        <v>1265</v>
      </c>
      <c r="E3772" t="s">
        <v>23915</v>
      </c>
      <c r="F3772" s="2" t="n">
        <f>HYPERLINK("https://patents.google.com/patent/US9777045","Google")</f>
        <v>0.0</v>
      </c>
      <c r="G3772" s="2" t="n">
        <f>HYPERLINK("https://patentcenter.uspto.gov/applications/15205476","Patent Center")</f>
        <v>0.0</v>
      </c>
      <c r="H3772" s="2" t="n">
        <f>HYPERLINK("https://worldwide.espacenet.com/patent/search?q=US9777045","Espacenet")</f>
        <v>0.0</v>
      </c>
      <c r="I3772" s="2" t="n">
        <f>HYPERLINK("https://ppubs.uspto.gov/pubwebapp/external.html?q=9777045.pn.","USPTO")</f>
        <v>0.0</v>
      </c>
      <c r="J3772" s="2" t="n">
        <f>HYPERLINK("https://image-ppubs.uspto.gov/dirsearch-public/print/downloadPdf/9777045","USPTO PDF")</f>
        <v>0.0</v>
      </c>
      <c r="K3772" s="2" t="n">
        <f>HYPERLINK("https://sectors.patentforecast.com/pmd/US9777045","PMD")</f>
        <v>0.0</v>
      </c>
      <c r="L3772" s="2" t="n">
        <f>HYPERLINK("https://globaldossier.uspto.gov/result/patent/US/9777045/1","US9777045")</f>
        <v>0.0</v>
      </c>
      <c r="M3772" t="s">
        <v>23916</v>
      </c>
      <c r="N3772" t="s">
        <v>23917</v>
      </c>
      <c r="O3772" t="s">
        <v>23918</v>
      </c>
      <c r="P3772" t="s">
        <v>23919</v>
      </c>
      <c r="Q3772" s="3" t="n">
        <v>42559.0</v>
      </c>
      <c r="R3772" s="3" t="n">
        <v>43011.0</v>
      </c>
      <c r="S3772" s="3" t="n">
        <v>43973.46901997685</v>
      </c>
      <c r="T3772" s="3" t="n">
        <v>44545.609757673614</v>
      </c>
      <c r="U3772" t="s">
        <v>23920</v>
      </c>
      <c r="V3772" t="s">
        <v>23921</v>
      </c>
    </row>
    <row r="3773">
      <c r="A3773" t="s">
        <v>23557</v>
      </c>
      <c r="B3773" t="s">
        <v>23922</v>
      </c>
      <c r="C3773" t="s">
        <v>132</v>
      </c>
      <c r="D3773" t="s">
        <v>1265</v>
      </c>
      <c r="E3773" t="s">
        <v>23923</v>
      </c>
      <c r="F3773" s="2" t="n">
        <f>HYPERLINK("https://patents.google.com/patent/US9771564","Google")</f>
        <v>0.0</v>
      </c>
      <c r="G3773" s="2" t="n">
        <f>HYPERLINK("https://patentcenter.uspto.gov/applications/13386355","Patent Center")</f>
        <v>0.0</v>
      </c>
      <c r="H3773" s="2" t="n">
        <f>HYPERLINK("https://worldwide.espacenet.com/patent/search?q=US9771564","Espacenet")</f>
        <v>0.0</v>
      </c>
      <c r="I3773" s="2" t="n">
        <f>HYPERLINK("https://ppubs.uspto.gov/pubwebapp/external.html?q=9771564.pn.","USPTO")</f>
        <v>0.0</v>
      </c>
      <c r="J3773" s="2" t="n">
        <f>HYPERLINK("https://image-ppubs.uspto.gov/dirsearch-public/print/downloadPdf/9771564","USPTO PDF")</f>
        <v>0.0</v>
      </c>
      <c r="K3773" s="2" t="n">
        <f>HYPERLINK("https://sectors.patentforecast.com/pmd/US9771564","PMD")</f>
        <v>0.0</v>
      </c>
      <c r="L3773" s="2" t="n">
        <f>HYPERLINK("https://globaldossier.uspto.gov/result/patent/US/9771564/1","US9771564")</f>
        <v>0.0</v>
      </c>
      <c r="M3773" t="s">
        <v>23924</v>
      </c>
      <c r="N3773" t="s">
        <v>21676</v>
      </c>
      <c r="O3773" t="s">
        <v>21677</v>
      </c>
      <c r="P3773" t="s">
        <v>23925</v>
      </c>
      <c r="Q3773" s="3" t="n">
        <v>40379.0</v>
      </c>
      <c r="R3773" s="3" t="n">
        <v>43004.0</v>
      </c>
      <c r="S3773" s="3" t="n">
        <v>43973.46901997685</v>
      </c>
      <c r="T3773" s="3" t="n">
        <v>44545.61384954861</v>
      </c>
      <c r="U3773" t="s">
        <v>23926</v>
      </c>
      <c r="V3773" t="s">
        <v>23927</v>
      </c>
    </row>
    <row r="3774">
      <c r="A3774" t="s">
        <v>23557</v>
      </c>
      <c r="B3774" t="s">
        <v>23928</v>
      </c>
      <c r="C3774" t="s">
        <v>132</v>
      </c>
      <c r="D3774" t="s">
        <v>1265</v>
      </c>
      <c r="E3774" t="s">
        <v>23929</v>
      </c>
      <c r="F3774" s="2" t="n">
        <f>HYPERLINK("https://patents.google.com/patent/US9764024","Google")</f>
        <v>0.0</v>
      </c>
      <c r="G3774" s="2" t="n">
        <f>HYPERLINK("https://patentcenter.uspto.gov/applications/13131733","Patent Center")</f>
        <v>0.0</v>
      </c>
      <c r="H3774" s="2" t="n">
        <f>HYPERLINK("https://worldwide.espacenet.com/patent/search?q=US9764024","Espacenet")</f>
        <v>0.0</v>
      </c>
      <c r="I3774" s="2" t="n">
        <f>HYPERLINK("https://ppubs.uspto.gov/pubwebapp/external.html?q=9764024.pn.","USPTO")</f>
        <v>0.0</v>
      </c>
      <c r="J3774" s="2" t="n">
        <f>HYPERLINK("https://image-ppubs.uspto.gov/dirsearch-public/print/downloadPdf/9764024","USPTO PDF")</f>
        <v>0.0</v>
      </c>
      <c r="K3774" s="2" t="n">
        <f>HYPERLINK("https://sectors.patentforecast.com/pmd/US9764024","PMD")</f>
        <v>0.0</v>
      </c>
      <c r="L3774" s="2" t="n">
        <f>HYPERLINK("https://globaldossier.uspto.gov/result/patent/US/9764024/1","US9764024")</f>
        <v>0.0</v>
      </c>
      <c r="M3774" t="s">
        <v>21697</v>
      </c>
      <c r="N3774" t="s">
        <v>21698</v>
      </c>
      <c r="O3774" t="s">
        <v>21698</v>
      </c>
      <c r="P3774" t="s">
        <v>23930</v>
      </c>
      <c r="Q3774" s="3" t="n">
        <v>40144.0</v>
      </c>
      <c r="R3774" s="3" t="n">
        <v>42997.0</v>
      </c>
      <c r="S3774" s="3" t="n">
        <v>43900.437267939815</v>
      </c>
      <c r="T3774" s="3" t="n">
        <v>43901.705571087965</v>
      </c>
      <c r="U3774" t="s">
        <v>23931</v>
      </c>
      <c r="V3774" t="s">
        <v>21701</v>
      </c>
    </row>
    <row r="3775">
      <c r="A3775" t="s">
        <v>23557</v>
      </c>
      <c r="B3775" t="s">
        <v>23932</v>
      </c>
      <c r="C3775" t="s">
        <v>60</v>
      </c>
      <c r="D3775" t="s">
        <v>61</v>
      </c>
      <c r="E3775" t="s">
        <v>23933</v>
      </c>
      <c r="F3775" s="2" t="n">
        <f>HYPERLINK("https://patents.google.com/patent/US9764007","Google")</f>
        <v>0.0</v>
      </c>
      <c r="G3775" s="2" t="n">
        <f>HYPERLINK("https://patentcenter.uspto.gov/applications/14954467","Patent Center")</f>
        <v>0.0</v>
      </c>
      <c r="H3775" s="2" t="n">
        <f>HYPERLINK("https://worldwide.espacenet.com/patent/search?q=US9764007","Espacenet")</f>
        <v>0.0</v>
      </c>
      <c r="I3775" s="2" t="n">
        <f>HYPERLINK("https://ppubs.uspto.gov/pubwebapp/external.html?q=9764007.pn.","USPTO")</f>
        <v>0.0</v>
      </c>
      <c r="J3775" s="2" t="n">
        <f>HYPERLINK("https://image-ppubs.uspto.gov/dirsearch-public/print/downloadPdf/9764007","USPTO PDF")</f>
        <v>0.0</v>
      </c>
      <c r="K3775" s="2" t="n">
        <f>HYPERLINK("https://sectors.patentforecast.com/pmd/US9764007","PMD")</f>
        <v>0.0</v>
      </c>
      <c r="L3775" s="2" t="n">
        <f>HYPERLINK("https://globaldossier.uspto.gov/result/patent/US/9764007/1","US9764007")</f>
        <v>0.0</v>
      </c>
      <c r="M3775" t="s">
        <v>23934</v>
      </c>
      <c r="N3775" t="s">
        <v>23935</v>
      </c>
      <c r="O3775" t="s">
        <v>23936</v>
      </c>
      <c r="P3775" t="s">
        <v>23937</v>
      </c>
      <c r="Q3775" s="3" t="n">
        <v>42338.0</v>
      </c>
      <c r="R3775" s="3" t="n">
        <v>42997.0</v>
      </c>
      <c r="S3775" s="3" t="n">
        <v>43973.46901997685</v>
      </c>
      <c r="T3775" s="3" t="n">
        <v>44545.57104876157</v>
      </c>
      <c r="U3775" t="s">
        <v>23938</v>
      </c>
      <c r="V3775" t="s">
        <v>23939</v>
      </c>
    </row>
    <row r="3776">
      <c r="A3776" t="s">
        <v>23557</v>
      </c>
      <c r="B3776" t="s">
        <v>23940</v>
      </c>
      <c r="C3776" t="s">
        <v>60</v>
      </c>
      <c r="D3776" t="s">
        <v>77</v>
      </c>
      <c r="E3776" t="s">
        <v>23941</v>
      </c>
      <c r="F3776" s="2" t="n">
        <f>HYPERLINK("https://patents.google.com/patent/US9758579","Google")</f>
        <v>0.0</v>
      </c>
      <c r="G3776" s="2" t="n">
        <f>HYPERLINK("https://patentcenter.uspto.gov/applications/13152603","Patent Center")</f>
        <v>0.0</v>
      </c>
      <c r="H3776" s="2" t="n">
        <f>HYPERLINK("https://worldwide.espacenet.com/patent/search?q=US9758579","Espacenet")</f>
        <v>0.0</v>
      </c>
      <c r="I3776" s="2" t="n">
        <f>HYPERLINK("https://ppubs.uspto.gov/pubwebapp/external.html?q=9758579.pn.","USPTO")</f>
        <v>0.0</v>
      </c>
      <c r="J3776" s="2" t="n">
        <f>HYPERLINK("https://image-ppubs.uspto.gov/dirsearch-public/print/downloadPdf/9758579","USPTO PDF")</f>
        <v>0.0</v>
      </c>
      <c r="K3776" s="2" t="n">
        <f>HYPERLINK("https://sectors.patentforecast.com/pmd/US9758579","PMD")</f>
        <v>0.0</v>
      </c>
      <c r="L3776" s="2" t="n">
        <f>HYPERLINK("https://globaldossier.uspto.gov/result/patent/US/9758579/1","US9758579")</f>
        <v>0.0</v>
      </c>
      <c r="M3776" t="s">
        <v>21651</v>
      </c>
      <c r="N3776" t="s">
        <v>16927</v>
      </c>
      <c r="O3776" t="s">
        <v>16928</v>
      </c>
      <c r="P3776" t="s">
        <v>23942</v>
      </c>
      <c r="Q3776" s="3" t="n">
        <v>40697.0</v>
      </c>
      <c r="R3776" s="3" t="n">
        <v>42990.0</v>
      </c>
      <c r="S3776" s="3" t="n">
        <v>43973.46901997685</v>
      </c>
      <c r="T3776" s="3" t="n">
        <v>44545.685213680554</v>
      </c>
      <c r="U3776" t="s">
        <v>23943</v>
      </c>
      <c r="V3776" t="s">
        <v>16993</v>
      </c>
    </row>
    <row r="3777">
      <c r="A3777" t="s">
        <v>23557</v>
      </c>
      <c r="B3777" t="s">
        <v>23944</v>
      </c>
      <c r="C3777" t="s">
        <v>60</v>
      </c>
      <c r="D3777" t="s">
        <v>61</v>
      </c>
      <c r="E3777" t="s">
        <v>23945</v>
      </c>
      <c r="F3777" s="2" t="n">
        <f>HYPERLINK("https://patents.google.com/patent/US9757406","Google")</f>
        <v>0.0</v>
      </c>
      <c r="G3777" s="2" t="n">
        <f>HYPERLINK("https://patentcenter.uspto.gov/applications/15282128","Patent Center")</f>
        <v>0.0</v>
      </c>
      <c r="H3777" s="2" t="n">
        <f>HYPERLINK("https://worldwide.espacenet.com/patent/search?q=US9757406","Espacenet")</f>
        <v>0.0</v>
      </c>
      <c r="I3777" s="2" t="n">
        <f>HYPERLINK("https://ppubs.uspto.gov/pubwebapp/external.html?q=9757406.pn.","USPTO")</f>
        <v>0.0</v>
      </c>
      <c r="J3777" s="2" t="n">
        <f>HYPERLINK("https://image-ppubs.uspto.gov/dirsearch-public/print/downloadPdf/9757406","USPTO PDF")</f>
        <v>0.0</v>
      </c>
      <c r="K3777" s="2" t="n">
        <f>HYPERLINK("https://sectors.patentforecast.com/pmd/US9757406","PMD")</f>
        <v>0.0</v>
      </c>
      <c r="L3777" s="2" t="n">
        <f>HYPERLINK("https://globaldossier.uspto.gov/result/patent/US/9757406/1","US9757406")</f>
        <v>0.0</v>
      </c>
      <c r="M3777" t="s">
        <v>19330</v>
      </c>
      <c r="N3777" t="s">
        <v>664</v>
      </c>
      <c r="O3777" t="s">
        <v>665</v>
      </c>
      <c r="P3777" t="s">
        <v>23946</v>
      </c>
      <c r="Q3777" s="3" t="n">
        <v>42643.0</v>
      </c>
      <c r="R3777" s="3" t="n">
        <v>42990.0</v>
      </c>
      <c r="S3777" s="3" t="n">
        <v>43957.45970896991</v>
      </c>
      <c r="T3777" s="3" t="n">
        <v>44638.65271974537</v>
      </c>
      <c r="U3777" t="s">
        <v>23947</v>
      </c>
      <c r="V3777" t="s">
        <v>23948</v>
      </c>
    </row>
    <row r="3778">
      <c r="A3778" t="s">
        <v>23557</v>
      </c>
      <c r="B3778" t="s">
        <v>23949</v>
      </c>
      <c r="C3778" t="s">
        <v>24</v>
      </c>
      <c r="D3778" t="s">
        <v>25</v>
      </c>
      <c r="E3778" t="s">
        <v>23950</v>
      </c>
      <c r="F3778" s="2" t="n">
        <f>HYPERLINK("https://patents.google.com/patent/US9749716","Google")</f>
        <v>0.0</v>
      </c>
      <c r="G3778" s="2" t="n">
        <f>HYPERLINK("https://patentcenter.uspto.gov/applications/14816950","Patent Center")</f>
        <v>0.0</v>
      </c>
      <c r="H3778" s="2" t="n">
        <f>HYPERLINK("https://worldwide.espacenet.com/patent/search?q=US9749716","Espacenet")</f>
        <v>0.0</v>
      </c>
      <c r="I3778" s="2" t="n">
        <f>HYPERLINK("https://ppubs.uspto.gov/pubwebapp/external.html?q=9749716.pn.","USPTO")</f>
        <v>0.0</v>
      </c>
      <c r="J3778" s="2" t="n">
        <f>HYPERLINK("https://image-ppubs.uspto.gov/dirsearch-public/print/downloadPdf/9749716","USPTO PDF")</f>
        <v>0.0</v>
      </c>
      <c r="K3778" s="2" t="n">
        <f>HYPERLINK("https://sectors.patentforecast.com/pmd/US9749716","PMD")</f>
        <v>0.0</v>
      </c>
      <c r="L3778" s="2" t="n">
        <f>HYPERLINK("https://globaldossier.uspto.gov/result/patent/US/9749716/1","US9749716")</f>
        <v>0.0</v>
      </c>
      <c r="M3778" t="s">
        <v>20030</v>
      </c>
      <c r="N3778" t="s">
        <v>20031</v>
      </c>
      <c r="O3778" t="s">
        <v>20032</v>
      </c>
      <c r="P3778" t="s">
        <v>23951</v>
      </c>
      <c r="Q3778" s="3" t="n">
        <v>42219.0</v>
      </c>
      <c r="R3778" s="3" t="n">
        <v>42976.0</v>
      </c>
      <c r="S3778" s="3" t="n">
        <v>43266.45735306713</v>
      </c>
      <c r="T3778" s="3" t="n">
        <v>43950.59985519676</v>
      </c>
      <c r="U3778" t="s">
        <v>23952</v>
      </c>
      <c r="V3778" t="s">
        <v>20035</v>
      </c>
    </row>
    <row r="3779">
      <c r="A3779" t="s">
        <v>23557</v>
      </c>
      <c r="B3779" t="s">
        <v>23953</v>
      </c>
      <c r="C3779" t="s">
        <v>60</v>
      </c>
      <c r="D3779" t="s">
        <v>61</v>
      </c>
      <c r="E3779" t="s">
        <v>23292</v>
      </c>
      <c r="F3779" s="2" t="n">
        <f>HYPERLINK("https://patents.google.com/patent/US9744181","Google")</f>
        <v>0.0</v>
      </c>
      <c r="G3779" s="2" t="n">
        <f>HYPERLINK("https://patentcenter.uspto.gov/applications/14523783","Patent Center")</f>
        <v>0.0</v>
      </c>
      <c r="H3779" s="2" t="n">
        <f>HYPERLINK("https://worldwide.espacenet.com/patent/search?q=US9744181","Espacenet")</f>
        <v>0.0</v>
      </c>
      <c r="I3779" s="2" t="n">
        <f>HYPERLINK("https://ppubs.uspto.gov/pubwebapp/external.html?q=9744181.pn.","USPTO")</f>
        <v>0.0</v>
      </c>
      <c r="J3779" s="2" t="n">
        <f>HYPERLINK("https://image-ppubs.uspto.gov/dirsearch-public/print/downloadPdf/9744181","USPTO PDF")</f>
        <v>0.0</v>
      </c>
      <c r="K3779" s="2" t="n">
        <f>HYPERLINK("https://sectors.patentforecast.com/pmd/US9744181","PMD")</f>
        <v>0.0</v>
      </c>
      <c r="L3779" s="2" t="n">
        <f>HYPERLINK("https://globaldossier.uspto.gov/result/patent/US/9744181/1","US9744181")</f>
        <v>0.0</v>
      </c>
      <c r="M3779" t="s">
        <v>20353</v>
      </c>
      <c r="N3779" t="s">
        <v>664</v>
      </c>
      <c r="O3779" t="s">
        <v>665</v>
      </c>
      <c r="P3779" t="s">
        <v>23954</v>
      </c>
      <c r="Q3779" s="3" t="n">
        <v>41936.0</v>
      </c>
      <c r="R3779" s="3" t="n">
        <v>42976.0</v>
      </c>
      <c r="S3779" s="3" t="n">
        <v>43957.45970896991</v>
      </c>
      <c r="T3779" s="3" t="n">
        <v>44638.65271974537</v>
      </c>
      <c r="U3779" t="s">
        <v>23955</v>
      </c>
      <c r="V3779" t="s">
        <v>23956</v>
      </c>
    </row>
    <row r="3780">
      <c r="A3780" t="s">
        <v>23557</v>
      </c>
      <c r="B3780" t="s">
        <v>23957</v>
      </c>
      <c r="C3780" t="s">
        <v>60</v>
      </c>
      <c r="D3780" t="s">
        <v>61</v>
      </c>
      <c r="E3780" t="s">
        <v>23958</v>
      </c>
      <c r="F3780" s="2" t="n">
        <f>HYPERLINK("https://patents.google.com/patent/US9732092","Google")</f>
        <v>0.0</v>
      </c>
      <c r="G3780" s="2" t="n">
        <f>HYPERLINK("https://patentcenter.uspto.gov/applications/15349934","Patent Center")</f>
        <v>0.0</v>
      </c>
      <c r="H3780" s="2" t="n">
        <f>HYPERLINK("https://worldwide.espacenet.com/patent/search?q=US9732092","Espacenet")</f>
        <v>0.0</v>
      </c>
      <c r="I3780" s="2" t="n">
        <f>HYPERLINK("https://ppubs.uspto.gov/pubwebapp/external.html?q=9732092.pn.","USPTO")</f>
        <v>0.0</v>
      </c>
      <c r="J3780" s="2" t="n">
        <f>HYPERLINK("https://image-ppubs.uspto.gov/dirsearch-public/print/downloadPdf/9732092","USPTO PDF")</f>
        <v>0.0</v>
      </c>
      <c r="K3780" s="2" t="n">
        <f>HYPERLINK("https://sectors.patentforecast.com/pmd/US9732092","PMD")</f>
        <v>0.0</v>
      </c>
      <c r="L3780" s="2" t="n">
        <f>HYPERLINK("https://globaldossier.uspto.gov/result/patent/US/9732092/1","US9732092")</f>
        <v>0.0</v>
      </c>
      <c r="M3780" t="s">
        <v>23959</v>
      </c>
      <c r="N3780" t="s">
        <v>664</v>
      </c>
      <c r="O3780" t="s">
        <v>665</v>
      </c>
      <c r="P3780" t="s">
        <v>23960</v>
      </c>
      <c r="Q3780" s="3" t="n">
        <v>42685.0</v>
      </c>
      <c r="R3780" s="3" t="n">
        <v>42962.0</v>
      </c>
      <c r="S3780" s="3" t="n">
        <v>43957.45970896991</v>
      </c>
      <c r="T3780" s="3" t="n">
        <v>44638.65579662037</v>
      </c>
      <c r="U3780" t="s">
        <v>23961</v>
      </c>
      <c r="V3780" t="s">
        <v>23962</v>
      </c>
    </row>
    <row r="3781">
      <c r="A3781" t="s">
        <v>23557</v>
      </c>
      <c r="B3781" t="s">
        <v>23963</v>
      </c>
      <c r="C3781" t="s">
        <v>132</v>
      </c>
      <c r="D3781" t="s">
        <v>2629</v>
      </c>
      <c r="E3781" t="s">
        <v>23964</v>
      </c>
      <c r="F3781" s="2" t="n">
        <f>HYPERLINK("https://patents.google.com/patent/US9731000","Google")</f>
        <v>0.0</v>
      </c>
      <c r="G3781" s="2" t="n">
        <f>HYPERLINK("https://patentcenter.uspto.gov/applications/14730805","Patent Center")</f>
        <v>0.0</v>
      </c>
      <c r="H3781" s="2" t="n">
        <f>HYPERLINK("https://worldwide.espacenet.com/patent/search?q=US9731000","Espacenet")</f>
        <v>0.0</v>
      </c>
      <c r="I3781" s="2" t="n">
        <f>HYPERLINK("https://ppubs.uspto.gov/pubwebapp/external.html?q=9731000.pn.","USPTO")</f>
        <v>0.0</v>
      </c>
      <c r="J3781" s="2" t="n">
        <f>HYPERLINK("https://image-ppubs.uspto.gov/dirsearch-public/print/downloadPdf/9731000","USPTO PDF")</f>
        <v>0.0</v>
      </c>
      <c r="K3781" s="2" t="n">
        <f>HYPERLINK("https://sectors.patentforecast.com/pmd/US9731000","PMD")</f>
        <v>0.0</v>
      </c>
      <c r="L3781" s="2" t="n">
        <f>HYPERLINK("https://globaldossier.uspto.gov/result/patent/US/9731000/1","US9731000")</f>
        <v>0.0</v>
      </c>
      <c r="M3781" t="s">
        <v>20161</v>
      </c>
      <c r="N3781" t="s">
        <v>1275</v>
      </c>
      <c r="O3781" t="s">
        <v>1275</v>
      </c>
      <c r="P3781" t="s">
        <v>23965</v>
      </c>
      <c r="Q3781" s="3" t="n">
        <v>42159.0</v>
      </c>
      <c r="R3781" s="3" t="n">
        <v>42962.0</v>
      </c>
      <c r="S3781" s="3" t="n">
        <v>43973.46901997685</v>
      </c>
      <c r="T3781" s="3" t="n">
        <v>44545.67035434028</v>
      </c>
      <c r="U3781" t="s">
        <v>23966</v>
      </c>
      <c r="V3781" t="s">
        <v>17136</v>
      </c>
    </row>
    <row r="3782">
      <c r="A3782" t="s">
        <v>23557</v>
      </c>
      <c r="B3782" t="s">
        <v>23967</v>
      </c>
      <c r="C3782" t="s">
        <v>132</v>
      </c>
      <c r="D3782" t="s">
        <v>1265</v>
      </c>
      <c r="E3782" t="s">
        <v>23968</v>
      </c>
      <c r="F3782" s="2" t="n">
        <f>HYPERLINK("https://patents.google.com/patent/US9730999","Google")</f>
        <v>0.0</v>
      </c>
      <c r="G3782" s="2" t="n">
        <f>HYPERLINK("https://patentcenter.uspto.gov/applications/14465055","Patent Center")</f>
        <v>0.0</v>
      </c>
      <c r="H3782" s="2" t="n">
        <f>HYPERLINK("https://worldwide.espacenet.com/patent/search?q=US9730999","Espacenet")</f>
        <v>0.0</v>
      </c>
      <c r="I3782" s="2" t="n">
        <f>HYPERLINK("https://ppubs.uspto.gov/pubwebapp/external.html?q=9730999.pn.","USPTO")</f>
        <v>0.0</v>
      </c>
      <c r="J3782" s="2" t="n">
        <f>HYPERLINK("https://image-ppubs.uspto.gov/dirsearch-public/print/downloadPdf/9730999","USPTO PDF")</f>
        <v>0.0</v>
      </c>
      <c r="K3782" s="2" t="n">
        <f>HYPERLINK("https://sectors.patentforecast.com/pmd/US9730999","PMD")</f>
        <v>0.0</v>
      </c>
      <c r="L3782" s="2" t="n">
        <f>HYPERLINK("https://globaldossier.uspto.gov/result/patent/US/9730999/1","US9730999")</f>
        <v>0.0</v>
      </c>
      <c r="M3782" t="s">
        <v>20493</v>
      </c>
      <c r="N3782" t="s">
        <v>15147</v>
      </c>
      <c r="O3782" t="s">
        <v>15148</v>
      </c>
      <c r="P3782" t="s">
        <v>23675</v>
      </c>
      <c r="Q3782" s="3" t="n">
        <v>41872.0</v>
      </c>
      <c r="R3782" s="3" t="n">
        <v>42962.0</v>
      </c>
      <c r="S3782" s="3" t="n">
        <v>43900.437267939815</v>
      </c>
      <c r="T3782" s="3" t="n">
        <v>43901.70557071759</v>
      </c>
      <c r="U3782" t="s">
        <v>23969</v>
      </c>
      <c r="V3782" t="s">
        <v>20495</v>
      </c>
    </row>
    <row r="3783">
      <c r="A3783" t="s">
        <v>23557</v>
      </c>
      <c r="B3783" t="s">
        <v>23970</v>
      </c>
      <c r="C3783" t="s">
        <v>24</v>
      </c>
      <c r="D3783" t="s">
        <v>25</v>
      </c>
      <c r="E3783" t="s">
        <v>23971</v>
      </c>
      <c r="F3783" s="2" t="n">
        <f>HYPERLINK("https://patents.google.com/patent/US9727702","Google")</f>
        <v>0.0</v>
      </c>
      <c r="G3783" s="2" t="n">
        <f>HYPERLINK("https://patentcenter.uspto.gov/applications/13280041","Patent Center")</f>
        <v>0.0</v>
      </c>
      <c r="H3783" s="2" t="n">
        <f>HYPERLINK("https://worldwide.espacenet.com/patent/search?q=US9727702","Espacenet")</f>
        <v>0.0</v>
      </c>
      <c r="I3783" s="2" t="n">
        <f>HYPERLINK("https://ppubs.uspto.gov/pubwebapp/external.html?q=9727702.pn.","USPTO")</f>
        <v>0.0</v>
      </c>
      <c r="J3783" s="2" t="n">
        <f>HYPERLINK("https://image-ppubs.uspto.gov/dirsearch-public/print/downloadPdf/9727702","USPTO PDF")</f>
        <v>0.0</v>
      </c>
      <c r="K3783" s="2" t="n">
        <f>HYPERLINK("https://sectors.patentforecast.com/pmd/US9727702","PMD")</f>
        <v>0.0</v>
      </c>
      <c r="L3783" s="2" t="n">
        <f>HYPERLINK("https://globaldossier.uspto.gov/result/patent/US/9727702/1","US9727702")</f>
        <v>0.0</v>
      </c>
      <c r="M3783" t="s">
        <v>21349</v>
      </c>
      <c r="N3783" t="s">
        <v>18960</v>
      </c>
      <c r="O3783" t="s">
        <v>18961</v>
      </c>
      <c r="P3783" t="s">
        <v>23972</v>
      </c>
      <c r="Q3783" s="3" t="n">
        <v>40840.0</v>
      </c>
      <c r="R3783" s="3" t="n">
        <v>42955.0</v>
      </c>
      <c r="S3783" s="3" t="n">
        <v>43266.45735398148</v>
      </c>
      <c r="T3783" s="3" t="n">
        <v>43903.49497354167</v>
      </c>
      <c r="U3783" t="s">
        <v>23973</v>
      </c>
      <c r="V3783" t="s">
        <v>18964</v>
      </c>
    </row>
    <row r="3784">
      <c r="A3784" t="s">
        <v>23557</v>
      </c>
      <c r="B3784" t="s">
        <v>23974</v>
      </c>
      <c r="C3784" t="s">
        <v>60</v>
      </c>
      <c r="D3784" t="s">
        <v>61</v>
      </c>
      <c r="E3784" t="s">
        <v>23658</v>
      </c>
      <c r="F3784" s="2" t="n">
        <f>HYPERLINK("https://patents.google.com/patent/US9724360","Google")</f>
        <v>0.0</v>
      </c>
      <c r="G3784" s="2" t="n">
        <f>HYPERLINK("https://patentcenter.uspto.gov/applications/14926062","Patent Center")</f>
        <v>0.0</v>
      </c>
      <c r="H3784" s="2" t="n">
        <f>HYPERLINK("https://worldwide.espacenet.com/patent/search?q=US9724360","Espacenet")</f>
        <v>0.0</v>
      </c>
      <c r="I3784" s="2" t="n">
        <f>HYPERLINK("https://ppubs.uspto.gov/pubwebapp/external.html?q=9724360.pn.","USPTO")</f>
        <v>0.0</v>
      </c>
      <c r="J3784" s="2" t="n">
        <f>HYPERLINK("https://image-ppubs.uspto.gov/dirsearch-public/print/downloadPdf/9724360","USPTO PDF")</f>
        <v>0.0</v>
      </c>
      <c r="K3784" s="2" t="n">
        <f>HYPERLINK("https://sectors.patentforecast.com/pmd/US9724360","PMD")</f>
        <v>0.0</v>
      </c>
      <c r="L3784" s="2" t="n">
        <f>HYPERLINK("https://globaldossier.uspto.gov/result/patent/US/9724360/1","US9724360")</f>
        <v>0.0</v>
      </c>
      <c r="M3784" t="s">
        <v>19724</v>
      </c>
      <c r="N3784" t="s">
        <v>664</v>
      </c>
      <c r="O3784" t="s">
        <v>665</v>
      </c>
      <c r="P3784" t="s">
        <v>23975</v>
      </c>
      <c r="Q3784" s="3" t="n">
        <v>42306.0</v>
      </c>
      <c r="R3784" s="3" t="n">
        <v>42955.0</v>
      </c>
      <c r="S3784" s="3" t="n">
        <v>43957.45970896991</v>
      </c>
      <c r="T3784" s="3" t="n">
        <v>44638.65643378472</v>
      </c>
      <c r="U3784" t="s">
        <v>23976</v>
      </c>
      <c r="V3784" t="s">
        <v>23661</v>
      </c>
    </row>
    <row r="3785">
      <c r="A3785" t="s">
        <v>23557</v>
      </c>
      <c r="B3785" t="s">
        <v>23977</v>
      </c>
      <c r="C3785" t="s">
        <v>60</v>
      </c>
      <c r="D3785" t="s">
        <v>77</v>
      </c>
      <c r="E3785" t="s">
        <v>23978</v>
      </c>
      <c r="F3785" s="2" t="n">
        <f>HYPERLINK("https://patents.google.com/patent/US9718872","Google")</f>
        <v>0.0</v>
      </c>
      <c r="G3785" s="2" t="n">
        <f>HYPERLINK("https://patentcenter.uspto.gov/applications/14717760","Patent Center")</f>
        <v>0.0</v>
      </c>
      <c r="H3785" s="2" t="n">
        <f>HYPERLINK("https://worldwide.espacenet.com/patent/search?q=US9718872","Espacenet")</f>
        <v>0.0</v>
      </c>
      <c r="I3785" s="2" t="n">
        <f>HYPERLINK("https://ppubs.uspto.gov/pubwebapp/external.html?q=9718872.pn.","USPTO")</f>
        <v>0.0</v>
      </c>
      <c r="J3785" s="2" t="n">
        <f>HYPERLINK("https://image-ppubs.uspto.gov/dirsearch-public/print/downloadPdf/9718872","USPTO PDF")</f>
        <v>0.0</v>
      </c>
      <c r="K3785" s="2" t="n">
        <f>HYPERLINK("https://sectors.patentforecast.com/pmd/US9718872","PMD")</f>
        <v>0.0</v>
      </c>
      <c r="L3785" s="2" t="n">
        <f>HYPERLINK("https://globaldossier.uspto.gov/result/patent/US/9718872/1","US9718872")</f>
        <v>0.0</v>
      </c>
      <c r="M3785" t="s">
        <v>20049</v>
      </c>
      <c r="N3785" t="s">
        <v>4321</v>
      </c>
      <c r="O3785" t="s">
        <v>4322</v>
      </c>
      <c r="P3785" t="s">
        <v>23979</v>
      </c>
      <c r="Q3785" s="3" t="n">
        <v>42144.0</v>
      </c>
      <c r="R3785" s="3" t="n">
        <v>42948.0</v>
      </c>
      <c r="S3785" s="3" t="n">
        <v>43935.70415306713</v>
      </c>
      <c r="T3785" s="3" t="n">
        <v>43985.6379399537</v>
      </c>
      <c r="U3785" t="s">
        <v>23980</v>
      </c>
      <c r="V3785" t="s">
        <v>20051</v>
      </c>
    </row>
    <row r="3786">
      <c r="A3786" t="s">
        <v>23557</v>
      </c>
      <c r="B3786" t="s">
        <v>23981</v>
      </c>
      <c r="C3786" t="s">
        <v>60</v>
      </c>
      <c r="D3786" t="s">
        <v>61</v>
      </c>
      <c r="E3786" t="s">
        <v>23982</v>
      </c>
      <c r="F3786" s="2" t="n">
        <f>HYPERLINK("https://patents.google.com/patent/US9718807","Google")</f>
        <v>0.0</v>
      </c>
      <c r="G3786" s="2" t="n">
        <f>HYPERLINK("https://patentcenter.uspto.gov/applications/15228825","Patent Center")</f>
        <v>0.0</v>
      </c>
      <c r="H3786" s="2" t="n">
        <f>HYPERLINK("https://worldwide.espacenet.com/patent/search?q=US9718807","Espacenet")</f>
        <v>0.0</v>
      </c>
      <c r="I3786" s="2" t="n">
        <f>HYPERLINK("https://ppubs.uspto.gov/pubwebapp/external.html?q=9718807.pn.","USPTO")</f>
        <v>0.0</v>
      </c>
      <c r="J3786" s="2" t="n">
        <f>HYPERLINK("https://image-ppubs.uspto.gov/dirsearch-public/print/downloadPdf/9718807","USPTO PDF")</f>
        <v>0.0</v>
      </c>
      <c r="K3786" s="2" t="n">
        <f>HYPERLINK("https://sectors.patentforecast.com/pmd/US9718807","PMD")</f>
        <v>0.0</v>
      </c>
      <c r="L3786" s="2" t="n">
        <f>HYPERLINK("https://globaldossier.uspto.gov/result/patent/US/9718807/1","US9718807")</f>
        <v>0.0</v>
      </c>
      <c r="M3786" t="s">
        <v>19465</v>
      </c>
      <c r="N3786" t="s">
        <v>664</v>
      </c>
      <c r="O3786" t="s">
        <v>665</v>
      </c>
      <c r="P3786" t="s">
        <v>23983</v>
      </c>
      <c r="Q3786" s="3" t="n">
        <v>42586.0</v>
      </c>
      <c r="R3786" s="3" t="n">
        <v>42948.0</v>
      </c>
      <c r="S3786" s="3" t="n">
        <v>43950.647372685184</v>
      </c>
      <c r="T3786" s="3" t="n">
        <v>44638.65271974537</v>
      </c>
      <c r="U3786" t="s">
        <v>23984</v>
      </c>
      <c r="V3786" t="s">
        <v>23985</v>
      </c>
    </row>
    <row r="3787">
      <c r="A3787" t="s">
        <v>23557</v>
      </c>
      <c r="B3787" t="s">
        <v>23986</v>
      </c>
      <c r="C3787" t="s">
        <v>132</v>
      </c>
      <c r="D3787" t="s">
        <v>2629</v>
      </c>
      <c r="E3787" t="s">
        <v>23964</v>
      </c>
      <c r="F3787" s="2" t="n">
        <f>HYPERLINK("https://patents.google.com/patent/US9717786","Google")</f>
        <v>0.0</v>
      </c>
      <c r="G3787" s="2" t="n">
        <f>HYPERLINK("https://patentcenter.uspto.gov/applications/14730809","Patent Center")</f>
        <v>0.0</v>
      </c>
      <c r="H3787" s="2" t="n">
        <f>HYPERLINK("https://worldwide.espacenet.com/patent/search?q=US9717786","Espacenet")</f>
        <v>0.0</v>
      </c>
      <c r="I3787" s="2" t="n">
        <f>HYPERLINK("https://ppubs.uspto.gov/pubwebapp/external.html?q=9717786.pn.","USPTO")</f>
        <v>0.0</v>
      </c>
      <c r="J3787" s="2" t="n">
        <f>HYPERLINK("https://image-ppubs.uspto.gov/dirsearch-public/print/downloadPdf/9717786","USPTO PDF")</f>
        <v>0.0</v>
      </c>
      <c r="K3787" s="2" t="n">
        <f>HYPERLINK("https://sectors.patentforecast.com/pmd/US9717786","PMD")</f>
        <v>0.0</v>
      </c>
      <c r="L3787" s="2" t="n">
        <f>HYPERLINK("https://globaldossier.uspto.gov/result/patent/US/9717786/1","US9717786")</f>
        <v>0.0</v>
      </c>
      <c r="M3787" t="s">
        <v>20157</v>
      </c>
      <c r="N3787" t="s">
        <v>1275</v>
      </c>
      <c r="O3787" t="s">
        <v>1275</v>
      </c>
      <c r="P3787" t="s">
        <v>23987</v>
      </c>
      <c r="Q3787" s="3" t="n">
        <v>42159.0</v>
      </c>
      <c r="R3787" s="3" t="n">
        <v>42948.0</v>
      </c>
      <c r="S3787" s="3" t="n">
        <v>44019.685416631946</v>
      </c>
      <c r="T3787" s="3" t="n">
        <v>44020.62389086805</v>
      </c>
      <c r="U3787" t="s">
        <v>23988</v>
      </c>
      <c r="V3787" t="s">
        <v>17136</v>
      </c>
    </row>
    <row r="3788">
      <c r="A3788" t="s">
        <v>23557</v>
      </c>
      <c r="B3788" t="s">
        <v>23989</v>
      </c>
      <c r="C3788" t="s">
        <v>24</v>
      </c>
      <c r="D3788" t="s">
        <v>100</v>
      </c>
      <c r="E3788" t="s">
        <v>23106</v>
      </c>
      <c r="F3788" s="2" t="n">
        <f>HYPERLINK("https://patents.google.com/patent/US9715817","Google")</f>
        <v>0.0</v>
      </c>
      <c r="G3788" s="2" t="n">
        <f>HYPERLINK("https://patentcenter.uspto.gov/applications/15150527","Patent Center")</f>
        <v>0.0</v>
      </c>
      <c r="H3788" s="2" t="n">
        <f>HYPERLINK("https://worldwide.espacenet.com/patent/search?q=US9715817","Espacenet")</f>
        <v>0.0</v>
      </c>
      <c r="I3788" s="2" t="n">
        <f>HYPERLINK("https://ppubs.uspto.gov/pubwebapp/external.html?q=9715817.pn.","USPTO")</f>
        <v>0.0</v>
      </c>
      <c r="J3788" s="2" t="n">
        <f>HYPERLINK("https://image-ppubs.uspto.gov/dirsearch-public/print/downloadPdf/9715817","USPTO PDF")</f>
        <v>0.0</v>
      </c>
      <c r="K3788" s="2" t="n">
        <f>HYPERLINK("https://sectors.patentforecast.com/pmd/US9715817","PMD")</f>
        <v>0.0</v>
      </c>
      <c r="L3788" s="2" t="n">
        <f>HYPERLINK("https://globaldossier.uspto.gov/result/patent/US/9715817/1","US9715817")</f>
        <v>0.0</v>
      </c>
      <c r="M3788" t="s">
        <v>19544</v>
      </c>
      <c r="N3788" t="s">
        <v>1444</v>
      </c>
      <c r="O3788" t="s">
        <v>1445</v>
      </c>
      <c r="P3788" t="s">
        <v>23705</v>
      </c>
      <c r="Q3788" s="3" t="n">
        <v>42500.0</v>
      </c>
      <c r="R3788" s="3" t="n">
        <v>42941.0</v>
      </c>
      <c r="S3788" s="3" t="n">
        <v>43266.45735398148</v>
      </c>
      <c r="T3788" s="3" t="n">
        <v>43906.35771765046</v>
      </c>
      <c r="U3788" t="s">
        <v>23990</v>
      </c>
      <c r="V3788" t="s">
        <v>19025</v>
      </c>
    </row>
    <row r="3789">
      <c r="A3789" t="s">
        <v>23557</v>
      </c>
      <c r="B3789" t="s">
        <v>23991</v>
      </c>
      <c r="C3789" t="s">
        <v>132</v>
      </c>
      <c r="D3789" t="s">
        <v>133</v>
      </c>
      <c r="E3789" t="s">
        <v>23992</v>
      </c>
      <c r="F3789" s="2" t="n">
        <f>HYPERLINK("https://patents.google.com/patent/US9713639","Google")</f>
        <v>0.0</v>
      </c>
      <c r="G3789" s="2" t="n">
        <f>HYPERLINK("https://patentcenter.uspto.gov/applications/14716481","Patent Center")</f>
        <v>0.0</v>
      </c>
      <c r="H3789" s="2" t="n">
        <f>HYPERLINK("https://worldwide.espacenet.com/patent/search?q=US9713639","Espacenet")</f>
        <v>0.0</v>
      </c>
      <c r="I3789" s="2" t="n">
        <f>HYPERLINK("https://ppubs.uspto.gov/pubwebapp/external.html?q=9713639.pn.","USPTO")</f>
        <v>0.0</v>
      </c>
      <c r="J3789" s="2" t="n">
        <f>HYPERLINK("https://image-ppubs.uspto.gov/dirsearch-public/print/downloadPdf/9713639","USPTO PDF")</f>
        <v>0.0</v>
      </c>
      <c r="K3789" s="2" t="n">
        <f>HYPERLINK("https://sectors.patentforecast.com/pmd/US9713639","PMD")</f>
        <v>0.0</v>
      </c>
      <c r="L3789" s="2" t="n">
        <f>HYPERLINK("https://globaldossier.uspto.gov/result/patent/US/9713639/1","US9713639")</f>
        <v>0.0</v>
      </c>
      <c r="M3789" t="s">
        <v>20061</v>
      </c>
      <c r="N3789" t="s">
        <v>16179</v>
      </c>
      <c r="O3789" t="s">
        <v>16180</v>
      </c>
      <c r="P3789" t="s">
        <v>23993</v>
      </c>
      <c r="Q3789" s="3" t="n">
        <v>42143.0</v>
      </c>
      <c r="R3789" s="3" t="n">
        <v>42941.0</v>
      </c>
      <c r="S3789" s="3" t="n">
        <v>43900.437267939815</v>
      </c>
      <c r="T3789" s="3" t="n">
        <v>43901.70557053241</v>
      </c>
      <c r="U3789" t="s">
        <v>23994</v>
      </c>
      <c r="V3789" t="s">
        <v>20064</v>
      </c>
    </row>
    <row r="3790">
      <c r="A3790" t="s">
        <v>23557</v>
      </c>
      <c r="B3790" t="s">
        <v>23995</v>
      </c>
      <c r="C3790" t="s">
        <v>60</v>
      </c>
      <c r="D3790" t="s">
        <v>61</v>
      </c>
      <c r="E3790" t="s">
        <v>23996</v>
      </c>
      <c r="F3790" s="2" t="n">
        <f>HYPERLINK("https://patents.google.com/patent/US9701682","Google")</f>
        <v>0.0</v>
      </c>
      <c r="G3790" s="2" t="n">
        <f>HYPERLINK("https://patentcenter.uspto.gov/applications/15182529","Patent Center")</f>
        <v>0.0</v>
      </c>
      <c r="H3790" s="2" t="n">
        <f>HYPERLINK("https://worldwide.espacenet.com/patent/search?q=US9701682","Espacenet")</f>
        <v>0.0</v>
      </c>
      <c r="I3790" s="2" t="n">
        <f>HYPERLINK("https://ppubs.uspto.gov/pubwebapp/external.html?q=9701682.pn.","USPTO")</f>
        <v>0.0</v>
      </c>
      <c r="J3790" s="2" t="n">
        <f>HYPERLINK("https://image-ppubs.uspto.gov/dirsearch-public/print/downloadPdf/9701682","USPTO PDF")</f>
        <v>0.0</v>
      </c>
      <c r="K3790" s="2" t="n">
        <f>HYPERLINK("https://sectors.patentforecast.com/pmd/US9701682","PMD")</f>
        <v>0.0</v>
      </c>
      <c r="L3790" s="2" t="n">
        <f>HYPERLINK("https://globaldossier.uspto.gov/result/patent/US/9701682/1","US9701682")</f>
        <v>0.0</v>
      </c>
      <c r="M3790" t="s">
        <v>19416</v>
      </c>
      <c r="N3790" t="s">
        <v>664</v>
      </c>
      <c r="O3790" t="s">
        <v>665</v>
      </c>
      <c r="P3790" t="s">
        <v>23997</v>
      </c>
      <c r="Q3790" s="3" t="n">
        <v>42535.0</v>
      </c>
      <c r="R3790" s="3" t="n">
        <v>42927.0</v>
      </c>
      <c r="S3790" s="3" t="n">
        <v>43957.45970896991</v>
      </c>
      <c r="T3790" s="3" t="n">
        <v>44638.65643378472</v>
      </c>
      <c r="U3790" t="s">
        <v>23998</v>
      </c>
      <c r="V3790" t="s">
        <v>23999</v>
      </c>
    </row>
    <row r="3791">
      <c r="A3791" t="s">
        <v>23557</v>
      </c>
      <c r="B3791" t="s">
        <v>24000</v>
      </c>
      <c r="C3791" t="s">
        <v>132</v>
      </c>
      <c r="D3791" t="s">
        <v>1265</v>
      </c>
      <c r="E3791" t="s">
        <v>22938</v>
      </c>
      <c r="F3791" s="2" t="n">
        <f>HYPERLINK("https://patents.google.com/patent/US9694066","Google")</f>
        <v>0.0</v>
      </c>
      <c r="G3791" s="2" t="n">
        <f>HYPERLINK("https://patentcenter.uspto.gov/applications/14733632","Patent Center")</f>
        <v>0.0</v>
      </c>
      <c r="H3791" s="2" t="n">
        <f>HYPERLINK("https://worldwide.espacenet.com/patent/search?q=US9694066","Espacenet")</f>
        <v>0.0</v>
      </c>
      <c r="I3791" s="2" t="n">
        <f>HYPERLINK("https://ppubs.uspto.gov/pubwebapp/external.html?q=9694066.pn.","USPTO")</f>
        <v>0.0</v>
      </c>
      <c r="J3791" s="2" t="n">
        <f>HYPERLINK("https://image-ppubs.uspto.gov/dirsearch-public/print/downloadPdf/9694066","USPTO PDF")</f>
        <v>0.0</v>
      </c>
      <c r="K3791" s="2" t="n">
        <f>HYPERLINK("https://sectors.patentforecast.com/pmd/US9694066","PMD")</f>
        <v>0.0</v>
      </c>
      <c r="L3791" s="2" t="n">
        <f>HYPERLINK("https://globaldossier.uspto.gov/result/patent/US/9694066/1","US9694066")</f>
        <v>0.0</v>
      </c>
      <c r="M3791" t="s">
        <v>19973</v>
      </c>
      <c r="N3791" t="s">
        <v>1275</v>
      </c>
      <c r="O3791" t="s">
        <v>1275</v>
      </c>
      <c r="P3791" t="s">
        <v>24001</v>
      </c>
      <c r="Q3791" s="3" t="n">
        <v>42163.0</v>
      </c>
      <c r="R3791" s="3" t="n">
        <v>42920.0</v>
      </c>
      <c r="S3791" s="3" t="n">
        <v>43900.437267939815</v>
      </c>
      <c r="T3791" s="3" t="n">
        <v>43901.705570578706</v>
      </c>
      <c r="U3791" t="s">
        <v>24002</v>
      </c>
      <c r="V3791" t="s">
        <v>17402</v>
      </c>
    </row>
    <row r="3792">
      <c r="A3792" t="s">
        <v>23557</v>
      </c>
      <c r="B3792" t="s">
        <v>24003</v>
      </c>
      <c r="C3792" t="s">
        <v>60</v>
      </c>
      <c r="D3792" t="s">
        <v>61</v>
      </c>
      <c r="E3792" t="s">
        <v>22432</v>
      </c>
      <c r="F3792" s="2" t="n">
        <f>HYPERLINK("https://patents.google.com/patent/US9682989","Google")</f>
        <v>0.0</v>
      </c>
      <c r="G3792" s="2" t="n">
        <f>HYPERLINK("https://patentcenter.uspto.gov/applications/14925203","Patent Center")</f>
        <v>0.0</v>
      </c>
      <c r="H3792" s="2" t="n">
        <f>HYPERLINK("https://worldwide.espacenet.com/patent/search?q=US9682989","Espacenet")</f>
        <v>0.0</v>
      </c>
      <c r="I3792" s="2" t="n">
        <f>HYPERLINK("https://ppubs.uspto.gov/pubwebapp/external.html?q=9682989.pn.","USPTO")</f>
        <v>0.0</v>
      </c>
      <c r="J3792" s="2" t="n">
        <f>HYPERLINK("https://image-ppubs.uspto.gov/dirsearch-public/print/downloadPdf/9682989","USPTO PDF")</f>
        <v>0.0</v>
      </c>
      <c r="K3792" s="2" t="n">
        <f>HYPERLINK("https://sectors.patentforecast.com/pmd/US9682989","PMD")</f>
        <v>0.0</v>
      </c>
      <c r="L3792" s="2" t="n">
        <f>HYPERLINK("https://globaldossier.uspto.gov/result/patent/US/9682989/1","US9682989")</f>
        <v>0.0</v>
      </c>
      <c r="M3792" t="s">
        <v>19733</v>
      </c>
      <c r="N3792" t="s">
        <v>664</v>
      </c>
      <c r="O3792" t="s">
        <v>665</v>
      </c>
      <c r="P3792" t="s">
        <v>24004</v>
      </c>
      <c r="Q3792" s="3" t="n">
        <v>42305.0</v>
      </c>
      <c r="R3792" s="3" t="n">
        <v>42906.0</v>
      </c>
      <c r="S3792" s="3" t="n">
        <v>43957.45970896991</v>
      </c>
      <c r="T3792" s="3" t="n">
        <v>44544.455635659724</v>
      </c>
      <c r="U3792" t="s">
        <v>24005</v>
      </c>
      <c r="V3792" t="s">
        <v>17072</v>
      </c>
    </row>
    <row r="3793">
      <c r="A3793" t="s">
        <v>23557</v>
      </c>
      <c r="B3793" t="s">
        <v>24006</v>
      </c>
      <c r="C3793" t="s">
        <v>60</v>
      </c>
      <c r="D3793" t="s">
        <v>61</v>
      </c>
      <c r="E3793" t="s">
        <v>23786</v>
      </c>
      <c r="F3793" s="2" t="n">
        <f>HYPERLINK("https://patents.google.com/patent/US9682987","Google")</f>
        <v>0.0</v>
      </c>
      <c r="G3793" s="2" t="n">
        <f>HYPERLINK("https://patentcenter.uspto.gov/applications/14825386","Patent Center")</f>
        <v>0.0</v>
      </c>
      <c r="H3793" s="2" t="n">
        <f>HYPERLINK("https://worldwide.espacenet.com/patent/search?q=US9682987","Espacenet")</f>
        <v>0.0</v>
      </c>
      <c r="I3793" s="2" t="n">
        <f>HYPERLINK("https://ppubs.uspto.gov/pubwebapp/external.html?q=9682987.pn.","USPTO")</f>
        <v>0.0</v>
      </c>
      <c r="J3793" s="2" t="n">
        <f>HYPERLINK("https://image-ppubs.uspto.gov/dirsearch-public/print/downloadPdf/9682987","USPTO PDF")</f>
        <v>0.0</v>
      </c>
      <c r="K3793" s="2" t="n">
        <f>HYPERLINK("https://sectors.patentforecast.com/pmd/US9682987","PMD")</f>
        <v>0.0</v>
      </c>
      <c r="L3793" s="2" t="n">
        <f>HYPERLINK("https://globaldossier.uspto.gov/result/patent/US/9682987/1","US9682987")</f>
        <v>0.0</v>
      </c>
      <c r="M3793" t="s">
        <v>20023</v>
      </c>
      <c r="N3793" t="s">
        <v>664</v>
      </c>
      <c r="O3793" t="s">
        <v>665</v>
      </c>
      <c r="P3793" t="s">
        <v>24007</v>
      </c>
      <c r="Q3793" s="3" t="n">
        <v>42229.0</v>
      </c>
      <c r="R3793" s="3" t="n">
        <v>42906.0</v>
      </c>
      <c r="S3793" s="3" t="n">
        <v>43957.45970896991</v>
      </c>
      <c r="T3793" s="3" t="n">
        <v>44638.65271974537</v>
      </c>
      <c r="U3793" t="s">
        <v>24008</v>
      </c>
      <c r="V3793" t="s">
        <v>24009</v>
      </c>
    </row>
    <row r="3794">
      <c r="A3794" t="s">
        <v>23557</v>
      </c>
      <c r="B3794" t="s">
        <v>24010</v>
      </c>
      <c r="C3794" t="s">
        <v>60</v>
      </c>
      <c r="D3794" t="s">
        <v>61</v>
      </c>
      <c r="E3794" t="s">
        <v>24011</v>
      </c>
      <c r="F3794" s="2" t="n">
        <f>HYPERLINK("https://patents.google.com/patent/US9682130","Google")</f>
        <v>0.0</v>
      </c>
      <c r="G3794" s="2" t="n">
        <f>HYPERLINK("https://patentcenter.uspto.gov/applications/15275442","Patent Center")</f>
        <v>0.0</v>
      </c>
      <c r="H3794" s="2" t="n">
        <f>HYPERLINK("https://worldwide.espacenet.com/patent/search?q=US9682130","Espacenet")</f>
        <v>0.0</v>
      </c>
      <c r="I3794" s="2" t="n">
        <f>HYPERLINK("https://ppubs.uspto.gov/pubwebapp/external.html?q=9682130.pn.","USPTO")</f>
        <v>0.0</v>
      </c>
      <c r="J3794" s="2" t="n">
        <f>HYPERLINK("https://image-ppubs.uspto.gov/dirsearch-public/print/downloadPdf/9682130","USPTO PDF")</f>
        <v>0.0</v>
      </c>
      <c r="K3794" s="2" t="n">
        <f>HYPERLINK("https://sectors.patentforecast.com/pmd/US9682130","PMD")</f>
        <v>0.0</v>
      </c>
      <c r="L3794" s="2" t="n">
        <f>HYPERLINK("https://globaldossier.uspto.gov/result/patent/US/9682130/1","US9682130")</f>
        <v>0.0</v>
      </c>
      <c r="M3794" t="s">
        <v>19354</v>
      </c>
      <c r="N3794" t="s">
        <v>19060</v>
      </c>
      <c r="O3794" t="s">
        <v>19061</v>
      </c>
      <c r="P3794" t="s">
        <v>24012</v>
      </c>
      <c r="Q3794" s="3" t="n">
        <v>42638.0</v>
      </c>
      <c r="R3794" s="3" t="n">
        <v>42906.0</v>
      </c>
      <c r="S3794" s="3" t="n">
        <v>43900.437267939815</v>
      </c>
      <c r="T3794" s="3" t="n">
        <v>43906.37980549769</v>
      </c>
      <c r="U3794" t="s">
        <v>24013</v>
      </c>
      <c r="V3794" t="s">
        <v>19064</v>
      </c>
    </row>
    <row r="3795">
      <c r="A3795" t="s">
        <v>23557</v>
      </c>
      <c r="B3795" t="s">
        <v>24014</v>
      </c>
      <c r="C3795" t="s">
        <v>60</v>
      </c>
      <c r="D3795" t="s">
        <v>61</v>
      </c>
      <c r="E3795" t="s">
        <v>24015</v>
      </c>
      <c r="F3795" s="2" t="n">
        <f>HYPERLINK("https://patents.google.com/patent/US9676808","Google")</f>
        <v>0.0</v>
      </c>
      <c r="G3795" s="2" t="n">
        <f>HYPERLINK("https://patentcenter.uspto.gov/applications/15007810","Patent Center")</f>
        <v>0.0</v>
      </c>
      <c r="H3795" s="2" t="n">
        <f>HYPERLINK("https://worldwide.espacenet.com/patent/search?q=US9676808","Espacenet")</f>
        <v>0.0</v>
      </c>
      <c r="I3795" s="2" t="n">
        <f>HYPERLINK("https://ppubs.uspto.gov/pubwebapp/external.html?q=9676808.pn.","USPTO")</f>
        <v>0.0</v>
      </c>
      <c r="J3795" s="2" t="n">
        <f>HYPERLINK("https://image-ppubs.uspto.gov/dirsearch-public/print/downloadPdf/9676808","USPTO PDF")</f>
        <v>0.0</v>
      </c>
      <c r="K3795" s="2" t="n">
        <f>HYPERLINK("https://sectors.patentforecast.com/pmd/US9676808","PMD")</f>
        <v>0.0</v>
      </c>
      <c r="L3795" s="2" t="n">
        <f>HYPERLINK("https://globaldossier.uspto.gov/result/patent/US/9676808/1","US9676808")</f>
        <v>0.0</v>
      </c>
      <c r="M3795" t="s">
        <v>19514</v>
      </c>
      <c r="N3795" t="s">
        <v>664</v>
      </c>
      <c r="O3795" t="s">
        <v>665</v>
      </c>
      <c r="P3795" t="s">
        <v>24016</v>
      </c>
      <c r="Q3795" s="3" t="n">
        <v>42396.0</v>
      </c>
      <c r="R3795" s="3" t="n">
        <v>42899.0</v>
      </c>
      <c r="S3795" s="3" t="n">
        <v>43957.45970896991</v>
      </c>
      <c r="T3795" s="3" t="n">
        <v>44544.41426333333</v>
      </c>
      <c r="U3795" t="s">
        <v>24017</v>
      </c>
      <c r="V3795" t="s">
        <v>19517</v>
      </c>
    </row>
    <row r="3796">
      <c r="A3796" t="s">
        <v>23557</v>
      </c>
      <c r="B3796" t="s">
        <v>24018</v>
      </c>
      <c r="C3796" t="s">
        <v>60</v>
      </c>
      <c r="D3796" t="s">
        <v>61</v>
      </c>
      <c r="E3796" t="s">
        <v>24019</v>
      </c>
      <c r="F3796" s="2" t="n">
        <f>HYPERLINK("https://patents.google.com/patent/US9676804","Google")</f>
        <v>0.0</v>
      </c>
      <c r="G3796" s="2" t="n">
        <f>HYPERLINK("https://patentcenter.uspto.gov/applications/15135357","Patent Center")</f>
        <v>0.0</v>
      </c>
      <c r="H3796" s="2" t="n">
        <f>HYPERLINK("https://worldwide.espacenet.com/patent/search?q=US9676804","Espacenet")</f>
        <v>0.0</v>
      </c>
      <c r="I3796" s="2" t="n">
        <f>HYPERLINK("https://ppubs.uspto.gov/pubwebapp/external.html?q=9676804.pn.","USPTO")</f>
        <v>0.0</v>
      </c>
      <c r="J3796" s="2" t="n">
        <f>HYPERLINK("https://image-ppubs.uspto.gov/dirsearch-public/print/downloadPdf/9676804","USPTO PDF")</f>
        <v>0.0</v>
      </c>
      <c r="K3796" s="2" t="n">
        <f>HYPERLINK("https://sectors.patentforecast.com/pmd/US9676804","PMD")</f>
        <v>0.0</v>
      </c>
      <c r="L3796" s="2" t="n">
        <f>HYPERLINK("https://globaldossier.uspto.gov/result/patent/US/9676804/1","US9676804")</f>
        <v>0.0</v>
      </c>
      <c r="M3796" t="s">
        <v>19485</v>
      </c>
      <c r="N3796" t="s">
        <v>664</v>
      </c>
      <c r="O3796" t="s">
        <v>665</v>
      </c>
      <c r="P3796" t="s">
        <v>24020</v>
      </c>
      <c r="Q3796" s="3" t="n">
        <v>42481.0</v>
      </c>
      <c r="R3796" s="3" t="n">
        <v>42899.0</v>
      </c>
      <c r="S3796" s="3" t="n">
        <v>43957.45970896991</v>
      </c>
      <c r="T3796" s="3" t="n">
        <v>44638.65579662037</v>
      </c>
      <c r="U3796" t="s">
        <v>24021</v>
      </c>
      <c r="V3796" t="s">
        <v>24022</v>
      </c>
    </row>
    <row r="3797">
      <c r="A3797" t="s">
        <v>23557</v>
      </c>
      <c r="B3797" t="s">
        <v>24023</v>
      </c>
      <c r="C3797" t="s">
        <v>132</v>
      </c>
      <c r="D3797" t="s">
        <v>2629</v>
      </c>
      <c r="E3797" t="s">
        <v>23964</v>
      </c>
      <c r="F3797" s="2" t="n">
        <f>HYPERLINK("https://patents.google.com/patent/US9675685","Google")</f>
        <v>0.0</v>
      </c>
      <c r="G3797" s="2" t="n">
        <f>HYPERLINK("https://patentcenter.uspto.gov/applications/14221675","Patent Center")</f>
        <v>0.0</v>
      </c>
      <c r="H3797" s="2" t="n">
        <f>HYPERLINK("https://worldwide.espacenet.com/patent/search?q=US9675685","Espacenet")</f>
        <v>0.0</v>
      </c>
      <c r="I3797" s="2" t="n">
        <f>HYPERLINK("https://ppubs.uspto.gov/pubwebapp/external.html?q=9675685.pn.","USPTO")</f>
        <v>0.0</v>
      </c>
      <c r="J3797" s="2" t="n">
        <f>HYPERLINK("https://image-ppubs.uspto.gov/dirsearch-public/print/downloadPdf/9675685","USPTO PDF")</f>
        <v>0.0</v>
      </c>
      <c r="K3797" s="2" t="n">
        <f>HYPERLINK("https://sectors.patentforecast.com/pmd/US9675685","PMD")</f>
        <v>0.0</v>
      </c>
      <c r="L3797" s="2" t="n">
        <f>HYPERLINK("https://globaldossier.uspto.gov/result/patent/US/9675685/1","US9675685")</f>
        <v>0.0</v>
      </c>
      <c r="M3797" t="s">
        <v>20560</v>
      </c>
      <c r="N3797" t="s">
        <v>1275</v>
      </c>
      <c r="O3797" t="s">
        <v>1275</v>
      </c>
      <c r="P3797" t="s">
        <v>24024</v>
      </c>
      <c r="Q3797" s="3" t="n">
        <v>41719.0</v>
      </c>
      <c r="R3797" s="3" t="n">
        <v>42899.0</v>
      </c>
      <c r="S3797" s="3" t="n">
        <v>44019.685416631946</v>
      </c>
      <c r="T3797" s="3" t="n">
        <v>44020.62389086805</v>
      </c>
      <c r="U3797" t="s">
        <v>24025</v>
      </c>
      <c r="V3797" t="s">
        <v>17136</v>
      </c>
    </row>
    <row r="3798">
      <c r="A3798" t="s">
        <v>23557</v>
      </c>
      <c r="B3798" t="s">
        <v>24026</v>
      </c>
      <c r="C3798" t="s">
        <v>60</v>
      </c>
      <c r="D3798" t="s">
        <v>61</v>
      </c>
      <c r="E3798" t="s">
        <v>23758</v>
      </c>
      <c r="F3798" s="2" t="n">
        <f>HYPERLINK("https://patents.google.com/patent/US9670187","Google")</f>
        <v>0.0</v>
      </c>
      <c r="G3798" s="2" t="n">
        <f>HYPERLINK("https://patentcenter.uspto.gov/applications/14733139","Patent Center")</f>
        <v>0.0</v>
      </c>
      <c r="H3798" s="2" t="n">
        <f>HYPERLINK("https://worldwide.espacenet.com/patent/search?q=US9670187","Espacenet")</f>
        <v>0.0</v>
      </c>
      <c r="I3798" s="2" t="n">
        <f>HYPERLINK("https://ppubs.uspto.gov/pubwebapp/external.html?q=9670187.pn.","USPTO")</f>
        <v>0.0</v>
      </c>
      <c r="J3798" s="2" t="n">
        <f>HYPERLINK("https://image-ppubs.uspto.gov/dirsearch-public/print/downloadPdf/9670187","USPTO PDF")</f>
        <v>0.0</v>
      </c>
      <c r="K3798" s="2" t="n">
        <f>HYPERLINK("https://sectors.patentforecast.com/pmd/US9670187","PMD")</f>
        <v>0.0</v>
      </c>
      <c r="L3798" s="2" t="n">
        <f>HYPERLINK("https://globaldossier.uspto.gov/result/patent/US/9670187/1","US9670187")</f>
        <v>0.0</v>
      </c>
      <c r="M3798" t="s">
        <v>19990</v>
      </c>
      <c r="N3798" t="s">
        <v>664</v>
      </c>
      <c r="O3798" t="s">
        <v>665</v>
      </c>
      <c r="P3798" t="s">
        <v>24027</v>
      </c>
      <c r="Q3798" s="3" t="n">
        <v>42163.0</v>
      </c>
      <c r="R3798" s="3" t="n">
        <v>42892.0</v>
      </c>
      <c r="S3798" s="3" t="n">
        <v>43950.647372685184</v>
      </c>
      <c r="T3798" s="3" t="n">
        <v>44638.65271974537</v>
      </c>
      <c r="U3798" t="s">
        <v>24028</v>
      </c>
      <c r="V3798" t="s">
        <v>23761</v>
      </c>
    </row>
    <row r="3799">
      <c r="A3799" t="s">
        <v>23557</v>
      </c>
      <c r="B3799" t="s">
        <v>24029</v>
      </c>
      <c r="C3799" t="s">
        <v>132</v>
      </c>
      <c r="D3799" t="s">
        <v>142</v>
      </c>
      <c r="E3799" t="s">
        <v>24030</v>
      </c>
      <c r="F3799" s="2" t="n">
        <f>HYPERLINK("https://patents.google.com/patent/US9669091","Google")</f>
        <v>0.0</v>
      </c>
      <c r="G3799" s="2" t="n">
        <f>HYPERLINK("https://patentcenter.uspto.gov/applications/14775087","Patent Center")</f>
        <v>0.0</v>
      </c>
      <c r="H3799" s="2" t="n">
        <f>HYPERLINK("https://worldwide.espacenet.com/patent/search?q=US9669091","Espacenet")</f>
        <v>0.0</v>
      </c>
      <c r="I3799" s="2" t="n">
        <f>HYPERLINK("https://ppubs.uspto.gov/pubwebapp/external.html?q=9669091.pn.","USPTO")</f>
        <v>0.0</v>
      </c>
      <c r="J3799" s="2" t="n">
        <f>HYPERLINK("https://image-ppubs.uspto.gov/dirsearch-public/print/downloadPdf/9669091","USPTO PDF")</f>
        <v>0.0</v>
      </c>
      <c r="K3799" s="2" t="n">
        <f>HYPERLINK("https://sectors.patentforecast.com/pmd/US9669091","PMD")</f>
        <v>0.0</v>
      </c>
      <c r="L3799" s="2" t="n">
        <f>HYPERLINK("https://globaldossier.uspto.gov/result/patent/US/9669091/1","US9669091")</f>
        <v>0.0</v>
      </c>
      <c r="M3799" t="s">
        <v>24031</v>
      </c>
      <c r="N3799" t="s">
        <v>10151</v>
      </c>
      <c r="O3799" t="s">
        <v>10152</v>
      </c>
      <c r="P3799" t="s">
        <v>24032</v>
      </c>
      <c r="Q3799" s="3" t="n">
        <v>41711.0</v>
      </c>
      <c r="R3799" s="3" t="n">
        <v>42892.0</v>
      </c>
      <c r="S3799" s="3" t="n">
        <v>43936.46037523148</v>
      </c>
      <c r="T3799" s="3" t="n">
        <v>44543.68381869213</v>
      </c>
      <c r="U3799" t="s">
        <v>24033</v>
      </c>
      <c r="V3799" t="s">
        <v>24034</v>
      </c>
    </row>
    <row r="3800">
      <c r="A3800" t="s">
        <v>23557</v>
      </c>
      <c r="B3800" t="s">
        <v>24035</v>
      </c>
      <c r="C3800" t="s">
        <v>60</v>
      </c>
      <c r="D3800" t="s">
        <v>61</v>
      </c>
      <c r="E3800" t="s">
        <v>24036</v>
      </c>
      <c r="F3800" s="2" t="n">
        <f>HYPERLINK("https://patents.google.com/patent/US9663528","Google")</f>
        <v>0.0</v>
      </c>
      <c r="G3800" s="2" t="n">
        <f>HYPERLINK("https://patentcenter.uspto.gov/applications/14815504","Patent Center")</f>
        <v>0.0</v>
      </c>
      <c r="H3800" s="2" t="n">
        <f>HYPERLINK("https://worldwide.espacenet.com/patent/search?q=US9663528","Espacenet")</f>
        <v>0.0</v>
      </c>
      <c r="I3800" s="2" t="n">
        <f>HYPERLINK("https://ppubs.uspto.gov/pubwebapp/external.html?q=9663528.pn.","USPTO")</f>
        <v>0.0</v>
      </c>
      <c r="J3800" s="2" t="n">
        <f>HYPERLINK("https://image-ppubs.uspto.gov/dirsearch-public/print/downloadPdf/9663528","USPTO PDF")</f>
        <v>0.0</v>
      </c>
      <c r="K3800" s="2" t="n">
        <f>HYPERLINK("https://sectors.patentforecast.com/pmd/US9663528","PMD")</f>
        <v>0.0</v>
      </c>
      <c r="L3800" s="2" t="n">
        <f>HYPERLINK("https://globaldossier.uspto.gov/result/patent/US/9663528/1","US9663528")</f>
        <v>0.0</v>
      </c>
      <c r="M3800" t="s">
        <v>19659</v>
      </c>
      <c r="N3800" t="s">
        <v>664</v>
      </c>
      <c r="O3800" t="s">
        <v>665</v>
      </c>
      <c r="P3800" t="s">
        <v>24037</v>
      </c>
      <c r="Q3800" s="3" t="n">
        <v>42216.0</v>
      </c>
      <c r="R3800" s="3" t="n">
        <v>42885.0</v>
      </c>
      <c r="S3800" s="3" t="n">
        <v>43957.45970896991</v>
      </c>
      <c r="T3800" s="3" t="n">
        <v>44638.65579662037</v>
      </c>
      <c r="U3800" t="s">
        <v>24038</v>
      </c>
      <c r="V3800" t="s">
        <v>23962</v>
      </c>
    </row>
    <row r="3801">
      <c r="A3801" t="s">
        <v>23557</v>
      </c>
      <c r="B3801" t="s">
        <v>24039</v>
      </c>
      <c r="C3801" t="s">
        <v>60</v>
      </c>
      <c r="D3801" t="s">
        <v>61</v>
      </c>
      <c r="E3801" t="s">
        <v>24040</v>
      </c>
      <c r="F3801" s="2" t="n">
        <f>HYPERLINK("https://patents.google.com/patent/US9655944","Google")</f>
        <v>0.0</v>
      </c>
      <c r="G3801" s="2" t="n">
        <f>HYPERLINK("https://patentcenter.uspto.gov/applications/15185273","Patent Center")</f>
        <v>0.0</v>
      </c>
      <c r="H3801" s="2" t="n">
        <f>HYPERLINK("https://worldwide.espacenet.com/patent/search?q=US9655944","Espacenet")</f>
        <v>0.0</v>
      </c>
      <c r="I3801" s="2" t="n">
        <f>HYPERLINK("https://ppubs.uspto.gov/pubwebapp/external.html?q=9655944.pn.","USPTO")</f>
        <v>0.0</v>
      </c>
      <c r="J3801" s="2" t="n">
        <f>HYPERLINK("https://image-ppubs.uspto.gov/dirsearch-public/print/downloadPdf/9655944","USPTO PDF")</f>
        <v>0.0</v>
      </c>
      <c r="K3801" s="2" t="n">
        <f>HYPERLINK("https://sectors.patentforecast.com/pmd/US9655944","PMD")</f>
        <v>0.0</v>
      </c>
      <c r="L3801" s="2" t="n">
        <f>HYPERLINK("https://globaldossier.uspto.gov/result/patent/US/9655944/1","US9655944")</f>
        <v>0.0</v>
      </c>
      <c r="M3801" t="s">
        <v>19440</v>
      </c>
      <c r="N3801" t="s">
        <v>664</v>
      </c>
      <c r="O3801" t="s">
        <v>665</v>
      </c>
      <c r="P3801" t="s">
        <v>24041</v>
      </c>
      <c r="Q3801" s="3" t="n">
        <v>42538.0</v>
      </c>
      <c r="R3801" s="3" t="n">
        <v>42878.0</v>
      </c>
      <c r="S3801" s="3" t="n">
        <v>43957.45970896991</v>
      </c>
      <c r="T3801" s="3" t="n">
        <v>44638.65643378472</v>
      </c>
      <c r="U3801" t="s">
        <v>24042</v>
      </c>
      <c r="V3801" t="s">
        <v>24043</v>
      </c>
    </row>
    <row r="3802">
      <c r="A3802" t="s">
        <v>23557</v>
      </c>
      <c r="B3802" t="s">
        <v>24044</v>
      </c>
      <c r="C3802" t="s">
        <v>60</v>
      </c>
      <c r="D3802" t="s">
        <v>77</v>
      </c>
      <c r="E3802" t="s">
        <v>24045</v>
      </c>
      <c r="F3802" s="2" t="n">
        <f>HYPERLINK("https://patents.google.com/patent/US9650434","Google")</f>
        <v>0.0</v>
      </c>
      <c r="G3802" s="2" t="n">
        <f>HYPERLINK("https://patentcenter.uspto.gov/applications/14781391","Patent Center")</f>
        <v>0.0</v>
      </c>
      <c r="H3802" s="2" t="n">
        <f>HYPERLINK("https://worldwide.espacenet.com/patent/search?q=US9650434","Espacenet")</f>
        <v>0.0</v>
      </c>
      <c r="I3802" s="2" t="n">
        <f>HYPERLINK("https://ppubs.uspto.gov/pubwebapp/external.html?q=9650434.pn.","USPTO")</f>
        <v>0.0</v>
      </c>
      <c r="J3802" s="2" t="n">
        <f>HYPERLINK("https://image-ppubs.uspto.gov/dirsearch-public/print/downloadPdf/9650434","USPTO PDF")</f>
        <v>0.0</v>
      </c>
      <c r="K3802" s="2" t="n">
        <f>HYPERLINK("https://sectors.patentforecast.com/pmd/US9650434","PMD")</f>
        <v>0.0</v>
      </c>
      <c r="L3802" s="2" t="n">
        <f>HYPERLINK("https://globaldossier.uspto.gov/result/patent/US/9650434/1","US9650434")</f>
        <v>0.0</v>
      </c>
      <c r="M3802" t="s">
        <v>19696</v>
      </c>
      <c r="N3802" t="s">
        <v>19697</v>
      </c>
      <c r="O3802" t="s">
        <v>19697</v>
      </c>
      <c r="P3802" t="s">
        <v>24046</v>
      </c>
      <c r="Q3802" s="3" t="n">
        <v>41731.0</v>
      </c>
      <c r="R3802" s="3" t="n">
        <v>42871.0</v>
      </c>
      <c r="S3802" s="3" t="n">
        <v>43900.437267939815</v>
      </c>
      <c r="T3802" s="3" t="n">
        <v>43901.705570729166</v>
      </c>
      <c r="U3802" t="s">
        <v>24047</v>
      </c>
      <c r="V3802" t="s">
        <v>19700</v>
      </c>
    </row>
    <row r="3803">
      <c r="A3803" t="s">
        <v>23557</v>
      </c>
      <c r="B3803" t="s">
        <v>24048</v>
      </c>
      <c r="C3803" t="s">
        <v>132</v>
      </c>
      <c r="D3803" t="s">
        <v>17610</v>
      </c>
      <c r="E3803" t="s">
        <v>24049</v>
      </c>
      <c r="F3803" s="2" t="n">
        <f>HYPERLINK("https://patents.google.com/patent/US9649371","Google")</f>
        <v>0.0</v>
      </c>
      <c r="G3803" s="2" t="n">
        <f>HYPERLINK("https://patentcenter.uspto.gov/applications/14001228","Patent Center")</f>
        <v>0.0</v>
      </c>
      <c r="H3803" s="2" t="n">
        <f>HYPERLINK("https://worldwide.espacenet.com/patent/search?q=US9649371","Espacenet")</f>
        <v>0.0</v>
      </c>
      <c r="I3803" s="2" t="n">
        <f>HYPERLINK("https://ppubs.uspto.gov/pubwebapp/external.html?q=9649371.pn.","USPTO")</f>
        <v>0.0</v>
      </c>
      <c r="J3803" s="2" t="n">
        <f>HYPERLINK("https://image-ppubs.uspto.gov/dirsearch-public/print/downloadPdf/9649371","USPTO PDF")</f>
        <v>0.0</v>
      </c>
      <c r="K3803" s="2" t="n">
        <f>HYPERLINK("https://sectors.patentforecast.com/pmd/US9649371","PMD")</f>
        <v>0.0</v>
      </c>
      <c r="L3803" s="2" t="n">
        <f>HYPERLINK("https://globaldossier.uspto.gov/result/patent/US/9649371/1","US9649371")</f>
        <v>0.0</v>
      </c>
      <c r="M3803" t="s">
        <v>20915</v>
      </c>
      <c r="N3803" t="s">
        <v>1792</v>
      </c>
      <c r="O3803" t="s">
        <v>1793</v>
      </c>
      <c r="P3803" t="s">
        <v>24050</v>
      </c>
      <c r="Q3803" s="3" t="n">
        <v>40963.0</v>
      </c>
      <c r="R3803" s="3" t="n">
        <v>42871.0</v>
      </c>
      <c r="S3803" s="3" t="n">
        <v>43900.437267939815</v>
      </c>
      <c r="T3803" s="3" t="n">
        <v>43901.70557090278</v>
      </c>
      <c r="U3803" t="s">
        <v>24051</v>
      </c>
      <c r="V3803" t="s">
        <v>20917</v>
      </c>
    </row>
    <row r="3804">
      <c r="A3804" t="s">
        <v>23557</v>
      </c>
      <c r="B3804" t="s">
        <v>24052</v>
      </c>
      <c r="C3804" t="s">
        <v>60</v>
      </c>
      <c r="D3804" t="s">
        <v>61</v>
      </c>
      <c r="E3804" t="s">
        <v>24053</v>
      </c>
      <c r="F3804" s="2" t="n">
        <f>HYPERLINK("https://patents.google.com/patent/US9642889","Google")</f>
        <v>0.0</v>
      </c>
      <c r="G3804" s="2" t="n">
        <f>HYPERLINK("https://patentcenter.uspto.gov/applications/14719242","Patent Center")</f>
        <v>0.0</v>
      </c>
      <c r="H3804" s="2" t="n">
        <f>HYPERLINK("https://worldwide.espacenet.com/patent/search?q=US9642889","Espacenet")</f>
        <v>0.0</v>
      </c>
      <c r="I3804" s="2" t="n">
        <f>HYPERLINK("https://ppubs.uspto.gov/pubwebapp/external.html?q=9642889.pn.","USPTO")</f>
        <v>0.0</v>
      </c>
      <c r="J3804" s="2" t="n">
        <f>HYPERLINK("https://image-ppubs.uspto.gov/dirsearch-public/print/downloadPdf/9642889","USPTO PDF")</f>
        <v>0.0</v>
      </c>
      <c r="K3804" s="2" t="n">
        <f>HYPERLINK("https://sectors.patentforecast.com/pmd/US9642889","PMD")</f>
        <v>0.0</v>
      </c>
      <c r="L3804" s="2" t="n">
        <f>HYPERLINK("https://globaldossier.uspto.gov/result/patent/US/9642889/1","US9642889")</f>
        <v>0.0</v>
      </c>
      <c r="M3804" t="s">
        <v>19979</v>
      </c>
      <c r="N3804" t="s">
        <v>19174</v>
      </c>
      <c r="O3804" t="s">
        <v>19175</v>
      </c>
      <c r="P3804" t="s">
        <v>24054</v>
      </c>
      <c r="Q3804" s="3" t="n">
        <v>42145.0</v>
      </c>
      <c r="R3804" s="3" t="n">
        <v>42864.0</v>
      </c>
      <c r="S3804" s="3" t="n">
        <v>43957.45970896991</v>
      </c>
      <c r="T3804" s="3" t="n">
        <v>44638.65643378472</v>
      </c>
      <c r="U3804" t="s">
        <v>24055</v>
      </c>
      <c r="V3804" t="s">
        <v>23568</v>
      </c>
    </row>
    <row r="3805">
      <c r="A3805" t="s">
        <v>23557</v>
      </c>
      <c r="B3805" t="s">
        <v>24056</v>
      </c>
      <c r="C3805" t="s">
        <v>24</v>
      </c>
      <c r="D3805" t="s">
        <v>25</v>
      </c>
      <c r="E3805" t="s">
        <v>24057</v>
      </c>
      <c r="F3805" s="2" t="n">
        <f>HYPERLINK("https://patents.google.com/patent/US9642562","Google")</f>
        <v>0.0</v>
      </c>
      <c r="G3805" s="2" t="n">
        <f>HYPERLINK("https://patentcenter.uspto.gov/applications/10524918","Patent Center")</f>
        <v>0.0</v>
      </c>
      <c r="H3805" s="2" t="n">
        <f>HYPERLINK("https://worldwide.espacenet.com/patent/search?q=US9642562","Espacenet")</f>
        <v>0.0</v>
      </c>
      <c r="I3805" s="2" t="n">
        <f>HYPERLINK("https://ppubs.uspto.gov/pubwebapp/external.html?q=9642562.pn.","USPTO")</f>
        <v>0.0</v>
      </c>
      <c r="J3805" s="2" t="n">
        <f>HYPERLINK("https://image-ppubs.uspto.gov/dirsearch-public/print/downloadPdf/9642562","USPTO PDF")</f>
        <v>0.0</v>
      </c>
      <c r="K3805" s="2" t="n">
        <f>HYPERLINK("https://sectors.patentforecast.com/pmd/US9642562","PMD")</f>
        <v>0.0</v>
      </c>
      <c r="L3805" s="2" t="n">
        <f>HYPERLINK("https://globaldossier.uspto.gov/result/patent/US/9642562/1","US9642562")</f>
        <v>0.0</v>
      </c>
      <c r="M3805" t="s">
        <v>24058</v>
      </c>
      <c r="N3805" t="s">
        <v>24059</v>
      </c>
      <c r="O3805" t="s">
        <v>24060</v>
      </c>
      <c r="P3805" t="s">
        <v>24061</v>
      </c>
      <c r="Q3805" s="3" t="n">
        <v>37852.0</v>
      </c>
      <c r="R3805" s="3" t="n">
        <v>42864.0</v>
      </c>
      <c r="S3805" s="3" t="n">
        <v>43266.457353969905</v>
      </c>
      <c r="T3805" s="3" t="n">
        <v>43903.49497346065</v>
      </c>
      <c r="U3805" t="s">
        <v>24062</v>
      </c>
      <c r="V3805" t="s">
        <v>22446</v>
      </c>
    </row>
    <row r="3806">
      <c r="A3806" t="s">
        <v>23557</v>
      </c>
      <c r="B3806" t="s">
        <v>24063</v>
      </c>
      <c r="C3806" t="s">
        <v>60</v>
      </c>
      <c r="D3806" t="s">
        <v>61</v>
      </c>
      <c r="E3806" t="s">
        <v>23786</v>
      </c>
      <c r="F3806" s="2" t="n">
        <f>HYPERLINK("https://patents.google.com/patent/US9630972","Google")</f>
        <v>0.0</v>
      </c>
      <c r="G3806" s="2" t="n">
        <f>HYPERLINK("https://patentcenter.uspto.gov/applications/14733101","Patent Center")</f>
        <v>0.0</v>
      </c>
      <c r="H3806" s="2" t="n">
        <f>HYPERLINK("https://worldwide.espacenet.com/patent/search?q=US9630972","Espacenet")</f>
        <v>0.0</v>
      </c>
      <c r="I3806" s="2" t="n">
        <f>HYPERLINK("https://ppubs.uspto.gov/pubwebapp/external.html?q=9630972.pn.","USPTO")</f>
        <v>0.0</v>
      </c>
      <c r="J3806" s="2" t="n">
        <f>HYPERLINK("https://image-ppubs.uspto.gov/dirsearch-public/print/downloadPdf/9630972","USPTO PDF")</f>
        <v>0.0</v>
      </c>
      <c r="K3806" s="2" t="n">
        <f>HYPERLINK("https://sectors.patentforecast.com/pmd/US9630972","PMD")</f>
        <v>0.0</v>
      </c>
      <c r="L3806" s="2" t="n">
        <f>HYPERLINK("https://globaldossier.uspto.gov/result/patent/US/9630972/1","US9630972")</f>
        <v>0.0</v>
      </c>
      <c r="M3806" t="s">
        <v>19986</v>
      </c>
      <c r="N3806" t="s">
        <v>664</v>
      </c>
      <c r="O3806" t="s">
        <v>665</v>
      </c>
      <c r="P3806" t="s">
        <v>23787</v>
      </c>
      <c r="Q3806" s="3" t="n">
        <v>42163.0</v>
      </c>
      <c r="R3806" s="3" t="n">
        <v>42850.0</v>
      </c>
      <c r="S3806" s="3" t="n">
        <v>43957.45970896991</v>
      </c>
      <c r="T3806" s="3" t="n">
        <v>44638.65271974537</v>
      </c>
      <c r="U3806" t="s">
        <v>24064</v>
      </c>
      <c r="V3806" t="s">
        <v>23789</v>
      </c>
    </row>
    <row r="3807">
      <c r="A3807" t="s">
        <v>23557</v>
      </c>
      <c r="B3807" t="s">
        <v>24065</v>
      </c>
      <c r="C3807" t="s">
        <v>132</v>
      </c>
      <c r="D3807" t="s">
        <v>1265</v>
      </c>
      <c r="E3807" t="s">
        <v>23679</v>
      </c>
      <c r="F3807" s="2" t="n">
        <f>HYPERLINK("https://patents.google.com/patent/US9623104","Google")</f>
        <v>0.0</v>
      </c>
      <c r="G3807" s="2" t="n">
        <f>HYPERLINK("https://patentcenter.uspto.gov/applications/14869039","Patent Center")</f>
        <v>0.0</v>
      </c>
      <c r="H3807" s="2" t="n">
        <f>HYPERLINK("https://worldwide.espacenet.com/patent/search?q=US9623104","Espacenet")</f>
        <v>0.0</v>
      </c>
      <c r="I3807" s="2" t="n">
        <f>HYPERLINK("https://ppubs.uspto.gov/pubwebapp/external.html?q=9623104.pn.","USPTO")</f>
        <v>0.0</v>
      </c>
      <c r="J3807" s="2" t="n">
        <f>HYPERLINK("https://image-ppubs.uspto.gov/dirsearch-public/print/downloadPdf/9623104","USPTO PDF")</f>
        <v>0.0</v>
      </c>
      <c r="K3807" s="2" t="n">
        <f>HYPERLINK("https://sectors.patentforecast.com/pmd/US9623104","PMD")</f>
        <v>0.0</v>
      </c>
      <c r="L3807" s="2" t="n">
        <f>HYPERLINK("https://globaldossier.uspto.gov/result/patent/US/9623104/1","US9623104")</f>
        <v>0.0</v>
      </c>
      <c r="M3807" t="s">
        <v>19931</v>
      </c>
      <c r="N3807" t="s">
        <v>1275</v>
      </c>
      <c r="O3807" t="s">
        <v>1275</v>
      </c>
      <c r="P3807" t="s">
        <v>23680</v>
      </c>
      <c r="Q3807" s="3" t="n">
        <v>42276.0</v>
      </c>
      <c r="R3807" s="3" t="n">
        <v>42843.0</v>
      </c>
      <c r="S3807" s="3" t="n">
        <v>43900.437267939815</v>
      </c>
      <c r="T3807" s="3" t="n">
        <v>43901.70557082176</v>
      </c>
      <c r="U3807" t="s">
        <v>24066</v>
      </c>
      <c r="V3807" t="s">
        <v>17402</v>
      </c>
    </row>
    <row r="3808">
      <c r="A3808" t="s">
        <v>23557</v>
      </c>
      <c r="B3808" t="s">
        <v>24067</v>
      </c>
      <c r="C3808" t="s">
        <v>60</v>
      </c>
      <c r="D3808" t="s">
        <v>61</v>
      </c>
      <c r="E3808" t="s">
        <v>24040</v>
      </c>
      <c r="F3808" s="2" t="n">
        <f>HYPERLINK("https://patents.google.com/patent/US9617310","Google")</f>
        <v>0.0</v>
      </c>
      <c r="G3808" s="2" t="n">
        <f>HYPERLINK("https://patentcenter.uspto.gov/applications/14214477","Patent Center")</f>
        <v>0.0</v>
      </c>
      <c r="H3808" s="2" t="n">
        <f>HYPERLINK("https://worldwide.espacenet.com/patent/search?q=US9617310","Espacenet")</f>
        <v>0.0</v>
      </c>
      <c r="I3808" s="2" t="n">
        <f>HYPERLINK("https://ppubs.uspto.gov/pubwebapp/external.html?q=9617310.pn.","USPTO")</f>
        <v>0.0</v>
      </c>
      <c r="J3808" s="2" t="n">
        <f>HYPERLINK("https://image-ppubs.uspto.gov/dirsearch-public/print/downloadPdf/9617310","USPTO PDF")</f>
        <v>0.0</v>
      </c>
      <c r="K3808" s="2" t="n">
        <f>HYPERLINK("https://sectors.patentforecast.com/pmd/US9617310","PMD")</f>
        <v>0.0</v>
      </c>
      <c r="L3808" s="2" t="n">
        <f>HYPERLINK("https://globaldossier.uspto.gov/result/patent/US/9617310/1","US9617310")</f>
        <v>0.0</v>
      </c>
      <c r="M3808" t="s">
        <v>20583</v>
      </c>
      <c r="N3808" t="s">
        <v>664</v>
      </c>
      <c r="O3808" t="s">
        <v>665</v>
      </c>
      <c r="P3808" t="s">
        <v>24068</v>
      </c>
      <c r="Q3808" s="3" t="n">
        <v>41712.0</v>
      </c>
      <c r="R3808" s="3" t="n">
        <v>42836.0</v>
      </c>
      <c r="S3808" s="3" t="n">
        <v>43952.459910335645</v>
      </c>
      <c r="T3808" s="3" t="n">
        <v>44638.65643378472</v>
      </c>
      <c r="U3808" t="s">
        <v>24069</v>
      </c>
      <c r="V3808" t="s">
        <v>24070</v>
      </c>
    </row>
    <row r="3809">
      <c r="A3809" t="s">
        <v>23557</v>
      </c>
      <c r="B3809" t="s">
        <v>24071</v>
      </c>
      <c r="C3809" t="s">
        <v>60</v>
      </c>
      <c r="D3809" t="s">
        <v>61</v>
      </c>
      <c r="E3809" t="s">
        <v>23603</v>
      </c>
      <c r="F3809" s="2" t="n">
        <f>HYPERLINK("https://patents.google.com/patent/US9617295","Google")</f>
        <v>0.0</v>
      </c>
      <c r="G3809" s="2" t="n">
        <f>HYPERLINK("https://patentcenter.uspto.gov/applications/14830121","Patent Center")</f>
        <v>0.0</v>
      </c>
      <c r="H3809" s="2" t="n">
        <f>HYPERLINK("https://worldwide.espacenet.com/patent/search?q=US9617295","Espacenet")</f>
        <v>0.0</v>
      </c>
      <c r="I3809" s="2" t="n">
        <f>HYPERLINK("https://ppubs.uspto.gov/pubwebapp/external.html?q=9617295.pn.","USPTO")</f>
        <v>0.0</v>
      </c>
      <c r="J3809" s="2" t="n">
        <f>HYPERLINK("https://image-ppubs.uspto.gov/dirsearch-public/print/downloadPdf/9617295","USPTO PDF")</f>
        <v>0.0</v>
      </c>
      <c r="K3809" s="2" t="n">
        <f>HYPERLINK("https://sectors.patentforecast.com/pmd/US9617295","PMD")</f>
        <v>0.0</v>
      </c>
      <c r="L3809" s="2" t="n">
        <f>HYPERLINK("https://globaldossier.uspto.gov/result/patent/US/9617295/1","US9617295")</f>
        <v>0.0</v>
      </c>
      <c r="M3809" t="s">
        <v>19827</v>
      </c>
      <c r="N3809" t="s">
        <v>664</v>
      </c>
      <c r="O3809" t="s">
        <v>665</v>
      </c>
      <c r="P3809" t="s">
        <v>23604</v>
      </c>
      <c r="Q3809" s="3" t="n">
        <v>42235.0</v>
      </c>
      <c r="R3809" s="3" t="n">
        <v>42836.0</v>
      </c>
      <c r="S3809" s="3" t="n">
        <v>43952.459910335645</v>
      </c>
      <c r="T3809" s="3" t="n">
        <v>44638.65008547454</v>
      </c>
      <c r="U3809" t="s">
        <v>24072</v>
      </c>
      <c r="V3809" t="s">
        <v>23606</v>
      </c>
    </row>
    <row r="3810">
      <c r="A3810" t="s">
        <v>23557</v>
      </c>
      <c r="B3810" t="s">
        <v>24073</v>
      </c>
      <c r="C3810" t="s">
        <v>24</v>
      </c>
      <c r="D3810" t="s">
        <v>100</v>
      </c>
      <c r="E3810" t="s">
        <v>24074</v>
      </c>
      <c r="F3810" s="2" t="n">
        <f>HYPERLINK("https://patents.google.com/patent/US9609872","Google")</f>
        <v>0.0</v>
      </c>
      <c r="G3810" s="2" t="n">
        <f>HYPERLINK("https://patentcenter.uspto.gov/applications/15003389","Patent Center")</f>
        <v>0.0</v>
      </c>
      <c r="H3810" s="2" t="n">
        <f>HYPERLINK("https://worldwide.espacenet.com/patent/search?q=US9609872","Espacenet")</f>
        <v>0.0</v>
      </c>
      <c r="I3810" s="2" t="n">
        <f>HYPERLINK("https://ppubs.uspto.gov/pubwebapp/external.html?q=9609872.pn.","USPTO")</f>
        <v>0.0</v>
      </c>
      <c r="J3810" s="2" t="n">
        <f>HYPERLINK("https://image-ppubs.uspto.gov/dirsearch-public/print/downloadPdf/9609872","USPTO PDF")</f>
        <v>0.0</v>
      </c>
      <c r="K3810" s="2" t="n">
        <f>HYPERLINK("https://sectors.patentforecast.com/pmd/US9609872","PMD")</f>
        <v>0.0</v>
      </c>
      <c r="L3810" s="2" t="n">
        <f>HYPERLINK("https://globaldossier.uspto.gov/result/patent/US/9609872/1","US9609872")</f>
        <v>0.0</v>
      </c>
      <c r="M3810" t="s">
        <v>19689</v>
      </c>
      <c r="N3810" t="s">
        <v>19690</v>
      </c>
      <c r="O3810" t="s">
        <v>19690</v>
      </c>
      <c r="P3810" t="s">
        <v>24075</v>
      </c>
      <c r="Q3810" s="3" t="n">
        <v>42390.0</v>
      </c>
      <c r="R3810" s="3" t="n">
        <v>42829.0</v>
      </c>
      <c r="S3810" s="3" t="n">
        <v>43931.461270451386</v>
      </c>
      <c r="T3810" s="3" t="n">
        <v>44643.446655405096</v>
      </c>
      <c r="U3810" t="s">
        <v>24076</v>
      </c>
      <c r="V3810" t="s">
        <v>19693</v>
      </c>
    </row>
    <row r="3811">
      <c r="A3811" t="s">
        <v>23557</v>
      </c>
      <c r="B3811" t="s">
        <v>24077</v>
      </c>
      <c r="C3811" t="s">
        <v>132</v>
      </c>
      <c r="D3811" t="s">
        <v>1265</v>
      </c>
      <c r="E3811" t="s">
        <v>24078</v>
      </c>
      <c r="F3811" s="2" t="n">
        <f>HYPERLINK("https://patents.google.com/patent/US9605053","Google")</f>
        <v>0.0</v>
      </c>
      <c r="G3811" s="2" t="n">
        <f>HYPERLINK("https://patentcenter.uspto.gov/applications/15017246","Patent Center")</f>
        <v>0.0</v>
      </c>
      <c r="H3811" s="2" t="n">
        <f>HYPERLINK("https://worldwide.espacenet.com/patent/search?q=US9605053","Espacenet")</f>
        <v>0.0</v>
      </c>
      <c r="I3811" s="2" t="n">
        <f>HYPERLINK("https://ppubs.uspto.gov/pubwebapp/external.html?q=9605053.pn.","USPTO")</f>
        <v>0.0</v>
      </c>
      <c r="J3811" s="2" t="n">
        <f>HYPERLINK("https://image-ppubs.uspto.gov/dirsearch-public/print/downloadPdf/9605053","USPTO PDF")</f>
        <v>0.0</v>
      </c>
      <c r="K3811" s="2" t="n">
        <f>HYPERLINK("https://sectors.patentforecast.com/pmd/US9605053","PMD")</f>
        <v>0.0</v>
      </c>
      <c r="L3811" s="2" t="n">
        <f>HYPERLINK("https://globaldossier.uspto.gov/result/patent/US/9605053/1","US9605053")</f>
        <v>0.0</v>
      </c>
      <c r="M3811" t="s">
        <v>24079</v>
      </c>
      <c r="N3811" t="s">
        <v>23736</v>
      </c>
      <c r="O3811" t="s">
        <v>23736</v>
      </c>
      <c r="P3811" t="s">
        <v>24080</v>
      </c>
      <c r="Q3811" s="3" t="n">
        <v>42405.0</v>
      </c>
      <c r="R3811" s="3" t="n">
        <v>42822.0</v>
      </c>
      <c r="S3811" s="3" t="n">
        <v>43973.468786655096</v>
      </c>
      <c r="T3811" s="3" t="n">
        <v>44545.6145546412</v>
      </c>
      <c r="U3811" t="s">
        <v>24081</v>
      </c>
      <c r="V3811" t="s">
        <v>24082</v>
      </c>
    </row>
    <row r="3812">
      <c r="A3812" t="s">
        <v>23557</v>
      </c>
      <c r="B3812" t="s">
        <v>24083</v>
      </c>
      <c r="C3812" t="s">
        <v>60</v>
      </c>
      <c r="D3812" t="s">
        <v>61</v>
      </c>
      <c r="E3812" t="s">
        <v>24084</v>
      </c>
      <c r="F3812" s="2" t="n">
        <f>HYPERLINK("https://patents.google.com/patent/US9603920","Google")</f>
        <v>0.0</v>
      </c>
      <c r="G3812" s="2" t="n">
        <f>HYPERLINK("https://patentcenter.uspto.gov/applications/14161842","Patent Center")</f>
        <v>0.0</v>
      </c>
      <c r="H3812" s="2" t="n">
        <f>HYPERLINK("https://worldwide.espacenet.com/patent/search?q=US9603920","Espacenet")</f>
        <v>0.0</v>
      </c>
      <c r="I3812" s="2" t="n">
        <f>HYPERLINK("https://ppubs.uspto.gov/pubwebapp/external.html?q=9603920.pn.","USPTO")</f>
        <v>0.0</v>
      </c>
      <c r="J3812" s="2" t="n">
        <f>HYPERLINK("https://image-ppubs.uspto.gov/dirsearch-public/print/downloadPdf/9603920","USPTO PDF")</f>
        <v>0.0</v>
      </c>
      <c r="K3812" s="2" t="n">
        <f>HYPERLINK("https://sectors.patentforecast.com/pmd/US9603920","PMD")</f>
        <v>0.0</v>
      </c>
      <c r="L3812" s="2" t="n">
        <f>HYPERLINK("https://globaldossier.uspto.gov/result/patent/US/9603920/1","US9603920")</f>
        <v>0.0</v>
      </c>
      <c r="M3812" t="s">
        <v>20487</v>
      </c>
      <c r="N3812" t="s">
        <v>10143</v>
      </c>
      <c r="O3812" t="s">
        <v>10144</v>
      </c>
      <c r="P3812" t="s">
        <v>24085</v>
      </c>
      <c r="Q3812" s="3" t="n">
        <v>41662.0</v>
      </c>
      <c r="R3812" s="3" t="n">
        <v>42822.0</v>
      </c>
      <c r="S3812" s="3" t="n">
        <v>43900.437267939815</v>
      </c>
      <c r="T3812" s="3" t="n">
        <v>43903.61215608796</v>
      </c>
      <c r="U3812" t="s">
        <v>24086</v>
      </c>
      <c r="V3812" t="s">
        <v>20490</v>
      </c>
    </row>
    <row r="3813">
      <c r="A3813" t="s">
        <v>23557</v>
      </c>
      <c r="B3813" t="s">
        <v>24087</v>
      </c>
      <c r="C3813" t="s">
        <v>60</v>
      </c>
      <c r="D3813" t="s">
        <v>61</v>
      </c>
      <c r="E3813" t="s">
        <v>24088</v>
      </c>
      <c r="F3813" s="2" t="n">
        <f>HYPERLINK("https://patents.google.com/patent/US9598488","Google")</f>
        <v>0.0</v>
      </c>
      <c r="G3813" s="2" t="n">
        <f>HYPERLINK("https://patentcenter.uspto.gov/applications/12865673","Patent Center")</f>
        <v>0.0</v>
      </c>
      <c r="H3813" s="2" t="n">
        <f>HYPERLINK("https://worldwide.espacenet.com/patent/search?q=US9598488","Espacenet")</f>
        <v>0.0</v>
      </c>
      <c r="I3813" s="2" t="n">
        <f>HYPERLINK("https://ppubs.uspto.gov/pubwebapp/external.html?q=9598488.pn.","USPTO")</f>
        <v>0.0</v>
      </c>
      <c r="J3813" s="2" t="n">
        <f>HYPERLINK("https://image-ppubs.uspto.gov/dirsearch-public/print/downloadPdf/9598488","USPTO PDF")</f>
        <v>0.0</v>
      </c>
      <c r="K3813" s="2" t="n">
        <f>HYPERLINK("https://sectors.patentforecast.com/pmd/US9598488","PMD")</f>
        <v>0.0</v>
      </c>
      <c r="L3813" s="2" t="n">
        <f>HYPERLINK("https://globaldossier.uspto.gov/result/patent/US/9598488/1","US9598488")</f>
        <v>0.0</v>
      </c>
      <c r="M3813" t="s">
        <v>24089</v>
      </c>
      <c r="N3813" t="s">
        <v>24090</v>
      </c>
      <c r="O3813" t="s">
        <v>24090</v>
      </c>
      <c r="P3813" t="s">
        <v>24091</v>
      </c>
      <c r="Q3813" s="3" t="n">
        <v>39846.0</v>
      </c>
      <c r="R3813" s="3" t="n">
        <v>42815.0</v>
      </c>
      <c r="S3813" s="3" t="n">
        <v>43973.468786655096</v>
      </c>
      <c r="T3813" s="3" t="n">
        <v>44545.37412673611</v>
      </c>
      <c r="U3813" t="s">
        <v>24092</v>
      </c>
      <c r="V3813" t="s">
        <v>24093</v>
      </c>
    </row>
    <row r="3814">
      <c r="A3814" t="s">
        <v>23557</v>
      </c>
      <c r="B3814" t="s">
        <v>24094</v>
      </c>
      <c r="C3814" t="s">
        <v>60</v>
      </c>
      <c r="D3814" t="s">
        <v>61</v>
      </c>
      <c r="E3814" t="s">
        <v>24095</v>
      </c>
      <c r="F3814" s="2" t="n">
        <f>HYPERLINK("https://patents.google.com/patent/US9598459","Google")</f>
        <v>0.0</v>
      </c>
      <c r="G3814" s="2" t="n">
        <f>HYPERLINK("https://patentcenter.uspto.gov/applications/15222062","Patent Center")</f>
        <v>0.0</v>
      </c>
      <c r="H3814" s="2" t="n">
        <f>HYPERLINK("https://worldwide.espacenet.com/patent/search?q=US9598459","Espacenet")</f>
        <v>0.0</v>
      </c>
      <c r="I3814" s="2" t="n">
        <f>HYPERLINK("https://ppubs.uspto.gov/pubwebapp/external.html?q=9598459.pn.","USPTO")</f>
        <v>0.0</v>
      </c>
      <c r="J3814" s="2" t="n">
        <f>HYPERLINK("https://image-ppubs.uspto.gov/dirsearch-public/print/downloadPdf/9598459","USPTO PDF")</f>
        <v>0.0</v>
      </c>
      <c r="K3814" s="2" t="n">
        <f>HYPERLINK("https://sectors.patentforecast.com/pmd/US9598459","PMD")</f>
        <v>0.0</v>
      </c>
      <c r="L3814" s="2" t="n">
        <f>HYPERLINK("https://globaldossier.uspto.gov/result/patent/US/9598459/1","US9598459")</f>
        <v>0.0</v>
      </c>
      <c r="M3814" t="s">
        <v>24096</v>
      </c>
      <c r="N3814" t="s">
        <v>16951</v>
      </c>
      <c r="O3814" t="s">
        <v>16952</v>
      </c>
      <c r="P3814" t="s">
        <v>24097</v>
      </c>
      <c r="Q3814" s="3" t="n">
        <v>42579.0</v>
      </c>
      <c r="R3814" s="3" t="n">
        <v>42815.0</v>
      </c>
      <c r="S3814" s="3" t="n">
        <v>43931.461270451386</v>
      </c>
      <c r="T3814" s="3" t="n">
        <v>43950.413621493055</v>
      </c>
      <c r="U3814" t="s">
        <v>24098</v>
      </c>
      <c r="V3814" t="s">
        <v>18373</v>
      </c>
    </row>
    <row r="3815">
      <c r="A3815" t="s">
        <v>23557</v>
      </c>
      <c r="B3815" t="s">
        <v>24099</v>
      </c>
      <c r="C3815" t="s">
        <v>24</v>
      </c>
      <c r="D3815" t="s">
        <v>34</v>
      </c>
      <c r="E3815" t="s">
        <v>24100</v>
      </c>
      <c r="F3815" s="2" t="n">
        <f>HYPERLINK("https://patents.google.com/patent/US9594878","Google")</f>
        <v>0.0</v>
      </c>
      <c r="G3815" s="2" t="n">
        <f>HYPERLINK("https://patentcenter.uspto.gov/applications/14768304","Patent Center")</f>
        <v>0.0</v>
      </c>
      <c r="H3815" s="2" t="n">
        <f>HYPERLINK("https://worldwide.espacenet.com/patent/search?q=US9594878","Espacenet")</f>
        <v>0.0</v>
      </c>
      <c r="I3815" s="2" t="n">
        <f>HYPERLINK("https://ppubs.uspto.gov/pubwebapp/external.html?q=9594878.pn.","USPTO")</f>
        <v>0.0</v>
      </c>
      <c r="J3815" s="2" t="n">
        <f>HYPERLINK("https://image-ppubs.uspto.gov/dirsearch-public/print/downloadPdf/9594878","USPTO PDF")</f>
        <v>0.0</v>
      </c>
      <c r="K3815" s="2" t="n">
        <f>HYPERLINK("https://sectors.patentforecast.com/pmd/US9594878","PMD")</f>
        <v>0.0</v>
      </c>
      <c r="L3815" s="2" t="n">
        <f>HYPERLINK("https://globaldossier.uspto.gov/result/patent/US/9594878/1","US9594878")</f>
        <v>0.0</v>
      </c>
      <c r="M3815" t="s">
        <v>19947</v>
      </c>
      <c r="N3815" t="s">
        <v>19205</v>
      </c>
      <c r="O3815" t="s">
        <v>19206</v>
      </c>
      <c r="P3815" t="s">
        <v>24101</v>
      </c>
      <c r="Q3815" s="3" t="n">
        <v>41712.0</v>
      </c>
      <c r="R3815" s="3" t="n">
        <v>42808.0</v>
      </c>
      <c r="S3815" s="3" t="n">
        <v>43266.457353969905</v>
      </c>
      <c r="T3815" s="3" t="n">
        <v>43901.705570555554</v>
      </c>
      <c r="U3815" t="s">
        <v>24102</v>
      </c>
      <c r="V3815" t="s">
        <v>19950</v>
      </c>
    </row>
    <row r="3816">
      <c r="A3816" t="s">
        <v>23557</v>
      </c>
      <c r="B3816" t="s">
        <v>24103</v>
      </c>
      <c r="C3816" t="s">
        <v>24</v>
      </c>
      <c r="D3816" t="s">
        <v>69</v>
      </c>
      <c r="E3816" t="s">
        <v>24104</v>
      </c>
      <c r="F3816" s="2" t="n">
        <f>HYPERLINK("https://patents.google.com/patent/US9589235","Google")</f>
        <v>0.0</v>
      </c>
      <c r="G3816" s="2" t="n">
        <f>HYPERLINK("https://patentcenter.uspto.gov/applications/14720784","Patent Center")</f>
        <v>0.0</v>
      </c>
      <c r="H3816" s="2" t="n">
        <f>HYPERLINK("https://worldwide.espacenet.com/patent/search?q=US9589235","Espacenet")</f>
        <v>0.0</v>
      </c>
      <c r="I3816" s="2" t="n">
        <f>HYPERLINK("https://ppubs.uspto.gov/pubwebapp/external.html?q=9589235.pn.","USPTO")</f>
        <v>0.0</v>
      </c>
      <c r="J3816" s="2" t="n">
        <f>HYPERLINK("https://image-ppubs.uspto.gov/dirsearch-public/print/downloadPdf/9589235","USPTO PDF")</f>
        <v>0.0</v>
      </c>
      <c r="K3816" s="2" t="n">
        <f>HYPERLINK("https://sectors.patentforecast.com/pmd/US9589235","PMD")</f>
        <v>0.0</v>
      </c>
      <c r="L3816" s="2" t="n">
        <f>HYPERLINK("https://globaldossier.uspto.gov/result/patent/US/9589235/1","US9589235")</f>
        <v>0.0</v>
      </c>
      <c r="M3816" t="s">
        <v>20038</v>
      </c>
      <c r="N3816" t="s">
        <v>20039</v>
      </c>
      <c r="O3816" t="s">
        <v>20039</v>
      </c>
      <c r="P3816" t="s">
        <v>24105</v>
      </c>
      <c r="Q3816" s="3" t="n">
        <v>42147.0</v>
      </c>
      <c r="R3816" s="3" t="n">
        <v>42801.0</v>
      </c>
      <c r="S3816" s="3" t="n">
        <v>43266.457353969905</v>
      </c>
      <c r="T3816" s="3" t="n">
        <v>43901.70557104167</v>
      </c>
      <c r="U3816" t="s">
        <v>24106</v>
      </c>
      <c r="V3816" t="s">
        <v>24107</v>
      </c>
    </row>
    <row r="3817">
      <c r="A3817" t="s">
        <v>23557</v>
      </c>
      <c r="B3817" t="s">
        <v>24108</v>
      </c>
      <c r="C3817" t="s">
        <v>24</v>
      </c>
      <c r="D3817" t="s">
        <v>1450</v>
      </c>
      <c r="E3817" t="s">
        <v>24109</v>
      </c>
      <c r="F3817" s="2" t="n">
        <f>HYPERLINK("https://patents.google.com/patent/US9589108","Google")</f>
        <v>0.0</v>
      </c>
      <c r="G3817" s="2" t="n">
        <f>HYPERLINK("https://patentcenter.uspto.gov/applications/14852179","Patent Center")</f>
        <v>0.0</v>
      </c>
      <c r="H3817" s="2" t="n">
        <f>HYPERLINK("https://worldwide.espacenet.com/patent/search?q=US9589108","Espacenet")</f>
        <v>0.0</v>
      </c>
      <c r="I3817" s="2" t="n">
        <f>HYPERLINK("https://ppubs.uspto.gov/pubwebapp/external.html?q=9589108.pn.","USPTO")</f>
        <v>0.0</v>
      </c>
      <c r="J3817" s="2" t="n">
        <f>HYPERLINK("https://image-ppubs.uspto.gov/dirsearch-public/print/downloadPdf/9589108","USPTO PDF")</f>
        <v>0.0</v>
      </c>
      <c r="K3817" s="2" t="n">
        <f>HYPERLINK("https://sectors.patentforecast.com/pmd/US9589108","PMD")</f>
        <v>0.0</v>
      </c>
      <c r="L3817" s="2" t="n">
        <f>HYPERLINK("https://globaldossier.uspto.gov/result/patent/US/9589108/1","US9589108")</f>
        <v>0.0</v>
      </c>
      <c r="M3817" t="s">
        <v>19963</v>
      </c>
      <c r="N3817" t="s">
        <v>323</v>
      </c>
      <c r="O3817" t="s">
        <v>324</v>
      </c>
      <c r="P3817" t="s">
        <v>24110</v>
      </c>
      <c r="Q3817" s="3" t="n">
        <v>42258.0</v>
      </c>
      <c r="R3817" s="3" t="n">
        <v>42801.0</v>
      </c>
      <c r="S3817" s="3" t="n">
        <v>43266.457353969905</v>
      </c>
      <c r="T3817" s="3" t="n">
        <v>43901.70556981482</v>
      </c>
      <c r="U3817" t="s">
        <v>24111</v>
      </c>
      <c r="V3817" t="s">
        <v>19966</v>
      </c>
    </row>
    <row r="3818">
      <c r="A3818" t="s">
        <v>23557</v>
      </c>
      <c r="B3818" t="s">
        <v>24112</v>
      </c>
      <c r="C3818" t="s">
        <v>132</v>
      </c>
      <c r="D3818" t="s">
        <v>142</v>
      </c>
      <c r="E3818" t="s">
        <v>24113</v>
      </c>
      <c r="F3818" s="2" t="n">
        <f>HYPERLINK("https://patents.google.com/patent/US9580711","Google")</f>
        <v>0.0</v>
      </c>
      <c r="G3818" s="2" t="n">
        <f>HYPERLINK("https://patentcenter.uspto.gov/applications/15146783","Patent Center")</f>
        <v>0.0</v>
      </c>
      <c r="H3818" s="2" t="n">
        <f>HYPERLINK("https://worldwide.espacenet.com/patent/search?q=US9580711","Espacenet")</f>
        <v>0.0</v>
      </c>
      <c r="I3818" s="2" t="n">
        <f>HYPERLINK("https://ppubs.uspto.gov/pubwebapp/external.html?q=9580711.pn.","USPTO")</f>
        <v>0.0</v>
      </c>
      <c r="J3818" s="2" t="n">
        <f>HYPERLINK("https://image-ppubs.uspto.gov/dirsearch-public/print/downloadPdf/9580711","USPTO PDF")</f>
        <v>0.0</v>
      </c>
      <c r="K3818" s="2" t="n">
        <f>HYPERLINK("https://sectors.patentforecast.com/pmd/US9580711","PMD")</f>
        <v>0.0</v>
      </c>
      <c r="L3818" s="2" t="n">
        <f>HYPERLINK("https://globaldossier.uspto.gov/result/patent/US/9580711/1","US9580711")</f>
        <v>0.0</v>
      </c>
      <c r="M3818" t="s">
        <v>24114</v>
      </c>
      <c r="N3818" t="s">
        <v>13916</v>
      </c>
      <c r="O3818" t="s">
        <v>13917</v>
      </c>
      <c r="P3818" t="s">
        <v>24115</v>
      </c>
      <c r="Q3818" s="3" t="n">
        <v>42494.0</v>
      </c>
      <c r="R3818" s="3" t="n">
        <v>42794.0</v>
      </c>
      <c r="S3818" s="3" t="n">
        <v>43992.43079226852</v>
      </c>
      <c r="T3818" s="3" t="n">
        <v>43992.47823798611</v>
      </c>
      <c r="U3818" t="s">
        <v>24116</v>
      </c>
      <c r="V3818" t="s">
        <v>24117</v>
      </c>
    </row>
    <row r="3819">
      <c r="A3819" t="s">
        <v>23557</v>
      </c>
      <c r="B3819" t="s">
        <v>24118</v>
      </c>
      <c r="C3819" t="s">
        <v>24</v>
      </c>
      <c r="D3819" t="s">
        <v>34</v>
      </c>
      <c r="E3819" t="s">
        <v>24119</v>
      </c>
      <c r="F3819" s="2" t="n">
        <f>HYPERLINK("https://patents.google.com/patent/US9579655","Google")</f>
        <v>0.0</v>
      </c>
      <c r="G3819" s="2" t="n">
        <f>HYPERLINK("https://patentcenter.uspto.gov/applications/14159844","Patent Center")</f>
        <v>0.0</v>
      </c>
      <c r="H3819" s="2" t="n">
        <f>HYPERLINK("https://worldwide.espacenet.com/patent/search?q=US9579655","Espacenet")</f>
        <v>0.0</v>
      </c>
      <c r="I3819" s="2" t="n">
        <f>HYPERLINK("https://ppubs.uspto.gov/pubwebapp/external.html?q=9579655.pn.","USPTO")</f>
        <v>0.0</v>
      </c>
      <c r="J3819" s="2" t="n">
        <f>HYPERLINK("https://image-ppubs.uspto.gov/dirsearch-public/print/downloadPdf/9579655","USPTO PDF")</f>
        <v>0.0</v>
      </c>
      <c r="K3819" s="2" t="n">
        <f>HYPERLINK("https://sectors.patentforecast.com/pmd/US9579655","PMD")</f>
        <v>0.0</v>
      </c>
      <c r="L3819" s="2" t="n">
        <f>HYPERLINK("https://globaldossier.uspto.gov/result/patent/US/9579655/1","US9579655")</f>
        <v>0.0</v>
      </c>
      <c r="M3819" t="s">
        <v>20665</v>
      </c>
      <c r="N3819" t="s">
        <v>4728</v>
      </c>
      <c r="O3819" t="s">
        <v>4729</v>
      </c>
      <c r="P3819" t="s">
        <v>24120</v>
      </c>
      <c r="Q3819" s="3" t="n">
        <v>41660.0</v>
      </c>
      <c r="R3819" s="3" t="n">
        <v>42794.0</v>
      </c>
      <c r="S3819" s="3" t="n">
        <v>44370.45832486111</v>
      </c>
      <c r="T3819" s="3" t="n">
        <v>44372.38111516204</v>
      </c>
      <c r="U3819" t="s">
        <v>24121</v>
      </c>
      <c r="V3819" t="s">
        <v>17039</v>
      </c>
    </row>
    <row r="3820">
      <c r="A3820" t="s">
        <v>23557</v>
      </c>
      <c r="B3820" t="s">
        <v>24122</v>
      </c>
      <c r="C3820" t="s">
        <v>60</v>
      </c>
      <c r="D3820" t="s">
        <v>61</v>
      </c>
      <c r="E3820" t="s">
        <v>18626</v>
      </c>
      <c r="F3820" s="2" t="n">
        <f>HYPERLINK("https://patents.google.com/patent/US9579332","Google")</f>
        <v>0.0</v>
      </c>
      <c r="G3820" s="2" t="n">
        <f>HYPERLINK("https://patentcenter.uspto.gov/applications/13653982","Patent Center")</f>
        <v>0.0</v>
      </c>
      <c r="H3820" s="2" t="n">
        <f>HYPERLINK("https://worldwide.espacenet.com/patent/search?q=US9579332","Espacenet")</f>
        <v>0.0</v>
      </c>
      <c r="I3820" s="2" t="n">
        <f>HYPERLINK("https://ppubs.uspto.gov/pubwebapp/external.html?q=9579332.pn.","USPTO")</f>
        <v>0.0</v>
      </c>
      <c r="J3820" s="2" t="n">
        <f>HYPERLINK("https://image-ppubs.uspto.gov/dirsearch-public/print/downloadPdf/9579332","USPTO PDF")</f>
        <v>0.0</v>
      </c>
      <c r="K3820" s="2" t="n">
        <f>HYPERLINK("https://sectors.patentforecast.com/pmd/US9579332","PMD")</f>
        <v>0.0</v>
      </c>
      <c r="L3820" s="2" t="n">
        <f>HYPERLINK("https://globaldossier.uspto.gov/result/patent/US/9579332/1","US9579332")</f>
        <v>0.0</v>
      </c>
      <c r="M3820" t="s">
        <v>21249</v>
      </c>
      <c r="N3820" t="s">
        <v>664</v>
      </c>
      <c r="O3820" t="s">
        <v>665</v>
      </c>
      <c r="P3820" t="s">
        <v>24123</v>
      </c>
      <c r="Q3820" s="3" t="n">
        <v>41199.0</v>
      </c>
      <c r="R3820" s="3" t="n">
        <v>42794.0</v>
      </c>
      <c r="S3820" s="3" t="n">
        <v>43952.459910335645</v>
      </c>
      <c r="T3820" s="3" t="n">
        <v>44638.662781747684</v>
      </c>
      <c r="U3820" t="s">
        <v>24124</v>
      </c>
      <c r="V3820" t="s">
        <v>17358</v>
      </c>
    </row>
    <row r="3821">
      <c r="A3821" t="s">
        <v>23557</v>
      </c>
      <c r="B3821" t="s">
        <v>24125</v>
      </c>
      <c r="C3821" t="s">
        <v>60</v>
      </c>
      <c r="D3821" t="s">
        <v>61</v>
      </c>
      <c r="E3821" t="s">
        <v>23823</v>
      </c>
      <c r="F3821" s="2" t="n">
        <f>HYPERLINK("https://patents.google.com/patent/US9562058","Google")</f>
        <v>0.0</v>
      </c>
      <c r="G3821" s="2" t="n">
        <f>HYPERLINK("https://patentcenter.uspto.gov/applications/14575966","Patent Center")</f>
        <v>0.0</v>
      </c>
      <c r="H3821" s="2" t="n">
        <f>HYPERLINK("https://worldwide.espacenet.com/patent/search?q=US9562058","Espacenet")</f>
        <v>0.0</v>
      </c>
      <c r="I3821" s="2" t="n">
        <f>HYPERLINK("https://ppubs.uspto.gov/pubwebapp/external.html?q=9562058.pn.","USPTO")</f>
        <v>0.0</v>
      </c>
      <c r="J3821" s="2" t="n">
        <f>HYPERLINK("https://image-ppubs.uspto.gov/dirsearch-public/print/downloadPdf/9562058","USPTO PDF")</f>
        <v>0.0</v>
      </c>
      <c r="K3821" s="2" t="n">
        <f>HYPERLINK("https://sectors.patentforecast.com/pmd/US9562058","PMD")</f>
        <v>0.0</v>
      </c>
      <c r="L3821" s="2" t="n">
        <f>HYPERLINK("https://globaldossier.uspto.gov/result/patent/US/9562058/1","US9562058")</f>
        <v>0.0</v>
      </c>
      <c r="M3821" t="s">
        <v>20255</v>
      </c>
      <c r="N3821" t="s">
        <v>664</v>
      </c>
      <c r="O3821" t="s">
        <v>665</v>
      </c>
      <c r="P3821" t="s">
        <v>23824</v>
      </c>
      <c r="Q3821" s="3" t="n">
        <v>41991.0</v>
      </c>
      <c r="R3821" s="3" t="n">
        <v>42773.0</v>
      </c>
      <c r="S3821" s="3" t="n">
        <v>43952.459910335645</v>
      </c>
      <c r="T3821" s="3" t="n">
        <v>44638.65271974537</v>
      </c>
      <c r="U3821" t="s">
        <v>24126</v>
      </c>
      <c r="V3821" t="s">
        <v>23826</v>
      </c>
    </row>
    <row r="3822">
      <c r="A3822" t="s">
        <v>23557</v>
      </c>
      <c r="B3822" t="s">
        <v>24127</v>
      </c>
      <c r="C3822" t="s">
        <v>60</v>
      </c>
      <c r="D3822" t="s">
        <v>61</v>
      </c>
      <c r="E3822" t="s">
        <v>24128</v>
      </c>
      <c r="F3822" s="2" t="n">
        <f>HYPERLINK("https://patents.google.com/patent/US9549941","Google")</f>
        <v>0.0</v>
      </c>
      <c r="G3822" s="2" t="n">
        <f>HYPERLINK("https://patentcenter.uspto.gov/applications/14538736","Patent Center")</f>
        <v>0.0</v>
      </c>
      <c r="H3822" s="2" t="n">
        <f>HYPERLINK("https://worldwide.espacenet.com/patent/search?q=US9549941","Espacenet")</f>
        <v>0.0</v>
      </c>
      <c r="I3822" s="2" t="n">
        <f>HYPERLINK("https://ppubs.uspto.gov/pubwebapp/external.html?q=9549941.pn.","USPTO")</f>
        <v>0.0</v>
      </c>
      <c r="J3822" s="2" t="n">
        <f>HYPERLINK("https://image-ppubs.uspto.gov/dirsearch-public/print/downloadPdf/9549941","USPTO PDF")</f>
        <v>0.0</v>
      </c>
      <c r="K3822" s="2" t="n">
        <f>HYPERLINK("https://sectors.patentforecast.com/pmd/US9549941","PMD")</f>
        <v>0.0</v>
      </c>
      <c r="L3822" s="2" t="n">
        <f>HYPERLINK("https://globaldossier.uspto.gov/result/patent/US/9549941/1","US9549941")</f>
        <v>0.0</v>
      </c>
      <c r="M3822" t="s">
        <v>20283</v>
      </c>
      <c r="N3822" t="s">
        <v>664</v>
      </c>
      <c r="O3822" t="s">
        <v>665</v>
      </c>
      <c r="P3822" t="s">
        <v>24129</v>
      </c>
      <c r="Q3822" s="3" t="n">
        <v>41954.0</v>
      </c>
      <c r="R3822" s="3" t="n">
        <v>42759.0</v>
      </c>
      <c r="S3822" s="3" t="n">
        <v>43952.459910335645</v>
      </c>
      <c r="T3822" s="3" t="n">
        <v>44638.65643378472</v>
      </c>
      <c r="U3822" t="s">
        <v>24130</v>
      </c>
      <c r="V3822" t="s">
        <v>18878</v>
      </c>
    </row>
    <row r="3823">
      <c r="A3823" t="s">
        <v>23557</v>
      </c>
      <c r="B3823" t="s">
        <v>24131</v>
      </c>
      <c r="C3823" t="s">
        <v>60</v>
      </c>
      <c r="D3823" t="s">
        <v>696</v>
      </c>
      <c r="E3823" t="s">
        <v>24132</v>
      </c>
      <c r="F3823" s="2" t="n">
        <f>HYPERLINK("https://patents.google.com/patent/US9546213","Google")</f>
        <v>0.0</v>
      </c>
      <c r="G3823" s="2" t="n">
        <f>HYPERLINK("https://patentcenter.uspto.gov/applications/13046860","Patent Center")</f>
        <v>0.0</v>
      </c>
      <c r="H3823" s="2" t="n">
        <f>HYPERLINK("https://worldwide.espacenet.com/patent/search?q=US9546213","Espacenet")</f>
        <v>0.0</v>
      </c>
      <c r="I3823" s="2" t="n">
        <f>HYPERLINK("https://ppubs.uspto.gov/pubwebapp/external.html?q=9546213.pn.","USPTO")</f>
        <v>0.0</v>
      </c>
      <c r="J3823" s="2" t="n">
        <f>HYPERLINK("https://image-ppubs.uspto.gov/dirsearch-public/print/downloadPdf/9546213","USPTO PDF")</f>
        <v>0.0</v>
      </c>
      <c r="K3823" s="2" t="n">
        <f>HYPERLINK("https://sectors.patentforecast.com/pmd/US9546213","PMD")</f>
        <v>0.0</v>
      </c>
      <c r="L3823" s="2" t="n">
        <f>HYPERLINK("https://globaldossier.uspto.gov/result/patent/US/9546213/1","US9546213")</f>
        <v>0.0</v>
      </c>
      <c r="M3823" t="s">
        <v>21707</v>
      </c>
      <c r="N3823" t="s">
        <v>16927</v>
      </c>
      <c r="O3823" t="s">
        <v>16928</v>
      </c>
      <c r="P3823" t="s">
        <v>24133</v>
      </c>
      <c r="Q3823" s="3" t="n">
        <v>40616.0</v>
      </c>
      <c r="R3823" s="3" t="n">
        <v>42752.0</v>
      </c>
      <c r="S3823" s="3" t="n">
        <v>43966.48632354166</v>
      </c>
      <c r="T3823" s="3" t="n">
        <v>44638.63994787037</v>
      </c>
      <c r="U3823" t="s">
        <v>24134</v>
      </c>
      <c r="V3823" t="s">
        <v>17492</v>
      </c>
    </row>
    <row r="3824">
      <c r="A3824" t="s">
        <v>23557</v>
      </c>
      <c r="B3824" t="s">
        <v>24135</v>
      </c>
      <c r="C3824" t="s">
        <v>24</v>
      </c>
      <c r="D3824" t="s">
        <v>25</v>
      </c>
      <c r="E3824" t="s">
        <v>24136</v>
      </c>
      <c r="F3824" s="2" t="n">
        <f>HYPERLINK("https://patents.google.com/patent/US9542597","Google")</f>
        <v>0.0</v>
      </c>
      <c r="G3824" s="2" t="n">
        <f>HYPERLINK("https://patentcenter.uspto.gov/applications/15066004","Patent Center")</f>
        <v>0.0</v>
      </c>
      <c r="H3824" s="2" t="n">
        <f>HYPERLINK("https://worldwide.espacenet.com/patent/search?q=US9542597","Espacenet")</f>
        <v>0.0</v>
      </c>
      <c r="I3824" s="2" t="n">
        <f>HYPERLINK("https://ppubs.uspto.gov/pubwebapp/external.html?q=9542597.pn.","USPTO")</f>
        <v>0.0</v>
      </c>
      <c r="J3824" s="2" t="n">
        <f>HYPERLINK("https://image-ppubs.uspto.gov/dirsearch-public/print/downloadPdf/9542597","USPTO PDF")</f>
        <v>0.0</v>
      </c>
      <c r="K3824" s="2" t="n">
        <f>HYPERLINK("https://sectors.patentforecast.com/pmd/US9542597","PMD")</f>
        <v>0.0</v>
      </c>
      <c r="L3824" s="2" t="n">
        <f>HYPERLINK("https://globaldossier.uspto.gov/result/patent/US/9542597/1","US9542597")</f>
        <v>0.0</v>
      </c>
      <c r="M3824" t="s">
        <v>19633</v>
      </c>
      <c r="N3824" t="s">
        <v>20670</v>
      </c>
      <c r="O3824" t="s">
        <v>20671</v>
      </c>
      <c r="P3824" t="s">
        <v>24137</v>
      </c>
      <c r="Q3824" s="3" t="n">
        <v>42439.0</v>
      </c>
      <c r="R3824" s="3" t="n">
        <v>42745.0</v>
      </c>
      <c r="S3824" s="3" t="n">
        <v>43908.458517893516</v>
      </c>
      <c r="T3824" s="3" t="n">
        <v>43984.71588950232</v>
      </c>
      <c r="U3824" t="s">
        <v>24138</v>
      </c>
      <c r="V3824" t="s">
        <v>24139</v>
      </c>
    </row>
    <row r="3825">
      <c r="A3825" t="s">
        <v>23557</v>
      </c>
      <c r="B3825" t="s">
        <v>24140</v>
      </c>
      <c r="C3825" t="s">
        <v>60</v>
      </c>
      <c r="D3825" t="s">
        <v>61</v>
      </c>
      <c r="E3825" t="s">
        <v>23671</v>
      </c>
      <c r="F3825" s="2" t="n">
        <f>HYPERLINK("https://patents.google.com/patent/US9540343","Google")</f>
        <v>0.0</v>
      </c>
      <c r="G3825" s="2" t="n">
        <f>HYPERLINK("https://patentcenter.uspto.gov/applications/14130882","Patent Center")</f>
        <v>0.0</v>
      </c>
      <c r="H3825" s="2" t="n">
        <f>HYPERLINK("https://worldwide.espacenet.com/patent/search?q=US9540343","Espacenet")</f>
        <v>0.0</v>
      </c>
      <c r="I3825" s="2" t="n">
        <f>HYPERLINK("https://ppubs.uspto.gov/pubwebapp/external.html?q=9540343.pn.","USPTO")</f>
        <v>0.0</v>
      </c>
      <c r="J3825" s="2" t="n">
        <f>HYPERLINK("https://image-ppubs.uspto.gov/dirsearch-public/print/downloadPdf/9540343","USPTO PDF")</f>
        <v>0.0</v>
      </c>
      <c r="K3825" s="2" t="n">
        <f>HYPERLINK("https://sectors.patentforecast.com/pmd/US9540343","PMD")</f>
        <v>0.0</v>
      </c>
      <c r="L3825" s="2" t="n">
        <f>HYPERLINK("https://globaldossier.uspto.gov/result/patent/US/9540343/1","US9540343")</f>
        <v>0.0</v>
      </c>
      <c r="M3825" t="s">
        <v>20735</v>
      </c>
      <c r="N3825" t="s">
        <v>664</v>
      </c>
      <c r="O3825" t="s">
        <v>665</v>
      </c>
      <c r="P3825" t="s">
        <v>24141</v>
      </c>
      <c r="Q3825" s="3" t="n">
        <v>41095.0</v>
      </c>
      <c r="R3825" s="3" t="n">
        <v>42745.0</v>
      </c>
      <c r="S3825" s="3" t="n">
        <v>43952.459910335645</v>
      </c>
      <c r="T3825" s="3" t="n">
        <v>44638.662781747684</v>
      </c>
      <c r="U3825" t="s">
        <v>24142</v>
      </c>
      <c r="V3825" t="s">
        <v>17286</v>
      </c>
    </row>
    <row r="3826">
      <c r="A3826" t="s">
        <v>23557</v>
      </c>
      <c r="B3826" t="s">
        <v>24143</v>
      </c>
      <c r="C3826" t="s">
        <v>24</v>
      </c>
      <c r="D3826" t="s">
        <v>25</v>
      </c>
      <c r="E3826" t="s">
        <v>24144</v>
      </c>
      <c r="F3826" s="2" t="n">
        <f>HYPERLINK("https://patents.google.com/patent/US9529974","Google")</f>
        <v>0.0</v>
      </c>
      <c r="G3826" s="2" t="n">
        <f>HYPERLINK("https://patentcenter.uspto.gov/applications/13192160","Patent Center")</f>
        <v>0.0</v>
      </c>
      <c r="H3826" s="2" t="n">
        <f>HYPERLINK("https://worldwide.espacenet.com/patent/search?q=US9529974","Espacenet")</f>
        <v>0.0</v>
      </c>
      <c r="I3826" s="2" t="n">
        <f>HYPERLINK("https://ppubs.uspto.gov/pubwebapp/external.html?q=9529974.pn.","USPTO")</f>
        <v>0.0</v>
      </c>
      <c r="J3826" s="2" t="n">
        <f>HYPERLINK("https://image-ppubs.uspto.gov/dirsearch-public/print/downloadPdf/9529974","USPTO PDF")</f>
        <v>0.0</v>
      </c>
      <c r="K3826" s="2" t="n">
        <f>HYPERLINK("https://sectors.patentforecast.com/pmd/US9529974","PMD")</f>
        <v>0.0</v>
      </c>
      <c r="L3826" s="2" t="n">
        <f>HYPERLINK("https://globaldossier.uspto.gov/result/patent/US/9529974/1","US9529974")</f>
        <v>0.0</v>
      </c>
      <c r="M3826" t="s">
        <v>21449</v>
      </c>
      <c r="N3826" t="s">
        <v>8931</v>
      </c>
      <c r="O3826" t="s">
        <v>8931</v>
      </c>
      <c r="P3826" t="s">
        <v>24145</v>
      </c>
      <c r="Q3826" s="3" t="n">
        <v>40751.0</v>
      </c>
      <c r="R3826" s="3" t="n">
        <v>42731.0</v>
      </c>
      <c r="S3826" s="3" t="n">
        <v>43266.457353969905</v>
      </c>
      <c r="T3826" s="3" t="n">
        <v>43901.705570625</v>
      </c>
      <c r="U3826" t="s">
        <v>24146</v>
      </c>
      <c r="V3826" t="s">
        <v>21452</v>
      </c>
    </row>
    <row r="3827">
      <c r="A3827" t="s">
        <v>23557</v>
      </c>
      <c r="B3827" t="s">
        <v>24147</v>
      </c>
      <c r="C3827" t="s">
        <v>60</v>
      </c>
      <c r="D3827" t="s">
        <v>61</v>
      </c>
      <c r="E3827" t="s">
        <v>24148</v>
      </c>
      <c r="F3827" s="2" t="n">
        <f>HYPERLINK("https://patents.google.com/patent/US9522171","Google")</f>
        <v>0.0</v>
      </c>
      <c r="G3827" s="2" t="n">
        <f>HYPERLINK("https://patentcenter.uspto.gov/applications/14588616","Patent Center")</f>
        <v>0.0</v>
      </c>
      <c r="H3827" s="2" t="n">
        <f>HYPERLINK("https://worldwide.espacenet.com/patent/search?q=US9522171","Espacenet")</f>
        <v>0.0</v>
      </c>
      <c r="I3827" s="2" t="n">
        <f>HYPERLINK("https://ppubs.uspto.gov/pubwebapp/external.html?q=9522171.pn.","USPTO")</f>
        <v>0.0</v>
      </c>
      <c r="J3827" s="2" t="n">
        <f>HYPERLINK("https://image-ppubs.uspto.gov/dirsearch-public/print/downloadPdf/9522171","USPTO PDF")</f>
        <v>0.0</v>
      </c>
      <c r="K3827" s="2" t="n">
        <f>HYPERLINK("https://sectors.patentforecast.com/pmd/US9522171","PMD")</f>
        <v>0.0</v>
      </c>
      <c r="L3827" s="2" t="n">
        <f>HYPERLINK("https://globaldossier.uspto.gov/result/patent/US/9522171/1","US9522171")</f>
        <v>0.0</v>
      </c>
      <c r="M3827" t="s">
        <v>20231</v>
      </c>
      <c r="N3827" t="s">
        <v>16831</v>
      </c>
      <c r="O3827" t="s">
        <v>16832</v>
      </c>
      <c r="P3827" t="s">
        <v>24149</v>
      </c>
      <c r="Q3827" s="3" t="n">
        <v>42006.0</v>
      </c>
      <c r="R3827" s="3" t="n">
        <v>42724.0</v>
      </c>
      <c r="S3827" s="3" t="n">
        <v>43900.43738940972</v>
      </c>
      <c r="T3827" s="3" t="n">
        <v>43901.70557111111</v>
      </c>
      <c r="U3827" t="s">
        <v>24150</v>
      </c>
      <c r="V3827" t="s">
        <v>19374</v>
      </c>
    </row>
    <row r="3828">
      <c r="A3828" t="s">
        <v>23557</v>
      </c>
      <c r="B3828" t="s">
        <v>24151</v>
      </c>
      <c r="C3828" t="s">
        <v>132</v>
      </c>
      <c r="D3828" t="s">
        <v>1265</v>
      </c>
      <c r="E3828" t="s">
        <v>23878</v>
      </c>
      <c r="F3828" s="2" t="n">
        <f>HYPERLINK("https://patents.google.com/patent/US9517205","Google")</f>
        <v>0.0</v>
      </c>
      <c r="G3828" s="2" t="n">
        <f>HYPERLINK("https://patentcenter.uspto.gov/applications/13817814","Patent Center")</f>
        <v>0.0</v>
      </c>
      <c r="H3828" s="2" t="n">
        <f>HYPERLINK("https://worldwide.espacenet.com/patent/search?q=US9517205","Espacenet")</f>
        <v>0.0</v>
      </c>
      <c r="I3828" s="2" t="n">
        <f>HYPERLINK("https://ppubs.uspto.gov/pubwebapp/external.html?q=9517205.pn.","USPTO")</f>
        <v>0.0</v>
      </c>
      <c r="J3828" s="2" t="n">
        <f>HYPERLINK("https://image-ppubs.uspto.gov/dirsearch-public/print/downloadPdf/9517205","USPTO PDF")</f>
        <v>0.0</v>
      </c>
      <c r="K3828" s="2" t="n">
        <f>HYPERLINK("https://sectors.patentforecast.com/pmd/US9517205","PMD")</f>
        <v>0.0</v>
      </c>
      <c r="L3828" s="2" t="n">
        <f>HYPERLINK("https://globaldossier.uspto.gov/result/patent/US/9517205/1","US9517205")</f>
        <v>0.0</v>
      </c>
      <c r="M3828" t="s">
        <v>20994</v>
      </c>
      <c r="N3828" t="s">
        <v>14996</v>
      </c>
      <c r="O3828" t="s">
        <v>14997</v>
      </c>
      <c r="P3828" t="s">
        <v>23879</v>
      </c>
      <c r="Q3828" s="3" t="n">
        <v>40774.0</v>
      </c>
      <c r="R3828" s="3" t="n">
        <v>42717.0</v>
      </c>
      <c r="S3828" s="3" t="n">
        <v>43900.43738940972</v>
      </c>
      <c r="T3828" s="3" t="n">
        <v>43901.70557106481</v>
      </c>
      <c r="U3828" t="s">
        <v>24152</v>
      </c>
      <c r="V3828" t="s">
        <v>20997</v>
      </c>
    </row>
    <row r="3829">
      <c r="A3829" t="s">
        <v>23557</v>
      </c>
      <c r="B3829" t="s">
        <v>24153</v>
      </c>
      <c r="C3829" t="s">
        <v>60</v>
      </c>
      <c r="D3829" t="s">
        <v>61</v>
      </c>
      <c r="E3829" t="s">
        <v>23564</v>
      </c>
      <c r="F3829" s="2" t="n">
        <f>HYPERLINK("https://patents.google.com/patent/US9512175","Google")</f>
        <v>0.0</v>
      </c>
      <c r="G3829" s="2" t="n">
        <f>HYPERLINK("https://patentcenter.uspto.gov/applications/14821458","Patent Center")</f>
        <v>0.0</v>
      </c>
      <c r="H3829" s="2" t="n">
        <f>HYPERLINK("https://worldwide.espacenet.com/patent/search?q=US9512175","Espacenet")</f>
        <v>0.0</v>
      </c>
      <c r="I3829" s="2" t="n">
        <f>HYPERLINK("https://ppubs.uspto.gov/pubwebapp/external.html?q=9512175.pn.","USPTO")</f>
        <v>0.0</v>
      </c>
      <c r="J3829" s="2" t="n">
        <f>HYPERLINK("https://image-ppubs.uspto.gov/dirsearch-public/print/downloadPdf/9512175","USPTO PDF")</f>
        <v>0.0</v>
      </c>
      <c r="K3829" s="2" t="n">
        <f>HYPERLINK("https://sectors.patentforecast.com/pmd/US9512175","PMD")</f>
        <v>0.0</v>
      </c>
      <c r="L3829" s="2" t="n">
        <f>HYPERLINK("https://globaldossier.uspto.gov/result/patent/US/9512175/1","US9512175")</f>
        <v>0.0</v>
      </c>
      <c r="M3829" t="s">
        <v>20019</v>
      </c>
      <c r="N3829" t="s">
        <v>19174</v>
      </c>
      <c r="O3829" t="s">
        <v>19175</v>
      </c>
      <c r="P3829" t="s">
        <v>24154</v>
      </c>
      <c r="Q3829" s="3" t="n">
        <v>42223.0</v>
      </c>
      <c r="R3829" s="3" t="n">
        <v>42710.0</v>
      </c>
      <c r="S3829" s="3" t="n">
        <v>43952.459910335645</v>
      </c>
      <c r="T3829" s="3" t="n">
        <v>44638.65643378472</v>
      </c>
      <c r="U3829" t="s">
        <v>24155</v>
      </c>
      <c r="V3829" t="s">
        <v>24156</v>
      </c>
    </row>
    <row r="3830">
      <c r="A3830" t="s">
        <v>23557</v>
      </c>
      <c r="B3830" t="s">
        <v>24157</v>
      </c>
      <c r="C3830" t="s">
        <v>60</v>
      </c>
      <c r="D3830" t="s">
        <v>61</v>
      </c>
      <c r="E3830" t="s">
        <v>22432</v>
      </c>
      <c r="F3830" s="2" t="n">
        <f>HYPERLINK("https://patents.google.com/patent/US9511056","Google")</f>
        <v>0.0</v>
      </c>
      <c r="G3830" s="2" t="n">
        <f>HYPERLINK("https://patentcenter.uspto.gov/applications/14280478","Patent Center")</f>
        <v>0.0</v>
      </c>
      <c r="H3830" s="2" t="n">
        <f>HYPERLINK("https://worldwide.espacenet.com/patent/search?q=US9511056","Espacenet")</f>
        <v>0.0</v>
      </c>
      <c r="I3830" s="2" t="n">
        <f>HYPERLINK("https://ppubs.uspto.gov/pubwebapp/external.html?q=9511056.pn.","USPTO")</f>
        <v>0.0</v>
      </c>
      <c r="J3830" s="2" t="n">
        <f>HYPERLINK("https://image-ppubs.uspto.gov/dirsearch-public/print/downloadPdf/9511056","USPTO PDF")</f>
        <v>0.0</v>
      </c>
      <c r="K3830" s="2" t="n">
        <f>HYPERLINK("https://sectors.patentforecast.com/pmd/US9511056","PMD")</f>
        <v>0.0</v>
      </c>
      <c r="L3830" s="2" t="n">
        <f>HYPERLINK("https://globaldossier.uspto.gov/result/patent/US/9511056/1","US9511056")</f>
        <v>0.0</v>
      </c>
      <c r="M3830" t="s">
        <v>20593</v>
      </c>
      <c r="N3830" t="s">
        <v>664</v>
      </c>
      <c r="O3830" t="s">
        <v>665</v>
      </c>
      <c r="P3830" t="s">
        <v>23608</v>
      </c>
      <c r="Q3830" s="3" t="n">
        <v>41775.0</v>
      </c>
      <c r="R3830" s="3" t="n">
        <v>42710.0</v>
      </c>
      <c r="S3830" s="3" t="n">
        <v>43952.459910335645</v>
      </c>
      <c r="T3830" s="3" t="n">
        <v>44638.65271974537</v>
      </c>
      <c r="U3830" t="s">
        <v>24158</v>
      </c>
      <c r="V3830" t="s">
        <v>16907</v>
      </c>
    </row>
    <row r="3831">
      <c r="A3831" t="s">
        <v>23557</v>
      </c>
      <c r="B3831" t="s">
        <v>24159</v>
      </c>
      <c r="C3831" t="s">
        <v>60</v>
      </c>
      <c r="D3831" t="s">
        <v>61</v>
      </c>
      <c r="E3831" t="s">
        <v>24160</v>
      </c>
      <c r="F3831" s="2" t="n">
        <f>HYPERLINK("https://patents.google.com/patent/US9504689","Google")</f>
        <v>0.0</v>
      </c>
      <c r="G3831" s="2" t="n">
        <f>HYPERLINK("https://patentcenter.uspto.gov/applications/14635830","Patent Center")</f>
        <v>0.0</v>
      </c>
      <c r="H3831" s="2" t="n">
        <f>HYPERLINK("https://worldwide.espacenet.com/patent/search?q=US9504689","Espacenet")</f>
        <v>0.0</v>
      </c>
      <c r="I3831" s="2" t="n">
        <f>HYPERLINK("https://ppubs.uspto.gov/pubwebapp/external.html?q=9504689.pn.","USPTO")</f>
        <v>0.0</v>
      </c>
      <c r="J3831" s="2" t="n">
        <f>HYPERLINK("https://image-ppubs.uspto.gov/dirsearch-public/print/downloadPdf/9504689","USPTO PDF")</f>
        <v>0.0</v>
      </c>
      <c r="K3831" s="2" t="n">
        <f>HYPERLINK("https://sectors.patentforecast.com/pmd/US9504689","PMD")</f>
        <v>0.0</v>
      </c>
      <c r="L3831" s="2" t="n">
        <f>HYPERLINK("https://globaldossier.uspto.gov/result/patent/US/9504689/1","US9504689")</f>
        <v>0.0</v>
      </c>
      <c r="M3831" t="s">
        <v>20169</v>
      </c>
      <c r="N3831" t="s">
        <v>664</v>
      </c>
      <c r="O3831" t="s">
        <v>665</v>
      </c>
      <c r="P3831" t="s">
        <v>24161</v>
      </c>
      <c r="Q3831" s="3" t="n">
        <v>42065.0</v>
      </c>
      <c r="R3831" s="3" t="n">
        <v>42703.0</v>
      </c>
      <c r="S3831" s="3" t="n">
        <v>43952.459910335645</v>
      </c>
      <c r="T3831" s="3" t="n">
        <v>44638.65271974537</v>
      </c>
      <c r="U3831" t="s">
        <v>24162</v>
      </c>
      <c r="V3831" t="s">
        <v>18887</v>
      </c>
    </row>
    <row r="3832">
      <c r="A3832" t="s">
        <v>23557</v>
      </c>
      <c r="B3832" t="s">
        <v>24163</v>
      </c>
      <c r="C3832" t="s">
        <v>24</v>
      </c>
      <c r="D3832" t="s">
        <v>25</v>
      </c>
      <c r="E3832" t="s">
        <v>24164</v>
      </c>
      <c r="F3832" s="2" t="n">
        <f>HYPERLINK("https://patents.google.com/patent/US9504387","Google")</f>
        <v>0.0</v>
      </c>
      <c r="G3832" s="2" t="n">
        <f>HYPERLINK("https://patentcenter.uspto.gov/applications/14062413","Patent Center")</f>
        <v>0.0</v>
      </c>
      <c r="H3832" s="2" t="n">
        <f>HYPERLINK("https://worldwide.espacenet.com/patent/search?q=US9504387","Espacenet")</f>
        <v>0.0</v>
      </c>
      <c r="I3832" s="2" t="n">
        <f>HYPERLINK("https://ppubs.uspto.gov/pubwebapp/external.html?q=9504387.pn.","USPTO")</f>
        <v>0.0</v>
      </c>
      <c r="J3832" s="2" t="n">
        <f>HYPERLINK("https://image-ppubs.uspto.gov/dirsearch-public/print/downloadPdf/9504387","USPTO PDF")</f>
        <v>0.0</v>
      </c>
      <c r="K3832" s="2" t="n">
        <f>HYPERLINK("https://sectors.patentforecast.com/pmd/US9504387","PMD")</f>
        <v>0.0</v>
      </c>
      <c r="L3832" s="2" t="n">
        <f>HYPERLINK("https://globaldossier.uspto.gov/result/patent/US/9504387/1","US9504387")</f>
        <v>0.0</v>
      </c>
      <c r="M3832" t="s">
        <v>20754</v>
      </c>
      <c r="N3832" t="s">
        <v>20755</v>
      </c>
      <c r="O3832" t="s">
        <v>20756</v>
      </c>
      <c r="P3832" t="s">
        <v>24165</v>
      </c>
      <c r="Q3832" s="3" t="n">
        <v>41571.0</v>
      </c>
      <c r="R3832" s="3" t="n">
        <v>42703.0</v>
      </c>
      <c r="S3832" s="3" t="n">
        <v>43900.43738940972</v>
      </c>
      <c r="T3832" s="3" t="n">
        <v>43901.70557091435</v>
      </c>
      <c r="U3832" t="s">
        <v>24166</v>
      </c>
      <c r="V3832" t="s">
        <v>20759</v>
      </c>
    </row>
    <row r="3833">
      <c r="A3833" t="s">
        <v>23557</v>
      </c>
      <c r="B3833" t="s">
        <v>24167</v>
      </c>
      <c r="C3833" t="s">
        <v>60</v>
      </c>
      <c r="D3833" t="s">
        <v>61</v>
      </c>
      <c r="E3833" t="s">
        <v>24168</v>
      </c>
      <c r="F3833" s="2" t="n">
        <f>HYPERLINK("https://patents.google.com/patent/US9492413","Google")</f>
        <v>0.0</v>
      </c>
      <c r="G3833" s="2" t="n">
        <f>HYPERLINK("https://patentcenter.uspto.gov/applications/12679251","Patent Center")</f>
        <v>0.0</v>
      </c>
      <c r="H3833" s="2" t="n">
        <f>HYPERLINK("https://worldwide.espacenet.com/patent/search?q=US9492413","Espacenet")</f>
        <v>0.0</v>
      </c>
      <c r="I3833" s="2" t="n">
        <f>HYPERLINK("https://ppubs.uspto.gov/pubwebapp/external.html?q=9492413.pn.","USPTO")</f>
        <v>0.0</v>
      </c>
      <c r="J3833" s="2" t="n">
        <f>HYPERLINK("https://image-ppubs.uspto.gov/dirsearch-public/print/downloadPdf/9492413","USPTO PDF")</f>
        <v>0.0</v>
      </c>
      <c r="K3833" s="2" t="n">
        <f>HYPERLINK("https://sectors.patentforecast.com/pmd/US9492413","PMD")</f>
        <v>0.0</v>
      </c>
      <c r="L3833" s="2" t="n">
        <f>HYPERLINK("https://globaldossier.uspto.gov/result/patent/US/9492413/1","US9492413")</f>
        <v>0.0</v>
      </c>
      <c r="M3833" t="s">
        <v>24169</v>
      </c>
      <c r="N3833" t="s">
        <v>24170</v>
      </c>
      <c r="O3833" t="s">
        <v>24171</v>
      </c>
      <c r="P3833" t="s">
        <v>24172</v>
      </c>
      <c r="Q3833" s="3" t="n">
        <v>39827.0</v>
      </c>
      <c r="R3833" s="3" t="n">
        <v>42689.0</v>
      </c>
      <c r="S3833" s="3" t="n">
        <v>43973.46879216435</v>
      </c>
      <c r="T3833" s="3" t="n">
        <v>44546.393448587965</v>
      </c>
      <c r="U3833" t="s">
        <v>24173</v>
      </c>
      <c r="V3833" t="s">
        <v>24174</v>
      </c>
    </row>
    <row r="3834">
      <c r="A3834" t="s">
        <v>23557</v>
      </c>
      <c r="B3834" t="s">
        <v>24175</v>
      </c>
      <c r="C3834" t="s">
        <v>24</v>
      </c>
      <c r="D3834" t="s">
        <v>100</v>
      </c>
      <c r="E3834" t="s">
        <v>24176</v>
      </c>
      <c r="F3834" s="2" t="n">
        <f>HYPERLINK("https://patents.google.com/patent/US9487749","Google")</f>
        <v>0.0</v>
      </c>
      <c r="G3834" s="2" t="n">
        <f>HYPERLINK("https://patentcenter.uspto.gov/applications/14458148","Patent Center")</f>
        <v>0.0</v>
      </c>
      <c r="H3834" s="2" t="n">
        <f>HYPERLINK("https://worldwide.espacenet.com/patent/search?q=US9487749","Espacenet")</f>
        <v>0.0</v>
      </c>
      <c r="I3834" s="2" t="n">
        <f>HYPERLINK("https://ppubs.uspto.gov/pubwebapp/external.html?q=9487749.pn.","USPTO")</f>
        <v>0.0</v>
      </c>
      <c r="J3834" s="2" t="n">
        <f>HYPERLINK("https://image-ppubs.uspto.gov/dirsearch-public/print/downloadPdf/9487749","USPTO PDF")</f>
        <v>0.0</v>
      </c>
      <c r="K3834" s="2" t="n">
        <f>HYPERLINK("https://sectors.patentforecast.com/pmd/US9487749","PMD")</f>
        <v>0.0</v>
      </c>
      <c r="L3834" s="2" t="n">
        <f>HYPERLINK("https://globaldossier.uspto.gov/result/patent/US/9487749/1","US9487749")</f>
        <v>0.0</v>
      </c>
      <c r="M3834" t="s">
        <v>24177</v>
      </c>
      <c r="N3834" t="s">
        <v>21257</v>
      </c>
      <c r="O3834" t="s">
        <v>21258</v>
      </c>
      <c r="P3834" t="s">
        <v>24178</v>
      </c>
      <c r="Q3834" s="3" t="n">
        <v>41863.0</v>
      </c>
      <c r="R3834" s="3" t="n">
        <v>42682.0</v>
      </c>
      <c r="S3834" s="3" t="n">
        <v>43999.590191793985</v>
      </c>
      <c r="T3834" s="3" t="n">
        <v>44638.64789150463</v>
      </c>
      <c r="U3834" t="s">
        <v>24179</v>
      </c>
      <c r="V3834" t="s">
        <v>21261</v>
      </c>
    </row>
    <row r="3835">
      <c r="A3835" t="s">
        <v>23557</v>
      </c>
      <c r="B3835" t="s">
        <v>24180</v>
      </c>
      <c r="C3835" t="s">
        <v>60</v>
      </c>
      <c r="D3835" t="s">
        <v>61</v>
      </c>
      <c r="E3835" t="s">
        <v>24181</v>
      </c>
      <c r="F3835" s="2" t="n">
        <f>HYPERLINK("https://patents.google.com/patent/US9481704","Google")</f>
        <v>0.0</v>
      </c>
      <c r="G3835" s="2" t="n">
        <f>HYPERLINK("https://patentcenter.uspto.gov/applications/13793557","Patent Center")</f>
        <v>0.0</v>
      </c>
      <c r="H3835" s="2" t="n">
        <f>HYPERLINK("https://worldwide.espacenet.com/patent/search?q=US9481704","Espacenet")</f>
        <v>0.0</v>
      </c>
      <c r="I3835" s="2" t="n">
        <f>HYPERLINK("https://ppubs.uspto.gov/pubwebapp/external.html?q=9481704.pn.","USPTO")</f>
        <v>0.0</v>
      </c>
      <c r="J3835" s="2" t="n">
        <f>HYPERLINK("https://image-ppubs.uspto.gov/dirsearch-public/print/downloadPdf/9481704","USPTO PDF")</f>
        <v>0.0</v>
      </c>
      <c r="K3835" s="2" t="n">
        <f>HYPERLINK("https://sectors.patentforecast.com/pmd/US9481704","PMD")</f>
        <v>0.0</v>
      </c>
      <c r="L3835" s="2" t="n">
        <f>HYPERLINK("https://globaldossier.uspto.gov/result/patent/US/9481704/1","US9481704")</f>
        <v>0.0</v>
      </c>
      <c r="M3835" t="s">
        <v>21052</v>
      </c>
      <c r="N3835" t="s">
        <v>664</v>
      </c>
      <c r="O3835" t="s">
        <v>665</v>
      </c>
      <c r="P3835" t="s">
        <v>24182</v>
      </c>
      <c r="Q3835" s="3" t="n">
        <v>41344.0</v>
      </c>
      <c r="R3835" s="3" t="n">
        <v>42675.0</v>
      </c>
      <c r="S3835" s="3" t="n">
        <v>43952.459910335645</v>
      </c>
      <c r="T3835" s="3" t="n">
        <v>44638.65271974537</v>
      </c>
      <c r="U3835" t="s">
        <v>24183</v>
      </c>
      <c r="V3835" t="s">
        <v>24184</v>
      </c>
    </row>
    <row r="3836">
      <c r="A3836" t="s">
        <v>23557</v>
      </c>
      <c r="B3836" t="s">
        <v>24185</v>
      </c>
      <c r="C3836" t="s">
        <v>132</v>
      </c>
      <c r="D3836" t="s">
        <v>142</v>
      </c>
      <c r="E3836" t="s">
        <v>24186</v>
      </c>
      <c r="F3836" s="2" t="n">
        <f>HYPERLINK("https://patents.google.com/patent/US9476032","Google")</f>
        <v>0.0</v>
      </c>
      <c r="G3836" s="2" t="n">
        <f>HYPERLINK("https://patentcenter.uspto.gov/applications/12594173","Patent Center")</f>
        <v>0.0</v>
      </c>
      <c r="H3836" s="2" t="n">
        <f>HYPERLINK("https://worldwide.espacenet.com/patent/search?q=US9476032","Espacenet")</f>
        <v>0.0</v>
      </c>
      <c r="I3836" s="2" t="n">
        <f>HYPERLINK("https://ppubs.uspto.gov/pubwebapp/external.html?q=9476032.pn.","USPTO")</f>
        <v>0.0</v>
      </c>
      <c r="J3836" s="2" t="n">
        <f>HYPERLINK("https://image-ppubs.uspto.gov/dirsearch-public/print/downloadPdf/9476032","USPTO PDF")</f>
        <v>0.0</v>
      </c>
      <c r="K3836" s="2" t="n">
        <f>HYPERLINK("https://sectors.patentforecast.com/pmd/US9476032","PMD")</f>
        <v>0.0</v>
      </c>
      <c r="L3836" s="2" t="n">
        <f>HYPERLINK("https://globaldossier.uspto.gov/result/patent/US/9476032/1","US9476032")</f>
        <v>0.0</v>
      </c>
      <c r="M3836" t="s">
        <v>24187</v>
      </c>
      <c r="N3836" t="s">
        <v>2095</v>
      </c>
      <c r="O3836" t="s">
        <v>2096</v>
      </c>
      <c r="P3836" t="s">
        <v>24188</v>
      </c>
      <c r="Q3836" s="3" t="n">
        <v>39538.0</v>
      </c>
      <c r="R3836" s="3" t="n">
        <v>42668.0</v>
      </c>
      <c r="S3836" s="3" t="n">
        <v>43973.46879216435</v>
      </c>
      <c r="T3836" s="3" t="n">
        <v>44545.373065671294</v>
      </c>
      <c r="U3836" t="s">
        <v>24189</v>
      </c>
      <c r="V3836" t="s">
        <v>24190</v>
      </c>
    </row>
    <row r="3837">
      <c r="A3837" t="s">
        <v>23557</v>
      </c>
      <c r="B3837" t="s">
        <v>24191</v>
      </c>
      <c r="C3837" t="s">
        <v>132</v>
      </c>
      <c r="D3837" t="s">
        <v>1265</v>
      </c>
      <c r="E3837" t="s">
        <v>23679</v>
      </c>
      <c r="F3837" s="2" t="n">
        <f>HYPERLINK("https://patents.google.com/patent/US9474799","Google")</f>
        <v>0.0</v>
      </c>
      <c r="G3837" s="2" t="n">
        <f>HYPERLINK("https://patentcenter.uspto.gov/applications/14700577","Patent Center")</f>
        <v>0.0</v>
      </c>
      <c r="H3837" s="2" t="n">
        <f>HYPERLINK("https://worldwide.espacenet.com/patent/search?q=US9474799","Espacenet")</f>
        <v>0.0</v>
      </c>
      <c r="I3837" s="2" t="n">
        <f>HYPERLINK("https://ppubs.uspto.gov/pubwebapp/external.html?q=9474799.pn.","USPTO")</f>
        <v>0.0</v>
      </c>
      <c r="J3837" s="2" t="n">
        <f>HYPERLINK("https://image-ppubs.uspto.gov/dirsearch-public/print/downloadPdf/9474799","USPTO PDF")</f>
        <v>0.0</v>
      </c>
      <c r="K3837" s="2" t="n">
        <f>HYPERLINK("https://sectors.patentforecast.com/pmd/US9474799","PMD")</f>
        <v>0.0</v>
      </c>
      <c r="L3837" s="2" t="n">
        <f>HYPERLINK("https://globaldossier.uspto.gov/result/patent/US/9474799/1","US9474799")</f>
        <v>0.0</v>
      </c>
      <c r="M3837" t="s">
        <v>20080</v>
      </c>
      <c r="N3837" t="s">
        <v>1275</v>
      </c>
      <c r="O3837" t="s">
        <v>1275</v>
      </c>
      <c r="P3837" t="s">
        <v>23630</v>
      </c>
      <c r="Q3837" s="3" t="n">
        <v>42124.0</v>
      </c>
      <c r="R3837" s="3" t="n">
        <v>42668.0</v>
      </c>
      <c r="S3837" s="3" t="n">
        <v>43973.46879216435</v>
      </c>
      <c r="T3837" s="3" t="n">
        <v>44020.62067215278</v>
      </c>
      <c r="U3837" t="s">
        <v>24192</v>
      </c>
      <c r="V3837" t="s">
        <v>19103</v>
      </c>
    </row>
    <row r="3838">
      <c r="A3838" t="s">
        <v>23557</v>
      </c>
      <c r="B3838" t="s">
        <v>24193</v>
      </c>
      <c r="C3838" t="s">
        <v>132</v>
      </c>
      <c r="D3838" t="s">
        <v>1265</v>
      </c>
      <c r="E3838" t="s">
        <v>24194</v>
      </c>
      <c r="F3838" s="2" t="n">
        <f>HYPERLINK("https://patents.google.com/patent/US9474798","Google")</f>
        <v>0.0</v>
      </c>
      <c r="G3838" s="2" t="n">
        <f>HYPERLINK("https://patentcenter.uspto.gov/applications/12214414","Patent Center")</f>
        <v>0.0</v>
      </c>
      <c r="H3838" s="2" t="n">
        <f>HYPERLINK("https://worldwide.espacenet.com/patent/search?q=US9474798","Espacenet")</f>
        <v>0.0</v>
      </c>
      <c r="I3838" s="2" t="n">
        <f>HYPERLINK("https://ppubs.uspto.gov/pubwebapp/external.html?q=9474798.pn.","USPTO")</f>
        <v>0.0</v>
      </c>
      <c r="J3838" s="2" t="n">
        <f>HYPERLINK("https://image-ppubs.uspto.gov/dirsearch-public/print/downloadPdf/9474798","USPTO PDF")</f>
        <v>0.0</v>
      </c>
      <c r="K3838" s="2" t="n">
        <f>HYPERLINK("https://sectors.patentforecast.com/pmd/US9474798","PMD")</f>
        <v>0.0</v>
      </c>
      <c r="L3838" s="2" t="n">
        <f>HYPERLINK("https://globaldossier.uspto.gov/result/patent/US/9474798/1","US9474798")</f>
        <v>0.0</v>
      </c>
      <c r="M3838" t="s">
        <v>24195</v>
      </c>
      <c r="N3838" t="s">
        <v>1649</v>
      </c>
      <c r="O3838" t="s">
        <v>1650</v>
      </c>
      <c r="P3838" t="s">
        <v>24196</v>
      </c>
      <c r="Q3838" s="3" t="n">
        <v>39617.0</v>
      </c>
      <c r="R3838" s="3" t="n">
        <v>42668.0</v>
      </c>
      <c r="S3838" s="3" t="n">
        <v>43973.46879216435</v>
      </c>
      <c r="T3838" s="3" t="n">
        <v>44545.613646909726</v>
      </c>
      <c r="U3838" t="s">
        <v>24197</v>
      </c>
      <c r="V3838" t="s">
        <v>24198</v>
      </c>
    </row>
    <row r="3839">
      <c r="A3839" t="s">
        <v>23557</v>
      </c>
      <c r="B3839" t="s">
        <v>24199</v>
      </c>
      <c r="C3839" t="s">
        <v>132</v>
      </c>
      <c r="D3839" t="s">
        <v>1265</v>
      </c>
      <c r="E3839" t="s">
        <v>24200</v>
      </c>
      <c r="F3839" s="2" t="n">
        <f>HYPERLINK("https://patents.google.com/patent/US9464276","Google")</f>
        <v>0.0</v>
      </c>
      <c r="G3839" s="2" t="n">
        <f>HYPERLINK("https://patentcenter.uspto.gov/applications/14628513","Patent Center")</f>
        <v>0.0</v>
      </c>
      <c r="H3839" s="2" t="n">
        <f>HYPERLINK("https://worldwide.espacenet.com/patent/search?q=US9464276","Espacenet")</f>
        <v>0.0</v>
      </c>
      <c r="I3839" s="2" t="n">
        <f>HYPERLINK("https://ppubs.uspto.gov/pubwebapp/external.html?q=9464276.pn.","USPTO")</f>
        <v>0.0</v>
      </c>
      <c r="J3839" s="2" t="n">
        <f>HYPERLINK("https://image-ppubs.uspto.gov/dirsearch-public/print/downloadPdf/9464276","USPTO PDF")</f>
        <v>0.0</v>
      </c>
      <c r="K3839" s="2" t="n">
        <f>HYPERLINK("https://sectors.patentforecast.com/pmd/US9464276","PMD")</f>
        <v>0.0</v>
      </c>
      <c r="L3839" s="2" t="n">
        <f>HYPERLINK("https://globaldossier.uspto.gov/result/patent/US/9464276/1","US9464276")</f>
        <v>0.0</v>
      </c>
      <c r="M3839" t="s">
        <v>24201</v>
      </c>
      <c r="N3839" t="s">
        <v>1275</v>
      </c>
      <c r="O3839" t="s">
        <v>1275</v>
      </c>
      <c r="P3839" t="s">
        <v>24202</v>
      </c>
      <c r="Q3839" s="3" t="n">
        <v>42058.0</v>
      </c>
      <c r="R3839" s="3" t="n">
        <v>42654.0</v>
      </c>
      <c r="S3839" s="3" t="n">
        <v>43973.46879216435</v>
      </c>
      <c r="T3839" s="3" t="n">
        <v>44545.60539246528</v>
      </c>
      <c r="U3839" t="s">
        <v>24203</v>
      </c>
      <c r="V3839" t="s">
        <v>24204</v>
      </c>
    </row>
    <row r="3840">
      <c r="A3840" t="s">
        <v>23557</v>
      </c>
      <c r="B3840" t="s">
        <v>24205</v>
      </c>
      <c r="C3840" t="s">
        <v>60</v>
      </c>
      <c r="D3840" t="s">
        <v>61</v>
      </c>
      <c r="E3840" t="s">
        <v>24206</v>
      </c>
      <c r="F3840" s="2" t="n">
        <f>HYPERLINK("https://patents.google.com/patent/US9464124","Google")</f>
        <v>0.0</v>
      </c>
      <c r="G3840" s="2" t="n">
        <f>HYPERLINK("https://patentcenter.uspto.gov/applications/14533264","Patent Center")</f>
        <v>0.0</v>
      </c>
      <c r="H3840" s="2" t="n">
        <f>HYPERLINK("https://worldwide.espacenet.com/patent/search?q=US9464124","Espacenet")</f>
        <v>0.0</v>
      </c>
      <c r="I3840" s="2" t="n">
        <f>HYPERLINK("https://ppubs.uspto.gov/pubwebapp/external.html?q=9464124.pn.","USPTO")</f>
        <v>0.0</v>
      </c>
      <c r="J3840" s="2" t="n">
        <f>HYPERLINK("https://image-ppubs.uspto.gov/dirsearch-public/print/downloadPdf/9464124","USPTO PDF")</f>
        <v>0.0</v>
      </c>
      <c r="K3840" s="2" t="n">
        <f>HYPERLINK("https://sectors.patentforecast.com/pmd/US9464124","PMD")</f>
        <v>0.0</v>
      </c>
      <c r="L3840" s="2" t="n">
        <f>HYPERLINK("https://globaldossier.uspto.gov/result/patent/US/9464124/1","US9464124")</f>
        <v>0.0</v>
      </c>
      <c r="M3840" t="s">
        <v>20409</v>
      </c>
      <c r="N3840" t="s">
        <v>145</v>
      </c>
      <c r="O3840" t="s">
        <v>146</v>
      </c>
      <c r="P3840" t="s">
        <v>24207</v>
      </c>
      <c r="Q3840" s="3" t="n">
        <v>41948.0</v>
      </c>
      <c r="R3840" s="3" t="n">
        <v>42654.0</v>
      </c>
      <c r="S3840" s="3" t="n">
        <v>43909.45520884259</v>
      </c>
      <c r="T3840" s="3" t="n">
        <v>43950.475894027775</v>
      </c>
      <c r="U3840" t="s">
        <v>24208</v>
      </c>
      <c r="V3840" t="s">
        <v>20411</v>
      </c>
    </row>
    <row r="3841">
      <c r="A3841" t="s">
        <v>23557</v>
      </c>
      <c r="B3841" t="s">
        <v>24209</v>
      </c>
      <c r="C3841" t="s">
        <v>60</v>
      </c>
      <c r="D3841" t="s">
        <v>61</v>
      </c>
      <c r="E3841" t="s">
        <v>23763</v>
      </c>
      <c r="F3841" s="2" t="n">
        <f>HYPERLINK("https://patents.google.com/patent/US9464067","Google")</f>
        <v>0.0</v>
      </c>
      <c r="G3841" s="2" t="n">
        <f>HYPERLINK("https://patentcenter.uspto.gov/applications/14126485","Patent Center")</f>
        <v>0.0</v>
      </c>
      <c r="H3841" s="2" t="n">
        <f>HYPERLINK("https://worldwide.espacenet.com/patent/search?q=US9464067","Espacenet")</f>
        <v>0.0</v>
      </c>
      <c r="I3841" s="2" t="n">
        <f>HYPERLINK("https://ppubs.uspto.gov/pubwebapp/external.html?q=9464067.pn.","USPTO")</f>
        <v>0.0</v>
      </c>
      <c r="J3841" s="2" t="n">
        <f>HYPERLINK("https://image-ppubs.uspto.gov/dirsearch-public/print/downloadPdf/9464067","USPTO PDF")</f>
        <v>0.0</v>
      </c>
      <c r="K3841" s="2" t="n">
        <f>HYPERLINK("https://sectors.patentforecast.com/pmd/US9464067","PMD")</f>
        <v>0.0</v>
      </c>
      <c r="L3841" s="2" t="n">
        <f>HYPERLINK("https://globaldossier.uspto.gov/result/patent/US/9464067/1","US9464067")</f>
        <v>0.0</v>
      </c>
      <c r="M3841" t="s">
        <v>20770</v>
      </c>
      <c r="N3841" t="s">
        <v>19232</v>
      </c>
      <c r="O3841" t="s">
        <v>19233</v>
      </c>
      <c r="P3841" t="s">
        <v>23764</v>
      </c>
      <c r="Q3841" s="3" t="n">
        <v>41078.0</v>
      </c>
      <c r="R3841" s="3" t="n">
        <v>42654.0</v>
      </c>
      <c r="S3841" s="3" t="n">
        <v>43900.43738940972</v>
      </c>
      <c r="T3841" s="3" t="n">
        <v>43901.70557090278</v>
      </c>
      <c r="U3841" t="s">
        <v>24210</v>
      </c>
      <c r="V3841" t="s">
        <v>24211</v>
      </c>
    </row>
    <row r="3842">
      <c r="A3842" t="s">
        <v>23557</v>
      </c>
      <c r="B3842" t="s">
        <v>24212</v>
      </c>
      <c r="C3842" t="s">
        <v>60</v>
      </c>
      <c r="D3842" t="s">
        <v>61</v>
      </c>
      <c r="E3842" t="s">
        <v>24213</v>
      </c>
      <c r="F3842" s="2" t="n">
        <f>HYPERLINK("https://patents.google.com/patent/US9463194","Google")</f>
        <v>0.0</v>
      </c>
      <c r="G3842" s="2" t="n">
        <f>HYPERLINK("https://patentcenter.uspto.gov/applications/14614133","Patent Center")</f>
        <v>0.0</v>
      </c>
      <c r="H3842" s="2" t="n">
        <f>HYPERLINK("https://worldwide.espacenet.com/patent/search?q=US9463194","Espacenet")</f>
        <v>0.0</v>
      </c>
      <c r="I3842" s="2" t="n">
        <f>HYPERLINK("https://ppubs.uspto.gov/pubwebapp/external.html?q=9463194.pn.","USPTO")</f>
        <v>0.0</v>
      </c>
      <c r="J3842" s="2" t="n">
        <f>HYPERLINK("https://image-ppubs.uspto.gov/dirsearch-public/print/downloadPdf/9463194","USPTO PDF")</f>
        <v>0.0</v>
      </c>
      <c r="K3842" s="2" t="n">
        <f>HYPERLINK("https://sectors.patentforecast.com/pmd/US9463194","PMD")</f>
        <v>0.0</v>
      </c>
      <c r="L3842" s="2" t="n">
        <f>HYPERLINK("https://globaldossier.uspto.gov/result/patent/US/9463194/1","US9463194")</f>
        <v>0.0</v>
      </c>
      <c r="M3842" t="s">
        <v>20185</v>
      </c>
      <c r="N3842" t="s">
        <v>664</v>
      </c>
      <c r="O3842" t="s">
        <v>665</v>
      </c>
      <c r="P3842" t="s">
        <v>24214</v>
      </c>
      <c r="Q3842" s="3" t="n">
        <v>42039.0</v>
      </c>
      <c r="R3842" s="3" t="n">
        <v>42654.0</v>
      </c>
      <c r="S3842" s="3" t="n">
        <v>43952.459910335645</v>
      </c>
      <c r="T3842" s="3" t="n">
        <v>44638.662781747684</v>
      </c>
      <c r="U3842" t="s">
        <v>24215</v>
      </c>
      <c r="V3842" t="s">
        <v>20188</v>
      </c>
    </row>
    <row r="3843">
      <c r="A3843" t="s">
        <v>23557</v>
      </c>
      <c r="B3843" t="s">
        <v>24216</v>
      </c>
      <c r="C3843" t="s">
        <v>24</v>
      </c>
      <c r="D3843" t="s">
        <v>25</v>
      </c>
      <c r="E3843" t="s">
        <v>23701</v>
      </c>
      <c r="F3843" s="2" t="n">
        <f>HYPERLINK("https://patents.google.com/patent/US9460268","Google")</f>
        <v>0.0</v>
      </c>
      <c r="G3843" s="2" t="n">
        <f>HYPERLINK("https://patentcenter.uspto.gov/applications/14479245","Patent Center")</f>
        <v>0.0</v>
      </c>
      <c r="H3843" s="2" t="n">
        <f>HYPERLINK("https://worldwide.espacenet.com/patent/search?q=US9460268","Espacenet")</f>
        <v>0.0</v>
      </c>
      <c r="I3843" s="2" t="n">
        <f>HYPERLINK("https://ppubs.uspto.gov/pubwebapp/external.html?q=9460268.pn.","USPTO")</f>
        <v>0.0</v>
      </c>
      <c r="J3843" s="2" t="n">
        <f>HYPERLINK("https://image-ppubs.uspto.gov/dirsearch-public/print/downloadPdf/9460268","USPTO PDF")</f>
        <v>0.0</v>
      </c>
      <c r="K3843" s="2" t="n">
        <f>HYPERLINK("https://sectors.patentforecast.com/pmd/US9460268","PMD")</f>
        <v>0.0</v>
      </c>
      <c r="L3843" s="2" t="n">
        <f>HYPERLINK("https://globaldossier.uspto.gov/result/patent/US/9460268/1","US9460268")</f>
        <v>0.0</v>
      </c>
      <c r="M3843" t="s">
        <v>20390</v>
      </c>
      <c r="N3843" t="s">
        <v>3621</v>
      </c>
      <c r="O3843" t="s">
        <v>3622</v>
      </c>
      <c r="P3843" t="s">
        <v>24217</v>
      </c>
      <c r="Q3843" s="3" t="n">
        <v>41887.0</v>
      </c>
      <c r="R3843" s="3" t="n">
        <v>42647.0</v>
      </c>
      <c r="S3843" s="3" t="n">
        <v>43906.37291284722</v>
      </c>
      <c r="T3843" s="3" t="n">
        <v>43958.41062627315</v>
      </c>
      <c r="U3843" t="s">
        <v>24218</v>
      </c>
      <c r="V3843" t="s">
        <v>16602</v>
      </c>
    </row>
    <row r="3844">
      <c r="A3844" t="s">
        <v>23557</v>
      </c>
      <c r="B3844" t="s">
        <v>24219</v>
      </c>
      <c r="C3844" t="s">
        <v>24</v>
      </c>
      <c r="D3844" t="s">
        <v>25</v>
      </c>
      <c r="E3844" t="s">
        <v>24220</v>
      </c>
      <c r="F3844" s="2" t="n">
        <f>HYPERLINK("https://patents.google.com/patent/US9460263","Google")</f>
        <v>0.0</v>
      </c>
      <c r="G3844" s="2" t="n">
        <f>HYPERLINK("https://patentcenter.uspto.gov/applications/14511753","Patent Center")</f>
        <v>0.0</v>
      </c>
      <c r="H3844" s="2" t="n">
        <f>HYPERLINK("https://worldwide.espacenet.com/patent/search?q=US9460263","Espacenet")</f>
        <v>0.0</v>
      </c>
      <c r="I3844" s="2" t="n">
        <f>HYPERLINK("https://ppubs.uspto.gov/pubwebapp/external.html?q=9460263.pn.","USPTO")</f>
        <v>0.0</v>
      </c>
      <c r="J3844" s="2" t="n">
        <f>HYPERLINK("https://image-ppubs.uspto.gov/dirsearch-public/print/downloadPdf/9460263","USPTO PDF")</f>
        <v>0.0</v>
      </c>
      <c r="K3844" s="2" t="n">
        <f>HYPERLINK("https://sectors.patentforecast.com/pmd/US9460263","PMD")</f>
        <v>0.0</v>
      </c>
      <c r="L3844" s="2" t="n">
        <f>HYPERLINK("https://globaldossier.uspto.gov/result/patent/US/9460263/1","US9460263")</f>
        <v>0.0</v>
      </c>
      <c r="M3844" t="s">
        <v>20368</v>
      </c>
      <c r="N3844" t="s">
        <v>3621</v>
      </c>
      <c r="O3844" t="s">
        <v>3622</v>
      </c>
      <c r="P3844" t="s">
        <v>24221</v>
      </c>
      <c r="Q3844" s="3" t="n">
        <v>41922.0</v>
      </c>
      <c r="R3844" s="3" t="n">
        <v>42647.0</v>
      </c>
      <c r="S3844" s="3" t="n">
        <v>43266.45735469907</v>
      </c>
      <c r="T3844" s="3" t="n">
        <v>43903.49497353009</v>
      </c>
      <c r="U3844" t="s">
        <v>24222</v>
      </c>
      <c r="V3844" t="s">
        <v>3625</v>
      </c>
    </row>
    <row r="3845">
      <c r="A3845" t="s">
        <v>23557</v>
      </c>
      <c r="B3845" t="s">
        <v>24223</v>
      </c>
      <c r="C3845" t="s">
        <v>24</v>
      </c>
      <c r="D3845" t="s">
        <v>51</v>
      </c>
      <c r="E3845" t="s">
        <v>24224</v>
      </c>
      <c r="F3845" s="2" t="n">
        <f>HYPERLINK("https://patents.google.com/patent/US9459253","Google")</f>
        <v>0.0</v>
      </c>
      <c r="G3845" s="2" t="n">
        <f>HYPERLINK("https://patentcenter.uspto.gov/applications/13516150","Patent Center")</f>
        <v>0.0</v>
      </c>
      <c r="H3845" s="2" t="n">
        <f>HYPERLINK("https://worldwide.espacenet.com/patent/search?q=US9459253","Espacenet")</f>
        <v>0.0</v>
      </c>
      <c r="I3845" s="2" t="n">
        <f>HYPERLINK("https://ppubs.uspto.gov/pubwebapp/external.html?q=9459253.pn.","USPTO")</f>
        <v>0.0</v>
      </c>
      <c r="J3845" s="2" t="n">
        <f>HYPERLINK("https://image-ppubs.uspto.gov/dirsearch-public/print/downloadPdf/9459253","USPTO PDF")</f>
        <v>0.0</v>
      </c>
      <c r="K3845" s="2" t="n">
        <f>HYPERLINK("https://sectors.patentforecast.com/pmd/US9459253","PMD")</f>
        <v>0.0</v>
      </c>
      <c r="L3845" s="2" t="n">
        <f>HYPERLINK("https://globaldossier.uspto.gov/result/patent/US/9459253/1","US9459253")</f>
        <v>0.0</v>
      </c>
      <c r="M3845" t="s">
        <v>21295</v>
      </c>
      <c r="N3845" t="s">
        <v>21296</v>
      </c>
      <c r="O3845" t="s">
        <v>21297</v>
      </c>
      <c r="P3845" t="s">
        <v>24225</v>
      </c>
      <c r="Q3845" s="3" t="n">
        <v>40533.0</v>
      </c>
      <c r="R3845" s="3" t="n">
        <v>42647.0</v>
      </c>
      <c r="S3845" s="3" t="n">
        <v>43906.37291284722</v>
      </c>
      <c r="T3845" s="3" t="n">
        <v>43950.54729717592</v>
      </c>
      <c r="U3845" t="s">
        <v>24226</v>
      </c>
      <c r="V3845" t="s">
        <v>21300</v>
      </c>
    </row>
    <row r="3846">
      <c r="A3846" t="s">
        <v>23557</v>
      </c>
      <c r="B3846" t="s">
        <v>24227</v>
      </c>
      <c r="C3846" t="s">
        <v>60</v>
      </c>
      <c r="D3846" t="s">
        <v>61</v>
      </c>
      <c r="E3846" t="s">
        <v>24228</v>
      </c>
      <c r="F3846" s="2" t="n">
        <f>HYPERLINK("https://patents.google.com/patent/US9458159","Google")</f>
        <v>0.0</v>
      </c>
      <c r="G3846" s="2" t="n">
        <f>HYPERLINK("https://patentcenter.uspto.gov/applications/14329697","Patent Center")</f>
        <v>0.0</v>
      </c>
      <c r="H3846" s="2" t="n">
        <f>HYPERLINK("https://worldwide.espacenet.com/patent/search?q=US9458159","Espacenet")</f>
        <v>0.0</v>
      </c>
      <c r="I3846" s="2" t="n">
        <f>HYPERLINK("https://ppubs.uspto.gov/pubwebapp/external.html?q=9458159.pn.","USPTO")</f>
        <v>0.0</v>
      </c>
      <c r="J3846" s="2" t="n">
        <f>HYPERLINK("https://image-ppubs.uspto.gov/dirsearch-public/print/downloadPdf/9458159","USPTO PDF")</f>
        <v>0.0</v>
      </c>
      <c r="K3846" s="2" t="n">
        <f>HYPERLINK("https://sectors.patentforecast.com/pmd/US9458159","PMD")</f>
        <v>0.0</v>
      </c>
      <c r="L3846" s="2" t="n">
        <f>HYPERLINK("https://globaldossier.uspto.gov/result/patent/US/9458159/1","US9458159")</f>
        <v>0.0</v>
      </c>
      <c r="M3846" t="s">
        <v>24229</v>
      </c>
      <c r="N3846" t="s">
        <v>664</v>
      </c>
      <c r="O3846" t="s">
        <v>665</v>
      </c>
      <c r="P3846" t="s">
        <v>24230</v>
      </c>
      <c r="Q3846" s="3" t="n">
        <v>41831.0</v>
      </c>
      <c r="R3846" s="3" t="n">
        <v>42647.0</v>
      </c>
      <c r="S3846" s="3" t="n">
        <v>43952.459910335645</v>
      </c>
      <c r="T3846" s="3" t="n">
        <v>44638.65579662037</v>
      </c>
      <c r="U3846" t="s">
        <v>24231</v>
      </c>
      <c r="V3846" t="s">
        <v>24232</v>
      </c>
    </row>
    <row r="3847">
      <c r="A3847" t="s">
        <v>23557</v>
      </c>
      <c r="B3847" t="s">
        <v>24233</v>
      </c>
      <c r="C3847" t="s">
        <v>60</v>
      </c>
      <c r="D3847" t="s">
        <v>61</v>
      </c>
      <c r="E3847" t="s">
        <v>23292</v>
      </c>
      <c r="F3847" s="2" t="n">
        <f>HYPERLINK("https://patents.google.com/patent/US9457036","Google")</f>
        <v>0.0</v>
      </c>
      <c r="G3847" s="2" t="n">
        <f>HYPERLINK("https://patentcenter.uspto.gov/applications/14523758","Patent Center")</f>
        <v>0.0</v>
      </c>
      <c r="H3847" s="2" t="n">
        <f>HYPERLINK("https://worldwide.espacenet.com/patent/search?q=US9457036","Espacenet")</f>
        <v>0.0</v>
      </c>
      <c r="I3847" s="2" t="n">
        <f>HYPERLINK("https://ppubs.uspto.gov/pubwebapp/external.html?q=9457036.pn.","USPTO")</f>
        <v>0.0</v>
      </c>
      <c r="J3847" s="2" t="n">
        <f>HYPERLINK("https://image-ppubs.uspto.gov/dirsearch-public/print/downloadPdf/9457036","USPTO PDF")</f>
        <v>0.0</v>
      </c>
      <c r="K3847" s="2" t="n">
        <f>HYPERLINK("https://sectors.patentforecast.com/pmd/US9457036","PMD")</f>
        <v>0.0</v>
      </c>
      <c r="L3847" s="2" t="n">
        <f>HYPERLINK("https://globaldossier.uspto.gov/result/patent/US/9457036/1","US9457036")</f>
        <v>0.0</v>
      </c>
      <c r="M3847" t="s">
        <v>20357</v>
      </c>
      <c r="N3847" t="s">
        <v>664</v>
      </c>
      <c r="O3847" t="s">
        <v>665</v>
      </c>
      <c r="P3847" t="s">
        <v>23954</v>
      </c>
      <c r="Q3847" s="3" t="n">
        <v>41936.0</v>
      </c>
      <c r="R3847" s="3" t="n">
        <v>42647.0</v>
      </c>
      <c r="S3847" s="3" t="n">
        <v>43952.459910335645</v>
      </c>
      <c r="T3847" s="3" t="n">
        <v>44638.65271974537</v>
      </c>
      <c r="U3847" t="s">
        <v>24234</v>
      </c>
      <c r="V3847" t="s">
        <v>20355</v>
      </c>
    </row>
    <row r="3848">
      <c r="A3848" t="s">
        <v>23557</v>
      </c>
      <c r="B3848" t="s">
        <v>24235</v>
      </c>
      <c r="C3848" t="s">
        <v>60</v>
      </c>
      <c r="D3848" t="s">
        <v>61</v>
      </c>
      <c r="E3848" t="s">
        <v>22432</v>
      </c>
      <c r="F3848" s="2" t="n">
        <f>HYPERLINK("https://patents.google.com/patent/US9457035","Google")</f>
        <v>0.0</v>
      </c>
      <c r="G3848" s="2" t="n">
        <f>HYPERLINK("https://patentcenter.uspto.gov/applications/14178237","Patent Center")</f>
        <v>0.0</v>
      </c>
      <c r="H3848" s="2" t="n">
        <f>HYPERLINK("https://worldwide.espacenet.com/patent/search?q=US9457035","Espacenet")</f>
        <v>0.0</v>
      </c>
      <c r="I3848" s="2" t="n">
        <f>HYPERLINK("https://ppubs.uspto.gov/pubwebapp/external.html?q=9457035.pn.","USPTO")</f>
        <v>0.0</v>
      </c>
      <c r="J3848" s="2" t="n">
        <f>HYPERLINK("https://image-ppubs.uspto.gov/dirsearch-public/print/downloadPdf/9457035","USPTO PDF")</f>
        <v>0.0</v>
      </c>
      <c r="K3848" s="2" t="n">
        <f>HYPERLINK("https://sectors.patentforecast.com/pmd/US9457035","PMD")</f>
        <v>0.0</v>
      </c>
      <c r="L3848" s="2" t="n">
        <f>HYPERLINK("https://globaldossier.uspto.gov/result/patent/US/9457035/1","US9457035")</f>
        <v>0.0</v>
      </c>
      <c r="M3848" t="s">
        <v>20568</v>
      </c>
      <c r="N3848" t="s">
        <v>664</v>
      </c>
      <c r="O3848" t="s">
        <v>665</v>
      </c>
      <c r="P3848" t="s">
        <v>24123</v>
      </c>
      <c r="Q3848" s="3" t="n">
        <v>41681.0</v>
      </c>
      <c r="R3848" s="3" t="n">
        <v>42647.0</v>
      </c>
      <c r="S3848" s="3" t="n">
        <v>43952.459910335645</v>
      </c>
      <c r="T3848" s="3" t="n">
        <v>44638.65271974537</v>
      </c>
      <c r="U3848" t="s">
        <v>24236</v>
      </c>
      <c r="V3848" t="s">
        <v>17358</v>
      </c>
    </row>
    <row r="3849">
      <c r="A3849" t="s">
        <v>23557</v>
      </c>
      <c r="B3849" t="s">
        <v>24237</v>
      </c>
      <c r="C3849" t="s">
        <v>132</v>
      </c>
      <c r="D3849" t="s">
        <v>1265</v>
      </c>
      <c r="E3849" t="s">
        <v>24238</v>
      </c>
      <c r="F3849" s="2" t="n">
        <f>HYPERLINK("https://patents.google.com/patent/US9452210","Google")</f>
        <v>0.0</v>
      </c>
      <c r="G3849" s="2" t="n">
        <f>HYPERLINK("https://patentcenter.uspto.gov/applications/13734886","Patent Center")</f>
        <v>0.0</v>
      </c>
      <c r="H3849" s="2" t="n">
        <f>HYPERLINK("https://worldwide.espacenet.com/patent/search?q=US9452210","Espacenet")</f>
        <v>0.0</v>
      </c>
      <c r="I3849" s="2" t="n">
        <f>HYPERLINK("https://ppubs.uspto.gov/pubwebapp/external.html?q=9452210.pn.","USPTO")</f>
        <v>0.0</v>
      </c>
      <c r="J3849" s="2" t="n">
        <f>HYPERLINK("https://image-ppubs.uspto.gov/dirsearch-public/print/downloadPdf/9452210","USPTO PDF")</f>
        <v>0.0</v>
      </c>
      <c r="K3849" s="2" t="n">
        <f>HYPERLINK("https://sectors.patentforecast.com/pmd/US9452210","PMD")</f>
        <v>0.0</v>
      </c>
      <c r="L3849" s="2" t="n">
        <f>HYPERLINK("https://globaldossier.uspto.gov/result/patent/US/9452210/1","US9452210")</f>
        <v>0.0</v>
      </c>
      <c r="M3849" t="s">
        <v>24239</v>
      </c>
      <c r="N3849" t="s">
        <v>24240</v>
      </c>
      <c r="O3849" t="s">
        <v>24241</v>
      </c>
      <c r="P3849" t="s">
        <v>24242</v>
      </c>
      <c r="Q3849" s="3" t="n">
        <v>41278.0</v>
      </c>
      <c r="R3849" s="3" t="n">
        <v>42640.0</v>
      </c>
      <c r="S3849" s="3" t="n">
        <v>43973.46879216435</v>
      </c>
      <c r="T3849" s="3" t="n">
        <v>44545.6145546412</v>
      </c>
      <c r="U3849" t="s">
        <v>24243</v>
      </c>
      <c r="V3849" t="s">
        <v>24244</v>
      </c>
    </row>
    <row r="3850">
      <c r="A3850" t="s">
        <v>23557</v>
      </c>
      <c r="B3850" t="s">
        <v>24245</v>
      </c>
      <c r="C3850" t="s">
        <v>132</v>
      </c>
      <c r="D3850" t="s">
        <v>1265</v>
      </c>
      <c r="E3850" t="s">
        <v>24246</v>
      </c>
      <c r="F3850" s="2" t="n">
        <f>HYPERLINK("https://patents.google.com/patent/US9446143","Google")</f>
        <v>0.0</v>
      </c>
      <c r="G3850" s="2" t="n">
        <f>HYPERLINK("https://patentcenter.uspto.gov/applications/14139293","Patent Center")</f>
        <v>0.0</v>
      </c>
      <c r="H3850" s="2" t="n">
        <f>HYPERLINK("https://worldwide.espacenet.com/patent/search?q=US9446143","Espacenet")</f>
        <v>0.0</v>
      </c>
      <c r="I3850" s="2" t="n">
        <f>HYPERLINK("https://ppubs.uspto.gov/pubwebapp/external.html?q=9446143.pn.","USPTO")</f>
        <v>0.0</v>
      </c>
      <c r="J3850" s="2" t="n">
        <f>HYPERLINK("https://image-ppubs.uspto.gov/dirsearch-public/print/downloadPdf/9446143","USPTO PDF")</f>
        <v>0.0</v>
      </c>
      <c r="K3850" s="2" t="n">
        <f>HYPERLINK("https://sectors.patentforecast.com/pmd/US9446143","PMD")</f>
        <v>0.0</v>
      </c>
      <c r="L3850" s="2" t="n">
        <f>HYPERLINK("https://globaldossier.uspto.gov/result/patent/US/9446143/1","US9446143")</f>
        <v>0.0</v>
      </c>
      <c r="M3850" t="s">
        <v>24247</v>
      </c>
      <c r="N3850" t="s">
        <v>4886</v>
      </c>
      <c r="O3850" t="s">
        <v>4887</v>
      </c>
      <c r="P3850" t="s">
        <v>24248</v>
      </c>
      <c r="Q3850" s="3" t="n">
        <v>41631.0</v>
      </c>
      <c r="R3850" s="3" t="n">
        <v>42633.0</v>
      </c>
      <c r="S3850" s="3" t="n">
        <v>43973.46879216435</v>
      </c>
      <c r="T3850" s="3" t="n">
        <v>44545.61287538194</v>
      </c>
      <c r="U3850" t="s">
        <v>24249</v>
      </c>
      <c r="V3850" t="s">
        <v>24250</v>
      </c>
    </row>
    <row r="3851">
      <c r="A3851" t="s">
        <v>23557</v>
      </c>
      <c r="B3851" t="s">
        <v>24251</v>
      </c>
      <c r="C3851" t="s">
        <v>132</v>
      </c>
      <c r="D3851" t="s">
        <v>1265</v>
      </c>
      <c r="E3851" t="s">
        <v>24252</v>
      </c>
      <c r="F3851" s="2" t="n">
        <f>HYPERLINK("https://patents.google.com/patent/US9446116","Google")</f>
        <v>0.0</v>
      </c>
      <c r="G3851" s="2" t="n">
        <f>HYPERLINK("https://patentcenter.uspto.gov/applications/13906232","Patent Center")</f>
        <v>0.0</v>
      </c>
      <c r="H3851" s="2" t="n">
        <f>HYPERLINK("https://worldwide.espacenet.com/patent/search?q=US9446116","Espacenet")</f>
        <v>0.0</v>
      </c>
      <c r="I3851" s="2" t="n">
        <f>HYPERLINK("https://ppubs.uspto.gov/pubwebapp/external.html?q=9446116.pn.","USPTO")</f>
        <v>0.0</v>
      </c>
      <c r="J3851" s="2" t="n">
        <f>HYPERLINK("https://image-ppubs.uspto.gov/dirsearch-public/print/downloadPdf/9446116","USPTO PDF")</f>
        <v>0.0</v>
      </c>
      <c r="K3851" s="2" t="n">
        <f>HYPERLINK("https://sectors.patentforecast.com/pmd/US9446116","PMD")</f>
        <v>0.0</v>
      </c>
      <c r="L3851" s="2" t="n">
        <f>HYPERLINK("https://globaldossier.uspto.gov/result/patent/US/9446116/1","US9446116")</f>
        <v>0.0</v>
      </c>
      <c r="M3851" t="s">
        <v>24253</v>
      </c>
      <c r="N3851" t="s">
        <v>24254</v>
      </c>
      <c r="O3851" t="s">
        <v>24255</v>
      </c>
      <c r="P3851" t="s">
        <v>24256</v>
      </c>
      <c r="Q3851" s="3" t="n">
        <v>41424.0</v>
      </c>
      <c r="R3851" s="3" t="n">
        <v>42633.0</v>
      </c>
      <c r="S3851" s="3" t="n">
        <v>43973.46879216435</v>
      </c>
      <c r="T3851" s="3" t="n">
        <v>44545.685864756946</v>
      </c>
      <c r="U3851" t="s">
        <v>24257</v>
      </c>
      <c r="V3851" t="s">
        <v>24258</v>
      </c>
    </row>
    <row r="3852">
      <c r="A3852" t="s">
        <v>23557</v>
      </c>
      <c r="B3852" t="s">
        <v>24259</v>
      </c>
      <c r="C3852" t="s">
        <v>132</v>
      </c>
      <c r="D3852" t="s">
        <v>2629</v>
      </c>
      <c r="E3852" t="s">
        <v>24260</v>
      </c>
      <c r="F3852" s="2" t="n">
        <f>HYPERLINK("https://patents.google.com/patent/US9446114","Google")</f>
        <v>0.0</v>
      </c>
      <c r="G3852" s="2" t="n">
        <f>HYPERLINK("https://patentcenter.uspto.gov/applications/14232110","Patent Center")</f>
        <v>0.0</v>
      </c>
      <c r="H3852" s="2" t="n">
        <f>HYPERLINK("https://worldwide.espacenet.com/patent/search?q=US9446114","Espacenet")</f>
        <v>0.0</v>
      </c>
      <c r="I3852" s="2" t="n">
        <f>HYPERLINK("https://ppubs.uspto.gov/pubwebapp/external.html?q=9446114.pn.","USPTO")</f>
        <v>0.0</v>
      </c>
      <c r="J3852" s="2" t="n">
        <f>HYPERLINK("https://image-ppubs.uspto.gov/dirsearch-public/print/downloadPdf/9446114","USPTO PDF")</f>
        <v>0.0</v>
      </c>
      <c r="K3852" s="2" t="n">
        <f>HYPERLINK("https://sectors.patentforecast.com/pmd/US9446114","PMD")</f>
        <v>0.0</v>
      </c>
      <c r="L3852" s="2" t="n">
        <f>HYPERLINK("https://globaldossier.uspto.gov/result/patent/US/9446114/1","US9446114")</f>
        <v>0.0</v>
      </c>
      <c r="M3852" t="s">
        <v>24261</v>
      </c>
      <c r="N3852" t="s">
        <v>10151</v>
      </c>
      <c r="O3852" t="s">
        <v>10152</v>
      </c>
      <c r="P3852" t="s">
        <v>24262</v>
      </c>
      <c r="Q3852" s="3" t="n">
        <v>41101.0</v>
      </c>
      <c r="R3852" s="3" t="n">
        <v>42633.0</v>
      </c>
      <c r="S3852" s="3" t="n">
        <v>43936.46037523148</v>
      </c>
      <c r="T3852" s="3" t="n">
        <v>44543.66100637731</v>
      </c>
      <c r="U3852" t="s">
        <v>24263</v>
      </c>
      <c r="V3852" t="s">
        <v>24264</v>
      </c>
    </row>
    <row r="3853">
      <c r="A3853" t="s">
        <v>23557</v>
      </c>
      <c r="B3853" t="s">
        <v>24265</v>
      </c>
      <c r="C3853" t="s">
        <v>132</v>
      </c>
      <c r="D3853" t="s">
        <v>142</v>
      </c>
      <c r="E3853" t="s">
        <v>24266</v>
      </c>
      <c r="F3853" s="2" t="n">
        <f>HYPERLINK("https://patents.google.com/patent/US9446112","Google")</f>
        <v>0.0</v>
      </c>
      <c r="G3853" s="2" t="n">
        <f>HYPERLINK("https://patentcenter.uspto.gov/applications/14232048","Patent Center")</f>
        <v>0.0</v>
      </c>
      <c r="H3853" s="2" t="n">
        <f>HYPERLINK("https://worldwide.espacenet.com/patent/search?q=US9446112","Espacenet")</f>
        <v>0.0</v>
      </c>
      <c r="I3853" s="2" t="n">
        <f>HYPERLINK("https://ppubs.uspto.gov/pubwebapp/external.html?q=9446112.pn.","USPTO")</f>
        <v>0.0</v>
      </c>
      <c r="J3853" s="2" t="n">
        <f>HYPERLINK("https://image-ppubs.uspto.gov/dirsearch-public/print/downloadPdf/9446112","USPTO PDF")</f>
        <v>0.0</v>
      </c>
      <c r="K3853" s="2" t="n">
        <f>HYPERLINK("https://sectors.patentforecast.com/pmd/US9446112","PMD")</f>
        <v>0.0</v>
      </c>
      <c r="L3853" s="2" t="n">
        <f>HYPERLINK("https://globaldossier.uspto.gov/result/patent/US/9446112/1","US9446112")</f>
        <v>0.0</v>
      </c>
      <c r="M3853" t="s">
        <v>20520</v>
      </c>
      <c r="N3853" t="s">
        <v>7854</v>
      </c>
      <c r="O3853" t="s">
        <v>7855</v>
      </c>
      <c r="P3853" t="s">
        <v>24267</v>
      </c>
      <c r="Q3853" s="3" t="n">
        <v>41102.0</v>
      </c>
      <c r="R3853" s="3" t="n">
        <v>42633.0</v>
      </c>
      <c r="S3853" s="3" t="n">
        <v>43936.46037523148</v>
      </c>
      <c r="T3853" s="3" t="n">
        <v>44543.63912775463</v>
      </c>
      <c r="U3853" t="s">
        <v>24268</v>
      </c>
      <c r="V3853" t="s">
        <v>20523</v>
      </c>
    </row>
    <row r="3854">
      <c r="A3854" t="s">
        <v>23557</v>
      </c>
      <c r="B3854" t="s">
        <v>24269</v>
      </c>
      <c r="C3854" t="s">
        <v>132</v>
      </c>
      <c r="D3854" t="s">
        <v>1265</v>
      </c>
      <c r="E3854" t="s">
        <v>24270</v>
      </c>
      <c r="F3854" s="2" t="n">
        <f>HYPERLINK("https://patents.google.com/patent/US9441019","Google")</f>
        <v>0.0</v>
      </c>
      <c r="G3854" s="2" t="n">
        <f>HYPERLINK("https://patentcenter.uspto.gov/applications/14346849","Patent Center")</f>
        <v>0.0</v>
      </c>
      <c r="H3854" s="2" t="n">
        <f>HYPERLINK("https://worldwide.espacenet.com/patent/search?q=US9441019","Espacenet")</f>
        <v>0.0</v>
      </c>
      <c r="I3854" s="2" t="n">
        <f>HYPERLINK("https://ppubs.uspto.gov/pubwebapp/external.html?q=9441019.pn.","USPTO")</f>
        <v>0.0</v>
      </c>
      <c r="J3854" s="2" t="n">
        <f>HYPERLINK("https://image-ppubs.uspto.gov/dirsearch-public/print/downloadPdf/9441019","USPTO PDF")</f>
        <v>0.0</v>
      </c>
      <c r="K3854" s="2" t="n">
        <f>HYPERLINK("https://sectors.patentforecast.com/pmd/US9441019","PMD")</f>
        <v>0.0</v>
      </c>
      <c r="L3854" s="2" t="n">
        <f>HYPERLINK("https://globaldossier.uspto.gov/result/patent/US/9441019/1","US9441019")</f>
        <v>0.0</v>
      </c>
      <c r="M3854" t="s">
        <v>24271</v>
      </c>
      <c r="N3854" t="s">
        <v>19264</v>
      </c>
      <c r="O3854" t="s">
        <v>19264</v>
      </c>
      <c r="P3854" t="s">
        <v>24272</v>
      </c>
      <c r="Q3854" s="3" t="n">
        <v>41176.0</v>
      </c>
      <c r="R3854" s="3" t="n">
        <v>42626.0</v>
      </c>
      <c r="S3854" s="3" t="n">
        <v>43973.46879216435</v>
      </c>
      <c r="T3854" s="3" t="n">
        <v>44545.61347390046</v>
      </c>
      <c r="U3854" t="s">
        <v>24273</v>
      </c>
      <c r="V3854" t="s">
        <v>24274</v>
      </c>
    </row>
    <row r="3855">
      <c r="A3855" t="s">
        <v>23557</v>
      </c>
      <c r="B3855" t="s">
        <v>24275</v>
      </c>
      <c r="C3855" t="s">
        <v>60</v>
      </c>
      <c r="D3855" t="s">
        <v>61</v>
      </c>
      <c r="E3855" t="s">
        <v>24276</v>
      </c>
      <c r="F3855" s="2" t="n">
        <f>HYPERLINK("https://patents.google.com/patent/US9440991","Google")</f>
        <v>0.0</v>
      </c>
      <c r="G3855" s="2" t="n">
        <f>HYPERLINK("https://patentcenter.uspto.gov/applications/14576143","Patent Center")</f>
        <v>0.0</v>
      </c>
      <c r="H3855" s="2" t="n">
        <f>HYPERLINK("https://worldwide.espacenet.com/patent/search?q=US9440991","Espacenet")</f>
        <v>0.0</v>
      </c>
      <c r="I3855" s="2" t="n">
        <f>HYPERLINK("https://ppubs.uspto.gov/pubwebapp/external.html?q=9440991.pn.","USPTO")</f>
        <v>0.0</v>
      </c>
      <c r="J3855" s="2" t="n">
        <f>HYPERLINK("https://image-ppubs.uspto.gov/dirsearch-public/print/downloadPdf/9440991","USPTO PDF")</f>
        <v>0.0</v>
      </c>
      <c r="K3855" s="2" t="n">
        <f>HYPERLINK("https://sectors.patentforecast.com/pmd/US9440991","PMD")</f>
        <v>0.0</v>
      </c>
      <c r="L3855" s="2" t="n">
        <f>HYPERLINK("https://globaldossier.uspto.gov/result/patent/US/9440991/1","US9440991")</f>
        <v>0.0</v>
      </c>
      <c r="M3855" t="s">
        <v>20251</v>
      </c>
      <c r="N3855" t="s">
        <v>664</v>
      </c>
      <c r="O3855" t="s">
        <v>665</v>
      </c>
      <c r="P3855" t="s">
        <v>24277</v>
      </c>
      <c r="Q3855" s="3" t="n">
        <v>41991.0</v>
      </c>
      <c r="R3855" s="3" t="n">
        <v>42626.0</v>
      </c>
      <c r="S3855" s="3" t="n">
        <v>43950.647372685184</v>
      </c>
      <c r="T3855" s="3" t="n">
        <v>44638.65271974537</v>
      </c>
      <c r="U3855" t="s">
        <v>24278</v>
      </c>
      <c r="V3855" t="s">
        <v>24279</v>
      </c>
    </row>
    <row r="3856">
      <c r="A3856" t="s">
        <v>23557</v>
      </c>
      <c r="B3856" t="s">
        <v>24280</v>
      </c>
      <c r="C3856" t="s">
        <v>60</v>
      </c>
      <c r="D3856" t="s">
        <v>61</v>
      </c>
      <c r="E3856" t="s">
        <v>24281</v>
      </c>
      <c r="F3856" s="2" t="n">
        <f>HYPERLINK("https://patents.google.com/patent/US9433592","Google")</f>
        <v>0.0</v>
      </c>
      <c r="G3856" s="2" t="n">
        <f>HYPERLINK("https://patentcenter.uspto.gov/applications/13513877","Patent Center")</f>
        <v>0.0</v>
      </c>
      <c r="H3856" s="2" t="n">
        <f>HYPERLINK("https://worldwide.espacenet.com/patent/search?q=US9433592","Espacenet")</f>
        <v>0.0</v>
      </c>
      <c r="I3856" s="2" t="n">
        <f>HYPERLINK("https://ppubs.uspto.gov/pubwebapp/external.html?q=9433592.pn.","USPTO")</f>
        <v>0.0</v>
      </c>
      <c r="J3856" s="2" t="n">
        <f>HYPERLINK("https://image-ppubs.uspto.gov/dirsearch-public/print/downloadPdf/9433592","USPTO PDF")</f>
        <v>0.0</v>
      </c>
      <c r="K3856" s="2" t="n">
        <f>HYPERLINK("https://sectors.patentforecast.com/pmd/US9433592","PMD")</f>
        <v>0.0</v>
      </c>
      <c r="L3856" s="2" t="n">
        <f>HYPERLINK("https://globaldossier.uspto.gov/result/patent/US/9433592/1","US9433592")</f>
        <v>0.0</v>
      </c>
      <c r="M3856" t="s">
        <v>24282</v>
      </c>
      <c r="N3856" t="s">
        <v>24283</v>
      </c>
      <c r="O3856" t="s">
        <v>24284</v>
      </c>
      <c r="P3856" t="s">
        <v>24285</v>
      </c>
      <c r="Q3856" s="3" t="n">
        <v>40519.0</v>
      </c>
      <c r="R3856" s="3" t="n">
        <v>42619.0</v>
      </c>
      <c r="S3856" s="3" t="n">
        <v>43973.46879216435</v>
      </c>
      <c r="T3856" s="3" t="n">
        <v>44545.68655446759</v>
      </c>
      <c r="U3856" t="s">
        <v>24286</v>
      </c>
      <c r="V3856" t="s">
        <v>24287</v>
      </c>
    </row>
    <row r="3857">
      <c r="A3857" t="s">
        <v>23557</v>
      </c>
      <c r="B3857" t="s">
        <v>24288</v>
      </c>
      <c r="C3857" t="s">
        <v>60</v>
      </c>
      <c r="D3857" t="s">
        <v>61</v>
      </c>
      <c r="E3857" t="s">
        <v>24289</v>
      </c>
      <c r="F3857" s="2" t="n">
        <f>HYPERLINK("https://patents.google.com/patent/US9421252","Google")</f>
        <v>0.0</v>
      </c>
      <c r="G3857" s="2" t="n">
        <f>HYPERLINK("https://patentcenter.uspto.gov/applications/14172272","Patent Center")</f>
        <v>0.0</v>
      </c>
      <c r="H3857" s="2" t="n">
        <f>HYPERLINK("https://worldwide.espacenet.com/patent/search?q=US9421252","Espacenet")</f>
        <v>0.0</v>
      </c>
      <c r="I3857" s="2" t="n">
        <f>HYPERLINK("https://ppubs.uspto.gov/pubwebapp/external.html?q=9421252.pn.","USPTO")</f>
        <v>0.0</v>
      </c>
      <c r="J3857" s="2" t="n">
        <f>HYPERLINK("https://image-ppubs.uspto.gov/dirsearch-public/print/downloadPdf/9421252","USPTO PDF")</f>
        <v>0.0</v>
      </c>
      <c r="K3857" s="2" t="n">
        <f>HYPERLINK("https://sectors.patentforecast.com/pmd/US9421252","PMD")</f>
        <v>0.0</v>
      </c>
      <c r="L3857" s="2" t="n">
        <f>HYPERLINK("https://globaldossier.uspto.gov/result/patent/US/9421252/1","US9421252")</f>
        <v>0.0</v>
      </c>
      <c r="M3857" t="s">
        <v>24290</v>
      </c>
      <c r="N3857" t="s">
        <v>24291</v>
      </c>
      <c r="O3857" t="s">
        <v>24292</v>
      </c>
      <c r="P3857" t="s">
        <v>24293</v>
      </c>
      <c r="Q3857" s="3" t="n">
        <v>41674.0</v>
      </c>
      <c r="R3857" s="3" t="n">
        <v>42605.0</v>
      </c>
      <c r="S3857" s="3" t="n">
        <v>43973.46879216435</v>
      </c>
      <c r="T3857" s="3" t="n">
        <v>44545.61581484954</v>
      </c>
      <c r="U3857" t="s">
        <v>24294</v>
      </c>
      <c r="V3857" t="s">
        <v>24295</v>
      </c>
    </row>
    <row r="3858">
      <c r="A3858" t="s">
        <v>23557</v>
      </c>
      <c r="B3858" t="s">
        <v>24296</v>
      </c>
      <c r="C3858" t="s">
        <v>60</v>
      </c>
      <c r="D3858" t="s">
        <v>61</v>
      </c>
      <c r="E3858" t="s">
        <v>24297</v>
      </c>
      <c r="F3858" s="2" t="n">
        <f>HYPERLINK("https://patents.google.com/patent/US9415087","Google")</f>
        <v>0.0</v>
      </c>
      <c r="G3858" s="2" t="n">
        <f>HYPERLINK("https://patentcenter.uspto.gov/applications/14707356","Patent Center")</f>
        <v>0.0</v>
      </c>
      <c r="H3858" s="2" t="n">
        <f>HYPERLINK("https://worldwide.espacenet.com/patent/search?q=US9415087","Espacenet")</f>
        <v>0.0</v>
      </c>
      <c r="I3858" s="2" t="n">
        <f>HYPERLINK("https://ppubs.uspto.gov/pubwebapp/external.html?q=9415087.pn.","USPTO")</f>
        <v>0.0</v>
      </c>
      <c r="J3858" s="2" t="n">
        <f>HYPERLINK("https://image-ppubs.uspto.gov/dirsearch-public/print/downloadPdf/9415087","USPTO PDF")</f>
        <v>0.0</v>
      </c>
      <c r="K3858" s="2" t="n">
        <f>HYPERLINK("https://sectors.patentforecast.com/pmd/US9415087","PMD")</f>
        <v>0.0</v>
      </c>
      <c r="L3858" s="2" t="n">
        <f>HYPERLINK("https://globaldossier.uspto.gov/result/patent/US/9415087/1","US9415087")</f>
        <v>0.0</v>
      </c>
      <c r="M3858" t="s">
        <v>19789</v>
      </c>
      <c r="N3858" t="s">
        <v>19790</v>
      </c>
      <c r="O3858" t="s">
        <v>19790</v>
      </c>
      <c r="P3858" t="s">
        <v>24298</v>
      </c>
      <c r="Q3858" s="3" t="n">
        <v>42132.0</v>
      </c>
      <c r="R3858" s="3" t="n">
        <v>42598.0</v>
      </c>
      <c r="S3858" s="3" t="n">
        <v>43935.70415306713</v>
      </c>
      <c r="T3858" s="3" t="n">
        <v>43950.46300413195</v>
      </c>
      <c r="U3858" t="s">
        <v>24299</v>
      </c>
      <c r="V3858" t="s">
        <v>19793</v>
      </c>
    </row>
    <row r="3859">
      <c r="A3859" t="s">
        <v>23557</v>
      </c>
      <c r="B3859" t="s">
        <v>24300</v>
      </c>
      <c r="C3859" t="s">
        <v>60</v>
      </c>
      <c r="D3859" t="s">
        <v>61</v>
      </c>
      <c r="E3859" t="s">
        <v>23786</v>
      </c>
      <c r="F3859" s="2" t="n">
        <f>HYPERLINK("https://patents.google.com/patent/US9409891","Google")</f>
        <v>0.0</v>
      </c>
      <c r="G3859" s="2" t="n">
        <f>HYPERLINK("https://patentcenter.uspto.gov/applications/14313877","Patent Center")</f>
        <v>0.0</v>
      </c>
      <c r="H3859" s="2" t="n">
        <f>HYPERLINK("https://worldwide.espacenet.com/patent/search?q=US9409891","Espacenet")</f>
        <v>0.0</v>
      </c>
      <c r="I3859" s="2" t="n">
        <f>HYPERLINK("https://ppubs.uspto.gov/pubwebapp/external.html?q=9409891.pn.","USPTO")</f>
        <v>0.0</v>
      </c>
      <c r="J3859" s="2" t="n">
        <f>HYPERLINK("https://image-ppubs.uspto.gov/dirsearch-public/print/downloadPdf/9409891","USPTO PDF")</f>
        <v>0.0</v>
      </c>
      <c r="K3859" s="2" t="n">
        <f>HYPERLINK("https://sectors.patentforecast.com/pmd/US9409891","PMD")</f>
        <v>0.0</v>
      </c>
      <c r="L3859" s="2" t="n">
        <f>HYPERLINK("https://globaldossier.uspto.gov/result/patent/US/9409891/1","US9409891")</f>
        <v>0.0</v>
      </c>
      <c r="M3859" t="s">
        <v>20541</v>
      </c>
      <c r="N3859" t="s">
        <v>664</v>
      </c>
      <c r="O3859" t="s">
        <v>665</v>
      </c>
      <c r="P3859" t="s">
        <v>24301</v>
      </c>
      <c r="Q3859" s="3" t="n">
        <v>41814.0</v>
      </c>
      <c r="R3859" s="3" t="n">
        <v>42591.0</v>
      </c>
      <c r="S3859" s="3" t="n">
        <v>43957.45971019676</v>
      </c>
      <c r="T3859" s="3" t="n">
        <v>44638.65271974537</v>
      </c>
      <c r="U3859" t="s">
        <v>24302</v>
      </c>
      <c r="V3859" t="s">
        <v>24303</v>
      </c>
    </row>
    <row r="3860">
      <c r="A3860" t="s">
        <v>23557</v>
      </c>
      <c r="B3860" t="s">
        <v>24304</v>
      </c>
      <c r="C3860" t="s">
        <v>60</v>
      </c>
      <c r="D3860" t="s">
        <v>61</v>
      </c>
      <c r="E3860" t="s">
        <v>24305</v>
      </c>
      <c r="F3860" s="2" t="n">
        <f>HYPERLINK("https://patents.google.com/patent/US9408831","Google")</f>
        <v>0.0</v>
      </c>
      <c r="G3860" s="2" t="n">
        <f>HYPERLINK("https://patentcenter.uspto.gov/applications/13639848","Patent Center")</f>
        <v>0.0</v>
      </c>
      <c r="H3860" s="2" t="n">
        <f>HYPERLINK("https://worldwide.espacenet.com/patent/search?q=US9408831","Espacenet")</f>
        <v>0.0</v>
      </c>
      <c r="I3860" s="2" t="n">
        <f>HYPERLINK("https://ppubs.uspto.gov/pubwebapp/external.html?q=9408831.pn.","USPTO")</f>
        <v>0.0</v>
      </c>
      <c r="J3860" s="2" t="n">
        <f>HYPERLINK("https://image-ppubs.uspto.gov/dirsearch-public/print/downloadPdf/9408831","USPTO PDF")</f>
        <v>0.0</v>
      </c>
      <c r="K3860" s="2" t="n">
        <f>HYPERLINK("https://sectors.patentforecast.com/pmd/US9408831","PMD")</f>
        <v>0.0</v>
      </c>
      <c r="L3860" s="2" t="n">
        <f>HYPERLINK("https://globaldossier.uspto.gov/result/patent/US/9408831/1","US9408831")</f>
        <v>0.0</v>
      </c>
      <c r="M3860" t="s">
        <v>21197</v>
      </c>
      <c r="N3860" t="s">
        <v>21198</v>
      </c>
      <c r="O3860" t="s">
        <v>21199</v>
      </c>
      <c r="P3860" t="s">
        <v>24306</v>
      </c>
      <c r="Q3860" s="3" t="n">
        <v>40638.0</v>
      </c>
      <c r="R3860" s="3" t="n">
        <v>42591.0</v>
      </c>
      <c r="S3860" s="3" t="n">
        <v>43971.49080445602</v>
      </c>
      <c r="T3860" s="3" t="n">
        <v>44638.69760924768</v>
      </c>
      <c r="U3860" t="s">
        <v>24307</v>
      </c>
      <c r="V3860" t="s">
        <v>21202</v>
      </c>
    </row>
    <row r="3861">
      <c r="A3861" t="s">
        <v>23557</v>
      </c>
      <c r="B3861" t="s">
        <v>24308</v>
      </c>
      <c r="C3861" t="s">
        <v>24</v>
      </c>
      <c r="D3861" t="s">
        <v>69</v>
      </c>
      <c r="E3861" t="s">
        <v>19494</v>
      </c>
      <c r="F3861" s="2" t="n">
        <f>HYPERLINK("https://patents.google.com/patent/US9408559","Google")</f>
        <v>0.0</v>
      </c>
      <c r="G3861" s="2" t="n">
        <f>HYPERLINK("https://patentcenter.uspto.gov/applications/14078718","Patent Center")</f>
        <v>0.0</v>
      </c>
      <c r="H3861" s="2" t="n">
        <f>HYPERLINK("https://worldwide.espacenet.com/patent/search?q=US9408559","Espacenet")</f>
        <v>0.0</v>
      </c>
      <c r="I3861" s="2" t="n">
        <f>HYPERLINK("https://ppubs.uspto.gov/pubwebapp/external.html?q=9408559.pn.","USPTO")</f>
        <v>0.0</v>
      </c>
      <c r="J3861" s="2" t="n">
        <f>HYPERLINK("https://image-ppubs.uspto.gov/dirsearch-public/print/downloadPdf/9408559","USPTO PDF")</f>
        <v>0.0</v>
      </c>
      <c r="K3861" s="2" t="n">
        <f>HYPERLINK("https://sectors.patentforecast.com/pmd/US9408559","PMD")</f>
        <v>0.0</v>
      </c>
      <c r="L3861" s="2" t="n">
        <f>HYPERLINK("https://globaldossier.uspto.gov/result/patent/US/9408559/1","US9408559")</f>
        <v>0.0</v>
      </c>
      <c r="M3861" t="s">
        <v>24309</v>
      </c>
      <c r="N3861" t="s">
        <v>19496</v>
      </c>
      <c r="O3861" t="s">
        <v>19497</v>
      </c>
      <c r="P3861" t="s">
        <v>24310</v>
      </c>
      <c r="Q3861" s="3" t="n">
        <v>41591.0</v>
      </c>
      <c r="R3861" s="3" t="n">
        <v>42591.0</v>
      </c>
      <c r="S3861" s="3" t="n">
        <v>43973.46879216435</v>
      </c>
      <c r="T3861" s="3" t="n">
        <v>44545.66359420139</v>
      </c>
      <c r="U3861" t="s">
        <v>24311</v>
      </c>
      <c r="V3861" t="s">
        <v>19500</v>
      </c>
    </row>
    <row r="3862">
      <c r="A3862" t="s">
        <v>23557</v>
      </c>
      <c r="B3862" t="s">
        <v>24312</v>
      </c>
      <c r="C3862" t="s">
        <v>24</v>
      </c>
      <c r="D3862" t="s">
        <v>25</v>
      </c>
      <c r="E3862" t="s">
        <v>21513</v>
      </c>
      <c r="F3862" s="2" t="n">
        <f>HYPERLINK("https://patents.google.com/patent/US9406212","Google")</f>
        <v>0.0</v>
      </c>
      <c r="G3862" s="2" t="n">
        <f>HYPERLINK("https://patentcenter.uspto.gov/applications/12931294","Patent Center")</f>
        <v>0.0</v>
      </c>
      <c r="H3862" s="2" t="n">
        <f>HYPERLINK("https://worldwide.espacenet.com/patent/search?q=US9406212","Espacenet")</f>
        <v>0.0</v>
      </c>
      <c r="I3862" s="2" t="n">
        <f>HYPERLINK("https://ppubs.uspto.gov/pubwebapp/external.html?q=9406212.pn.","USPTO")</f>
        <v>0.0</v>
      </c>
      <c r="J3862" s="2" t="n">
        <f>HYPERLINK("https://image-ppubs.uspto.gov/dirsearch-public/print/downloadPdf/9406212","USPTO PDF")</f>
        <v>0.0</v>
      </c>
      <c r="K3862" s="2" t="n">
        <f>HYPERLINK("https://sectors.patentforecast.com/pmd/US9406212","PMD")</f>
        <v>0.0</v>
      </c>
      <c r="L3862" s="2" t="n">
        <f>HYPERLINK("https://globaldossier.uspto.gov/result/patent/US/9406212/1","US9406212")</f>
        <v>0.0</v>
      </c>
      <c r="M3862" t="s">
        <v>21514</v>
      </c>
      <c r="N3862" t="s">
        <v>21515</v>
      </c>
      <c r="O3862" t="s">
        <v>21516</v>
      </c>
      <c r="P3862" t="s">
        <v>24313</v>
      </c>
      <c r="Q3862" s="3" t="n">
        <v>40571.0</v>
      </c>
      <c r="R3862" s="3" t="n">
        <v>42584.0</v>
      </c>
      <c r="S3862" s="3" t="n">
        <v>43266.45735469907</v>
      </c>
      <c r="T3862" s="3" t="n">
        <v>43901.70557085648</v>
      </c>
      <c r="U3862" t="s">
        <v>24314</v>
      </c>
      <c r="V3862" t="s">
        <v>21519</v>
      </c>
    </row>
    <row r="3863">
      <c r="A3863" t="s">
        <v>23557</v>
      </c>
      <c r="B3863" t="s">
        <v>24315</v>
      </c>
      <c r="C3863" t="s">
        <v>132</v>
      </c>
      <c r="D3863" t="s">
        <v>1265</v>
      </c>
      <c r="E3863" t="s">
        <v>24316</v>
      </c>
      <c r="F3863" s="2" t="n">
        <f>HYPERLINK("https://patents.google.com/patent/US9403855","Google")</f>
        <v>0.0</v>
      </c>
      <c r="G3863" s="2" t="n">
        <f>HYPERLINK("https://patentcenter.uspto.gov/applications/13697794","Patent Center")</f>
        <v>0.0</v>
      </c>
      <c r="H3863" s="2" t="n">
        <f>HYPERLINK("https://worldwide.espacenet.com/patent/search?q=US9403855","Espacenet")</f>
        <v>0.0</v>
      </c>
      <c r="I3863" s="2" t="n">
        <f>HYPERLINK("https://ppubs.uspto.gov/pubwebapp/external.html?q=9403855.pn.","USPTO")</f>
        <v>0.0</v>
      </c>
      <c r="J3863" s="2" t="n">
        <f>HYPERLINK("https://image-ppubs.uspto.gov/dirsearch-public/print/downloadPdf/9403855","USPTO PDF")</f>
        <v>0.0</v>
      </c>
      <c r="K3863" s="2" t="n">
        <f>HYPERLINK("https://sectors.patentforecast.com/pmd/US9403855","PMD")</f>
        <v>0.0</v>
      </c>
      <c r="L3863" s="2" t="n">
        <f>HYPERLINK("https://globaldossier.uspto.gov/result/patent/US/9403855/1","US9403855")</f>
        <v>0.0</v>
      </c>
      <c r="M3863" t="s">
        <v>24317</v>
      </c>
      <c r="N3863" t="s">
        <v>17097</v>
      </c>
      <c r="O3863" t="s">
        <v>17097</v>
      </c>
      <c r="P3863" t="s">
        <v>24318</v>
      </c>
      <c r="Q3863" s="3" t="n">
        <v>40673.0</v>
      </c>
      <c r="R3863" s="3" t="n">
        <v>42584.0</v>
      </c>
      <c r="S3863" s="3" t="n">
        <v>43973.46879216435</v>
      </c>
      <c r="T3863" s="3" t="n">
        <v>44546.3897756713</v>
      </c>
      <c r="U3863" t="s">
        <v>24319</v>
      </c>
      <c r="V3863" t="s">
        <v>24320</v>
      </c>
    </row>
    <row r="3864">
      <c r="A3864" t="s">
        <v>23557</v>
      </c>
      <c r="B3864" t="s">
        <v>24321</v>
      </c>
      <c r="C3864" t="s">
        <v>24</v>
      </c>
      <c r="D3864" t="s">
        <v>100</v>
      </c>
      <c r="E3864" t="s">
        <v>23106</v>
      </c>
      <c r="F3864" s="2" t="n">
        <f>HYPERLINK("https://patents.google.com/patent/US9396638","Google")</f>
        <v>0.0</v>
      </c>
      <c r="G3864" s="2" t="n">
        <f>HYPERLINK("https://patentcenter.uspto.gov/applications/14302821","Patent Center")</f>
        <v>0.0</v>
      </c>
      <c r="H3864" s="2" t="n">
        <f>HYPERLINK("https://worldwide.espacenet.com/patent/search?q=US9396638","Espacenet")</f>
        <v>0.0</v>
      </c>
      <c r="I3864" s="2" t="n">
        <f>HYPERLINK("https://ppubs.uspto.gov/pubwebapp/external.html?q=9396638.pn.","USPTO")</f>
        <v>0.0</v>
      </c>
      <c r="J3864" s="2" t="n">
        <f>HYPERLINK("https://image-ppubs.uspto.gov/dirsearch-public/print/downloadPdf/9396638","USPTO PDF")</f>
        <v>0.0</v>
      </c>
      <c r="K3864" s="2" t="n">
        <f>HYPERLINK("https://sectors.patentforecast.com/pmd/US9396638","PMD")</f>
        <v>0.0</v>
      </c>
      <c r="L3864" s="2" t="n">
        <f>HYPERLINK("https://globaldossier.uspto.gov/result/patent/US/9396638/1","US9396638")</f>
        <v>0.0</v>
      </c>
      <c r="M3864" t="s">
        <v>20564</v>
      </c>
      <c r="N3864" t="s">
        <v>1444</v>
      </c>
      <c r="O3864" t="s">
        <v>1445</v>
      </c>
      <c r="P3864" t="s">
        <v>23705</v>
      </c>
      <c r="Q3864" s="3" t="n">
        <v>41802.0</v>
      </c>
      <c r="R3864" s="3" t="n">
        <v>42570.0</v>
      </c>
      <c r="S3864" s="3" t="n">
        <v>43266.45735469907</v>
      </c>
      <c r="T3864" s="3" t="n">
        <v>43906.35771765046</v>
      </c>
      <c r="U3864" t="s">
        <v>23990</v>
      </c>
      <c r="V3864" t="s">
        <v>19025</v>
      </c>
    </row>
    <row r="3865">
      <c r="A3865" t="s">
        <v>23557</v>
      </c>
      <c r="B3865" t="s">
        <v>24322</v>
      </c>
      <c r="C3865" t="s">
        <v>60</v>
      </c>
      <c r="D3865" t="s">
        <v>61</v>
      </c>
      <c r="E3865" t="s">
        <v>24323</v>
      </c>
      <c r="F3865" s="2" t="n">
        <f>HYPERLINK("https://patents.google.com/patent/US9394331","Google")</f>
        <v>0.0</v>
      </c>
      <c r="G3865" s="2" t="n">
        <f>HYPERLINK("https://patentcenter.uspto.gov/applications/14332255","Patent Center")</f>
        <v>0.0</v>
      </c>
      <c r="H3865" s="2" t="n">
        <f>HYPERLINK("https://worldwide.espacenet.com/patent/search?q=US9394331","Espacenet")</f>
        <v>0.0</v>
      </c>
      <c r="I3865" s="2" t="n">
        <f>HYPERLINK("https://ppubs.uspto.gov/pubwebapp/external.html?q=9394331.pn.","USPTO")</f>
        <v>0.0</v>
      </c>
      <c r="J3865" s="2" t="n">
        <f>HYPERLINK("https://image-ppubs.uspto.gov/dirsearch-public/print/downloadPdf/9394331","USPTO PDF")</f>
        <v>0.0</v>
      </c>
      <c r="K3865" s="2" t="n">
        <f>HYPERLINK("https://sectors.patentforecast.com/pmd/US9394331","PMD")</f>
        <v>0.0</v>
      </c>
      <c r="L3865" s="2" t="n">
        <f>HYPERLINK("https://globaldossier.uspto.gov/result/patent/US/9394331/1","US9394331")</f>
        <v>0.0</v>
      </c>
      <c r="M3865" t="s">
        <v>20445</v>
      </c>
      <c r="N3865" t="s">
        <v>664</v>
      </c>
      <c r="O3865" t="s">
        <v>665</v>
      </c>
      <c r="P3865" t="s">
        <v>24016</v>
      </c>
      <c r="Q3865" s="3" t="n">
        <v>41835.0</v>
      </c>
      <c r="R3865" s="3" t="n">
        <v>42570.0</v>
      </c>
      <c r="S3865" s="3" t="n">
        <v>43957.45971019676</v>
      </c>
      <c r="T3865" s="3" t="n">
        <v>44638.65154950231</v>
      </c>
      <c r="U3865" t="s">
        <v>24324</v>
      </c>
      <c r="V3865" t="s">
        <v>20448</v>
      </c>
    </row>
    <row r="3866">
      <c r="A3866" t="s">
        <v>23557</v>
      </c>
      <c r="B3866" t="s">
        <v>24325</v>
      </c>
      <c r="C3866" t="s">
        <v>132</v>
      </c>
      <c r="D3866" t="s">
        <v>1265</v>
      </c>
      <c r="E3866" t="s">
        <v>23866</v>
      </c>
      <c r="F3866" s="2" t="n">
        <f>HYPERLINK("https://patents.google.com/patent/US9394302","Google")</f>
        <v>0.0</v>
      </c>
      <c r="G3866" s="2" t="n">
        <f>HYPERLINK("https://patentcenter.uspto.gov/applications/14666567","Patent Center")</f>
        <v>0.0</v>
      </c>
      <c r="H3866" s="2" t="n">
        <f>HYPERLINK("https://worldwide.espacenet.com/patent/search?q=US9394302","Espacenet")</f>
        <v>0.0</v>
      </c>
      <c r="I3866" s="2" t="n">
        <f>HYPERLINK("https://ppubs.uspto.gov/pubwebapp/external.html?q=9394302.pn.","USPTO")</f>
        <v>0.0</v>
      </c>
      <c r="J3866" s="2" t="n">
        <f>HYPERLINK("https://image-ppubs.uspto.gov/dirsearch-public/print/downloadPdf/9394302","USPTO PDF")</f>
        <v>0.0</v>
      </c>
      <c r="K3866" s="2" t="n">
        <f>HYPERLINK("https://sectors.patentforecast.com/pmd/US9394302","PMD")</f>
        <v>0.0</v>
      </c>
      <c r="L3866" s="2" t="n">
        <f>HYPERLINK("https://globaldossier.uspto.gov/result/patent/US/9394302/1","US9394302")</f>
        <v>0.0</v>
      </c>
      <c r="M3866" t="s">
        <v>24326</v>
      </c>
      <c r="N3866" t="s">
        <v>23868</v>
      </c>
      <c r="O3866" t="s">
        <v>23869</v>
      </c>
      <c r="P3866" t="s">
        <v>24327</v>
      </c>
      <c r="Q3866" s="3" t="n">
        <v>42087.0</v>
      </c>
      <c r="R3866" s="3" t="n">
        <v>42570.0</v>
      </c>
      <c r="S3866" s="3" t="n">
        <v>43973.46879216435</v>
      </c>
      <c r="T3866" s="3" t="n">
        <v>44545.6145546412</v>
      </c>
      <c r="U3866" t="s">
        <v>24328</v>
      </c>
      <c r="V3866" t="s">
        <v>24329</v>
      </c>
    </row>
    <row r="3867">
      <c r="A3867" t="s">
        <v>23557</v>
      </c>
      <c r="B3867" t="s">
        <v>24330</v>
      </c>
      <c r="C3867" t="s">
        <v>132</v>
      </c>
      <c r="D3867" t="s">
        <v>1265</v>
      </c>
      <c r="E3867" t="s">
        <v>23915</v>
      </c>
      <c r="F3867" s="2" t="n">
        <f>HYPERLINK("https://patents.google.com/patent/US9388220","Google")</f>
        <v>0.0</v>
      </c>
      <c r="G3867" s="2" t="n">
        <f>HYPERLINK("https://patentcenter.uspto.gov/applications/14473605","Patent Center")</f>
        <v>0.0</v>
      </c>
      <c r="H3867" s="2" t="n">
        <f>HYPERLINK("https://worldwide.espacenet.com/patent/search?q=US9388220","Espacenet")</f>
        <v>0.0</v>
      </c>
      <c r="I3867" s="2" t="n">
        <f>HYPERLINK("https://ppubs.uspto.gov/pubwebapp/external.html?q=9388220.pn.","USPTO")</f>
        <v>0.0</v>
      </c>
      <c r="J3867" s="2" t="n">
        <f>HYPERLINK("https://image-ppubs.uspto.gov/dirsearch-public/print/downloadPdf/9388220","USPTO PDF")</f>
        <v>0.0</v>
      </c>
      <c r="K3867" s="2" t="n">
        <f>HYPERLINK("https://sectors.patentforecast.com/pmd/US9388220","PMD")</f>
        <v>0.0</v>
      </c>
      <c r="L3867" s="2" t="n">
        <f>HYPERLINK("https://globaldossier.uspto.gov/result/patent/US/9388220/1","US9388220")</f>
        <v>0.0</v>
      </c>
      <c r="M3867" t="s">
        <v>24331</v>
      </c>
      <c r="N3867" t="s">
        <v>23917</v>
      </c>
      <c r="O3867" t="s">
        <v>23918</v>
      </c>
      <c r="P3867" t="s">
        <v>23919</v>
      </c>
      <c r="Q3867" s="3" t="n">
        <v>41880.0</v>
      </c>
      <c r="R3867" s="3" t="n">
        <v>42563.0</v>
      </c>
      <c r="S3867" s="3" t="n">
        <v>43973.46879216435</v>
      </c>
      <c r="T3867" s="3" t="n">
        <v>44545.61227846065</v>
      </c>
      <c r="U3867" t="s">
        <v>24332</v>
      </c>
      <c r="V3867" t="s">
        <v>24333</v>
      </c>
    </row>
    <row r="3868">
      <c r="A3868" t="s">
        <v>23557</v>
      </c>
      <c r="B3868" t="s">
        <v>24334</v>
      </c>
      <c r="C3868" t="s">
        <v>60</v>
      </c>
      <c r="D3868" t="s">
        <v>61</v>
      </c>
      <c r="E3868" t="s">
        <v>23996</v>
      </c>
      <c r="F3868" s="2" t="n">
        <f>HYPERLINK("https://patents.google.com/patent/US9388208","Google")</f>
        <v>0.0</v>
      </c>
      <c r="G3868" s="2" t="n">
        <f>HYPERLINK("https://patentcenter.uspto.gov/applications/14534715","Patent Center")</f>
        <v>0.0</v>
      </c>
      <c r="H3868" s="2" t="n">
        <f>HYPERLINK("https://worldwide.espacenet.com/patent/search?q=US9388208","Espacenet")</f>
        <v>0.0</v>
      </c>
      <c r="I3868" s="2" t="n">
        <f>HYPERLINK("https://ppubs.uspto.gov/pubwebapp/external.html?q=9388208.pn.","USPTO")</f>
        <v>0.0</v>
      </c>
      <c r="J3868" s="2" t="n">
        <f>HYPERLINK("https://image-ppubs.uspto.gov/dirsearch-public/print/downloadPdf/9388208","USPTO PDF")</f>
        <v>0.0</v>
      </c>
      <c r="K3868" s="2" t="n">
        <f>HYPERLINK("https://sectors.patentforecast.com/pmd/US9388208","PMD")</f>
        <v>0.0</v>
      </c>
      <c r="L3868" s="2" t="n">
        <f>HYPERLINK("https://globaldossier.uspto.gov/result/patent/US/9388208/1","US9388208")</f>
        <v>0.0</v>
      </c>
      <c r="M3868" t="s">
        <v>20306</v>
      </c>
      <c r="N3868" t="s">
        <v>20307</v>
      </c>
      <c r="O3868" t="s">
        <v>20308</v>
      </c>
      <c r="P3868" t="s">
        <v>24335</v>
      </c>
      <c r="Q3868" s="3" t="n">
        <v>41949.0</v>
      </c>
      <c r="R3868" s="3" t="n">
        <v>42563.0</v>
      </c>
      <c r="S3868" s="3" t="n">
        <v>43957.45971019676</v>
      </c>
      <c r="T3868" s="3" t="n">
        <v>44638.65643378472</v>
      </c>
      <c r="U3868" t="s">
        <v>24336</v>
      </c>
      <c r="V3868" t="s">
        <v>23999</v>
      </c>
    </row>
    <row r="3869">
      <c r="A3869" t="s">
        <v>23557</v>
      </c>
      <c r="B3869" t="s">
        <v>24337</v>
      </c>
      <c r="C3869" t="s">
        <v>132</v>
      </c>
      <c r="D3869" t="s">
        <v>1265</v>
      </c>
      <c r="E3869" t="s">
        <v>24338</v>
      </c>
      <c r="F3869" s="2" t="n">
        <f>HYPERLINK("https://patents.google.com/patent/US9387242","Google")</f>
        <v>0.0</v>
      </c>
      <c r="G3869" s="2" t="n">
        <f>HYPERLINK("https://patentcenter.uspto.gov/applications/11633130","Patent Center")</f>
        <v>0.0</v>
      </c>
      <c r="H3869" s="2" t="n">
        <f>HYPERLINK("https://worldwide.espacenet.com/patent/search?q=US9387242","Espacenet")</f>
        <v>0.0</v>
      </c>
      <c r="I3869" s="2" t="n">
        <f>HYPERLINK("https://ppubs.uspto.gov/pubwebapp/external.html?q=9387242.pn.","USPTO")</f>
        <v>0.0</v>
      </c>
      <c r="J3869" s="2" t="n">
        <f>HYPERLINK("https://image-ppubs.uspto.gov/dirsearch-public/print/downloadPdf/9387242","USPTO PDF")</f>
        <v>0.0</v>
      </c>
      <c r="K3869" s="2" t="n">
        <f>HYPERLINK("https://sectors.patentforecast.com/pmd/US9387242","PMD")</f>
        <v>0.0</v>
      </c>
      <c r="L3869" s="2" t="n">
        <f>HYPERLINK("https://globaldossier.uspto.gov/result/patent/US/9387242/1","US9387242")</f>
        <v>0.0</v>
      </c>
      <c r="M3869" t="s">
        <v>24339</v>
      </c>
      <c r="N3869" t="s">
        <v>24340</v>
      </c>
      <c r="O3869" t="s">
        <v>24341</v>
      </c>
      <c r="P3869" t="s">
        <v>24342</v>
      </c>
      <c r="Q3869" s="3" t="n">
        <v>39052.0</v>
      </c>
      <c r="R3869" s="3" t="n">
        <v>42563.0</v>
      </c>
      <c r="S3869" s="3" t="n">
        <v>43973.46879216435</v>
      </c>
      <c r="T3869" s="3" t="n">
        <v>44545.37714517361</v>
      </c>
      <c r="U3869" t="s">
        <v>24343</v>
      </c>
      <c r="V3869" t="s">
        <v>24344</v>
      </c>
    </row>
    <row r="3870">
      <c r="A3870" t="s">
        <v>23557</v>
      </c>
      <c r="B3870" t="s">
        <v>24345</v>
      </c>
      <c r="C3870" t="s">
        <v>132</v>
      </c>
      <c r="D3870" t="s">
        <v>1265</v>
      </c>
      <c r="E3870" t="s">
        <v>24346</v>
      </c>
      <c r="F3870" s="2" t="n">
        <f>HYPERLINK("https://patents.google.com/patent/US9387241","Google")</f>
        <v>0.0</v>
      </c>
      <c r="G3870" s="2" t="n">
        <f>HYPERLINK("https://patentcenter.uspto.gov/applications/14296095","Patent Center")</f>
        <v>0.0</v>
      </c>
      <c r="H3870" s="2" t="n">
        <f>HYPERLINK("https://worldwide.espacenet.com/patent/search?q=US9387241","Espacenet")</f>
        <v>0.0</v>
      </c>
      <c r="I3870" s="2" t="n">
        <f>HYPERLINK("https://ppubs.uspto.gov/pubwebapp/external.html?q=9387241.pn.","USPTO")</f>
        <v>0.0</v>
      </c>
      <c r="J3870" s="2" t="n">
        <f>HYPERLINK("https://image-ppubs.uspto.gov/dirsearch-public/print/downloadPdf/9387241","USPTO PDF")</f>
        <v>0.0</v>
      </c>
      <c r="K3870" s="2" t="n">
        <f>HYPERLINK("https://sectors.patentforecast.com/pmd/US9387241","PMD")</f>
        <v>0.0</v>
      </c>
      <c r="L3870" s="2" t="n">
        <f>HYPERLINK("https://globaldossier.uspto.gov/result/patent/US/9387241/1","US9387241")</f>
        <v>0.0</v>
      </c>
      <c r="M3870" t="s">
        <v>24347</v>
      </c>
      <c r="N3870" t="s">
        <v>24348</v>
      </c>
      <c r="O3870" t="s">
        <v>24349</v>
      </c>
      <c r="P3870" t="s">
        <v>24350</v>
      </c>
      <c r="Q3870" s="3" t="n">
        <v>41794.0</v>
      </c>
      <c r="R3870" s="3" t="n">
        <v>42563.0</v>
      </c>
      <c r="S3870" s="3" t="n">
        <v>43973.46879216435</v>
      </c>
      <c r="T3870" s="3" t="n">
        <v>44545.61425259259</v>
      </c>
      <c r="U3870" t="s">
        <v>24351</v>
      </c>
      <c r="V3870" t="s">
        <v>24352</v>
      </c>
    </row>
    <row r="3871">
      <c r="A3871" t="s">
        <v>23557</v>
      </c>
      <c r="B3871" t="s">
        <v>24353</v>
      </c>
      <c r="C3871" t="s">
        <v>132</v>
      </c>
      <c r="D3871" t="s">
        <v>1265</v>
      </c>
      <c r="E3871" t="s">
        <v>24354</v>
      </c>
      <c r="F3871" s="2" t="n">
        <f>HYPERLINK("https://patents.google.com/patent/US9381239","Google")</f>
        <v>0.0</v>
      </c>
      <c r="G3871" s="2" t="n">
        <f>HYPERLINK("https://patentcenter.uspto.gov/applications/14252043","Patent Center")</f>
        <v>0.0</v>
      </c>
      <c r="H3871" s="2" t="n">
        <f>HYPERLINK("https://worldwide.espacenet.com/patent/search?q=US9381239","Espacenet")</f>
        <v>0.0</v>
      </c>
      <c r="I3871" s="2" t="n">
        <f>HYPERLINK("https://ppubs.uspto.gov/pubwebapp/external.html?q=9381239.pn.","USPTO")</f>
        <v>0.0</v>
      </c>
      <c r="J3871" s="2" t="n">
        <f>HYPERLINK("https://image-ppubs.uspto.gov/dirsearch-public/print/downloadPdf/9381239","USPTO PDF")</f>
        <v>0.0</v>
      </c>
      <c r="K3871" s="2" t="n">
        <f>HYPERLINK("https://sectors.patentforecast.com/pmd/US9381239","PMD")</f>
        <v>0.0</v>
      </c>
      <c r="L3871" s="2" t="n">
        <f>HYPERLINK("https://globaldossier.uspto.gov/result/patent/US/9381239/1","US9381239")</f>
        <v>0.0</v>
      </c>
      <c r="M3871" t="s">
        <v>20612</v>
      </c>
      <c r="N3871" t="s">
        <v>1275</v>
      </c>
      <c r="O3871" t="s">
        <v>1275</v>
      </c>
      <c r="P3871" t="s">
        <v>24355</v>
      </c>
      <c r="Q3871" s="3" t="n">
        <v>41743.0</v>
      </c>
      <c r="R3871" s="3" t="n">
        <v>42556.0</v>
      </c>
      <c r="S3871" s="3" t="n">
        <v>43973.46879216435</v>
      </c>
      <c r="T3871" s="3" t="n">
        <v>44020.63713880787</v>
      </c>
      <c r="U3871" t="s">
        <v>24356</v>
      </c>
      <c r="V3871" t="s">
        <v>20615</v>
      </c>
    </row>
    <row r="3872">
      <c r="A3872" t="s">
        <v>23557</v>
      </c>
      <c r="B3872" t="s">
        <v>24357</v>
      </c>
      <c r="C3872" t="s">
        <v>132</v>
      </c>
      <c r="D3872" t="s">
        <v>1265</v>
      </c>
      <c r="E3872" t="s">
        <v>24358</v>
      </c>
      <c r="F3872" s="2" t="n">
        <f>HYPERLINK("https://patents.google.com/patent/US9381238","Google")</f>
        <v>0.0</v>
      </c>
      <c r="G3872" s="2" t="n">
        <f>HYPERLINK("https://patentcenter.uspto.gov/applications/13883310","Patent Center")</f>
        <v>0.0</v>
      </c>
      <c r="H3872" s="2" t="n">
        <f>HYPERLINK("https://worldwide.espacenet.com/patent/search?q=US9381238","Espacenet")</f>
        <v>0.0</v>
      </c>
      <c r="I3872" s="2" t="n">
        <f>HYPERLINK("https://ppubs.uspto.gov/pubwebapp/external.html?q=9381238.pn.","USPTO")</f>
        <v>0.0</v>
      </c>
      <c r="J3872" s="2" t="n">
        <f>HYPERLINK("https://image-ppubs.uspto.gov/dirsearch-public/print/downloadPdf/9381238","USPTO PDF")</f>
        <v>0.0</v>
      </c>
      <c r="K3872" s="2" t="n">
        <f>HYPERLINK("https://sectors.patentforecast.com/pmd/US9381238","PMD")</f>
        <v>0.0</v>
      </c>
      <c r="L3872" s="2" t="n">
        <f>HYPERLINK("https://globaldossier.uspto.gov/result/patent/US/9381238/1","US9381238")</f>
        <v>0.0</v>
      </c>
      <c r="M3872" t="s">
        <v>24359</v>
      </c>
      <c r="N3872" t="s">
        <v>24360</v>
      </c>
      <c r="O3872" t="s">
        <v>24361</v>
      </c>
      <c r="P3872" t="s">
        <v>24362</v>
      </c>
      <c r="Q3872" s="3" t="n">
        <v>40851.0</v>
      </c>
      <c r="R3872" s="3" t="n">
        <v>42556.0</v>
      </c>
      <c r="S3872" s="3" t="n">
        <v>43973.46879216435</v>
      </c>
      <c r="T3872" s="3" t="n">
        <v>44545.663258726854</v>
      </c>
      <c r="U3872" t="s">
        <v>24363</v>
      </c>
      <c r="V3872" t="s">
        <v>24364</v>
      </c>
    </row>
    <row r="3873">
      <c r="A3873" t="s">
        <v>23557</v>
      </c>
      <c r="B3873" t="s">
        <v>24365</v>
      </c>
      <c r="C3873" t="s">
        <v>60</v>
      </c>
      <c r="D3873" t="s">
        <v>61</v>
      </c>
      <c r="E3873" t="s">
        <v>23907</v>
      </c>
      <c r="F3873" s="2" t="n">
        <f>HYPERLINK("https://patents.google.com/patent/US9381206","Google")</f>
        <v>0.0</v>
      </c>
      <c r="G3873" s="2" t="n">
        <f>HYPERLINK("https://patentcenter.uspto.gov/applications/14585011","Patent Center")</f>
        <v>0.0</v>
      </c>
      <c r="H3873" s="2" t="n">
        <f>HYPERLINK("https://worldwide.espacenet.com/patent/search?q=US9381206","Espacenet")</f>
        <v>0.0</v>
      </c>
      <c r="I3873" s="2" t="n">
        <f>HYPERLINK("https://ppubs.uspto.gov/pubwebapp/external.html?q=9381206.pn.","USPTO")</f>
        <v>0.0</v>
      </c>
      <c r="J3873" s="2" t="n">
        <f>HYPERLINK("https://image-ppubs.uspto.gov/dirsearch-public/print/downloadPdf/9381206","USPTO PDF")</f>
        <v>0.0</v>
      </c>
      <c r="K3873" s="2" t="n">
        <f>HYPERLINK("https://sectors.patentforecast.com/pmd/US9381206","PMD")</f>
        <v>0.0</v>
      </c>
      <c r="L3873" s="2" t="n">
        <f>HYPERLINK("https://globaldossier.uspto.gov/result/patent/US/9381206/1","US9381206")</f>
        <v>0.0</v>
      </c>
      <c r="M3873" t="s">
        <v>20237</v>
      </c>
      <c r="N3873" t="s">
        <v>664</v>
      </c>
      <c r="O3873" t="s">
        <v>665</v>
      </c>
      <c r="P3873" t="s">
        <v>23908</v>
      </c>
      <c r="Q3873" s="3" t="n">
        <v>42002.0</v>
      </c>
      <c r="R3873" s="3" t="n">
        <v>42556.0</v>
      </c>
      <c r="S3873" s="3" t="n">
        <v>43957.45971019676</v>
      </c>
      <c r="T3873" s="3" t="n">
        <v>44638.662781747684</v>
      </c>
      <c r="U3873" t="s">
        <v>24366</v>
      </c>
      <c r="V3873" t="s">
        <v>18667</v>
      </c>
    </row>
    <row r="3874">
      <c r="A3874" t="s">
        <v>23557</v>
      </c>
      <c r="B3874" t="s">
        <v>24367</v>
      </c>
      <c r="C3874" t="s">
        <v>60</v>
      </c>
      <c r="D3874" t="s">
        <v>61</v>
      </c>
      <c r="E3874" t="s">
        <v>24368</v>
      </c>
      <c r="F3874" s="2" t="n">
        <f>HYPERLINK("https://patents.google.com/patent/US9376392","Google")</f>
        <v>0.0</v>
      </c>
      <c r="G3874" s="2" t="n">
        <f>HYPERLINK("https://patentcenter.uspto.gov/applications/14370464","Patent Center")</f>
        <v>0.0</v>
      </c>
      <c r="H3874" s="2" t="n">
        <f>HYPERLINK("https://worldwide.espacenet.com/patent/search?q=US9376392","Espacenet")</f>
        <v>0.0</v>
      </c>
      <c r="I3874" s="2" t="n">
        <f>HYPERLINK("https://ppubs.uspto.gov/pubwebapp/external.html?q=9376392.pn.","USPTO")</f>
        <v>0.0</v>
      </c>
      <c r="J3874" s="2" t="n">
        <f>HYPERLINK("https://image-ppubs.uspto.gov/dirsearch-public/print/downloadPdf/9376392","USPTO PDF")</f>
        <v>0.0</v>
      </c>
      <c r="K3874" s="2" t="n">
        <f>HYPERLINK("https://sectors.patentforecast.com/pmd/US9376392","PMD")</f>
        <v>0.0</v>
      </c>
      <c r="L3874" s="2" t="n">
        <f>HYPERLINK("https://globaldossier.uspto.gov/result/patent/US/9376392/1","US9376392")</f>
        <v>0.0</v>
      </c>
      <c r="M3874" t="s">
        <v>20427</v>
      </c>
      <c r="N3874" t="s">
        <v>664</v>
      </c>
      <c r="O3874" t="s">
        <v>665</v>
      </c>
      <c r="P3874" t="s">
        <v>24369</v>
      </c>
      <c r="Q3874" s="3" t="n">
        <v>41277.0</v>
      </c>
      <c r="R3874" s="3" t="n">
        <v>42549.0</v>
      </c>
      <c r="S3874" s="3" t="n">
        <v>43957.45971019676</v>
      </c>
      <c r="T3874" s="3" t="n">
        <v>44544.413260960646</v>
      </c>
      <c r="U3874" t="s">
        <v>24370</v>
      </c>
      <c r="V3874" t="s">
        <v>20350</v>
      </c>
    </row>
    <row r="3875">
      <c r="A3875" t="s">
        <v>23557</v>
      </c>
      <c r="B3875" t="s">
        <v>24371</v>
      </c>
      <c r="C3875" t="s">
        <v>132</v>
      </c>
      <c r="D3875" t="s">
        <v>142</v>
      </c>
      <c r="E3875" t="s">
        <v>24372</v>
      </c>
      <c r="F3875" s="2" t="n">
        <f>HYPERLINK("https://patents.google.com/patent/US9365610","Google")</f>
        <v>0.0</v>
      </c>
      <c r="G3875" s="2" t="n">
        <f>HYPERLINK("https://patentcenter.uspto.gov/applications/14707876","Patent Center")</f>
        <v>0.0</v>
      </c>
      <c r="H3875" s="2" t="n">
        <f>HYPERLINK("https://worldwide.espacenet.com/patent/search?q=US9365610","Espacenet")</f>
        <v>0.0</v>
      </c>
      <c r="I3875" s="2" t="n">
        <f>HYPERLINK("https://ppubs.uspto.gov/pubwebapp/external.html?q=9365610.pn.","USPTO")</f>
        <v>0.0</v>
      </c>
      <c r="J3875" s="2" t="n">
        <f>HYPERLINK("https://image-ppubs.uspto.gov/dirsearch-public/print/downloadPdf/9365610","USPTO PDF")</f>
        <v>0.0</v>
      </c>
      <c r="K3875" s="2" t="n">
        <f>HYPERLINK("https://sectors.patentforecast.com/pmd/US9365610","PMD")</f>
        <v>0.0</v>
      </c>
      <c r="L3875" s="2" t="n">
        <f>HYPERLINK("https://globaldossier.uspto.gov/result/patent/US/9365610/1","US9365610")</f>
        <v>0.0</v>
      </c>
      <c r="M3875" t="s">
        <v>24373</v>
      </c>
      <c r="N3875" t="s">
        <v>13916</v>
      </c>
      <c r="O3875" t="s">
        <v>13917</v>
      </c>
      <c r="P3875" t="s">
        <v>24115</v>
      </c>
      <c r="Q3875" s="3" t="n">
        <v>42132.0</v>
      </c>
      <c r="R3875" s="3" t="n">
        <v>42535.0</v>
      </c>
      <c r="S3875" s="3" t="n">
        <v>43992.43079226852</v>
      </c>
      <c r="T3875" s="3" t="n">
        <v>43992.4719296875</v>
      </c>
      <c r="U3875" t="s">
        <v>24374</v>
      </c>
      <c r="V3875" t="s">
        <v>24375</v>
      </c>
    </row>
    <row r="3876">
      <c r="A3876" t="s">
        <v>23557</v>
      </c>
      <c r="B3876" t="s">
        <v>24376</v>
      </c>
      <c r="C3876" t="s">
        <v>132</v>
      </c>
      <c r="D3876" t="s">
        <v>1265</v>
      </c>
      <c r="E3876" t="s">
        <v>24377</v>
      </c>
      <c r="F3876" s="2" t="n">
        <f>HYPERLINK("https://patents.google.com/patent/US9353159","Google")</f>
        <v>0.0</v>
      </c>
      <c r="G3876" s="2" t="n">
        <f>HYPERLINK("https://patentcenter.uspto.gov/applications/14263359","Patent Center")</f>
        <v>0.0</v>
      </c>
      <c r="H3876" s="2" t="n">
        <f>HYPERLINK("https://worldwide.espacenet.com/patent/search?q=US9353159","Espacenet")</f>
        <v>0.0</v>
      </c>
      <c r="I3876" s="2" t="n">
        <f>HYPERLINK("https://ppubs.uspto.gov/pubwebapp/external.html?q=9353159.pn.","USPTO")</f>
        <v>0.0</v>
      </c>
      <c r="J3876" s="2" t="n">
        <f>HYPERLINK("https://image-ppubs.uspto.gov/dirsearch-public/print/downloadPdf/9353159","USPTO PDF")</f>
        <v>0.0</v>
      </c>
      <c r="K3876" s="2" t="n">
        <f>HYPERLINK("https://sectors.patentforecast.com/pmd/US9353159","PMD")</f>
        <v>0.0</v>
      </c>
      <c r="L3876" s="2" t="n">
        <f>HYPERLINK("https://globaldossier.uspto.gov/result/patent/US/9353159/1","US9353159")</f>
        <v>0.0</v>
      </c>
      <c r="M3876" t="s">
        <v>24378</v>
      </c>
      <c r="N3876" t="s">
        <v>20624</v>
      </c>
      <c r="O3876" t="s">
        <v>20625</v>
      </c>
      <c r="P3876" t="s">
        <v>24379</v>
      </c>
      <c r="Q3876" s="3" t="n">
        <v>41757.0</v>
      </c>
      <c r="R3876" s="3" t="n">
        <v>42521.0</v>
      </c>
      <c r="S3876" s="3" t="n">
        <v>43973.46971416667</v>
      </c>
      <c r="T3876" s="3" t="n">
        <v>44545.683275324074</v>
      </c>
      <c r="U3876" t="s">
        <v>24380</v>
      </c>
      <c r="V3876" t="s">
        <v>24381</v>
      </c>
    </row>
    <row r="3877">
      <c r="A3877" t="s">
        <v>23557</v>
      </c>
      <c r="B3877" t="s">
        <v>24382</v>
      </c>
      <c r="C3877" t="s">
        <v>24</v>
      </c>
      <c r="D3877" t="s">
        <v>100</v>
      </c>
      <c r="E3877" t="s">
        <v>23106</v>
      </c>
      <c r="F3877" s="2" t="n">
        <f>HYPERLINK("https://patents.google.com/patent/US9349267","Google")</f>
        <v>0.0</v>
      </c>
      <c r="G3877" s="2" t="n">
        <f>HYPERLINK("https://patentcenter.uspto.gov/applications/14049308","Patent Center")</f>
        <v>0.0</v>
      </c>
      <c r="H3877" s="2" t="n">
        <f>HYPERLINK("https://worldwide.espacenet.com/patent/search?q=US9349267","Espacenet")</f>
        <v>0.0</v>
      </c>
      <c r="I3877" s="2" t="n">
        <f>HYPERLINK("https://ppubs.uspto.gov/pubwebapp/external.html?q=9349267.pn.","USPTO")</f>
        <v>0.0</v>
      </c>
      <c r="J3877" s="2" t="n">
        <f>HYPERLINK("https://image-ppubs.uspto.gov/dirsearch-public/print/downloadPdf/9349267","USPTO PDF")</f>
        <v>0.0</v>
      </c>
      <c r="K3877" s="2" t="n">
        <f>HYPERLINK("https://sectors.patentforecast.com/pmd/US9349267","PMD")</f>
        <v>0.0</v>
      </c>
      <c r="L3877" s="2" t="n">
        <f>HYPERLINK("https://globaldossier.uspto.gov/result/patent/US/9349267/1","US9349267")</f>
        <v>0.0</v>
      </c>
      <c r="M3877" t="s">
        <v>20880</v>
      </c>
      <c r="N3877" t="s">
        <v>20565</v>
      </c>
      <c r="O3877" t="s">
        <v>20566</v>
      </c>
      <c r="P3877" t="s">
        <v>23705</v>
      </c>
      <c r="Q3877" s="3" t="n">
        <v>41556.0</v>
      </c>
      <c r="R3877" s="3" t="n">
        <v>42514.0</v>
      </c>
      <c r="S3877" s="3" t="n">
        <v>43266.45735469907</v>
      </c>
      <c r="T3877" s="3" t="n">
        <v>43906.35981086805</v>
      </c>
      <c r="U3877" t="s">
        <v>23990</v>
      </c>
      <c r="V3877" t="s">
        <v>19025</v>
      </c>
    </row>
    <row r="3878">
      <c r="A3878" t="s">
        <v>23557</v>
      </c>
      <c r="B3878" t="s">
        <v>24383</v>
      </c>
      <c r="C3878" t="s">
        <v>60</v>
      </c>
      <c r="D3878" t="s">
        <v>61</v>
      </c>
      <c r="E3878" t="s">
        <v>24019</v>
      </c>
      <c r="F3878" s="2" t="n">
        <f>HYPERLINK("https://patents.google.com/patent/US9346841","Google")</f>
        <v>0.0</v>
      </c>
      <c r="G3878" s="2" t="n">
        <f>HYPERLINK("https://patentcenter.uspto.gov/applications/14681955","Patent Center")</f>
        <v>0.0</v>
      </c>
      <c r="H3878" s="2" t="n">
        <f>HYPERLINK("https://worldwide.espacenet.com/patent/search?q=US9346841","Espacenet")</f>
        <v>0.0</v>
      </c>
      <c r="I3878" s="2" t="n">
        <f>HYPERLINK("https://ppubs.uspto.gov/pubwebapp/external.html?q=9346841.pn.","USPTO")</f>
        <v>0.0</v>
      </c>
      <c r="J3878" s="2" t="n">
        <f>HYPERLINK("https://image-ppubs.uspto.gov/dirsearch-public/print/downloadPdf/9346841","USPTO PDF")</f>
        <v>0.0</v>
      </c>
      <c r="K3878" s="2" t="n">
        <f>HYPERLINK("https://sectors.patentforecast.com/pmd/US9346841","PMD")</f>
        <v>0.0</v>
      </c>
      <c r="L3878" s="2" t="n">
        <f>HYPERLINK("https://globaldossier.uspto.gov/result/patent/US/9346841/1","US9346841")</f>
        <v>0.0</v>
      </c>
      <c r="M3878" t="s">
        <v>20102</v>
      </c>
      <c r="N3878" t="s">
        <v>664</v>
      </c>
      <c r="O3878" t="s">
        <v>665</v>
      </c>
      <c r="P3878" t="s">
        <v>24020</v>
      </c>
      <c r="Q3878" s="3" t="n">
        <v>42102.0</v>
      </c>
      <c r="R3878" s="3" t="n">
        <v>42514.0</v>
      </c>
      <c r="S3878" s="3" t="n">
        <v>43957.45971019676</v>
      </c>
      <c r="T3878" s="3" t="n">
        <v>44638.65579662037</v>
      </c>
      <c r="U3878" t="s">
        <v>24384</v>
      </c>
      <c r="V3878" t="s">
        <v>24385</v>
      </c>
    </row>
    <row r="3879">
      <c r="A3879" t="s">
        <v>23557</v>
      </c>
      <c r="B3879" t="s">
        <v>24386</v>
      </c>
      <c r="C3879" t="s">
        <v>60</v>
      </c>
      <c r="D3879" t="s">
        <v>61</v>
      </c>
      <c r="E3879" t="s">
        <v>24387</v>
      </c>
      <c r="F3879" s="2" t="n">
        <f>HYPERLINK("https://patents.google.com/patent/US9346749","Google")</f>
        <v>0.0</v>
      </c>
      <c r="G3879" s="2" t="n">
        <f>HYPERLINK("https://patentcenter.uspto.gov/applications/14126479","Patent Center")</f>
        <v>0.0</v>
      </c>
      <c r="H3879" s="2" t="n">
        <f>HYPERLINK("https://worldwide.espacenet.com/patent/search?q=US9346749","Espacenet")</f>
        <v>0.0</v>
      </c>
      <c r="I3879" s="2" t="n">
        <f>HYPERLINK("https://ppubs.uspto.gov/pubwebapp/external.html?q=9346749.pn.","USPTO")</f>
        <v>0.0</v>
      </c>
      <c r="J3879" s="2" t="n">
        <f>HYPERLINK("https://image-ppubs.uspto.gov/dirsearch-public/print/downloadPdf/9346749","USPTO PDF")</f>
        <v>0.0</v>
      </c>
      <c r="K3879" s="2" t="n">
        <f>HYPERLINK("https://sectors.patentforecast.com/pmd/US9346749","PMD")</f>
        <v>0.0</v>
      </c>
      <c r="L3879" s="2" t="n">
        <f>HYPERLINK("https://globaldossier.uspto.gov/result/patent/US/9346749/1","US9346749")</f>
        <v>0.0</v>
      </c>
      <c r="M3879" t="s">
        <v>20761</v>
      </c>
      <c r="N3879" t="s">
        <v>7862</v>
      </c>
      <c r="O3879" t="s">
        <v>7863</v>
      </c>
      <c r="P3879" t="s">
        <v>24388</v>
      </c>
      <c r="Q3879" s="3" t="n">
        <v>41078.0</v>
      </c>
      <c r="R3879" s="3" t="n">
        <v>42514.0</v>
      </c>
      <c r="S3879" s="3" t="n">
        <v>43900.43738940972</v>
      </c>
      <c r="T3879" s="3" t="n">
        <v>43901.705571018516</v>
      </c>
      <c r="U3879" t="s">
        <v>24389</v>
      </c>
      <c r="V3879" t="s">
        <v>20764</v>
      </c>
    </row>
    <row r="3880">
      <c r="A3880" t="s">
        <v>23557</v>
      </c>
      <c r="B3880" t="s">
        <v>24390</v>
      </c>
      <c r="C3880" t="s">
        <v>132</v>
      </c>
      <c r="D3880" t="s">
        <v>1265</v>
      </c>
      <c r="E3880" t="s">
        <v>23866</v>
      </c>
      <c r="F3880" s="2" t="n">
        <f>HYPERLINK("https://patents.google.com/patent/US9345708","Google")</f>
        <v>0.0</v>
      </c>
      <c r="G3880" s="2" t="n">
        <f>HYPERLINK("https://patentcenter.uspto.gov/applications/14305393","Patent Center")</f>
        <v>0.0</v>
      </c>
      <c r="H3880" s="2" t="n">
        <f>HYPERLINK("https://worldwide.espacenet.com/patent/search?q=US9345708","Espacenet")</f>
        <v>0.0</v>
      </c>
      <c r="I3880" s="2" t="n">
        <f>HYPERLINK("https://ppubs.uspto.gov/pubwebapp/external.html?q=9345708.pn.","USPTO")</f>
        <v>0.0</v>
      </c>
      <c r="J3880" s="2" t="n">
        <f>HYPERLINK("https://image-ppubs.uspto.gov/dirsearch-public/print/downloadPdf/9345708","USPTO PDF")</f>
        <v>0.0</v>
      </c>
      <c r="K3880" s="2" t="n">
        <f>HYPERLINK("https://sectors.patentforecast.com/pmd/US9345708","PMD")</f>
        <v>0.0</v>
      </c>
      <c r="L3880" s="2" t="n">
        <f>HYPERLINK("https://globaldossier.uspto.gov/result/patent/US/9345708/1","US9345708")</f>
        <v>0.0</v>
      </c>
      <c r="M3880" t="s">
        <v>24391</v>
      </c>
      <c r="N3880" t="s">
        <v>23868</v>
      </c>
      <c r="O3880" t="s">
        <v>23869</v>
      </c>
      <c r="P3880" t="s">
        <v>23870</v>
      </c>
      <c r="Q3880" s="3" t="n">
        <v>41806.0</v>
      </c>
      <c r="R3880" s="3" t="n">
        <v>42514.0</v>
      </c>
      <c r="S3880" s="3" t="n">
        <v>43973.46971416667</v>
      </c>
      <c r="T3880" s="3" t="n">
        <v>44545.6145546412</v>
      </c>
      <c r="U3880" t="s">
        <v>24392</v>
      </c>
      <c r="V3880" t="s">
        <v>23872</v>
      </c>
    </row>
    <row r="3881">
      <c r="A3881" t="s">
        <v>23557</v>
      </c>
      <c r="B3881" t="s">
        <v>24393</v>
      </c>
      <c r="C3881" t="s">
        <v>60</v>
      </c>
      <c r="D3881" t="s">
        <v>61</v>
      </c>
      <c r="E3881" t="s">
        <v>23786</v>
      </c>
      <c r="F3881" s="2" t="n">
        <f>HYPERLINK("https://patents.google.com/patent/US9340568","Google")</f>
        <v>0.0</v>
      </c>
      <c r="G3881" s="2" t="n">
        <f>HYPERLINK("https://patentcenter.uspto.gov/applications/14563639","Patent Center")</f>
        <v>0.0</v>
      </c>
      <c r="H3881" s="2" t="n">
        <f>HYPERLINK("https://worldwide.espacenet.com/patent/search?q=US9340568","Espacenet")</f>
        <v>0.0</v>
      </c>
      <c r="I3881" s="2" t="n">
        <f>HYPERLINK("https://ppubs.uspto.gov/pubwebapp/external.html?q=9340568.pn.","USPTO")</f>
        <v>0.0</v>
      </c>
      <c r="J3881" s="2" t="n">
        <f>HYPERLINK("https://image-ppubs.uspto.gov/dirsearch-public/print/downloadPdf/9340568","USPTO PDF")</f>
        <v>0.0</v>
      </c>
      <c r="K3881" s="2" t="n">
        <f>HYPERLINK("https://sectors.patentforecast.com/pmd/US9340568","PMD")</f>
        <v>0.0</v>
      </c>
      <c r="L3881" s="2" t="n">
        <f>HYPERLINK("https://globaldossier.uspto.gov/result/patent/US/9340568/1","US9340568")</f>
        <v>0.0</v>
      </c>
      <c r="M3881" t="s">
        <v>20246</v>
      </c>
      <c r="N3881" t="s">
        <v>664</v>
      </c>
      <c r="O3881" t="s">
        <v>665</v>
      </c>
      <c r="P3881" t="s">
        <v>24394</v>
      </c>
      <c r="Q3881" s="3" t="n">
        <v>41981.0</v>
      </c>
      <c r="R3881" s="3" t="n">
        <v>42507.0</v>
      </c>
      <c r="S3881" s="3" t="n">
        <v>43957.45971019676</v>
      </c>
      <c r="T3881" s="3" t="n">
        <v>44638.65271974537</v>
      </c>
      <c r="U3881" t="s">
        <v>24395</v>
      </c>
      <c r="V3881" t="s">
        <v>24396</v>
      </c>
    </row>
    <row r="3882">
      <c r="A3882" t="s">
        <v>23557</v>
      </c>
      <c r="B3882" t="s">
        <v>24397</v>
      </c>
      <c r="C3882" t="s">
        <v>132</v>
      </c>
      <c r="D3882" t="s">
        <v>142</v>
      </c>
      <c r="E3882" t="s">
        <v>24398</v>
      </c>
      <c r="F3882" s="2" t="n">
        <f>HYPERLINK("https://patents.google.com/patent/US9328146","Google")</f>
        <v>0.0</v>
      </c>
      <c r="G3882" s="2" t="n">
        <f>HYPERLINK("https://patentcenter.uspto.gov/applications/14197532","Patent Center")</f>
        <v>0.0</v>
      </c>
      <c r="H3882" s="2" t="n">
        <f>HYPERLINK("https://worldwide.espacenet.com/patent/search?q=US9328146","Espacenet")</f>
        <v>0.0</v>
      </c>
      <c r="I3882" s="2" t="n">
        <f>HYPERLINK("https://ppubs.uspto.gov/pubwebapp/external.html?q=9328146.pn.","USPTO")</f>
        <v>0.0</v>
      </c>
      <c r="J3882" s="2" t="n">
        <f>HYPERLINK("https://image-ppubs.uspto.gov/dirsearch-public/print/downloadPdf/9328146","USPTO PDF")</f>
        <v>0.0</v>
      </c>
      <c r="K3882" s="2" t="n">
        <f>HYPERLINK("https://sectors.patentforecast.com/pmd/US9328146","PMD")</f>
        <v>0.0</v>
      </c>
      <c r="L3882" s="2" t="n">
        <f>HYPERLINK("https://globaldossier.uspto.gov/result/patent/US/9328146/1","US9328146")</f>
        <v>0.0</v>
      </c>
      <c r="M3882" t="s">
        <v>24399</v>
      </c>
      <c r="N3882" t="s">
        <v>24400</v>
      </c>
      <c r="O3882" t="s">
        <v>24401</v>
      </c>
      <c r="P3882" t="s">
        <v>24402</v>
      </c>
      <c r="Q3882" s="3" t="n">
        <v>41703.0</v>
      </c>
      <c r="R3882" s="3" t="n">
        <v>42493.0</v>
      </c>
      <c r="S3882" s="3" t="n">
        <v>43973.46971416667</v>
      </c>
      <c r="T3882" s="3" t="n">
        <v>44545.61530423611</v>
      </c>
      <c r="U3882" t="s">
        <v>24403</v>
      </c>
      <c r="V3882" t="s">
        <v>24404</v>
      </c>
    </row>
    <row r="3883">
      <c r="A3883" t="s">
        <v>23557</v>
      </c>
      <c r="B3883" t="s">
        <v>24405</v>
      </c>
      <c r="C3883" t="s">
        <v>60</v>
      </c>
      <c r="D3883" t="s">
        <v>61</v>
      </c>
      <c r="E3883" t="s">
        <v>24406</v>
      </c>
      <c r="F3883" s="2" t="n">
        <f>HYPERLINK("https://patents.google.com/patent/US9321753","Google")</f>
        <v>0.0</v>
      </c>
      <c r="G3883" s="2" t="n">
        <f>HYPERLINK("https://patentcenter.uspto.gov/applications/13939695","Patent Center")</f>
        <v>0.0</v>
      </c>
      <c r="H3883" s="2" t="n">
        <f>HYPERLINK("https://worldwide.espacenet.com/patent/search?q=US9321753","Espacenet")</f>
        <v>0.0</v>
      </c>
      <c r="I3883" s="2" t="n">
        <f>HYPERLINK("https://ppubs.uspto.gov/pubwebapp/external.html?q=9321753.pn.","USPTO")</f>
        <v>0.0</v>
      </c>
      <c r="J3883" s="2" t="n">
        <f>HYPERLINK("https://image-ppubs.uspto.gov/dirsearch-public/print/downloadPdf/9321753","USPTO PDF")</f>
        <v>0.0</v>
      </c>
      <c r="K3883" s="2" t="n">
        <f>HYPERLINK("https://sectors.patentforecast.com/pmd/US9321753","PMD")</f>
        <v>0.0</v>
      </c>
      <c r="L3883" s="2" t="n">
        <f>HYPERLINK("https://globaldossier.uspto.gov/result/patent/US/9321753/1","US9321753")</f>
        <v>0.0</v>
      </c>
      <c r="M3883" t="s">
        <v>20975</v>
      </c>
      <c r="N3883" t="s">
        <v>664</v>
      </c>
      <c r="O3883" t="s">
        <v>665</v>
      </c>
      <c r="P3883" t="s">
        <v>24407</v>
      </c>
      <c r="Q3883" s="3" t="n">
        <v>41466.0</v>
      </c>
      <c r="R3883" s="3" t="n">
        <v>42486.0</v>
      </c>
      <c r="S3883" s="3" t="n">
        <v>43957.45971019676</v>
      </c>
      <c r="T3883" s="3" t="n">
        <v>44638.65643378472</v>
      </c>
      <c r="U3883" t="s">
        <v>24408</v>
      </c>
      <c r="V3883" t="s">
        <v>24409</v>
      </c>
    </row>
    <row r="3884">
      <c r="A3884" t="s">
        <v>23557</v>
      </c>
      <c r="B3884" t="s">
        <v>24410</v>
      </c>
      <c r="C3884" t="s">
        <v>60</v>
      </c>
      <c r="D3884" t="s">
        <v>715</v>
      </c>
      <c r="E3884" t="s">
        <v>24411</v>
      </c>
      <c r="F3884" s="2" t="n">
        <f>HYPERLINK("https://patents.google.com/patent/US9310088","Google")</f>
        <v>0.0</v>
      </c>
      <c r="G3884" s="2" t="n">
        <f>HYPERLINK("https://patentcenter.uspto.gov/applications/13383225","Patent Center")</f>
        <v>0.0</v>
      </c>
      <c r="H3884" s="2" t="n">
        <f>HYPERLINK("https://worldwide.espacenet.com/patent/search?q=US9310088","Espacenet")</f>
        <v>0.0</v>
      </c>
      <c r="I3884" s="2" t="n">
        <f>HYPERLINK("https://ppubs.uspto.gov/pubwebapp/external.html?q=9310088.pn.","USPTO")</f>
        <v>0.0</v>
      </c>
      <c r="J3884" s="2" t="n">
        <f>HYPERLINK("https://image-ppubs.uspto.gov/dirsearch-public/print/downloadPdf/9310088","USPTO PDF")</f>
        <v>0.0</v>
      </c>
      <c r="K3884" s="2" t="n">
        <f>HYPERLINK("https://sectors.patentforecast.com/pmd/US9310088","PMD")</f>
        <v>0.0</v>
      </c>
      <c r="L3884" s="2" t="n">
        <f>HYPERLINK("https://globaldossier.uspto.gov/result/patent/US/9310088/1","US9310088")</f>
        <v>0.0</v>
      </c>
      <c r="M3884" t="s">
        <v>21441</v>
      </c>
      <c r="N3884" t="s">
        <v>21442</v>
      </c>
      <c r="O3884" t="s">
        <v>21443</v>
      </c>
      <c r="P3884" t="s">
        <v>24412</v>
      </c>
      <c r="Q3884" s="3" t="n">
        <v>40373.0</v>
      </c>
      <c r="R3884" s="3" t="n">
        <v>42472.0</v>
      </c>
      <c r="S3884" s="3" t="n">
        <v>44397.230368530094</v>
      </c>
      <c r="T3884" s="3" t="n">
        <v>44398.53455619213</v>
      </c>
      <c r="U3884" t="s">
        <v>24413</v>
      </c>
      <c r="V3884" t="s">
        <v>21446</v>
      </c>
    </row>
    <row r="3885">
      <c r="A3885" t="s">
        <v>23557</v>
      </c>
      <c r="B3885" t="s">
        <v>24414</v>
      </c>
      <c r="C3885" t="s">
        <v>132</v>
      </c>
      <c r="D3885" t="s">
        <v>1265</v>
      </c>
      <c r="E3885" t="s">
        <v>24415</v>
      </c>
      <c r="F3885" s="2" t="n">
        <f>HYPERLINK("https://patents.google.com/patent/US9303070","Google")</f>
        <v>0.0</v>
      </c>
      <c r="G3885" s="2" t="n">
        <f>HYPERLINK("https://patentcenter.uspto.gov/applications/14000815","Patent Center")</f>
        <v>0.0</v>
      </c>
      <c r="H3885" s="2" t="n">
        <f>HYPERLINK("https://worldwide.espacenet.com/patent/search?q=US9303070","Espacenet")</f>
        <v>0.0</v>
      </c>
      <c r="I3885" s="2" t="n">
        <f>HYPERLINK("https://ppubs.uspto.gov/pubwebapp/external.html?q=9303070.pn.","USPTO")</f>
        <v>0.0</v>
      </c>
      <c r="J3885" s="2" t="n">
        <f>HYPERLINK("https://image-ppubs.uspto.gov/dirsearch-public/print/downloadPdf/9303070","USPTO PDF")</f>
        <v>0.0</v>
      </c>
      <c r="K3885" s="2" t="n">
        <f>HYPERLINK("https://sectors.patentforecast.com/pmd/US9303070","PMD")</f>
        <v>0.0</v>
      </c>
      <c r="L3885" s="2" t="n">
        <f>HYPERLINK("https://globaldossier.uspto.gov/result/patent/US/9303070/1","US9303070")</f>
        <v>0.0</v>
      </c>
      <c r="M3885" t="s">
        <v>20623</v>
      </c>
      <c r="N3885" t="s">
        <v>20624</v>
      </c>
      <c r="O3885" t="s">
        <v>20625</v>
      </c>
      <c r="P3885" t="s">
        <v>24416</v>
      </c>
      <c r="Q3885" s="3" t="n">
        <v>40596.0</v>
      </c>
      <c r="R3885" s="3" t="n">
        <v>42465.0</v>
      </c>
      <c r="S3885" s="3" t="n">
        <v>43900.43738940972</v>
      </c>
      <c r="T3885" s="3" t="n">
        <v>43901.70557096065</v>
      </c>
      <c r="U3885" t="s">
        <v>24417</v>
      </c>
      <c r="V3885" t="s">
        <v>20628</v>
      </c>
    </row>
    <row r="3886">
      <c r="A3886" t="s">
        <v>23557</v>
      </c>
      <c r="B3886" t="s">
        <v>24418</v>
      </c>
      <c r="C3886" t="s">
        <v>60</v>
      </c>
      <c r="D3886" t="s">
        <v>61</v>
      </c>
      <c r="E3886" t="s">
        <v>24040</v>
      </c>
      <c r="F3886" s="2" t="n">
        <f>HYPERLINK("https://patents.google.com/patent/US9296782","Google")</f>
        <v>0.0</v>
      </c>
      <c r="G3886" s="2" t="n">
        <f>HYPERLINK("https://patentcenter.uspto.gov/applications/13934090","Patent Center")</f>
        <v>0.0</v>
      </c>
      <c r="H3886" s="2" t="n">
        <f>HYPERLINK("https://worldwide.espacenet.com/patent/search?q=US9296782","Espacenet")</f>
        <v>0.0</v>
      </c>
      <c r="I3886" s="2" t="n">
        <f>HYPERLINK("https://ppubs.uspto.gov/pubwebapp/external.html?q=9296782.pn.","USPTO")</f>
        <v>0.0</v>
      </c>
      <c r="J3886" s="2" t="n">
        <f>HYPERLINK("https://image-ppubs.uspto.gov/dirsearch-public/print/downloadPdf/9296782","USPTO PDF")</f>
        <v>0.0</v>
      </c>
      <c r="K3886" s="2" t="n">
        <f>HYPERLINK("https://sectors.patentforecast.com/pmd/US9296782","PMD")</f>
        <v>0.0</v>
      </c>
      <c r="L3886" s="2" t="n">
        <f>HYPERLINK("https://globaldossier.uspto.gov/result/patent/US/9296782/1","US9296782")</f>
        <v>0.0</v>
      </c>
      <c r="M3886" t="s">
        <v>20892</v>
      </c>
      <c r="N3886" t="s">
        <v>664</v>
      </c>
      <c r="O3886" t="s">
        <v>665</v>
      </c>
      <c r="P3886" t="s">
        <v>24419</v>
      </c>
      <c r="Q3886" s="3" t="n">
        <v>41457.0</v>
      </c>
      <c r="R3886" s="3" t="n">
        <v>42458.0</v>
      </c>
      <c r="S3886" s="3" t="n">
        <v>43957.45971019676</v>
      </c>
      <c r="T3886" s="3" t="n">
        <v>44638.65643378472</v>
      </c>
      <c r="U3886" t="s">
        <v>24420</v>
      </c>
      <c r="V3886" t="s">
        <v>24043</v>
      </c>
    </row>
    <row r="3887">
      <c r="A3887" t="s">
        <v>23557</v>
      </c>
      <c r="B3887" t="s">
        <v>24421</v>
      </c>
      <c r="C3887" t="s">
        <v>60</v>
      </c>
      <c r="D3887" t="s">
        <v>61</v>
      </c>
      <c r="E3887" t="s">
        <v>23911</v>
      </c>
      <c r="F3887" s="2" t="n">
        <f>HYPERLINK("https://patents.google.com/patent/US9296779","Google")</f>
        <v>0.0</v>
      </c>
      <c r="G3887" s="2" t="n">
        <f>HYPERLINK("https://patentcenter.uspto.gov/applications/14615357","Patent Center")</f>
        <v>0.0</v>
      </c>
      <c r="H3887" s="2" t="n">
        <f>HYPERLINK("https://worldwide.espacenet.com/patent/search?q=US9296779","Espacenet")</f>
        <v>0.0</v>
      </c>
      <c r="I3887" s="2" t="n">
        <f>HYPERLINK("https://ppubs.uspto.gov/pubwebapp/external.html?q=9296779.pn.","USPTO")</f>
        <v>0.0</v>
      </c>
      <c r="J3887" s="2" t="n">
        <f>HYPERLINK("https://image-ppubs.uspto.gov/dirsearch-public/print/downloadPdf/9296779","USPTO PDF")</f>
        <v>0.0</v>
      </c>
      <c r="K3887" s="2" t="n">
        <f>HYPERLINK("https://sectors.patentforecast.com/pmd/US9296779","PMD")</f>
        <v>0.0</v>
      </c>
      <c r="L3887" s="2" t="n">
        <f>HYPERLINK("https://globaldossier.uspto.gov/result/patent/US/9296779/1","US9296779")</f>
        <v>0.0</v>
      </c>
      <c r="M3887" t="s">
        <v>20216</v>
      </c>
      <c r="N3887" t="s">
        <v>664</v>
      </c>
      <c r="O3887" t="s">
        <v>665</v>
      </c>
      <c r="P3887" t="s">
        <v>24422</v>
      </c>
      <c r="Q3887" s="3" t="n">
        <v>42040.0</v>
      </c>
      <c r="R3887" s="3" t="n">
        <v>42458.0</v>
      </c>
      <c r="S3887" s="3" t="n">
        <v>43957.45971019676</v>
      </c>
      <c r="T3887" s="3" t="n">
        <v>44638.65796365741</v>
      </c>
      <c r="U3887" t="s">
        <v>24423</v>
      </c>
      <c r="V3887" t="s">
        <v>17322</v>
      </c>
    </row>
    <row r="3888">
      <c r="A3888" t="s">
        <v>23557</v>
      </c>
      <c r="B3888" t="s">
        <v>24424</v>
      </c>
      <c r="C3888" t="s">
        <v>60</v>
      </c>
      <c r="D3888" t="s">
        <v>61</v>
      </c>
      <c r="E3888" t="s">
        <v>24015</v>
      </c>
      <c r="F3888" s="2" t="n">
        <f>HYPERLINK("https://patents.google.com/patent/US9296777","Google")</f>
        <v>0.0</v>
      </c>
      <c r="G3888" s="2" t="n">
        <f>HYPERLINK("https://patentcenter.uspto.gov/applications/14265840","Patent Center")</f>
        <v>0.0</v>
      </c>
      <c r="H3888" s="2" t="n">
        <f>HYPERLINK("https://worldwide.espacenet.com/patent/search?q=US9296777","Espacenet")</f>
        <v>0.0</v>
      </c>
      <c r="I3888" s="2" t="n">
        <f>HYPERLINK("https://ppubs.uspto.gov/pubwebapp/external.html?q=9296777.pn.","USPTO")</f>
        <v>0.0</v>
      </c>
      <c r="J3888" s="2" t="n">
        <f>HYPERLINK("https://image-ppubs.uspto.gov/dirsearch-public/print/downloadPdf/9296777","USPTO PDF")</f>
        <v>0.0</v>
      </c>
      <c r="K3888" s="2" t="n">
        <f>HYPERLINK("https://sectors.patentforecast.com/pmd/US9296777","PMD")</f>
        <v>0.0</v>
      </c>
      <c r="L3888" s="2" t="n">
        <f>HYPERLINK("https://globaldossier.uspto.gov/result/patent/US/9296777/1","US9296777")</f>
        <v>0.0</v>
      </c>
      <c r="M3888" t="s">
        <v>20607</v>
      </c>
      <c r="N3888" t="s">
        <v>664</v>
      </c>
      <c r="O3888" t="s">
        <v>665</v>
      </c>
      <c r="P3888" t="s">
        <v>24425</v>
      </c>
      <c r="Q3888" s="3" t="n">
        <v>41759.0</v>
      </c>
      <c r="R3888" s="3" t="n">
        <v>42458.0</v>
      </c>
      <c r="S3888" s="3" t="n">
        <v>43957.45971019676</v>
      </c>
      <c r="T3888" s="3" t="n">
        <v>44544.41434578704</v>
      </c>
      <c r="U3888" t="s">
        <v>24426</v>
      </c>
      <c r="V3888" t="s">
        <v>19517</v>
      </c>
    </row>
    <row r="3889">
      <c r="A3889" t="s">
        <v>23557</v>
      </c>
      <c r="B3889" t="s">
        <v>24427</v>
      </c>
      <c r="C3889" t="s">
        <v>60</v>
      </c>
      <c r="D3889" t="s">
        <v>61</v>
      </c>
      <c r="E3889" t="s">
        <v>24428</v>
      </c>
      <c r="F3889" s="2" t="n">
        <f>HYPERLINK("https://patents.google.com/patent/US9296758","Google")</f>
        <v>0.0</v>
      </c>
      <c r="G3889" s="2" t="n">
        <f>HYPERLINK("https://patentcenter.uspto.gov/applications/13806048","Patent Center")</f>
        <v>0.0</v>
      </c>
      <c r="H3889" s="2" t="n">
        <f>HYPERLINK("https://worldwide.espacenet.com/patent/search?q=US9296758","Espacenet")</f>
        <v>0.0</v>
      </c>
      <c r="I3889" s="2" t="n">
        <f>HYPERLINK("https://ppubs.uspto.gov/pubwebapp/external.html?q=9296758.pn.","USPTO")</f>
        <v>0.0</v>
      </c>
      <c r="J3889" s="2" t="n">
        <f>HYPERLINK("https://image-ppubs.uspto.gov/dirsearch-public/print/downloadPdf/9296758","USPTO PDF")</f>
        <v>0.0</v>
      </c>
      <c r="K3889" s="2" t="n">
        <f>HYPERLINK("https://sectors.patentforecast.com/pmd/US9296758","PMD")</f>
        <v>0.0</v>
      </c>
      <c r="L3889" s="2" t="n">
        <f>HYPERLINK("https://globaldossier.uspto.gov/result/patent/US/9296758/1","US9296758")</f>
        <v>0.0</v>
      </c>
      <c r="M3889" t="s">
        <v>21087</v>
      </c>
      <c r="N3889" t="s">
        <v>664</v>
      </c>
      <c r="O3889" t="s">
        <v>665</v>
      </c>
      <c r="P3889" t="s">
        <v>24429</v>
      </c>
      <c r="Q3889" s="3" t="n">
        <v>40725.0</v>
      </c>
      <c r="R3889" s="3" t="n">
        <v>42458.0</v>
      </c>
      <c r="S3889" s="3" t="n">
        <v>43957.45971019676</v>
      </c>
      <c r="T3889" s="3" t="n">
        <v>44544.41345137732</v>
      </c>
      <c r="U3889" t="s">
        <v>24430</v>
      </c>
      <c r="V3889" t="s">
        <v>21090</v>
      </c>
    </row>
    <row r="3890">
      <c r="A3890" t="s">
        <v>23557</v>
      </c>
      <c r="B3890" t="s">
        <v>24431</v>
      </c>
      <c r="C3890" t="s">
        <v>24</v>
      </c>
      <c r="D3890" t="s">
        <v>25</v>
      </c>
      <c r="E3890" t="s">
        <v>24432</v>
      </c>
      <c r="F3890" s="2" t="n">
        <f>HYPERLINK("https://patents.google.com/patent/US9286511","Google")</f>
        <v>0.0</v>
      </c>
      <c r="G3890" s="2" t="n">
        <f>HYPERLINK("https://patentcenter.uspto.gov/applications/14159573","Patent Center")</f>
        <v>0.0</v>
      </c>
      <c r="H3890" s="2" t="n">
        <f>HYPERLINK("https://worldwide.espacenet.com/patent/search?q=US9286511","Espacenet")</f>
        <v>0.0</v>
      </c>
      <c r="I3890" s="2" t="n">
        <f>HYPERLINK("https://ppubs.uspto.gov/pubwebapp/external.html?q=9286511.pn.","USPTO")</f>
        <v>0.0</v>
      </c>
      <c r="J3890" s="2" t="n">
        <f>HYPERLINK("https://image-ppubs.uspto.gov/dirsearch-public/print/downloadPdf/9286511","USPTO PDF")</f>
        <v>0.0</v>
      </c>
      <c r="K3890" s="2" t="n">
        <f>HYPERLINK("https://sectors.patentforecast.com/pmd/US9286511","PMD")</f>
        <v>0.0</v>
      </c>
      <c r="L3890" s="2" t="n">
        <f>HYPERLINK("https://globaldossier.uspto.gov/result/patent/US/9286511/1","US9286511")</f>
        <v>0.0</v>
      </c>
      <c r="M3890" t="s">
        <v>20669</v>
      </c>
      <c r="N3890" t="s">
        <v>20670</v>
      </c>
      <c r="O3890" t="s">
        <v>20671</v>
      </c>
      <c r="P3890" t="s">
        <v>24137</v>
      </c>
      <c r="Q3890" s="3" t="n">
        <v>41660.0</v>
      </c>
      <c r="R3890" s="3" t="n">
        <v>42444.0</v>
      </c>
      <c r="S3890" s="3" t="n">
        <v>43908.458517893516</v>
      </c>
      <c r="T3890" s="3" t="n">
        <v>43984.71589641204</v>
      </c>
      <c r="U3890" t="s">
        <v>24138</v>
      </c>
      <c r="V3890" t="s">
        <v>20672</v>
      </c>
    </row>
    <row r="3891">
      <c r="A3891" t="s">
        <v>23557</v>
      </c>
      <c r="B3891" t="s">
        <v>24433</v>
      </c>
      <c r="C3891" t="s">
        <v>132</v>
      </c>
      <c r="D3891" t="s">
        <v>1265</v>
      </c>
      <c r="E3891" t="s">
        <v>23690</v>
      </c>
      <c r="F3891" s="2" t="n">
        <f>HYPERLINK("https://patents.google.com/patent/US9284533","Google")</f>
        <v>0.0</v>
      </c>
      <c r="G3891" s="2" t="n">
        <f>HYPERLINK("https://patentcenter.uspto.gov/applications/14128415","Patent Center")</f>
        <v>0.0</v>
      </c>
      <c r="H3891" s="2" t="n">
        <f>HYPERLINK("https://worldwide.espacenet.com/patent/search?q=US9284533","Espacenet")</f>
        <v>0.0</v>
      </c>
      <c r="I3891" s="2" t="n">
        <f>HYPERLINK("https://ppubs.uspto.gov/pubwebapp/external.html?q=9284533.pn.","USPTO")</f>
        <v>0.0</v>
      </c>
      <c r="J3891" s="2" t="n">
        <f>HYPERLINK("https://image-ppubs.uspto.gov/dirsearch-public/print/downloadPdf/9284533","USPTO PDF")</f>
        <v>0.0</v>
      </c>
      <c r="K3891" s="2" t="n">
        <f>HYPERLINK("https://sectors.patentforecast.com/pmd/US9284533","PMD")</f>
        <v>0.0</v>
      </c>
      <c r="L3891" s="2" t="n">
        <f>HYPERLINK("https://globaldossier.uspto.gov/result/patent/US/9284533/1","US9284533")</f>
        <v>0.0</v>
      </c>
      <c r="M3891" t="s">
        <v>24434</v>
      </c>
      <c r="N3891" t="s">
        <v>23692</v>
      </c>
      <c r="O3891" t="s">
        <v>23693</v>
      </c>
      <c r="P3891" t="s">
        <v>23694</v>
      </c>
      <c r="Q3891" s="3" t="n">
        <v>41081.0</v>
      </c>
      <c r="R3891" s="3" t="n">
        <v>42444.0</v>
      </c>
      <c r="S3891" s="3" t="n">
        <v>43973.46971416667</v>
      </c>
      <c r="T3891" s="3" t="n">
        <v>44545.61425259259</v>
      </c>
      <c r="U3891" t="s">
        <v>24435</v>
      </c>
      <c r="V3891" t="s">
        <v>23696</v>
      </c>
    </row>
    <row r="3892">
      <c r="A3892" t="s">
        <v>23557</v>
      </c>
      <c r="B3892" t="s">
        <v>24436</v>
      </c>
      <c r="C3892" t="s">
        <v>60</v>
      </c>
      <c r="D3892" t="s">
        <v>61</v>
      </c>
      <c r="E3892" t="s">
        <v>24437</v>
      </c>
      <c r="F3892" s="2" t="n">
        <f>HYPERLINK("https://patents.google.com/patent/US9284323","Google")</f>
        <v>0.0</v>
      </c>
      <c r="G3892" s="2" t="n">
        <f>HYPERLINK("https://patentcenter.uspto.gov/applications/14370466","Patent Center")</f>
        <v>0.0</v>
      </c>
      <c r="H3892" s="2" t="n">
        <f>HYPERLINK("https://worldwide.espacenet.com/patent/search?q=US9284323","Espacenet")</f>
        <v>0.0</v>
      </c>
      <c r="I3892" s="2" t="n">
        <f>HYPERLINK("https://ppubs.uspto.gov/pubwebapp/external.html?q=9284323.pn.","USPTO")</f>
        <v>0.0</v>
      </c>
      <c r="J3892" s="2" t="n">
        <f>HYPERLINK("https://image-ppubs.uspto.gov/dirsearch-public/print/downloadPdf/9284323","USPTO PDF")</f>
        <v>0.0</v>
      </c>
      <c r="K3892" s="2" t="n">
        <f>HYPERLINK("https://sectors.patentforecast.com/pmd/US9284323","PMD")</f>
        <v>0.0</v>
      </c>
      <c r="L3892" s="2" t="n">
        <f>HYPERLINK("https://globaldossier.uspto.gov/result/patent/US/9284323/1","US9284323")</f>
        <v>0.0</v>
      </c>
      <c r="M3892" t="s">
        <v>20347</v>
      </c>
      <c r="N3892" t="s">
        <v>664</v>
      </c>
      <c r="O3892" t="s">
        <v>665</v>
      </c>
      <c r="P3892" t="s">
        <v>24438</v>
      </c>
      <c r="Q3892" s="3" t="n">
        <v>41277.0</v>
      </c>
      <c r="R3892" s="3" t="n">
        <v>42444.0</v>
      </c>
      <c r="S3892" s="3" t="n">
        <v>43957.45971019676</v>
      </c>
      <c r="T3892" s="3" t="n">
        <v>44638.662781747684</v>
      </c>
      <c r="U3892" t="s">
        <v>24439</v>
      </c>
      <c r="V3892" t="s">
        <v>20350</v>
      </c>
    </row>
    <row r="3893">
      <c r="A3893" t="s">
        <v>23557</v>
      </c>
      <c r="B3893" t="s">
        <v>24440</v>
      </c>
      <c r="C3893" t="s">
        <v>60</v>
      </c>
      <c r="D3893" t="s">
        <v>61</v>
      </c>
      <c r="E3893" t="s">
        <v>24441</v>
      </c>
      <c r="F3893" s="2" t="n">
        <f>HYPERLINK("https://patents.google.com/patent/US9278975","Google")</f>
        <v>0.0</v>
      </c>
      <c r="G3893" s="2" t="n">
        <f>HYPERLINK("https://patentcenter.uspto.gov/applications/14566340","Patent Center")</f>
        <v>0.0</v>
      </c>
      <c r="H3893" s="2" t="n">
        <f>HYPERLINK("https://worldwide.espacenet.com/patent/search?q=US9278975","Espacenet")</f>
        <v>0.0</v>
      </c>
      <c r="I3893" s="2" t="n">
        <f>HYPERLINK("https://ppubs.uspto.gov/pubwebapp/external.html?q=9278975.pn.","USPTO")</f>
        <v>0.0</v>
      </c>
      <c r="J3893" s="2" t="n">
        <f>HYPERLINK("https://image-ppubs.uspto.gov/dirsearch-public/print/downloadPdf/9278975","USPTO PDF")</f>
        <v>0.0</v>
      </c>
      <c r="K3893" s="2" t="n">
        <f>HYPERLINK("https://sectors.patentforecast.com/pmd/US9278975","PMD")</f>
        <v>0.0</v>
      </c>
      <c r="L3893" s="2" t="n">
        <f>HYPERLINK("https://globaldossier.uspto.gov/result/patent/US/9278975/1","US9278975")</f>
        <v>0.0</v>
      </c>
      <c r="M3893" t="s">
        <v>20265</v>
      </c>
      <c r="N3893" t="s">
        <v>664</v>
      </c>
      <c r="O3893" t="s">
        <v>665</v>
      </c>
      <c r="P3893" t="s">
        <v>24442</v>
      </c>
      <c r="Q3893" s="3" t="n">
        <v>41983.0</v>
      </c>
      <c r="R3893" s="3" t="n">
        <v>42437.0</v>
      </c>
      <c r="S3893" s="3" t="n">
        <v>43957.45971019676</v>
      </c>
      <c r="T3893" s="3" t="n">
        <v>44638.65271974537</v>
      </c>
      <c r="U3893" t="s">
        <v>24443</v>
      </c>
      <c r="V3893" t="s">
        <v>19582</v>
      </c>
    </row>
    <row r="3894">
      <c r="A3894" t="s">
        <v>23557</v>
      </c>
      <c r="B3894" t="s">
        <v>24444</v>
      </c>
      <c r="C3894" t="s">
        <v>132</v>
      </c>
      <c r="D3894" t="s">
        <v>1265</v>
      </c>
      <c r="E3894" t="s">
        <v>22970</v>
      </c>
      <c r="F3894" s="2" t="n">
        <f>HYPERLINK("https://patents.google.com/patent/US9278127","Google")</f>
        <v>0.0</v>
      </c>
      <c r="G3894" s="2" t="n">
        <f>HYPERLINK("https://patentcenter.uspto.gov/applications/13163002","Patent Center")</f>
        <v>0.0</v>
      </c>
      <c r="H3894" s="2" t="n">
        <f>HYPERLINK("https://worldwide.espacenet.com/patent/search?q=US9278127","Espacenet")</f>
        <v>0.0</v>
      </c>
      <c r="I3894" s="2" t="n">
        <f>HYPERLINK("https://ppubs.uspto.gov/pubwebapp/external.html?q=9278127.pn.","USPTO")</f>
        <v>0.0</v>
      </c>
      <c r="J3894" s="2" t="n">
        <f>HYPERLINK("https://image-ppubs.uspto.gov/dirsearch-public/print/downloadPdf/9278127","USPTO PDF")</f>
        <v>0.0</v>
      </c>
      <c r="K3894" s="2" t="n">
        <f>HYPERLINK("https://sectors.patentforecast.com/pmd/US9278127","PMD")</f>
        <v>0.0</v>
      </c>
      <c r="L3894" s="2" t="n">
        <f>HYPERLINK("https://globaldossier.uspto.gov/result/patent/US/9278127/1","US9278127")</f>
        <v>0.0</v>
      </c>
      <c r="M3894" t="s">
        <v>21692</v>
      </c>
      <c r="N3894" t="s">
        <v>15147</v>
      </c>
      <c r="O3894" t="s">
        <v>15148</v>
      </c>
      <c r="P3894" t="s">
        <v>23675</v>
      </c>
      <c r="Q3894" s="3" t="n">
        <v>40711.0</v>
      </c>
      <c r="R3894" s="3" t="n">
        <v>42437.0</v>
      </c>
      <c r="S3894" s="3" t="n">
        <v>43900.43738940972</v>
      </c>
      <c r="T3894" s="3" t="n">
        <v>43901.70557082176</v>
      </c>
      <c r="U3894" t="s">
        <v>24445</v>
      </c>
      <c r="V3894" t="s">
        <v>24446</v>
      </c>
    </row>
    <row r="3895">
      <c r="A3895" t="s">
        <v>23557</v>
      </c>
      <c r="B3895" t="s">
        <v>24447</v>
      </c>
      <c r="C3895" t="s">
        <v>24</v>
      </c>
      <c r="D3895" t="s">
        <v>100</v>
      </c>
      <c r="E3895" t="s">
        <v>24448</v>
      </c>
      <c r="F3895" s="2" t="n">
        <f>HYPERLINK("https://patents.google.com/patent/US9278107","Google")</f>
        <v>0.0</v>
      </c>
      <c r="G3895" s="2" t="n">
        <f>HYPERLINK("https://patentcenter.uspto.gov/applications/13142088","Patent Center")</f>
        <v>0.0</v>
      </c>
      <c r="H3895" s="2" t="n">
        <f>HYPERLINK("https://worldwide.espacenet.com/patent/search?q=US9278107","Espacenet")</f>
        <v>0.0</v>
      </c>
      <c r="I3895" s="2" t="n">
        <f>HYPERLINK("https://ppubs.uspto.gov/pubwebapp/external.html?q=9278107.pn.","USPTO")</f>
        <v>0.0</v>
      </c>
      <c r="J3895" s="2" t="n">
        <f>HYPERLINK("https://image-ppubs.uspto.gov/dirsearch-public/print/downloadPdf/9278107","USPTO PDF")</f>
        <v>0.0</v>
      </c>
      <c r="K3895" s="2" t="n">
        <f>HYPERLINK("https://sectors.patentforecast.com/pmd/US9278107","PMD")</f>
        <v>0.0</v>
      </c>
      <c r="L3895" s="2" t="n">
        <f>HYPERLINK("https://globaldossier.uspto.gov/result/patent/US/9278107/1","US9278107")</f>
        <v>0.0</v>
      </c>
      <c r="M3895" t="s">
        <v>21660</v>
      </c>
      <c r="N3895" t="s">
        <v>19690</v>
      </c>
      <c r="O3895" t="s">
        <v>19690</v>
      </c>
      <c r="P3895" t="s">
        <v>24075</v>
      </c>
      <c r="Q3895" s="3" t="n">
        <v>40122.0</v>
      </c>
      <c r="R3895" s="3" t="n">
        <v>42437.0</v>
      </c>
      <c r="S3895" s="3" t="n">
        <v>43971.49174709491</v>
      </c>
      <c r="T3895" s="3" t="n">
        <v>44643.446655405096</v>
      </c>
      <c r="U3895" t="s">
        <v>24449</v>
      </c>
      <c r="V3895" t="s">
        <v>24450</v>
      </c>
    </row>
    <row r="3896">
      <c r="A3896" t="s">
        <v>23557</v>
      </c>
      <c r="B3896" t="s">
        <v>24451</v>
      </c>
      <c r="C3896" t="s">
        <v>60</v>
      </c>
      <c r="D3896" t="s">
        <v>696</v>
      </c>
      <c r="E3896" t="s">
        <v>21604</v>
      </c>
      <c r="F3896" s="2" t="n">
        <f>HYPERLINK("https://patents.google.com/patent/US9265825","Google")</f>
        <v>0.0</v>
      </c>
      <c r="G3896" s="2" t="n">
        <f>HYPERLINK("https://patentcenter.uspto.gov/applications/13780018","Patent Center")</f>
        <v>0.0</v>
      </c>
      <c r="H3896" s="2" t="n">
        <f>HYPERLINK("https://worldwide.espacenet.com/patent/search?q=US9265825","Espacenet")</f>
        <v>0.0</v>
      </c>
      <c r="I3896" s="2" t="n">
        <f>HYPERLINK("https://ppubs.uspto.gov/pubwebapp/external.html?q=9265825.pn.","USPTO")</f>
        <v>0.0</v>
      </c>
      <c r="J3896" s="2" t="n">
        <f>HYPERLINK("https://image-ppubs.uspto.gov/dirsearch-public/print/downloadPdf/9265825","USPTO PDF")</f>
        <v>0.0</v>
      </c>
      <c r="K3896" s="2" t="n">
        <f>HYPERLINK("https://sectors.patentforecast.com/pmd/US9265825","PMD")</f>
        <v>0.0</v>
      </c>
      <c r="L3896" s="2" t="n">
        <f>HYPERLINK("https://globaldossier.uspto.gov/result/patent/US/9265825/1","US9265825")</f>
        <v>0.0</v>
      </c>
      <c r="M3896" t="s">
        <v>21141</v>
      </c>
      <c r="N3896" t="s">
        <v>24452</v>
      </c>
      <c r="O3896" t="s">
        <v>24453</v>
      </c>
      <c r="P3896" t="s">
        <v>23586</v>
      </c>
      <c r="Q3896" s="3" t="n">
        <v>41333.0</v>
      </c>
      <c r="R3896" s="3" t="n">
        <v>42423.0</v>
      </c>
      <c r="S3896" s="3" t="n">
        <v>43971.49174709491</v>
      </c>
      <c r="T3896" s="3" t="n">
        <v>44643.44490069444</v>
      </c>
      <c r="U3896" t="s">
        <v>24454</v>
      </c>
      <c r="V3896" t="s">
        <v>16961</v>
      </c>
    </row>
    <row r="3897">
      <c r="A3897" t="s">
        <v>23557</v>
      </c>
      <c r="B3897" t="s">
        <v>24455</v>
      </c>
      <c r="C3897" t="s">
        <v>60</v>
      </c>
      <c r="D3897" t="s">
        <v>61</v>
      </c>
      <c r="E3897" t="s">
        <v>24456</v>
      </c>
      <c r="F3897" s="2" t="n">
        <f>HYPERLINK("https://patents.google.com/patent/US9259426","Google")</f>
        <v>0.0</v>
      </c>
      <c r="G3897" s="2" t="n">
        <f>HYPERLINK("https://patentcenter.uspto.gov/applications/12374433","Patent Center")</f>
        <v>0.0</v>
      </c>
      <c r="H3897" s="2" t="n">
        <f>HYPERLINK("https://worldwide.espacenet.com/patent/search?q=US9259426","Espacenet")</f>
        <v>0.0</v>
      </c>
      <c r="I3897" s="2" t="n">
        <f>HYPERLINK("https://ppubs.uspto.gov/pubwebapp/external.html?q=9259426.pn.","USPTO")</f>
        <v>0.0</v>
      </c>
      <c r="J3897" s="2" t="n">
        <f>HYPERLINK("https://image-ppubs.uspto.gov/dirsearch-public/print/downloadPdf/9259426","USPTO PDF")</f>
        <v>0.0</v>
      </c>
      <c r="K3897" s="2" t="n">
        <f>HYPERLINK("https://sectors.patentforecast.com/pmd/US9259426","PMD")</f>
        <v>0.0</v>
      </c>
      <c r="L3897" s="2" t="n">
        <f>HYPERLINK("https://globaldossier.uspto.gov/result/patent/US/9259426/1","US9259426")</f>
        <v>0.0</v>
      </c>
      <c r="M3897" t="s">
        <v>22364</v>
      </c>
      <c r="N3897" t="s">
        <v>664</v>
      </c>
      <c r="O3897" t="s">
        <v>665</v>
      </c>
      <c r="P3897" t="s">
        <v>24457</v>
      </c>
      <c r="Q3897" s="3" t="n">
        <v>39283.0</v>
      </c>
      <c r="R3897" s="3" t="n">
        <v>42416.0</v>
      </c>
      <c r="S3897" s="3" t="n">
        <v>43957.45971019676</v>
      </c>
      <c r="T3897" s="3" t="n">
        <v>44544.41462957176</v>
      </c>
      <c r="U3897" t="s">
        <v>24458</v>
      </c>
      <c r="V3897" t="s">
        <v>19533</v>
      </c>
    </row>
    <row r="3898">
      <c r="A3898" t="s">
        <v>23557</v>
      </c>
      <c r="B3898" t="s">
        <v>24459</v>
      </c>
      <c r="C3898" t="s">
        <v>312</v>
      </c>
      <c r="D3898" t="s">
        <v>313</v>
      </c>
      <c r="E3898" t="s">
        <v>24460</v>
      </c>
      <c r="F3898" s="2" t="n">
        <f>HYPERLINK("https://patents.google.com/patent/US9251685","Google")</f>
        <v>0.0</v>
      </c>
      <c r="G3898" s="2" t="n">
        <f>HYPERLINK("https://patentcenter.uspto.gov/applications/13029929","Patent Center")</f>
        <v>0.0</v>
      </c>
      <c r="H3898" s="2" t="n">
        <f>HYPERLINK("https://worldwide.espacenet.com/patent/search?q=US9251685","Espacenet")</f>
        <v>0.0</v>
      </c>
      <c r="I3898" s="2" t="n">
        <f>HYPERLINK("https://ppubs.uspto.gov/pubwebapp/external.html?q=9251685.pn.","USPTO")</f>
        <v>0.0</v>
      </c>
      <c r="J3898" s="2" t="n">
        <f>HYPERLINK("https://image-ppubs.uspto.gov/dirsearch-public/print/downloadPdf/9251685","USPTO PDF")</f>
        <v>0.0</v>
      </c>
      <c r="K3898" s="2" t="n">
        <f>HYPERLINK("https://sectors.patentforecast.com/pmd/US9251685","PMD")</f>
        <v>0.0</v>
      </c>
      <c r="L3898" s="2" t="n">
        <f>HYPERLINK("https://globaldossier.uspto.gov/result/patent/US/9251685/1","US9251685")</f>
        <v>0.0</v>
      </c>
      <c r="M3898" t="s">
        <v>21427</v>
      </c>
      <c r="N3898" t="s">
        <v>947</v>
      </c>
      <c r="O3898" t="s">
        <v>948</v>
      </c>
      <c r="P3898" t="s">
        <v>24461</v>
      </c>
      <c r="Q3898" s="3" t="n">
        <v>40591.0</v>
      </c>
      <c r="R3898" s="3" t="n">
        <v>42402.0</v>
      </c>
      <c r="S3898" s="3" t="n">
        <v>43266.45735469907</v>
      </c>
      <c r="T3898" s="3" t="n">
        <v>43991.46207111111</v>
      </c>
      <c r="U3898" t="s">
        <v>24462</v>
      </c>
      <c r="V3898" t="s">
        <v>21230</v>
      </c>
    </row>
    <row r="3899">
      <c r="A3899" t="s">
        <v>23557</v>
      </c>
      <c r="B3899" t="s">
        <v>24463</v>
      </c>
      <c r="C3899" t="s">
        <v>132</v>
      </c>
      <c r="D3899" t="s">
        <v>1265</v>
      </c>
      <c r="E3899" t="s">
        <v>24464</v>
      </c>
      <c r="F3899" s="2" t="n">
        <f>HYPERLINK("https://patents.google.com/patent/US9243047","Google")</f>
        <v>0.0</v>
      </c>
      <c r="G3899" s="2" t="n">
        <f>HYPERLINK("https://patentcenter.uspto.gov/applications/14570155","Patent Center")</f>
        <v>0.0</v>
      </c>
      <c r="H3899" s="2" t="n">
        <f>HYPERLINK("https://worldwide.espacenet.com/patent/search?q=US9243047","Espacenet")</f>
        <v>0.0</v>
      </c>
      <c r="I3899" s="2" t="n">
        <f>HYPERLINK("https://ppubs.uspto.gov/pubwebapp/external.html?q=9243047.pn.","USPTO")</f>
        <v>0.0</v>
      </c>
      <c r="J3899" s="2" t="n">
        <f>HYPERLINK("https://image-ppubs.uspto.gov/dirsearch-public/print/downloadPdf/9243047","USPTO PDF")</f>
        <v>0.0</v>
      </c>
      <c r="K3899" s="2" t="n">
        <f>HYPERLINK("https://sectors.patentforecast.com/pmd/US9243047","PMD")</f>
        <v>0.0</v>
      </c>
      <c r="L3899" s="2" t="n">
        <f>HYPERLINK("https://globaldossier.uspto.gov/result/patent/US/9243047/1","US9243047")</f>
        <v>0.0</v>
      </c>
      <c r="M3899" t="s">
        <v>24465</v>
      </c>
      <c r="N3899" t="s">
        <v>24466</v>
      </c>
      <c r="O3899" t="s">
        <v>24467</v>
      </c>
      <c r="P3899" t="s">
        <v>24468</v>
      </c>
      <c r="Q3899" s="3" t="n">
        <v>41988.0</v>
      </c>
      <c r="R3899" s="3" t="n">
        <v>42395.0</v>
      </c>
      <c r="S3899" s="3" t="n">
        <v>43973.46971416667</v>
      </c>
      <c r="T3899" s="3" t="n">
        <v>44545.61374634259</v>
      </c>
      <c r="U3899" t="s">
        <v>24469</v>
      </c>
      <c r="V3899" t="s">
        <v>24470</v>
      </c>
    </row>
    <row r="3900">
      <c r="A3900" t="s">
        <v>23557</v>
      </c>
      <c r="B3900" t="s">
        <v>24471</v>
      </c>
      <c r="C3900" t="s">
        <v>60</v>
      </c>
      <c r="D3900" t="s">
        <v>696</v>
      </c>
      <c r="E3900" t="s">
        <v>24472</v>
      </c>
      <c r="F3900" s="2" t="n">
        <f>HYPERLINK("https://patents.google.com/patent/US9241990","Google")</f>
        <v>0.0</v>
      </c>
      <c r="G3900" s="2" t="n">
        <f>HYPERLINK("https://patentcenter.uspto.gov/applications/13849597","Patent Center")</f>
        <v>0.0</v>
      </c>
      <c r="H3900" s="2" t="n">
        <f>HYPERLINK("https://worldwide.espacenet.com/patent/search?q=US9241990","Espacenet")</f>
        <v>0.0</v>
      </c>
      <c r="I3900" s="2" t="n">
        <f>HYPERLINK("https://ppubs.uspto.gov/pubwebapp/external.html?q=9241990.pn.","USPTO")</f>
        <v>0.0</v>
      </c>
      <c r="J3900" s="2" t="n">
        <f>HYPERLINK("https://image-ppubs.uspto.gov/dirsearch-public/print/downloadPdf/9241990","USPTO PDF")</f>
        <v>0.0</v>
      </c>
      <c r="K3900" s="2" t="n">
        <f>HYPERLINK("https://sectors.patentforecast.com/pmd/US9241990","PMD")</f>
        <v>0.0</v>
      </c>
      <c r="L3900" s="2" t="n">
        <f>HYPERLINK("https://globaldossier.uspto.gov/result/patent/US/9241990/1","US9241990")</f>
        <v>0.0</v>
      </c>
      <c r="M3900" t="s">
        <v>20956</v>
      </c>
      <c r="N3900" t="s">
        <v>16927</v>
      </c>
      <c r="O3900" t="s">
        <v>16928</v>
      </c>
      <c r="P3900" t="s">
        <v>23586</v>
      </c>
      <c r="Q3900" s="3" t="n">
        <v>41358.0</v>
      </c>
      <c r="R3900" s="3" t="n">
        <v>42395.0</v>
      </c>
      <c r="S3900" s="3" t="n">
        <v>43973.46971416667</v>
      </c>
      <c r="T3900" s="3" t="n">
        <v>44643.44490069444</v>
      </c>
      <c r="U3900" t="s">
        <v>24473</v>
      </c>
      <c r="V3900" t="s">
        <v>17130</v>
      </c>
    </row>
    <row r="3901">
      <c r="A3901" t="s">
        <v>23557</v>
      </c>
      <c r="B3901" t="s">
        <v>24474</v>
      </c>
      <c r="C3901" t="s">
        <v>60</v>
      </c>
      <c r="D3901" t="s">
        <v>61</v>
      </c>
      <c r="E3901" t="s">
        <v>23625</v>
      </c>
      <c r="F3901" s="2" t="n">
        <f>HYPERLINK("https://patents.google.com/patent/US9238039","Google")</f>
        <v>0.0</v>
      </c>
      <c r="G3901" s="2" t="n">
        <f>HYPERLINK("https://patentcenter.uspto.gov/applications/13905410","Patent Center")</f>
        <v>0.0</v>
      </c>
      <c r="H3901" s="2" t="n">
        <f>HYPERLINK("https://worldwide.espacenet.com/patent/search?q=US9238039","Espacenet")</f>
        <v>0.0</v>
      </c>
      <c r="I3901" s="2" t="n">
        <f>HYPERLINK("https://ppubs.uspto.gov/pubwebapp/external.html?q=9238039.pn.","USPTO")</f>
        <v>0.0</v>
      </c>
      <c r="J3901" s="2" t="n">
        <f>HYPERLINK("https://image-ppubs.uspto.gov/dirsearch-public/print/downloadPdf/9238039","USPTO PDF")</f>
        <v>0.0</v>
      </c>
      <c r="K3901" s="2" t="n">
        <f>HYPERLINK("https://sectors.patentforecast.com/pmd/US9238039","PMD")</f>
        <v>0.0</v>
      </c>
      <c r="L3901" s="2" t="n">
        <f>HYPERLINK("https://globaldossier.uspto.gov/result/patent/US/9238039/1","US9238039")</f>
        <v>0.0</v>
      </c>
      <c r="M3901" t="s">
        <v>20731</v>
      </c>
      <c r="N3901" t="s">
        <v>664</v>
      </c>
      <c r="O3901" t="s">
        <v>665</v>
      </c>
      <c r="P3901" t="s">
        <v>23626</v>
      </c>
      <c r="Q3901" s="3" t="n">
        <v>41424.0</v>
      </c>
      <c r="R3901" s="3" t="n">
        <v>42388.0</v>
      </c>
      <c r="S3901" s="3" t="n">
        <v>43957.45971019676</v>
      </c>
      <c r="T3901" s="3" t="n">
        <v>44638.65271974537</v>
      </c>
      <c r="U3901" t="s">
        <v>24475</v>
      </c>
      <c r="V3901" t="s">
        <v>23628</v>
      </c>
    </row>
    <row r="3902">
      <c r="A3902" t="s">
        <v>23557</v>
      </c>
      <c r="B3902" t="s">
        <v>24476</v>
      </c>
      <c r="C3902" t="s">
        <v>312</v>
      </c>
      <c r="D3902" t="s">
        <v>976</v>
      </c>
      <c r="E3902" t="s">
        <v>24477</v>
      </c>
      <c r="F3902" s="2" t="n">
        <f>HYPERLINK("https://patents.google.com/patent/US9235684","Google")</f>
        <v>0.0</v>
      </c>
      <c r="G3902" s="2" t="n">
        <f>HYPERLINK("https://patentcenter.uspto.gov/applications/10900352","Patent Center")</f>
        <v>0.0</v>
      </c>
      <c r="H3902" s="2" t="n">
        <f>HYPERLINK("https://worldwide.espacenet.com/patent/search?q=US9235684","Espacenet")</f>
        <v>0.0</v>
      </c>
      <c r="I3902" s="2" t="n">
        <f>HYPERLINK("https://ppubs.uspto.gov/pubwebapp/external.html?q=9235684.pn.","USPTO")</f>
        <v>0.0</v>
      </c>
      <c r="J3902" s="2" t="n">
        <f>HYPERLINK("https://image-ppubs.uspto.gov/dirsearch-public/print/downloadPdf/9235684","USPTO PDF")</f>
        <v>0.0</v>
      </c>
      <c r="K3902" s="2" t="n">
        <f>HYPERLINK("https://sectors.patentforecast.com/pmd/US9235684","PMD")</f>
        <v>0.0</v>
      </c>
      <c r="L3902" s="2" t="n">
        <f>HYPERLINK("https://globaldossier.uspto.gov/result/patent/US/9235684/1","US9235684")</f>
        <v>0.0</v>
      </c>
      <c r="M3902" t="s">
        <v>24478</v>
      </c>
      <c r="N3902" t="s">
        <v>2775</v>
      </c>
      <c r="O3902" t="s">
        <v>2776</v>
      </c>
      <c r="P3902" t="s">
        <v>24479</v>
      </c>
      <c r="Q3902" s="3" t="n">
        <v>38196.0</v>
      </c>
      <c r="R3902" s="3" t="n">
        <v>42381.0</v>
      </c>
      <c r="S3902" s="3" t="n">
        <v>43266.45735469907</v>
      </c>
      <c r="T3902" s="3" t="n">
        <v>44643.45398060185</v>
      </c>
      <c r="U3902" t="s">
        <v>24480</v>
      </c>
      <c r="V3902" t="s">
        <v>24481</v>
      </c>
    </row>
    <row r="3903">
      <c r="A3903" t="s">
        <v>23557</v>
      </c>
      <c r="B3903" t="s">
        <v>24482</v>
      </c>
      <c r="C3903" t="s">
        <v>60</v>
      </c>
      <c r="D3903" t="s">
        <v>61</v>
      </c>
      <c r="E3903" t="s">
        <v>22432</v>
      </c>
      <c r="F3903" s="2" t="n">
        <f>HYPERLINK("https://patents.google.com/patent/US9233974","Google")</f>
        <v>0.0</v>
      </c>
      <c r="G3903" s="2" t="n">
        <f>HYPERLINK("https://patentcenter.uspto.gov/applications/13830346","Patent Center")</f>
        <v>0.0</v>
      </c>
      <c r="H3903" s="2" t="n">
        <f>HYPERLINK("https://worldwide.espacenet.com/patent/search?q=US9233974","Espacenet")</f>
        <v>0.0</v>
      </c>
      <c r="I3903" s="2" t="n">
        <f>HYPERLINK("https://ppubs.uspto.gov/pubwebapp/external.html?q=9233974.pn.","USPTO")</f>
        <v>0.0</v>
      </c>
      <c r="J3903" s="2" t="n">
        <f>HYPERLINK("https://image-ppubs.uspto.gov/dirsearch-public/print/downloadPdf/9233974","USPTO PDF")</f>
        <v>0.0</v>
      </c>
      <c r="K3903" s="2" t="n">
        <f>HYPERLINK("https://sectors.patentforecast.com/pmd/US9233974","PMD")</f>
        <v>0.0</v>
      </c>
      <c r="L3903" s="2" t="n">
        <f>HYPERLINK("https://globaldossier.uspto.gov/result/patent/US/9233974/1","US9233974")</f>
        <v>0.0</v>
      </c>
      <c r="M3903" t="s">
        <v>20697</v>
      </c>
      <c r="N3903" t="s">
        <v>664</v>
      </c>
      <c r="O3903" t="s">
        <v>665</v>
      </c>
      <c r="P3903" t="s">
        <v>24483</v>
      </c>
      <c r="Q3903" s="3" t="n">
        <v>41347.0</v>
      </c>
      <c r="R3903" s="3" t="n">
        <v>42381.0</v>
      </c>
      <c r="S3903" s="3" t="n">
        <v>43957.45971019676</v>
      </c>
      <c r="T3903" s="3" t="n">
        <v>44544.455635659724</v>
      </c>
      <c r="U3903" t="s">
        <v>24484</v>
      </c>
      <c r="V3903" t="s">
        <v>17072</v>
      </c>
    </row>
    <row r="3904">
      <c r="A3904" t="s">
        <v>23557</v>
      </c>
      <c r="B3904" t="s">
        <v>24485</v>
      </c>
      <c r="C3904" t="s">
        <v>132</v>
      </c>
      <c r="D3904" t="s">
        <v>2629</v>
      </c>
      <c r="E3904" t="s">
        <v>24486</v>
      </c>
      <c r="F3904" s="2" t="n">
        <f>HYPERLINK("https://patents.google.com/patent/US9226958","Google")</f>
        <v>0.0</v>
      </c>
      <c r="G3904" s="2" t="n">
        <f>HYPERLINK("https://patentcenter.uspto.gov/applications/13876810","Patent Center")</f>
        <v>0.0</v>
      </c>
      <c r="H3904" s="2" t="n">
        <f>HYPERLINK("https://worldwide.espacenet.com/patent/search?q=US9226958","Espacenet")</f>
        <v>0.0</v>
      </c>
      <c r="I3904" s="2" t="n">
        <f>HYPERLINK("https://ppubs.uspto.gov/pubwebapp/external.html?q=9226958.pn.","USPTO")</f>
        <v>0.0</v>
      </c>
      <c r="J3904" s="2" t="n">
        <f>HYPERLINK("https://image-ppubs.uspto.gov/dirsearch-public/print/downloadPdf/9226958","USPTO PDF")</f>
        <v>0.0</v>
      </c>
      <c r="K3904" s="2" t="n">
        <f>HYPERLINK("https://sectors.patentforecast.com/pmd/US9226958","PMD")</f>
        <v>0.0</v>
      </c>
      <c r="L3904" s="2" t="n">
        <f>HYPERLINK("https://globaldossier.uspto.gov/result/patent/US/9226958/1","US9226958")</f>
        <v>0.0</v>
      </c>
      <c r="M3904" t="s">
        <v>24487</v>
      </c>
      <c r="N3904" t="s">
        <v>7854</v>
      </c>
      <c r="O3904" t="s">
        <v>7855</v>
      </c>
      <c r="P3904" t="s">
        <v>24488</v>
      </c>
      <c r="Q3904" s="3" t="n">
        <v>40819.0</v>
      </c>
      <c r="R3904" s="3" t="n">
        <v>42374.0</v>
      </c>
      <c r="S3904" s="3" t="n">
        <v>43973.46971416667</v>
      </c>
      <c r="T3904" s="3" t="n">
        <v>44546.39363979167</v>
      </c>
      <c r="U3904" t="s">
        <v>24489</v>
      </c>
      <c r="V3904" t="s">
        <v>24490</v>
      </c>
    </row>
    <row r="3905">
      <c r="A3905" t="s">
        <v>23557</v>
      </c>
      <c r="B3905" t="s">
        <v>24491</v>
      </c>
      <c r="C3905" t="s">
        <v>60</v>
      </c>
      <c r="D3905" t="s">
        <v>61</v>
      </c>
      <c r="E3905" t="s">
        <v>22432</v>
      </c>
      <c r="F3905" s="2" t="n">
        <f>HYPERLINK("https://patents.google.com/patent/US9221833","Google")</f>
        <v>0.0</v>
      </c>
      <c r="G3905" s="2" t="n">
        <f>HYPERLINK("https://patentcenter.uspto.gov/applications/14696233","Patent Center")</f>
        <v>0.0</v>
      </c>
      <c r="H3905" s="2" t="n">
        <f>HYPERLINK("https://worldwide.espacenet.com/patent/search?q=US9221833","Espacenet")</f>
        <v>0.0</v>
      </c>
      <c r="I3905" s="2" t="n">
        <f>HYPERLINK("https://ppubs.uspto.gov/pubwebapp/external.html?q=9221833.pn.","USPTO")</f>
        <v>0.0</v>
      </c>
      <c r="J3905" s="2" t="n">
        <f>HYPERLINK("https://image-ppubs.uspto.gov/dirsearch-public/print/downloadPdf/9221833","USPTO PDF")</f>
        <v>0.0</v>
      </c>
      <c r="K3905" s="2" t="n">
        <f>HYPERLINK("https://sectors.patentforecast.com/pmd/US9221833","PMD")</f>
        <v>0.0</v>
      </c>
      <c r="L3905" s="2" t="n">
        <f>HYPERLINK("https://globaldossier.uspto.gov/result/patent/US/9221833/1","US9221833")</f>
        <v>0.0</v>
      </c>
      <c r="M3905" t="s">
        <v>20099</v>
      </c>
      <c r="N3905" t="s">
        <v>664</v>
      </c>
      <c r="O3905" t="s">
        <v>665</v>
      </c>
      <c r="P3905" t="s">
        <v>24492</v>
      </c>
      <c r="Q3905" s="3" t="n">
        <v>42118.0</v>
      </c>
      <c r="R3905" s="3" t="n">
        <v>42367.0</v>
      </c>
      <c r="S3905" s="3" t="n">
        <v>43957.45971019676</v>
      </c>
      <c r="T3905" s="3" t="n">
        <v>44544.455635659724</v>
      </c>
      <c r="U3905" t="s">
        <v>24493</v>
      </c>
      <c r="V3905" t="s">
        <v>17072</v>
      </c>
    </row>
    <row r="3906">
      <c r="A3906" t="s">
        <v>23557</v>
      </c>
      <c r="B3906" t="s">
        <v>24494</v>
      </c>
      <c r="C3906" t="s">
        <v>132</v>
      </c>
      <c r="D3906" t="s">
        <v>1265</v>
      </c>
      <c r="E3906" t="s">
        <v>24495</v>
      </c>
      <c r="F3906" s="2" t="n">
        <f>HYPERLINK("https://patents.google.com/patent/US9220769","Google")</f>
        <v>0.0</v>
      </c>
      <c r="G3906" s="2" t="n">
        <f>HYPERLINK("https://patentcenter.uspto.gov/applications/14346669","Patent Center")</f>
        <v>0.0</v>
      </c>
      <c r="H3906" s="2" t="n">
        <f>HYPERLINK("https://worldwide.espacenet.com/patent/search?q=US9220769","Espacenet")</f>
        <v>0.0</v>
      </c>
      <c r="I3906" s="2" t="n">
        <f>HYPERLINK("https://ppubs.uspto.gov/pubwebapp/external.html?q=9220769.pn.","USPTO")</f>
        <v>0.0</v>
      </c>
      <c r="J3906" s="2" t="n">
        <f>HYPERLINK("https://image-ppubs.uspto.gov/dirsearch-public/print/downloadPdf/9220769","USPTO PDF")</f>
        <v>0.0</v>
      </c>
      <c r="K3906" s="2" t="n">
        <f>HYPERLINK("https://sectors.patentforecast.com/pmd/US9220769","PMD")</f>
        <v>0.0</v>
      </c>
      <c r="L3906" s="2" t="n">
        <f>HYPERLINK("https://globaldossier.uspto.gov/result/patent/US/9220769/1","US9220769")</f>
        <v>0.0</v>
      </c>
      <c r="M3906" t="s">
        <v>24496</v>
      </c>
      <c r="N3906" t="s">
        <v>20741</v>
      </c>
      <c r="O3906" t="s">
        <v>20742</v>
      </c>
      <c r="P3906" t="s">
        <v>24497</v>
      </c>
      <c r="Q3906" s="3" t="n">
        <v>41173.0</v>
      </c>
      <c r="R3906" s="3" t="n">
        <v>42367.0</v>
      </c>
      <c r="S3906" s="3" t="n">
        <v>43973.46971416667</v>
      </c>
      <c r="T3906" s="3" t="n">
        <v>44545.5737190162</v>
      </c>
      <c r="U3906" t="s">
        <v>24498</v>
      </c>
      <c r="V3906" t="s">
        <v>24499</v>
      </c>
    </row>
    <row r="3907">
      <c r="A3907" t="s">
        <v>23557</v>
      </c>
      <c r="B3907" t="s">
        <v>24500</v>
      </c>
      <c r="C3907" t="s">
        <v>60</v>
      </c>
      <c r="D3907" t="s">
        <v>61</v>
      </c>
      <c r="E3907" t="s">
        <v>24501</v>
      </c>
      <c r="F3907" s="2" t="n">
        <f>HYPERLINK("https://patents.google.com/patent/US9216996","Google")</f>
        <v>0.0</v>
      </c>
      <c r="G3907" s="2" t="n">
        <f>HYPERLINK("https://patentcenter.uspto.gov/applications/14133858","Patent Center")</f>
        <v>0.0</v>
      </c>
      <c r="H3907" s="2" t="n">
        <f>HYPERLINK("https://worldwide.espacenet.com/patent/search?q=US9216996","Espacenet")</f>
        <v>0.0</v>
      </c>
      <c r="I3907" s="2" t="n">
        <f>HYPERLINK("https://ppubs.uspto.gov/pubwebapp/external.html?q=9216996.pn.","USPTO")</f>
        <v>0.0</v>
      </c>
      <c r="J3907" s="2" t="n">
        <f>HYPERLINK("https://image-ppubs.uspto.gov/dirsearch-public/print/downloadPdf/9216996","USPTO PDF")</f>
        <v>0.0</v>
      </c>
      <c r="K3907" s="2" t="n">
        <f>HYPERLINK("https://sectors.patentforecast.com/pmd/US9216996","PMD")</f>
        <v>0.0</v>
      </c>
      <c r="L3907" s="2" t="n">
        <f>HYPERLINK("https://globaldossier.uspto.gov/result/patent/US/9216996/1","US9216996")</f>
        <v>0.0</v>
      </c>
      <c r="M3907" t="s">
        <v>24502</v>
      </c>
      <c r="N3907" t="s">
        <v>664</v>
      </c>
      <c r="O3907" t="s">
        <v>665</v>
      </c>
      <c r="P3907" t="s">
        <v>24503</v>
      </c>
      <c r="Q3907" s="3" t="n">
        <v>41627.0</v>
      </c>
      <c r="R3907" s="3" t="n">
        <v>42360.0</v>
      </c>
      <c r="S3907" s="3" t="n">
        <v>43957.45971019676</v>
      </c>
      <c r="T3907" s="3" t="n">
        <v>44638.65579662037</v>
      </c>
      <c r="U3907" t="s">
        <v>24504</v>
      </c>
      <c r="V3907" t="s">
        <v>24505</v>
      </c>
    </row>
    <row r="3908">
      <c r="A3908" t="s">
        <v>23557</v>
      </c>
      <c r="B3908" t="s">
        <v>24506</v>
      </c>
      <c r="C3908" t="s">
        <v>60</v>
      </c>
      <c r="D3908" t="s">
        <v>696</v>
      </c>
      <c r="E3908" t="s">
        <v>23687</v>
      </c>
      <c r="F3908" s="2" t="n">
        <f>HYPERLINK("https://patents.google.com/patent/US9212223","Google")</f>
        <v>0.0</v>
      </c>
      <c r="G3908" s="2" t="n">
        <f>HYPERLINK("https://patentcenter.uspto.gov/applications/13600978","Patent Center")</f>
        <v>0.0</v>
      </c>
      <c r="H3908" s="2" t="n">
        <f>HYPERLINK("https://worldwide.espacenet.com/patent/search?q=US9212223","Espacenet")</f>
        <v>0.0</v>
      </c>
      <c r="I3908" s="2" t="n">
        <f>HYPERLINK("https://ppubs.uspto.gov/pubwebapp/external.html?q=9212223.pn.","USPTO")</f>
        <v>0.0</v>
      </c>
      <c r="J3908" s="2" t="n">
        <f>HYPERLINK("https://image-ppubs.uspto.gov/dirsearch-public/print/downloadPdf/9212223","USPTO PDF")</f>
        <v>0.0</v>
      </c>
      <c r="K3908" s="2" t="n">
        <f>HYPERLINK("https://sectors.patentforecast.com/pmd/US9212223","PMD")</f>
        <v>0.0</v>
      </c>
      <c r="L3908" s="2" t="n">
        <f>HYPERLINK("https://globaldossier.uspto.gov/result/patent/US/9212223/1","US9212223")</f>
        <v>0.0</v>
      </c>
      <c r="M3908" t="s">
        <v>21241</v>
      </c>
      <c r="N3908" t="s">
        <v>16927</v>
      </c>
      <c r="O3908" t="s">
        <v>16928</v>
      </c>
      <c r="P3908" t="s">
        <v>23586</v>
      </c>
      <c r="Q3908" s="3" t="n">
        <v>41152.0</v>
      </c>
      <c r="R3908" s="3" t="n">
        <v>42353.0</v>
      </c>
      <c r="S3908" s="3" t="n">
        <v>43971.49208476852</v>
      </c>
      <c r="T3908" s="3" t="n">
        <v>44643.44490069444</v>
      </c>
      <c r="U3908" t="s">
        <v>24507</v>
      </c>
      <c r="V3908" t="s">
        <v>17701</v>
      </c>
    </row>
    <row r="3909">
      <c r="A3909" t="s">
        <v>23557</v>
      </c>
      <c r="B3909" t="s">
        <v>24508</v>
      </c>
      <c r="C3909" t="s">
        <v>60</v>
      </c>
      <c r="D3909" t="s">
        <v>77</v>
      </c>
      <c r="E3909" t="s">
        <v>24509</v>
      </c>
      <c r="F3909" s="2" t="n">
        <f>HYPERLINK("https://patents.google.com/patent/US9211537","Google")</f>
        <v>0.0</v>
      </c>
      <c r="G3909" s="2" t="n">
        <f>HYPERLINK("https://patentcenter.uspto.gov/applications/12741880","Patent Center")</f>
        <v>0.0</v>
      </c>
      <c r="H3909" s="2" t="n">
        <f>HYPERLINK("https://worldwide.espacenet.com/patent/search?q=US9211537","Espacenet")</f>
        <v>0.0</v>
      </c>
      <c r="I3909" s="2" t="n">
        <f>HYPERLINK("https://ppubs.uspto.gov/pubwebapp/external.html?q=9211537.pn.","USPTO")</f>
        <v>0.0</v>
      </c>
      <c r="J3909" s="2" t="n">
        <f>HYPERLINK("https://image-ppubs.uspto.gov/dirsearch-public/print/downloadPdf/9211537","USPTO PDF")</f>
        <v>0.0</v>
      </c>
      <c r="K3909" s="2" t="n">
        <f>HYPERLINK("https://sectors.patentforecast.com/pmd/US9211537","PMD")</f>
        <v>0.0</v>
      </c>
      <c r="L3909" s="2" t="n">
        <f>HYPERLINK("https://globaldossier.uspto.gov/result/patent/US/9211537/1","US9211537")</f>
        <v>0.0</v>
      </c>
      <c r="M3909" t="s">
        <v>21920</v>
      </c>
      <c r="N3909" t="s">
        <v>16801</v>
      </c>
      <c r="O3909" t="s">
        <v>16802</v>
      </c>
      <c r="P3909" t="s">
        <v>24510</v>
      </c>
      <c r="Q3909" s="3" t="n">
        <v>39759.0</v>
      </c>
      <c r="R3909" s="3" t="n">
        <v>42353.0</v>
      </c>
      <c r="S3909" s="3" t="n">
        <v>43985.66920376157</v>
      </c>
      <c r="T3909" s="3" t="n">
        <v>43985.67861778935</v>
      </c>
      <c r="U3909" t="s">
        <v>24511</v>
      </c>
      <c r="V3909" t="s">
        <v>21923</v>
      </c>
    </row>
    <row r="3910">
      <c r="A3910" t="s">
        <v>23557</v>
      </c>
      <c r="B3910" t="s">
        <v>24512</v>
      </c>
      <c r="C3910" t="s">
        <v>24</v>
      </c>
      <c r="D3910" t="s">
        <v>25</v>
      </c>
      <c r="E3910" t="s">
        <v>24460</v>
      </c>
      <c r="F3910" s="2" t="n">
        <f>HYPERLINK("https://patents.google.com/patent/US9208672","Google")</f>
        <v>0.0</v>
      </c>
      <c r="G3910" s="2" t="n">
        <f>HYPERLINK("https://patentcenter.uspto.gov/applications/13733726","Patent Center")</f>
        <v>0.0</v>
      </c>
      <c r="H3910" s="2" t="n">
        <f>HYPERLINK("https://worldwide.espacenet.com/patent/search?q=US9208672","Espacenet")</f>
        <v>0.0</v>
      </c>
      <c r="I3910" s="2" t="n">
        <f>HYPERLINK("https://ppubs.uspto.gov/pubwebapp/external.html?q=9208672.pn.","USPTO")</f>
        <v>0.0</v>
      </c>
      <c r="J3910" s="2" t="n">
        <f>HYPERLINK("https://image-ppubs.uspto.gov/dirsearch-public/print/downloadPdf/9208672","USPTO PDF")</f>
        <v>0.0</v>
      </c>
      <c r="K3910" s="2" t="n">
        <f>HYPERLINK("https://sectors.patentforecast.com/pmd/US9208672","PMD")</f>
        <v>0.0</v>
      </c>
      <c r="L3910" s="2" t="n">
        <f>HYPERLINK("https://globaldossier.uspto.gov/result/patent/US/9208672/1","US9208672")</f>
        <v>0.0</v>
      </c>
      <c r="M3910" t="s">
        <v>21227</v>
      </c>
      <c r="N3910" t="s">
        <v>947</v>
      </c>
      <c r="O3910" t="s">
        <v>948</v>
      </c>
      <c r="P3910" t="s">
        <v>24513</v>
      </c>
      <c r="Q3910" s="3" t="n">
        <v>41277.0</v>
      </c>
      <c r="R3910" s="3" t="n">
        <v>42346.0</v>
      </c>
      <c r="S3910" s="3" t="n">
        <v>43266.4573546875</v>
      </c>
      <c r="T3910" s="3" t="n">
        <v>44643.65781783565</v>
      </c>
      <c r="U3910" t="s">
        <v>24462</v>
      </c>
      <c r="V3910" t="s">
        <v>21230</v>
      </c>
    </row>
    <row r="3911">
      <c r="A3911" t="s">
        <v>23557</v>
      </c>
      <c r="B3911" t="s">
        <v>24514</v>
      </c>
      <c r="C3911" t="s">
        <v>132</v>
      </c>
      <c r="D3911" t="s">
        <v>11423</v>
      </c>
      <c r="E3911" t="s">
        <v>24515</v>
      </c>
      <c r="F3911" s="2" t="n">
        <f>HYPERLINK("https://patents.google.com/patent/US9205147","Google")</f>
        <v>0.0</v>
      </c>
      <c r="G3911" s="2" t="n">
        <f>HYPERLINK("https://patentcenter.uspto.gov/applications/14146365","Patent Center")</f>
        <v>0.0</v>
      </c>
      <c r="H3911" s="2" t="n">
        <f>HYPERLINK("https://worldwide.espacenet.com/patent/search?q=US9205147","Espacenet")</f>
        <v>0.0</v>
      </c>
      <c r="I3911" s="2" t="n">
        <f>HYPERLINK("https://ppubs.uspto.gov/pubwebapp/external.html?q=9205147.pn.","USPTO")</f>
        <v>0.0</v>
      </c>
      <c r="J3911" s="2" t="n">
        <f>HYPERLINK("https://image-ppubs.uspto.gov/dirsearch-public/print/downloadPdf/9205147","USPTO PDF")</f>
        <v>0.0</v>
      </c>
      <c r="K3911" s="2" t="n">
        <f>HYPERLINK("https://sectors.patentforecast.com/pmd/US9205147","PMD")</f>
        <v>0.0</v>
      </c>
      <c r="L3911" s="2" t="n">
        <f>HYPERLINK("https://globaldossier.uspto.gov/result/patent/US/9205147/1","US9205147")</f>
        <v>0.0</v>
      </c>
      <c r="M3911" t="s">
        <v>20766</v>
      </c>
      <c r="N3911" t="s">
        <v>1275</v>
      </c>
      <c r="O3911" t="s">
        <v>1275</v>
      </c>
      <c r="P3911" t="s">
        <v>23745</v>
      </c>
      <c r="Q3911" s="3" t="n">
        <v>41641.0</v>
      </c>
      <c r="R3911" s="3" t="n">
        <v>42346.0</v>
      </c>
      <c r="S3911" s="3" t="n">
        <v>44019.685416631946</v>
      </c>
      <c r="T3911" s="3" t="n">
        <v>44020.62008091435</v>
      </c>
      <c r="U3911" t="s">
        <v>24516</v>
      </c>
      <c r="V3911" t="s">
        <v>16326</v>
      </c>
    </row>
    <row r="3912">
      <c r="A3912" t="s">
        <v>23557</v>
      </c>
      <c r="B3912" t="s">
        <v>24517</v>
      </c>
      <c r="C3912" t="s">
        <v>60</v>
      </c>
      <c r="D3912" t="s">
        <v>2262</v>
      </c>
      <c r="E3912" t="s">
        <v>24518</v>
      </c>
      <c r="F3912" s="2" t="n">
        <f>HYPERLINK("https://patents.google.com/patent/US9205122","Google")</f>
        <v>0.0</v>
      </c>
      <c r="G3912" s="2" t="n">
        <f>HYPERLINK("https://patentcenter.uspto.gov/applications/13503097","Patent Center")</f>
        <v>0.0</v>
      </c>
      <c r="H3912" s="2" t="n">
        <f>HYPERLINK("https://worldwide.espacenet.com/patent/search?q=US9205122","Espacenet")</f>
        <v>0.0</v>
      </c>
      <c r="I3912" s="2" t="n">
        <f>HYPERLINK("https://ppubs.uspto.gov/pubwebapp/external.html?q=9205122.pn.","USPTO")</f>
        <v>0.0</v>
      </c>
      <c r="J3912" s="2" t="n">
        <f>HYPERLINK("https://image-ppubs.uspto.gov/dirsearch-public/print/downloadPdf/9205122","USPTO PDF")</f>
        <v>0.0</v>
      </c>
      <c r="K3912" s="2" t="n">
        <f>HYPERLINK("https://sectors.patentforecast.com/pmd/US9205122","PMD")</f>
        <v>0.0</v>
      </c>
      <c r="L3912" s="2" t="n">
        <f>HYPERLINK("https://globaldossier.uspto.gov/result/patent/US/9205122/1","US9205122")</f>
        <v>0.0</v>
      </c>
      <c r="M3912" t="s">
        <v>24519</v>
      </c>
      <c r="N3912" t="s">
        <v>24520</v>
      </c>
      <c r="O3912" t="s">
        <v>24521</v>
      </c>
      <c r="P3912" t="s">
        <v>24522</v>
      </c>
      <c r="Q3912" s="3" t="n">
        <v>40473.0</v>
      </c>
      <c r="R3912" s="3" t="n">
        <v>42346.0</v>
      </c>
      <c r="S3912" s="3" t="n">
        <v>43973.46948236111</v>
      </c>
      <c r="T3912" s="3" t="n">
        <v>44545.595436979165</v>
      </c>
      <c r="U3912" t="s">
        <v>24523</v>
      </c>
      <c r="V3912" t="s">
        <v>24524</v>
      </c>
    </row>
    <row r="3913">
      <c r="A3913" t="s">
        <v>23557</v>
      </c>
      <c r="B3913" t="s">
        <v>24525</v>
      </c>
      <c r="C3913" t="s">
        <v>60</v>
      </c>
      <c r="D3913" t="s">
        <v>696</v>
      </c>
      <c r="E3913" t="s">
        <v>24526</v>
      </c>
      <c r="F3913" s="2" t="n">
        <f>HYPERLINK("https://patents.google.com/patent/US9187560","Google")</f>
        <v>0.0</v>
      </c>
      <c r="G3913" s="2" t="n">
        <f>HYPERLINK("https://patentcenter.uspto.gov/applications/13681501","Patent Center")</f>
        <v>0.0</v>
      </c>
      <c r="H3913" s="2" t="n">
        <f>HYPERLINK("https://worldwide.espacenet.com/patent/search?q=US9187560","Espacenet")</f>
        <v>0.0</v>
      </c>
      <c r="I3913" s="2" t="n">
        <f>HYPERLINK("https://ppubs.uspto.gov/pubwebapp/external.html?q=9187560.pn.","USPTO")</f>
        <v>0.0</v>
      </c>
      <c r="J3913" s="2" t="n">
        <f>HYPERLINK("https://image-ppubs.uspto.gov/dirsearch-public/print/downloadPdf/9187560","USPTO PDF")</f>
        <v>0.0</v>
      </c>
      <c r="K3913" s="2" t="n">
        <f>HYPERLINK("https://sectors.patentforecast.com/pmd/US9187560","PMD")</f>
        <v>0.0</v>
      </c>
      <c r="L3913" s="2" t="n">
        <f>HYPERLINK("https://globaldossier.uspto.gov/result/patent/US/9187560/1","US9187560")</f>
        <v>0.0</v>
      </c>
      <c r="M3913" t="s">
        <v>21138</v>
      </c>
      <c r="N3913" t="s">
        <v>16927</v>
      </c>
      <c r="O3913" t="s">
        <v>16928</v>
      </c>
      <c r="P3913" t="s">
        <v>24527</v>
      </c>
      <c r="Q3913" s="3" t="n">
        <v>41233.0</v>
      </c>
      <c r="R3913" s="3" t="n">
        <v>42325.0</v>
      </c>
      <c r="S3913" s="3" t="n">
        <v>43971.49208476852</v>
      </c>
      <c r="T3913" s="3" t="n">
        <v>44638.640808460645</v>
      </c>
      <c r="U3913" t="s">
        <v>24528</v>
      </c>
      <c r="V3913" t="s">
        <v>21347</v>
      </c>
    </row>
    <row r="3914">
      <c r="A3914" t="s">
        <v>23557</v>
      </c>
      <c r="B3914" t="s">
        <v>24529</v>
      </c>
      <c r="C3914" t="s">
        <v>60</v>
      </c>
      <c r="D3914" t="s">
        <v>61</v>
      </c>
      <c r="E3914" t="s">
        <v>23902</v>
      </c>
      <c r="F3914" s="2" t="n">
        <f>HYPERLINK("https://patents.google.com/patent/US9181307","Google")</f>
        <v>0.0</v>
      </c>
      <c r="G3914" s="2" t="n">
        <f>HYPERLINK("https://patentcenter.uspto.gov/applications/13635064","Patent Center")</f>
        <v>0.0</v>
      </c>
      <c r="H3914" s="2" t="n">
        <f>HYPERLINK("https://worldwide.espacenet.com/patent/search?q=US9181307","Espacenet")</f>
        <v>0.0</v>
      </c>
      <c r="I3914" s="2" t="n">
        <f>HYPERLINK("https://ppubs.uspto.gov/pubwebapp/external.html?q=9181307.pn.","USPTO")</f>
        <v>0.0</v>
      </c>
      <c r="J3914" s="2" t="n">
        <f>HYPERLINK("https://image-ppubs.uspto.gov/dirsearch-public/print/downloadPdf/9181307","USPTO PDF")</f>
        <v>0.0</v>
      </c>
      <c r="K3914" s="2" t="n">
        <f>HYPERLINK("https://sectors.patentforecast.com/pmd/US9181307","PMD")</f>
        <v>0.0</v>
      </c>
      <c r="L3914" s="2" t="n">
        <f>HYPERLINK("https://globaldossier.uspto.gov/result/patent/US/9181307/1","US9181307")</f>
        <v>0.0</v>
      </c>
      <c r="M3914" t="s">
        <v>21326</v>
      </c>
      <c r="N3914" t="s">
        <v>18723</v>
      </c>
      <c r="O3914" t="s">
        <v>18723</v>
      </c>
      <c r="P3914" t="s">
        <v>23903</v>
      </c>
      <c r="Q3914" s="3" t="n">
        <v>40617.0</v>
      </c>
      <c r="R3914" s="3" t="n">
        <v>42318.0</v>
      </c>
      <c r="S3914" s="3" t="n">
        <v>43900.43738940972</v>
      </c>
      <c r="T3914" s="3" t="n">
        <v>43903.61215605324</v>
      </c>
      <c r="U3914" t="s">
        <v>24530</v>
      </c>
      <c r="V3914" t="s">
        <v>18726</v>
      </c>
    </row>
    <row r="3915">
      <c r="A3915" t="s">
        <v>23557</v>
      </c>
      <c r="B3915" t="s">
        <v>24531</v>
      </c>
      <c r="C3915" t="s">
        <v>132</v>
      </c>
      <c r="D3915" t="s">
        <v>1265</v>
      </c>
      <c r="E3915" t="s">
        <v>23039</v>
      </c>
      <c r="F3915" s="2" t="n">
        <f>HYPERLINK("https://patents.google.com/patent/US9180180","Google")</f>
        <v>0.0</v>
      </c>
      <c r="G3915" s="2" t="n">
        <f>HYPERLINK("https://patentcenter.uspto.gov/applications/14149365","Patent Center")</f>
        <v>0.0</v>
      </c>
      <c r="H3915" s="2" t="n">
        <f>HYPERLINK("https://worldwide.espacenet.com/patent/search?q=US9180180","Espacenet")</f>
        <v>0.0</v>
      </c>
      <c r="I3915" s="2" t="n">
        <f>HYPERLINK("https://ppubs.uspto.gov/pubwebapp/external.html?q=9180180.pn.","USPTO")</f>
        <v>0.0</v>
      </c>
      <c r="J3915" s="2" t="n">
        <f>HYPERLINK("https://image-ppubs.uspto.gov/dirsearch-public/print/downloadPdf/9180180","USPTO PDF")</f>
        <v>0.0</v>
      </c>
      <c r="K3915" s="2" t="n">
        <f>HYPERLINK("https://sectors.patentforecast.com/pmd/US9180180","PMD")</f>
        <v>0.0</v>
      </c>
      <c r="L3915" s="2" t="n">
        <f>HYPERLINK("https://globaldossier.uspto.gov/result/patent/US/9180180/1","US9180180")</f>
        <v>0.0</v>
      </c>
      <c r="M3915" t="s">
        <v>20687</v>
      </c>
      <c r="N3915" t="s">
        <v>1275</v>
      </c>
      <c r="O3915" t="s">
        <v>1275</v>
      </c>
      <c r="P3915" t="s">
        <v>23680</v>
      </c>
      <c r="Q3915" s="3" t="n">
        <v>41646.0</v>
      </c>
      <c r="R3915" s="3" t="n">
        <v>42318.0</v>
      </c>
      <c r="S3915" s="3" t="n">
        <v>43900.43738940972</v>
      </c>
      <c r="T3915" s="3" t="n">
        <v>43901.70557085648</v>
      </c>
      <c r="U3915" t="s">
        <v>24532</v>
      </c>
      <c r="V3915" t="s">
        <v>17402</v>
      </c>
    </row>
    <row r="3916">
      <c r="A3916" t="s">
        <v>23557</v>
      </c>
      <c r="B3916" t="s">
        <v>24533</v>
      </c>
      <c r="C3916" t="s">
        <v>24</v>
      </c>
      <c r="D3916" t="s">
        <v>25</v>
      </c>
      <c r="E3916" t="s">
        <v>24534</v>
      </c>
      <c r="F3916" s="2" t="n">
        <f>HYPERLINK("https://patents.google.com/patent/US9175356","Google")</f>
        <v>0.0</v>
      </c>
      <c r="G3916" s="2" t="n">
        <f>HYPERLINK("https://patentcenter.uspto.gov/applications/14591647","Patent Center")</f>
        <v>0.0</v>
      </c>
      <c r="H3916" s="2" t="n">
        <f>HYPERLINK("https://worldwide.espacenet.com/patent/search?q=US9175356","Espacenet")</f>
        <v>0.0</v>
      </c>
      <c r="I3916" s="2" t="n">
        <f>HYPERLINK("https://ppubs.uspto.gov/pubwebapp/external.html?q=9175356.pn.","USPTO")</f>
        <v>0.0</v>
      </c>
      <c r="J3916" s="2" t="n">
        <f>HYPERLINK("https://image-ppubs.uspto.gov/dirsearch-public/print/downloadPdf/9175356","USPTO PDF")</f>
        <v>0.0</v>
      </c>
      <c r="K3916" s="2" t="n">
        <f>HYPERLINK("https://sectors.patentforecast.com/pmd/US9175356","PMD")</f>
        <v>0.0</v>
      </c>
      <c r="L3916" s="2" t="n">
        <f>HYPERLINK("https://globaldossier.uspto.gov/result/patent/US/9175356/1","US9175356")</f>
        <v>0.0</v>
      </c>
      <c r="M3916" t="s">
        <v>20333</v>
      </c>
      <c r="N3916" t="s">
        <v>855</v>
      </c>
      <c r="O3916" t="s">
        <v>856</v>
      </c>
      <c r="P3916" t="s">
        <v>24535</v>
      </c>
      <c r="Q3916" s="3" t="n">
        <v>42011.0</v>
      </c>
      <c r="R3916" s="3" t="n">
        <v>42311.0</v>
      </c>
      <c r="S3916" s="3" t="n">
        <v>43266.4573546875</v>
      </c>
      <c r="T3916" s="3" t="n">
        <v>43903.6294291088</v>
      </c>
      <c r="U3916" t="s">
        <v>24536</v>
      </c>
      <c r="V3916" t="s">
        <v>20336</v>
      </c>
    </row>
    <row r="3917">
      <c r="A3917" t="s">
        <v>23557</v>
      </c>
      <c r="B3917" t="s">
        <v>24537</v>
      </c>
      <c r="C3917" t="s">
        <v>60</v>
      </c>
      <c r="D3917" t="s">
        <v>77</v>
      </c>
      <c r="E3917" t="s">
        <v>24538</v>
      </c>
      <c r="F3917" s="2" t="n">
        <f>HYPERLINK("https://patents.google.com/patent/US9175355","Google")</f>
        <v>0.0</v>
      </c>
      <c r="G3917" s="2" t="n">
        <f>HYPERLINK("https://patentcenter.uspto.gov/applications/12635539","Patent Center")</f>
        <v>0.0</v>
      </c>
      <c r="H3917" s="2" t="n">
        <f>HYPERLINK("https://worldwide.espacenet.com/patent/search?q=US9175355","Espacenet")</f>
        <v>0.0</v>
      </c>
      <c r="I3917" s="2" t="n">
        <f>HYPERLINK("https://ppubs.uspto.gov/pubwebapp/external.html?q=9175355.pn.","USPTO")</f>
        <v>0.0</v>
      </c>
      <c r="J3917" s="2" t="n">
        <f>HYPERLINK("https://image-ppubs.uspto.gov/dirsearch-public/print/downloadPdf/9175355","USPTO PDF")</f>
        <v>0.0</v>
      </c>
      <c r="K3917" s="2" t="n">
        <f>HYPERLINK("https://sectors.patentforecast.com/pmd/US9175355","PMD")</f>
        <v>0.0</v>
      </c>
      <c r="L3917" s="2" t="n">
        <f>HYPERLINK("https://globaldossier.uspto.gov/result/patent/US/9175355/1","US9175355")</f>
        <v>0.0</v>
      </c>
      <c r="M3917" t="s">
        <v>24539</v>
      </c>
      <c r="N3917" t="s">
        <v>23834</v>
      </c>
      <c r="O3917" t="s">
        <v>23835</v>
      </c>
      <c r="P3917" t="s">
        <v>24540</v>
      </c>
      <c r="Q3917" s="3" t="n">
        <v>40157.0</v>
      </c>
      <c r="R3917" s="3" t="n">
        <v>42311.0</v>
      </c>
      <c r="S3917" s="3" t="n">
        <v>43973.46948236111</v>
      </c>
      <c r="T3917" s="3" t="n">
        <v>44545.66642166667</v>
      </c>
      <c r="U3917" t="s">
        <v>23837</v>
      </c>
      <c r="V3917" t="s">
        <v>24541</v>
      </c>
    </row>
    <row r="3918">
      <c r="A3918" t="s">
        <v>23557</v>
      </c>
      <c r="B3918" t="s">
        <v>24542</v>
      </c>
      <c r="C3918" t="s">
        <v>24</v>
      </c>
      <c r="D3918" t="s">
        <v>1450</v>
      </c>
      <c r="E3918" t="s">
        <v>24109</v>
      </c>
      <c r="F3918" s="2" t="n">
        <f>HYPERLINK("https://patents.google.com/patent/US9171451","Google")</f>
        <v>0.0</v>
      </c>
      <c r="G3918" s="2" t="n">
        <f>HYPERLINK("https://patentcenter.uspto.gov/applications/13394022","Patent Center")</f>
        <v>0.0</v>
      </c>
      <c r="H3918" s="2" t="n">
        <f>HYPERLINK("https://worldwide.espacenet.com/patent/search?q=US9171451","Espacenet")</f>
        <v>0.0</v>
      </c>
      <c r="I3918" s="2" t="n">
        <f>HYPERLINK("https://ppubs.uspto.gov/pubwebapp/external.html?q=9171451.pn.","USPTO")</f>
        <v>0.0</v>
      </c>
      <c r="J3918" s="2" t="n">
        <f>HYPERLINK("https://image-ppubs.uspto.gov/dirsearch-public/print/downloadPdf/9171451","USPTO PDF")</f>
        <v>0.0</v>
      </c>
      <c r="K3918" s="2" t="n">
        <f>HYPERLINK("https://sectors.patentforecast.com/pmd/US9171451","PMD")</f>
        <v>0.0</v>
      </c>
      <c r="L3918" s="2" t="n">
        <f>HYPERLINK("https://globaldossier.uspto.gov/result/patent/US/9171451/1","US9171451")</f>
        <v>0.0</v>
      </c>
      <c r="M3918" t="s">
        <v>21389</v>
      </c>
      <c r="N3918" t="s">
        <v>323</v>
      </c>
      <c r="O3918" t="s">
        <v>324</v>
      </c>
      <c r="P3918" t="s">
        <v>24110</v>
      </c>
      <c r="Q3918" s="3" t="n">
        <v>40415.0</v>
      </c>
      <c r="R3918" s="3" t="n">
        <v>42304.0</v>
      </c>
      <c r="S3918" s="3" t="n">
        <v>43266.4573546875</v>
      </c>
      <c r="T3918" s="3" t="n">
        <v>43901.705570844904</v>
      </c>
      <c r="U3918" t="s">
        <v>24111</v>
      </c>
      <c r="V3918" t="s">
        <v>19966</v>
      </c>
    </row>
    <row r="3919">
      <c r="A3919" t="s">
        <v>23557</v>
      </c>
      <c r="B3919" t="s">
        <v>24543</v>
      </c>
      <c r="C3919" t="s">
        <v>132</v>
      </c>
      <c r="D3919" t="s">
        <v>1265</v>
      </c>
      <c r="E3919" t="s">
        <v>24544</v>
      </c>
      <c r="F3919" s="2" t="n">
        <f>HYPERLINK("https://patents.google.com/patent/US9161975","Google")</f>
        <v>0.0</v>
      </c>
      <c r="G3919" s="2" t="n">
        <f>HYPERLINK("https://patentcenter.uspto.gov/applications/13881932","Patent Center")</f>
        <v>0.0</v>
      </c>
      <c r="H3919" s="2" t="n">
        <f>HYPERLINK("https://worldwide.espacenet.com/patent/search?q=US9161975","Espacenet")</f>
        <v>0.0</v>
      </c>
      <c r="I3919" s="2" t="n">
        <f>HYPERLINK("https://ppubs.uspto.gov/pubwebapp/external.html?q=9161975.pn.","USPTO")</f>
        <v>0.0</v>
      </c>
      <c r="J3919" s="2" t="n">
        <f>HYPERLINK("https://image-ppubs.uspto.gov/dirsearch-public/print/downloadPdf/9161975","USPTO PDF")</f>
        <v>0.0</v>
      </c>
      <c r="K3919" s="2" t="n">
        <f>HYPERLINK("https://sectors.patentforecast.com/pmd/US9161975","PMD")</f>
        <v>0.0</v>
      </c>
      <c r="L3919" s="2" t="n">
        <f>HYPERLINK("https://globaldossier.uspto.gov/result/patent/US/9161975/1","US9161975")</f>
        <v>0.0</v>
      </c>
      <c r="M3919" t="s">
        <v>24545</v>
      </c>
      <c r="N3919" t="s">
        <v>24546</v>
      </c>
      <c r="O3919" t="s">
        <v>24547</v>
      </c>
      <c r="P3919" t="s">
        <v>24548</v>
      </c>
      <c r="Q3919" s="3" t="n">
        <v>40843.0</v>
      </c>
      <c r="R3919" s="3" t="n">
        <v>42297.0</v>
      </c>
      <c r="S3919" s="3" t="n">
        <v>43973.46948236111</v>
      </c>
      <c r="T3919" s="3" t="n">
        <v>44545.60964134259</v>
      </c>
      <c r="U3919" t="s">
        <v>24549</v>
      </c>
      <c r="V3919" t="s">
        <v>24550</v>
      </c>
    </row>
    <row r="3920">
      <c r="A3920" t="s">
        <v>23557</v>
      </c>
      <c r="B3920" t="s">
        <v>24551</v>
      </c>
      <c r="C3920" t="s">
        <v>60</v>
      </c>
      <c r="D3920" t="s">
        <v>61</v>
      </c>
      <c r="E3920" t="s">
        <v>24552</v>
      </c>
      <c r="F3920" s="2" t="n">
        <f>HYPERLINK("https://patents.google.com/patent/US9161934","Google")</f>
        <v>0.0</v>
      </c>
      <c r="G3920" s="2" t="n">
        <f>HYPERLINK("https://patentcenter.uspto.gov/applications/14595072","Patent Center")</f>
        <v>0.0</v>
      </c>
      <c r="H3920" s="2" t="n">
        <f>HYPERLINK("https://worldwide.espacenet.com/patent/search?q=US9161934","Espacenet")</f>
        <v>0.0</v>
      </c>
      <c r="I3920" s="2" t="n">
        <f>HYPERLINK("https://ppubs.uspto.gov/pubwebapp/external.html?q=9161934.pn.","USPTO")</f>
        <v>0.0</v>
      </c>
      <c r="J3920" s="2" t="n">
        <f>HYPERLINK("https://image-ppubs.uspto.gov/dirsearch-public/print/downloadPdf/9161934","USPTO PDF")</f>
        <v>0.0</v>
      </c>
      <c r="K3920" s="2" t="n">
        <f>HYPERLINK("https://sectors.patentforecast.com/pmd/US9161934","PMD")</f>
        <v>0.0</v>
      </c>
      <c r="L3920" s="2" t="n">
        <f>HYPERLINK("https://globaldossier.uspto.gov/result/patent/US/9161934/1","US9161934")</f>
        <v>0.0</v>
      </c>
      <c r="M3920" t="s">
        <v>20327</v>
      </c>
      <c r="N3920" t="s">
        <v>664</v>
      </c>
      <c r="O3920" t="s">
        <v>665</v>
      </c>
      <c r="P3920" t="s">
        <v>24553</v>
      </c>
      <c r="Q3920" s="3" t="n">
        <v>42016.0</v>
      </c>
      <c r="R3920" s="3" t="n">
        <v>42297.0</v>
      </c>
      <c r="S3920" s="3" t="n">
        <v>43957.45970908565</v>
      </c>
      <c r="T3920" s="3" t="n">
        <v>44638.65579662037</v>
      </c>
      <c r="U3920" t="s">
        <v>24554</v>
      </c>
      <c r="V3920" t="s">
        <v>20330</v>
      </c>
    </row>
    <row r="3921">
      <c r="A3921" t="s">
        <v>23557</v>
      </c>
      <c r="B3921" t="s">
        <v>24555</v>
      </c>
      <c r="C3921" t="s">
        <v>132</v>
      </c>
      <c r="D3921" t="s">
        <v>2629</v>
      </c>
      <c r="E3921" t="s">
        <v>24556</v>
      </c>
      <c r="F3921" s="2" t="n">
        <f>HYPERLINK("https://patents.google.com/patent/US9156891","Google")</f>
        <v>0.0</v>
      </c>
      <c r="G3921" s="2" t="n">
        <f>HYPERLINK("https://patentcenter.uspto.gov/applications/14552079","Patent Center")</f>
        <v>0.0</v>
      </c>
      <c r="H3921" s="2" t="n">
        <f>HYPERLINK("https://worldwide.espacenet.com/patent/search?q=US9156891","Espacenet")</f>
        <v>0.0</v>
      </c>
      <c r="I3921" s="2" t="n">
        <f>HYPERLINK("https://ppubs.uspto.gov/pubwebapp/external.html?q=9156891.pn.","USPTO")</f>
        <v>0.0</v>
      </c>
      <c r="J3921" s="2" t="n">
        <f>HYPERLINK("https://image-ppubs.uspto.gov/dirsearch-public/print/downloadPdf/9156891","USPTO PDF")</f>
        <v>0.0</v>
      </c>
      <c r="K3921" s="2" t="n">
        <f>HYPERLINK("https://sectors.patentforecast.com/pmd/US9156891","PMD")</f>
        <v>0.0</v>
      </c>
      <c r="L3921" s="2" t="n">
        <f>HYPERLINK("https://globaldossier.uspto.gov/result/patent/US/9156891/1","US9156891")</f>
        <v>0.0</v>
      </c>
      <c r="M3921" t="s">
        <v>20260</v>
      </c>
      <c r="N3921" t="s">
        <v>2541</v>
      </c>
      <c r="O3921" t="s">
        <v>2542</v>
      </c>
      <c r="P3921" t="s">
        <v>24557</v>
      </c>
      <c r="Q3921" s="3" t="n">
        <v>41967.0</v>
      </c>
      <c r="R3921" s="3" t="n">
        <v>42290.0</v>
      </c>
      <c r="S3921" s="3" t="n">
        <v>43936.46037523148</v>
      </c>
      <c r="T3921" s="3" t="n">
        <v>43958.41222895833</v>
      </c>
      <c r="U3921" t="s">
        <v>24558</v>
      </c>
      <c r="V3921" t="s">
        <v>20263</v>
      </c>
    </row>
    <row r="3922">
      <c r="A3922" t="s">
        <v>23557</v>
      </c>
      <c r="B3922" t="s">
        <v>24559</v>
      </c>
      <c r="C3922" t="s">
        <v>132</v>
      </c>
      <c r="D3922" t="s">
        <v>2629</v>
      </c>
      <c r="E3922" t="s">
        <v>24560</v>
      </c>
      <c r="F3922" s="2" t="n">
        <f>HYPERLINK("https://patents.google.com/patent/US9156890","Google")</f>
        <v>0.0</v>
      </c>
      <c r="G3922" s="2" t="n">
        <f>HYPERLINK("https://patentcenter.uspto.gov/applications/14480056","Patent Center")</f>
        <v>0.0</v>
      </c>
      <c r="H3922" s="2" t="n">
        <f>HYPERLINK("https://worldwide.espacenet.com/patent/search?q=US9156890","Espacenet")</f>
        <v>0.0</v>
      </c>
      <c r="I3922" s="2" t="n">
        <f>HYPERLINK("https://ppubs.uspto.gov/pubwebapp/external.html?q=9156890.pn.","USPTO")</f>
        <v>0.0</v>
      </c>
      <c r="J3922" s="2" t="n">
        <f>HYPERLINK("https://image-ppubs.uspto.gov/dirsearch-public/print/downloadPdf/9156890","USPTO PDF")</f>
        <v>0.0</v>
      </c>
      <c r="K3922" s="2" t="n">
        <f>HYPERLINK("https://sectors.patentforecast.com/pmd/US9156890","PMD")</f>
        <v>0.0</v>
      </c>
      <c r="L3922" s="2" t="n">
        <f>HYPERLINK("https://globaldossier.uspto.gov/result/patent/US/9156890/1","US9156890")</f>
        <v>0.0</v>
      </c>
      <c r="M3922" t="s">
        <v>20457</v>
      </c>
      <c r="N3922" t="s">
        <v>2541</v>
      </c>
      <c r="O3922" t="s">
        <v>2542</v>
      </c>
      <c r="P3922" t="s">
        <v>24561</v>
      </c>
      <c r="Q3922" s="3" t="n">
        <v>41890.0</v>
      </c>
      <c r="R3922" s="3" t="n">
        <v>42290.0</v>
      </c>
      <c r="S3922" s="3" t="n">
        <v>43936.46037523148</v>
      </c>
      <c r="T3922" s="3" t="n">
        <v>43958.41205151621</v>
      </c>
      <c r="U3922" t="s">
        <v>24562</v>
      </c>
      <c r="V3922" t="s">
        <v>20460</v>
      </c>
    </row>
    <row r="3923">
      <c r="A3923" t="s">
        <v>23557</v>
      </c>
      <c r="B3923" t="s">
        <v>24563</v>
      </c>
      <c r="C3923" t="s">
        <v>60</v>
      </c>
      <c r="D3923" t="s">
        <v>61</v>
      </c>
      <c r="E3923" t="s">
        <v>24564</v>
      </c>
      <c r="F3923" s="2" t="n">
        <f>HYPERLINK("https://patents.google.com/patent/US9156871","Google")</f>
        <v>0.0</v>
      </c>
      <c r="G3923" s="2" t="n">
        <f>HYPERLINK("https://patentcenter.uspto.gov/applications/13863781","Patent Center")</f>
        <v>0.0</v>
      </c>
      <c r="H3923" s="2" t="n">
        <f>HYPERLINK("https://worldwide.espacenet.com/patent/search?q=US9156871","Espacenet")</f>
        <v>0.0</v>
      </c>
      <c r="I3923" s="2" t="n">
        <f>HYPERLINK("https://ppubs.uspto.gov/pubwebapp/external.html?q=9156871.pn.","USPTO")</f>
        <v>0.0</v>
      </c>
      <c r="J3923" s="2" t="n">
        <f>HYPERLINK("https://image-ppubs.uspto.gov/dirsearch-public/print/downloadPdf/9156871","USPTO PDF")</f>
        <v>0.0</v>
      </c>
      <c r="K3923" s="2" t="n">
        <f>HYPERLINK("https://sectors.patentforecast.com/pmd/US9156871","PMD")</f>
        <v>0.0</v>
      </c>
      <c r="L3923" s="2" t="n">
        <f>HYPERLINK("https://globaldossier.uspto.gov/result/patent/US/9156871/1","US9156871")</f>
        <v>0.0</v>
      </c>
      <c r="M3923" t="s">
        <v>24565</v>
      </c>
      <c r="N3923" t="s">
        <v>24566</v>
      </c>
      <c r="O3923" t="s">
        <v>24567</v>
      </c>
      <c r="P3923" t="s">
        <v>24568</v>
      </c>
      <c r="Q3923" s="3" t="n">
        <v>41380.0</v>
      </c>
      <c r="R3923" s="3" t="n">
        <v>42290.0</v>
      </c>
      <c r="S3923" s="3" t="n">
        <v>43973.46948236111</v>
      </c>
      <c r="T3923" s="3" t="n">
        <v>44545.62396399306</v>
      </c>
      <c r="U3923" t="s">
        <v>24569</v>
      </c>
      <c r="V3923" t="s">
        <v>24570</v>
      </c>
    </row>
    <row r="3924">
      <c r="A3924" t="s">
        <v>23557</v>
      </c>
      <c r="B3924" t="s">
        <v>24571</v>
      </c>
      <c r="C3924" t="s">
        <v>60</v>
      </c>
      <c r="D3924" t="s">
        <v>61</v>
      </c>
      <c r="E3924" t="s">
        <v>22432</v>
      </c>
      <c r="F3924" s="2" t="n">
        <f>HYPERLINK("https://patents.google.com/patent/US9156823","Google")</f>
        <v>0.0</v>
      </c>
      <c r="G3924" s="2" t="n">
        <f>HYPERLINK("https://patentcenter.uspto.gov/applications/13884578","Patent Center")</f>
        <v>0.0</v>
      </c>
      <c r="H3924" s="2" t="n">
        <f>HYPERLINK("https://worldwide.espacenet.com/patent/search?q=US9156823","Espacenet")</f>
        <v>0.0</v>
      </c>
      <c r="I3924" s="2" t="n">
        <f>HYPERLINK("https://ppubs.uspto.gov/pubwebapp/external.html?q=9156823.pn.","USPTO")</f>
        <v>0.0</v>
      </c>
      <c r="J3924" s="2" t="n">
        <f>HYPERLINK("https://image-ppubs.uspto.gov/dirsearch-public/print/downloadPdf/9156823","USPTO PDF")</f>
        <v>0.0</v>
      </c>
      <c r="K3924" s="2" t="n">
        <f>HYPERLINK("https://sectors.patentforecast.com/pmd/US9156823","PMD")</f>
        <v>0.0</v>
      </c>
      <c r="L3924" s="2" t="n">
        <f>HYPERLINK("https://globaldossier.uspto.gov/result/patent/US/9156823/1","US9156823")</f>
        <v>0.0</v>
      </c>
      <c r="M3924" t="s">
        <v>24572</v>
      </c>
      <c r="N3924" t="s">
        <v>24573</v>
      </c>
      <c r="O3924" t="s">
        <v>24574</v>
      </c>
      <c r="P3924" t="s">
        <v>24492</v>
      </c>
      <c r="Q3924" s="3" t="n">
        <v>40863.0</v>
      </c>
      <c r="R3924" s="3" t="n">
        <v>42290.0</v>
      </c>
      <c r="S3924" s="3" t="n">
        <v>43957.45970908565</v>
      </c>
      <c r="T3924" s="3" t="n">
        <v>44638.65271974537</v>
      </c>
      <c r="U3924" t="s">
        <v>24575</v>
      </c>
      <c r="V3924" t="s">
        <v>16907</v>
      </c>
    </row>
    <row r="3925">
      <c r="A3925" t="s">
        <v>23557</v>
      </c>
      <c r="B3925" t="s">
        <v>24576</v>
      </c>
      <c r="C3925" t="s">
        <v>24</v>
      </c>
      <c r="D3925" t="s">
        <v>100</v>
      </c>
      <c r="E3925" t="s">
        <v>24577</v>
      </c>
      <c r="F3925" s="2" t="n">
        <f>HYPERLINK("https://patents.google.com/patent/US9155309","Google")</f>
        <v>0.0</v>
      </c>
      <c r="G3925" s="2" t="n">
        <f>HYPERLINK("https://patentcenter.uspto.gov/applications/13395691","Patent Center")</f>
        <v>0.0</v>
      </c>
      <c r="H3925" s="2" t="n">
        <f>HYPERLINK("https://worldwide.espacenet.com/patent/search?q=US9155309","Espacenet")</f>
        <v>0.0</v>
      </c>
      <c r="I3925" s="2" t="n">
        <f>HYPERLINK("https://ppubs.uspto.gov/pubwebapp/external.html?q=9155309.pn.","USPTO")</f>
        <v>0.0</v>
      </c>
      <c r="J3925" s="2" t="n">
        <f>HYPERLINK("https://image-ppubs.uspto.gov/dirsearch-public/print/downloadPdf/9155309","USPTO PDF")</f>
        <v>0.0</v>
      </c>
      <c r="K3925" s="2" t="n">
        <f>HYPERLINK("https://sectors.patentforecast.com/pmd/US9155309","PMD")</f>
        <v>0.0</v>
      </c>
      <c r="L3925" s="2" t="n">
        <f>HYPERLINK("https://globaldossier.uspto.gov/result/patent/US/9155309/1","US9155309")</f>
        <v>0.0</v>
      </c>
      <c r="M3925" t="s">
        <v>24578</v>
      </c>
      <c r="N3925" t="s">
        <v>24579</v>
      </c>
      <c r="O3925" t="s">
        <v>24580</v>
      </c>
      <c r="P3925" t="s">
        <v>24581</v>
      </c>
      <c r="Q3925" s="3" t="n">
        <v>40455.0</v>
      </c>
      <c r="R3925" s="3" t="n">
        <v>42290.0</v>
      </c>
      <c r="S3925" s="3" t="n">
        <v>43973.46948236111</v>
      </c>
      <c r="T3925" s="3" t="n">
        <v>44546.3899928125</v>
      </c>
      <c r="U3925" t="s">
        <v>24582</v>
      </c>
      <c r="V3925" t="s">
        <v>24583</v>
      </c>
    </row>
    <row r="3926">
      <c r="A3926" t="s">
        <v>23557</v>
      </c>
      <c r="B3926" t="s">
        <v>24584</v>
      </c>
      <c r="C3926" t="s">
        <v>24</v>
      </c>
      <c r="D3926" t="s">
        <v>25</v>
      </c>
      <c r="E3926" t="s">
        <v>22477</v>
      </c>
      <c r="F3926" s="2" t="n">
        <f>HYPERLINK("https://patents.google.com/patent/US9152769","Google")</f>
        <v>0.0</v>
      </c>
      <c r="G3926" s="2" t="n">
        <f>HYPERLINK("https://patentcenter.uspto.gov/applications/12283428","Patent Center")</f>
        <v>0.0</v>
      </c>
      <c r="H3926" s="2" t="n">
        <f>HYPERLINK("https://worldwide.espacenet.com/patent/search?q=US9152769","Espacenet")</f>
        <v>0.0</v>
      </c>
      <c r="I3926" s="2" t="n">
        <f>HYPERLINK("https://ppubs.uspto.gov/pubwebapp/external.html?q=9152769.pn.","USPTO")</f>
        <v>0.0</v>
      </c>
      <c r="J3926" s="2" t="n">
        <f>HYPERLINK("https://image-ppubs.uspto.gov/dirsearch-public/print/downloadPdf/9152769","USPTO PDF")</f>
        <v>0.0</v>
      </c>
      <c r="K3926" s="2" t="n">
        <f>HYPERLINK("https://sectors.patentforecast.com/pmd/US9152769","PMD")</f>
        <v>0.0</v>
      </c>
      <c r="L3926" s="2" t="n">
        <f>HYPERLINK("https://globaldossier.uspto.gov/result/patent/US/9152769/1","US9152769")</f>
        <v>0.0</v>
      </c>
      <c r="M3926" t="s">
        <v>22478</v>
      </c>
      <c r="N3926" t="s">
        <v>22479</v>
      </c>
      <c r="O3926" t="s">
        <v>22480</v>
      </c>
      <c r="P3926" t="s">
        <v>24585</v>
      </c>
      <c r="Q3926" s="3" t="n">
        <v>39702.0</v>
      </c>
      <c r="R3926" s="3" t="n">
        <v>42283.0</v>
      </c>
      <c r="S3926" s="3" t="n">
        <v>43266.45735532408</v>
      </c>
      <c r="T3926" s="3" t="n">
        <v>43901.7055708912</v>
      </c>
      <c r="U3926" t="s">
        <v>24586</v>
      </c>
      <c r="V3926" t="s">
        <v>22483</v>
      </c>
    </row>
    <row r="3927">
      <c r="A3927" t="s">
        <v>23557</v>
      </c>
      <c r="B3927" t="s">
        <v>24587</v>
      </c>
      <c r="C3927" t="s">
        <v>60</v>
      </c>
      <c r="D3927" t="s">
        <v>61</v>
      </c>
      <c r="E3927" t="s">
        <v>23564</v>
      </c>
      <c r="F3927" s="2" t="n">
        <f>HYPERLINK("https://patents.google.com/patent/US9145441","Google")</f>
        <v>0.0</v>
      </c>
      <c r="G3927" s="2" t="n">
        <f>HYPERLINK("https://patentcenter.uspto.gov/applications/13913259","Patent Center")</f>
        <v>0.0</v>
      </c>
      <c r="H3927" s="2" t="n">
        <f>HYPERLINK("https://worldwide.espacenet.com/patent/search?q=US9145441","Espacenet")</f>
        <v>0.0</v>
      </c>
      <c r="I3927" s="2" t="n">
        <f>HYPERLINK("https://ppubs.uspto.gov/pubwebapp/external.html?q=9145441.pn.","USPTO")</f>
        <v>0.0</v>
      </c>
      <c r="J3927" s="2" t="n">
        <f>HYPERLINK("https://image-ppubs.uspto.gov/dirsearch-public/print/downloadPdf/9145441","USPTO PDF")</f>
        <v>0.0</v>
      </c>
      <c r="K3927" s="2" t="n">
        <f>HYPERLINK("https://sectors.patentforecast.com/pmd/US9145441","PMD")</f>
        <v>0.0</v>
      </c>
      <c r="L3927" s="2" t="n">
        <f>HYPERLINK("https://globaldossier.uspto.gov/result/patent/US/9145441/1","US9145441")</f>
        <v>0.0</v>
      </c>
      <c r="M3927" t="s">
        <v>24588</v>
      </c>
      <c r="N3927" t="s">
        <v>19174</v>
      </c>
      <c r="O3927" t="s">
        <v>19175</v>
      </c>
      <c r="P3927" t="s">
        <v>23566</v>
      </c>
      <c r="Q3927" s="3" t="n">
        <v>41432.0</v>
      </c>
      <c r="R3927" s="3" t="n">
        <v>42276.0</v>
      </c>
      <c r="S3927" s="3" t="n">
        <v>43957.45970908565</v>
      </c>
      <c r="T3927" s="3" t="n">
        <v>44638.65643378472</v>
      </c>
      <c r="U3927" t="s">
        <v>24589</v>
      </c>
      <c r="V3927" t="s">
        <v>23568</v>
      </c>
    </row>
    <row r="3928">
      <c r="A3928" t="s">
        <v>23557</v>
      </c>
      <c r="B3928" t="s">
        <v>24590</v>
      </c>
      <c r="C3928" t="s">
        <v>132</v>
      </c>
      <c r="D3928" t="s">
        <v>1265</v>
      </c>
      <c r="E3928" t="s">
        <v>23039</v>
      </c>
      <c r="F3928" s="2" t="n">
        <f>HYPERLINK("https://patents.google.com/patent/US9144607","Google")</f>
        <v>0.0</v>
      </c>
      <c r="G3928" s="2" t="n">
        <f>HYPERLINK("https://patentcenter.uspto.gov/applications/13796125","Patent Center")</f>
        <v>0.0</v>
      </c>
      <c r="H3928" s="2" t="n">
        <f>HYPERLINK("https://worldwide.espacenet.com/patent/search?q=US9144607","Espacenet")</f>
        <v>0.0</v>
      </c>
      <c r="I3928" s="2" t="n">
        <f>HYPERLINK("https://ppubs.uspto.gov/pubwebapp/external.html?q=9144607.pn.","USPTO")</f>
        <v>0.0</v>
      </c>
      <c r="J3928" s="2" t="n">
        <f>HYPERLINK("https://image-ppubs.uspto.gov/dirsearch-public/print/downloadPdf/9144607","USPTO PDF")</f>
        <v>0.0</v>
      </c>
      <c r="K3928" s="2" t="n">
        <f>HYPERLINK("https://sectors.patentforecast.com/pmd/US9144607","PMD")</f>
        <v>0.0</v>
      </c>
      <c r="L3928" s="2" t="n">
        <f>HYPERLINK("https://globaldossier.uspto.gov/result/patent/US/9144607/1","US9144607")</f>
        <v>0.0</v>
      </c>
      <c r="M3928" t="s">
        <v>21144</v>
      </c>
      <c r="N3928" t="s">
        <v>1275</v>
      </c>
      <c r="O3928" t="s">
        <v>1275</v>
      </c>
      <c r="P3928" t="s">
        <v>23630</v>
      </c>
      <c r="Q3928" s="3" t="n">
        <v>41345.0</v>
      </c>
      <c r="R3928" s="3" t="n">
        <v>42276.0</v>
      </c>
      <c r="S3928" s="3" t="n">
        <v>43973.46948236111</v>
      </c>
      <c r="T3928" s="3" t="n">
        <v>44020.620563240744</v>
      </c>
      <c r="U3928" t="s">
        <v>24591</v>
      </c>
      <c r="V3928" t="s">
        <v>19103</v>
      </c>
    </row>
    <row r="3929">
      <c r="A3929" t="s">
        <v>23557</v>
      </c>
      <c r="B3929" t="s">
        <v>24592</v>
      </c>
      <c r="C3929" t="s">
        <v>60</v>
      </c>
      <c r="D3929" t="s">
        <v>61</v>
      </c>
      <c r="E3929" t="s">
        <v>24593</v>
      </c>
      <c r="F3929" s="2" t="n">
        <f>HYPERLINK("https://patents.google.com/patent/US9139604","Google")</f>
        <v>0.0</v>
      </c>
      <c r="G3929" s="2" t="n">
        <f>HYPERLINK("https://patentcenter.uspto.gov/applications/14309790","Patent Center")</f>
        <v>0.0</v>
      </c>
      <c r="H3929" s="2" t="n">
        <f>HYPERLINK("https://worldwide.espacenet.com/patent/search?q=US9139604","Espacenet")</f>
        <v>0.0</v>
      </c>
      <c r="I3929" s="2" t="n">
        <f>HYPERLINK("https://ppubs.uspto.gov/pubwebapp/external.html?q=9139604.pn.","USPTO")</f>
        <v>0.0</v>
      </c>
      <c r="J3929" s="2" t="n">
        <f>HYPERLINK("https://image-ppubs.uspto.gov/dirsearch-public/print/downloadPdf/9139604","USPTO PDF")</f>
        <v>0.0</v>
      </c>
      <c r="K3929" s="2" t="n">
        <f>HYPERLINK("https://sectors.patentforecast.com/pmd/US9139604","PMD")</f>
        <v>0.0</v>
      </c>
      <c r="L3929" s="2" t="n">
        <f>HYPERLINK("https://globaldossier.uspto.gov/result/patent/US/9139604/1","US9139604")</f>
        <v>0.0</v>
      </c>
      <c r="M3929" t="s">
        <v>20439</v>
      </c>
      <c r="N3929" t="s">
        <v>664</v>
      </c>
      <c r="O3929" t="s">
        <v>665</v>
      </c>
      <c r="P3929" t="s">
        <v>24594</v>
      </c>
      <c r="Q3929" s="3" t="n">
        <v>41809.0</v>
      </c>
      <c r="R3929" s="3" t="n">
        <v>42269.0</v>
      </c>
      <c r="S3929" s="3" t="n">
        <v>43950.647372685184</v>
      </c>
      <c r="T3929" s="3" t="n">
        <v>44638.65271974537</v>
      </c>
      <c r="U3929" t="s">
        <v>24595</v>
      </c>
      <c r="V3929" t="s">
        <v>20442</v>
      </c>
    </row>
    <row r="3930">
      <c r="A3930" t="s">
        <v>23557</v>
      </c>
      <c r="B3930" t="s">
        <v>24596</v>
      </c>
      <c r="C3930" t="s">
        <v>60</v>
      </c>
      <c r="D3930" t="s">
        <v>61</v>
      </c>
      <c r="E3930" t="s">
        <v>23786</v>
      </c>
      <c r="F3930" s="2" t="n">
        <f>HYPERLINK("https://patents.google.com/patent/US9139570","Google")</f>
        <v>0.0</v>
      </c>
      <c r="G3930" s="2" t="n">
        <f>HYPERLINK("https://patentcenter.uspto.gov/applications/14600911","Patent Center")</f>
        <v>0.0</v>
      </c>
      <c r="H3930" s="2" t="n">
        <f>HYPERLINK("https://worldwide.espacenet.com/patent/search?q=US9139570","Espacenet")</f>
        <v>0.0</v>
      </c>
      <c r="I3930" s="2" t="n">
        <f>HYPERLINK("https://ppubs.uspto.gov/pubwebapp/external.html?q=9139570.pn.","USPTO")</f>
        <v>0.0</v>
      </c>
      <c r="J3930" s="2" t="n">
        <f>HYPERLINK("https://image-ppubs.uspto.gov/dirsearch-public/print/downloadPdf/9139570","USPTO PDF")</f>
        <v>0.0</v>
      </c>
      <c r="K3930" s="2" t="n">
        <f>HYPERLINK("https://sectors.patentforecast.com/pmd/US9139570","PMD")</f>
        <v>0.0</v>
      </c>
      <c r="L3930" s="2" t="n">
        <f>HYPERLINK("https://globaldossier.uspto.gov/result/patent/US/9139570/1","US9139570")</f>
        <v>0.0</v>
      </c>
      <c r="M3930" t="s">
        <v>20293</v>
      </c>
      <c r="N3930" t="s">
        <v>664</v>
      </c>
      <c r="O3930" t="s">
        <v>665</v>
      </c>
      <c r="P3930" t="s">
        <v>24007</v>
      </c>
      <c r="Q3930" s="3" t="n">
        <v>42024.0</v>
      </c>
      <c r="R3930" s="3" t="n">
        <v>42269.0</v>
      </c>
      <c r="S3930" s="3" t="n">
        <v>43957.45970908565</v>
      </c>
      <c r="T3930" s="3" t="n">
        <v>44638.65271974537</v>
      </c>
      <c r="U3930" t="s">
        <v>24597</v>
      </c>
      <c r="V3930" t="s">
        <v>24009</v>
      </c>
    </row>
    <row r="3931">
      <c r="A3931" t="s">
        <v>23557</v>
      </c>
      <c r="B3931" t="s">
        <v>24598</v>
      </c>
      <c r="C3931" t="s">
        <v>312</v>
      </c>
      <c r="D3931" t="s">
        <v>313</v>
      </c>
      <c r="E3931" t="s">
        <v>24599</v>
      </c>
      <c r="F3931" s="2" t="n">
        <f>HYPERLINK("https://patents.google.com/patent/US9129039","Google")</f>
        <v>0.0</v>
      </c>
      <c r="G3931" s="2" t="n">
        <f>HYPERLINK("https://patentcenter.uspto.gov/applications/13654152","Patent Center")</f>
        <v>0.0</v>
      </c>
      <c r="H3931" s="2" t="n">
        <f>HYPERLINK("https://worldwide.espacenet.com/patent/search?q=US9129039","Espacenet")</f>
        <v>0.0</v>
      </c>
      <c r="I3931" s="2" t="n">
        <f>HYPERLINK("https://ppubs.uspto.gov/pubwebapp/external.html?q=9129039.pn.","USPTO")</f>
        <v>0.0</v>
      </c>
      <c r="J3931" s="2" t="n">
        <f>HYPERLINK("https://image-ppubs.uspto.gov/dirsearch-public/print/downloadPdf/9129039","USPTO PDF")</f>
        <v>0.0</v>
      </c>
      <c r="K3931" s="2" t="n">
        <f>HYPERLINK("https://sectors.patentforecast.com/pmd/US9129039","PMD")</f>
        <v>0.0</v>
      </c>
      <c r="L3931" s="2" t="n">
        <f>HYPERLINK("https://globaldossier.uspto.gov/result/patent/US/9129039/1","US9129039")</f>
        <v>0.0</v>
      </c>
      <c r="M3931" t="s">
        <v>21216</v>
      </c>
      <c r="N3931" t="s">
        <v>979</v>
      </c>
      <c r="O3931" t="s">
        <v>980</v>
      </c>
      <c r="P3931" t="s">
        <v>24600</v>
      </c>
      <c r="Q3931" s="3" t="n">
        <v>41199.0</v>
      </c>
      <c r="R3931" s="3" t="n">
        <v>42255.0</v>
      </c>
      <c r="S3931" s="3" t="n">
        <v>43266.4573553125</v>
      </c>
      <c r="T3931" s="3" t="n">
        <v>43266.63762232639</v>
      </c>
      <c r="U3931" t="s">
        <v>24601</v>
      </c>
      <c r="V3931" t="s">
        <v>21219</v>
      </c>
    </row>
    <row r="3932">
      <c r="A3932" t="s">
        <v>23557</v>
      </c>
      <c r="B3932" t="s">
        <v>24602</v>
      </c>
      <c r="C3932" t="s">
        <v>24</v>
      </c>
      <c r="D3932" t="s">
        <v>25</v>
      </c>
      <c r="E3932" t="s">
        <v>23950</v>
      </c>
      <c r="F3932" s="2" t="n">
        <f>HYPERLINK("https://patents.google.com/patent/US9118980","Google")</f>
        <v>0.0</v>
      </c>
      <c r="G3932" s="2" t="n">
        <f>HYPERLINK("https://patentcenter.uspto.gov/applications/12550168","Patent Center")</f>
        <v>0.0</v>
      </c>
      <c r="H3932" s="2" t="n">
        <f>HYPERLINK("https://worldwide.espacenet.com/patent/search?q=US9118980","Espacenet")</f>
        <v>0.0</v>
      </c>
      <c r="I3932" s="2" t="n">
        <f>HYPERLINK("https://ppubs.uspto.gov/pubwebapp/external.html?q=9118980.pn.","USPTO")</f>
        <v>0.0</v>
      </c>
      <c r="J3932" s="2" t="n">
        <f>HYPERLINK("https://image-ppubs.uspto.gov/dirsearch-public/print/downloadPdf/9118980","USPTO PDF")</f>
        <v>0.0</v>
      </c>
      <c r="K3932" s="2" t="n">
        <f>HYPERLINK("https://sectors.patentforecast.com/pmd/US9118980","PMD")</f>
        <v>0.0</v>
      </c>
      <c r="L3932" s="2" t="n">
        <f>HYPERLINK("https://globaldossier.uspto.gov/result/patent/US/9118980/1","US9118980")</f>
        <v>0.0</v>
      </c>
      <c r="M3932" t="s">
        <v>22081</v>
      </c>
      <c r="N3932" t="s">
        <v>24603</v>
      </c>
      <c r="O3932" t="s">
        <v>24604</v>
      </c>
      <c r="P3932" t="s">
        <v>23951</v>
      </c>
      <c r="Q3932" s="3" t="n">
        <v>40053.0</v>
      </c>
      <c r="R3932" s="3" t="n">
        <v>42241.0</v>
      </c>
      <c r="S3932" s="3" t="n">
        <v>43266.4573553125</v>
      </c>
      <c r="T3932" s="3" t="n">
        <v>43950.59985519676</v>
      </c>
      <c r="U3932" t="s">
        <v>24605</v>
      </c>
      <c r="V3932" t="s">
        <v>20035</v>
      </c>
    </row>
    <row r="3933">
      <c r="A3933" t="s">
        <v>23557</v>
      </c>
      <c r="B3933" t="s">
        <v>24606</v>
      </c>
      <c r="C3933" t="s">
        <v>132</v>
      </c>
      <c r="D3933" t="s">
        <v>2629</v>
      </c>
      <c r="E3933" t="s">
        <v>24607</v>
      </c>
      <c r="F3933" s="2" t="n">
        <f>HYPERLINK("https://patents.google.com/patent/US9109014","Google")</f>
        <v>0.0</v>
      </c>
      <c r="G3933" s="2" t="n">
        <f>HYPERLINK("https://patentcenter.uspto.gov/applications/13503828","Patent Center")</f>
        <v>0.0</v>
      </c>
      <c r="H3933" s="2" t="n">
        <f>HYPERLINK("https://worldwide.espacenet.com/patent/search?q=US9109014","Espacenet")</f>
        <v>0.0</v>
      </c>
      <c r="I3933" s="2" t="n">
        <f>HYPERLINK("https://ppubs.uspto.gov/pubwebapp/external.html?q=9109014.pn.","USPTO")</f>
        <v>0.0</v>
      </c>
      <c r="J3933" s="2" t="n">
        <f>HYPERLINK("https://image-ppubs.uspto.gov/dirsearch-public/print/downloadPdf/9109014","USPTO PDF")</f>
        <v>0.0</v>
      </c>
      <c r="K3933" s="2" t="n">
        <f>HYPERLINK("https://sectors.patentforecast.com/pmd/US9109014","PMD")</f>
        <v>0.0</v>
      </c>
      <c r="L3933" s="2" t="n">
        <f>HYPERLINK("https://globaldossier.uspto.gov/result/patent/US/9109014/1","US9109014")</f>
        <v>0.0</v>
      </c>
      <c r="M3933" t="s">
        <v>24608</v>
      </c>
      <c r="N3933" t="s">
        <v>10151</v>
      </c>
      <c r="O3933" t="s">
        <v>10152</v>
      </c>
      <c r="P3933" t="s">
        <v>24609</v>
      </c>
      <c r="Q3933" s="3" t="n">
        <v>40484.0</v>
      </c>
      <c r="R3933" s="3" t="n">
        <v>42234.0</v>
      </c>
      <c r="S3933" s="3" t="n">
        <v>43936.46037523148</v>
      </c>
      <c r="T3933" s="3" t="n">
        <v>43950.42424460648</v>
      </c>
      <c r="U3933" t="s">
        <v>24610</v>
      </c>
      <c r="V3933" t="s">
        <v>7858</v>
      </c>
    </row>
    <row r="3934">
      <c r="A3934" t="s">
        <v>23557</v>
      </c>
      <c r="B3934" t="s">
        <v>24611</v>
      </c>
      <c r="C3934" t="s">
        <v>60</v>
      </c>
      <c r="D3934" t="s">
        <v>61</v>
      </c>
      <c r="E3934" t="s">
        <v>23564</v>
      </c>
      <c r="F3934" s="2" t="n">
        <f>HYPERLINK("https://patents.google.com/patent/US9090653","Google")</f>
        <v>0.0</v>
      </c>
      <c r="G3934" s="2" t="n">
        <f>HYPERLINK("https://patentcenter.uspto.gov/applications/13913184","Patent Center")</f>
        <v>0.0</v>
      </c>
      <c r="H3934" s="2" t="n">
        <f>HYPERLINK("https://worldwide.espacenet.com/patent/search?q=US9090653","Espacenet")</f>
        <v>0.0</v>
      </c>
      <c r="I3934" s="2" t="n">
        <f>HYPERLINK("https://ppubs.uspto.gov/pubwebapp/external.html?q=9090653.pn.","USPTO")</f>
        <v>0.0</v>
      </c>
      <c r="J3934" s="2" t="n">
        <f>HYPERLINK("https://image-ppubs.uspto.gov/dirsearch-public/print/downloadPdf/9090653","USPTO PDF")</f>
        <v>0.0</v>
      </c>
      <c r="K3934" s="2" t="n">
        <f>HYPERLINK("https://sectors.patentforecast.com/pmd/US9090653","PMD")</f>
        <v>0.0</v>
      </c>
      <c r="L3934" s="2" t="n">
        <f>HYPERLINK("https://globaldossier.uspto.gov/result/patent/US/9090653/1","US9090653")</f>
        <v>0.0</v>
      </c>
      <c r="M3934" t="s">
        <v>20925</v>
      </c>
      <c r="N3934" t="s">
        <v>19174</v>
      </c>
      <c r="O3934" t="s">
        <v>19175</v>
      </c>
      <c r="P3934" t="s">
        <v>24612</v>
      </c>
      <c r="Q3934" s="3" t="n">
        <v>41432.0</v>
      </c>
      <c r="R3934" s="3" t="n">
        <v>42213.0</v>
      </c>
      <c r="S3934" s="3" t="n">
        <v>43957.45970908565</v>
      </c>
      <c r="T3934" s="3" t="n">
        <v>44638.65643378472</v>
      </c>
      <c r="U3934" t="s">
        <v>24613</v>
      </c>
      <c r="V3934" t="s">
        <v>23568</v>
      </c>
    </row>
    <row r="3935">
      <c r="A3935" t="s">
        <v>23557</v>
      </c>
      <c r="B3935" t="s">
        <v>24614</v>
      </c>
      <c r="C3935" t="s">
        <v>132</v>
      </c>
      <c r="D3935" t="s">
        <v>1265</v>
      </c>
      <c r="E3935" t="s">
        <v>24615</v>
      </c>
      <c r="F3935" s="2" t="n">
        <f>HYPERLINK("https://patents.google.com/patent/US9089516","Google")</f>
        <v>0.0</v>
      </c>
      <c r="G3935" s="2" t="n">
        <f>HYPERLINK("https://patentcenter.uspto.gov/applications/13712045","Patent Center")</f>
        <v>0.0</v>
      </c>
      <c r="H3935" s="2" t="n">
        <f>HYPERLINK("https://worldwide.espacenet.com/patent/search?q=US9089516","Espacenet")</f>
        <v>0.0</v>
      </c>
      <c r="I3935" s="2" t="n">
        <f>HYPERLINK("https://ppubs.uspto.gov/pubwebapp/external.html?q=9089516.pn.","USPTO")</f>
        <v>0.0</v>
      </c>
      <c r="J3935" s="2" t="n">
        <f>HYPERLINK("https://image-ppubs.uspto.gov/dirsearch-public/print/downloadPdf/9089516","USPTO PDF")</f>
        <v>0.0</v>
      </c>
      <c r="K3935" s="2" t="n">
        <f>HYPERLINK("https://sectors.patentforecast.com/pmd/US9089516","PMD")</f>
        <v>0.0</v>
      </c>
      <c r="L3935" s="2" t="n">
        <f>HYPERLINK("https://globaldossier.uspto.gov/result/patent/US/9089516/1","US9089516")</f>
        <v>0.0</v>
      </c>
      <c r="M3935" t="s">
        <v>24616</v>
      </c>
      <c r="N3935" t="s">
        <v>24617</v>
      </c>
      <c r="O3935" t="s">
        <v>24618</v>
      </c>
      <c r="P3935" t="s">
        <v>24619</v>
      </c>
      <c r="Q3935" s="3" t="n">
        <v>41255.0</v>
      </c>
      <c r="R3935" s="3" t="n">
        <v>42213.0</v>
      </c>
      <c r="S3935" s="3" t="n">
        <v>43973.46948236111</v>
      </c>
      <c r="T3935" s="3" t="n">
        <v>44545.66424207176</v>
      </c>
      <c r="U3935" t="s">
        <v>24620</v>
      </c>
      <c r="V3935" t="s">
        <v>24621</v>
      </c>
    </row>
    <row r="3936">
      <c r="A3936" t="s">
        <v>23557</v>
      </c>
      <c r="B3936" t="s">
        <v>24622</v>
      </c>
      <c r="C3936" t="s">
        <v>60</v>
      </c>
      <c r="D3936" t="s">
        <v>696</v>
      </c>
      <c r="E3936" t="s">
        <v>24623</v>
      </c>
      <c r="F3936" s="2" t="n">
        <f>HYPERLINK("https://patents.google.com/patent/US9085615","Google")</f>
        <v>0.0</v>
      </c>
      <c r="G3936" s="2" t="n">
        <f>HYPERLINK("https://patentcenter.uspto.gov/applications/13682214","Patent Center")</f>
        <v>0.0</v>
      </c>
      <c r="H3936" s="2" t="n">
        <f>HYPERLINK("https://worldwide.espacenet.com/patent/search?q=US9085615","Espacenet")</f>
        <v>0.0</v>
      </c>
      <c r="I3936" s="2" t="n">
        <f>HYPERLINK("https://ppubs.uspto.gov/pubwebapp/external.html?q=9085615.pn.","USPTO")</f>
        <v>0.0</v>
      </c>
      <c r="J3936" s="2" t="n">
        <f>HYPERLINK("https://image-ppubs.uspto.gov/dirsearch-public/print/downloadPdf/9085615","USPTO PDF")</f>
        <v>0.0</v>
      </c>
      <c r="K3936" s="2" t="n">
        <f>HYPERLINK("https://sectors.patentforecast.com/pmd/US9085615","PMD")</f>
        <v>0.0</v>
      </c>
      <c r="L3936" s="2" t="n">
        <f>HYPERLINK("https://globaldossier.uspto.gov/result/patent/US/9085615/1","US9085615")</f>
        <v>0.0</v>
      </c>
      <c r="M3936" t="s">
        <v>21062</v>
      </c>
      <c r="N3936" t="s">
        <v>16927</v>
      </c>
      <c r="O3936" t="s">
        <v>16928</v>
      </c>
      <c r="P3936" t="s">
        <v>24624</v>
      </c>
      <c r="Q3936" s="3" t="n">
        <v>41233.0</v>
      </c>
      <c r="R3936" s="3" t="n">
        <v>42206.0</v>
      </c>
      <c r="S3936" s="3" t="n">
        <v>43973.46940407407</v>
      </c>
      <c r="T3936" s="3" t="n">
        <v>44643.44490069444</v>
      </c>
      <c r="U3936" t="s">
        <v>23798</v>
      </c>
      <c r="V3936" t="s">
        <v>17876</v>
      </c>
    </row>
    <row r="3937">
      <c r="A3937" t="s">
        <v>23557</v>
      </c>
      <c r="B3937" t="s">
        <v>24625</v>
      </c>
      <c r="C3937" t="s">
        <v>60</v>
      </c>
      <c r="D3937" t="s">
        <v>61</v>
      </c>
      <c r="E3937" t="s">
        <v>22432</v>
      </c>
      <c r="F3937" s="2" t="n">
        <f>HYPERLINK("https://patents.google.com/patent/US9079887","Google")</f>
        <v>0.0</v>
      </c>
      <c r="G3937" s="2" t="n">
        <f>HYPERLINK("https://patentcenter.uspto.gov/applications/13828104","Patent Center")</f>
        <v>0.0</v>
      </c>
      <c r="H3937" s="2" t="n">
        <f>HYPERLINK("https://worldwide.espacenet.com/patent/search?q=US9079887","Espacenet")</f>
        <v>0.0</v>
      </c>
      <c r="I3937" s="2" t="n">
        <f>HYPERLINK("https://ppubs.uspto.gov/pubwebapp/external.html?q=9079887.pn.","USPTO")</f>
        <v>0.0</v>
      </c>
      <c r="J3937" s="2" t="n">
        <f>HYPERLINK("https://image-ppubs.uspto.gov/dirsearch-public/print/downloadPdf/9079887","USPTO PDF")</f>
        <v>0.0</v>
      </c>
      <c r="K3937" s="2" t="n">
        <f>HYPERLINK("https://sectors.patentforecast.com/pmd/US9079887","PMD")</f>
        <v>0.0</v>
      </c>
      <c r="L3937" s="2" t="n">
        <f>HYPERLINK("https://globaldossier.uspto.gov/result/patent/US/9079887/1","US9079887")</f>
        <v>0.0</v>
      </c>
      <c r="M3937" t="s">
        <v>20983</v>
      </c>
      <c r="N3937" t="s">
        <v>664</v>
      </c>
      <c r="O3937" t="s">
        <v>665</v>
      </c>
      <c r="P3937" t="s">
        <v>24004</v>
      </c>
      <c r="Q3937" s="3" t="n">
        <v>41347.0</v>
      </c>
      <c r="R3937" s="3" t="n">
        <v>42199.0</v>
      </c>
      <c r="S3937" s="3" t="n">
        <v>43957.45970908565</v>
      </c>
      <c r="T3937" s="3" t="n">
        <v>44544.455852453706</v>
      </c>
      <c r="U3937" t="s">
        <v>24626</v>
      </c>
      <c r="V3937" t="s">
        <v>16907</v>
      </c>
    </row>
    <row r="3938">
      <c r="A3938" t="s">
        <v>23557</v>
      </c>
      <c r="B3938" t="s">
        <v>24627</v>
      </c>
      <c r="C3938" t="s">
        <v>24</v>
      </c>
      <c r="D3938" t="s">
        <v>8459</v>
      </c>
      <c r="E3938" t="s">
        <v>24628</v>
      </c>
      <c r="F3938" s="2" t="n">
        <f>HYPERLINK("https://patents.google.com/patent/US9075909","Google")</f>
        <v>0.0</v>
      </c>
      <c r="G3938" s="2" t="n">
        <f>HYPERLINK("https://patentcenter.uspto.gov/applications/13680289","Patent Center")</f>
        <v>0.0</v>
      </c>
      <c r="H3938" s="2" t="n">
        <f>HYPERLINK("https://worldwide.espacenet.com/patent/search?q=US9075909","Espacenet")</f>
        <v>0.0</v>
      </c>
      <c r="I3938" s="2" t="n">
        <f>HYPERLINK("https://ppubs.uspto.gov/pubwebapp/external.html?q=9075909.pn.","USPTO")</f>
        <v>0.0</v>
      </c>
      <c r="J3938" s="2" t="n">
        <f>HYPERLINK("https://image-ppubs.uspto.gov/dirsearch-public/print/downloadPdf/9075909","USPTO PDF")</f>
        <v>0.0</v>
      </c>
      <c r="K3938" s="2" t="n">
        <f>HYPERLINK("https://sectors.patentforecast.com/pmd/US9075909","PMD")</f>
        <v>0.0</v>
      </c>
      <c r="L3938" s="2" t="n">
        <f>HYPERLINK("https://globaldossier.uspto.gov/result/patent/US/9075909/1","US9075909")</f>
        <v>0.0</v>
      </c>
      <c r="M3938" t="s">
        <v>20964</v>
      </c>
      <c r="N3938" t="s">
        <v>24629</v>
      </c>
      <c r="O3938" t="s">
        <v>24629</v>
      </c>
      <c r="P3938" t="s">
        <v>24630</v>
      </c>
      <c r="Q3938" s="3" t="n">
        <v>41232.0</v>
      </c>
      <c r="R3938" s="3" t="n">
        <v>42192.0</v>
      </c>
      <c r="S3938" s="3" t="n">
        <v>43266.4573553125</v>
      </c>
      <c r="T3938" s="3" t="n">
        <v>43901.70557111111</v>
      </c>
      <c r="U3938" t="s">
        <v>24631</v>
      </c>
      <c r="V3938" t="s">
        <v>20969</v>
      </c>
    </row>
    <row r="3939">
      <c r="A3939" t="s">
        <v>23557</v>
      </c>
      <c r="B3939" t="s">
        <v>24632</v>
      </c>
      <c r="C3939" t="s">
        <v>132</v>
      </c>
      <c r="D3939" t="s">
        <v>1265</v>
      </c>
      <c r="E3939" t="s">
        <v>24633</v>
      </c>
      <c r="F3939" s="2" t="n">
        <f>HYPERLINK("https://patents.google.com/patent/US9072701","Google")</f>
        <v>0.0</v>
      </c>
      <c r="G3939" s="2" t="n">
        <f>HYPERLINK("https://patentcenter.uspto.gov/applications/11737104","Patent Center")</f>
        <v>0.0</v>
      </c>
      <c r="H3939" s="2" t="n">
        <f>HYPERLINK("https://worldwide.espacenet.com/patent/search?q=US9072701","Espacenet")</f>
        <v>0.0</v>
      </c>
      <c r="I3939" s="2" t="n">
        <f>HYPERLINK("https://ppubs.uspto.gov/pubwebapp/external.html?q=9072701.pn.","USPTO")</f>
        <v>0.0</v>
      </c>
      <c r="J3939" s="2" t="n">
        <f>HYPERLINK("https://image-ppubs.uspto.gov/dirsearch-public/print/downloadPdf/9072701","USPTO PDF")</f>
        <v>0.0</v>
      </c>
      <c r="K3939" s="2" t="n">
        <f>HYPERLINK("https://sectors.patentforecast.com/pmd/US9072701","PMD")</f>
        <v>0.0</v>
      </c>
      <c r="L3939" s="2" t="n">
        <f>HYPERLINK("https://globaldossier.uspto.gov/result/patent/US/9072701/1","US9072701")</f>
        <v>0.0</v>
      </c>
      <c r="M3939" t="s">
        <v>24634</v>
      </c>
      <c r="N3939" t="s">
        <v>24635</v>
      </c>
      <c r="O3939" t="s">
        <v>24636</v>
      </c>
      <c r="P3939" t="s">
        <v>24637</v>
      </c>
      <c r="Q3939" s="3" t="n">
        <v>39190.0</v>
      </c>
      <c r="R3939" s="3" t="n">
        <v>42192.0</v>
      </c>
      <c r="S3939" s="3" t="n">
        <v>43973.46948236111</v>
      </c>
      <c r="T3939" s="3" t="n">
        <v>44545.373263483794</v>
      </c>
      <c r="U3939" t="s">
        <v>24638</v>
      </c>
      <c r="V3939" t="s">
        <v>24639</v>
      </c>
    </row>
    <row r="3940">
      <c r="A3940" t="s">
        <v>23557</v>
      </c>
      <c r="B3940" t="s">
        <v>24640</v>
      </c>
      <c r="C3940" t="s">
        <v>60</v>
      </c>
      <c r="D3940" t="s">
        <v>61</v>
      </c>
      <c r="E3940" t="s">
        <v>24053</v>
      </c>
      <c r="F3940" s="2" t="n">
        <f>HYPERLINK("https://patents.google.com/patent/US9062092","Google")</f>
        <v>0.0</v>
      </c>
      <c r="G3940" s="2" t="n">
        <f>HYPERLINK("https://patentcenter.uspto.gov/applications/13913288","Patent Center")</f>
        <v>0.0</v>
      </c>
      <c r="H3940" s="2" t="n">
        <f>HYPERLINK("https://worldwide.espacenet.com/patent/search?q=US9062092","Espacenet")</f>
        <v>0.0</v>
      </c>
      <c r="I3940" s="2" t="n">
        <f>HYPERLINK("https://ppubs.uspto.gov/pubwebapp/external.html?q=9062092.pn.","USPTO")</f>
        <v>0.0</v>
      </c>
      <c r="J3940" s="2" t="n">
        <f>HYPERLINK("https://image-ppubs.uspto.gov/dirsearch-public/print/downloadPdf/9062092","USPTO PDF")</f>
        <v>0.0</v>
      </c>
      <c r="K3940" s="2" t="n">
        <f>HYPERLINK("https://sectors.patentforecast.com/pmd/US9062092","PMD")</f>
        <v>0.0</v>
      </c>
      <c r="L3940" s="2" t="n">
        <f>HYPERLINK("https://globaldossier.uspto.gov/result/patent/US/9062092/1","US9062092")</f>
        <v>0.0</v>
      </c>
      <c r="M3940" t="s">
        <v>20919</v>
      </c>
      <c r="N3940" t="s">
        <v>19174</v>
      </c>
      <c r="O3940" t="s">
        <v>19175</v>
      </c>
      <c r="P3940" t="s">
        <v>24641</v>
      </c>
      <c r="Q3940" s="3" t="n">
        <v>41432.0</v>
      </c>
      <c r="R3940" s="3" t="n">
        <v>42178.0</v>
      </c>
      <c r="S3940" s="3" t="n">
        <v>43957.45970908565</v>
      </c>
      <c r="T3940" s="3" t="n">
        <v>44638.65643378472</v>
      </c>
      <c r="U3940" t="s">
        <v>24642</v>
      </c>
      <c r="V3940" t="s">
        <v>23808</v>
      </c>
    </row>
    <row r="3941">
      <c r="A3941" t="s">
        <v>23557</v>
      </c>
      <c r="B3941" t="s">
        <v>24643</v>
      </c>
      <c r="C3941" t="s">
        <v>60</v>
      </c>
      <c r="D3941" t="s">
        <v>61</v>
      </c>
      <c r="E3941" t="s">
        <v>23982</v>
      </c>
      <c r="F3941" s="2" t="n">
        <f>HYPERLINK("https://patents.google.com/patent/US9056860","Google")</f>
        <v>0.0</v>
      </c>
      <c r="G3941" s="2" t="n">
        <f>HYPERLINK("https://patentcenter.uspto.gov/applications/13800202","Patent Center")</f>
        <v>0.0</v>
      </c>
      <c r="H3941" s="2" t="n">
        <f>HYPERLINK("https://worldwide.espacenet.com/patent/search?q=US9056860","Espacenet")</f>
        <v>0.0</v>
      </c>
      <c r="I3941" s="2" t="n">
        <f>HYPERLINK("https://ppubs.uspto.gov/pubwebapp/external.html?q=9056860.pn.","USPTO")</f>
        <v>0.0</v>
      </c>
      <c r="J3941" s="2" t="n">
        <f>HYPERLINK("https://image-ppubs.uspto.gov/dirsearch-public/print/downloadPdf/9056860","USPTO PDF")</f>
        <v>0.0</v>
      </c>
      <c r="K3941" s="2" t="n">
        <f>HYPERLINK("https://sectors.patentforecast.com/pmd/US9056860","PMD")</f>
        <v>0.0</v>
      </c>
      <c r="L3941" s="2" t="n">
        <f>HYPERLINK("https://globaldossier.uspto.gov/result/patent/US/9056860/1","US9056860")</f>
        <v>0.0</v>
      </c>
      <c r="M3941" t="s">
        <v>20947</v>
      </c>
      <c r="N3941" t="s">
        <v>664</v>
      </c>
      <c r="O3941" t="s">
        <v>665</v>
      </c>
      <c r="P3941" t="s">
        <v>23983</v>
      </c>
      <c r="Q3941" s="3" t="n">
        <v>41346.0</v>
      </c>
      <c r="R3941" s="3" t="n">
        <v>42171.0</v>
      </c>
      <c r="S3941" s="3" t="n">
        <v>43950.647372685184</v>
      </c>
      <c r="T3941" s="3" t="n">
        <v>44638.65271974537</v>
      </c>
      <c r="U3941" t="s">
        <v>24644</v>
      </c>
      <c r="V3941" t="s">
        <v>23985</v>
      </c>
    </row>
    <row r="3942">
      <c r="A3942" t="s">
        <v>23557</v>
      </c>
      <c r="B3942" t="s">
        <v>24645</v>
      </c>
      <c r="C3942" t="s">
        <v>60</v>
      </c>
      <c r="D3942" t="s">
        <v>61</v>
      </c>
      <c r="E3942" t="s">
        <v>22432</v>
      </c>
      <c r="F3942" s="2" t="n">
        <f>HYPERLINK("https://patents.google.com/patent/US9051340","Google")</f>
        <v>0.0</v>
      </c>
      <c r="G3942" s="2" t="n">
        <f>HYPERLINK("https://patentcenter.uspto.gov/applications/14261325","Patent Center")</f>
        <v>0.0</v>
      </c>
      <c r="H3942" s="2" t="n">
        <f>HYPERLINK("https://worldwide.espacenet.com/patent/search?q=US9051340","Espacenet")</f>
        <v>0.0</v>
      </c>
      <c r="I3942" s="2" t="n">
        <f>HYPERLINK("https://ppubs.uspto.gov/pubwebapp/external.html?q=9051340.pn.","USPTO")</f>
        <v>0.0</v>
      </c>
      <c r="J3942" s="2" t="n">
        <f>HYPERLINK("https://image-ppubs.uspto.gov/dirsearch-public/print/downloadPdf/9051340","USPTO PDF")</f>
        <v>0.0</v>
      </c>
      <c r="K3942" s="2" t="n">
        <f>HYPERLINK("https://sectors.patentforecast.com/pmd/US9051340","PMD")</f>
        <v>0.0</v>
      </c>
      <c r="L3942" s="2" t="n">
        <f>HYPERLINK("https://globaldossier.uspto.gov/result/patent/US/9051340/1","US9051340")</f>
        <v>0.0</v>
      </c>
      <c r="M3942" t="s">
        <v>20537</v>
      </c>
      <c r="N3942" t="s">
        <v>664</v>
      </c>
      <c r="O3942" t="s">
        <v>665</v>
      </c>
      <c r="P3942" t="s">
        <v>24492</v>
      </c>
      <c r="Q3942" s="3" t="n">
        <v>41753.0</v>
      </c>
      <c r="R3942" s="3" t="n">
        <v>42164.0</v>
      </c>
      <c r="S3942" s="3" t="n">
        <v>43957.45970908565</v>
      </c>
      <c r="T3942" s="3" t="n">
        <v>44544.455852453706</v>
      </c>
      <c r="U3942" t="s">
        <v>24646</v>
      </c>
      <c r="V3942" t="s">
        <v>17072</v>
      </c>
    </row>
    <row r="3943">
      <c r="A3943" t="s">
        <v>23557</v>
      </c>
      <c r="B3943" t="s">
        <v>24647</v>
      </c>
      <c r="C3943" t="s">
        <v>132</v>
      </c>
      <c r="D3943" t="s">
        <v>1265</v>
      </c>
      <c r="E3943" t="s">
        <v>22938</v>
      </c>
      <c r="F3943" s="2" t="n">
        <f>HYPERLINK("https://patents.google.com/patent/US9050290","Google")</f>
        <v>0.0</v>
      </c>
      <c r="G3943" s="2" t="n">
        <f>HYPERLINK("https://patentcenter.uspto.gov/applications/13890711","Patent Center")</f>
        <v>0.0</v>
      </c>
      <c r="H3943" s="2" t="n">
        <f>HYPERLINK("https://worldwide.espacenet.com/patent/search?q=US9050290","Espacenet")</f>
        <v>0.0</v>
      </c>
      <c r="I3943" s="2" t="n">
        <f>HYPERLINK("https://ppubs.uspto.gov/pubwebapp/external.html?q=9050290.pn.","USPTO")</f>
        <v>0.0</v>
      </c>
      <c r="J3943" s="2" t="n">
        <f>HYPERLINK("https://image-ppubs.uspto.gov/dirsearch-public/print/downloadPdf/9050290","USPTO PDF")</f>
        <v>0.0</v>
      </c>
      <c r="K3943" s="2" t="n">
        <f>HYPERLINK("https://sectors.patentforecast.com/pmd/US9050290","PMD")</f>
        <v>0.0</v>
      </c>
      <c r="L3943" s="2" t="n">
        <f>HYPERLINK("https://globaldossier.uspto.gov/result/patent/US/9050290/1","US9050290")</f>
        <v>0.0</v>
      </c>
      <c r="M3943" t="s">
        <v>20991</v>
      </c>
      <c r="N3943" t="s">
        <v>1275</v>
      </c>
      <c r="O3943" t="s">
        <v>1275</v>
      </c>
      <c r="P3943" t="s">
        <v>24001</v>
      </c>
      <c r="Q3943" s="3" t="n">
        <v>41403.0</v>
      </c>
      <c r="R3943" s="3" t="n">
        <v>42164.0</v>
      </c>
      <c r="S3943" s="3" t="n">
        <v>43900.43738940972</v>
      </c>
      <c r="T3943" s="3" t="n">
        <v>43901.70557096065</v>
      </c>
      <c r="U3943" t="s">
        <v>24648</v>
      </c>
      <c r="V3943" t="s">
        <v>17402</v>
      </c>
    </row>
    <row r="3944">
      <c r="A3944" t="s">
        <v>23557</v>
      </c>
      <c r="B3944" t="s">
        <v>24649</v>
      </c>
      <c r="C3944" t="s">
        <v>132</v>
      </c>
      <c r="D3944" t="s">
        <v>1265</v>
      </c>
      <c r="E3944" t="s">
        <v>24650</v>
      </c>
      <c r="F3944" s="2" t="n">
        <f>HYPERLINK("https://patents.google.com/patent/US9045777","Google")</f>
        <v>0.0</v>
      </c>
      <c r="G3944" s="2" t="n">
        <f>HYPERLINK("https://patentcenter.uspto.gov/applications/14029465","Patent Center")</f>
        <v>0.0</v>
      </c>
      <c r="H3944" s="2" t="n">
        <f>HYPERLINK("https://worldwide.espacenet.com/patent/search?q=US9045777","Espacenet")</f>
        <v>0.0</v>
      </c>
      <c r="I3944" s="2" t="n">
        <f>HYPERLINK("https://ppubs.uspto.gov/pubwebapp/external.html?q=9045777.pn.","USPTO")</f>
        <v>0.0</v>
      </c>
      <c r="J3944" s="2" t="n">
        <f>HYPERLINK("https://image-ppubs.uspto.gov/dirsearch-public/print/downloadPdf/9045777","USPTO PDF")</f>
        <v>0.0</v>
      </c>
      <c r="K3944" s="2" t="n">
        <f>HYPERLINK("https://sectors.patentforecast.com/pmd/US9045777","PMD")</f>
        <v>0.0</v>
      </c>
      <c r="L3944" s="2" t="n">
        <f>HYPERLINK("https://globaldossier.uspto.gov/result/patent/US/9045777/1","US9045777")</f>
        <v>0.0</v>
      </c>
      <c r="M3944" t="s">
        <v>20909</v>
      </c>
      <c r="N3944" t="s">
        <v>20910</v>
      </c>
      <c r="O3944" t="s">
        <v>20910</v>
      </c>
      <c r="P3944" t="s">
        <v>24651</v>
      </c>
      <c r="Q3944" s="3" t="n">
        <v>41534.0</v>
      </c>
      <c r="R3944" s="3" t="n">
        <v>42157.0</v>
      </c>
      <c r="S3944" s="3" t="n">
        <v>43900.43738940972</v>
      </c>
      <c r="T3944" s="3" t="n">
        <v>43901.70557111111</v>
      </c>
      <c r="U3944" t="s">
        <v>24652</v>
      </c>
      <c r="V3944" t="s">
        <v>20913</v>
      </c>
    </row>
    <row r="3945">
      <c r="A3945" t="s">
        <v>23557</v>
      </c>
      <c r="B3945" t="s">
        <v>24653</v>
      </c>
      <c r="C3945" t="s">
        <v>60</v>
      </c>
      <c r="D3945" t="s">
        <v>61</v>
      </c>
      <c r="E3945" t="s">
        <v>24276</v>
      </c>
      <c r="F3945" s="2" t="n">
        <f>HYPERLINK("https://patents.google.com/patent/US9045462","Google")</f>
        <v>0.0</v>
      </c>
      <c r="G3945" s="2" t="n">
        <f>HYPERLINK("https://patentcenter.uspto.gov/applications/14271216","Patent Center")</f>
        <v>0.0</v>
      </c>
      <c r="H3945" s="2" t="n">
        <f>HYPERLINK("https://worldwide.espacenet.com/patent/search?q=US9045462","Espacenet")</f>
        <v>0.0</v>
      </c>
      <c r="I3945" s="2" t="n">
        <f>HYPERLINK("https://ppubs.uspto.gov/pubwebapp/external.html?q=9045462.pn.","USPTO")</f>
        <v>0.0</v>
      </c>
      <c r="J3945" s="2" t="n">
        <f>HYPERLINK("https://image-ppubs.uspto.gov/dirsearch-public/print/downloadPdf/9045462","USPTO PDF")</f>
        <v>0.0</v>
      </c>
      <c r="K3945" s="2" t="n">
        <f>HYPERLINK("https://sectors.patentforecast.com/pmd/US9045462","PMD")</f>
        <v>0.0</v>
      </c>
      <c r="L3945" s="2" t="n">
        <f>HYPERLINK("https://globaldossier.uspto.gov/result/patent/US/9045462/1","US9045462")</f>
        <v>0.0</v>
      </c>
      <c r="M3945" t="s">
        <v>20578</v>
      </c>
      <c r="N3945" t="s">
        <v>664</v>
      </c>
      <c r="O3945" t="s">
        <v>665</v>
      </c>
      <c r="P3945" t="s">
        <v>24654</v>
      </c>
      <c r="Q3945" s="3" t="n">
        <v>41765.0</v>
      </c>
      <c r="R3945" s="3" t="n">
        <v>42157.0</v>
      </c>
      <c r="S3945" s="3" t="n">
        <v>43950.647372685184</v>
      </c>
      <c r="T3945" s="3" t="n">
        <v>44638.65271974537</v>
      </c>
      <c r="U3945" t="s">
        <v>24655</v>
      </c>
      <c r="V3945" t="s">
        <v>24656</v>
      </c>
    </row>
    <row r="3946">
      <c r="A3946" t="s">
        <v>23557</v>
      </c>
      <c r="B3946" t="s">
        <v>24657</v>
      </c>
      <c r="C3946" t="s">
        <v>132</v>
      </c>
      <c r="D3946" t="s">
        <v>142</v>
      </c>
      <c r="E3946" t="s">
        <v>24658</v>
      </c>
      <c r="F3946" s="2" t="n">
        <f>HYPERLINK("https://patents.google.com/patent/US9034313","Google")</f>
        <v>0.0</v>
      </c>
      <c r="G3946" s="2" t="n">
        <f>HYPERLINK("https://patentcenter.uspto.gov/applications/13577387","Patent Center")</f>
        <v>0.0</v>
      </c>
      <c r="H3946" s="2" t="n">
        <f>HYPERLINK("https://worldwide.espacenet.com/patent/search?q=US9034313","Espacenet")</f>
        <v>0.0</v>
      </c>
      <c r="I3946" s="2" t="n">
        <f>HYPERLINK("https://ppubs.uspto.gov/pubwebapp/external.html?q=9034313.pn.","USPTO")</f>
        <v>0.0</v>
      </c>
      <c r="J3946" s="2" t="n">
        <f>HYPERLINK("https://image-ppubs.uspto.gov/dirsearch-public/print/downloadPdf/9034313","USPTO PDF")</f>
        <v>0.0</v>
      </c>
      <c r="K3946" s="2" t="n">
        <f>HYPERLINK("https://sectors.patentforecast.com/pmd/US9034313","PMD")</f>
        <v>0.0</v>
      </c>
      <c r="L3946" s="2" t="n">
        <f>HYPERLINK("https://globaldossier.uspto.gov/result/patent/US/9034313/1","US9034313")</f>
        <v>0.0</v>
      </c>
      <c r="M3946" t="s">
        <v>24659</v>
      </c>
      <c r="N3946" t="s">
        <v>7854</v>
      </c>
      <c r="O3946" t="s">
        <v>7855</v>
      </c>
      <c r="P3946" t="s">
        <v>24660</v>
      </c>
      <c r="Q3946" s="3" t="n">
        <v>40582.0</v>
      </c>
      <c r="R3946" s="3" t="n">
        <v>42143.0</v>
      </c>
      <c r="S3946" s="3" t="n">
        <v>43935.60229520834</v>
      </c>
      <c r="T3946" s="3" t="n">
        <v>43950.42445670139</v>
      </c>
      <c r="U3946" t="s">
        <v>24661</v>
      </c>
      <c r="V3946" t="s">
        <v>24662</v>
      </c>
    </row>
    <row r="3947">
      <c r="A3947" t="s">
        <v>23557</v>
      </c>
      <c r="B3947" t="s">
        <v>24663</v>
      </c>
      <c r="C3947" t="s">
        <v>24</v>
      </c>
      <c r="D3947" t="s">
        <v>25</v>
      </c>
      <c r="E3947" t="s">
        <v>24664</v>
      </c>
      <c r="F3947" s="2" t="n">
        <f>HYPERLINK("https://patents.google.com/patent/US9031632","Google")</f>
        <v>0.0</v>
      </c>
      <c r="G3947" s="2" t="n">
        <f>HYPERLINK("https://patentcenter.uspto.gov/applications/13503997","Patent Center")</f>
        <v>0.0</v>
      </c>
      <c r="H3947" s="2" t="n">
        <f>HYPERLINK("https://worldwide.espacenet.com/patent/search?q=US9031632","Espacenet")</f>
        <v>0.0</v>
      </c>
      <c r="I3947" s="2" t="n">
        <f>HYPERLINK("https://ppubs.uspto.gov/pubwebapp/external.html?q=9031632.pn.","USPTO")</f>
        <v>0.0</v>
      </c>
      <c r="J3947" s="2" t="n">
        <f>HYPERLINK("https://image-ppubs.uspto.gov/dirsearch-public/print/downloadPdf/9031632","USPTO PDF")</f>
        <v>0.0</v>
      </c>
      <c r="K3947" s="2" t="n">
        <f>HYPERLINK("https://sectors.patentforecast.com/pmd/US9031632","PMD")</f>
        <v>0.0</v>
      </c>
      <c r="L3947" s="2" t="n">
        <f>HYPERLINK("https://globaldossier.uspto.gov/result/patent/US/9031632/1","US9031632")</f>
        <v>0.0</v>
      </c>
      <c r="M3947" t="s">
        <v>21431</v>
      </c>
      <c r="N3947" t="s">
        <v>9610</v>
      </c>
      <c r="O3947" t="s">
        <v>9611</v>
      </c>
      <c r="P3947" t="s">
        <v>24665</v>
      </c>
      <c r="Q3947" s="3" t="n">
        <v>40480.0</v>
      </c>
      <c r="R3947" s="3" t="n">
        <v>42136.0</v>
      </c>
      <c r="S3947" s="3" t="n">
        <v>43266.4573553125</v>
      </c>
      <c r="T3947" s="3" t="n">
        <v>43901.705570729166</v>
      </c>
      <c r="U3947" t="s">
        <v>24666</v>
      </c>
      <c r="V3947" t="s">
        <v>21434</v>
      </c>
    </row>
    <row r="3948">
      <c r="A3948" t="s">
        <v>23557</v>
      </c>
      <c r="B3948" t="s">
        <v>24667</v>
      </c>
      <c r="C3948" t="s">
        <v>60</v>
      </c>
      <c r="D3948" t="s">
        <v>61</v>
      </c>
      <c r="E3948" t="s">
        <v>24019</v>
      </c>
      <c r="F3948" s="2" t="n">
        <f>HYPERLINK("https://patents.google.com/patent/US9029534","Google")</f>
        <v>0.0</v>
      </c>
      <c r="G3948" s="2" t="n">
        <f>HYPERLINK("https://patentcenter.uspto.gov/applications/14154313","Patent Center")</f>
        <v>0.0</v>
      </c>
      <c r="H3948" s="2" t="n">
        <f>HYPERLINK("https://worldwide.espacenet.com/patent/search?q=US9029534","Espacenet")</f>
        <v>0.0</v>
      </c>
      <c r="I3948" s="2" t="n">
        <f>HYPERLINK("https://ppubs.uspto.gov/pubwebapp/external.html?q=9029534.pn.","USPTO")</f>
        <v>0.0</v>
      </c>
      <c r="J3948" s="2" t="n">
        <f>HYPERLINK("https://image-ppubs.uspto.gov/dirsearch-public/print/downloadPdf/9029534","USPTO PDF")</f>
        <v>0.0</v>
      </c>
      <c r="K3948" s="2" t="n">
        <f>HYPERLINK("https://sectors.patentforecast.com/pmd/US9029534","PMD")</f>
        <v>0.0</v>
      </c>
      <c r="L3948" s="2" t="n">
        <f>HYPERLINK("https://globaldossier.uspto.gov/result/patent/US/9029534/1","US9029534")</f>
        <v>0.0</v>
      </c>
      <c r="M3948" t="s">
        <v>20747</v>
      </c>
      <c r="N3948" t="s">
        <v>664</v>
      </c>
      <c r="O3948" t="s">
        <v>665</v>
      </c>
      <c r="P3948" t="s">
        <v>24020</v>
      </c>
      <c r="Q3948" s="3" t="n">
        <v>41653.0</v>
      </c>
      <c r="R3948" s="3" t="n">
        <v>42136.0</v>
      </c>
      <c r="S3948" s="3" t="n">
        <v>43957.45970908565</v>
      </c>
      <c r="T3948" s="3" t="n">
        <v>44638.65579662037</v>
      </c>
      <c r="U3948" t="s">
        <v>24668</v>
      </c>
      <c r="V3948" t="s">
        <v>24669</v>
      </c>
    </row>
    <row r="3949">
      <c r="A3949" t="s">
        <v>23557</v>
      </c>
      <c r="B3949" t="s">
        <v>24670</v>
      </c>
      <c r="C3949" t="s">
        <v>132</v>
      </c>
      <c r="D3949" t="s">
        <v>1265</v>
      </c>
      <c r="E3949" t="s">
        <v>24671</v>
      </c>
      <c r="F3949" s="2" t="n">
        <f>HYPERLINK("https://patents.google.com/patent/US9029526","Google")</f>
        <v>0.0</v>
      </c>
      <c r="G3949" s="2" t="n">
        <f>HYPERLINK("https://patentcenter.uspto.gov/applications/13680132","Patent Center")</f>
        <v>0.0</v>
      </c>
      <c r="H3949" s="2" t="n">
        <f>HYPERLINK("https://worldwide.espacenet.com/patent/search?q=US9029526","Espacenet")</f>
        <v>0.0</v>
      </c>
      <c r="I3949" s="2" t="n">
        <f>HYPERLINK("https://ppubs.uspto.gov/pubwebapp/external.html?q=9029526.pn.","USPTO")</f>
        <v>0.0</v>
      </c>
      <c r="J3949" s="2" t="n">
        <f>HYPERLINK("https://image-ppubs.uspto.gov/dirsearch-public/print/downloadPdf/9029526","USPTO PDF")</f>
        <v>0.0</v>
      </c>
      <c r="K3949" s="2" t="n">
        <f>HYPERLINK("https://sectors.patentforecast.com/pmd/US9029526","PMD")</f>
        <v>0.0</v>
      </c>
      <c r="L3949" s="2" t="n">
        <f>HYPERLINK("https://globaldossier.uspto.gov/result/patent/US/9029526/1","US9029526")</f>
        <v>0.0</v>
      </c>
      <c r="M3949" t="s">
        <v>24672</v>
      </c>
      <c r="N3949" t="s">
        <v>16075</v>
      </c>
      <c r="O3949" t="s">
        <v>16076</v>
      </c>
      <c r="P3949" t="s">
        <v>24673</v>
      </c>
      <c r="Q3949" s="3" t="n">
        <v>41232.0</v>
      </c>
      <c r="R3949" s="3" t="n">
        <v>42136.0</v>
      </c>
      <c r="S3949" s="3" t="n">
        <v>43973.46878633102</v>
      </c>
      <c r="T3949" s="3" t="n">
        <v>44545.68462219907</v>
      </c>
      <c r="U3949" t="s">
        <v>24674</v>
      </c>
      <c r="V3949" t="s">
        <v>24675</v>
      </c>
    </row>
    <row r="3950">
      <c r="A3950" t="s">
        <v>23557</v>
      </c>
      <c r="B3950" t="s">
        <v>24676</v>
      </c>
      <c r="C3950" t="s">
        <v>132</v>
      </c>
      <c r="D3950" t="s">
        <v>1265</v>
      </c>
      <c r="E3950" t="s">
        <v>23170</v>
      </c>
      <c r="F3950" s="2" t="n">
        <f>HYPERLINK("https://patents.google.com/patent/US9028838","Google")</f>
        <v>0.0</v>
      </c>
      <c r="G3950" s="2" t="n">
        <f>HYPERLINK("https://patentcenter.uspto.gov/applications/13784259","Patent Center")</f>
        <v>0.0</v>
      </c>
      <c r="H3950" s="2" t="n">
        <f>HYPERLINK("https://worldwide.espacenet.com/patent/search?q=US9028838","Espacenet")</f>
        <v>0.0</v>
      </c>
      <c r="I3950" s="2" t="n">
        <f>HYPERLINK("https://ppubs.uspto.gov/pubwebapp/external.html?q=9028838.pn.","USPTO")</f>
        <v>0.0</v>
      </c>
      <c r="J3950" s="2" t="n">
        <f>HYPERLINK("https://image-ppubs.uspto.gov/dirsearch-public/print/downloadPdf/9028838","USPTO PDF")</f>
        <v>0.0</v>
      </c>
      <c r="K3950" s="2" t="n">
        <f>HYPERLINK("https://sectors.patentforecast.com/pmd/US9028838","PMD")</f>
        <v>0.0</v>
      </c>
      <c r="L3950" s="2" t="n">
        <f>HYPERLINK("https://globaldossier.uspto.gov/result/patent/US/9028838/1","US9028838")</f>
        <v>0.0</v>
      </c>
      <c r="M3950" t="s">
        <v>21122</v>
      </c>
      <c r="N3950" t="s">
        <v>21123</v>
      </c>
      <c r="O3950" t="s">
        <v>21124</v>
      </c>
      <c r="P3950" t="s">
        <v>24677</v>
      </c>
      <c r="Q3950" s="3" t="n">
        <v>41337.0</v>
      </c>
      <c r="R3950" s="3" t="n">
        <v>42136.0</v>
      </c>
      <c r="S3950" s="3" t="n">
        <v>43900.43738940972</v>
      </c>
      <c r="T3950" s="3" t="n">
        <v>43901.70557106481</v>
      </c>
      <c r="U3950" t="s">
        <v>24678</v>
      </c>
      <c r="V3950" t="s">
        <v>21127</v>
      </c>
    </row>
    <row r="3951">
      <c r="A3951" t="s">
        <v>23557</v>
      </c>
      <c r="B3951" t="s">
        <v>24679</v>
      </c>
      <c r="C3951" t="s">
        <v>60</v>
      </c>
      <c r="D3951" t="s">
        <v>77</v>
      </c>
      <c r="E3951" t="s">
        <v>24680</v>
      </c>
      <c r="F3951" s="2" t="n">
        <f>HYPERLINK("https://patents.google.com/patent/US9028797","Google")</f>
        <v>0.0</v>
      </c>
      <c r="G3951" s="2" t="n">
        <f>HYPERLINK("https://patentcenter.uspto.gov/applications/13581194","Patent Center")</f>
        <v>0.0</v>
      </c>
      <c r="H3951" s="2" t="n">
        <f>HYPERLINK("https://worldwide.espacenet.com/patent/search?q=US9028797","Espacenet")</f>
        <v>0.0</v>
      </c>
      <c r="I3951" s="2" t="n">
        <f>HYPERLINK("https://ppubs.uspto.gov/pubwebapp/external.html?q=9028797.pn.","USPTO")</f>
        <v>0.0</v>
      </c>
      <c r="J3951" s="2" t="n">
        <f>HYPERLINK("https://image-ppubs.uspto.gov/dirsearch-public/print/downloadPdf/9028797","USPTO PDF")</f>
        <v>0.0</v>
      </c>
      <c r="K3951" s="2" t="n">
        <f>HYPERLINK("https://sectors.patentforecast.com/pmd/US9028797","PMD")</f>
        <v>0.0</v>
      </c>
      <c r="L3951" s="2" t="n">
        <f>HYPERLINK("https://globaldossier.uspto.gov/result/patent/US/9028797/1","US9028797")</f>
        <v>0.0</v>
      </c>
      <c r="M3951" t="s">
        <v>24681</v>
      </c>
      <c r="N3951" t="s">
        <v>24682</v>
      </c>
      <c r="O3951" t="s">
        <v>24682</v>
      </c>
      <c r="P3951" t="s">
        <v>24683</v>
      </c>
      <c r="Q3951" s="3" t="n">
        <v>40598.0</v>
      </c>
      <c r="R3951" s="3" t="n">
        <v>42136.0</v>
      </c>
      <c r="S3951" s="3" t="n">
        <v>43973.46878633102</v>
      </c>
      <c r="T3951" s="3" t="n">
        <v>44545.57355275463</v>
      </c>
      <c r="U3951" t="s">
        <v>24684</v>
      </c>
      <c r="V3951" t="s">
        <v>24685</v>
      </c>
    </row>
    <row r="3952">
      <c r="A3952" t="s">
        <v>23557</v>
      </c>
      <c r="B3952" t="s">
        <v>24686</v>
      </c>
      <c r="C3952" t="s">
        <v>312</v>
      </c>
      <c r="D3952" t="s">
        <v>313</v>
      </c>
      <c r="E3952" t="s">
        <v>24687</v>
      </c>
      <c r="F3952" s="2" t="n">
        <f>HYPERLINK("https://patents.google.com/patent/US9026531","Google")</f>
        <v>0.0</v>
      </c>
      <c r="G3952" s="2" t="n">
        <f>HYPERLINK("https://patentcenter.uspto.gov/applications/13449024","Patent Center")</f>
        <v>0.0</v>
      </c>
      <c r="H3952" s="2" t="n">
        <f>HYPERLINK("https://worldwide.espacenet.com/patent/search?q=US9026531","Espacenet")</f>
        <v>0.0</v>
      </c>
      <c r="I3952" s="2" t="n">
        <f>HYPERLINK("https://ppubs.uspto.gov/pubwebapp/external.html?q=9026531.pn.","USPTO")</f>
        <v>0.0</v>
      </c>
      <c r="J3952" s="2" t="n">
        <f>HYPERLINK("https://image-ppubs.uspto.gov/dirsearch-public/print/downloadPdf/9026531","USPTO PDF")</f>
        <v>0.0</v>
      </c>
      <c r="K3952" s="2" t="n">
        <f>HYPERLINK("https://sectors.patentforecast.com/pmd/US9026531","PMD")</f>
        <v>0.0</v>
      </c>
      <c r="L3952" s="2" t="n">
        <f>HYPERLINK("https://globaldossier.uspto.gov/result/patent/US/9026531/1","US9026531")</f>
        <v>0.0</v>
      </c>
      <c r="M3952" t="s">
        <v>21000</v>
      </c>
      <c r="N3952" t="s">
        <v>6786</v>
      </c>
      <c r="O3952" t="s">
        <v>6787</v>
      </c>
      <c r="P3952" t="s">
        <v>24688</v>
      </c>
      <c r="Q3952" s="3" t="n">
        <v>41016.0</v>
      </c>
      <c r="R3952" s="3" t="n">
        <v>42129.0</v>
      </c>
      <c r="S3952" s="3" t="n">
        <v>43266.4573553125</v>
      </c>
      <c r="T3952" s="3" t="n">
        <v>43266.63762232639</v>
      </c>
      <c r="U3952" t="s">
        <v>24689</v>
      </c>
      <c r="V3952" t="s">
        <v>21003</v>
      </c>
    </row>
    <row r="3953">
      <c r="A3953" t="s">
        <v>23557</v>
      </c>
      <c r="B3953" t="s">
        <v>24690</v>
      </c>
      <c r="C3953" t="s">
        <v>24</v>
      </c>
      <c r="D3953" t="s">
        <v>25</v>
      </c>
      <c r="E3953" t="s">
        <v>24691</v>
      </c>
      <c r="F3953" s="2" t="n">
        <f>HYPERLINK("https://patents.google.com/patent/US9012136","Google")</f>
        <v>0.0</v>
      </c>
      <c r="G3953" s="2" t="n">
        <f>HYPERLINK("https://patentcenter.uspto.gov/applications/12742996","Patent Center")</f>
        <v>0.0</v>
      </c>
      <c r="H3953" s="2" t="n">
        <f>HYPERLINK("https://worldwide.espacenet.com/patent/search?q=US9012136","Espacenet")</f>
        <v>0.0</v>
      </c>
      <c r="I3953" s="2" t="n">
        <f>HYPERLINK("https://ppubs.uspto.gov/pubwebapp/external.html?q=9012136.pn.","USPTO")</f>
        <v>0.0</v>
      </c>
      <c r="J3953" s="2" t="n">
        <f>HYPERLINK("https://image-ppubs.uspto.gov/dirsearch-public/print/downloadPdf/9012136","USPTO PDF")</f>
        <v>0.0</v>
      </c>
      <c r="K3953" s="2" t="n">
        <f>HYPERLINK("https://sectors.patentforecast.com/pmd/US9012136","PMD")</f>
        <v>0.0</v>
      </c>
      <c r="L3953" s="2" t="n">
        <f>HYPERLINK("https://globaldossier.uspto.gov/result/patent/US/9012136/1","US9012136")</f>
        <v>0.0</v>
      </c>
      <c r="M3953" t="s">
        <v>24692</v>
      </c>
      <c r="N3953" t="s">
        <v>947</v>
      </c>
      <c r="O3953" t="s">
        <v>948</v>
      </c>
      <c r="P3953" t="s">
        <v>24693</v>
      </c>
      <c r="Q3953" s="3" t="n">
        <v>39751.0</v>
      </c>
      <c r="R3953" s="3" t="n">
        <v>42115.0</v>
      </c>
      <c r="S3953" s="3" t="n">
        <v>43971.49891123843</v>
      </c>
      <c r="T3953" s="3" t="n">
        <v>43990.71898861111</v>
      </c>
      <c r="U3953" t="s">
        <v>24694</v>
      </c>
      <c r="V3953" t="s">
        <v>20224</v>
      </c>
    </row>
    <row r="3954">
      <c r="A3954" t="s">
        <v>23557</v>
      </c>
      <c r="B3954" t="s">
        <v>24695</v>
      </c>
      <c r="C3954" t="s">
        <v>24</v>
      </c>
      <c r="D3954" t="s">
        <v>25</v>
      </c>
      <c r="E3954" t="s">
        <v>24691</v>
      </c>
      <c r="F3954" s="2" t="n">
        <f>HYPERLINK("https://patents.google.com/patent/US9005887","Google")</f>
        <v>0.0</v>
      </c>
      <c r="G3954" s="2" t="n">
        <f>HYPERLINK("https://patentcenter.uspto.gov/applications/13459764","Patent Center")</f>
        <v>0.0</v>
      </c>
      <c r="H3954" s="2" t="n">
        <f>HYPERLINK("https://worldwide.espacenet.com/patent/search?q=US9005887","Espacenet")</f>
        <v>0.0</v>
      </c>
      <c r="I3954" s="2" t="n">
        <f>HYPERLINK("https://ppubs.uspto.gov/pubwebapp/external.html?q=9005887.pn.","USPTO")</f>
        <v>0.0</v>
      </c>
      <c r="J3954" s="2" t="n">
        <f>HYPERLINK("https://image-ppubs.uspto.gov/dirsearch-public/print/downloadPdf/9005887","USPTO PDF")</f>
        <v>0.0</v>
      </c>
      <c r="K3954" s="2" t="n">
        <f>HYPERLINK("https://sectors.patentforecast.com/pmd/US9005887","PMD")</f>
        <v>0.0</v>
      </c>
      <c r="L3954" s="2" t="n">
        <f>HYPERLINK("https://globaldossier.uspto.gov/result/patent/US/9005887/1","US9005887")</f>
        <v>0.0</v>
      </c>
      <c r="M3954" t="s">
        <v>24696</v>
      </c>
      <c r="N3954" t="s">
        <v>947</v>
      </c>
      <c r="O3954" t="s">
        <v>948</v>
      </c>
      <c r="P3954" t="s">
        <v>24693</v>
      </c>
      <c r="Q3954" s="3" t="n">
        <v>41029.0</v>
      </c>
      <c r="R3954" s="3" t="n">
        <v>42108.0</v>
      </c>
      <c r="S3954" s="3" t="n">
        <v>43971.49891123843</v>
      </c>
      <c r="T3954" s="3" t="n">
        <v>43990.71898861111</v>
      </c>
      <c r="U3954" t="s">
        <v>24694</v>
      </c>
      <c r="V3954" t="s">
        <v>20224</v>
      </c>
    </row>
    <row r="3955">
      <c r="A3955" t="s">
        <v>23557</v>
      </c>
      <c r="B3955" t="s">
        <v>24697</v>
      </c>
      <c r="C3955" t="s">
        <v>60</v>
      </c>
      <c r="D3955" t="s">
        <v>61</v>
      </c>
      <c r="E3955" t="s">
        <v>24698</v>
      </c>
      <c r="F3955" s="2" t="n">
        <f>HYPERLINK("https://patents.google.com/patent/US8999969","Google")</f>
        <v>0.0</v>
      </c>
      <c r="G3955" s="2" t="n">
        <f>HYPERLINK("https://patentcenter.uspto.gov/applications/13383180","Patent Center")</f>
        <v>0.0</v>
      </c>
      <c r="H3955" s="2" t="n">
        <f>HYPERLINK("https://worldwide.espacenet.com/patent/search?q=US8999969","Espacenet")</f>
        <v>0.0</v>
      </c>
      <c r="I3955" s="2" t="n">
        <f>HYPERLINK("https://ppubs.uspto.gov/pubwebapp/external.html?q=8999969.pn.","USPTO")</f>
        <v>0.0</v>
      </c>
      <c r="J3955" s="2" t="n">
        <f>HYPERLINK("https://image-ppubs.uspto.gov/dirsearch-public/print/downloadPdf/8999969","USPTO PDF")</f>
        <v>0.0</v>
      </c>
      <c r="K3955" s="2" t="n">
        <f>HYPERLINK("https://sectors.patentforecast.com/pmd/US8999969","PMD")</f>
        <v>0.0</v>
      </c>
      <c r="L3955" s="2" t="n">
        <f>HYPERLINK("https://globaldossier.uspto.gov/result/patent/US/8999969/1","US8999969")</f>
        <v>0.0</v>
      </c>
      <c r="M3955" t="s">
        <v>21459</v>
      </c>
      <c r="N3955" t="s">
        <v>664</v>
      </c>
      <c r="O3955" t="s">
        <v>665</v>
      </c>
      <c r="P3955" t="s">
        <v>24699</v>
      </c>
      <c r="Q3955" s="3" t="n">
        <v>40366.0</v>
      </c>
      <c r="R3955" s="3" t="n">
        <v>42101.0</v>
      </c>
      <c r="S3955" s="3" t="n">
        <v>43957.45970908565</v>
      </c>
      <c r="T3955" s="3" t="n">
        <v>44544.43892054398</v>
      </c>
      <c r="U3955" t="s">
        <v>24700</v>
      </c>
      <c r="V3955" t="s">
        <v>21462</v>
      </c>
    </row>
    <row r="3956">
      <c r="A3956" t="s">
        <v>23557</v>
      </c>
      <c r="B3956" t="s">
        <v>24701</v>
      </c>
      <c r="C3956" t="s">
        <v>132</v>
      </c>
      <c r="D3956" t="s">
        <v>1265</v>
      </c>
      <c r="E3956" t="s">
        <v>24702</v>
      </c>
      <c r="F3956" s="2" t="n">
        <f>HYPERLINK("https://patents.google.com/patent/US8999353","Google")</f>
        <v>0.0</v>
      </c>
      <c r="G3956" s="2" t="n">
        <f>HYPERLINK("https://patentcenter.uspto.gov/applications/12679654","Patent Center")</f>
        <v>0.0</v>
      </c>
      <c r="H3956" s="2" t="n">
        <f>HYPERLINK("https://worldwide.espacenet.com/patent/search?q=US8999353","Espacenet")</f>
        <v>0.0</v>
      </c>
      <c r="I3956" s="2" t="n">
        <f>HYPERLINK("https://ppubs.uspto.gov/pubwebapp/external.html?q=8999353.pn.","USPTO")</f>
        <v>0.0</v>
      </c>
      <c r="J3956" s="2" t="n">
        <f>HYPERLINK("https://image-ppubs.uspto.gov/dirsearch-public/print/downloadPdf/8999353","USPTO PDF")</f>
        <v>0.0</v>
      </c>
      <c r="K3956" s="2" t="n">
        <f>HYPERLINK("https://sectors.patentforecast.com/pmd/US8999353","PMD")</f>
        <v>0.0</v>
      </c>
      <c r="L3956" s="2" t="n">
        <f>HYPERLINK("https://globaldossier.uspto.gov/result/patent/US/8999353/1","US8999353")</f>
        <v>0.0</v>
      </c>
      <c r="M3956" t="s">
        <v>22004</v>
      </c>
      <c r="N3956" t="s">
        <v>22005</v>
      </c>
      <c r="O3956" t="s">
        <v>22006</v>
      </c>
      <c r="P3956" t="s">
        <v>24703</v>
      </c>
      <c r="Q3956" s="3" t="n">
        <v>39730.0</v>
      </c>
      <c r="R3956" s="3" t="n">
        <v>42101.0</v>
      </c>
      <c r="S3956" s="3" t="n">
        <v>43900.43738940972</v>
      </c>
      <c r="T3956" s="3" t="n">
        <v>43901.70557056713</v>
      </c>
      <c r="U3956" t="s">
        <v>24704</v>
      </c>
      <c r="V3956" t="s">
        <v>22009</v>
      </c>
    </row>
    <row r="3957">
      <c r="A3957" t="s">
        <v>23557</v>
      </c>
      <c r="B3957" t="s">
        <v>24705</v>
      </c>
      <c r="C3957" t="s">
        <v>60</v>
      </c>
      <c r="D3957" t="s">
        <v>696</v>
      </c>
      <c r="E3957" t="s">
        <v>23687</v>
      </c>
      <c r="F3957" s="2" t="n">
        <f>HYPERLINK("https://patents.google.com/patent/US8999330","Google")</f>
        <v>0.0</v>
      </c>
      <c r="G3957" s="2" t="n">
        <f>HYPERLINK("https://patentcenter.uspto.gov/applications/13548994","Patent Center")</f>
        <v>0.0</v>
      </c>
      <c r="H3957" s="2" t="n">
        <f>HYPERLINK("https://worldwide.espacenet.com/patent/search?q=US8999330","Espacenet")</f>
        <v>0.0</v>
      </c>
      <c r="I3957" s="2" t="n">
        <f>HYPERLINK("https://ppubs.uspto.gov/pubwebapp/external.html?q=8999330.pn.","USPTO")</f>
        <v>0.0</v>
      </c>
      <c r="J3957" s="2" t="n">
        <f>HYPERLINK("https://image-ppubs.uspto.gov/dirsearch-public/print/downloadPdf/8999330","USPTO PDF")</f>
        <v>0.0</v>
      </c>
      <c r="K3957" s="2" t="n">
        <f>HYPERLINK("https://sectors.patentforecast.com/pmd/US8999330","PMD")</f>
        <v>0.0</v>
      </c>
      <c r="L3957" s="2" t="n">
        <f>HYPERLINK("https://globaldossier.uspto.gov/result/patent/US/8999330/1","US8999330")</f>
        <v>0.0</v>
      </c>
      <c r="M3957" t="s">
        <v>21269</v>
      </c>
      <c r="N3957" t="s">
        <v>16927</v>
      </c>
      <c r="O3957" t="s">
        <v>16928</v>
      </c>
      <c r="P3957" t="s">
        <v>23586</v>
      </c>
      <c r="Q3957" s="3" t="n">
        <v>41103.0</v>
      </c>
      <c r="R3957" s="3" t="n">
        <v>42101.0</v>
      </c>
      <c r="S3957" s="3" t="n">
        <v>43971.49891123843</v>
      </c>
      <c r="T3957" s="3" t="n">
        <v>44643.44490069444</v>
      </c>
      <c r="U3957" t="s">
        <v>24706</v>
      </c>
      <c r="V3957" t="s">
        <v>17988</v>
      </c>
    </row>
    <row r="3958">
      <c r="A3958" t="s">
        <v>23557</v>
      </c>
      <c r="B3958" t="s">
        <v>24707</v>
      </c>
      <c r="C3958" t="s">
        <v>60</v>
      </c>
      <c r="D3958" t="s">
        <v>61</v>
      </c>
      <c r="E3958" t="s">
        <v>24708</v>
      </c>
      <c r="F3958" s="2" t="n">
        <f>HYPERLINK("https://patents.google.com/patent/US8987437","Google")</f>
        <v>0.0</v>
      </c>
      <c r="G3958" s="2" t="n">
        <f>HYPERLINK("https://patentcenter.uspto.gov/applications/13475569","Patent Center")</f>
        <v>0.0</v>
      </c>
      <c r="H3958" s="2" t="n">
        <f>HYPERLINK("https://worldwide.espacenet.com/patent/search?q=US8987437","Espacenet")</f>
        <v>0.0</v>
      </c>
      <c r="I3958" s="2" t="n">
        <f>HYPERLINK("https://ppubs.uspto.gov/pubwebapp/external.html?q=8987437.pn.","USPTO")</f>
        <v>0.0</v>
      </c>
      <c r="J3958" s="2" t="n">
        <f>HYPERLINK("https://image-ppubs.uspto.gov/dirsearch-public/print/downloadPdf/8987437","USPTO PDF")</f>
        <v>0.0</v>
      </c>
      <c r="K3958" s="2" t="n">
        <f>HYPERLINK("https://sectors.patentforecast.com/pmd/US8987437","PMD")</f>
        <v>0.0</v>
      </c>
      <c r="L3958" s="2" t="n">
        <f>HYPERLINK("https://globaldossier.uspto.gov/result/patent/US/8987437/1","US8987437")</f>
        <v>0.0</v>
      </c>
      <c r="M3958" t="s">
        <v>24709</v>
      </c>
      <c r="N3958" t="s">
        <v>664</v>
      </c>
      <c r="O3958" t="s">
        <v>665</v>
      </c>
      <c r="P3958" t="s">
        <v>24422</v>
      </c>
      <c r="Q3958" s="3" t="n">
        <v>41047.0</v>
      </c>
      <c r="R3958" s="3" t="n">
        <v>42087.0</v>
      </c>
      <c r="S3958" s="3" t="n">
        <v>43957.45956372685</v>
      </c>
      <c r="T3958" s="3" t="n">
        <v>44638.65803303241</v>
      </c>
      <c r="U3958" t="s">
        <v>24710</v>
      </c>
      <c r="V3958" t="s">
        <v>17322</v>
      </c>
    </row>
    <row r="3959">
      <c r="A3959" t="s">
        <v>23557</v>
      </c>
      <c r="B3959" t="s">
        <v>24711</v>
      </c>
      <c r="C3959" t="s">
        <v>60</v>
      </c>
      <c r="D3959" t="s">
        <v>61</v>
      </c>
      <c r="E3959" t="s">
        <v>24160</v>
      </c>
      <c r="F3959" s="2" t="n">
        <f>HYPERLINK("https://patents.google.com/patent/US8980878","Google")</f>
        <v>0.0</v>
      </c>
      <c r="G3959" s="2" t="n">
        <f>HYPERLINK("https://patentcenter.uspto.gov/applications/13865069","Patent Center")</f>
        <v>0.0</v>
      </c>
      <c r="H3959" s="2" t="n">
        <f>HYPERLINK("https://worldwide.espacenet.com/patent/search?q=US8980878","Espacenet")</f>
        <v>0.0</v>
      </c>
      <c r="I3959" s="2" t="n">
        <f>HYPERLINK("https://ppubs.uspto.gov/pubwebapp/external.html?q=8980878.pn.","USPTO")</f>
        <v>0.0</v>
      </c>
      <c r="J3959" s="2" t="n">
        <f>HYPERLINK("https://image-ppubs.uspto.gov/dirsearch-public/print/downloadPdf/8980878","USPTO PDF")</f>
        <v>0.0</v>
      </c>
      <c r="K3959" s="2" t="n">
        <f>HYPERLINK("https://sectors.patentforecast.com/pmd/US8980878","PMD")</f>
        <v>0.0</v>
      </c>
      <c r="L3959" s="2" t="n">
        <f>HYPERLINK("https://globaldossier.uspto.gov/result/patent/US/8980878/1","US8980878")</f>
        <v>0.0</v>
      </c>
      <c r="M3959" t="s">
        <v>21009</v>
      </c>
      <c r="N3959" t="s">
        <v>664</v>
      </c>
      <c r="O3959" t="s">
        <v>665</v>
      </c>
      <c r="P3959" t="s">
        <v>24161</v>
      </c>
      <c r="Q3959" s="3" t="n">
        <v>41381.0</v>
      </c>
      <c r="R3959" s="3" t="n">
        <v>42080.0</v>
      </c>
      <c r="S3959" s="3" t="n">
        <v>43952.4599103125</v>
      </c>
      <c r="T3959" s="3" t="n">
        <v>44638.65271974537</v>
      </c>
      <c r="U3959" t="s">
        <v>24712</v>
      </c>
      <c r="V3959" t="s">
        <v>18887</v>
      </c>
    </row>
    <row r="3960">
      <c r="A3960" t="s">
        <v>23557</v>
      </c>
      <c r="B3960" t="s">
        <v>24713</v>
      </c>
      <c r="C3960" t="s">
        <v>60</v>
      </c>
      <c r="D3960" t="s">
        <v>61</v>
      </c>
      <c r="E3960" t="s">
        <v>23786</v>
      </c>
      <c r="F3960" s="2" t="n">
        <f>HYPERLINK("https://patents.google.com/patent/US8969588","Google")</f>
        <v>0.0</v>
      </c>
      <c r="G3960" s="2" t="n">
        <f>HYPERLINK("https://patentcenter.uspto.gov/applications/13800374","Patent Center")</f>
        <v>0.0</v>
      </c>
      <c r="H3960" s="2" t="n">
        <f>HYPERLINK("https://worldwide.espacenet.com/patent/search?q=US8969588","Espacenet")</f>
        <v>0.0</v>
      </c>
      <c r="I3960" s="2" t="n">
        <f>HYPERLINK("https://ppubs.uspto.gov/pubwebapp/external.html?q=8969588.pn.","USPTO")</f>
        <v>0.0</v>
      </c>
      <c r="J3960" s="2" t="n">
        <f>HYPERLINK("https://image-ppubs.uspto.gov/dirsearch-public/print/downloadPdf/8969588","USPTO PDF")</f>
        <v>0.0</v>
      </c>
      <c r="K3960" s="2" t="n">
        <f>HYPERLINK("https://sectors.patentforecast.com/pmd/US8969588","PMD")</f>
        <v>0.0</v>
      </c>
      <c r="L3960" s="2" t="n">
        <f>HYPERLINK("https://globaldossier.uspto.gov/result/patent/US/8969588/1","US8969588")</f>
        <v>0.0</v>
      </c>
      <c r="M3960" t="s">
        <v>20951</v>
      </c>
      <c r="N3960" t="s">
        <v>664</v>
      </c>
      <c r="O3960" t="s">
        <v>665</v>
      </c>
      <c r="P3960" t="s">
        <v>24714</v>
      </c>
      <c r="Q3960" s="3" t="n">
        <v>41346.0</v>
      </c>
      <c r="R3960" s="3" t="n">
        <v>42066.0</v>
      </c>
      <c r="S3960" s="3" t="n">
        <v>43952.4599103125</v>
      </c>
      <c r="T3960" s="3" t="n">
        <v>44638.65271974537</v>
      </c>
      <c r="U3960" t="s">
        <v>24715</v>
      </c>
      <c r="V3960" t="s">
        <v>24716</v>
      </c>
    </row>
    <row r="3961">
      <c r="A3961" t="s">
        <v>23557</v>
      </c>
      <c r="B3961" t="s">
        <v>24717</v>
      </c>
      <c r="C3961" t="s">
        <v>60</v>
      </c>
      <c r="D3961" t="s">
        <v>61</v>
      </c>
      <c r="E3961" t="s">
        <v>24552</v>
      </c>
      <c r="F3961" s="2" t="n">
        <f>HYPERLINK("https://patents.google.com/patent/US8962652","Google")</f>
        <v>0.0</v>
      </c>
      <c r="G3961" s="2" t="n">
        <f>HYPERLINK("https://patentcenter.uspto.gov/applications/14006649","Patent Center")</f>
        <v>0.0</v>
      </c>
      <c r="H3961" s="2" t="n">
        <f>HYPERLINK("https://worldwide.espacenet.com/patent/search?q=US8962652","Espacenet")</f>
        <v>0.0</v>
      </c>
      <c r="I3961" s="2" t="n">
        <f>HYPERLINK("https://ppubs.uspto.gov/pubwebapp/external.html?q=8962652.pn.","USPTO")</f>
        <v>0.0</v>
      </c>
      <c r="J3961" s="2" t="n">
        <f>HYPERLINK("https://image-ppubs.uspto.gov/dirsearch-public/print/downloadPdf/8962652","USPTO PDF")</f>
        <v>0.0</v>
      </c>
      <c r="K3961" s="2" t="n">
        <f>HYPERLINK("https://sectors.patentforecast.com/pmd/US8962652","PMD")</f>
        <v>0.0</v>
      </c>
      <c r="L3961" s="2" t="n">
        <f>HYPERLINK("https://globaldossier.uspto.gov/result/patent/US/8962652/1","US8962652")</f>
        <v>0.0</v>
      </c>
      <c r="M3961" t="s">
        <v>20750</v>
      </c>
      <c r="N3961" t="s">
        <v>664</v>
      </c>
      <c r="O3961" t="s">
        <v>665</v>
      </c>
      <c r="P3961" t="s">
        <v>24718</v>
      </c>
      <c r="Q3961" s="3" t="n">
        <v>40466.0</v>
      </c>
      <c r="R3961" s="3" t="n">
        <v>42059.0</v>
      </c>
      <c r="S3961" s="3" t="n">
        <v>43952.4599103125</v>
      </c>
      <c r="T3961" s="3" t="n">
        <v>44638.65579662037</v>
      </c>
      <c r="U3961" t="s">
        <v>24719</v>
      </c>
      <c r="V3961" t="s">
        <v>20330</v>
      </c>
    </row>
    <row r="3962">
      <c r="A3962" t="s">
        <v>23557</v>
      </c>
      <c r="B3962" t="s">
        <v>24720</v>
      </c>
      <c r="C3962" t="s">
        <v>60</v>
      </c>
      <c r="D3962" t="s">
        <v>715</v>
      </c>
      <c r="E3962" t="s">
        <v>24721</v>
      </c>
      <c r="F3962" s="2" t="n">
        <f>HYPERLINK("https://patents.google.com/patent/US8960194","Google")</f>
        <v>0.0</v>
      </c>
      <c r="G3962" s="2" t="n">
        <f>HYPERLINK("https://patentcenter.uspto.gov/applications/12703140","Patent Center")</f>
        <v>0.0</v>
      </c>
      <c r="H3962" s="2" t="n">
        <f>HYPERLINK("https://worldwide.espacenet.com/patent/search?q=US8960194","Espacenet")</f>
        <v>0.0</v>
      </c>
      <c r="I3962" s="2" t="n">
        <f>HYPERLINK("https://ppubs.uspto.gov/pubwebapp/external.html?q=8960194.pn.","USPTO")</f>
        <v>0.0</v>
      </c>
      <c r="J3962" s="2" t="n">
        <f>HYPERLINK("https://image-ppubs.uspto.gov/dirsearch-public/print/downloadPdf/8960194","USPTO PDF")</f>
        <v>0.0</v>
      </c>
      <c r="K3962" s="2" t="n">
        <f>HYPERLINK("https://sectors.patentforecast.com/pmd/US8960194","PMD")</f>
        <v>0.0</v>
      </c>
      <c r="L3962" s="2" t="n">
        <f>HYPERLINK("https://globaldossier.uspto.gov/result/patent/US/8960194/1","US8960194")</f>
        <v>0.0</v>
      </c>
      <c r="M3962" t="s">
        <v>21972</v>
      </c>
      <c r="N3962" t="s">
        <v>21973</v>
      </c>
      <c r="O3962" t="s">
        <v>21974</v>
      </c>
      <c r="P3962" t="s">
        <v>24722</v>
      </c>
      <c r="Q3962" s="3" t="n">
        <v>40218.0</v>
      </c>
      <c r="R3962" s="3" t="n">
        <v>42059.0</v>
      </c>
      <c r="S3962" s="3" t="n">
        <v>43900.43738940972</v>
      </c>
      <c r="T3962" s="3" t="n">
        <v>43901.70557052083</v>
      </c>
      <c r="U3962" t="s">
        <v>24723</v>
      </c>
      <c r="V3962" t="s">
        <v>21977</v>
      </c>
    </row>
    <row r="3963">
      <c r="A3963" t="s">
        <v>23557</v>
      </c>
      <c r="B3963" t="s">
        <v>24724</v>
      </c>
      <c r="C3963" t="s">
        <v>60</v>
      </c>
      <c r="D3963" t="s">
        <v>61</v>
      </c>
      <c r="E3963" t="s">
        <v>23907</v>
      </c>
      <c r="F3963" s="2" t="n">
        <f>HYPERLINK("https://patents.google.com/patent/US8951986","Google")</f>
        <v>0.0</v>
      </c>
      <c r="G3963" s="2" t="n">
        <f>HYPERLINK("https://patentcenter.uspto.gov/applications/14150677","Patent Center")</f>
        <v>0.0</v>
      </c>
      <c r="H3963" s="2" t="n">
        <f>HYPERLINK("https://worldwide.espacenet.com/patent/search?q=US8951986","Espacenet")</f>
        <v>0.0</v>
      </c>
      <c r="I3963" s="2" t="n">
        <f>HYPERLINK("https://ppubs.uspto.gov/pubwebapp/external.html?q=8951986.pn.","USPTO")</f>
        <v>0.0</v>
      </c>
      <c r="J3963" s="2" t="n">
        <f>HYPERLINK("https://image-ppubs.uspto.gov/dirsearch-public/print/downloadPdf/8951986","USPTO PDF")</f>
        <v>0.0</v>
      </c>
      <c r="K3963" s="2" t="n">
        <f>HYPERLINK("https://sectors.patentforecast.com/pmd/US8951986","PMD")</f>
        <v>0.0</v>
      </c>
      <c r="L3963" s="2" t="n">
        <f>HYPERLINK("https://globaldossier.uspto.gov/result/patent/US/8951986/1","US8951986")</f>
        <v>0.0</v>
      </c>
      <c r="M3963" t="s">
        <v>20630</v>
      </c>
      <c r="N3963" t="s">
        <v>664</v>
      </c>
      <c r="O3963" t="s">
        <v>665</v>
      </c>
      <c r="P3963" t="s">
        <v>23908</v>
      </c>
      <c r="Q3963" s="3" t="n">
        <v>41647.0</v>
      </c>
      <c r="R3963" s="3" t="n">
        <v>42045.0</v>
      </c>
      <c r="S3963" s="3" t="n">
        <v>43952.4599103125</v>
      </c>
      <c r="T3963" s="3" t="n">
        <v>44638.662781747684</v>
      </c>
      <c r="U3963" t="s">
        <v>24725</v>
      </c>
      <c r="V3963" t="s">
        <v>20632</v>
      </c>
    </row>
    <row r="3964">
      <c r="A3964" t="s">
        <v>23557</v>
      </c>
      <c r="B3964" t="s">
        <v>24726</v>
      </c>
      <c r="C3964" t="s">
        <v>132</v>
      </c>
      <c r="D3964" t="s">
        <v>1265</v>
      </c>
      <c r="E3964" t="s">
        <v>23039</v>
      </c>
      <c r="F3964" s="2" t="n">
        <f>HYPERLINK("https://patents.google.com/patent/US8951537","Google")</f>
        <v>0.0</v>
      </c>
      <c r="G3964" s="2" t="n">
        <f>HYPERLINK("https://patentcenter.uspto.gov/applications/13297125","Patent Center")</f>
        <v>0.0</v>
      </c>
      <c r="H3964" s="2" t="n">
        <f>HYPERLINK("https://worldwide.espacenet.com/patent/search?q=US8951537","Espacenet")</f>
        <v>0.0</v>
      </c>
      <c r="I3964" s="2" t="n">
        <f>HYPERLINK("https://ppubs.uspto.gov/pubwebapp/external.html?q=8951537.pn.","USPTO")</f>
        <v>0.0</v>
      </c>
      <c r="J3964" s="2" t="n">
        <f>HYPERLINK("https://image-ppubs.uspto.gov/dirsearch-public/print/downloadPdf/8951537","USPTO PDF")</f>
        <v>0.0</v>
      </c>
      <c r="K3964" s="2" t="n">
        <f>HYPERLINK("https://sectors.patentforecast.com/pmd/US8951537","PMD")</f>
        <v>0.0</v>
      </c>
      <c r="L3964" s="2" t="n">
        <f>HYPERLINK("https://globaldossier.uspto.gov/result/patent/US/8951537/1","US8951537")</f>
        <v>0.0</v>
      </c>
      <c r="M3964" t="s">
        <v>21436</v>
      </c>
      <c r="N3964" t="s">
        <v>1275</v>
      </c>
      <c r="O3964" t="s">
        <v>1275</v>
      </c>
      <c r="P3964" t="s">
        <v>23680</v>
      </c>
      <c r="Q3964" s="3" t="n">
        <v>40862.0</v>
      </c>
      <c r="R3964" s="3" t="n">
        <v>42045.0</v>
      </c>
      <c r="S3964" s="3" t="n">
        <v>43900.43738940972</v>
      </c>
      <c r="T3964" s="3" t="n">
        <v>43901.70557068287</v>
      </c>
      <c r="U3964" t="s">
        <v>24727</v>
      </c>
      <c r="V3964" t="s">
        <v>17402</v>
      </c>
    </row>
    <row r="3965">
      <c r="A3965" t="s">
        <v>23557</v>
      </c>
      <c r="B3965" t="s">
        <v>24728</v>
      </c>
      <c r="C3965" t="s">
        <v>60</v>
      </c>
      <c r="D3965" t="s">
        <v>61</v>
      </c>
      <c r="E3965" t="s">
        <v>24441</v>
      </c>
      <c r="F3965" s="2" t="n">
        <f>HYPERLINK("https://patents.google.com/patent/US8946238","Google")</f>
        <v>0.0</v>
      </c>
      <c r="G3965" s="2" t="n">
        <f>HYPERLINK("https://patentcenter.uspto.gov/applications/13722962","Patent Center")</f>
        <v>0.0</v>
      </c>
      <c r="H3965" s="2" t="n">
        <f>HYPERLINK("https://worldwide.espacenet.com/patent/search?q=US8946238","Espacenet")</f>
        <v>0.0</v>
      </c>
      <c r="I3965" s="2" t="n">
        <f>HYPERLINK("https://ppubs.uspto.gov/pubwebapp/external.html?q=8946238.pn.","USPTO")</f>
        <v>0.0</v>
      </c>
      <c r="J3965" s="2" t="n">
        <f>HYPERLINK("https://image-ppubs.uspto.gov/dirsearch-public/print/downloadPdf/8946238","USPTO PDF")</f>
        <v>0.0</v>
      </c>
      <c r="K3965" s="2" t="n">
        <f>HYPERLINK("https://sectors.patentforecast.com/pmd/US8946238","PMD")</f>
        <v>0.0</v>
      </c>
      <c r="L3965" s="2" t="n">
        <f>HYPERLINK("https://globaldossier.uspto.gov/result/patent/US/8946238/1","US8946238")</f>
        <v>0.0</v>
      </c>
      <c r="M3965" t="s">
        <v>21170</v>
      </c>
      <c r="N3965" t="s">
        <v>664</v>
      </c>
      <c r="O3965" t="s">
        <v>665</v>
      </c>
      <c r="P3965" t="s">
        <v>24729</v>
      </c>
      <c r="Q3965" s="3" t="n">
        <v>41263.0</v>
      </c>
      <c r="R3965" s="3" t="n">
        <v>42038.0</v>
      </c>
      <c r="S3965" s="3" t="n">
        <v>43952.4599103125</v>
      </c>
      <c r="T3965" s="3" t="n">
        <v>44638.65271974537</v>
      </c>
      <c r="U3965" t="s">
        <v>24730</v>
      </c>
      <c r="V3965" t="s">
        <v>19582</v>
      </c>
    </row>
    <row r="3966">
      <c r="A3966" t="s">
        <v>23557</v>
      </c>
      <c r="B3966" t="s">
        <v>24731</v>
      </c>
      <c r="C3966" t="s">
        <v>24</v>
      </c>
      <c r="D3966" t="s">
        <v>25</v>
      </c>
      <c r="E3966" t="s">
        <v>24732</v>
      </c>
      <c r="F3966" s="2" t="n">
        <f>HYPERLINK("https://patents.google.com/patent/US8945009","Google")</f>
        <v>0.0</v>
      </c>
      <c r="G3966" s="2" t="n">
        <f>HYPERLINK("https://patentcenter.uspto.gov/applications/12137660","Patent Center")</f>
        <v>0.0</v>
      </c>
      <c r="H3966" s="2" t="n">
        <f>HYPERLINK("https://worldwide.espacenet.com/patent/search?q=US8945009","Espacenet")</f>
        <v>0.0</v>
      </c>
      <c r="I3966" s="2" t="n">
        <f>HYPERLINK("https://ppubs.uspto.gov/pubwebapp/external.html?q=8945009.pn.","USPTO")</f>
        <v>0.0</v>
      </c>
      <c r="J3966" s="2" t="n">
        <f>HYPERLINK("https://image-ppubs.uspto.gov/dirsearch-public/print/downloadPdf/8945009","USPTO PDF")</f>
        <v>0.0</v>
      </c>
      <c r="K3966" s="2" t="n">
        <f>HYPERLINK("https://sectors.patentforecast.com/pmd/US8945009","PMD")</f>
        <v>0.0</v>
      </c>
      <c r="L3966" s="2" t="n">
        <f>HYPERLINK("https://globaldossier.uspto.gov/result/patent/US/8945009/1","US8945009")</f>
        <v>0.0</v>
      </c>
      <c r="M3966" t="s">
        <v>22657</v>
      </c>
      <c r="N3966" t="s">
        <v>22658</v>
      </c>
      <c r="O3966" t="s">
        <v>22659</v>
      </c>
      <c r="P3966" t="s">
        <v>24733</v>
      </c>
      <c r="Q3966" s="3" t="n">
        <v>39611.0</v>
      </c>
      <c r="R3966" s="3" t="n">
        <v>42038.0</v>
      </c>
      <c r="S3966" s="3" t="n">
        <v>43266.4573553125</v>
      </c>
      <c r="T3966" s="3" t="n">
        <v>43901.70557087963</v>
      </c>
      <c r="U3966" t="s">
        <v>24734</v>
      </c>
      <c r="V3966" t="s">
        <v>22662</v>
      </c>
    </row>
    <row r="3967">
      <c r="A3967" t="s">
        <v>23557</v>
      </c>
      <c r="B3967" t="s">
        <v>24735</v>
      </c>
      <c r="C3967" t="s">
        <v>60</v>
      </c>
      <c r="D3967" t="s">
        <v>61</v>
      </c>
      <c r="E3967" t="s">
        <v>22432</v>
      </c>
      <c r="F3967" s="2" t="n">
        <f>HYPERLINK("https://patents.google.com/patent/US8940718","Google")</f>
        <v>0.0</v>
      </c>
      <c r="G3967" s="2" t="n">
        <f>HYPERLINK("https://patentcenter.uspto.gov/applications/13679874","Patent Center")</f>
        <v>0.0</v>
      </c>
      <c r="H3967" s="2" t="n">
        <f>HYPERLINK("https://worldwide.espacenet.com/patent/search?q=US8940718","Espacenet")</f>
        <v>0.0</v>
      </c>
      <c r="I3967" s="2" t="n">
        <f>HYPERLINK("https://ppubs.uspto.gov/pubwebapp/external.html?q=8940718.pn.","USPTO")</f>
        <v>0.0</v>
      </c>
      <c r="J3967" s="2" t="n">
        <f>HYPERLINK("https://image-ppubs.uspto.gov/dirsearch-public/print/downloadPdf/8940718","USPTO PDF")</f>
        <v>0.0</v>
      </c>
      <c r="K3967" s="2" t="n">
        <f>HYPERLINK("https://sectors.patentforecast.com/pmd/US8940718","PMD")</f>
        <v>0.0</v>
      </c>
      <c r="L3967" s="2" t="n">
        <f>HYPERLINK("https://globaldossier.uspto.gov/result/patent/US/8940718/1","US8940718")</f>
        <v>0.0</v>
      </c>
      <c r="M3967" t="s">
        <v>21177</v>
      </c>
      <c r="N3967" t="s">
        <v>664</v>
      </c>
      <c r="O3967" t="s">
        <v>665</v>
      </c>
      <c r="P3967" t="s">
        <v>24492</v>
      </c>
      <c r="Q3967" s="3" t="n">
        <v>41229.0</v>
      </c>
      <c r="R3967" s="3" t="n">
        <v>42031.0</v>
      </c>
      <c r="S3967" s="3" t="n">
        <v>43952.4599103125</v>
      </c>
      <c r="T3967" s="3" t="n">
        <v>44638.65271974537</v>
      </c>
      <c r="U3967" t="s">
        <v>24736</v>
      </c>
      <c r="V3967" t="s">
        <v>17072</v>
      </c>
    </row>
    <row r="3968">
      <c r="A3968" t="s">
        <v>23557</v>
      </c>
      <c r="B3968" t="s">
        <v>24737</v>
      </c>
      <c r="C3968" t="s">
        <v>24</v>
      </c>
      <c r="D3968" t="s">
        <v>25</v>
      </c>
      <c r="E3968" t="s">
        <v>24534</v>
      </c>
      <c r="F3968" s="2" t="n">
        <f>HYPERLINK("https://patents.google.com/patent/US8936944","Google")</f>
        <v>0.0</v>
      </c>
      <c r="G3968" s="2" t="n">
        <f>HYPERLINK("https://patentcenter.uspto.gov/applications/13302245","Patent Center")</f>
        <v>0.0</v>
      </c>
      <c r="H3968" s="2" t="n">
        <f>HYPERLINK("https://worldwide.espacenet.com/patent/search?q=US8936944","Espacenet")</f>
        <v>0.0</v>
      </c>
      <c r="I3968" s="2" t="n">
        <f>HYPERLINK("https://ppubs.uspto.gov/pubwebapp/external.html?q=8936944.pn.","USPTO")</f>
        <v>0.0</v>
      </c>
      <c r="J3968" s="2" t="n">
        <f>HYPERLINK("https://image-ppubs.uspto.gov/dirsearch-public/print/downloadPdf/8936944","USPTO PDF")</f>
        <v>0.0</v>
      </c>
      <c r="K3968" s="2" t="n">
        <f>HYPERLINK("https://sectors.patentforecast.com/pmd/US8936944","PMD")</f>
        <v>0.0</v>
      </c>
      <c r="L3968" s="2" t="n">
        <f>HYPERLINK("https://globaldossier.uspto.gov/result/patent/US/8936944/1","US8936944")</f>
        <v>0.0</v>
      </c>
      <c r="M3968" t="s">
        <v>21212</v>
      </c>
      <c r="N3968" t="s">
        <v>855</v>
      </c>
      <c r="O3968" t="s">
        <v>856</v>
      </c>
      <c r="P3968" t="s">
        <v>24535</v>
      </c>
      <c r="Q3968" s="3" t="n">
        <v>40869.0</v>
      </c>
      <c r="R3968" s="3" t="n">
        <v>42024.0</v>
      </c>
      <c r="S3968" s="3" t="n">
        <v>43266.45735622685</v>
      </c>
      <c r="T3968" s="3" t="n">
        <v>43903.6294291088</v>
      </c>
      <c r="U3968" t="s">
        <v>24738</v>
      </c>
      <c r="V3968" t="s">
        <v>20336</v>
      </c>
    </row>
    <row r="3969">
      <c r="A3969" t="s">
        <v>23557</v>
      </c>
      <c r="B3969" t="s">
        <v>24739</v>
      </c>
      <c r="C3969" t="s">
        <v>60</v>
      </c>
      <c r="D3969" t="s">
        <v>61</v>
      </c>
      <c r="E3969" t="s">
        <v>23564</v>
      </c>
      <c r="F3969" s="2" t="n">
        <f>HYPERLINK("https://patents.google.com/patent/US8933015","Google")</f>
        <v>0.0</v>
      </c>
      <c r="G3969" s="2" t="n">
        <f>HYPERLINK("https://patentcenter.uspto.gov/applications/13942501","Patent Center")</f>
        <v>0.0</v>
      </c>
      <c r="H3969" s="2" t="n">
        <f>HYPERLINK("https://worldwide.espacenet.com/patent/search?q=US8933015","Espacenet")</f>
        <v>0.0</v>
      </c>
      <c r="I3969" s="2" t="n">
        <f>HYPERLINK("https://ppubs.uspto.gov/pubwebapp/external.html?q=8933015.pn.","USPTO")</f>
        <v>0.0</v>
      </c>
      <c r="J3969" s="2" t="n">
        <f>HYPERLINK("https://image-ppubs.uspto.gov/dirsearch-public/print/downloadPdf/8933015","USPTO PDF")</f>
        <v>0.0</v>
      </c>
      <c r="K3969" s="2" t="n">
        <f>HYPERLINK("https://sectors.patentforecast.com/pmd/US8933015","PMD")</f>
        <v>0.0</v>
      </c>
      <c r="L3969" s="2" t="n">
        <f>HYPERLINK("https://globaldossier.uspto.gov/result/patent/US/8933015/1","US8933015")</f>
        <v>0.0</v>
      </c>
      <c r="M3969" t="s">
        <v>20888</v>
      </c>
      <c r="N3969" t="s">
        <v>19174</v>
      </c>
      <c r="O3969" t="s">
        <v>19175</v>
      </c>
      <c r="P3969" t="s">
        <v>24740</v>
      </c>
      <c r="Q3969" s="3" t="n">
        <v>41470.0</v>
      </c>
      <c r="R3969" s="3" t="n">
        <v>42017.0</v>
      </c>
      <c r="S3969" s="3" t="n">
        <v>43952.4599103125</v>
      </c>
      <c r="T3969" s="3" t="n">
        <v>44638.65643378472</v>
      </c>
      <c r="U3969" t="s">
        <v>24741</v>
      </c>
      <c r="V3969" t="s">
        <v>24409</v>
      </c>
    </row>
    <row r="3970">
      <c r="A3970" t="s">
        <v>23557</v>
      </c>
      <c r="B3970" t="s">
        <v>24742</v>
      </c>
      <c r="C3970" t="s">
        <v>60</v>
      </c>
      <c r="D3970" t="s">
        <v>61</v>
      </c>
      <c r="E3970" t="s">
        <v>24276</v>
      </c>
      <c r="F3970" s="2" t="n">
        <f>HYPERLINK("https://patents.google.com/patent/US8927741","Google")</f>
        <v>0.0</v>
      </c>
      <c r="G3970" s="2" t="n">
        <f>HYPERLINK("https://patentcenter.uspto.gov/applications/13801011","Patent Center")</f>
        <v>0.0</v>
      </c>
      <c r="H3970" s="2" t="n">
        <f>HYPERLINK("https://worldwide.espacenet.com/patent/search?q=US8927741","Espacenet")</f>
        <v>0.0</v>
      </c>
      <c r="I3970" s="2" t="n">
        <f>HYPERLINK("https://ppubs.uspto.gov/pubwebapp/external.html?q=8927741.pn.","USPTO")</f>
        <v>0.0</v>
      </c>
      <c r="J3970" s="2" t="n">
        <f>HYPERLINK("https://image-ppubs.uspto.gov/dirsearch-public/print/downloadPdf/8927741","USPTO PDF")</f>
        <v>0.0</v>
      </c>
      <c r="K3970" s="2" t="n">
        <f>HYPERLINK("https://sectors.patentforecast.com/pmd/US8927741","PMD")</f>
        <v>0.0</v>
      </c>
      <c r="L3970" s="2" t="n">
        <f>HYPERLINK("https://globaldossier.uspto.gov/result/patent/US/8927741/1","US8927741")</f>
        <v>0.0</v>
      </c>
      <c r="M3970" t="s">
        <v>20856</v>
      </c>
      <c r="N3970" t="s">
        <v>664</v>
      </c>
      <c r="O3970" t="s">
        <v>665</v>
      </c>
      <c r="P3970" t="s">
        <v>24743</v>
      </c>
      <c r="Q3970" s="3" t="n">
        <v>41346.0</v>
      </c>
      <c r="R3970" s="3" t="n">
        <v>42010.0</v>
      </c>
      <c r="S3970" s="3" t="n">
        <v>43950.647372685184</v>
      </c>
      <c r="T3970" s="3" t="n">
        <v>44638.65271974537</v>
      </c>
      <c r="U3970" t="s">
        <v>24744</v>
      </c>
      <c r="V3970" t="s">
        <v>24745</v>
      </c>
    </row>
    <row r="3971">
      <c r="A3971" t="s">
        <v>23557</v>
      </c>
      <c r="B3971" t="s">
        <v>24746</v>
      </c>
      <c r="C3971" t="s">
        <v>60</v>
      </c>
      <c r="D3971" t="s">
        <v>61</v>
      </c>
      <c r="E3971" t="s">
        <v>22432</v>
      </c>
      <c r="F3971" s="2" t="n">
        <f>HYPERLINK("https://patents.google.com/patent/US8927484","Google")</f>
        <v>0.0</v>
      </c>
      <c r="G3971" s="2" t="n">
        <f>HYPERLINK("https://patentcenter.uspto.gov/applications/12958112","Patent Center")</f>
        <v>0.0</v>
      </c>
      <c r="H3971" s="2" t="n">
        <f>HYPERLINK("https://worldwide.espacenet.com/patent/search?q=US8927484","Espacenet")</f>
        <v>0.0</v>
      </c>
      <c r="I3971" s="2" t="n">
        <f>HYPERLINK("https://ppubs.uspto.gov/pubwebapp/external.html?q=8927484.pn.","USPTO")</f>
        <v>0.0</v>
      </c>
      <c r="J3971" s="2" t="n">
        <f>HYPERLINK("https://image-ppubs.uspto.gov/dirsearch-public/print/downloadPdf/8927484","USPTO PDF")</f>
        <v>0.0</v>
      </c>
      <c r="K3971" s="2" t="n">
        <f>HYPERLINK("https://sectors.patentforecast.com/pmd/US8927484","PMD")</f>
        <v>0.0</v>
      </c>
      <c r="L3971" s="2" t="n">
        <f>HYPERLINK("https://globaldossier.uspto.gov/result/patent/US/8927484/1","US8927484")</f>
        <v>0.0</v>
      </c>
      <c r="M3971" t="s">
        <v>21775</v>
      </c>
      <c r="N3971" t="s">
        <v>664</v>
      </c>
      <c r="O3971" t="s">
        <v>665</v>
      </c>
      <c r="P3971" t="s">
        <v>24747</v>
      </c>
      <c r="Q3971" s="3" t="n">
        <v>40513.0</v>
      </c>
      <c r="R3971" s="3" t="n">
        <v>42010.0</v>
      </c>
      <c r="S3971" s="3" t="n">
        <v>43952.4599103125</v>
      </c>
      <c r="T3971" s="3" t="n">
        <v>44638.65271974537</v>
      </c>
      <c r="U3971" t="s">
        <v>24748</v>
      </c>
      <c r="V3971" t="s">
        <v>21564</v>
      </c>
    </row>
    <row r="3972">
      <c r="A3972" t="s">
        <v>23557</v>
      </c>
      <c r="B3972" t="s">
        <v>24749</v>
      </c>
      <c r="C3972" t="s">
        <v>132</v>
      </c>
      <c r="D3972" t="s">
        <v>2629</v>
      </c>
      <c r="E3972" t="s">
        <v>24560</v>
      </c>
      <c r="F3972" s="2" t="n">
        <f>HYPERLINK("https://patents.google.com/patent/US8921536","Google")</f>
        <v>0.0</v>
      </c>
      <c r="G3972" s="2" t="n">
        <f>HYPERLINK("https://patentcenter.uspto.gov/applications/13278160","Patent Center")</f>
        <v>0.0</v>
      </c>
      <c r="H3972" s="2" t="n">
        <f>HYPERLINK("https://worldwide.espacenet.com/patent/search?q=US8921536","Espacenet")</f>
        <v>0.0</v>
      </c>
      <c r="I3972" s="2" t="n">
        <f>HYPERLINK("https://ppubs.uspto.gov/pubwebapp/external.html?q=8921536.pn.","USPTO")</f>
        <v>0.0</v>
      </c>
      <c r="J3972" s="2" t="n">
        <f>HYPERLINK("https://image-ppubs.uspto.gov/dirsearch-public/print/downloadPdf/8921536","USPTO PDF")</f>
        <v>0.0</v>
      </c>
      <c r="K3972" s="2" t="n">
        <f>HYPERLINK("https://sectors.patentforecast.com/pmd/US8921536","PMD")</f>
        <v>0.0</v>
      </c>
      <c r="L3972" s="2" t="n">
        <f>HYPERLINK("https://globaldossier.uspto.gov/result/patent/US/8921536/1","US8921536")</f>
        <v>0.0</v>
      </c>
      <c r="M3972" t="s">
        <v>24750</v>
      </c>
      <c r="N3972" t="s">
        <v>7854</v>
      </c>
      <c r="O3972" t="s">
        <v>7855</v>
      </c>
      <c r="P3972" t="s">
        <v>24751</v>
      </c>
      <c r="Q3972" s="3" t="n">
        <v>40836.0</v>
      </c>
      <c r="R3972" s="3" t="n">
        <v>42003.0</v>
      </c>
      <c r="S3972" s="3" t="n">
        <v>43936.46037523148</v>
      </c>
      <c r="T3972" s="3" t="n">
        <v>43950.424516099534</v>
      </c>
      <c r="U3972" t="s">
        <v>24752</v>
      </c>
      <c r="V3972" t="s">
        <v>20263</v>
      </c>
    </row>
    <row r="3973">
      <c r="A3973" t="s">
        <v>23557</v>
      </c>
      <c r="B3973" t="s">
        <v>24753</v>
      </c>
      <c r="C3973" t="s">
        <v>60</v>
      </c>
      <c r="D3973" t="s">
        <v>61</v>
      </c>
      <c r="E3973" t="s">
        <v>22432</v>
      </c>
      <c r="F3973" s="2" t="n">
        <f>HYPERLINK("https://patents.google.com/patent/US8921341","Google")</f>
        <v>0.0</v>
      </c>
      <c r="G3973" s="2" t="n">
        <f>HYPERLINK("https://patentcenter.uspto.gov/applications/14049133","Patent Center")</f>
        <v>0.0</v>
      </c>
      <c r="H3973" s="2" t="n">
        <f>HYPERLINK("https://worldwide.espacenet.com/patent/search?q=US8921341","Espacenet")</f>
        <v>0.0</v>
      </c>
      <c r="I3973" s="2" t="n">
        <f>HYPERLINK("https://ppubs.uspto.gov/pubwebapp/external.html?q=8921341.pn.","USPTO")</f>
        <v>0.0</v>
      </c>
      <c r="J3973" s="2" t="n">
        <f>HYPERLINK("https://image-ppubs.uspto.gov/dirsearch-public/print/downloadPdf/8921341","USPTO PDF")</f>
        <v>0.0</v>
      </c>
      <c r="K3973" s="2" t="n">
        <f>HYPERLINK("https://sectors.patentforecast.com/pmd/US8921341","PMD")</f>
        <v>0.0</v>
      </c>
      <c r="L3973" s="2" t="n">
        <f>HYPERLINK("https://globaldossier.uspto.gov/result/patent/US/8921341/1","US8921341")</f>
        <v>0.0</v>
      </c>
      <c r="M3973" t="s">
        <v>20775</v>
      </c>
      <c r="N3973" t="s">
        <v>664</v>
      </c>
      <c r="O3973" t="s">
        <v>665</v>
      </c>
      <c r="P3973" t="s">
        <v>24492</v>
      </c>
      <c r="Q3973" s="3" t="n">
        <v>41555.0</v>
      </c>
      <c r="R3973" s="3" t="n">
        <v>42003.0</v>
      </c>
      <c r="S3973" s="3" t="n">
        <v>43952.4599103125</v>
      </c>
      <c r="T3973" s="3" t="n">
        <v>44638.65271974537</v>
      </c>
      <c r="U3973" t="s">
        <v>24754</v>
      </c>
      <c r="V3973" t="s">
        <v>17072</v>
      </c>
    </row>
    <row r="3974">
      <c r="A3974" t="s">
        <v>23557</v>
      </c>
      <c r="B3974" t="s">
        <v>24755</v>
      </c>
      <c r="C3974" t="s">
        <v>24</v>
      </c>
      <c r="D3974" t="s">
        <v>187</v>
      </c>
      <c r="E3974" t="s">
        <v>23278</v>
      </c>
      <c r="F3974" s="2" t="n">
        <f>HYPERLINK("https://patents.google.com/patent/US8921047","Google")</f>
        <v>0.0</v>
      </c>
      <c r="G3974" s="2" t="n">
        <f>HYPERLINK("https://patentcenter.uspto.gov/applications/13663176","Patent Center")</f>
        <v>0.0</v>
      </c>
      <c r="H3974" s="2" t="n">
        <f>HYPERLINK("https://worldwide.espacenet.com/patent/search?q=US8921047","Espacenet")</f>
        <v>0.0</v>
      </c>
      <c r="I3974" s="2" t="n">
        <f>HYPERLINK("https://ppubs.uspto.gov/pubwebapp/external.html?q=8921047.pn.","USPTO")</f>
        <v>0.0</v>
      </c>
      <c r="J3974" s="2" t="n">
        <f>HYPERLINK("https://image-ppubs.uspto.gov/dirsearch-public/print/downloadPdf/8921047","USPTO PDF")</f>
        <v>0.0</v>
      </c>
      <c r="K3974" s="2" t="n">
        <f>HYPERLINK("https://sectors.patentforecast.com/pmd/US8921047","PMD")</f>
        <v>0.0</v>
      </c>
      <c r="L3974" s="2" t="n">
        <f>HYPERLINK("https://globaldossier.uspto.gov/result/patent/US/8921047/1","US8921047")</f>
        <v>0.0</v>
      </c>
      <c r="M3974" t="s">
        <v>21221</v>
      </c>
      <c r="N3974" t="s">
        <v>6851</v>
      </c>
      <c r="O3974" t="s">
        <v>6852</v>
      </c>
      <c r="P3974" t="s">
        <v>24756</v>
      </c>
      <c r="Q3974" s="3" t="n">
        <v>41211.0</v>
      </c>
      <c r="R3974" s="3" t="n">
        <v>42003.0</v>
      </c>
      <c r="S3974" s="3" t="n">
        <v>43266.45735622685</v>
      </c>
      <c r="T3974" s="3" t="n">
        <v>43266.61438974537</v>
      </c>
      <c r="U3974" t="s">
        <v>24757</v>
      </c>
      <c r="V3974" t="s">
        <v>19648</v>
      </c>
    </row>
    <row r="3975">
      <c r="A3975" t="s">
        <v>23557</v>
      </c>
      <c r="B3975" t="s">
        <v>24758</v>
      </c>
      <c r="C3975" t="s">
        <v>60</v>
      </c>
      <c r="D3975" t="s">
        <v>61</v>
      </c>
      <c r="E3975" t="s">
        <v>24759</v>
      </c>
      <c r="F3975" s="2" t="n">
        <f>HYPERLINK("https://patents.google.com/patent/US8920812","Google")</f>
        <v>0.0</v>
      </c>
      <c r="G3975" s="2" t="n">
        <f>HYPERLINK("https://patentcenter.uspto.gov/applications/13505250","Patent Center")</f>
        <v>0.0</v>
      </c>
      <c r="H3975" s="2" t="n">
        <f>HYPERLINK("https://worldwide.espacenet.com/patent/search?q=US8920812","Espacenet")</f>
        <v>0.0</v>
      </c>
      <c r="I3975" s="2" t="n">
        <f>HYPERLINK("https://ppubs.uspto.gov/pubwebapp/external.html?q=8920812.pn.","USPTO")</f>
        <v>0.0</v>
      </c>
      <c r="J3975" s="2" t="n">
        <f>HYPERLINK("https://image-ppubs.uspto.gov/dirsearch-public/print/downloadPdf/8920812","USPTO PDF")</f>
        <v>0.0</v>
      </c>
      <c r="K3975" s="2" t="n">
        <f>HYPERLINK("https://sectors.patentforecast.com/pmd/US8920812","PMD")</f>
        <v>0.0</v>
      </c>
      <c r="L3975" s="2" t="n">
        <f>HYPERLINK("https://globaldossier.uspto.gov/result/patent/US/8920812/1","US8920812")</f>
        <v>0.0</v>
      </c>
      <c r="M3975" t="s">
        <v>24760</v>
      </c>
      <c r="N3975" t="s">
        <v>24761</v>
      </c>
      <c r="O3975" t="s">
        <v>24762</v>
      </c>
      <c r="P3975" t="s">
        <v>24763</v>
      </c>
      <c r="Q3975" s="3" t="n">
        <v>40485.0</v>
      </c>
      <c r="R3975" s="3" t="n">
        <v>42003.0</v>
      </c>
      <c r="S3975" s="3" t="n">
        <v>43973.46878548611</v>
      </c>
      <c r="T3975" s="3" t="n">
        <v>44545.375321342595</v>
      </c>
      <c r="U3975" t="s">
        <v>24764</v>
      </c>
      <c r="V3975" t="s">
        <v>24765</v>
      </c>
    </row>
    <row r="3976">
      <c r="A3976" t="s">
        <v>23557</v>
      </c>
      <c r="B3976" t="s">
        <v>24766</v>
      </c>
      <c r="C3976" t="s">
        <v>60</v>
      </c>
      <c r="D3976" t="s">
        <v>61</v>
      </c>
      <c r="E3976" t="s">
        <v>24128</v>
      </c>
      <c r="F3976" s="2" t="n">
        <f>HYPERLINK("https://patents.google.com/patent/US8889159","Google")</f>
        <v>0.0</v>
      </c>
      <c r="G3976" s="2" t="n">
        <f>HYPERLINK("https://patentcenter.uspto.gov/applications/13686664","Patent Center")</f>
        <v>0.0</v>
      </c>
      <c r="H3976" s="2" t="n">
        <f>HYPERLINK("https://worldwide.espacenet.com/patent/search?q=US8889159","Espacenet")</f>
        <v>0.0</v>
      </c>
      <c r="I3976" s="2" t="n">
        <f>HYPERLINK("https://ppubs.uspto.gov/pubwebapp/external.html?q=8889159.pn.","USPTO")</f>
        <v>0.0</v>
      </c>
      <c r="J3976" s="2" t="n">
        <f>HYPERLINK("https://image-ppubs.uspto.gov/dirsearch-public/print/downloadPdf/8889159","USPTO PDF")</f>
        <v>0.0</v>
      </c>
      <c r="K3976" s="2" t="n">
        <f>HYPERLINK("https://sectors.patentforecast.com/pmd/US8889159","PMD")</f>
        <v>0.0</v>
      </c>
      <c r="L3976" s="2" t="n">
        <f>HYPERLINK("https://globaldossier.uspto.gov/result/patent/US/8889159/1","US8889159")</f>
        <v>0.0</v>
      </c>
      <c r="M3976" t="s">
        <v>21193</v>
      </c>
      <c r="N3976" t="s">
        <v>664</v>
      </c>
      <c r="O3976" t="s">
        <v>665</v>
      </c>
      <c r="P3976" t="s">
        <v>24129</v>
      </c>
      <c r="Q3976" s="3" t="n">
        <v>41240.0</v>
      </c>
      <c r="R3976" s="3" t="n">
        <v>41961.0</v>
      </c>
      <c r="S3976" s="3" t="n">
        <v>43952.4599103125</v>
      </c>
      <c r="T3976" s="3" t="n">
        <v>44638.65643378472</v>
      </c>
      <c r="U3976" t="s">
        <v>24130</v>
      </c>
      <c r="V3976" t="s">
        <v>18878</v>
      </c>
    </row>
    <row r="3977">
      <c r="A3977" t="s">
        <v>23557</v>
      </c>
      <c r="B3977" t="s">
        <v>24767</v>
      </c>
      <c r="C3977" t="s">
        <v>60</v>
      </c>
      <c r="D3977" t="s">
        <v>61</v>
      </c>
      <c r="E3977" t="s">
        <v>24406</v>
      </c>
      <c r="F3977" s="2" t="n">
        <f>HYPERLINK("https://patents.google.com/patent/US8884030","Google")</f>
        <v>0.0</v>
      </c>
      <c r="G3977" s="2" t="n">
        <f>HYPERLINK("https://patentcenter.uspto.gov/applications/13958424","Patent Center")</f>
        <v>0.0</v>
      </c>
      <c r="H3977" s="2" t="n">
        <f>HYPERLINK("https://worldwide.espacenet.com/patent/search?q=US8884030","Espacenet")</f>
        <v>0.0</v>
      </c>
      <c r="I3977" s="2" t="n">
        <f>HYPERLINK("https://ppubs.uspto.gov/pubwebapp/external.html?q=8884030.pn.","USPTO")</f>
        <v>0.0</v>
      </c>
      <c r="J3977" s="2" t="n">
        <f>HYPERLINK("https://image-ppubs.uspto.gov/dirsearch-public/print/downloadPdf/8884030","USPTO PDF")</f>
        <v>0.0</v>
      </c>
      <c r="K3977" s="2" t="n">
        <f>HYPERLINK("https://sectors.patentforecast.com/pmd/US8884030","PMD")</f>
        <v>0.0</v>
      </c>
      <c r="L3977" s="2" t="n">
        <f>HYPERLINK("https://globaldossier.uspto.gov/result/patent/US/8884030/1","US8884030")</f>
        <v>0.0</v>
      </c>
      <c r="M3977" t="s">
        <v>20959</v>
      </c>
      <c r="N3977" t="s">
        <v>664</v>
      </c>
      <c r="O3977" t="s">
        <v>665</v>
      </c>
      <c r="P3977" t="s">
        <v>24768</v>
      </c>
      <c r="Q3977" s="3" t="n">
        <v>41488.0</v>
      </c>
      <c r="R3977" s="3" t="n">
        <v>41954.0</v>
      </c>
      <c r="S3977" s="3" t="n">
        <v>43952.4599103125</v>
      </c>
      <c r="T3977" s="3" t="n">
        <v>44638.65643378472</v>
      </c>
      <c r="U3977" t="s">
        <v>24769</v>
      </c>
      <c r="V3977" t="s">
        <v>24409</v>
      </c>
    </row>
    <row r="3978">
      <c r="A3978" t="s">
        <v>23557</v>
      </c>
      <c r="B3978" t="s">
        <v>24770</v>
      </c>
      <c r="C3978" t="s">
        <v>312</v>
      </c>
      <c r="D3978" t="s">
        <v>3202</v>
      </c>
      <c r="E3978" t="s">
        <v>24771</v>
      </c>
      <c r="F3978" s="2" t="n">
        <f>HYPERLINK("https://patents.google.com/patent/US8882664","Google")</f>
        <v>0.0</v>
      </c>
      <c r="G3978" s="2" t="n">
        <f>HYPERLINK("https://patentcenter.uspto.gov/applications/13190748","Patent Center")</f>
        <v>0.0</v>
      </c>
      <c r="H3978" s="2" t="n">
        <f>HYPERLINK("https://worldwide.espacenet.com/patent/search?q=US8882664","Espacenet")</f>
        <v>0.0</v>
      </c>
      <c r="I3978" s="2" t="n">
        <f>HYPERLINK("https://ppubs.uspto.gov/pubwebapp/external.html?q=8882664.pn.","USPTO")</f>
        <v>0.0</v>
      </c>
      <c r="J3978" s="2" t="n">
        <f>HYPERLINK("https://image-ppubs.uspto.gov/dirsearch-public/print/downloadPdf/8882664","USPTO PDF")</f>
        <v>0.0</v>
      </c>
      <c r="K3978" s="2" t="n">
        <f>HYPERLINK("https://sectors.patentforecast.com/pmd/US8882664","PMD")</f>
        <v>0.0</v>
      </c>
      <c r="L3978" s="2" t="n">
        <f>HYPERLINK("https://globaldossier.uspto.gov/result/patent/US/8882664/1","US8882664")</f>
        <v>0.0</v>
      </c>
      <c r="M3978" t="s">
        <v>21567</v>
      </c>
      <c r="N3978" t="s">
        <v>2563</v>
      </c>
      <c r="O3978" t="s">
        <v>2563</v>
      </c>
      <c r="P3978" t="s">
        <v>24772</v>
      </c>
      <c r="Q3978" s="3" t="n">
        <v>40750.0</v>
      </c>
      <c r="R3978" s="3" t="n">
        <v>41954.0</v>
      </c>
      <c r="S3978" s="3" t="n">
        <v>43266.45735622685</v>
      </c>
      <c r="T3978" s="3" t="n">
        <v>43950.5508684838</v>
      </c>
      <c r="U3978" t="s">
        <v>24773</v>
      </c>
      <c r="V3978" t="s">
        <v>21570</v>
      </c>
    </row>
    <row r="3979">
      <c r="A3979" t="s">
        <v>23557</v>
      </c>
      <c r="B3979" t="s">
        <v>24774</v>
      </c>
      <c r="C3979" t="s">
        <v>60</v>
      </c>
      <c r="D3979" t="s">
        <v>61</v>
      </c>
      <c r="E3979" t="s">
        <v>24775</v>
      </c>
      <c r="F3979" s="2" t="n">
        <f>HYPERLINK("https://patents.google.com/patent/US8877733","Google")</f>
        <v>0.0</v>
      </c>
      <c r="G3979" s="2" t="n">
        <f>HYPERLINK("https://patentcenter.uspto.gov/applications/13447017","Patent Center")</f>
        <v>0.0</v>
      </c>
      <c r="H3979" s="2" t="n">
        <f>HYPERLINK("https://worldwide.espacenet.com/patent/search?q=US8877733","Espacenet")</f>
        <v>0.0</v>
      </c>
      <c r="I3979" s="2" t="n">
        <f>HYPERLINK("https://ppubs.uspto.gov/pubwebapp/external.html?q=8877733.pn.","USPTO")</f>
        <v>0.0</v>
      </c>
      <c r="J3979" s="2" t="n">
        <f>HYPERLINK("https://image-ppubs.uspto.gov/dirsearch-public/print/downloadPdf/8877733","USPTO PDF")</f>
        <v>0.0</v>
      </c>
      <c r="K3979" s="2" t="n">
        <f>HYPERLINK("https://sectors.patentforecast.com/pmd/US8877733","PMD")</f>
        <v>0.0</v>
      </c>
      <c r="L3979" s="2" t="n">
        <f>HYPERLINK("https://globaldossier.uspto.gov/result/patent/US/8877733/1","US8877733")</f>
        <v>0.0</v>
      </c>
      <c r="M3979" t="s">
        <v>21377</v>
      </c>
      <c r="N3979" t="s">
        <v>664</v>
      </c>
      <c r="O3979" t="s">
        <v>665</v>
      </c>
      <c r="P3979" t="s">
        <v>24776</v>
      </c>
      <c r="Q3979" s="3" t="n">
        <v>41012.0</v>
      </c>
      <c r="R3979" s="3" t="n">
        <v>41947.0</v>
      </c>
      <c r="S3979" s="3" t="n">
        <v>43952.4599103125</v>
      </c>
      <c r="T3979" s="3" t="n">
        <v>44638.65271974537</v>
      </c>
      <c r="U3979" t="s">
        <v>24777</v>
      </c>
      <c r="V3979" t="s">
        <v>24778</v>
      </c>
    </row>
    <row r="3980">
      <c r="A3980" t="s">
        <v>23557</v>
      </c>
      <c r="B3980" t="s">
        <v>24779</v>
      </c>
      <c r="C3980" t="s">
        <v>60</v>
      </c>
      <c r="D3980" t="s">
        <v>61</v>
      </c>
      <c r="E3980" t="s">
        <v>24593</v>
      </c>
      <c r="F3980" s="2" t="n">
        <f>HYPERLINK("https://patents.google.com/patent/US8871785","Google")</f>
        <v>0.0</v>
      </c>
      <c r="G3980" s="2" t="n">
        <f>HYPERLINK("https://patentcenter.uspto.gov/applications/13848593","Patent Center")</f>
        <v>0.0</v>
      </c>
      <c r="H3980" s="2" t="n">
        <f>HYPERLINK("https://worldwide.espacenet.com/patent/search?q=US8871785","Espacenet")</f>
        <v>0.0</v>
      </c>
      <c r="I3980" s="2" t="n">
        <f>HYPERLINK("https://ppubs.uspto.gov/pubwebapp/external.html?q=8871785.pn.","USPTO")</f>
        <v>0.0</v>
      </c>
      <c r="J3980" s="2" t="n">
        <f>HYPERLINK("https://image-ppubs.uspto.gov/dirsearch-public/print/downloadPdf/8871785","USPTO PDF")</f>
        <v>0.0</v>
      </c>
      <c r="K3980" s="2" t="n">
        <f>HYPERLINK("https://sectors.patentforecast.com/pmd/US8871785","PMD")</f>
        <v>0.0</v>
      </c>
      <c r="L3980" s="2" t="n">
        <f>HYPERLINK("https://globaldossier.uspto.gov/result/patent/US/8871785/1","US8871785")</f>
        <v>0.0</v>
      </c>
      <c r="M3980" t="s">
        <v>20971</v>
      </c>
      <c r="N3980" t="s">
        <v>664</v>
      </c>
      <c r="O3980" t="s">
        <v>665</v>
      </c>
      <c r="P3980" t="s">
        <v>24780</v>
      </c>
      <c r="Q3980" s="3" t="n">
        <v>41354.0</v>
      </c>
      <c r="R3980" s="3" t="n">
        <v>41940.0</v>
      </c>
      <c r="S3980" s="3" t="n">
        <v>43950.647372685184</v>
      </c>
      <c r="T3980" s="3" t="n">
        <v>44638.65271974537</v>
      </c>
      <c r="U3980" t="s">
        <v>24781</v>
      </c>
      <c r="V3980" t="s">
        <v>20442</v>
      </c>
    </row>
    <row r="3981">
      <c r="A3981" t="s">
        <v>23557</v>
      </c>
      <c r="B3981" t="s">
        <v>24782</v>
      </c>
      <c r="C3981" t="s">
        <v>24</v>
      </c>
      <c r="D3981" t="s">
        <v>25</v>
      </c>
      <c r="E3981" t="s">
        <v>24220</v>
      </c>
      <c r="F3981" s="2" t="n">
        <f>HYPERLINK("https://patents.google.com/patent/US8862448","Google")</f>
        <v>0.0</v>
      </c>
      <c r="G3981" s="2" t="n">
        <f>HYPERLINK("https://patentcenter.uspto.gov/applications/12906975","Patent Center")</f>
        <v>0.0</v>
      </c>
      <c r="H3981" s="2" t="n">
        <f>HYPERLINK("https://worldwide.espacenet.com/patent/search?q=US8862448","Espacenet")</f>
        <v>0.0</v>
      </c>
      <c r="I3981" s="2" t="n">
        <f>HYPERLINK("https://ppubs.uspto.gov/pubwebapp/external.html?q=8862448.pn.","USPTO")</f>
        <v>0.0</v>
      </c>
      <c r="J3981" s="2" t="n">
        <f>HYPERLINK("https://image-ppubs.uspto.gov/dirsearch-public/print/downloadPdf/8862448","USPTO PDF")</f>
        <v>0.0</v>
      </c>
      <c r="K3981" s="2" t="n">
        <f>HYPERLINK("https://sectors.patentforecast.com/pmd/US8862448","PMD")</f>
        <v>0.0</v>
      </c>
      <c r="L3981" s="2" t="n">
        <f>HYPERLINK("https://globaldossier.uspto.gov/result/patent/US/8862448/1","US8862448")</f>
        <v>0.0</v>
      </c>
      <c r="M3981" t="s">
        <v>21815</v>
      </c>
      <c r="N3981" t="s">
        <v>3621</v>
      </c>
      <c r="O3981" t="s">
        <v>3622</v>
      </c>
      <c r="P3981" t="s">
        <v>24221</v>
      </c>
      <c r="Q3981" s="3" t="n">
        <v>40469.0</v>
      </c>
      <c r="R3981" s="3" t="n">
        <v>41926.0</v>
      </c>
      <c r="S3981" s="3" t="n">
        <v>43266.45735622685</v>
      </c>
      <c r="T3981" s="3" t="n">
        <v>43903.49497354167</v>
      </c>
      <c r="U3981" t="s">
        <v>24222</v>
      </c>
      <c r="V3981" t="s">
        <v>3625</v>
      </c>
    </row>
    <row r="3982">
      <c r="A3982" t="s">
        <v>23557</v>
      </c>
      <c r="B3982" t="s">
        <v>24783</v>
      </c>
      <c r="C3982" t="s">
        <v>60</v>
      </c>
      <c r="D3982" t="s">
        <v>61</v>
      </c>
      <c r="E3982" t="s">
        <v>23570</v>
      </c>
      <c r="F3982" s="2" t="n">
        <f>HYPERLINK("https://patents.google.com/patent/US8853171","Google")</f>
        <v>0.0</v>
      </c>
      <c r="G3982" s="2" t="n">
        <f>HYPERLINK("https://patentcenter.uspto.gov/applications/13649511","Patent Center")</f>
        <v>0.0</v>
      </c>
      <c r="H3982" s="2" t="n">
        <f>HYPERLINK("https://worldwide.espacenet.com/patent/search?q=US8853171","Espacenet")</f>
        <v>0.0</v>
      </c>
      <c r="I3982" s="2" t="n">
        <f>HYPERLINK("https://ppubs.uspto.gov/pubwebapp/external.html?q=8853171.pn.","USPTO")</f>
        <v>0.0</v>
      </c>
      <c r="J3982" s="2" t="n">
        <f>HYPERLINK("https://image-ppubs.uspto.gov/dirsearch-public/print/downloadPdf/8853171","USPTO PDF")</f>
        <v>0.0</v>
      </c>
      <c r="K3982" s="2" t="n">
        <f>HYPERLINK("https://sectors.patentforecast.com/pmd/US8853171","PMD")</f>
        <v>0.0</v>
      </c>
      <c r="L3982" s="2" t="n">
        <f>HYPERLINK("https://globaldossier.uspto.gov/result/patent/US/8853171/1","US8853171")</f>
        <v>0.0</v>
      </c>
      <c r="M3982" t="s">
        <v>20930</v>
      </c>
      <c r="N3982" t="s">
        <v>664</v>
      </c>
      <c r="O3982" t="s">
        <v>665</v>
      </c>
      <c r="P3982" t="s">
        <v>23572</v>
      </c>
      <c r="Q3982" s="3" t="n">
        <v>41193.0</v>
      </c>
      <c r="R3982" s="3" t="n">
        <v>41919.0</v>
      </c>
      <c r="S3982" s="3" t="n">
        <v>43952.4599103125</v>
      </c>
      <c r="T3982" s="3" t="n">
        <v>44638.65271974537</v>
      </c>
      <c r="U3982" t="s">
        <v>24784</v>
      </c>
      <c r="V3982" t="s">
        <v>20933</v>
      </c>
    </row>
    <row r="3983">
      <c r="A3983" t="s">
        <v>23557</v>
      </c>
      <c r="B3983" t="s">
        <v>24785</v>
      </c>
      <c r="C3983" t="s">
        <v>24</v>
      </c>
      <c r="D3983" t="s">
        <v>8459</v>
      </c>
      <c r="E3983" t="s">
        <v>23183</v>
      </c>
      <c r="F3983" s="2" t="n">
        <f>HYPERLINK("https://patents.google.com/patent/US8852892","Google")</f>
        <v>0.0</v>
      </c>
      <c r="G3983" s="2" t="n">
        <f>HYPERLINK("https://patentcenter.uspto.gov/applications/12701318","Patent Center")</f>
        <v>0.0</v>
      </c>
      <c r="H3983" s="2" t="n">
        <f>HYPERLINK("https://worldwide.espacenet.com/patent/search?q=US8852892","Espacenet")</f>
        <v>0.0</v>
      </c>
      <c r="I3983" s="2" t="n">
        <f>HYPERLINK("https://ppubs.uspto.gov/pubwebapp/external.html?q=8852892.pn.","USPTO")</f>
        <v>0.0</v>
      </c>
      <c r="J3983" s="2" t="n">
        <f>HYPERLINK("https://image-ppubs.uspto.gov/dirsearch-public/print/downloadPdf/8852892","USPTO PDF")</f>
        <v>0.0</v>
      </c>
      <c r="K3983" s="2" t="n">
        <f>HYPERLINK("https://sectors.patentforecast.com/pmd/US8852892","PMD")</f>
        <v>0.0</v>
      </c>
      <c r="L3983" s="2" t="n">
        <f>HYPERLINK("https://globaldossier.uspto.gov/result/patent/US/8852892/1","US8852892")</f>
        <v>0.0</v>
      </c>
      <c r="M3983" t="s">
        <v>22186</v>
      </c>
      <c r="N3983" t="s">
        <v>22187</v>
      </c>
      <c r="O3983" t="s">
        <v>22187</v>
      </c>
      <c r="P3983" t="s">
        <v>24786</v>
      </c>
      <c r="Q3983" s="3" t="n">
        <v>40214.0</v>
      </c>
      <c r="R3983" s="3" t="n">
        <v>41919.0</v>
      </c>
      <c r="S3983" s="3" t="n">
        <v>43266.45735621528</v>
      </c>
      <c r="T3983" s="3" t="n">
        <v>43901.70557090278</v>
      </c>
      <c r="U3983" t="s">
        <v>24787</v>
      </c>
      <c r="V3983" t="s">
        <v>22190</v>
      </c>
    </row>
    <row r="3984">
      <c r="A3984" t="s">
        <v>23557</v>
      </c>
      <c r="B3984" t="s">
        <v>24788</v>
      </c>
      <c r="C3984" t="s">
        <v>312</v>
      </c>
      <c r="D3984" t="s">
        <v>3202</v>
      </c>
      <c r="E3984" t="s">
        <v>24789</v>
      </c>
      <c r="F3984" s="2" t="n">
        <f>HYPERLINK("https://patents.google.com/patent/US8849728","Google")</f>
        <v>0.0</v>
      </c>
      <c r="G3984" s="2" t="n">
        <f>HYPERLINK("https://patentcenter.uspto.gov/applications/13291761","Patent Center")</f>
        <v>0.0</v>
      </c>
      <c r="H3984" s="2" t="n">
        <f>HYPERLINK("https://worldwide.espacenet.com/patent/search?q=US8849728","Espacenet")</f>
        <v>0.0</v>
      </c>
      <c r="I3984" s="2" t="n">
        <f>HYPERLINK("https://ppubs.uspto.gov/pubwebapp/external.html?q=8849728.pn.","USPTO")</f>
        <v>0.0</v>
      </c>
      <c r="J3984" s="2" t="n">
        <f>HYPERLINK("https://image-ppubs.uspto.gov/dirsearch-public/print/downloadPdf/8849728","USPTO PDF")</f>
        <v>0.0</v>
      </c>
      <c r="K3984" s="2" t="n">
        <f>HYPERLINK("https://sectors.patentforecast.com/pmd/US8849728","PMD")</f>
        <v>0.0</v>
      </c>
      <c r="L3984" s="2" t="n">
        <f>HYPERLINK("https://globaldossier.uspto.gov/result/patent/US/8849728/1","US8849728")</f>
        <v>0.0</v>
      </c>
      <c r="M3984" t="s">
        <v>21273</v>
      </c>
      <c r="N3984" t="s">
        <v>2563</v>
      </c>
      <c r="O3984" t="s">
        <v>2563</v>
      </c>
      <c r="P3984" t="s">
        <v>24790</v>
      </c>
      <c r="Q3984" s="3" t="n">
        <v>40855.0</v>
      </c>
      <c r="R3984" s="3" t="n">
        <v>41912.0</v>
      </c>
      <c r="S3984" s="3" t="n">
        <v>43266.45735621528</v>
      </c>
      <c r="T3984" s="3" t="n">
        <v>43950.59513297454</v>
      </c>
      <c r="U3984" t="s">
        <v>24791</v>
      </c>
      <c r="V3984" t="s">
        <v>21276</v>
      </c>
    </row>
    <row r="3985">
      <c r="A3985" t="s">
        <v>23557</v>
      </c>
      <c r="B3985" t="s">
        <v>24792</v>
      </c>
      <c r="C3985" t="s">
        <v>60</v>
      </c>
      <c r="D3985" t="s">
        <v>61</v>
      </c>
      <c r="E3985" t="s">
        <v>23786</v>
      </c>
      <c r="F3985" s="2" t="n">
        <f>HYPERLINK("https://patents.google.com/patent/US8841340","Google")</f>
        <v>0.0</v>
      </c>
      <c r="G3985" s="2" t="n">
        <f>HYPERLINK("https://patentcenter.uspto.gov/applications/13800991","Patent Center")</f>
        <v>0.0</v>
      </c>
      <c r="H3985" s="2" t="n">
        <f>HYPERLINK("https://worldwide.espacenet.com/patent/search?q=US8841340","Espacenet")</f>
        <v>0.0</v>
      </c>
      <c r="I3985" s="2" t="n">
        <f>HYPERLINK("https://ppubs.uspto.gov/pubwebapp/external.html?q=8841340.pn.","USPTO")</f>
        <v>0.0</v>
      </c>
      <c r="J3985" s="2" t="n">
        <f>HYPERLINK("https://image-ppubs.uspto.gov/dirsearch-public/print/downloadPdf/8841340","USPTO PDF")</f>
        <v>0.0</v>
      </c>
      <c r="K3985" s="2" t="n">
        <f>HYPERLINK("https://sectors.patentforecast.com/pmd/US8841340","PMD")</f>
        <v>0.0</v>
      </c>
      <c r="L3985" s="2" t="n">
        <f>HYPERLINK("https://globaldossier.uspto.gov/result/patent/US/8841340/1","US8841340")</f>
        <v>0.0</v>
      </c>
      <c r="M3985" t="s">
        <v>20861</v>
      </c>
      <c r="N3985" t="s">
        <v>664</v>
      </c>
      <c r="O3985" t="s">
        <v>665</v>
      </c>
      <c r="P3985" t="s">
        <v>24301</v>
      </c>
      <c r="Q3985" s="3" t="n">
        <v>41346.0</v>
      </c>
      <c r="R3985" s="3" t="n">
        <v>41905.0</v>
      </c>
      <c r="S3985" s="3" t="n">
        <v>43952.4599103125</v>
      </c>
      <c r="T3985" s="3" t="n">
        <v>44638.65271974537</v>
      </c>
      <c r="U3985" t="s">
        <v>24793</v>
      </c>
      <c r="V3985" t="s">
        <v>24303</v>
      </c>
    </row>
    <row r="3986">
      <c r="A3986" t="s">
        <v>23557</v>
      </c>
      <c r="B3986" t="s">
        <v>24794</v>
      </c>
      <c r="C3986" t="s">
        <v>60</v>
      </c>
      <c r="D3986" t="s">
        <v>61</v>
      </c>
      <c r="E3986" t="s">
        <v>24795</v>
      </c>
      <c r="F3986" s="2" t="n">
        <f>HYPERLINK("https://patents.google.com/patent/US8841331","Google")</f>
        <v>0.0</v>
      </c>
      <c r="G3986" s="2" t="n">
        <f>HYPERLINK("https://patentcenter.uspto.gov/applications/13683706","Patent Center")</f>
        <v>0.0</v>
      </c>
      <c r="H3986" s="2" t="n">
        <f>HYPERLINK("https://worldwide.espacenet.com/patent/search?q=US8841331","Espacenet")</f>
        <v>0.0</v>
      </c>
      <c r="I3986" s="2" t="n">
        <f>HYPERLINK("https://ppubs.uspto.gov/pubwebapp/external.html?q=8841331.pn.","USPTO")</f>
        <v>0.0</v>
      </c>
      <c r="J3986" s="2" t="n">
        <f>HYPERLINK("https://image-ppubs.uspto.gov/dirsearch-public/print/downloadPdf/8841331","USPTO PDF")</f>
        <v>0.0</v>
      </c>
      <c r="K3986" s="2" t="n">
        <f>HYPERLINK("https://sectors.patentforecast.com/pmd/US8841331","PMD")</f>
        <v>0.0</v>
      </c>
      <c r="L3986" s="2" t="n">
        <f>HYPERLINK("https://globaldossier.uspto.gov/result/patent/US/8841331/1","US8841331")</f>
        <v>0.0</v>
      </c>
      <c r="M3986" t="s">
        <v>21106</v>
      </c>
      <c r="N3986" t="s">
        <v>664</v>
      </c>
      <c r="O3986" t="s">
        <v>665</v>
      </c>
      <c r="P3986" t="s">
        <v>24796</v>
      </c>
      <c r="Q3986" s="3" t="n">
        <v>41234.0</v>
      </c>
      <c r="R3986" s="3" t="n">
        <v>41905.0</v>
      </c>
      <c r="S3986" s="3" t="n">
        <v>43952.4599103125</v>
      </c>
      <c r="T3986" s="3" t="n">
        <v>44638.65643378472</v>
      </c>
      <c r="U3986" t="s">
        <v>24797</v>
      </c>
      <c r="V3986" t="s">
        <v>24798</v>
      </c>
    </row>
    <row r="3987">
      <c r="A3987" t="s">
        <v>23557</v>
      </c>
      <c r="B3987" t="s">
        <v>24799</v>
      </c>
      <c r="C3987" t="s">
        <v>60</v>
      </c>
      <c r="D3987" t="s">
        <v>61</v>
      </c>
      <c r="E3987" t="s">
        <v>22432</v>
      </c>
      <c r="F3987" s="2" t="n">
        <f>HYPERLINK("https://patents.google.com/patent/US8841278","Google")</f>
        <v>0.0</v>
      </c>
      <c r="G3987" s="2" t="n">
        <f>HYPERLINK("https://patentcenter.uspto.gov/applications/14045717","Patent Center")</f>
        <v>0.0</v>
      </c>
      <c r="H3987" s="2" t="n">
        <f>HYPERLINK("https://worldwide.espacenet.com/patent/search?q=US8841278","Espacenet")</f>
        <v>0.0</v>
      </c>
      <c r="I3987" s="2" t="n">
        <f>HYPERLINK("https://ppubs.uspto.gov/pubwebapp/external.html?q=8841278.pn.","USPTO")</f>
        <v>0.0</v>
      </c>
      <c r="J3987" s="2" t="n">
        <f>HYPERLINK("https://image-ppubs.uspto.gov/dirsearch-public/print/downloadPdf/8841278","USPTO PDF")</f>
        <v>0.0</v>
      </c>
      <c r="K3987" s="2" t="n">
        <f>HYPERLINK("https://sectors.patentforecast.com/pmd/US8841278","PMD")</f>
        <v>0.0</v>
      </c>
      <c r="L3987" s="2" t="n">
        <f>HYPERLINK("https://globaldossier.uspto.gov/result/patent/US/8841278/1","US8841278")</f>
        <v>0.0</v>
      </c>
      <c r="M3987" t="s">
        <v>20876</v>
      </c>
      <c r="N3987" t="s">
        <v>664</v>
      </c>
      <c r="O3987" t="s">
        <v>665</v>
      </c>
      <c r="P3987" t="s">
        <v>23608</v>
      </c>
      <c r="Q3987" s="3" t="n">
        <v>41550.0</v>
      </c>
      <c r="R3987" s="3" t="n">
        <v>41905.0</v>
      </c>
      <c r="S3987" s="3" t="n">
        <v>43952.4599103125</v>
      </c>
      <c r="T3987" s="3" t="n">
        <v>44638.65271974537</v>
      </c>
      <c r="U3987" t="s">
        <v>24800</v>
      </c>
      <c r="V3987" t="s">
        <v>16907</v>
      </c>
    </row>
    <row r="3988">
      <c r="A3988" t="s">
        <v>23557</v>
      </c>
      <c r="B3988" t="s">
        <v>24801</v>
      </c>
      <c r="C3988" t="s">
        <v>60</v>
      </c>
      <c r="D3988" t="s">
        <v>61</v>
      </c>
      <c r="E3988" t="s">
        <v>24323</v>
      </c>
      <c r="F3988" s="2" t="n">
        <f>HYPERLINK("https://patents.google.com/patent/US8841275","Google")</f>
        <v>0.0</v>
      </c>
      <c r="G3988" s="2" t="n">
        <f>HYPERLINK("https://patentcenter.uspto.gov/applications/13307256","Patent Center")</f>
        <v>0.0</v>
      </c>
      <c r="H3988" s="2" t="n">
        <f>HYPERLINK("https://worldwide.espacenet.com/patent/search?q=US8841275","Espacenet")</f>
        <v>0.0</v>
      </c>
      <c r="I3988" s="2" t="n">
        <f>HYPERLINK("https://ppubs.uspto.gov/pubwebapp/external.html?q=8841275.pn.","USPTO")</f>
        <v>0.0</v>
      </c>
      <c r="J3988" s="2" t="n">
        <f>HYPERLINK("https://image-ppubs.uspto.gov/dirsearch-public/print/downloadPdf/8841275","USPTO PDF")</f>
        <v>0.0</v>
      </c>
      <c r="K3988" s="2" t="n">
        <f>HYPERLINK("https://sectors.patentforecast.com/pmd/US8841275","PMD")</f>
        <v>0.0</v>
      </c>
      <c r="L3988" s="2" t="n">
        <f>HYPERLINK("https://globaldossier.uspto.gov/result/patent/US/8841275/1","US8841275")</f>
        <v>0.0</v>
      </c>
      <c r="M3988" t="s">
        <v>24802</v>
      </c>
      <c r="N3988" t="s">
        <v>664</v>
      </c>
      <c r="O3988" t="s">
        <v>665</v>
      </c>
      <c r="P3988" t="s">
        <v>24016</v>
      </c>
      <c r="Q3988" s="3" t="n">
        <v>40877.0</v>
      </c>
      <c r="R3988" s="3" t="n">
        <v>41905.0</v>
      </c>
      <c r="S3988" s="3" t="n">
        <v>43952.4599103125</v>
      </c>
      <c r="T3988" s="3" t="n">
        <v>44638.65160923611</v>
      </c>
      <c r="U3988" t="s">
        <v>24803</v>
      </c>
      <c r="V3988" t="s">
        <v>20448</v>
      </c>
    </row>
    <row r="3989">
      <c r="A3989" t="s">
        <v>23557</v>
      </c>
      <c r="B3989" t="s">
        <v>24804</v>
      </c>
      <c r="C3989" t="s">
        <v>24</v>
      </c>
      <c r="D3989" t="s">
        <v>100</v>
      </c>
      <c r="E3989" t="s">
        <v>24176</v>
      </c>
      <c r="F3989" s="2" t="n">
        <f>HYPERLINK("https://patents.google.com/patent/US8841100","Google")</f>
        <v>0.0</v>
      </c>
      <c r="G3989" s="2" t="n">
        <f>HYPERLINK("https://patentcenter.uspto.gov/applications/13029001","Patent Center")</f>
        <v>0.0</v>
      </c>
      <c r="H3989" s="2" t="n">
        <f>HYPERLINK("https://worldwide.espacenet.com/patent/search?q=US8841100","Espacenet")</f>
        <v>0.0</v>
      </c>
      <c r="I3989" s="2" t="n">
        <f>HYPERLINK("https://ppubs.uspto.gov/pubwebapp/external.html?q=8841100.pn.","USPTO")</f>
        <v>0.0</v>
      </c>
      <c r="J3989" s="2" t="n">
        <f>HYPERLINK("https://image-ppubs.uspto.gov/dirsearch-public/print/downloadPdf/8841100","USPTO PDF")</f>
        <v>0.0</v>
      </c>
      <c r="K3989" s="2" t="n">
        <f>HYPERLINK("https://sectors.patentforecast.com/pmd/US8841100","PMD")</f>
        <v>0.0</v>
      </c>
      <c r="L3989" s="2" t="n">
        <f>HYPERLINK("https://globaldossier.uspto.gov/result/patent/US/8841100/1","US8841100")</f>
        <v>0.0</v>
      </c>
      <c r="M3989" t="s">
        <v>21768</v>
      </c>
      <c r="N3989" t="s">
        <v>21257</v>
      </c>
      <c r="O3989" t="s">
        <v>21258</v>
      </c>
      <c r="P3989" t="s">
        <v>24178</v>
      </c>
      <c r="Q3989" s="3" t="n">
        <v>40590.0</v>
      </c>
      <c r="R3989" s="3" t="n">
        <v>41905.0</v>
      </c>
      <c r="S3989" s="3" t="n">
        <v>43999.590191793985</v>
      </c>
      <c r="T3989" s="3" t="n">
        <v>44638.64789150463</v>
      </c>
      <c r="U3989" t="s">
        <v>24805</v>
      </c>
      <c r="V3989" t="s">
        <v>21261</v>
      </c>
    </row>
    <row r="3990">
      <c r="A3990" t="s">
        <v>23557</v>
      </c>
      <c r="B3990" t="s">
        <v>24806</v>
      </c>
      <c r="C3990" t="s">
        <v>132</v>
      </c>
      <c r="D3990" t="s">
        <v>133</v>
      </c>
      <c r="E3990" t="s">
        <v>23160</v>
      </c>
      <c r="F3990" s="2" t="n">
        <f>HYPERLINK("https://patents.google.com/patent/US8835107","Google")</f>
        <v>0.0</v>
      </c>
      <c r="G3990" s="2" t="n">
        <f>HYPERLINK("https://patentcenter.uspto.gov/applications/12843359","Patent Center")</f>
        <v>0.0</v>
      </c>
      <c r="H3990" s="2" t="n">
        <f>HYPERLINK("https://worldwide.espacenet.com/patent/search?q=US8835107","Espacenet")</f>
        <v>0.0</v>
      </c>
      <c r="I3990" s="2" t="n">
        <f>HYPERLINK("https://ppubs.uspto.gov/pubwebapp/external.html?q=8835107.pn.","USPTO")</f>
        <v>0.0</v>
      </c>
      <c r="J3990" s="2" t="n">
        <f>HYPERLINK("https://image-ppubs.uspto.gov/dirsearch-public/print/downloadPdf/8835107","USPTO PDF")</f>
        <v>0.0</v>
      </c>
      <c r="K3990" s="2" t="n">
        <f>HYPERLINK("https://sectors.patentforecast.com/pmd/US8835107","PMD")</f>
        <v>0.0</v>
      </c>
      <c r="L3990" s="2" t="n">
        <f>HYPERLINK("https://globaldossier.uspto.gov/result/patent/US/8835107/1","US8835107")</f>
        <v>0.0</v>
      </c>
      <c r="M3990" t="s">
        <v>21886</v>
      </c>
      <c r="N3990" t="s">
        <v>24807</v>
      </c>
      <c r="O3990" t="s">
        <v>24808</v>
      </c>
      <c r="P3990" t="s">
        <v>24809</v>
      </c>
      <c r="Q3990" s="3" t="n">
        <v>40385.0</v>
      </c>
      <c r="R3990" s="3" t="n">
        <v>41898.0</v>
      </c>
      <c r="S3990" s="3" t="n">
        <v>43966.48008075231</v>
      </c>
      <c r="T3990" s="3" t="n">
        <v>44638.68962553241</v>
      </c>
      <c r="U3990" t="s">
        <v>24810</v>
      </c>
      <c r="V3990" t="s">
        <v>20424</v>
      </c>
    </row>
    <row r="3991">
      <c r="A3991" t="s">
        <v>23557</v>
      </c>
      <c r="B3991" t="s">
        <v>24811</v>
      </c>
      <c r="C3991" t="s">
        <v>132</v>
      </c>
      <c r="D3991" t="s">
        <v>2629</v>
      </c>
      <c r="E3991" t="s">
        <v>24560</v>
      </c>
      <c r="F3991" s="2" t="n">
        <f>HYPERLINK("https://patents.google.com/patent/US8829174","Google")</f>
        <v>0.0</v>
      </c>
      <c r="G3991" s="2" t="n">
        <f>HYPERLINK("https://patentcenter.uspto.gov/applications/13127008","Patent Center")</f>
        <v>0.0</v>
      </c>
      <c r="H3991" s="2" t="n">
        <f>HYPERLINK("https://worldwide.espacenet.com/patent/search?q=US8829174","Espacenet")</f>
        <v>0.0</v>
      </c>
      <c r="I3991" s="2" t="n">
        <f>HYPERLINK("https://ppubs.uspto.gov/pubwebapp/external.html?q=8829174.pn.","USPTO")</f>
        <v>0.0</v>
      </c>
      <c r="J3991" s="2" t="n">
        <f>HYPERLINK("https://image-ppubs.uspto.gov/dirsearch-public/print/downloadPdf/8829174","USPTO PDF")</f>
        <v>0.0</v>
      </c>
      <c r="K3991" s="2" t="n">
        <f>HYPERLINK("https://sectors.patentforecast.com/pmd/US8829174","PMD")</f>
        <v>0.0</v>
      </c>
      <c r="L3991" s="2" t="n">
        <f>HYPERLINK("https://globaldossier.uspto.gov/result/patent/US/8829174/1","US8829174")</f>
        <v>0.0</v>
      </c>
      <c r="M3991" t="s">
        <v>24812</v>
      </c>
      <c r="N3991" t="s">
        <v>7854</v>
      </c>
      <c r="O3991" t="s">
        <v>7855</v>
      </c>
      <c r="P3991" t="s">
        <v>24813</v>
      </c>
      <c r="Q3991" s="3" t="n">
        <v>39750.0</v>
      </c>
      <c r="R3991" s="3" t="n">
        <v>41891.0</v>
      </c>
      <c r="S3991" s="3" t="n">
        <v>43936.46037523148</v>
      </c>
      <c r="T3991" s="3" t="n">
        <v>43950.424516099534</v>
      </c>
      <c r="U3991" t="s">
        <v>24814</v>
      </c>
      <c r="V3991" t="s">
        <v>24815</v>
      </c>
    </row>
    <row r="3992">
      <c r="A3992" t="s">
        <v>23557</v>
      </c>
      <c r="B3992" t="s">
        <v>24816</v>
      </c>
      <c r="C3992" t="s">
        <v>24</v>
      </c>
      <c r="D3992" t="s">
        <v>25</v>
      </c>
      <c r="E3992" t="s">
        <v>24817</v>
      </c>
      <c r="F3992" s="2" t="n">
        <f>HYPERLINK("https://patents.google.com/patent/US8823525","Google")</f>
        <v>0.0</v>
      </c>
      <c r="G3992" s="2" t="n">
        <f>HYPERLINK("https://patentcenter.uspto.gov/applications/12987389","Patent Center")</f>
        <v>0.0</v>
      </c>
      <c r="H3992" s="2" t="n">
        <f>HYPERLINK("https://worldwide.espacenet.com/patent/search?q=US8823525","Espacenet")</f>
        <v>0.0</v>
      </c>
      <c r="I3992" s="2" t="n">
        <f>HYPERLINK("https://ppubs.uspto.gov/pubwebapp/external.html?q=8823525.pn.","USPTO")</f>
        <v>0.0</v>
      </c>
      <c r="J3992" s="2" t="n">
        <f>HYPERLINK("https://image-ppubs.uspto.gov/dirsearch-public/print/downloadPdf/8823525","USPTO PDF")</f>
        <v>0.0</v>
      </c>
      <c r="K3992" s="2" t="n">
        <f>HYPERLINK("https://sectors.patentforecast.com/pmd/US8823525","PMD")</f>
        <v>0.0</v>
      </c>
      <c r="L3992" s="2" t="n">
        <f>HYPERLINK("https://globaldossier.uspto.gov/result/patent/US/8823525/1","US8823525")</f>
        <v>0.0</v>
      </c>
      <c r="M3992" t="s">
        <v>21742</v>
      </c>
      <c r="N3992" t="s">
        <v>8684</v>
      </c>
      <c r="O3992" t="s">
        <v>8685</v>
      </c>
      <c r="P3992" t="s">
        <v>24818</v>
      </c>
      <c r="Q3992" s="3" t="n">
        <v>40553.0</v>
      </c>
      <c r="R3992" s="3" t="n">
        <v>41884.0</v>
      </c>
      <c r="S3992" s="3" t="n">
        <v>43266.45735621528</v>
      </c>
      <c r="T3992" s="3" t="n">
        <v>43901.705570729166</v>
      </c>
      <c r="U3992" t="s">
        <v>24819</v>
      </c>
      <c r="V3992" t="s">
        <v>21745</v>
      </c>
    </row>
    <row r="3993">
      <c r="A3993" t="s">
        <v>23557</v>
      </c>
      <c r="B3993" t="s">
        <v>24820</v>
      </c>
      <c r="C3993" t="s">
        <v>60</v>
      </c>
      <c r="D3993" t="s">
        <v>61</v>
      </c>
      <c r="E3993" t="s">
        <v>22432</v>
      </c>
      <c r="F3993" s="2" t="n">
        <f>HYPERLINK("https://patents.google.com/patent/US8822430","Google")</f>
        <v>0.0</v>
      </c>
      <c r="G3993" s="2" t="n">
        <f>HYPERLINK("https://patentcenter.uspto.gov/applications/13956195","Patent Center")</f>
        <v>0.0</v>
      </c>
      <c r="H3993" s="2" t="n">
        <f>HYPERLINK("https://worldwide.espacenet.com/patent/search?q=US8822430","Espacenet")</f>
        <v>0.0</v>
      </c>
      <c r="I3993" s="2" t="n">
        <f>HYPERLINK("https://ppubs.uspto.gov/pubwebapp/external.html?q=8822430.pn.","USPTO")</f>
        <v>0.0</v>
      </c>
      <c r="J3993" s="2" t="n">
        <f>HYPERLINK("https://image-ppubs.uspto.gov/dirsearch-public/print/downloadPdf/8822430","USPTO PDF")</f>
        <v>0.0</v>
      </c>
      <c r="K3993" s="2" t="n">
        <f>HYPERLINK("https://sectors.patentforecast.com/pmd/US8822430","PMD")</f>
        <v>0.0</v>
      </c>
      <c r="L3993" s="2" t="n">
        <f>HYPERLINK("https://globaldossier.uspto.gov/result/patent/US/8822430/1","US8822430")</f>
        <v>0.0</v>
      </c>
      <c r="M3993" t="s">
        <v>20864</v>
      </c>
      <c r="N3993" t="s">
        <v>664</v>
      </c>
      <c r="O3993" t="s">
        <v>665</v>
      </c>
      <c r="P3993" t="s">
        <v>23608</v>
      </c>
      <c r="Q3993" s="3" t="n">
        <v>41486.0</v>
      </c>
      <c r="R3993" s="3" t="n">
        <v>41884.0</v>
      </c>
      <c r="S3993" s="3" t="n">
        <v>43952.4599103125</v>
      </c>
      <c r="T3993" s="3" t="n">
        <v>44638.65271974537</v>
      </c>
      <c r="U3993" t="s">
        <v>24821</v>
      </c>
      <c r="V3993" t="s">
        <v>16907</v>
      </c>
    </row>
    <row r="3994">
      <c r="A3994" t="s">
        <v>23557</v>
      </c>
      <c r="B3994" t="s">
        <v>24822</v>
      </c>
      <c r="C3994" t="s">
        <v>60</v>
      </c>
      <c r="D3994" t="s">
        <v>61</v>
      </c>
      <c r="E3994" t="s">
        <v>24823</v>
      </c>
      <c r="F3994" s="2" t="n">
        <f>HYPERLINK("https://patents.google.com/patent/US8815858","Google")</f>
        <v>0.0</v>
      </c>
      <c r="G3994" s="2" t="n">
        <f>HYPERLINK("https://patentcenter.uspto.gov/applications/13699142","Patent Center")</f>
        <v>0.0</v>
      </c>
      <c r="H3994" s="2" t="n">
        <f>HYPERLINK("https://worldwide.espacenet.com/patent/search?q=US8815858","Espacenet")</f>
        <v>0.0</v>
      </c>
      <c r="I3994" s="2" t="n">
        <f>HYPERLINK("https://ppubs.uspto.gov/pubwebapp/external.html?q=8815858.pn.","USPTO")</f>
        <v>0.0</v>
      </c>
      <c r="J3994" s="2" t="n">
        <f>HYPERLINK("https://image-ppubs.uspto.gov/dirsearch-public/print/downloadPdf/8815858","USPTO PDF")</f>
        <v>0.0</v>
      </c>
      <c r="K3994" s="2" t="n">
        <f>HYPERLINK("https://sectors.patentforecast.com/pmd/US8815858","PMD")</f>
        <v>0.0</v>
      </c>
      <c r="L3994" s="2" t="n">
        <f>HYPERLINK("https://globaldossier.uspto.gov/result/patent/US/8815858/1","US8815858")</f>
        <v>0.0</v>
      </c>
      <c r="M3994" t="s">
        <v>21165</v>
      </c>
      <c r="N3994" t="s">
        <v>20636</v>
      </c>
      <c r="O3994" t="s">
        <v>20637</v>
      </c>
      <c r="P3994" t="s">
        <v>24824</v>
      </c>
      <c r="Q3994" s="3" t="n">
        <v>40683.0</v>
      </c>
      <c r="R3994" s="3" t="n">
        <v>41877.0</v>
      </c>
      <c r="S3994" s="3" t="n">
        <v>43952.4599103125</v>
      </c>
      <c r="T3994" s="3" t="n">
        <v>44638.65643378472</v>
      </c>
      <c r="U3994" t="s">
        <v>24825</v>
      </c>
      <c r="V3994" t="s">
        <v>24826</v>
      </c>
    </row>
    <row r="3995">
      <c r="A3995" t="s">
        <v>23557</v>
      </c>
      <c r="B3995" t="s">
        <v>24827</v>
      </c>
      <c r="C3995" t="s">
        <v>60</v>
      </c>
      <c r="D3995" t="s">
        <v>61</v>
      </c>
      <c r="E3995" t="s">
        <v>23625</v>
      </c>
      <c r="F3995" s="2" t="n">
        <f>HYPERLINK("https://patents.google.com/patent/US8809330","Google")</f>
        <v>0.0</v>
      </c>
      <c r="G3995" s="2" t="n">
        <f>HYPERLINK("https://patentcenter.uspto.gov/applications/14069685","Patent Center")</f>
        <v>0.0</v>
      </c>
      <c r="H3995" s="2" t="n">
        <f>HYPERLINK("https://worldwide.espacenet.com/patent/search?q=US8809330","Espacenet")</f>
        <v>0.0</v>
      </c>
      <c r="I3995" s="2" t="n">
        <f>HYPERLINK("https://ppubs.uspto.gov/pubwebapp/external.html?q=8809330.pn.","USPTO")</f>
        <v>0.0</v>
      </c>
      <c r="J3995" s="2" t="n">
        <f>HYPERLINK("https://image-ppubs.uspto.gov/dirsearch-public/print/downloadPdf/8809330","USPTO PDF")</f>
        <v>0.0</v>
      </c>
      <c r="K3995" s="2" t="n">
        <f>HYPERLINK("https://sectors.patentforecast.com/pmd/US8809330","PMD")</f>
        <v>0.0</v>
      </c>
      <c r="L3995" s="2" t="n">
        <f>HYPERLINK("https://globaldossier.uspto.gov/result/patent/US/8809330/1","US8809330")</f>
        <v>0.0</v>
      </c>
      <c r="M3995" t="s">
        <v>20828</v>
      </c>
      <c r="N3995" t="s">
        <v>664</v>
      </c>
      <c r="O3995" t="s">
        <v>665</v>
      </c>
      <c r="P3995" t="s">
        <v>23626</v>
      </c>
      <c r="Q3995" s="3" t="n">
        <v>41579.0</v>
      </c>
      <c r="R3995" s="3" t="n">
        <v>41870.0</v>
      </c>
      <c r="S3995" s="3" t="n">
        <v>43952.45990869213</v>
      </c>
      <c r="T3995" s="3" t="n">
        <v>44638.65271974537</v>
      </c>
      <c r="U3995" t="s">
        <v>24828</v>
      </c>
      <c r="V3995" t="s">
        <v>24829</v>
      </c>
    </row>
    <row r="3996">
      <c r="A3996" t="s">
        <v>23557</v>
      </c>
      <c r="B3996" t="s">
        <v>24830</v>
      </c>
      <c r="C3996" t="s">
        <v>60</v>
      </c>
      <c r="D3996" t="s">
        <v>61</v>
      </c>
      <c r="E3996" t="s">
        <v>22432</v>
      </c>
      <c r="F3996" s="2" t="n">
        <f>HYPERLINK("https://patents.google.com/patent/US8809267","Google")</f>
        <v>0.0</v>
      </c>
      <c r="G3996" s="2" t="n">
        <f>HYPERLINK("https://patentcenter.uspto.gov/applications/13932945","Patent Center")</f>
        <v>0.0</v>
      </c>
      <c r="H3996" s="2" t="n">
        <f>HYPERLINK("https://worldwide.espacenet.com/patent/search?q=US8809267","Espacenet")</f>
        <v>0.0</v>
      </c>
      <c r="I3996" s="2" t="n">
        <f>HYPERLINK("https://ppubs.uspto.gov/pubwebapp/external.html?q=8809267.pn.","USPTO")</f>
        <v>0.0</v>
      </c>
      <c r="J3996" s="2" t="n">
        <f>HYPERLINK("https://image-ppubs.uspto.gov/dirsearch-public/print/downloadPdf/8809267","USPTO PDF")</f>
        <v>0.0</v>
      </c>
      <c r="K3996" s="2" t="n">
        <f>HYPERLINK("https://sectors.patentforecast.com/pmd/US8809267","PMD")</f>
        <v>0.0</v>
      </c>
      <c r="L3996" s="2" t="n">
        <f>HYPERLINK("https://globaldossier.uspto.gov/result/patent/US/8809267/1","US8809267")</f>
        <v>0.0</v>
      </c>
      <c r="M3996" t="s">
        <v>20868</v>
      </c>
      <c r="N3996" t="s">
        <v>664</v>
      </c>
      <c r="O3996" t="s">
        <v>665</v>
      </c>
      <c r="P3996" t="s">
        <v>24831</v>
      </c>
      <c r="Q3996" s="3" t="n">
        <v>41456.0</v>
      </c>
      <c r="R3996" s="3" t="n">
        <v>41870.0</v>
      </c>
      <c r="S3996" s="3" t="n">
        <v>43952.45990869213</v>
      </c>
      <c r="T3996" s="3" t="n">
        <v>44638.65271974537</v>
      </c>
      <c r="U3996" t="s">
        <v>24832</v>
      </c>
      <c r="V3996" t="s">
        <v>16907</v>
      </c>
    </row>
    <row r="3997">
      <c r="A3997" t="s">
        <v>23557</v>
      </c>
      <c r="B3997" t="s">
        <v>24833</v>
      </c>
      <c r="C3997" t="s">
        <v>60</v>
      </c>
      <c r="D3997" t="s">
        <v>61</v>
      </c>
      <c r="E3997" t="s">
        <v>22432</v>
      </c>
      <c r="F3997" s="2" t="n">
        <f>HYPERLINK("https://patents.google.com/patent/US8809266","Google")</f>
        <v>0.0</v>
      </c>
      <c r="G3997" s="2" t="n">
        <f>HYPERLINK("https://patentcenter.uspto.gov/applications/13794389","Patent Center")</f>
        <v>0.0</v>
      </c>
      <c r="H3997" s="2" t="n">
        <f>HYPERLINK("https://worldwide.espacenet.com/patent/search?q=US8809266","Espacenet")</f>
        <v>0.0</v>
      </c>
      <c r="I3997" s="2" t="n">
        <f>HYPERLINK("https://ppubs.uspto.gov/pubwebapp/external.html?q=8809266.pn.","USPTO")</f>
        <v>0.0</v>
      </c>
      <c r="J3997" s="2" t="n">
        <f>HYPERLINK("https://image-ppubs.uspto.gov/dirsearch-public/print/downloadPdf/8809266","USPTO PDF")</f>
        <v>0.0</v>
      </c>
      <c r="K3997" s="2" t="n">
        <f>HYPERLINK("https://sectors.patentforecast.com/pmd/US8809266","PMD")</f>
        <v>0.0</v>
      </c>
      <c r="L3997" s="2" t="n">
        <f>HYPERLINK("https://globaldossier.uspto.gov/result/patent/US/8809266/1","US8809266")</f>
        <v>0.0</v>
      </c>
      <c r="M3997" t="s">
        <v>21005</v>
      </c>
      <c r="N3997" t="s">
        <v>664</v>
      </c>
      <c r="O3997" t="s">
        <v>665</v>
      </c>
      <c r="P3997" t="s">
        <v>24834</v>
      </c>
      <c r="Q3997" s="3" t="n">
        <v>41344.0</v>
      </c>
      <c r="R3997" s="3" t="n">
        <v>41870.0</v>
      </c>
      <c r="S3997" s="3" t="n">
        <v>43952.45990869213</v>
      </c>
      <c r="T3997" s="3" t="n">
        <v>44638.65271974537</v>
      </c>
      <c r="U3997" t="s">
        <v>24835</v>
      </c>
      <c r="V3997" t="s">
        <v>16907</v>
      </c>
    </row>
    <row r="3998">
      <c r="A3998" t="s">
        <v>23557</v>
      </c>
      <c r="B3998" t="s">
        <v>24836</v>
      </c>
      <c r="C3998" t="s">
        <v>132</v>
      </c>
      <c r="D3998" t="s">
        <v>22819</v>
      </c>
      <c r="E3998" t="s">
        <v>24837</v>
      </c>
      <c r="F3998" s="2" t="n">
        <f>HYPERLINK("https://patents.google.com/patent/US8808711","Google")</f>
        <v>0.0</v>
      </c>
      <c r="G3998" s="2" t="n">
        <f>HYPERLINK("https://patentcenter.uspto.gov/applications/11661996","Patent Center")</f>
        <v>0.0</v>
      </c>
      <c r="H3998" s="2" t="n">
        <f>HYPERLINK("https://worldwide.espacenet.com/patent/search?q=US8808711","Espacenet")</f>
        <v>0.0</v>
      </c>
      <c r="I3998" s="2" t="n">
        <f>HYPERLINK("https://ppubs.uspto.gov/pubwebapp/external.html?q=8808711.pn.","USPTO")</f>
        <v>0.0</v>
      </c>
      <c r="J3998" s="2" t="n">
        <f>HYPERLINK("https://image-ppubs.uspto.gov/dirsearch-public/print/downloadPdf/8808711","USPTO PDF")</f>
        <v>0.0</v>
      </c>
      <c r="K3998" s="2" t="n">
        <f>HYPERLINK("https://sectors.patentforecast.com/pmd/US8808711","PMD")</f>
        <v>0.0</v>
      </c>
      <c r="L3998" s="2" t="n">
        <f>HYPERLINK("https://globaldossier.uspto.gov/result/patent/US/8808711/1","US8808711")</f>
        <v>0.0</v>
      </c>
      <c r="M3998" t="s">
        <v>22821</v>
      </c>
      <c r="N3998" t="s">
        <v>16845</v>
      </c>
      <c r="O3998" t="s">
        <v>16846</v>
      </c>
      <c r="P3998" t="s">
        <v>24838</v>
      </c>
      <c r="Q3998" s="3" t="n">
        <v>38600.0</v>
      </c>
      <c r="R3998" s="3" t="n">
        <v>41870.0</v>
      </c>
      <c r="S3998" s="3" t="n">
        <v>43900.43738940972</v>
      </c>
      <c r="T3998" s="3" t="n">
        <v>43901.70557100695</v>
      </c>
      <c r="U3998" t="s">
        <v>24839</v>
      </c>
      <c r="V3998" t="s">
        <v>24840</v>
      </c>
    </row>
    <row r="3999">
      <c r="A3999" t="s">
        <v>23557</v>
      </c>
      <c r="B3999" t="s">
        <v>24841</v>
      </c>
      <c r="C3999" t="s">
        <v>24</v>
      </c>
      <c r="D3999" t="s">
        <v>25</v>
      </c>
      <c r="E3999" t="s">
        <v>24842</v>
      </c>
      <c r="F3999" s="2" t="n">
        <f>HYPERLINK("https://patents.google.com/patent/US8801609","Google")</f>
        <v>0.0</v>
      </c>
      <c r="G3999" s="2" t="n">
        <f>HYPERLINK("https://patentcenter.uspto.gov/applications/10599344","Patent Center")</f>
        <v>0.0</v>
      </c>
      <c r="H3999" s="2" t="n">
        <f>HYPERLINK("https://worldwide.espacenet.com/patent/search?q=US8801609","Espacenet")</f>
        <v>0.0</v>
      </c>
      <c r="I3999" s="2" t="n">
        <f>HYPERLINK("https://ppubs.uspto.gov/pubwebapp/external.html?q=8801609.pn.","USPTO")</f>
        <v>0.0</v>
      </c>
      <c r="J3999" s="2" t="n">
        <f>HYPERLINK("https://image-ppubs.uspto.gov/dirsearch-public/print/downloadPdf/8801609","USPTO PDF")</f>
        <v>0.0</v>
      </c>
      <c r="K3999" s="2" t="n">
        <f>HYPERLINK("https://sectors.patentforecast.com/pmd/US8801609","PMD")</f>
        <v>0.0</v>
      </c>
      <c r="L3999" s="2" t="n">
        <f>HYPERLINK("https://globaldossier.uspto.gov/result/patent/US/8801609/1","US8801609")</f>
        <v>0.0</v>
      </c>
      <c r="M3999" t="s">
        <v>24843</v>
      </c>
      <c r="N3999" t="s">
        <v>20548</v>
      </c>
      <c r="O3999" t="s">
        <v>20549</v>
      </c>
      <c r="P3999" t="s">
        <v>24844</v>
      </c>
      <c r="Q3999" s="3" t="n">
        <v>38435.0</v>
      </c>
      <c r="R3999" s="3" t="n">
        <v>41863.0</v>
      </c>
      <c r="S3999" s="3" t="n">
        <v>43266.45735621528</v>
      </c>
      <c r="T3999" s="3" t="n">
        <v>43901.705570798615</v>
      </c>
      <c r="U3999" t="s">
        <v>24845</v>
      </c>
      <c r="V3999" t="s">
        <v>20552</v>
      </c>
    </row>
    <row r="4000">
      <c r="A4000" t="s">
        <v>23557</v>
      </c>
      <c r="B4000" t="s">
        <v>24846</v>
      </c>
      <c r="C4000" t="s">
        <v>60</v>
      </c>
      <c r="D4000" t="s">
        <v>77</v>
      </c>
      <c r="E4000" t="s">
        <v>24847</v>
      </c>
      <c r="F4000" s="2" t="n">
        <f>HYPERLINK("https://patents.google.com/patent/US8796423","Google")</f>
        <v>0.0</v>
      </c>
      <c r="G4000" s="2" t="n">
        <f>HYPERLINK("https://patentcenter.uspto.gov/applications/12105462","Patent Center")</f>
        <v>0.0</v>
      </c>
      <c r="H4000" s="2" t="n">
        <f>HYPERLINK("https://worldwide.espacenet.com/patent/search?q=US8796423","Espacenet")</f>
        <v>0.0</v>
      </c>
      <c r="I4000" s="2" t="n">
        <f>HYPERLINK("https://ppubs.uspto.gov/pubwebapp/external.html?q=8796423.pn.","USPTO")</f>
        <v>0.0</v>
      </c>
      <c r="J4000" s="2" t="n">
        <f>HYPERLINK("https://image-ppubs.uspto.gov/dirsearch-public/print/downloadPdf/8796423","USPTO PDF")</f>
        <v>0.0</v>
      </c>
      <c r="K4000" s="2" t="n">
        <f>HYPERLINK("https://sectors.patentforecast.com/pmd/US8796423","PMD")</f>
        <v>0.0</v>
      </c>
      <c r="L4000" s="2" t="n">
        <f>HYPERLINK("https://globaldossier.uspto.gov/result/patent/US/8796423/1","US8796423")</f>
        <v>0.0</v>
      </c>
      <c r="M4000" t="s">
        <v>22436</v>
      </c>
      <c r="N4000" t="s">
        <v>22410</v>
      </c>
      <c r="O4000" t="s">
        <v>22410</v>
      </c>
      <c r="P4000" t="s">
        <v>24848</v>
      </c>
      <c r="Q4000" s="3" t="n">
        <v>39556.0</v>
      </c>
      <c r="R4000" s="3" t="n">
        <v>41856.0</v>
      </c>
      <c r="S4000" s="3" t="n">
        <v>43966.48008075231</v>
      </c>
      <c r="T4000" s="3" t="n">
        <v>43985.69532324074</v>
      </c>
      <c r="U4000" t="s">
        <v>24849</v>
      </c>
      <c r="V4000" t="s">
        <v>22439</v>
      </c>
    </row>
    <row r="4001">
      <c r="A4001" t="s">
        <v>23557</v>
      </c>
      <c r="B4001" t="s">
        <v>24850</v>
      </c>
      <c r="C4001" t="s">
        <v>24</v>
      </c>
      <c r="D4001" t="s">
        <v>25</v>
      </c>
      <c r="E4001" t="s">
        <v>23080</v>
      </c>
      <c r="F4001" s="2" t="n">
        <f>HYPERLINK("https://patents.google.com/patent/US8795168","Google")</f>
        <v>0.0</v>
      </c>
      <c r="G4001" s="2" t="n">
        <f>HYPERLINK("https://patentcenter.uspto.gov/applications/10564493","Patent Center")</f>
        <v>0.0</v>
      </c>
      <c r="H4001" s="2" t="n">
        <f>HYPERLINK("https://worldwide.espacenet.com/patent/search?q=US8795168","Espacenet")</f>
        <v>0.0</v>
      </c>
      <c r="I4001" s="2" t="n">
        <f>HYPERLINK("https://ppubs.uspto.gov/pubwebapp/external.html?q=8795168.pn.","USPTO")</f>
        <v>0.0</v>
      </c>
      <c r="J4001" s="2" t="n">
        <f>HYPERLINK("https://image-ppubs.uspto.gov/dirsearch-public/print/downloadPdf/8795168","USPTO PDF")</f>
        <v>0.0</v>
      </c>
      <c r="K4001" s="2" t="n">
        <f>HYPERLINK("https://sectors.patentforecast.com/pmd/US8795168","PMD")</f>
        <v>0.0</v>
      </c>
      <c r="L4001" s="2" t="n">
        <f>HYPERLINK("https://globaldossier.uspto.gov/result/patent/US/8795168/1","US8795168")</f>
        <v>0.0</v>
      </c>
      <c r="M4001" t="s">
        <v>23081</v>
      </c>
      <c r="N4001" t="s">
        <v>23082</v>
      </c>
      <c r="O4001" t="s">
        <v>23083</v>
      </c>
      <c r="P4001" t="s">
        <v>24851</v>
      </c>
      <c r="Q4001" s="3" t="n">
        <v>37819.0</v>
      </c>
      <c r="R4001" s="3" t="n">
        <v>41856.0</v>
      </c>
      <c r="S4001" s="3" t="n">
        <v>43266.45735675926</v>
      </c>
      <c r="T4001" s="3" t="n">
        <v>43901.70557097222</v>
      </c>
      <c r="U4001" t="s">
        <v>24852</v>
      </c>
      <c r="V4001" t="s">
        <v>23086</v>
      </c>
    </row>
    <row r="4002">
      <c r="A4002" t="s">
        <v>23557</v>
      </c>
      <c r="B4002" t="s">
        <v>24853</v>
      </c>
      <c r="C4002" t="s">
        <v>312</v>
      </c>
      <c r="D4002" t="s">
        <v>715</v>
      </c>
      <c r="E4002" t="s">
        <v>24854</v>
      </c>
      <c r="F4002" s="2" t="n">
        <f>HYPERLINK("https://patents.google.com/patent/US8791815","Google")</f>
        <v>0.0</v>
      </c>
      <c r="G4002" s="2" t="n">
        <f>HYPERLINK("https://patentcenter.uspto.gov/applications/13870316","Patent Center")</f>
        <v>0.0</v>
      </c>
      <c r="H4002" s="2" t="n">
        <f>HYPERLINK("https://worldwide.espacenet.com/patent/search?q=US8791815","Espacenet")</f>
        <v>0.0</v>
      </c>
      <c r="I4002" s="2" t="n">
        <f>HYPERLINK("https://ppubs.uspto.gov/pubwebapp/external.html?q=8791815.pn.","USPTO")</f>
        <v>0.0</v>
      </c>
      <c r="J4002" s="2" t="n">
        <f>HYPERLINK("https://image-ppubs.uspto.gov/dirsearch-public/print/downloadPdf/8791815","USPTO PDF")</f>
        <v>0.0</v>
      </c>
      <c r="K4002" s="2" t="n">
        <f>HYPERLINK("https://sectors.patentforecast.com/pmd/US8791815","PMD")</f>
        <v>0.0</v>
      </c>
      <c r="L4002" s="2" t="n">
        <f>HYPERLINK("https://globaldossier.uspto.gov/result/patent/US/8791815/1","US8791815")</f>
        <v>0.0</v>
      </c>
      <c r="M4002" t="s">
        <v>21014</v>
      </c>
      <c r="N4002" t="s">
        <v>4975</v>
      </c>
      <c r="O4002" t="s">
        <v>4976</v>
      </c>
      <c r="P4002" t="s">
        <v>24855</v>
      </c>
      <c r="Q4002" s="3" t="n">
        <v>41389.0</v>
      </c>
      <c r="R4002" s="3" t="n">
        <v>41849.0</v>
      </c>
      <c r="S4002" s="3" t="n">
        <v>43266.45735675926</v>
      </c>
      <c r="T4002" s="3" t="n">
        <v>43328.45413824074</v>
      </c>
      <c r="U4002" t="s">
        <v>24856</v>
      </c>
      <c r="V4002" t="s">
        <v>21017</v>
      </c>
    </row>
    <row r="4003">
      <c r="A4003" t="s">
        <v>23557</v>
      </c>
      <c r="B4003" t="s">
        <v>24857</v>
      </c>
      <c r="C4003" t="s">
        <v>24</v>
      </c>
      <c r="D4003" t="s">
        <v>51</v>
      </c>
      <c r="E4003" t="s">
        <v>24858</v>
      </c>
      <c r="F4003" s="2" t="n">
        <f>HYPERLINK("https://patents.google.com/patent/US8785133","Google")</f>
        <v>0.0</v>
      </c>
      <c r="G4003" s="2" t="n">
        <f>HYPERLINK("https://patentcenter.uspto.gov/applications/13509535","Patent Center")</f>
        <v>0.0</v>
      </c>
      <c r="H4003" s="2" t="n">
        <f>HYPERLINK("https://worldwide.espacenet.com/patent/search?q=US8785133","Espacenet")</f>
        <v>0.0</v>
      </c>
      <c r="I4003" s="2" t="n">
        <f>HYPERLINK("https://ppubs.uspto.gov/pubwebapp/external.html?q=8785133.pn.","USPTO")</f>
        <v>0.0</v>
      </c>
      <c r="J4003" s="2" t="n">
        <f>HYPERLINK("https://image-ppubs.uspto.gov/dirsearch-public/print/downloadPdf/8785133","USPTO PDF")</f>
        <v>0.0</v>
      </c>
      <c r="K4003" s="2" t="n">
        <f>HYPERLINK("https://sectors.patentforecast.com/pmd/US8785133","PMD")</f>
        <v>0.0</v>
      </c>
      <c r="L4003" s="2" t="n">
        <f>HYPERLINK("https://globaldossier.uspto.gov/result/patent/US/8785133/1","US8785133")</f>
        <v>0.0</v>
      </c>
      <c r="M4003" t="s">
        <v>24859</v>
      </c>
      <c r="N4003" t="s">
        <v>24860</v>
      </c>
      <c r="O4003" t="s">
        <v>24861</v>
      </c>
      <c r="P4003" t="s">
        <v>24862</v>
      </c>
      <c r="Q4003" s="3" t="n">
        <v>40493.0</v>
      </c>
      <c r="R4003" s="3" t="n">
        <v>41842.0</v>
      </c>
      <c r="S4003" s="3" t="n">
        <v>43900.43738940972</v>
      </c>
      <c r="T4003" s="3" t="n">
        <v>43903.611932175925</v>
      </c>
      <c r="U4003" t="s">
        <v>24863</v>
      </c>
      <c r="V4003" t="s">
        <v>24864</v>
      </c>
    </row>
    <row r="4004">
      <c r="A4004" t="s">
        <v>23557</v>
      </c>
      <c r="B4004" t="s">
        <v>24865</v>
      </c>
      <c r="C4004" t="s">
        <v>60</v>
      </c>
      <c r="D4004" t="s">
        <v>61</v>
      </c>
      <c r="E4004" t="s">
        <v>24866</v>
      </c>
      <c r="F4004" s="2" t="n">
        <f>HYPERLINK("https://patents.google.com/patent/US8779141","Google")</f>
        <v>0.0</v>
      </c>
      <c r="G4004" s="2" t="n">
        <f>HYPERLINK("https://patentcenter.uspto.gov/applications/12468667","Patent Center")</f>
        <v>0.0</v>
      </c>
      <c r="H4004" s="2" t="n">
        <f>HYPERLINK("https://worldwide.espacenet.com/patent/search?q=US8779141","Espacenet")</f>
        <v>0.0</v>
      </c>
      <c r="I4004" s="2" t="n">
        <f>HYPERLINK("https://ppubs.uspto.gov/pubwebapp/external.html?q=8779141.pn.","USPTO")</f>
        <v>0.0</v>
      </c>
      <c r="J4004" s="2" t="n">
        <f>HYPERLINK("https://image-ppubs.uspto.gov/dirsearch-public/print/downloadPdf/8779141","USPTO PDF")</f>
        <v>0.0</v>
      </c>
      <c r="K4004" s="2" t="n">
        <f>HYPERLINK("https://sectors.patentforecast.com/pmd/US8779141","PMD")</f>
        <v>0.0</v>
      </c>
      <c r="L4004" s="2" t="n">
        <f>HYPERLINK("https://globaldossier.uspto.gov/result/patent/US/8779141/1","US8779141")</f>
        <v>0.0</v>
      </c>
      <c r="M4004" t="s">
        <v>24867</v>
      </c>
      <c r="N4004" t="s">
        <v>7862</v>
      </c>
      <c r="O4004" t="s">
        <v>7863</v>
      </c>
      <c r="P4004" t="s">
        <v>24868</v>
      </c>
      <c r="Q4004" s="3" t="n">
        <v>39952.0</v>
      </c>
      <c r="R4004" s="3" t="n">
        <v>41835.0</v>
      </c>
      <c r="S4004" s="3" t="n">
        <v>43952.45990869213</v>
      </c>
      <c r="T4004" s="3" t="n">
        <v>44638.65579662037</v>
      </c>
      <c r="U4004" t="s">
        <v>24869</v>
      </c>
      <c r="V4004" t="s">
        <v>24870</v>
      </c>
    </row>
    <row r="4005">
      <c r="A4005" t="s">
        <v>23557</v>
      </c>
      <c r="B4005" t="s">
        <v>24871</v>
      </c>
      <c r="C4005" t="s">
        <v>60</v>
      </c>
      <c r="D4005" t="s">
        <v>61</v>
      </c>
      <c r="E4005" t="s">
        <v>24872</v>
      </c>
      <c r="F4005" s="2" t="n">
        <f>HYPERLINK("https://patents.google.com/patent/US8765722","Google")</f>
        <v>0.0</v>
      </c>
      <c r="G4005" s="2" t="n">
        <f>HYPERLINK("https://patentcenter.uspto.gov/applications/13927355","Patent Center")</f>
        <v>0.0</v>
      </c>
      <c r="H4005" s="2" t="n">
        <f>HYPERLINK("https://worldwide.espacenet.com/patent/search?q=US8765722","Espacenet")</f>
        <v>0.0</v>
      </c>
      <c r="I4005" s="2" t="n">
        <f>HYPERLINK("https://ppubs.uspto.gov/pubwebapp/external.html?q=8765722.pn.","USPTO")</f>
        <v>0.0</v>
      </c>
      <c r="J4005" s="2" t="n">
        <f>HYPERLINK("https://image-ppubs.uspto.gov/dirsearch-public/print/downloadPdf/8765722","USPTO PDF")</f>
        <v>0.0</v>
      </c>
      <c r="K4005" s="2" t="n">
        <f>HYPERLINK("https://sectors.patentforecast.com/pmd/US8765722","PMD")</f>
        <v>0.0</v>
      </c>
      <c r="L4005" s="2" t="n">
        <f>HYPERLINK("https://globaldossier.uspto.gov/result/patent/US/8765722/1","US8765722")</f>
        <v>0.0</v>
      </c>
      <c r="M4005" t="s">
        <v>20986</v>
      </c>
      <c r="N4005" t="s">
        <v>664</v>
      </c>
      <c r="O4005" t="s">
        <v>665</v>
      </c>
      <c r="P4005" t="s">
        <v>24873</v>
      </c>
      <c r="Q4005" s="3" t="n">
        <v>41451.0</v>
      </c>
      <c r="R4005" s="3" t="n">
        <v>41821.0</v>
      </c>
      <c r="S4005" s="3" t="n">
        <v>43952.45990869213</v>
      </c>
      <c r="T4005" s="3" t="n">
        <v>44638.65643378472</v>
      </c>
      <c r="U4005" t="s">
        <v>24874</v>
      </c>
      <c r="V4005" t="s">
        <v>20989</v>
      </c>
    </row>
    <row r="4006">
      <c r="A4006" t="s">
        <v>23557</v>
      </c>
      <c r="B4006" t="s">
        <v>24875</v>
      </c>
      <c r="C4006" t="s">
        <v>60</v>
      </c>
      <c r="D4006" t="s">
        <v>61</v>
      </c>
      <c r="E4006" t="s">
        <v>24015</v>
      </c>
      <c r="F4006" s="2" t="n">
        <f>HYPERLINK("https://patents.google.com/patent/US8765710","Google")</f>
        <v>0.0</v>
      </c>
      <c r="G4006" s="2" t="n">
        <f>HYPERLINK("https://patentcenter.uspto.gov/applications/13324068","Patent Center")</f>
        <v>0.0</v>
      </c>
      <c r="H4006" s="2" t="n">
        <f>HYPERLINK("https://worldwide.espacenet.com/patent/search?q=US8765710","Espacenet")</f>
        <v>0.0</v>
      </c>
      <c r="I4006" s="2" t="n">
        <f>HYPERLINK("https://ppubs.uspto.gov/pubwebapp/external.html?q=8765710.pn.","USPTO")</f>
        <v>0.0</v>
      </c>
      <c r="J4006" s="2" t="n">
        <f>HYPERLINK("https://image-ppubs.uspto.gov/dirsearch-public/print/downloadPdf/8765710","USPTO PDF")</f>
        <v>0.0</v>
      </c>
      <c r="K4006" s="2" t="n">
        <f>HYPERLINK("https://sectors.patentforecast.com/pmd/US8765710","PMD")</f>
        <v>0.0</v>
      </c>
      <c r="L4006" s="2" t="n">
        <f>HYPERLINK("https://globaldossier.uspto.gov/result/patent/US/8765710/1","US8765710")</f>
        <v>0.0</v>
      </c>
      <c r="M4006" t="s">
        <v>24876</v>
      </c>
      <c r="N4006" t="s">
        <v>664</v>
      </c>
      <c r="O4006" t="s">
        <v>665</v>
      </c>
      <c r="P4006" t="s">
        <v>24425</v>
      </c>
      <c r="Q4006" s="3" t="n">
        <v>40890.0</v>
      </c>
      <c r="R4006" s="3" t="n">
        <v>41821.0</v>
      </c>
      <c r="S4006" s="3" t="n">
        <v>43952.45990869213</v>
      </c>
      <c r="T4006" s="3" t="n">
        <v>44638.65271974537</v>
      </c>
      <c r="U4006" t="s">
        <v>24877</v>
      </c>
      <c r="V4006" t="s">
        <v>19517</v>
      </c>
    </row>
    <row r="4007">
      <c r="A4007" t="s">
        <v>23557</v>
      </c>
      <c r="B4007" t="s">
        <v>24878</v>
      </c>
      <c r="C4007" t="s">
        <v>132</v>
      </c>
      <c r="D4007" t="s">
        <v>1265</v>
      </c>
      <c r="E4007" t="s">
        <v>23170</v>
      </c>
      <c r="F4007" s="2" t="n">
        <f>HYPERLINK("https://patents.google.com/patent/US8765136","Google")</f>
        <v>0.0</v>
      </c>
      <c r="G4007" s="2" t="n">
        <f>HYPERLINK("https://patentcenter.uspto.gov/applications/12769304","Patent Center")</f>
        <v>0.0</v>
      </c>
      <c r="H4007" s="2" t="n">
        <f>HYPERLINK("https://worldwide.espacenet.com/patent/search?q=US8765136","Espacenet")</f>
        <v>0.0</v>
      </c>
      <c r="I4007" s="2" t="n">
        <f>HYPERLINK("https://ppubs.uspto.gov/pubwebapp/external.html?q=8765136.pn.","USPTO")</f>
        <v>0.0</v>
      </c>
      <c r="J4007" s="2" t="n">
        <f>HYPERLINK("https://image-ppubs.uspto.gov/dirsearch-public/print/downloadPdf/8765136","USPTO PDF")</f>
        <v>0.0</v>
      </c>
      <c r="K4007" s="2" t="n">
        <f>HYPERLINK("https://sectors.patentforecast.com/pmd/US8765136","PMD")</f>
        <v>0.0</v>
      </c>
      <c r="L4007" s="2" t="n">
        <f>HYPERLINK("https://globaldossier.uspto.gov/result/patent/US/8765136/1","US8765136")</f>
        <v>0.0</v>
      </c>
      <c r="M4007" t="s">
        <v>21925</v>
      </c>
      <c r="N4007" t="s">
        <v>21123</v>
      </c>
      <c r="O4007" t="s">
        <v>21124</v>
      </c>
      <c r="P4007" t="s">
        <v>24879</v>
      </c>
      <c r="Q4007" s="3" t="n">
        <v>40296.0</v>
      </c>
      <c r="R4007" s="3" t="n">
        <v>41821.0</v>
      </c>
      <c r="S4007" s="3" t="n">
        <v>43900.43738940972</v>
      </c>
      <c r="T4007" s="3" t="n">
        <v>43901.705571053244</v>
      </c>
      <c r="U4007" t="s">
        <v>24880</v>
      </c>
      <c r="V4007" t="s">
        <v>21127</v>
      </c>
    </row>
    <row r="4008">
      <c r="A4008" t="s">
        <v>23557</v>
      </c>
      <c r="B4008" t="s">
        <v>24881</v>
      </c>
      <c r="C4008" t="s">
        <v>60</v>
      </c>
      <c r="D4008" t="s">
        <v>61</v>
      </c>
      <c r="E4008" t="s">
        <v>24276</v>
      </c>
      <c r="F4008" s="2" t="n">
        <f>HYPERLINK("https://patents.google.com/patent/US8759544","Google")</f>
        <v>0.0</v>
      </c>
      <c r="G4008" s="2" t="n">
        <f>HYPERLINK("https://patentcenter.uspto.gov/applications/13801039","Patent Center")</f>
        <v>0.0</v>
      </c>
      <c r="H4008" s="2" t="n">
        <f>HYPERLINK("https://worldwide.espacenet.com/patent/search?q=US8759544","Espacenet")</f>
        <v>0.0</v>
      </c>
      <c r="I4008" s="2" t="n">
        <f>HYPERLINK("https://ppubs.uspto.gov/pubwebapp/external.html?q=8759544.pn.","USPTO")</f>
        <v>0.0</v>
      </c>
      <c r="J4008" s="2" t="n">
        <f>HYPERLINK("https://image-ppubs.uspto.gov/dirsearch-public/print/downloadPdf/8759544","USPTO PDF")</f>
        <v>0.0</v>
      </c>
      <c r="K4008" s="2" t="n">
        <f>HYPERLINK("https://sectors.patentforecast.com/pmd/US8759544","PMD")</f>
        <v>0.0</v>
      </c>
      <c r="L4008" s="2" t="n">
        <f>HYPERLINK("https://globaldossier.uspto.gov/result/patent/US/8759544/1","US8759544")</f>
        <v>0.0</v>
      </c>
      <c r="M4008" t="s">
        <v>20853</v>
      </c>
      <c r="N4008" t="s">
        <v>664</v>
      </c>
      <c r="O4008" t="s">
        <v>665</v>
      </c>
      <c r="P4008" t="s">
        <v>24654</v>
      </c>
      <c r="Q4008" s="3" t="n">
        <v>41346.0</v>
      </c>
      <c r="R4008" s="3" t="n">
        <v>41814.0</v>
      </c>
      <c r="S4008" s="3" t="n">
        <v>43950.647372685184</v>
      </c>
      <c r="T4008" s="3" t="n">
        <v>44638.65271974537</v>
      </c>
      <c r="U4008" t="s">
        <v>24882</v>
      </c>
      <c r="V4008" t="s">
        <v>24656</v>
      </c>
    </row>
    <row r="4009">
      <c r="A4009" t="s">
        <v>23557</v>
      </c>
      <c r="B4009" t="s">
        <v>24883</v>
      </c>
      <c r="C4009" t="s">
        <v>132</v>
      </c>
      <c r="D4009" t="s">
        <v>142</v>
      </c>
      <c r="E4009" t="s">
        <v>24884</v>
      </c>
      <c r="F4009" s="2" t="n">
        <f>HYPERLINK("https://patents.google.com/patent/US8754062","Google")</f>
        <v>0.0</v>
      </c>
      <c r="G4009" s="2" t="n">
        <f>HYPERLINK("https://patentcenter.uspto.gov/applications/13898870","Patent Center")</f>
        <v>0.0</v>
      </c>
      <c r="H4009" s="2" t="n">
        <f>HYPERLINK("https://worldwide.espacenet.com/patent/search?q=US8754062","Espacenet")</f>
        <v>0.0</v>
      </c>
      <c r="I4009" s="2" t="n">
        <f>HYPERLINK("https://ppubs.uspto.gov/pubwebapp/external.html?q=8754062.pn.","USPTO")</f>
        <v>0.0</v>
      </c>
      <c r="J4009" s="2" t="n">
        <f>HYPERLINK("https://image-ppubs.uspto.gov/dirsearch-public/print/downloadPdf/8754062","USPTO PDF")</f>
        <v>0.0</v>
      </c>
      <c r="K4009" s="2" t="n">
        <f>HYPERLINK("https://sectors.patentforecast.com/pmd/US8754062","PMD")</f>
        <v>0.0</v>
      </c>
      <c r="L4009" s="2" t="n">
        <f>HYPERLINK("https://globaldossier.uspto.gov/result/patent/US/8754062/1","US8754062")</f>
        <v>0.0</v>
      </c>
      <c r="M4009" t="s">
        <v>21049</v>
      </c>
      <c r="N4009" t="s">
        <v>145</v>
      </c>
      <c r="O4009" t="s">
        <v>146</v>
      </c>
      <c r="P4009" t="s">
        <v>24885</v>
      </c>
      <c r="Q4009" s="3" t="n">
        <v>41415.0</v>
      </c>
      <c r="R4009" s="3" t="n">
        <v>41807.0</v>
      </c>
      <c r="S4009" s="3" t="n">
        <v>43909.45520884259</v>
      </c>
      <c r="T4009" s="3" t="n">
        <v>43991.50021680556</v>
      </c>
      <c r="U4009" t="s">
        <v>24886</v>
      </c>
      <c r="V4009" t="s">
        <v>21046</v>
      </c>
    </row>
    <row r="4010">
      <c r="A4010" t="s">
        <v>23557</v>
      </c>
      <c r="B4010" t="s">
        <v>24887</v>
      </c>
      <c r="C4010" t="s">
        <v>60</v>
      </c>
      <c r="D4010" t="s">
        <v>61</v>
      </c>
      <c r="E4010" t="s">
        <v>24888</v>
      </c>
      <c r="F4010" s="2" t="n">
        <f>HYPERLINK("https://patents.google.com/patent/US8747872","Google")</f>
        <v>0.0</v>
      </c>
      <c r="G4010" s="2" t="n">
        <f>HYPERLINK("https://patentcenter.uspto.gov/applications/12114573","Patent Center")</f>
        <v>0.0</v>
      </c>
      <c r="H4010" s="2" t="n">
        <f>HYPERLINK("https://worldwide.espacenet.com/patent/search?q=US8747872","Espacenet")</f>
        <v>0.0</v>
      </c>
      <c r="I4010" s="2" t="n">
        <f>HYPERLINK("https://ppubs.uspto.gov/pubwebapp/external.html?q=8747872.pn.","USPTO")</f>
        <v>0.0</v>
      </c>
      <c r="J4010" s="2" t="n">
        <f>HYPERLINK("https://image-ppubs.uspto.gov/dirsearch-public/print/downloadPdf/8747872","USPTO PDF")</f>
        <v>0.0</v>
      </c>
      <c r="K4010" s="2" t="n">
        <f>HYPERLINK("https://sectors.patentforecast.com/pmd/US8747872","PMD")</f>
        <v>0.0</v>
      </c>
      <c r="L4010" s="2" t="n">
        <f>HYPERLINK("https://globaldossier.uspto.gov/result/patent/US/8747872/1","US8747872")</f>
        <v>0.0</v>
      </c>
      <c r="M4010" t="s">
        <v>22576</v>
      </c>
      <c r="N4010" t="s">
        <v>8210</v>
      </c>
      <c r="O4010" t="s">
        <v>8211</v>
      </c>
      <c r="P4010" t="s">
        <v>24889</v>
      </c>
      <c r="Q4010" s="3" t="n">
        <v>39570.0</v>
      </c>
      <c r="R4010" s="3" t="n">
        <v>41800.0</v>
      </c>
      <c r="S4010" s="3" t="n">
        <v>43964.4624253588</v>
      </c>
      <c r="T4010" s="3" t="n">
        <v>43986.41766997685</v>
      </c>
      <c r="U4010" t="s">
        <v>24890</v>
      </c>
      <c r="V4010" t="s">
        <v>22579</v>
      </c>
    </row>
    <row r="4011">
      <c r="A4011" t="s">
        <v>23557</v>
      </c>
      <c r="B4011" t="s">
        <v>24891</v>
      </c>
      <c r="C4011" t="s">
        <v>60</v>
      </c>
      <c r="D4011" t="s">
        <v>61</v>
      </c>
      <c r="E4011" t="s">
        <v>24872</v>
      </c>
      <c r="F4011" s="2" t="n">
        <f>HYPERLINK("https://patents.google.com/patent/US8741946","Google")</f>
        <v>0.0</v>
      </c>
      <c r="G4011" s="2" t="n">
        <f>HYPERLINK("https://patentcenter.uspto.gov/applications/13549130","Patent Center")</f>
        <v>0.0</v>
      </c>
      <c r="H4011" s="2" t="n">
        <f>HYPERLINK("https://worldwide.espacenet.com/patent/search?q=US8741946","Espacenet")</f>
        <v>0.0</v>
      </c>
      <c r="I4011" s="2" t="n">
        <f>HYPERLINK("https://ppubs.uspto.gov/pubwebapp/external.html?q=8741946.pn.","USPTO")</f>
        <v>0.0</v>
      </c>
      <c r="J4011" s="2" t="n">
        <f>HYPERLINK("https://image-ppubs.uspto.gov/dirsearch-public/print/downloadPdf/8741946","USPTO PDF")</f>
        <v>0.0</v>
      </c>
      <c r="K4011" s="2" t="n">
        <f>HYPERLINK("https://sectors.patentforecast.com/pmd/US8741946","PMD")</f>
        <v>0.0</v>
      </c>
      <c r="L4011" s="2" t="n">
        <f>HYPERLINK("https://globaldossier.uspto.gov/result/patent/US/8741946/1","US8741946")</f>
        <v>0.0</v>
      </c>
      <c r="M4011" t="s">
        <v>21282</v>
      </c>
      <c r="N4011" t="s">
        <v>664</v>
      </c>
      <c r="O4011" t="s">
        <v>665</v>
      </c>
      <c r="P4011" t="s">
        <v>24892</v>
      </c>
      <c r="Q4011" s="3" t="n">
        <v>41103.0</v>
      </c>
      <c r="R4011" s="3" t="n">
        <v>41793.0</v>
      </c>
      <c r="S4011" s="3" t="n">
        <v>43952.45990869213</v>
      </c>
      <c r="T4011" s="3" t="n">
        <v>44638.65643378472</v>
      </c>
      <c r="U4011" t="s">
        <v>24893</v>
      </c>
      <c r="V4011" t="s">
        <v>24894</v>
      </c>
    </row>
    <row r="4012">
      <c r="A4012" t="s">
        <v>23557</v>
      </c>
      <c r="B4012" t="s">
        <v>24895</v>
      </c>
      <c r="C4012" t="s">
        <v>60</v>
      </c>
      <c r="D4012" t="s">
        <v>845</v>
      </c>
      <c r="E4012" t="s">
        <v>24896</v>
      </c>
      <c r="F4012" s="2" t="n">
        <f>HYPERLINK("https://patents.google.com/patent/US8740790","Google")</f>
        <v>0.0</v>
      </c>
      <c r="G4012" s="2" t="n">
        <f>HYPERLINK("https://patentcenter.uspto.gov/applications/11927630","Patent Center")</f>
        <v>0.0</v>
      </c>
      <c r="H4012" s="2" t="n">
        <f>HYPERLINK("https://worldwide.espacenet.com/patent/search?q=US8740790","Espacenet")</f>
        <v>0.0</v>
      </c>
      <c r="I4012" s="2" t="n">
        <f>HYPERLINK("https://ppubs.uspto.gov/pubwebapp/external.html?q=8740790.pn.","USPTO")</f>
        <v>0.0</v>
      </c>
      <c r="J4012" s="2" t="n">
        <f>HYPERLINK("https://image-ppubs.uspto.gov/dirsearch-public/print/downloadPdf/8740790","USPTO PDF")</f>
        <v>0.0</v>
      </c>
      <c r="K4012" s="2" t="n">
        <f>HYPERLINK("https://sectors.patentforecast.com/pmd/US8740790","PMD")</f>
        <v>0.0</v>
      </c>
      <c r="L4012" s="2" t="n">
        <f>HYPERLINK("https://globaldossier.uspto.gov/result/patent/US/8740790/1","US8740790")</f>
        <v>0.0</v>
      </c>
      <c r="M4012" t="s">
        <v>22841</v>
      </c>
      <c r="N4012" t="s">
        <v>22835</v>
      </c>
      <c r="O4012" t="s">
        <v>22836</v>
      </c>
      <c r="P4012" t="s">
        <v>24897</v>
      </c>
      <c r="Q4012" s="3" t="n">
        <v>39384.0</v>
      </c>
      <c r="R4012" s="3" t="n">
        <v>41793.0</v>
      </c>
      <c r="S4012" s="3" t="n">
        <v>43906.37298818287</v>
      </c>
      <c r="T4012" s="3" t="n">
        <v>44643.42310893519</v>
      </c>
      <c r="U4012" t="s">
        <v>24898</v>
      </c>
      <c r="V4012" t="s">
        <v>22839</v>
      </c>
    </row>
    <row r="4013">
      <c r="A4013" t="s">
        <v>23557</v>
      </c>
      <c r="B4013" t="s">
        <v>24899</v>
      </c>
      <c r="C4013" t="s">
        <v>312</v>
      </c>
      <c r="D4013" t="s">
        <v>313</v>
      </c>
      <c r="E4013" t="s">
        <v>24900</v>
      </c>
      <c r="F4013" s="2" t="n">
        <f>HYPERLINK("https://patents.google.com/patent/US8740789","Google")</f>
        <v>0.0</v>
      </c>
      <c r="G4013" s="2" t="n">
        <f>HYPERLINK("https://patentcenter.uspto.gov/applications/11071646","Patent Center")</f>
        <v>0.0</v>
      </c>
      <c r="H4013" s="2" t="n">
        <f>HYPERLINK("https://worldwide.espacenet.com/patent/search?q=US8740789","Espacenet")</f>
        <v>0.0</v>
      </c>
      <c r="I4013" s="2" t="n">
        <f>HYPERLINK("https://ppubs.uspto.gov/pubwebapp/external.html?q=8740789.pn.","USPTO")</f>
        <v>0.0</v>
      </c>
      <c r="J4013" s="2" t="n">
        <f>HYPERLINK("https://image-ppubs.uspto.gov/dirsearch-public/print/downloadPdf/8740789","USPTO PDF")</f>
        <v>0.0</v>
      </c>
      <c r="K4013" s="2" t="n">
        <f>HYPERLINK("https://sectors.patentforecast.com/pmd/US8740789","PMD")</f>
        <v>0.0</v>
      </c>
      <c r="L4013" s="2" t="n">
        <f>HYPERLINK("https://globaldossier.uspto.gov/result/patent/US/8740789/1","US8740789")</f>
        <v>0.0</v>
      </c>
      <c r="M4013" t="s">
        <v>24901</v>
      </c>
      <c r="N4013" t="s">
        <v>4975</v>
      </c>
      <c r="O4013" t="s">
        <v>4976</v>
      </c>
      <c r="P4013" t="s">
        <v>24902</v>
      </c>
      <c r="Q4013" s="3" t="n">
        <v>38414.0</v>
      </c>
      <c r="R4013" s="3" t="n">
        <v>41793.0</v>
      </c>
      <c r="S4013" s="3" t="n">
        <v>44019.23259421296</v>
      </c>
      <c r="T4013" s="3" t="n">
        <v>44019.36345784722</v>
      </c>
      <c r="U4013" t="s">
        <v>24903</v>
      </c>
      <c r="V4013" t="s">
        <v>24904</v>
      </c>
    </row>
    <row r="4014">
      <c r="A4014" t="s">
        <v>23557</v>
      </c>
      <c r="B4014" t="s">
        <v>24905</v>
      </c>
      <c r="C4014" t="s">
        <v>24</v>
      </c>
      <c r="D4014" t="s">
        <v>43</v>
      </c>
      <c r="E4014" t="s">
        <v>24906</v>
      </c>
      <c r="F4014" s="2" t="n">
        <f>HYPERLINK("https://patents.google.com/patent/US8731828","Google")</f>
        <v>0.0</v>
      </c>
      <c r="G4014" s="2" t="n">
        <f>HYPERLINK("https://patentcenter.uspto.gov/applications/13390861","Patent Center")</f>
        <v>0.0</v>
      </c>
      <c r="H4014" s="2" t="n">
        <f>HYPERLINK("https://worldwide.espacenet.com/patent/search?q=US8731828","Espacenet")</f>
        <v>0.0</v>
      </c>
      <c r="I4014" s="2" t="n">
        <f>HYPERLINK("https://ppubs.uspto.gov/pubwebapp/external.html?q=8731828.pn.","USPTO")</f>
        <v>0.0</v>
      </c>
      <c r="J4014" s="2" t="n">
        <f>HYPERLINK("https://image-ppubs.uspto.gov/dirsearch-public/print/downloadPdf/8731828","USPTO PDF")</f>
        <v>0.0</v>
      </c>
      <c r="K4014" s="2" t="n">
        <f>HYPERLINK("https://sectors.patentforecast.com/pmd/US8731828","PMD")</f>
        <v>0.0</v>
      </c>
      <c r="L4014" s="2" t="n">
        <f>HYPERLINK("https://globaldossier.uspto.gov/result/patent/US/8731828/1","US8731828")</f>
        <v>0.0</v>
      </c>
      <c r="M4014" t="s">
        <v>21508</v>
      </c>
      <c r="N4014" t="s">
        <v>2944</v>
      </c>
      <c r="O4014" t="s">
        <v>2945</v>
      </c>
      <c r="P4014" t="s">
        <v>24907</v>
      </c>
      <c r="Q4014" s="3" t="n">
        <v>40060.0</v>
      </c>
      <c r="R4014" s="3" t="n">
        <v>41779.0</v>
      </c>
      <c r="S4014" s="3" t="n">
        <v>43266.457356747684</v>
      </c>
      <c r="T4014" s="3" t="n">
        <v>43901.70557060185</v>
      </c>
      <c r="U4014" t="s">
        <v>24908</v>
      </c>
      <c r="V4014" t="s">
        <v>21511</v>
      </c>
    </row>
    <row r="4015">
      <c r="A4015" t="s">
        <v>23557</v>
      </c>
      <c r="B4015" t="s">
        <v>24909</v>
      </c>
      <c r="C4015" t="s">
        <v>60</v>
      </c>
      <c r="D4015" t="s">
        <v>61</v>
      </c>
      <c r="E4015" t="s">
        <v>24910</v>
      </c>
      <c r="F4015" s="2" t="n">
        <f>HYPERLINK("https://patents.google.com/patent/US8729089","Google")</f>
        <v>0.0</v>
      </c>
      <c r="G4015" s="2" t="n">
        <f>HYPERLINK("https://patentcenter.uspto.gov/applications/11963723","Patent Center")</f>
        <v>0.0</v>
      </c>
      <c r="H4015" s="2" t="n">
        <f>HYPERLINK("https://worldwide.espacenet.com/patent/search?q=US8729089","Espacenet")</f>
        <v>0.0</v>
      </c>
      <c r="I4015" s="2" t="n">
        <f>HYPERLINK("https://ppubs.uspto.gov/pubwebapp/external.html?q=8729089.pn.","USPTO")</f>
        <v>0.0</v>
      </c>
      <c r="J4015" s="2" t="n">
        <f>HYPERLINK("https://image-ppubs.uspto.gov/dirsearch-public/print/downloadPdf/8729089","USPTO PDF")</f>
        <v>0.0</v>
      </c>
      <c r="K4015" s="2" t="n">
        <f>HYPERLINK("https://sectors.patentforecast.com/pmd/US8729089","PMD")</f>
        <v>0.0</v>
      </c>
      <c r="L4015" s="2" t="n">
        <f>HYPERLINK("https://globaldossier.uspto.gov/result/patent/US/8729089/1","US8729089")</f>
        <v>0.0</v>
      </c>
      <c r="M4015" t="s">
        <v>22737</v>
      </c>
      <c r="N4015" t="s">
        <v>664</v>
      </c>
      <c r="O4015" t="s">
        <v>665</v>
      </c>
      <c r="P4015" t="s">
        <v>24911</v>
      </c>
      <c r="Q4015" s="3" t="n">
        <v>39437.0</v>
      </c>
      <c r="R4015" s="3" t="n">
        <v>41779.0</v>
      </c>
      <c r="S4015" s="3" t="n">
        <v>43952.45990869213</v>
      </c>
      <c r="T4015" s="3" t="n">
        <v>44638.65579662037</v>
      </c>
      <c r="U4015" t="s">
        <v>24912</v>
      </c>
      <c r="V4015" t="s">
        <v>24913</v>
      </c>
    </row>
    <row r="4016">
      <c r="A4016" t="s">
        <v>23557</v>
      </c>
      <c r="B4016" t="s">
        <v>24914</v>
      </c>
      <c r="C4016" t="s">
        <v>132</v>
      </c>
      <c r="D4016" t="s">
        <v>11423</v>
      </c>
      <c r="E4016" t="s">
        <v>24915</v>
      </c>
      <c r="F4016" s="2" t="n">
        <f>HYPERLINK("https://patents.google.com/patent/US8725251","Google")</f>
        <v>0.0</v>
      </c>
      <c r="G4016" s="2" t="n">
        <f>HYPERLINK("https://patentcenter.uspto.gov/applications/13741168","Patent Center")</f>
        <v>0.0</v>
      </c>
      <c r="H4016" s="2" t="n">
        <f>HYPERLINK("https://worldwide.espacenet.com/patent/search?q=US8725251","Espacenet")</f>
        <v>0.0</v>
      </c>
      <c r="I4016" s="2" t="n">
        <f>HYPERLINK("https://ppubs.uspto.gov/pubwebapp/external.html?q=8725251.pn.","USPTO")</f>
        <v>0.0</v>
      </c>
      <c r="J4016" s="2" t="n">
        <f>HYPERLINK("https://image-ppubs.uspto.gov/dirsearch-public/print/downloadPdf/8725251","USPTO PDF")</f>
        <v>0.0</v>
      </c>
      <c r="K4016" s="2" t="n">
        <f>HYPERLINK("https://sectors.patentforecast.com/pmd/US8725251","PMD")</f>
        <v>0.0</v>
      </c>
      <c r="L4016" s="2" t="n">
        <f>HYPERLINK("https://globaldossier.uspto.gov/result/patent/US/8725251/1","US8725251")</f>
        <v>0.0</v>
      </c>
      <c r="M4016" t="s">
        <v>24916</v>
      </c>
      <c r="N4016" t="s">
        <v>24917</v>
      </c>
      <c r="O4016" t="s">
        <v>24918</v>
      </c>
      <c r="P4016" t="s">
        <v>24919</v>
      </c>
      <c r="Q4016" s="3" t="n">
        <v>41288.0</v>
      </c>
      <c r="R4016" s="3" t="n">
        <v>41772.0</v>
      </c>
      <c r="S4016" s="3" t="n">
        <v>43964.4624253588</v>
      </c>
      <c r="T4016" s="3" t="n">
        <v>43985.49747769676</v>
      </c>
      <c r="U4016" t="s">
        <v>24920</v>
      </c>
      <c r="V4016" t="s">
        <v>24921</v>
      </c>
    </row>
    <row r="4017">
      <c r="A4017" t="s">
        <v>23557</v>
      </c>
      <c r="B4017" t="s">
        <v>24922</v>
      </c>
      <c r="C4017" t="s">
        <v>60</v>
      </c>
      <c r="D4017" t="s">
        <v>61</v>
      </c>
      <c r="E4017" t="s">
        <v>24866</v>
      </c>
      <c r="F4017" s="2" t="n">
        <f>HYPERLINK("https://patents.google.com/patent/US8722677","Google")</f>
        <v>0.0</v>
      </c>
      <c r="G4017" s="2" t="n">
        <f>HYPERLINK("https://patentcenter.uspto.gov/applications/13530612","Patent Center")</f>
        <v>0.0</v>
      </c>
      <c r="H4017" s="2" t="n">
        <f>HYPERLINK("https://worldwide.espacenet.com/patent/search?q=US8722677","Espacenet")</f>
        <v>0.0</v>
      </c>
      <c r="I4017" s="2" t="n">
        <f>HYPERLINK("https://ppubs.uspto.gov/pubwebapp/external.html?q=8722677.pn.","USPTO")</f>
        <v>0.0</v>
      </c>
      <c r="J4017" s="2" t="n">
        <f>HYPERLINK("https://image-ppubs.uspto.gov/dirsearch-public/print/downloadPdf/8722677","USPTO PDF")</f>
        <v>0.0</v>
      </c>
      <c r="K4017" s="2" t="n">
        <f>HYPERLINK("https://sectors.patentforecast.com/pmd/US8722677","PMD")</f>
        <v>0.0</v>
      </c>
      <c r="L4017" s="2" t="n">
        <f>HYPERLINK("https://globaldossier.uspto.gov/result/patent/US/8722677/1","US8722677")</f>
        <v>0.0</v>
      </c>
      <c r="M4017" t="s">
        <v>24923</v>
      </c>
      <c r="N4017" t="s">
        <v>20636</v>
      </c>
      <c r="O4017" t="s">
        <v>20637</v>
      </c>
      <c r="P4017" t="s">
        <v>24924</v>
      </c>
      <c r="Q4017" s="3" t="n">
        <v>41082.0</v>
      </c>
      <c r="R4017" s="3" t="n">
        <v>41772.0</v>
      </c>
      <c r="S4017" s="3" t="n">
        <v>43952.45990869213</v>
      </c>
      <c r="T4017" s="3" t="n">
        <v>44638.65579662037</v>
      </c>
      <c r="U4017" t="s">
        <v>24925</v>
      </c>
      <c r="V4017" t="s">
        <v>24926</v>
      </c>
    </row>
    <row r="4018">
      <c r="A4018" t="s">
        <v>23557</v>
      </c>
      <c r="B4018" t="s">
        <v>24927</v>
      </c>
      <c r="C4018" t="s">
        <v>60</v>
      </c>
      <c r="D4018" t="s">
        <v>61</v>
      </c>
      <c r="E4018" t="s">
        <v>23292</v>
      </c>
      <c r="F4018" s="2" t="n">
        <f>HYPERLINK("https://patents.google.com/patent/US8716264","Google")</f>
        <v>0.0</v>
      </c>
      <c r="G4018" s="2" t="n">
        <f>HYPERLINK("https://patentcenter.uspto.gov/applications/12204174","Patent Center")</f>
        <v>0.0</v>
      </c>
      <c r="H4018" s="2" t="n">
        <f>HYPERLINK("https://worldwide.espacenet.com/patent/search?q=US8716264","Espacenet")</f>
        <v>0.0</v>
      </c>
      <c r="I4018" s="2" t="n">
        <f>HYPERLINK("https://ppubs.uspto.gov/pubwebapp/external.html?q=8716264.pn.","USPTO")</f>
        <v>0.0</v>
      </c>
      <c r="J4018" s="2" t="n">
        <f>HYPERLINK("https://image-ppubs.uspto.gov/dirsearch-public/print/downloadPdf/8716264","USPTO PDF")</f>
        <v>0.0</v>
      </c>
      <c r="K4018" s="2" t="n">
        <f>HYPERLINK("https://sectors.patentforecast.com/pmd/US8716264","PMD")</f>
        <v>0.0</v>
      </c>
      <c r="L4018" s="2" t="n">
        <f>HYPERLINK("https://globaldossier.uspto.gov/result/patent/US/8716264/1","US8716264")</f>
        <v>0.0</v>
      </c>
      <c r="M4018" t="s">
        <v>22538</v>
      </c>
      <c r="N4018" t="s">
        <v>664</v>
      </c>
      <c r="O4018" t="s">
        <v>665</v>
      </c>
      <c r="P4018" t="s">
        <v>23954</v>
      </c>
      <c r="Q4018" s="3" t="n">
        <v>39695.0</v>
      </c>
      <c r="R4018" s="3" t="n">
        <v>41765.0</v>
      </c>
      <c r="S4018" s="3" t="n">
        <v>43952.45990869213</v>
      </c>
      <c r="T4018" s="3" t="n">
        <v>44638.65271974537</v>
      </c>
      <c r="U4018" t="s">
        <v>24928</v>
      </c>
      <c r="V4018" t="s">
        <v>20355</v>
      </c>
    </row>
    <row r="4019">
      <c r="A4019" t="s">
        <v>23557</v>
      </c>
      <c r="B4019" t="s">
        <v>24929</v>
      </c>
      <c r="C4019" t="s">
        <v>132</v>
      </c>
      <c r="D4019" t="s">
        <v>2629</v>
      </c>
      <c r="E4019" t="s">
        <v>23964</v>
      </c>
      <c r="F4019" s="2" t="n">
        <f>HYPERLINK("https://patents.google.com/patent/US8715692","Google")</f>
        <v>0.0</v>
      </c>
      <c r="G4019" s="2" t="n">
        <f>HYPERLINK("https://patentcenter.uspto.gov/applications/12633995","Patent Center")</f>
        <v>0.0</v>
      </c>
      <c r="H4019" s="2" t="n">
        <f>HYPERLINK("https://worldwide.espacenet.com/patent/search?q=US8715692","Espacenet")</f>
        <v>0.0</v>
      </c>
      <c r="I4019" s="2" t="n">
        <f>HYPERLINK("https://ppubs.uspto.gov/pubwebapp/external.html?q=8715692.pn.","USPTO")</f>
        <v>0.0</v>
      </c>
      <c r="J4019" s="2" t="n">
        <f>HYPERLINK("https://image-ppubs.uspto.gov/dirsearch-public/print/downloadPdf/8715692","USPTO PDF")</f>
        <v>0.0</v>
      </c>
      <c r="K4019" s="2" t="n">
        <f>HYPERLINK("https://sectors.patentforecast.com/pmd/US8715692","PMD")</f>
        <v>0.0</v>
      </c>
      <c r="L4019" s="2" t="n">
        <f>HYPERLINK("https://globaldossier.uspto.gov/result/patent/US/8715692/1","US8715692")</f>
        <v>0.0</v>
      </c>
      <c r="M4019" t="s">
        <v>24930</v>
      </c>
      <c r="N4019" t="s">
        <v>1275</v>
      </c>
      <c r="O4019" t="s">
        <v>1275</v>
      </c>
      <c r="P4019" t="s">
        <v>24931</v>
      </c>
      <c r="Q4019" s="3" t="n">
        <v>40156.0</v>
      </c>
      <c r="R4019" s="3" t="n">
        <v>41765.0</v>
      </c>
      <c r="S4019" s="3" t="n">
        <v>43966.47973778935</v>
      </c>
      <c r="T4019" s="3" t="n">
        <v>44020.62389086805</v>
      </c>
      <c r="U4019" t="s">
        <v>24932</v>
      </c>
      <c r="V4019" t="s">
        <v>17136</v>
      </c>
    </row>
    <row r="4020">
      <c r="A4020" t="s">
        <v>23557</v>
      </c>
      <c r="B4020" t="s">
        <v>24933</v>
      </c>
      <c r="C4020" t="s">
        <v>132</v>
      </c>
      <c r="D4020" t="s">
        <v>142</v>
      </c>
      <c r="E4020" t="s">
        <v>24934</v>
      </c>
      <c r="F4020" s="2" t="n">
        <f>HYPERLINK("https://patents.google.com/patent/US8715640","Google")</f>
        <v>0.0</v>
      </c>
      <c r="G4020" s="2" t="n">
        <f>HYPERLINK("https://patentcenter.uspto.gov/applications/12688689","Patent Center")</f>
        <v>0.0</v>
      </c>
      <c r="H4020" s="2" t="n">
        <f>HYPERLINK("https://worldwide.espacenet.com/patent/search?q=US8715640","Espacenet")</f>
        <v>0.0</v>
      </c>
      <c r="I4020" s="2" t="n">
        <f>HYPERLINK("https://ppubs.uspto.gov/pubwebapp/external.html?q=8715640.pn.","USPTO")</f>
        <v>0.0</v>
      </c>
      <c r="J4020" s="2" t="n">
        <f>HYPERLINK("https://image-ppubs.uspto.gov/dirsearch-public/print/downloadPdf/8715640","USPTO PDF")</f>
        <v>0.0</v>
      </c>
      <c r="K4020" s="2" t="n">
        <f>HYPERLINK("https://sectors.patentforecast.com/pmd/US8715640","PMD")</f>
        <v>0.0</v>
      </c>
      <c r="L4020" s="2" t="n">
        <f>HYPERLINK("https://globaldossier.uspto.gov/result/patent/US/8715640/1","US8715640")</f>
        <v>0.0</v>
      </c>
      <c r="M4020" t="s">
        <v>24935</v>
      </c>
      <c r="N4020" t="s">
        <v>5190</v>
      </c>
      <c r="O4020" t="s">
        <v>5191</v>
      </c>
      <c r="P4020" t="s">
        <v>24936</v>
      </c>
      <c r="Q4020" s="3" t="n">
        <v>40193.0</v>
      </c>
      <c r="R4020" s="3" t="n">
        <v>41765.0</v>
      </c>
      <c r="S4020" s="3" t="n">
        <v>43943.461410625</v>
      </c>
      <c r="T4020" s="3" t="n">
        <v>43985.42064643519</v>
      </c>
      <c r="U4020" t="s">
        <v>24937</v>
      </c>
      <c r="V4020" t="s">
        <v>18395</v>
      </c>
    </row>
    <row r="4021">
      <c r="A4021" t="s">
        <v>23557</v>
      </c>
      <c r="B4021" t="s">
        <v>24938</v>
      </c>
      <c r="C4021" t="s">
        <v>60</v>
      </c>
      <c r="D4021" t="s">
        <v>715</v>
      </c>
      <c r="E4021" t="s">
        <v>24721</v>
      </c>
      <c r="F4021" s="2" t="n">
        <f>HYPERLINK("https://patents.google.com/patent/US8714156","Google")</f>
        <v>0.0</v>
      </c>
      <c r="G4021" s="2" t="n">
        <f>HYPERLINK("https://patentcenter.uspto.gov/applications/11871341","Patent Center")</f>
        <v>0.0</v>
      </c>
      <c r="H4021" s="2" t="n">
        <f>HYPERLINK("https://worldwide.espacenet.com/patent/search?q=US8714156","Espacenet")</f>
        <v>0.0</v>
      </c>
      <c r="I4021" s="2" t="n">
        <f>HYPERLINK("https://ppubs.uspto.gov/pubwebapp/external.html?q=8714156.pn.","USPTO")</f>
        <v>0.0</v>
      </c>
      <c r="J4021" s="2" t="n">
        <f>HYPERLINK("https://image-ppubs.uspto.gov/dirsearch-public/print/downloadPdf/8714156","USPTO PDF")</f>
        <v>0.0</v>
      </c>
      <c r="K4021" s="2" t="n">
        <f>HYPERLINK("https://sectors.patentforecast.com/pmd/US8714156","PMD")</f>
        <v>0.0</v>
      </c>
      <c r="L4021" s="2" t="n">
        <f>HYPERLINK("https://globaldossier.uspto.gov/result/patent/US/8714156/1","US8714156")</f>
        <v>0.0</v>
      </c>
      <c r="M4021" t="s">
        <v>22771</v>
      </c>
      <c r="N4021" t="s">
        <v>21973</v>
      </c>
      <c r="O4021" t="s">
        <v>21974</v>
      </c>
      <c r="P4021" t="s">
        <v>24939</v>
      </c>
      <c r="Q4021" s="3" t="n">
        <v>39367.0</v>
      </c>
      <c r="R4021" s="3" t="n">
        <v>41765.0</v>
      </c>
      <c r="S4021" s="3" t="n">
        <v>43900.43738940972</v>
      </c>
      <c r="T4021" s="3" t="n">
        <v>43901.70557104167</v>
      </c>
      <c r="U4021" t="s">
        <v>24940</v>
      </c>
      <c r="V4021" t="s">
        <v>22774</v>
      </c>
    </row>
    <row r="4022">
      <c r="A4022" t="s">
        <v>23557</v>
      </c>
      <c r="B4022" t="s">
        <v>24941</v>
      </c>
      <c r="C4022" t="s">
        <v>24</v>
      </c>
      <c r="D4022" t="s">
        <v>25</v>
      </c>
      <c r="E4022" t="s">
        <v>24942</v>
      </c>
      <c r="F4022" s="2" t="n">
        <f>HYPERLINK("https://patents.google.com/patent/US8712020","Google")</f>
        <v>0.0</v>
      </c>
      <c r="G4022" s="2" t="n">
        <f>HYPERLINK("https://patentcenter.uspto.gov/applications/13605501","Patent Center")</f>
        <v>0.0</v>
      </c>
      <c r="H4022" s="2" t="n">
        <f>HYPERLINK("https://worldwide.espacenet.com/patent/search?q=US8712020","Espacenet")</f>
        <v>0.0</v>
      </c>
      <c r="I4022" s="2" t="n">
        <f>HYPERLINK("https://ppubs.uspto.gov/pubwebapp/external.html?q=8712020.pn.","USPTO")</f>
        <v>0.0</v>
      </c>
      <c r="J4022" s="2" t="n">
        <f>HYPERLINK("https://image-ppubs.uspto.gov/dirsearch-public/print/downloadPdf/8712020","USPTO PDF")</f>
        <v>0.0</v>
      </c>
      <c r="K4022" s="2" t="n">
        <f>HYPERLINK("https://sectors.patentforecast.com/pmd/US8712020","PMD")</f>
        <v>0.0</v>
      </c>
      <c r="L4022" s="2" t="n">
        <f>HYPERLINK("https://globaldossier.uspto.gov/result/patent/US/8712020/1","US8712020")</f>
        <v>0.0</v>
      </c>
      <c r="M4022" t="s">
        <v>20832</v>
      </c>
      <c r="N4022" t="s">
        <v>20833</v>
      </c>
      <c r="O4022" t="s">
        <v>20834</v>
      </c>
      <c r="P4022" t="s">
        <v>24943</v>
      </c>
      <c r="Q4022" s="3" t="n">
        <v>41158.0</v>
      </c>
      <c r="R4022" s="3" t="n">
        <v>41758.0</v>
      </c>
      <c r="S4022" s="3" t="n">
        <v>43266.457356747684</v>
      </c>
      <c r="T4022" s="3" t="n">
        <v>44643.65445423611</v>
      </c>
      <c r="U4022" t="s">
        <v>24944</v>
      </c>
      <c r="V4022" t="s">
        <v>20837</v>
      </c>
    </row>
    <row r="4023">
      <c r="A4023" t="s">
        <v>23557</v>
      </c>
      <c r="B4023" t="s">
        <v>24945</v>
      </c>
      <c r="C4023" t="s">
        <v>60</v>
      </c>
      <c r="D4023" t="s">
        <v>61</v>
      </c>
      <c r="E4023" t="s">
        <v>24795</v>
      </c>
      <c r="F4023" s="2" t="n">
        <f>HYPERLINK("https://patents.google.com/patent/US8710230","Google")</f>
        <v>0.0</v>
      </c>
      <c r="G4023" s="2" t="n">
        <f>HYPERLINK("https://patentcenter.uspto.gov/applications/13683761","Patent Center")</f>
        <v>0.0</v>
      </c>
      <c r="H4023" s="2" t="n">
        <f>HYPERLINK("https://worldwide.espacenet.com/patent/search?q=US8710230","Espacenet")</f>
        <v>0.0</v>
      </c>
      <c r="I4023" s="2" t="n">
        <f>HYPERLINK("https://ppubs.uspto.gov/pubwebapp/external.html?q=8710230.pn.","USPTO")</f>
        <v>0.0</v>
      </c>
      <c r="J4023" s="2" t="n">
        <f>HYPERLINK("https://image-ppubs.uspto.gov/dirsearch-public/print/downloadPdf/8710230","USPTO PDF")</f>
        <v>0.0</v>
      </c>
      <c r="K4023" s="2" t="n">
        <f>HYPERLINK("https://sectors.patentforecast.com/pmd/US8710230","PMD")</f>
        <v>0.0</v>
      </c>
      <c r="L4023" s="2" t="n">
        <f>HYPERLINK("https://globaldossier.uspto.gov/result/patent/US/8710230/1","US8710230")</f>
        <v>0.0</v>
      </c>
      <c r="M4023" t="s">
        <v>21111</v>
      </c>
      <c r="N4023" t="s">
        <v>664</v>
      </c>
      <c r="O4023" t="s">
        <v>665</v>
      </c>
      <c r="P4023" t="s">
        <v>24946</v>
      </c>
      <c r="Q4023" s="3" t="n">
        <v>41234.0</v>
      </c>
      <c r="R4023" s="3" t="n">
        <v>41758.0</v>
      </c>
      <c r="S4023" s="3" t="n">
        <v>43952.45990869213</v>
      </c>
      <c r="T4023" s="3" t="n">
        <v>44638.65643378472</v>
      </c>
      <c r="U4023" t="s">
        <v>24947</v>
      </c>
      <c r="V4023" t="s">
        <v>24948</v>
      </c>
    </row>
    <row r="4024">
      <c r="A4024" t="s">
        <v>23557</v>
      </c>
      <c r="B4024" t="s">
        <v>24949</v>
      </c>
      <c r="C4024" t="s">
        <v>24</v>
      </c>
      <c r="D4024" t="s">
        <v>1450</v>
      </c>
      <c r="E4024" t="s">
        <v>24950</v>
      </c>
      <c r="F4024" s="2" t="n">
        <f>HYPERLINK("https://patents.google.com/patent/US8706514","Google")</f>
        <v>0.0</v>
      </c>
      <c r="G4024" s="2" t="n">
        <f>HYPERLINK("https://patentcenter.uspto.gov/applications/11253164","Patent Center")</f>
        <v>0.0</v>
      </c>
      <c r="H4024" s="2" t="n">
        <f>HYPERLINK("https://worldwide.espacenet.com/patent/search?q=US8706514","Espacenet")</f>
        <v>0.0</v>
      </c>
      <c r="I4024" s="2" t="n">
        <f>HYPERLINK("https://ppubs.uspto.gov/pubwebapp/external.html?q=8706514.pn.","USPTO")</f>
        <v>0.0</v>
      </c>
      <c r="J4024" s="2" t="n">
        <f>HYPERLINK("https://image-ppubs.uspto.gov/dirsearch-public/print/downloadPdf/8706514","USPTO PDF")</f>
        <v>0.0</v>
      </c>
      <c r="K4024" s="2" t="n">
        <f>HYPERLINK("https://sectors.patentforecast.com/pmd/US8706514","PMD")</f>
        <v>0.0</v>
      </c>
      <c r="L4024" s="2" t="n">
        <f>HYPERLINK("https://globaldossier.uspto.gov/result/patent/US/8706514/1","US8706514")</f>
        <v>0.0</v>
      </c>
      <c r="M4024" t="s">
        <v>24951</v>
      </c>
      <c r="N4024" t="s">
        <v>17334</v>
      </c>
      <c r="O4024" t="s">
        <v>17335</v>
      </c>
      <c r="P4024" t="s">
        <v>24952</v>
      </c>
      <c r="Q4024" s="3" t="n">
        <v>38643.0</v>
      </c>
      <c r="R4024" s="3" t="n">
        <v>41751.0</v>
      </c>
      <c r="S4024" s="3" t="n">
        <v>44089.23016378472</v>
      </c>
      <c r="T4024" s="3" t="n">
        <v>44089.445589537034</v>
      </c>
      <c r="U4024" t="s">
        <v>24953</v>
      </c>
      <c r="V4024" t="s">
        <v>20663</v>
      </c>
    </row>
    <row r="4025">
      <c r="A4025" t="s">
        <v>23557</v>
      </c>
      <c r="B4025" t="s">
        <v>24954</v>
      </c>
      <c r="C4025" t="s">
        <v>60</v>
      </c>
      <c r="D4025" t="s">
        <v>61</v>
      </c>
      <c r="E4025" t="s">
        <v>22432</v>
      </c>
      <c r="F4025" s="2" t="n">
        <f>HYPERLINK("https://patents.google.com/patent/US8697861","Google")</f>
        <v>0.0</v>
      </c>
      <c r="G4025" s="2" t="n">
        <f>HYPERLINK("https://patentcenter.uspto.gov/applications/13626687","Patent Center")</f>
        <v>0.0</v>
      </c>
      <c r="H4025" s="2" t="n">
        <f>HYPERLINK("https://worldwide.espacenet.com/patent/search?q=US8697861","Espacenet")</f>
        <v>0.0</v>
      </c>
      <c r="I4025" s="2" t="n">
        <f>HYPERLINK("https://ppubs.uspto.gov/pubwebapp/external.html?q=8697861.pn.","USPTO")</f>
        <v>0.0</v>
      </c>
      <c r="J4025" s="2" t="n">
        <f>HYPERLINK("https://image-ppubs.uspto.gov/dirsearch-public/print/downloadPdf/8697861","USPTO PDF")</f>
        <v>0.0</v>
      </c>
      <c r="K4025" s="2" t="n">
        <f>HYPERLINK("https://sectors.patentforecast.com/pmd/US8697861","PMD")</f>
        <v>0.0</v>
      </c>
      <c r="L4025" s="2" t="n">
        <f>HYPERLINK("https://globaldossier.uspto.gov/result/patent/US/8697861/1","US8697861")</f>
        <v>0.0</v>
      </c>
      <c r="M4025" t="s">
        <v>21245</v>
      </c>
      <c r="N4025" t="s">
        <v>664</v>
      </c>
      <c r="O4025" t="s">
        <v>665</v>
      </c>
      <c r="P4025" t="s">
        <v>24123</v>
      </c>
      <c r="Q4025" s="3" t="n">
        <v>41177.0</v>
      </c>
      <c r="R4025" s="3" t="n">
        <v>41744.0</v>
      </c>
      <c r="S4025" s="3" t="n">
        <v>43952.45990869213</v>
      </c>
      <c r="T4025" s="3" t="n">
        <v>44638.65271974537</v>
      </c>
      <c r="U4025" t="s">
        <v>24955</v>
      </c>
      <c r="V4025" t="s">
        <v>17358</v>
      </c>
    </row>
    <row r="4026">
      <c r="A4026" t="s">
        <v>23557</v>
      </c>
      <c r="B4026" t="s">
        <v>24956</v>
      </c>
      <c r="C4026" t="s">
        <v>132</v>
      </c>
      <c r="D4026" t="s">
        <v>1265</v>
      </c>
      <c r="E4026" t="s">
        <v>24957</v>
      </c>
      <c r="F4026" s="2" t="n">
        <f>HYPERLINK("https://patents.google.com/patent/US8697088","Google")</f>
        <v>0.0</v>
      </c>
      <c r="G4026" s="2" t="n">
        <f>HYPERLINK("https://patentcenter.uspto.gov/applications/12127625","Patent Center")</f>
        <v>0.0</v>
      </c>
      <c r="H4026" s="2" t="n">
        <f>HYPERLINK("https://worldwide.espacenet.com/patent/search?q=US8697088","Espacenet")</f>
        <v>0.0</v>
      </c>
      <c r="I4026" s="2" t="n">
        <f>HYPERLINK("https://ppubs.uspto.gov/pubwebapp/external.html?q=8697088.pn.","USPTO")</f>
        <v>0.0</v>
      </c>
      <c r="J4026" s="2" t="n">
        <f>HYPERLINK("https://image-ppubs.uspto.gov/dirsearch-public/print/downloadPdf/8697088","USPTO PDF")</f>
        <v>0.0</v>
      </c>
      <c r="K4026" s="2" t="n">
        <f>HYPERLINK("https://sectors.patentforecast.com/pmd/US8697088","PMD")</f>
        <v>0.0</v>
      </c>
      <c r="L4026" s="2" t="n">
        <f>HYPERLINK("https://globaldossier.uspto.gov/result/patent/US/8697088/1","US8697088")</f>
        <v>0.0</v>
      </c>
      <c r="M4026" t="s">
        <v>24958</v>
      </c>
      <c r="N4026" t="s">
        <v>1275</v>
      </c>
      <c r="O4026" t="s">
        <v>1275</v>
      </c>
      <c r="P4026" t="s">
        <v>24959</v>
      </c>
      <c r="Q4026" s="3" t="n">
        <v>39595.0</v>
      </c>
      <c r="R4026" s="3" t="n">
        <v>41744.0</v>
      </c>
      <c r="S4026" s="3" t="n">
        <v>43966.47973778935</v>
      </c>
      <c r="T4026" s="3" t="n">
        <v>44020.63713880787</v>
      </c>
      <c r="U4026" t="s">
        <v>24960</v>
      </c>
      <c r="V4026" t="s">
        <v>20615</v>
      </c>
    </row>
    <row r="4027">
      <c r="A4027" t="s">
        <v>23557</v>
      </c>
      <c r="B4027" t="s">
        <v>24961</v>
      </c>
      <c r="C4027" t="s">
        <v>132</v>
      </c>
      <c r="D4027" t="s">
        <v>1265</v>
      </c>
      <c r="E4027" t="s">
        <v>24962</v>
      </c>
      <c r="F4027" s="2" t="n">
        <f>HYPERLINK("https://patents.google.com/patent/US8691238","Google")</f>
        <v>0.0</v>
      </c>
      <c r="G4027" s="2" t="n">
        <f>HYPERLINK("https://patentcenter.uspto.gov/applications/13140395","Patent Center")</f>
        <v>0.0</v>
      </c>
      <c r="H4027" s="2" t="n">
        <f>HYPERLINK("https://worldwide.espacenet.com/patent/search?q=US8691238","Espacenet")</f>
        <v>0.0</v>
      </c>
      <c r="I4027" s="2" t="n">
        <f>HYPERLINK("https://ppubs.uspto.gov/pubwebapp/external.html?q=8691238.pn.","USPTO")</f>
        <v>0.0</v>
      </c>
      <c r="J4027" s="2" t="n">
        <f>HYPERLINK("https://image-ppubs.uspto.gov/dirsearch-public/print/downloadPdf/8691238","USPTO PDF")</f>
        <v>0.0</v>
      </c>
      <c r="K4027" s="2" t="n">
        <f>HYPERLINK("https://sectors.patentforecast.com/pmd/US8691238","PMD")</f>
        <v>0.0</v>
      </c>
      <c r="L4027" s="2" t="n">
        <f>HYPERLINK("https://globaldossier.uspto.gov/result/patent/US/8691238/1","US8691238")</f>
        <v>0.0</v>
      </c>
      <c r="M4027" t="s">
        <v>21675</v>
      </c>
      <c r="N4027" t="s">
        <v>24963</v>
      </c>
      <c r="O4027" t="s">
        <v>24964</v>
      </c>
      <c r="P4027" t="s">
        <v>24965</v>
      </c>
      <c r="Q4027" s="3" t="n">
        <v>40165.0</v>
      </c>
      <c r="R4027" s="3" t="n">
        <v>41737.0</v>
      </c>
      <c r="S4027" s="3" t="n">
        <v>43900.43738940972</v>
      </c>
      <c r="T4027" s="3" t="n">
        <v>43901.70557086806</v>
      </c>
      <c r="U4027" t="s">
        <v>24966</v>
      </c>
      <c r="V4027" t="s">
        <v>24967</v>
      </c>
    </row>
    <row r="4028">
      <c r="A4028" t="s">
        <v>23557</v>
      </c>
      <c r="B4028" t="s">
        <v>24968</v>
      </c>
      <c r="C4028" t="s">
        <v>60</v>
      </c>
      <c r="D4028" t="s">
        <v>61</v>
      </c>
      <c r="E4028" t="s">
        <v>24969</v>
      </c>
      <c r="F4028" s="2" t="n">
        <f>HYPERLINK("https://patents.google.com/patent/US8685652","Google")</f>
        <v>0.0</v>
      </c>
      <c r="G4028" s="2" t="n">
        <f>HYPERLINK("https://patentcenter.uspto.gov/applications/12673292","Patent Center")</f>
        <v>0.0</v>
      </c>
      <c r="H4028" s="2" t="n">
        <f>HYPERLINK("https://worldwide.espacenet.com/patent/search?q=US8685652","Espacenet")</f>
        <v>0.0</v>
      </c>
      <c r="I4028" s="2" t="n">
        <f>HYPERLINK("https://ppubs.uspto.gov/pubwebapp/external.html?q=8685652.pn.","USPTO")</f>
        <v>0.0</v>
      </c>
      <c r="J4028" s="2" t="n">
        <f>HYPERLINK("https://image-ppubs.uspto.gov/dirsearch-public/print/downloadPdf/8685652","USPTO PDF")</f>
        <v>0.0</v>
      </c>
      <c r="K4028" s="2" t="n">
        <f>HYPERLINK("https://sectors.patentforecast.com/pmd/US8685652","PMD")</f>
        <v>0.0</v>
      </c>
      <c r="L4028" s="2" t="n">
        <f>HYPERLINK("https://globaldossier.uspto.gov/result/patent/US/8685652/1","US8685652")</f>
        <v>0.0</v>
      </c>
      <c r="M4028" t="s">
        <v>21878</v>
      </c>
      <c r="N4028" t="s">
        <v>21879</v>
      </c>
      <c r="O4028" t="s">
        <v>21880</v>
      </c>
      <c r="P4028" t="s">
        <v>24970</v>
      </c>
      <c r="Q4028" s="3" t="n">
        <v>39673.0</v>
      </c>
      <c r="R4028" s="3" t="n">
        <v>41730.0</v>
      </c>
      <c r="S4028" s="3" t="n">
        <v>43966.47973778935</v>
      </c>
      <c r="T4028" s="3" t="n">
        <v>44678.611276585645</v>
      </c>
      <c r="U4028" t="s">
        <v>24971</v>
      </c>
      <c r="V4028" t="s">
        <v>21883</v>
      </c>
    </row>
    <row r="4029">
      <c r="A4029" t="s">
        <v>23557</v>
      </c>
      <c r="B4029" t="s">
        <v>24972</v>
      </c>
      <c r="C4029" t="s">
        <v>132</v>
      </c>
      <c r="D4029" t="s">
        <v>1265</v>
      </c>
      <c r="E4029" t="s">
        <v>24973</v>
      </c>
      <c r="F4029" s="2" t="n">
        <f>HYPERLINK("https://patents.google.com/patent/US8685409","Google")</f>
        <v>0.0</v>
      </c>
      <c r="G4029" s="2" t="n">
        <f>HYPERLINK("https://patentcenter.uspto.gov/applications/13666467","Patent Center")</f>
        <v>0.0</v>
      </c>
      <c r="H4029" s="2" t="n">
        <f>HYPERLINK("https://worldwide.espacenet.com/patent/search?q=US8685409","Espacenet")</f>
        <v>0.0</v>
      </c>
      <c r="I4029" s="2" t="n">
        <f>HYPERLINK("https://ppubs.uspto.gov/pubwebapp/external.html?q=8685409.pn.","USPTO")</f>
        <v>0.0</v>
      </c>
      <c r="J4029" s="2" t="n">
        <f>HYPERLINK("https://image-ppubs.uspto.gov/dirsearch-public/print/downloadPdf/8685409","USPTO PDF")</f>
        <v>0.0</v>
      </c>
      <c r="K4029" s="2" t="n">
        <f>HYPERLINK("https://sectors.patentforecast.com/pmd/US8685409","PMD")</f>
        <v>0.0</v>
      </c>
      <c r="L4029" s="2" t="n">
        <f>HYPERLINK("https://globaldossier.uspto.gov/result/patent/US/8685409/1","US8685409")</f>
        <v>0.0</v>
      </c>
      <c r="M4029" t="s">
        <v>21020</v>
      </c>
      <c r="N4029" t="s">
        <v>21021</v>
      </c>
      <c r="O4029" t="s">
        <v>21021</v>
      </c>
      <c r="P4029" t="s">
        <v>24974</v>
      </c>
      <c r="Q4029" s="3" t="n">
        <v>41214.0</v>
      </c>
      <c r="R4029" s="3" t="n">
        <v>41730.0</v>
      </c>
      <c r="S4029" s="3" t="n">
        <v>43900.43738940972</v>
      </c>
      <c r="T4029" s="3" t="n">
        <v>43901.70557075232</v>
      </c>
      <c r="U4029" t="s">
        <v>24975</v>
      </c>
      <c r="V4029" t="s">
        <v>21024</v>
      </c>
    </row>
    <row r="4030">
      <c r="A4030" t="s">
        <v>23557</v>
      </c>
      <c r="B4030" t="s">
        <v>24976</v>
      </c>
      <c r="C4030" t="s">
        <v>24</v>
      </c>
      <c r="D4030" t="s">
        <v>25</v>
      </c>
      <c r="E4030" t="s">
        <v>24977</v>
      </c>
      <c r="F4030" s="2" t="n">
        <f>HYPERLINK("https://patents.google.com/patent/US8684923","Google")</f>
        <v>0.0</v>
      </c>
      <c r="G4030" s="2" t="n">
        <f>HYPERLINK("https://patentcenter.uspto.gov/applications/11581912","Patent Center")</f>
        <v>0.0</v>
      </c>
      <c r="H4030" s="2" t="n">
        <f>HYPERLINK("https://worldwide.espacenet.com/patent/search?q=US8684923","Espacenet")</f>
        <v>0.0</v>
      </c>
      <c r="I4030" s="2" t="n">
        <f>HYPERLINK("https://ppubs.uspto.gov/pubwebapp/external.html?q=8684923.pn.","USPTO")</f>
        <v>0.0</v>
      </c>
      <c r="J4030" s="2" t="n">
        <f>HYPERLINK("https://image-ppubs.uspto.gov/dirsearch-public/print/downloadPdf/8684923","USPTO PDF")</f>
        <v>0.0</v>
      </c>
      <c r="K4030" s="2" t="n">
        <f>HYPERLINK("https://sectors.patentforecast.com/pmd/US8684923","PMD")</f>
        <v>0.0</v>
      </c>
      <c r="L4030" s="2" t="n">
        <f>HYPERLINK("https://globaldossier.uspto.gov/result/patent/US/8684923/1","US8684923")</f>
        <v>0.0</v>
      </c>
      <c r="M4030" t="s">
        <v>22797</v>
      </c>
      <c r="N4030" t="s">
        <v>17334</v>
      </c>
      <c r="O4030" t="s">
        <v>17335</v>
      </c>
      <c r="P4030" t="s">
        <v>23600</v>
      </c>
      <c r="Q4030" s="3" t="n">
        <v>39007.0</v>
      </c>
      <c r="R4030" s="3" t="n">
        <v>41730.0</v>
      </c>
      <c r="S4030" s="3" t="n">
        <v>43908.45851611111</v>
      </c>
      <c r="T4030" s="3" t="n">
        <v>43984.72531674769</v>
      </c>
      <c r="U4030" t="s">
        <v>24978</v>
      </c>
      <c r="V4030" t="s">
        <v>24979</v>
      </c>
    </row>
    <row r="4031">
      <c r="A4031" t="s">
        <v>23557</v>
      </c>
      <c r="B4031" t="s">
        <v>24980</v>
      </c>
      <c r="C4031" t="s">
        <v>24</v>
      </c>
      <c r="D4031" t="s">
        <v>25</v>
      </c>
      <c r="E4031" t="s">
        <v>22098</v>
      </c>
      <c r="F4031" s="2" t="n">
        <f>HYPERLINK("https://patents.google.com/patent/US8677941","Google")</f>
        <v>0.0</v>
      </c>
      <c r="G4031" s="2" t="n">
        <f>HYPERLINK("https://patentcenter.uspto.gov/applications/13613087","Patent Center")</f>
        <v>0.0</v>
      </c>
      <c r="H4031" s="2" t="n">
        <f>HYPERLINK("https://worldwide.espacenet.com/patent/search?q=US8677941","Espacenet")</f>
        <v>0.0</v>
      </c>
      <c r="I4031" s="2" t="n">
        <f>HYPERLINK("https://ppubs.uspto.gov/pubwebapp/external.html?q=8677941.pn.","USPTO")</f>
        <v>0.0</v>
      </c>
      <c r="J4031" s="2" t="n">
        <f>HYPERLINK("https://image-ppubs.uspto.gov/dirsearch-public/print/downloadPdf/8677941","USPTO PDF")</f>
        <v>0.0</v>
      </c>
      <c r="K4031" s="2" t="n">
        <f>HYPERLINK("https://sectors.patentforecast.com/pmd/US8677941","PMD")</f>
        <v>0.0</v>
      </c>
      <c r="L4031" s="2" t="n">
        <f>HYPERLINK("https://globaldossier.uspto.gov/result/patent/US/8677941/1","US8677941")</f>
        <v>0.0</v>
      </c>
      <c r="M4031" t="s">
        <v>21335</v>
      </c>
      <c r="N4031" t="s">
        <v>20717</v>
      </c>
      <c r="O4031" t="s">
        <v>20718</v>
      </c>
      <c r="P4031" t="s">
        <v>24981</v>
      </c>
      <c r="Q4031" s="3" t="n">
        <v>41165.0</v>
      </c>
      <c r="R4031" s="3" t="n">
        <v>41723.0</v>
      </c>
      <c r="S4031" s="3" t="n">
        <v>43266.457356747684</v>
      </c>
      <c r="T4031" s="3" t="n">
        <v>43901.70557092593</v>
      </c>
      <c r="U4031" t="s">
        <v>24982</v>
      </c>
      <c r="V4031" t="s">
        <v>21337</v>
      </c>
    </row>
    <row r="4032">
      <c r="A4032" t="s">
        <v>23557</v>
      </c>
      <c r="B4032" t="s">
        <v>24983</v>
      </c>
      <c r="C4032" t="s">
        <v>60</v>
      </c>
      <c r="D4032" t="s">
        <v>61</v>
      </c>
      <c r="E4032" t="s">
        <v>22828</v>
      </c>
      <c r="F4032" s="2" t="n">
        <f>HYPERLINK("https://patents.google.com/patent/US8674088","Google")</f>
        <v>0.0</v>
      </c>
      <c r="G4032" s="2" t="n">
        <f>HYPERLINK("https://patentcenter.uspto.gov/applications/12913692","Patent Center")</f>
        <v>0.0</v>
      </c>
      <c r="H4032" s="2" t="n">
        <f>HYPERLINK("https://worldwide.espacenet.com/patent/search?q=US8674088","Espacenet")</f>
        <v>0.0</v>
      </c>
      <c r="I4032" s="2" t="n">
        <f>HYPERLINK("https://ppubs.uspto.gov/pubwebapp/external.html?q=8674088.pn.","USPTO")</f>
        <v>0.0</v>
      </c>
      <c r="J4032" s="2" t="n">
        <f>HYPERLINK("https://image-ppubs.uspto.gov/dirsearch-public/print/downloadPdf/8674088","USPTO PDF")</f>
        <v>0.0</v>
      </c>
      <c r="K4032" s="2" t="n">
        <f>HYPERLINK("https://sectors.patentforecast.com/pmd/US8674088","PMD")</f>
        <v>0.0</v>
      </c>
      <c r="L4032" s="2" t="n">
        <f>HYPERLINK("https://globaldossier.uspto.gov/result/patent/US/8674088/1","US8674088")</f>
        <v>0.0</v>
      </c>
      <c r="M4032" t="s">
        <v>21836</v>
      </c>
      <c r="N4032" t="s">
        <v>664</v>
      </c>
      <c r="O4032" t="s">
        <v>665</v>
      </c>
      <c r="P4032" t="s">
        <v>24984</v>
      </c>
      <c r="Q4032" s="3" t="n">
        <v>40478.0</v>
      </c>
      <c r="R4032" s="3" t="n">
        <v>41716.0</v>
      </c>
      <c r="S4032" s="3" t="n">
        <v>43952.45990869213</v>
      </c>
      <c r="T4032" s="3" t="n">
        <v>44638.65271974537</v>
      </c>
      <c r="U4032" t="s">
        <v>24985</v>
      </c>
      <c r="V4032" t="s">
        <v>21838</v>
      </c>
    </row>
    <row r="4033">
      <c r="A4033" t="s">
        <v>23557</v>
      </c>
      <c r="B4033" t="s">
        <v>24986</v>
      </c>
      <c r="C4033" t="s">
        <v>60</v>
      </c>
      <c r="D4033" t="s">
        <v>61</v>
      </c>
      <c r="E4033" t="s">
        <v>24987</v>
      </c>
      <c r="F4033" s="2" t="n">
        <f>HYPERLINK("https://patents.google.com/patent/US8673929","Google")</f>
        <v>0.0</v>
      </c>
      <c r="G4033" s="2" t="n">
        <f>HYPERLINK("https://patentcenter.uspto.gov/applications/12374242","Patent Center")</f>
        <v>0.0</v>
      </c>
      <c r="H4033" s="2" t="n">
        <f>HYPERLINK("https://worldwide.espacenet.com/patent/search?q=US8673929","Espacenet")</f>
        <v>0.0</v>
      </c>
      <c r="I4033" s="2" t="n">
        <f>HYPERLINK("https://ppubs.uspto.gov/pubwebapp/external.html?q=8673929.pn.","USPTO")</f>
        <v>0.0</v>
      </c>
      <c r="J4033" s="2" t="n">
        <f>HYPERLINK("https://image-ppubs.uspto.gov/dirsearch-public/print/downloadPdf/8673929","USPTO PDF")</f>
        <v>0.0</v>
      </c>
      <c r="K4033" s="2" t="n">
        <f>HYPERLINK("https://sectors.patentforecast.com/pmd/US8673929","PMD")</f>
        <v>0.0</v>
      </c>
      <c r="L4033" s="2" t="n">
        <f>HYPERLINK("https://globaldossier.uspto.gov/result/patent/US/8673929/1","US8673929")</f>
        <v>0.0</v>
      </c>
      <c r="M4033" t="s">
        <v>22177</v>
      </c>
      <c r="N4033" t="s">
        <v>664</v>
      </c>
      <c r="O4033" t="s">
        <v>665</v>
      </c>
      <c r="P4033" t="s">
        <v>24457</v>
      </c>
      <c r="Q4033" s="3" t="n">
        <v>39283.0</v>
      </c>
      <c r="R4033" s="3" t="n">
        <v>41716.0</v>
      </c>
      <c r="S4033" s="3" t="n">
        <v>43952.45990869213</v>
      </c>
      <c r="T4033" s="3" t="n">
        <v>44638.65579662037</v>
      </c>
      <c r="U4033" t="s">
        <v>24988</v>
      </c>
      <c r="V4033" t="s">
        <v>22180</v>
      </c>
    </row>
    <row r="4034">
      <c r="A4034" t="s">
        <v>23557</v>
      </c>
      <c r="B4034" t="s">
        <v>24989</v>
      </c>
      <c r="C4034" t="s">
        <v>60</v>
      </c>
      <c r="D4034" t="s">
        <v>61</v>
      </c>
      <c r="E4034" t="s">
        <v>22432</v>
      </c>
      <c r="F4034" s="2" t="n">
        <f>HYPERLINK("https://patents.google.com/patent/US8669234","Google")</f>
        <v>0.0</v>
      </c>
      <c r="G4034" s="2" t="n">
        <f>HYPERLINK("https://patentcenter.uspto.gov/applications/13491446","Patent Center")</f>
        <v>0.0</v>
      </c>
      <c r="H4034" s="2" t="n">
        <f>HYPERLINK("https://worldwide.espacenet.com/patent/search?q=US8669234","Espacenet")</f>
        <v>0.0</v>
      </c>
      <c r="I4034" s="2" t="n">
        <f>HYPERLINK("https://ppubs.uspto.gov/pubwebapp/external.html?q=8669234.pn.","USPTO")</f>
        <v>0.0</v>
      </c>
      <c r="J4034" s="2" t="n">
        <f>HYPERLINK("https://image-ppubs.uspto.gov/dirsearch-public/print/downloadPdf/8669234","USPTO PDF")</f>
        <v>0.0</v>
      </c>
      <c r="K4034" s="2" t="n">
        <f>HYPERLINK("https://sectors.patentforecast.com/pmd/US8669234","PMD")</f>
        <v>0.0</v>
      </c>
      <c r="L4034" s="2" t="n">
        <f>HYPERLINK("https://globaldossier.uspto.gov/result/patent/US/8669234/1","US8669234")</f>
        <v>0.0</v>
      </c>
      <c r="M4034" t="s">
        <v>21372</v>
      </c>
      <c r="N4034" t="s">
        <v>24990</v>
      </c>
      <c r="O4034" t="s">
        <v>24991</v>
      </c>
      <c r="P4034" t="s">
        <v>24992</v>
      </c>
      <c r="Q4034" s="3" t="n">
        <v>41067.0</v>
      </c>
      <c r="R4034" s="3" t="n">
        <v>41709.0</v>
      </c>
      <c r="S4034" s="3" t="n">
        <v>43952.45990869213</v>
      </c>
      <c r="T4034" s="3" t="n">
        <v>44638.65271974537</v>
      </c>
      <c r="U4034" t="s">
        <v>24993</v>
      </c>
      <c r="V4034" t="s">
        <v>16907</v>
      </c>
    </row>
    <row r="4035">
      <c r="A4035" t="s">
        <v>23557</v>
      </c>
      <c r="B4035" t="s">
        <v>24994</v>
      </c>
      <c r="C4035" t="s">
        <v>132</v>
      </c>
      <c r="D4035" t="s">
        <v>1265</v>
      </c>
      <c r="E4035" t="s">
        <v>24995</v>
      </c>
      <c r="F4035" s="2" t="n">
        <f>HYPERLINK("https://patents.google.com/patent/US8669046","Google")</f>
        <v>0.0</v>
      </c>
      <c r="G4035" s="2" t="n">
        <f>HYPERLINK("https://patentcenter.uspto.gov/applications/12920838","Patent Center")</f>
        <v>0.0</v>
      </c>
      <c r="H4035" s="2" t="n">
        <f>HYPERLINK("https://worldwide.espacenet.com/patent/search?q=US8669046","Espacenet")</f>
        <v>0.0</v>
      </c>
      <c r="I4035" s="2" t="n">
        <f>HYPERLINK("https://ppubs.uspto.gov/pubwebapp/external.html?q=8669046.pn.","USPTO")</f>
        <v>0.0</v>
      </c>
      <c r="J4035" s="2" t="n">
        <f>HYPERLINK("https://image-ppubs.uspto.gov/dirsearch-public/print/downloadPdf/8669046","USPTO PDF")</f>
        <v>0.0</v>
      </c>
      <c r="K4035" s="2" t="n">
        <f>HYPERLINK("https://sectors.patentforecast.com/pmd/US8669046","PMD")</f>
        <v>0.0</v>
      </c>
      <c r="L4035" s="2" t="n">
        <f>HYPERLINK("https://globaldossier.uspto.gov/result/patent/US/8669046/1","US8669046")</f>
        <v>0.0</v>
      </c>
      <c r="M4035" t="s">
        <v>21893</v>
      </c>
      <c r="N4035" t="s">
        <v>21894</v>
      </c>
      <c r="O4035" t="s">
        <v>21895</v>
      </c>
      <c r="P4035" t="s">
        <v>24996</v>
      </c>
      <c r="Q4035" s="3" t="n">
        <v>39882.0</v>
      </c>
      <c r="R4035" s="3" t="n">
        <v>41709.0</v>
      </c>
      <c r="S4035" s="3" t="n">
        <v>43900.43738940972</v>
      </c>
      <c r="T4035" s="3" t="n">
        <v>43901.70557096065</v>
      </c>
      <c r="U4035" t="s">
        <v>24997</v>
      </c>
      <c r="V4035" t="s">
        <v>21898</v>
      </c>
    </row>
    <row r="4036">
      <c r="A4036" t="s">
        <v>23557</v>
      </c>
      <c r="B4036" t="s">
        <v>24998</v>
      </c>
      <c r="C4036" t="s">
        <v>132</v>
      </c>
      <c r="D4036" t="s">
        <v>1265</v>
      </c>
      <c r="E4036" t="s">
        <v>24999</v>
      </c>
      <c r="F4036" s="2" t="n">
        <f>HYPERLINK("https://patents.google.com/patent/US8668904","Google")</f>
        <v>0.0</v>
      </c>
      <c r="G4036" s="2" t="n">
        <f>HYPERLINK("https://patentcenter.uspto.gov/applications/12746397","Patent Center")</f>
        <v>0.0</v>
      </c>
      <c r="H4036" s="2" t="n">
        <f>HYPERLINK("https://worldwide.espacenet.com/patent/search?q=US8668904","Espacenet")</f>
        <v>0.0</v>
      </c>
      <c r="I4036" s="2" t="n">
        <f>HYPERLINK("https://ppubs.uspto.gov/pubwebapp/external.html?q=8668904.pn.","USPTO")</f>
        <v>0.0</v>
      </c>
      <c r="J4036" s="2" t="n">
        <f>HYPERLINK("https://image-ppubs.uspto.gov/dirsearch-public/print/downloadPdf/8668904","USPTO PDF")</f>
        <v>0.0</v>
      </c>
      <c r="K4036" s="2" t="n">
        <f>HYPERLINK("https://sectors.patentforecast.com/pmd/US8668904","PMD")</f>
        <v>0.0</v>
      </c>
      <c r="L4036" s="2" t="n">
        <f>HYPERLINK("https://globaldossier.uspto.gov/result/patent/US/8668904/1","US8668904")</f>
        <v>0.0</v>
      </c>
      <c r="M4036" t="s">
        <v>22036</v>
      </c>
      <c r="N4036" t="s">
        <v>15147</v>
      </c>
      <c r="O4036" t="s">
        <v>15148</v>
      </c>
      <c r="P4036" t="s">
        <v>25000</v>
      </c>
      <c r="Q4036" s="3" t="n">
        <v>39786.0</v>
      </c>
      <c r="R4036" s="3" t="n">
        <v>41709.0</v>
      </c>
      <c r="S4036" s="3" t="n">
        <v>43900.43738940972</v>
      </c>
      <c r="T4036" s="3" t="n">
        <v>43901.70557104167</v>
      </c>
      <c r="U4036" t="s">
        <v>25001</v>
      </c>
      <c r="V4036" t="s">
        <v>25002</v>
      </c>
    </row>
    <row r="4037">
      <c r="A4037" t="s">
        <v>23557</v>
      </c>
      <c r="B4037" t="s">
        <v>25003</v>
      </c>
      <c r="C4037" t="s">
        <v>60</v>
      </c>
      <c r="D4037" t="s">
        <v>61</v>
      </c>
      <c r="E4037" t="s">
        <v>24019</v>
      </c>
      <c r="F4037" s="2" t="n">
        <f>HYPERLINK("https://patents.google.com/patent/US8664386","Google")</f>
        <v>0.0</v>
      </c>
      <c r="G4037" s="2" t="n">
        <f>HYPERLINK("https://patentcenter.uspto.gov/applications/13573666","Patent Center")</f>
        <v>0.0</v>
      </c>
      <c r="H4037" s="2" t="n">
        <f>HYPERLINK("https://worldwide.espacenet.com/patent/search?q=US8664386","Espacenet")</f>
        <v>0.0</v>
      </c>
      <c r="I4037" s="2" t="n">
        <f>HYPERLINK("https://ppubs.uspto.gov/pubwebapp/external.html?q=8664386.pn.","USPTO")</f>
        <v>0.0</v>
      </c>
      <c r="J4037" s="2" t="n">
        <f>HYPERLINK("https://image-ppubs.uspto.gov/dirsearch-public/print/downloadPdf/8664386","USPTO PDF")</f>
        <v>0.0</v>
      </c>
      <c r="K4037" s="2" t="n">
        <f>HYPERLINK("https://sectors.patentforecast.com/pmd/US8664386","PMD")</f>
        <v>0.0</v>
      </c>
      <c r="L4037" s="2" t="n">
        <f>HYPERLINK("https://globaldossier.uspto.gov/result/patent/US/8664386/1","US8664386")</f>
        <v>0.0</v>
      </c>
      <c r="M4037" t="s">
        <v>25004</v>
      </c>
      <c r="N4037" t="s">
        <v>664</v>
      </c>
      <c r="O4037" t="s">
        <v>665</v>
      </c>
      <c r="P4037" t="s">
        <v>24020</v>
      </c>
      <c r="Q4037" s="3" t="n">
        <v>41185.0</v>
      </c>
      <c r="R4037" s="3" t="n">
        <v>41702.0</v>
      </c>
      <c r="S4037" s="3" t="n">
        <v>43952.45990869213</v>
      </c>
      <c r="T4037" s="3" t="n">
        <v>44638.65579662037</v>
      </c>
      <c r="U4037" t="s">
        <v>25005</v>
      </c>
      <c r="V4037" t="s">
        <v>24385</v>
      </c>
    </row>
    <row r="4038">
      <c r="A4038" t="s">
        <v>23557</v>
      </c>
      <c r="B4038" t="s">
        <v>25006</v>
      </c>
      <c r="C4038" t="s">
        <v>132</v>
      </c>
      <c r="D4038" t="s">
        <v>142</v>
      </c>
      <c r="E4038" t="s">
        <v>25007</v>
      </c>
      <c r="F4038" s="2" t="n">
        <f>HYPERLINK("https://patents.google.com/patent/US8664194","Google")</f>
        <v>0.0</v>
      </c>
      <c r="G4038" s="2" t="n">
        <f>HYPERLINK("https://patentcenter.uspto.gov/applications/13898758","Patent Center")</f>
        <v>0.0</v>
      </c>
      <c r="H4038" s="2" t="n">
        <f>HYPERLINK("https://worldwide.espacenet.com/patent/search?q=US8664194","Espacenet")</f>
        <v>0.0</v>
      </c>
      <c r="I4038" s="2" t="n">
        <f>HYPERLINK("https://ppubs.uspto.gov/pubwebapp/external.html?q=8664194.pn.","USPTO")</f>
        <v>0.0</v>
      </c>
      <c r="J4038" s="2" t="n">
        <f>HYPERLINK("https://image-ppubs.uspto.gov/dirsearch-public/print/downloadPdf/8664194","USPTO PDF")</f>
        <v>0.0</v>
      </c>
      <c r="K4038" s="2" t="n">
        <f>HYPERLINK("https://sectors.patentforecast.com/pmd/US8664194","PMD")</f>
        <v>0.0</v>
      </c>
      <c r="L4038" s="2" t="n">
        <f>HYPERLINK("https://globaldossier.uspto.gov/result/patent/US/8664194/1","US8664194")</f>
        <v>0.0</v>
      </c>
      <c r="M4038" t="s">
        <v>25008</v>
      </c>
      <c r="N4038" t="s">
        <v>145</v>
      </c>
      <c r="O4038" t="s">
        <v>146</v>
      </c>
      <c r="P4038" t="s">
        <v>24885</v>
      </c>
      <c r="Q4038" s="3" t="n">
        <v>41415.0</v>
      </c>
      <c r="R4038" s="3" t="n">
        <v>41702.0</v>
      </c>
      <c r="S4038" s="3" t="n">
        <v>43909.45520884259</v>
      </c>
      <c r="T4038" s="3" t="n">
        <v>43991.72622013889</v>
      </c>
      <c r="U4038" t="s">
        <v>24886</v>
      </c>
      <c r="V4038" t="s">
        <v>21046</v>
      </c>
    </row>
    <row r="4039">
      <c r="A4039" t="s">
        <v>23557</v>
      </c>
      <c r="B4039" t="s">
        <v>25009</v>
      </c>
      <c r="C4039" t="s">
        <v>24</v>
      </c>
      <c r="D4039" t="s">
        <v>258</v>
      </c>
      <c r="E4039" t="s">
        <v>25010</v>
      </c>
      <c r="F4039" s="2" t="n">
        <f>HYPERLINK("https://patents.google.com/patent/US8660884","Google")</f>
        <v>0.0</v>
      </c>
      <c r="G4039" s="2" t="n">
        <f>HYPERLINK("https://patentcenter.uspto.gov/applications/11627076","Patent Center")</f>
        <v>0.0</v>
      </c>
      <c r="H4039" s="2" t="n">
        <f>HYPERLINK("https://worldwide.espacenet.com/patent/search?q=US8660884","Espacenet")</f>
        <v>0.0</v>
      </c>
      <c r="I4039" s="2" t="n">
        <f>HYPERLINK("https://ppubs.uspto.gov/pubwebapp/external.html?q=8660884.pn.","USPTO")</f>
        <v>0.0</v>
      </c>
      <c r="J4039" s="2" t="n">
        <f>HYPERLINK("https://image-ppubs.uspto.gov/dirsearch-public/print/downloadPdf/8660884","USPTO PDF")</f>
        <v>0.0</v>
      </c>
      <c r="K4039" s="2" t="n">
        <f>HYPERLINK("https://sectors.patentforecast.com/pmd/US8660884","PMD")</f>
        <v>0.0</v>
      </c>
      <c r="L4039" s="2" t="n">
        <f>HYPERLINK("https://globaldossier.uspto.gov/result/patent/US/8660884/1","US8660884")</f>
        <v>0.0</v>
      </c>
      <c r="M4039" t="s">
        <v>22725</v>
      </c>
      <c r="N4039" t="s">
        <v>947</v>
      </c>
      <c r="O4039" t="s">
        <v>948</v>
      </c>
      <c r="P4039" t="s">
        <v>25011</v>
      </c>
      <c r="Q4039" s="3" t="n">
        <v>39107.0</v>
      </c>
      <c r="R4039" s="3" t="n">
        <v>41695.0</v>
      </c>
      <c r="S4039" s="3" t="n">
        <v>43900.43738940972</v>
      </c>
      <c r="T4039" s="3" t="n">
        <v>43901.705570798615</v>
      </c>
      <c r="U4039" t="s">
        <v>25012</v>
      </c>
      <c r="V4039" t="s">
        <v>22728</v>
      </c>
    </row>
    <row r="4040">
      <c r="A4040" t="s">
        <v>23557</v>
      </c>
      <c r="B4040" t="s">
        <v>25013</v>
      </c>
      <c r="C4040" t="s">
        <v>60</v>
      </c>
      <c r="D4040" t="s">
        <v>61</v>
      </c>
      <c r="E4040" t="s">
        <v>23907</v>
      </c>
      <c r="F4040" s="2" t="n">
        <f>HYPERLINK("https://patents.google.com/patent/US8658617","Google")</f>
        <v>0.0</v>
      </c>
      <c r="G4040" s="2" t="n">
        <f>HYPERLINK("https://patentcenter.uspto.gov/applications/12999441","Patent Center")</f>
        <v>0.0</v>
      </c>
      <c r="H4040" s="2" t="n">
        <f>HYPERLINK("https://worldwide.espacenet.com/patent/search?q=US8658617","Espacenet")</f>
        <v>0.0</v>
      </c>
      <c r="I4040" s="2" t="n">
        <f>HYPERLINK("https://ppubs.uspto.gov/pubwebapp/external.html?q=8658617.pn.","USPTO")</f>
        <v>0.0</v>
      </c>
      <c r="J4040" s="2" t="n">
        <f>HYPERLINK("https://image-ppubs.uspto.gov/dirsearch-public/print/downloadPdf/8658617","USPTO PDF")</f>
        <v>0.0</v>
      </c>
      <c r="K4040" s="2" t="n">
        <f>HYPERLINK("https://sectors.patentforecast.com/pmd/US8658617","PMD")</f>
        <v>0.0</v>
      </c>
      <c r="L4040" s="2" t="n">
        <f>HYPERLINK("https://globaldossier.uspto.gov/result/patent/US/8658617/1","US8658617")</f>
        <v>0.0</v>
      </c>
      <c r="M4040" t="s">
        <v>21763</v>
      </c>
      <c r="N4040" t="s">
        <v>664</v>
      </c>
      <c r="O4040" t="s">
        <v>665</v>
      </c>
      <c r="P4040" t="s">
        <v>23908</v>
      </c>
      <c r="Q4040" s="3" t="n">
        <v>40001.0</v>
      </c>
      <c r="R4040" s="3" t="n">
        <v>41695.0</v>
      </c>
      <c r="S4040" s="3" t="n">
        <v>43952.45990869213</v>
      </c>
      <c r="T4040" s="3" t="n">
        <v>44638.662781747684</v>
      </c>
      <c r="U4040" t="s">
        <v>25014</v>
      </c>
      <c r="V4040" t="s">
        <v>20632</v>
      </c>
    </row>
    <row r="4041">
      <c r="A4041" t="s">
        <v>23557</v>
      </c>
      <c r="B4041" t="s">
        <v>25015</v>
      </c>
      <c r="C4041" t="s">
        <v>24</v>
      </c>
      <c r="D4041" t="s">
        <v>25</v>
      </c>
      <c r="E4041" t="s">
        <v>25016</v>
      </c>
      <c r="F4041" s="2" t="n">
        <f>HYPERLINK("https://patents.google.com/patent/US8645538","Google")</f>
        <v>0.0</v>
      </c>
      <c r="G4041" s="2" t="n">
        <f>HYPERLINK("https://patentcenter.uspto.gov/applications/13300584","Patent Center")</f>
        <v>0.0</v>
      </c>
      <c r="H4041" s="2" t="n">
        <f>HYPERLINK("https://worldwide.espacenet.com/patent/search?q=US8645538","Espacenet")</f>
        <v>0.0</v>
      </c>
      <c r="I4041" s="2" t="n">
        <f>HYPERLINK("https://ppubs.uspto.gov/pubwebapp/external.html?q=8645538.pn.","USPTO")</f>
        <v>0.0</v>
      </c>
      <c r="J4041" s="2" t="n">
        <f>HYPERLINK("https://image-ppubs.uspto.gov/dirsearch-public/print/downloadPdf/8645538","USPTO PDF")</f>
        <v>0.0</v>
      </c>
      <c r="K4041" s="2" t="n">
        <f>HYPERLINK("https://sectors.patentforecast.com/pmd/US8645538","PMD")</f>
        <v>0.0</v>
      </c>
      <c r="L4041" s="2" t="n">
        <f>HYPERLINK("https://globaldossier.uspto.gov/result/patent/US/8645538/1","US8645538")</f>
        <v>0.0</v>
      </c>
      <c r="M4041" t="s">
        <v>21205</v>
      </c>
      <c r="N4041" t="s">
        <v>21206</v>
      </c>
      <c r="O4041" t="s">
        <v>21206</v>
      </c>
      <c r="P4041" t="s">
        <v>25017</v>
      </c>
      <c r="Q4041" s="3" t="n">
        <v>40867.0</v>
      </c>
      <c r="R4041" s="3" t="n">
        <v>41674.0</v>
      </c>
      <c r="S4041" s="3" t="n">
        <v>43266.457356747684</v>
      </c>
      <c r="T4041" s="3" t="n">
        <v>43901.70557103009</v>
      </c>
      <c r="U4041" t="s">
        <v>25018</v>
      </c>
      <c r="V4041" t="s">
        <v>21209</v>
      </c>
    </row>
    <row r="4042">
      <c r="A4042" t="s">
        <v>23557</v>
      </c>
      <c r="B4042" t="s">
        <v>25019</v>
      </c>
      <c r="C4042" t="s">
        <v>60</v>
      </c>
      <c r="D4042" t="s">
        <v>61</v>
      </c>
      <c r="E4042" t="s">
        <v>25020</v>
      </c>
      <c r="F4042" s="2" t="n">
        <f>HYPERLINK("https://patents.google.com/patent/US8637531","Google")</f>
        <v>0.0</v>
      </c>
      <c r="G4042" s="2" t="n">
        <f>HYPERLINK("https://patentcenter.uspto.gov/applications/12519500","Patent Center")</f>
        <v>0.0</v>
      </c>
      <c r="H4042" s="2" t="n">
        <f>HYPERLINK("https://worldwide.espacenet.com/patent/search?q=US8637531","Espacenet")</f>
        <v>0.0</v>
      </c>
      <c r="I4042" s="2" t="n">
        <f>HYPERLINK("https://ppubs.uspto.gov/pubwebapp/external.html?q=8637531.pn.","USPTO")</f>
        <v>0.0</v>
      </c>
      <c r="J4042" s="2" t="n">
        <f>HYPERLINK("https://image-ppubs.uspto.gov/dirsearch-public/print/downloadPdf/8637531","USPTO PDF")</f>
        <v>0.0</v>
      </c>
      <c r="K4042" s="2" t="n">
        <f>HYPERLINK("https://sectors.patentforecast.com/pmd/US8637531","PMD")</f>
        <v>0.0</v>
      </c>
      <c r="L4042" s="2" t="n">
        <f>HYPERLINK("https://globaldossier.uspto.gov/result/patent/US/8637531/1","US8637531")</f>
        <v>0.0</v>
      </c>
      <c r="M4042" t="s">
        <v>22265</v>
      </c>
      <c r="N4042" t="s">
        <v>664</v>
      </c>
      <c r="O4042" t="s">
        <v>665</v>
      </c>
      <c r="P4042" t="s">
        <v>25021</v>
      </c>
      <c r="Q4042" s="3" t="n">
        <v>39440.0</v>
      </c>
      <c r="R4042" s="3" t="n">
        <v>41667.0</v>
      </c>
      <c r="S4042" s="3" t="n">
        <v>43952.45990869213</v>
      </c>
      <c r="T4042" s="3" t="n">
        <v>44638.65579662037</v>
      </c>
      <c r="U4042" t="s">
        <v>25022</v>
      </c>
      <c r="V4042" t="s">
        <v>25023</v>
      </c>
    </row>
    <row r="4043">
      <c r="A4043" t="s">
        <v>23557</v>
      </c>
      <c r="B4043" t="s">
        <v>25024</v>
      </c>
      <c r="C4043" t="s">
        <v>24</v>
      </c>
      <c r="D4043" t="s">
        <v>34</v>
      </c>
      <c r="E4043" t="s">
        <v>25025</v>
      </c>
      <c r="F4043" s="2" t="n">
        <f>HYPERLINK("https://patents.google.com/patent/US8630875","Google")</f>
        <v>0.0</v>
      </c>
      <c r="G4043" s="2" t="n">
        <f>HYPERLINK("https://patentcenter.uspto.gov/applications/11930778","Patent Center")</f>
        <v>0.0</v>
      </c>
      <c r="H4043" s="2" t="n">
        <f>HYPERLINK("https://worldwide.espacenet.com/patent/search?q=US8630875","Espacenet")</f>
        <v>0.0</v>
      </c>
      <c r="I4043" s="2" t="n">
        <f>HYPERLINK("https://ppubs.uspto.gov/pubwebapp/external.html?q=8630875.pn.","USPTO")</f>
        <v>0.0</v>
      </c>
      <c r="J4043" s="2" t="n">
        <f>HYPERLINK("https://image-ppubs.uspto.gov/dirsearch-public/print/downloadPdf/8630875","USPTO PDF")</f>
        <v>0.0</v>
      </c>
      <c r="K4043" s="2" t="n">
        <f>HYPERLINK("https://sectors.patentforecast.com/pmd/US8630875","PMD")</f>
        <v>0.0</v>
      </c>
      <c r="L4043" s="2" t="n">
        <f>HYPERLINK("https://globaldossier.uspto.gov/result/patent/US/8630875/1","US8630875")</f>
        <v>0.0</v>
      </c>
      <c r="M4043" t="s">
        <v>25026</v>
      </c>
      <c r="N4043" t="s">
        <v>22835</v>
      </c>
      <c r="O4043" t="s">
        <v>22836</v>
      </c>
      <c r="P4043" t="s">
        <v>25027</v>
      </c>
      <c r="Q4043" s="3" t="n">
        <v>39386.0</v>
      </c>
      <c r="R4043" s="3" t="n">
        <v>41653.0</v>
      </c>
      <c r="S4043" s="3" t="n">
        <v>43906.37298818287</v>
      </c>
      <c r="T4043" s="3" t="n">
        <v>43990.71648582176</v>
      </c>
      <c r="U4043" t="s">
        <v>24898</v>
      </c>
      <c r="V4043" t="s">
        <v>25028</v>
      </c>
    </row>
    <row r="4044">
      <c r="A4044" t="s">
        <v>23557</v>
      </c>
      <c r="B4044" t="s">
        <v>25029</v>
      </c>
      <c r="C4044" t="s">
        <v>24</v>
      </c>
      <c r="D4044" t="s">
        <v>25</v>
      </c>
      <c r="E4044" t="s">
        <v>23444</v>
      </c>
      <c r="F4044" s="2" t="n">
        <f>HYPERLINK("https://patents.google.com/patent/US8626521","Google")</f>
        <v>0.0</v>
      </c>
      <c r="G4044" s="2" t="n">
        <f>HYPERLINK("https://patentcenter.uspto.gov/applications/10279749","Patent Center")</f>
        <v>0.0</v>
      </c>
      <c r="H4044" s="2" t="n">
        <f>HYPERLINK("https://worldwide.espacenet.com/patent/search?q=US8626521","Espacenet")</f>
        <v>0.0</v>
      </c>
      <c r="I4044" s="2" t="n">
        <f>HYPERLINK("https://ppubs.uspto.gov/pubwebapp/external.html?q=8626521.pn.","USPTO")</f>
        <v>0.0</v>
      </c>
      <c r="J4044" s="2" t="n">
        <f>HYPERLINK("https://image-ppubs.uspto.gov/dirsearch-public/print/downloadPdf/8626521","USPTO PDF")</f>
        <v>0.0</v>
      </c>
      <c r="K4044" s="2" t="n">
        <f>HYPERLINK("https://sectors.patentforecast.com/pmd/US8626521","PMD")</f>
        <v>0.0</v>
      </c>
      <c r="L4044" s="2" t="n">
        <f>HYPERLINK("https://globaldossier.uspto.gov/result/patent/US/8626521/1","US8626521")</f>
        <v>0.0</v>
      </c>
      <c r="M4044" t="s">
        <v>23445</v>
      </c>
      <c r="N4044" t="s">
        <v>23446</v>
      </c>
      <c r="O4044" t="s">
        <v>23447</v>
      </c>
      <c r="P4044" t="s">
        <v>25030</v>
      </c>
      <c r="Q4044" s="3" t="n">
        <v>37552.0</v>
      </c>
      <c r="R4044" s="3" t="n">
        <v>41646.0</v>
      </c>
      <c r="S4044" s="3" t="n">
        <v>43266.45735759259</v>
      </c>
      <c r="T4044" s="3" t="n">
        <v>43903.49497349537</v>
      </c>
      <c r="U4044" t="s">
        <v>25031</v>
      </c>
      <c r="V4044" t="s">
        <v>25032</v>
      </c>
    </row>
    <row r="4045">
      <c r="A4045" t="s">
        <v>23557</v>
      </c>
      <c r="B4045" t="s">
        <v>25033</v>
      </c>
      <c r="C4045" t="s">
        <v>60</v>
      </c>
      <c r="D4045" t="s">
        <v>2262</v>
      </c>
      <c r="E4045" t="s">
        <v>25034</v>
      </c>
      <c r="F4045" s="2" t="n">
        <f>HYPERLINK("https://patents.google.com/patent/US8623426","Google")</f>
        <v>0.0</v>
      </c>
      <c r="G4045" s="2" t="n">
        <f>HYPERLINK("https://patentcenter.uspto.gov/applications/13508273","Patent Center")</f>
        <v>0.0</v>
      </c>
      <c r="H4045" s="2" t="n">
        <f>HYPERLINK("https://worldwide.espacenet.com/patent/search?q=US8623426","Espacenet")</f>
        <v>0.0</v>
      </c>
      <c r="I4045" s="2" t="n">
        <f>HYPERLINK("https://ppubs.uspto.gov/pubwebapp/external.html?q=8623426.pn.","USPTO")</f>
        <v>0.0</v>
      </c>
      <c r="J4045" s="2" t="n">
        <f>HYPERLINK("https://image-ppubs.uspto.gov/dirsearch-public/print/downloadPdf/8623426","USPTO PDF")</f>
        <v>0.0</v>
      </c>
      <c r="K4045" s="2" t="n">
        <f>HYPERLINK("https://sectors.patentforecast.com/pmd/US8623426","PMD")</f>
        <v>0.0</v>
      </c>
      <c r="L4045" s="2" t="n">
        <f>HYPERLINK("https://globaldossier.uspto.gov/result/patent/US/8623426/1","US8623426")</f>
        <v>0.0</v>
      </c>
      <c r="M4045" t="s">
        <v>21365</v>
      </c>
      <c r="N4045" t="s">
        <v>21366</v>
      </c>
      <c r="O4045" t="s">
        <v>21367</v>
      </c>
      <c r="P4045" t="s">
        <v>25035</v>
      </c>
      <c r="Q4045" s="3" t="n">
        <v>40480.0</v>
      </c>
      <c r="R4045" s="3" t="n">
        <v>41646.0</v>
      </c>
      <c r="S4045" s="3" t="n">
        <v>43971.49243207176</v>
      </c>
      <c r="T4045" s="3" t="n">
        <v>44672.395482789354</v>
      </c>
      <c r="U4045" t="s">
        <v>25036</v>
      </c>
      <c r="V4045" t="s">
        <v>25037</v>
      </c>
    </row>
    <row r="4046">
      <c r="A4046" t="s">
        <v>23557</v>
      </c>
      <c r="B4046" t="s">
        <v>25038</v>
      </c>
      <c r="C4046" t="s">
        <v>24</v>
      </c>
      <c r="D4046" t="s">
        <v>100</v>
      </c>
      <c r="E4046" t="s">
        <v>25039</v>
      </c>
      <c r="F4046" s="2" t="n">
        <f>HYPERLINK("https://patents.google.com/patent/US8598996","Google")</f>
        <v>0.0</v>
      </c>
      <c r="G4046" s="2" t="n">
        <f>HYPERLINK("https://patentcenter.uspto.gov/applications/13734328","Patent Center")</f>
        <v>0.0</v>
      </c>
      <c r="H4046" s="2" t="n">
        <f>HYPERLINK("https://worldwide.espacenet.com/patent/search?q=US8598996","Espacenet")</f>
        <v>0.0</v>
      </c>
      <c r="I4046" s="2" t="n">
        <f>HYPERLINK("https://ppubs.uspto.gov/pubwebapp/external.html?q=8598996.pn.","USPTO")</f>
        <v>0.0</v>
      </c>
      <c r="J4046" s="2" t="n">
        <f>HYPERLINK("https://image-ppubs.uspto.gov/dirsearch-public/print/downloadPdf/8598996","USPTO PDF")</f>
        <v>0.0</v>
      </c>
      <c r="K4046" s="2" t="n">
        <f>HYPERLINK("https://sectors.patentforecast.com/pmd/US8598996","PMD")</f>
        <v>0.0</v>
      </c>
      <c r="L4046" s="2" t="n">
        <f>HYPERLINK("https://globaldossier.uspto.gov/result/patent/US/8598996/1","US8598996")</f>
        <v>0.0</v>
      </c>
      <c r="M4046" t="s">
        <v>21224</v>
      </c>
      <c r="N4046" t="s">
        <v>20565</v>
      </c>
      <c r="O4046" t="s">
        <v>20566</v>
      </c>
      <c r="P4046" t="s">
        <v>23705</v>
      </c>
      <c r="Q4046" s="3" t="n">
        <v>41278.0</v>
      </c>
      <c r="R4046" s="3" t="n">
        <v>41611.0</v>
      </c>
      <c r="S4046" s="3" t="n">
        <v>43266.45735758102</v>
      </c>
      <c r="T4046" s="3" t="n">
        <v>43906.35771765046</v>
      </c>
      <c r="U4046" t="s">
        <v>23990</v>
      </c>
      <c r="V4046" t="s">
        <v>19025</v>
      </c>
    </row>
    <row r="4047">
      <c r="A4047" t="s">
        <v>23557</v>
      </c>
      <c r="B4047" t="s">
        <v>25040</v>
      </c>
      <c r="C4047" t="s">
        <v>60</v>
      </c>
      <c r="D4047" t="s">
        <v>61</v>
      </c>
      <c r="E4047" t="s">
        <v>23292</v>
      </c>
      <c r="F4047" s="2" t="n">
        <f>HYPERLINK("https://patents.google.com/patent/US8592397","Google")</f>
        <v>0.0</v>
      </c>
      <c r="G4047" s="2" t="n">
        <f>HYPERLINK("https://patentcenter.uspto.gov/applications/12195161","Patent Center")</f>
        <v>0.0</v>
      </c>
      <c r="H4047" s="2" t="n">
        <f>HYPERLINK("https://worldwide.espacenet.com/patent/search?q=US8592397","Espacenet")</f>
        <v>0.0</v>
      </c>
      <c r="I4047" s="2" t="n">
        <f>HYPERLINK("https://ppubs.uspto.gov/pubwebapp/external.html?q=8592397.pn.","USPTO")</f>
        <v>0.0</v>
      </c>
      <c r="J4047" s="2" t="n">
        <f>HYPERLINK("https://image-ppubs.uspto.gov/dirsearch-public/print/downloadPdf/8592397","USPTO PDF")</f>
        <v>0.0</v>
      </c>
      <c r="K4047" s="2" t="n">
        <f>HYPERLINK("https://sectors.patentforecast.com/pmd/US8592397","PMD")</f>
        <v>0.0</v>
      </c>
      <c r="L4047" s="2" t="n">
        <f>HYPERLINK("https://globaldossier.uspto.gov/result/patent/US/8592397/1","US8592397")</f>
        <v>0.0</v>
      </c>
      <c r="M4047" t="s">
        <v>22472</v>
      </c>
      <c r="N4047" t="s">
        <v>664</v>
      </c>
      <c r="O4047" t="s">
        <v>665</v>
      </c>
      <c r="P4047" t="s">
        <v>23954</v>
      </c>
      <c r="Q4047" s="3" t="n">
        <v>39680.0</v>
      </c>
      <c r="R4047" s="3" t="n">
        <v>41604.0</v>
      </c>
      <c r="S4047" s="3" t="n">
        <v>43952.45970667824</v>
      </c>
      <c r="T4047" s="3" t="n">
        <v>44638.65271974537</v>
      </c>
      <c r="U4047" t="s">
        <v>25041</v>
      </c>
      <c r="V4047" t="s">
        <v>25042</v>
      </c>
    </row>
    <row r="4048">
      <c r="A4048" t="s">
        <v>23557</v>
      </c>
      <c r="B4048" t="s">
        <v>25043</v>
      </c>
      <c r="C4048" t="s">
        <v>132</v>
      </c>
      <c r="D4048" t="s">
        <v>1265</v>
      </c>
      <c r="E4048" t="s">
        <v>23039</v>
      </c>
      <c r="F4048" s="2" t="n">
        <f>HYPERLINK("https://patents.google.com/patent/US8592197","Google")</f>
        <v>0.0</v>
      </c>
      <c r="G4048" s="2" t="n">
        <f>HYPERLINK("https://patentcenter.uspto.gov/applications/10617569","Patent Center")</f>
        <v>0.0</v>
      </c>
      <c r="H4048" s="2" t="n">
        <f>HYPERLINK("https://worldwide.espacenet.com/patent/search?q=US8592197","Espacenet")</f>
        <v>0.0</v>
      </c>
      <c r="I4048" s="2" t="n">
        <f>HYPERLINK("https://ppubs.uspto.gov/pubwebapp/external.html?q=8592197.pn.","USPTO")</f>
        <v>0.0</v>
      </c>
      <c r="J4048" s="2" t="n">
        <f>HYPERLINK("https://image-ppubs.uspto.gov/dirsearch-public/print/downloadPdf/8592197","USPTO PDF")</f>
        <v>0.0</v>
      </c>
      <c r="K4048" s="2" t="n">
        <f>HYPERLINK("https://sectors.patentforecast.com/pmd/US8592197","PMD")</f>
        <v>0.0</v>
      </c>
      <c r="L4048" s="2" t="n">
        <f>HYPERLINK("https://globaldossier.uspto.gov/result/patent/US/8592197/1","US8592197")</f>
        <v>0.0</v>
      </c>
      <c r="M4048" t="s">
        <v>25044</v>
      </c>
      <c r="N4048" t="s">
        <v>1275</v>
      </c>
      <c r="O4048" t="s">
        <v>1275</v>
      </c>
      <c r="P4048" t="s">
        <v>23630</v>
      </c>
      <c r="Q4048" s="3" t="n">
        <v>37813.0</v>
      </c>
      <c r="R4048" s="3" t="n">
        <v>41604.0</v>
      </c>
      <c r="S4048" s="3" t="n">
        <v>44019.685416631946</v>
      </c>
      <c r="T4048" s="3" t="n">
        <v>44020.62063275463</v>
      </c>
      <c r="U4048" t="s">
        <v>25045</v>
      </c>
      <c r="V4048" t="s">
        <v>19103</v>
      </c>
    </row>
    <row r="4049">
      <c r="A4049" t="s">
        <v>23557</v>
      </c>
      <c r="B4049" t="s">
        <v>25046</v>
      </c>
      <c r="C4049" t="s">
        <v>60</v>
      </c>
      <c r="D4049" t="s">
        <v>61</v>
      </c>
      <c r="E4049" t="s">
        <v>22828</v>
      </c>
      <c r="F4049" s="2" t="n">
        <f>HYPERLINK("https://patents.google.com/patent/US8586744","Google")</f>
        <v>0.0</v>
      </c>
      <c r="G4049" s="2" t="n">
        <f>HYPERLINK("https://patentcenter.uspto.gov/applications/12913704","Patent Center")</f>
        <v>0.0</v>
      </c>
      <c r="H4049" s="2" t="n">
        <f>HYPERLINK("https://worldwide.espacenet.com/patent/search?q=US8586744","Espacenet")</f>
        <v>0.0</v>
      </c>
      <c r="I4049" s="2" t="n">
        <f>HYPERLINK("https://ppubs.uspto.gov/pubwebapp/external.html?q=8586744.pn.","USPTO")</f>
        <v>0.0</v>
      </c>
      <c r="J4049" s="2" t="n">
        <f>HYPERLINK("https://image-ppubs.uspto.gov/dirsearch-public/print/downloadPdf/8586744","USPTO PDF")</f>
        <v>0.0</v>
      </c>
      <c r="K4049" s="2" t="n">
        <f>HYPERLINK("https://sectors.patentforecast.com/pmd/US8586744","PMD")</f>
        <v>0.0</v>
      </c>
      <c r="L4049" s="2" t="n">
        <f>HYPERLINK("https://globaldossier.uspto.gov/result/patent/US/8586744/1","US8586744")</f>
        <v>0.0</v>
      </c>
      <c r="M4049" t="s">
        <v>21831</v>
      </c>
      <c r="N4049" t="s">
        <v>664</v>
      </c>
      <c r="O4049" t="s">
        <v>665</v>
      </c>
      <c r="P4049" t="s">
        <v>24984</v>
      </c>
      <c r="Q4049" s="3" t="n">
        <v>40478.0</v>
      </c>
      <c r="R4049" s="3" t="n">
        <v>41597.0</v>
      </c>
      <c r="S4049" s="3" t="n">
        <v>43952.45970667824</v>
      </c>
      <c r="T4049" s="3" t="n">
        <v>44638.65271974537</v>
      </c>
      <c r="U4049" t="s">
        <v>25047</v>
      </c>
      <c r="V4049" t="s">
        <v>21834</v>
      </c>
    </row>
    <row r="4050">
      <c r="A4050" t="s">
        <v>23557</v>
      </c>
      <c r="B4050" t="s">
        <v>25048</v>
      </c>
      <c r="C4050" t="s">
        <v>132</v>
      </c>
      <c r="D4050" t="s">
        <v>1265</v>
      </c>
      <c r="E4050" t="s">
        <v>23170</v>
      </c>
      <c r="F4050" s="2" t="n">
        <f>HYPERLINK("https://patents.google.com/patent/US8580277","Google")</f>
        <v>0.0</v>
      </c>
      <c r="G4050" s="2" t="n">
        <f>HYPERLINK("https://patentcenter.uspto.gov/applications/13077488","Patent Center")</f>
        <v>0.0</v>
      </c>
      <c r="H4050" s="2" t="n">
        <f>HYPERLINK("https://worldwide.espacenet.com/patent/search?q=US8580277","Espacenet")</f>
        <v>0.0</v>
      </c>
      <c r="I4050" s="2" t="n">
        <f>HYPERLINK("https://ppubs.uspto.gov/pubwebapp/external.html?q=8580277.pn.","USPTO")</f>
        <v>0.0</v>
      </c>
      <c r="J4050" s="2" t="n">
        <f>HYPERLINK("https://image-ppubs.uspto.gov/dirsearch-public/print/downloadPdf/8580277","USPTO PDF")</f>
        <v>0.0</v>
      </c>
      <c r="K4050" s="2" t="n">
        <f>HYPERLINK("https://sectors.patentforecast.com/pmd/US8580277","PMD")</f>
        <v>0.0</v>
      </c>
      <c r="L4050" s="2" t="n">
        <f>HYPERLINK("https://globaldossier.uspto.gov/result/patent/US/8580277/1","US8580277")</f>
        <v>0.0</v>
      </c>
      <c r="M4050" t="s">
        <v>21727</v>
      </c>
      <c r="N4050" t="s">
        <v>21123</v>
      </c>
      <c r="O4050" t="s">
        <v>21124</v>
      </c>
      <c r="P4050" t="s">
        <v>25049</v>
      </c>
      <c r="Q4050" s="3" t="n">
        <v>40633.0</v>
      </c>
      <c r="R4050" s="3" t="n">
        <v>41590.0</v>
      </c>
      <c r="S4050" s="3" t="n">
        <v>43900.43738940972</v>
      </c>
      <c r="T4050" s="3" t="n">
        <v>43901.70557097222</v>
      </c>
      <c r="U4050" t="s">
        <v>24678</v>
      </c>
      <c r="V4050" t="s">
        <v>21127</v>
      </c>
    </row>
    <row r="4051">
      <c r="A4051" t="s">
        <v>23557</v>
      </c>
      <c r="B4051" t="s">
        <v>25050</v>
      </c>
      <c r="C4051" t="s">
        <v>24</v>
      </c>
      <c r="D4051" t="s">
        <v>25</v>
      </c>
      <c r="E4051" t="s">
        <v>22673</v>
      </c>
      <c r="F4051" s="2" t="n">
        <f>HYPERLINK("https://patents.google.com/patent/US8577642","Google")</f>
        <v>0.0</v>
      </c>
      <c r="G4051" s="2" t="n">
        <f>HYPERLINK("https://patentcenter.uspto.gov/applications/13445190","Patent Center")</f>
        <v>0.0</v>
      </c>
      <c r="H4051" s="2" t="n">
        <f>HYPERLINK("https://worldwide.espacenet.com/patent/search?q=US8577642","Espacenet")</f>
        <v>0.0</v>
      </c>
      <c r="I4051" s="2" t="n">
        <f>HYPERLINK("https://ppubs.uspto.gov/pubwebapp/external.html?q=8577642.pn.","USPTO")</f>
        <v>0.0</v>
      </c>
      <c r="J4051" s="2" t="n">
        <f>HYPERLINK("https://image-ppubs.uspto.gov/dirsearch-public/print/downloadPdf/8577642","USPTO PDF")</f>
        <v>0.0</v>
      </c>
      <c r="K4051" s="2" t="n">
        <f>HYPERLINK("https://sectors.patentforecast.com/pmd/US8577642","PMD")</f>
        <v>0.0</v>
      </c>
      <c r="L4051" s="2" t="n">
        <f>HYPERLINK("https://globaldossier.uspto.gov/result/patent/US/8577642/1","US8577642")</f>
        <v>0.0</v>
      </c>
      <c r="M4051" t="s">
        <v>21455</v>
      </c>
      <c r="N4051" t="s">
        <v>18699</v>
      </c>
      <c r="O4051" t="s">
        <v>18700</v>
      </c>
      <c r="P4051" t="s">
        <v>25051</v>
      </c>
      <c r="Q4051" s="3" t="n">
        <v>41011.0</v>
      </c>
      <c r="R4051" s="3" t="n">
        <v>41583.0</v>
      </c>
      <c r="S4051" s="3" t="n">
        <v>43900.43738940972</v>
      </c>
      <c r="T4051" s="3" t="n">
        <v>43901.70557085648</v>
      </c>
      <c r="U4051" t="s">
        <v>25052</v>
      </c>
      <c r="V4051" t="s">
        <v>18703</v>
      </c>
    </row>
    <row r="4052">
      <c r="A4052" t="s">
        <v>23557</v>
      </c>
      <c r="B4052" t="s">
        <v>25053</v>
      </c>
      <c r="C4052" t="s">
        <v>60</v>
      </c>
      <c r="D4052" t="s">
        <v>61</v>
      </c>
      <c r="E4052" t="s">
        <v>22432</v>
      </c>
      <c r="F4052" s="2" t="n">
        <f>HYPERLINK("https://patents.google.com/patent/US8575135","Google")</f>
        <v>0.0</v>
      </c>
      <c r="G4052" s="2" t="n">
        <f>HYPERLINK("https://patentcenter.uspto.gov/applications/13783056","Patent Center")</f>
        <v>0.0</v>
      </c>
      <c r="H4052" s="2" t="n">
        <f>HYPERLINK("https://worldwide.espacenet.com/patent/search?q=US8575135","Espacenet")</f>
        <v>0.0</v>
      </c>
      <c r="I4052" s="2" t="n">
        <f>HYPERLINK("https://ppubs.uspto.gov/pubwebapp/external.html?q=8575135.pn.","USPTO")</f>
        <v>0.0</v>
      </c>
      <c r="J4052" s="2" t="n">
        <f>HYPERLINK("https://image-ppubs.uspto.gov/dirsearch-public/print/downloadPdf/8575135","USPTO PDF")</f>
        <v>0.0</v>
      </c>
      <c r="K4052" s="2" t="n">
        <f>HYPERLINK("https://sectors.patentforecast.com/pmd/US8575135","PMD")</f>
        <v>0.0</v>
      </c>
      <c r="L4052" s="2" t="n">
        <f>HYPERLINK("https://globaldossier.uspto.gov/result/patent/US/8575135/1","US8575135")</f>
        <v>0.0</v>
      </c>
      <c r="M4052" t="s">
        <v>21147</v>
      </c>
      <c r="N4052" t="s">
        <v>664</v>
      </c>
      <c r="O4052" t="s">
        <v>665</v>
      </c>
      <c r="P4052" t="s">
        <v>24492</v>
      </c>
      <c r="Q4052" s="3" t="n">
        <v>41334.0</v>
      </c>
      <c r="R4052" s="3" t="n">
        <v>41583.0</v>
      </c>
      <c r="S4052" s="3" t="n">
        <v>43952.45970667824</v>
      </c>
      <c r="T4052" s="3" t="n">
        <v>44638.65271974537</v>
      </c>
      <c r="U4052" t="s">
        <v>25054</v>
      </c>
      <c r="V4052" t="s">
        <v>17072</v>
      </c>
    </row>
    <row r="4053">
      <c r="A4053" t="s">
        <v>23557</v>
      </c>
      <c r="B4053" t="s">
        <v>25055</v>
      </c>
      <c r="C4053" t="s">
        <v>60</v>
      </c>
      <c r="D4053" t="s">
        <v>61</v>
      </c>
      <c r="E4053" t="s">
        <v>22432</v>
      </c>
      <c r="F4053" s="2" t="n">
        <f>HYPERLINK("https://patents.google.com/patent/US8575118","Google")</f>
        <v>0.0</v>
      </c>
      <c r="G4053" s="2" t="n">
        <f>HYPERLINK("https://patentcenter.uspto.gov/applications/13553517","Patent Center")</f>
        <v>0.0</v>
      </c>
      <c r="H4053" s="2" t="n">
        <f>HYPERLINK("https://worldwide.espacenet.com/patent/search?q=US8575118","Espacenet")</f>
        <v>0.0</v>
      </c>
      <c r="I4053" s="2" t="n">
        <f>HYPERLINK("https://ppubs.uspto.gov/pubwebapp/external.html?q=8575118.pn.","USPTO")</f>
        <v>0.0</v>
      </c>
      <c r="J4053" s="2" t="n">
        <f>HYPERLINK("https://image-ppubs.uspto.gov/dirsearch-public/print/downloadPdf/8575118","USPTO PDF")</f>
        <v>0.0</v>
      </c>
      <c r="K4053" s="2" t="n">
        <f>HYPERLINK("https://sectors.patentforecast.com/pmd/US8575118","PMD")</f>
        <v>0.0</v>
      </c>
      <c r="L4053" s="2" t="n">
        <f>HYPERLINK("https://globaldossier.uspto.gov/result/patent/US/8575118/1","US8575118")</f>
        <v>0.0</v>
      </c>
      <c r="M4053" t="s">
        <v>21189</v>
      </c>
      <c r="N4053" t="s">
        <v>664</v>
      </c>
      <c r="O4053" t="s">
        <v>665</v>
      </c>
      <c r="P4053" t="s">
        <v>25056</v>
      </c>
      <c r="Q4053" s="3" t="n">
        <v>41109.0</v>
      </c>
      <c r="R4053" s="3" t="n">
        <v>41583.0</v>
      </c>
      <c r="S4053" s="3" t="n">
        <v>43952.45970667824</v>
      </c>
      <c r="T4053" s="3" t="n">
        <v>44638.65271974537</v>
      </c>
      <c r="U4053" t="s">
        <v>25057</v>
      </c>
      <c r="V4053" t="s">
        <v>16907</v>
      </c>
    </row>
    <row r="4054">
      <c r="A4054" t="s">
        <v>23557</v>
      </c>
      <c r="B4054" t="s">
        <v>25058</v>
      </c>
      <c r="C4054" t="s">
        <v>24</v>
      </c>
      <c r="D4054" t="s">
        <v>25</v>
      </c>
      <c r="E4054" t="s">
        <v>25059</v>
      </c>
      <c r="F4054" s="2" t="n">
        <f>HYPERLINK("https://patents.google.com/patent/US8572059","Google")</f>
        <v>0.0</v>
      </c>
      <c r="G4054" s="2" t="n">
        <f>HYPERLINK("https://patentcenter.uspto.gov/applications/10886515","Patent Center")</f>
        <v>0.0</v>
      </c>
      <c r="H4054" s="2" t="n">
        <f>HYPERLINK("https://worldwide.espacenet.com/patent/search?q=US8572059","Espacenet")</f>
        <v>0.0</v>
      </c>
      <c r="I4054" s="2" t="n">
        <f>HYPERLINK("https://ppubs.uspto.gov/pubwebapp/external.html?q=8572059.pn.","USPTO")</f>
        <v>0.0</v>
      </c>
      <c r="J4054" s="2" t="n">
        <f>HYPERLINK("https://image-ppubs.uspto.gov/dirsearch-public/print/downloadPdf/8572059","USPTO PDF")</f>
        <v>0.0</v>
      </c>
      <c r="K4054" s="2" t="n">
        <f>HYPERLINK("https://sectors.patentforecast.com/pmd/US8572059","PMD")</f>
        <v>0.0</v>
      </c>
      <c r="L4054" s="2" t="n">
        <f>HYPERLINK("https://globaldossier.uspto.gov/result/patent/US/8572059/1","US8572059")</f>
        <v>0.0</v>
      </c>
      <c r="M4054" t="s">
        <v>25060</v>
      </c>
      <c r="N4054" t="s">
        <v>20847</v>
      </c>
      <c r="O4054" t="s">
        <v>20848</v>
      </c>
      <c r="P4054" t="s">
        <v>25061</v>
      </c>
      <c r="Q4054" s="3" t="n">
        <v>38175.0</v>
      </c>
      <c r="R4054" s="3" t="n">
        <v>41576.0</v>
      </c>
      <c r="S4054" s="3" t="n">
        <v>43266.45735758102</v>
      </c>
      <c r="T4054" s="3" t="n">
        <v>43901.70557067129</v>
      </c>
      <c r="U4054" t="s">
        <v>25062</v>
      </c>
      <c r="V4054" t="s">
        <v>20851</v>
      </c>
    </row>
    <row r="4055">
      <c r="A4055" t="s">
        <v>23557</v>
      </c>
      <c r="B4055" t="s">
        <v>25063</v>
      </c>
      <c r="C4055" t="s">
        <v>60</v>
      </c>
      <c r="D4055" t="s">
        <v>61</v>
      </c>
      <c r="E4055" t="s">
        <v>25064</v>
      </c>
      <c r="F4055" s="2" t="n">
        <f>HYPERLINK("https://patents.google.com/patent/US8569478","Google")</f>
        <v>0.0</v>
      </c>
      <c r="G4055" s="2" t="n">
        <f>HYPERLINK("https://patentcenter.uspto.gov/applications/12067995","Patent Center")</f>
        <v>0.0</v>
      </c>
      <c r="H4055" s="2" t="n">
        <f>HYPERLINK("https://worldwide.espacenet.com/patent/search?q=US8569478","Espacenet")</f>
        <v>0.0</v>
      </c>
      <c r="I4055" s="2" t="n">
        <f>HYPERLINK("https://ppubs.uspto.gov/pubwebapp/external.html?q=8569478.pn.","USPTO")</f>
        <v>0.0</v>
      </c>
      <c r="J4055" s="2" t="n">
        <f>HYPERLINK("https://image-ppubs.uspto.gov/dirsearch-public/print/downloadPdf/8569478","USPTO PDF")</f>
        <v>0.0</v>
      </c>
      <c r="K4055" s="2" t="n">
        <f>HYPERLINK("https://sectors.patentforecast.com/pmd/US8569478","PMD")</f>
        <v>0.0</v>
      </c>
      <c r="L4055" s="2" t="n">
        <f>HYPERLINK("https://globaldossier.uspto.gov/result/patent/US/8569478/1","US8569478")</f>
        <v>0.0</v>
      </c>
      <c r="M4055" t="s">
        <v>25065</v>
      </c>
      <c r="N4055" t="s">
        <v>664</v>
      </c>
      <c r="O4055" t="s">
        <v>665</v>
      </c>
      <c r="P4055" t="s">
        <v>25066</v>
      </c>
      <c r="Q4055" s="3" t="n">
        <v>38986.0</v>
      </c>
      <c r="R4055" s="3" t="n">
        <v>41576.0</v>
      </c>
      <c r="S4055" s="3" t="n">
        <v>43952.45970667824</v>
      </c>
      <c r="T4055" s="3" t="n">
        <v>44638.65271974537</v>
      </c>
      <c r="U4055" t="s">
        <v>25067</v>
      </c>
      <c r="V4055" t="s">
        <v>25068</v>
      </c>
    </row>
    <row r="4056">
      <c r="A4056" t="s">
        <v>23557</v>
      </c>
      <c r="B4056" t="s">
        <v>25069</v>
      </c>
      <c r="C4056" t="s">
        <v>60</v>
      </c>
      <c r="D4056" t="s">
        <v>61</v>
      </c>
      <c r="E4056" t="s">
        <v>24872</v>
      </c>
      <c r="F4056" s="2" t="n">
        <f>HYPERLINK("https://patents.google.com/patent/US8569302","Google")</f>
        <v>0.0</v>
      </c>
      <c r="G4056" s="2" t="n">
        <f>HYPERLINK("https://patentcenter.uspto.gov/applications/12838684","Patent Center")</f>
        <v>0.0</v>
      </c>
      <c r="H4056" s="2" t="n">
        <f>HYPERLINK("https://worldwide.espacenet.com/patent/search?q=US8569302","Espacenet")</f>
        <v>0.0</v>
      </c>
      <c r="I4056" s="2" t="n">
        <f>HYPERLINK("https://ppubs.uspto.gov/pubwebapp/external.html?q=8569302.pn.","USPTO")</f>
        <v>0.0</v>
      </c>
      <c r="J4056" s="2" t="n">
        <f>HYPERLINK("https://image-ppubs.uspto.gov/dirsearch-public/print/downloadPdf/8569302","USPTO PDF")</f>
        <v>0.0</v>
      </c>
      <c r="K4056" s="2" t="n">
        <f>HYPERLINK("https://sectors.patentforecast.com/pmd/US8569302","PMD")</f>
        <v>0.0</v>
      </c>
      <c r="L4056" s="2" t="n">
        <f>HYPERLINK("https://globaldossier.uspto.gov/result/patent/US/8569302/1","US8569302")</f>
        <v>0.0</v>
      </c>
      <c r="M4056" t="s">
        <v>21953</v>
      </c>
      <c r="N4056" t="s">
        <v>664</v>
      </c>
      <c r="O4056" t="s">
        <v>665</v>
      </c>
      <c r="P4056" t="s">
        <v>25070</v>
      </c>
      <c r="Q4056" s="3" t="n">
        <v>40378.0</v>
      </c>
      <c r="R4056" s="3" t="n">
        <v>41576.0</v>
      </c>
      <c r="S4056" s="3" t="n">
        <v>43952.45970667824</v>
      </c>
      <c r="T4056" s="3" t="n">
        <v>44638.65643378472</v>
      </c>
      <c r="U4056" t="s">
        <v>25071</v>
      </c>
      <c r="V4056" t="s">
        <v>24409</v>
      </c>
    </row>
    <row r="4057">
      <c r="A4057" t="s">
        <v>23557</v>
      </c>
      <c r="B4057" t="s">
        <v>25072</v>
      </c>
      <c r="C4057" t="s">
        <v>24</v>
      </c>
      <c r="D4057" t="s">
        <v>3193</v>
      </c>
      <c r="E4057" t="s">
        <v>25073</v>
      </c>
      <c r="F4057" s="2" t="n">
        <f>HYPERLINK("https://patents.google.com/patent/US8560339","Google")</f>
        <v>0.0</v>
      </c>
      <c r="G4057" s="2" t="n">
        <f>HYPERLINK("https://patentcenter.uspto.gov/applications/12593976","Patent Center")</f>
        <v>0.0</v>
      </c>
      <c r="H4057" s="2" t="n">
        <f>HYPERLINK("https://worldwide.espacenet.com/patent/search?q=US8560339","Espacenet")</f>
        <v>0.0</v>
      </c>
      <c r="I4057" s="2" t="n">
        <f>HYPERLINK("https://ppubs.uspto.gov/pubwebapp/external.html?q=8560339.pn.","USPTO")</f>
        <v>0.0</v>
      </c>
      <c r="J4057" s="2" t="n">
        <f>HYPERLINK("https://image-ppubs.uspto.gov/dirsearch-public/print/downloadPdf/8560339","USPTO PDF")</f>
        <v>0.0</v>
      </c>
      <c r="K4057" s="2" t="n">
        <f>HYPERLINK("https://sectors.patentforecast.com/pmd/US8560339","PMD")</f>
        <v>0.0</v>
      </c>
      <c r="L4057" s="2" t="n">
        <f>HYPERLINK("https://globaldossier.uspto.gov/result/patent/US/8560339/1","US8560339")</f>
        <v>0.0</v>
      </c>
      <c r="M4057" t="s">
        <v>22271</v>
      </c>
      <c r="N4057" t="s">
        <v>20472</v>
      </c>
      <c r="O4057" t="s">
        <v>20473</v>
      </c>
      <c r="P4057" t="s">
        <v>25074</v>
      </c>
      <c r="Q4057" s="3" t="n">
        <v>39540.0</v>
      </c>
      <c r="R4057" s="3" t="n">
        <v>41562.0</v>
      </c>
      <c r="S4057" s="3" t="n">
        <v>43266.45735758102</v>
      </c>
      <c r="T4057" s="3" t="n">
        <v>43950.61128952546</v>
      </c>
      <c r="U4057" t="s">
        <v>25075</v>
      </c>
      <c r="V4057" t="s">
        <v>22273</v>
      </c>
    </row>
    <row r="4058">
      <c r="A4058" t="s">
        <v>23557</v>
      </c>
      <c r="B4058" t="s">
        <v>25076</v>
      </c>
      <c r="C4058" t="s">
        <v>60</v>
      </c>
      <c r="D4058" t="s">
        <v>61</v>
      </c>
      <c r="E4058" t="s">
        <v>25077</v>
      </c>
      <c r="F4058" s="2" t="n">
        <f>HYPERLINK("https://patents.google.com/patent/US8536187","Google")</f>
        <v>0.0</v>
      </c>
      <c r="G4058" s="2" t="n">
        <f>HYPERLINK("https://patentcenter.uspto.gov/applications/12996110","Patent Center")</f>
        <v>0.0</v>
      </c>
      <c r="H4058" s="2" t="n">
        <f>HYPERLINK("https://worldwide.espacenet.com/patent/search?q=US8536187","Espacenet")</f>
        <v>0.0</v>
      </c>
      <c r="I4058" s="2" t="n">
        <f>HYPERLINK("https://ppubs.uspto.gov/pubwebapp/external.html?q=8536187.pn.","USPTO")</f>
        <v>0.0</v>
      </c>
      <c r="J4058" s="2" t="n">
        <f>HYPERLINK("https://image-ppubs.uspto.gov/dirsearch-public/print/downloadPdf/8536187","USPTO PDF")</f>
        <v>0.0</v>
      </c>
      <c r="K4058" s="2" t="n">
        <f>HYPERLINK("https://sectors.patentforecast.com/pmd/US8536187","PMD")</f>
        <v>0.0</v>
      </c>
      <c r="L4058" s="2" t="n">
        <f>HYPERLINK("https://globaldossier.uspto.gov/result/patent/US/8536187/1","US8536187")</f>
        <v>0.0</v>
      </c>
      <c r="M4058" t="s">
        <v>21786</v>
      </c>
      <c r="N4058" t="s">
        <v>664</v>
      </c>
      <c r="O4058" t="s">
        <v>665</v>
      </c>
      <c r="P4058" t="s">
        <v>25078</v>
      </c>
      <c r="Q4058" s="3" t="n">
        <v>39995.0</v>
      </c>
      <c r="R4058" s="3" t="n">
        <v>41534.0</v>
      </c>
      <c r="S4058" s="3" t="n">
        <v>43952.45970667824</v>
      </c>
      <c r="T4058" s="3" t="n">
        <v>44638.65579662037</v>
      </c>
      <c r="U4058" t="s">
        <v>25079</v>
      </c>
      <c r="V4058" t="s">
        <v>21791</v>
      </c>
    </row>
    <row r="4059">
      <c r="A4059" t="s">
        <v>23557</v>
      </c>
      <c r="B4059" t="s">
        <v>25080</v>
      </c>
      <c r="C4059" t="s">
        <v>132</v>
      </c>
      <c r="D4059" t="s">
        <v>2629</v>
      </c>
      <c r="E4059" t="s">
        <v>25081</v>
      </c>
      <c r="F4059" s="2" t="n">
        <f>HYPERLINK("https://patents.google.com/patent/US8535687","Google")</f>
        <v>0.0</v>
      </c>
      <c r="G4059" s="2" t="n">
        <f>HYPERLINK("https://patentcenter.uspto.gov/applications/12473634","Patent Center")</f>
        <v>0.0</v>
      </c>
      <c r="H4059" s="2" t="n">
        <f>HYPERLINK("https://worldwide.espacenet.com/patent/search?q=US8535687","Espacenet")</f>
        <v>0.0</v>
      </c>
      <c r="I4059" s="2" t="n">
        <f>HYPERLINK("https://ppubs.uspto.gov/pubwebapp/external.html?q=8535687.pn.","USPTO")</f>
        <v>0.0</v>
      </c>
      <c r="J4059" s="2" t="n">
        <f>HYPERLINK("https://image-ppubs.uspto.gov/dirsearch-public/print/downloadPdf/8535687","USPTO PDF")</f>
        <v>0.0</v>
      </c>
      <c r="K4059" s="2" t="n">
        <f>HYPERLINK("https://sectors.patentforecast.com/pmd/US8535687","PMD")</f>
        <v>0.0</v>
      </c>
      <c r="L4059" s="2" t="n">
        <f>HYPERLINK("https://globaldossier.uspto.gov/result/patent/US/8535687/1","US8535687")</f>
        <v>0.0</v>
      </c>
      <c r="M4059" t="s">
        <v>25082</v>
      </c>
      <c r="N4059" t="s">
        <v>10151</v>
      </c>
      <c r="O4059" t="s">
        <v>10152</v>
      </c>
      <c r="P4059" t="s">
        <v>25083</v>
      </c>
      <c r="Q4059" s="3" t="n">
        <v>39961.0</v>
      </c>
      <c r="R4059" s="3" t="n">
        <v>41534.0</v>
      </c>
      <c r="S4059" s="3" t="n">
        <v>43936.46037523148</v>
      </c>
      <c r="T4059" s="3" t="n">
        <v>44543.6817503125</v>
      </c>
      <c r="U4059" t="s">
        <v>25084</v>
      </c>
      <c r="V4059" t="s">
        <v>25085</v>
      </c>
    </row>
    <row r="4060">
      <c r="A4060" t="s">
        <v>23557</v>
      </c>
      <c r="B4060" t="s">
        <v>25086</v>
      </c>
      <c r="C4060" t="s">
        <v>60</v>
      </c>
      <c r="D4060" t="s">
        <v>61</v>
      </c>
      <c r="E4060" t="s">
        <v>24406</v>
      </c>
      <c r="F4060" s="2" t="n">
        <f>HYPERLINK("https://patents.google.com/patent/US8524764","Google")</f>
        <v>0.0</v>
      </c>
      <c r="G4060" s="2" t="n">
        <f>HYPERLINK("https://patentcenter.uspto.gov/applications/13006761","Patent Center")</f>
        <v>0.0</v>
      </c>
      <c r="H4060" s="2" t="n">
        <f>HYPERLINK("https://worldwide.espacenet.com/patent/search?q=US8524764","Espacenet")</f>
        <v>0.0</v>
      </c>
      <c r="I4060" s="2" t="n">
        <f>HYPERLINK("https://ppubs.uspto.gov/pubwebapp/external.html?q=8524764.pn.","USPTO")</f>
        <v>0.0</v>
      </c>
      <c r="J4060" s="2" t="n">
        <f>HYPERLINK("https://image-ppubs.uspto.gov/dirsearch-public/print/downloadPdf/8524764","USPTO PDF")</f>
        <v>0.0</v>
      </c>
      <c r="K4060" s="2" t="n">
        <f>HYPERLINK("https://sectors.patentforecast.com/pmd/US8524764","PMD")</f>
        <v>0.0</v>
      </c>
      <c r="L4060" s="2" t="n">
        <f>HYPERLINK("https://globaldossier.uspto.gov/result/patent/US/8524764/1","US8524764")</f>
        <v>0.0</v>
      </c>
      <c r="M4060" t="s">
        <v>21734</v>
      </c>
      <c r="N4060" t="s">
        <v>664</v>
      </c>
      <c r="O4060" t="s">
        <v>665</v>
      </c>
      <c r="P4060" t="s">
        <v>25087</v>
      </c>
      <c r="Q4060" s="3" t="n">
        <v>40557.0</v>
      </c>
      <c r="R4060" s="3" t="n">
        <v>41520.0</v>
      </c>
      <c r="S4060" s="3" t="n">
        <v>43952.45970667824</v>
      </c>
      <c r="T4060" s="3" t="n">
        <v>44638.65643378472</v>
      </c>
      <c r="U4060" t="s">
        <v>25088</v>
      </c>
      <c r="V4060" t="s">
        <v>24409</v>
      </c>
    </row>
    <row r="4061">
      <c r="A4061" t="s">
        <v>23557</v>
      </c>
      <c r="B4061" t="s">
        <v>25089</v>
      </c>
      <c r="C4061" t="s">
        <v>24</v>
      </c>
      <c r="D4061" t="s">
        <v>25</v>
      </c>
      <c r="E4061" t="s">
        <v>25090</v>
      </c>
      <c r="F4061" s="2" t="n">
        <f>HYPERLINK("https://patents.google.com/patent/US8519850","Google")</f>
        <v>0.0</v>
      </c>
      <c r="G4061" s="2" t="n">
        <f>HYPERLINK("https://patentcenter.uspto.gov/applications/13019123","Patent Center")</f>
        <v>0.0</v>
      </c>
      <c r="H4061" s="2" t="n">
        <f>HYPERLINK("https://worldwide.espacenet.com/patent/search?q=US8519850","Espacenet")</f>
        <v>0.0</v>
      </c>
      <c r="I4061" s="2" t="n">
        <f>HYPERLINK("https://ppubs.uspto.gov/pubwebapp/external.html?q=8519850.pn.","USPTO")</f>
        <v>0.0</v>
      </c>
      <c r="J4061" s="2" t="n">
        <f>HYPERLINK("https://image-ppubs.uspto.gov/dirsearch-public/print/downloadPdf/8519850","USPTO PDF")</f>
        <v>0.0</v>
      </c>
      <c r="K4061" s="2" t="n">
        <f>HYPERLINK("https://sectors.patentforecast.com/pmd/US8519850","PMD")</f>
        <v>0.0</v>
      </c>
      <c r="L4061" s="2" t="n">
        <f>HYPERLINK("https://globaldossier.uspto.gov/result/patent/US/8519850/1","US8519850")</f>
        <v>0.0</v>
      </c>
      <c r="M4061" t="s">
        <v>21465</v>
      </c>
      <c r="N4061" t="s">
        <v>21466</v>
      </c>
      <c r="O4061" t="s">
        <v>21467</v>
      </c>
      <c r="P4061" t="s">
        <v>25091</v>
      </c>
      <c r="Q4061" s="3" t="n">
        <v>40575.0</v>
      </c>
      <c r="R4061" s="3" t="n">
        <v>41513.0</v>
      </c>
      <c r="S4061" s="3" t="n">
        <v>43266.45735758102</v>
      </c>
      <c r="T4061" s="3" t="n">
        <v>43950.609662939816</v>
      </c>
      <c r="U4061" t="s">
        <v>25092</v>
      </c>
      <c r="V4061" t="s">
        <v>21469</v>
      </c>
    </row>
    <row r="4062">
      <c r="A4062" t="s">
        <v>23557</v>
      </c>
      <c r="B4062" t="s">
        <v>25093</v>
      </c>
      <c r="C4062" t="s">
        <v>24</v>
      </c>
      <c r="D4062" t="s">
        <v>204</v>
      </c>
      <c r="E4062" t="s">
        <v>25094</v>
      </c>
      <c r="F4062" s="2" t="n">
        <f>HYPERLINK("https://patents.google.com/patent/US8515777","Google")</f>
        <v>0.0</v>
      </c>
      <c r="G4062" s="2" t="n">
        <f>HYPERLINK("https://patentcenter.uspto.gov/applications/13272213","Patent Center")</f>
        <v>0.0</v>
      </c>
      <c r="H4062" s="2" t="n">
        <f>HYPERLINK("https://worldwide.espacenet.com/patent/search?q=US8515777","Espacenet")</f>
        <v>0.0</v>
      </c>
      <c r="I4062" s="2" t="n">
        <f>HYPERLINK("https://ppubs.uspto.gov/pubwebapp/external.html?q=8515777.pn.","USPTO")</f>
        <v>0.0</v>
      </c>
      <c r="J4062" s="2" t="n">
        <f>HYPERLINK("https://image-ppubs.uspto.gov/dirsearch-public/print/downloadPdf/8515777","USPTO PDF")</f>
        <v>0.0</v>
      </c>
      <c r="K4062" s="2" t="n">
        <f>HYPERLINK("https://sectors.patentforecast.com/pmd/US8515777","PMD")</f>
        <v>0.0</v>
      </c>
      <c r="L4062" s="2" t="n">
        <f>HYPERLINK("https://globaldossier.uspto.gov/result/patent/US/8515777/1","US8515777")</f>
        <v>0.0</v>
      </c>
      <c r="M4062" t="s">
        <v>25095</v>
      </c>
      <c r="N4062" t="s">
        <v>25096</v>
      </c>
      <c r="O4062" t="s">
        <v>25097</v>
      </c>
      <c r="P4062" t="s">
        <v>25098</v>
      </c>
      <c r="Q4062" s="3" t="n">
        <v>40828.0</v>
      </c>
      <c r="R4062" s="3" t="n">
        <v>41506.0</v>
      </c>
      <c r="S4062" s="3" t="n">
        <v>44019.232709386575</v>
      </c>
      <c r="T4062" s="3" t="n">
        <v>44019.71005125</v>
      </c>
      <c r="U4062" t="s">
        <v>25099</v>
      </c>
      <c r="V4062" t="s">
        <v>25100</v>
      </c>
    </row>
    <row r="4063">
      <c r="A4063" t="s">
        <v>23557</v>
      </c>
      <c r="B4063" t="s">
        <v>25101</v>
      </c>
      <c r="C4063" t="s">
        <v>60</v>
      </c>
      <c r="D4063" t="s">
        <v>61</v>
      </c>
      <c r="E4063" t="s">
        <v>24872</v>
      </c>
      <c r="F4063" s="2" t="n">
        <f>HYPERLINK("https://patents.google.com/patent/US8513298","Google")</f>
        <v>0.0</v>
      </c>
      <c r="G4063" s="2" t="n">
        <f>HYPERLINK("https://patentcenter.uspto.gov/applications/13007150","Patent Center")</f>
        <v>0.0</v>
      </c>
      <c r="H4063" s="2" t="n">
        <f>HYPERLINK("https://worldwide.espacenet.com/patent/search?q=US8513298","Espacenet")</f>
        <v>0.0</v>
      </c>
      <c r="I4063" s="2" t="n">
        <f>HYPERLINK("https://ppubs.uspto.gov/pubwebapp/external.html?q=8513298.pn.","USPTO")</f>
        <v>0.0</v>
      </c>
      <c r="J4063" s="2" t="n">
        <f>HYPERLINK("https://image-ppubs.uspto.gov/dirsearch-public/print/downloadPdf/8513298","USPTO PDF")</f>
        <v>0.0</v>
      </c>
      <c r="K4063" s="2" t="n">
        <f>HYPERLINK("https://sectors.patentforecast.com/pmd/US8513298","PMD")</f>
        <v>0.0</v>
      </c>
      <c r="L4063" s="2" t="n">
        <f>HYPERLINK("https://globaldossier.uspto.gov/result/patent/US/8513298/1","US8513298")</f>
        <v>0.0</v>
      </c>
      <c r="M4063" t="s">
        <v>21730</v>
      </c>
      <c r="N4063" t="s">
        <v>664</v>
      </c>
      <c r="O4063" t="s">
        <v>665</v>
      </c>
      <c r="P4063" t="s">
        <v>24407</v>
      </c>
      <c r="Q4063" s="3" t="n">
        <v>40557.0</v>
      </c>
      <c r="R4063" s="3" t="n">
        <v>41506.0</v>
      </c>
      <c r="S4063" s="3" t="n">
        <v>43952.45970667824</v>
      </c>
      <c r="T4063" s="3" t="n">
        <v>44638.65643378472</v>
      </c>
      <c r="U4063" t="s">
        <v>25102</v>
      </c>
      <c r="V4063" t="s">
        <v>24409</v>
      </c>
    </row>
    <row r="4064">
      <c r="A4064" t="s">
        <v>23557</v>
      </c>
      <c r="B4064" t="s">
        <v>25103</v>
      </c>
      <c r="C4064" t="s">
        <v>60</v>
      </c>
      <c r="D4064" t="s">
        <v>61</v>
      </c>
      <c r="E4064" t="s">
        <v>22432</v>
      </c>
      <c r="F4064" s="2" t="n">
        <f>HYPERLINK("https://patents.google.com/patent/US8513186","Google")</f>
        <v>0.0</v>
      </c>
      <c r="G4064" s="2" t="n">
        <f>HYPERLINK("https://patentcenter.uspto.gov/applications/12215601","Patent Center")</f>
        <v>0.0</v>
      </c>
      <c r="H4064" s="2" t="n">
        <f>HYPERLINK("https://worldwide.espacenet.com/patent/search?q=US8513186","Espacenet")</f>
        <v>0.0</v>
      </c>
      <c r="I4064" s="2" t="n">
        <f>HYPERLINK("https://ppubs.uspto.gov/pubwebapp/external.html?q=8513186.pn.","USPTO")</f>
        <v>0.0</v>
      </c>
      <c r="J4064" s="2" t="n">
        <f>HYPERLINK("https://image-ppubs.uspto.gov/dirsearch-public/print/downloadPdf/8513186","USPTO PDF")</f>
        <v>0.0</v>
      </c>
      <c r="K4064" s="2" t="n">
        <f>HYPERLINK("https://sectors.patentforecast.com/pmd/US8513186","PMD")</f>
        <v>0.0</v>
      </c>
      <c r="L4064" s="2" t="n">
        <f>HYPERLINK("https://globaldossier.uspto.gov/result/patent/US/8513186/1","US8513186")</f>
        <v>0.0</v>
      </c>
      <c r="M4064" t="s">
        <v>22433</v>
      </c>
      <c r="N4064" t="s">
        <v>664</v>
      </c>
      <c r="O4064" t="s">
        <v>665</v>
      </c>
      <c r="P4064" t="s">
        <v>24831</v>
      </c>
      <c r="Q4064" s="3" t="n">
        <v>39625.0</v>
      </c>
      <c r="R4064" s="3" t="n">
        <v>41506.0</v>
      </c>
      <c r="S4064" s="3" t="n">
        <v>43952.45970667824</v>
      </c>
      <c r="T4064" s="3" t="n">
        <v>44638.65271974537</v>
      </c>
      <c r="U4064" t="s">
        <v>25104</v>
      </c>
      <c r="V4064" t="s">
        <v>16907</v>
      </c>
    </row>
    <row r="4065">
      <c r="A4065" t="s">
        <v>23557</v>
      </c>
      <c r="B4065" t="s">
        <v>25105</v>
      </c>
      <c r="C4065" t="s">
        <v>60</v>
      </c>
      <c r="D4065" t="s">
        <v>61</v>
      </c>
      <c r="E4065" t="s">
        <v>23564</v>
      </c>
      <c r="F4065" s="2" t="n">
        <f>HYPERLINK("https://patents.google.com/patent/US8513184","Google")</f>
        <v>0.0</v>
      </c>
      <c r="G4065" s="2" t="n">
        <f>HYPERLINK("https://patentcenter.uspto.gov/applications/13315069","Patent Center")</f>
        <v>0.0</v>
      </c>
      <c r="H4065" s="2" t="n">
        <f>HYPERLINK("https://worldwide.espacenet.com/patent/search?q=US8513184","Espacenet")</f>
        <v>0.0</v>
      </c>
      <c r="I4065" s="2" t="n">
        <f>HYPERLINK("https://ppubs.uspto.gov/pubwebapp/external.html?q=8513184.pn.","USPTO")</f>
        <v>0.0</v>
      </c>
      <c r="J4065" s="2" t="n">
        <f>HYPERLINK("https://image-ppubs.uspto.gov/dirsearch-public/print/downloadPdf/8513184","USPTO PDF")</f>
        <v>0.0</v>
      </c>
      <c r="K4065" s="2" t="n">
        <f>HYPERLINK("https://sectors.patentforecast.com/pmd/US8513184","PMD")</f>
        <v>0.0</v>
      </c>
      <c r="L4065" s="2" t="n">
        <f>HYPERLINK("https://globaldossier.uspto.gov/result/patent/US/8513184/1","US8513184")</f>
        <v>0.0</v>
      </c>
      <c r="M4065" t="s">
        <v>21329</v>
      </c>
      <c r="N4065" t="s">
        <v>19174</v>
      </c>
      <c r="O4065" t="s">
        <v>19175</v>
      </c>
      <c r="P4065" t="s">
        <v>24740</v>
      </c>
      <c r="Q4065" s="3" t="n">
        <v>40885.0</v>
      </c>
      <c r="R4065" s="3" t="n">
        <v>41506.0</v>
      </c>
      <c r="S4065" s="3" t="n">
        <v>43952.45970667824</v>
      </c>
      <c r="T4065" s="3" t="n">
        <v>44638.65643378472</v>
      </c>
      <c r="U4065" t="s">
        <v>25106</v>
      </c>
      <c r="V4065" t="s">
        <v>24409</v>
      </c>
    </row>
    <row r="4066">
      <c r="A4066" t="s">
        <v>23557</v>
      </c>
      <c r="B4066" t="s">
        <v>25107</v>
      </c>
      <c r="C4066" t="s">
        <v>132</v>
      </c>
      <c r="D4066" t="s">
        <v>1265</v>
      </c>
      <c r="E4066" t="s">
        <v>22938</v>
      </c>
      <c r="F4066" s="2" t="n">
        <f>HYPERLINK("https://patents.google.com/patent/US8506967","Google")</f>
        <v>0.0</v>
      </c>
      <c r="G4066" s="2" t="n">
        <f>HYPERLINK("https://patentcenter.uspto.gov/applications/12340186","Patent Center")</f>
        <v>0.0</v>
      </c>
      <c r="H4066" s="2" t="n">
        <f>HYPERLINK("https://worldwide.espacenet.com/patent/search?q=US8506967","Espacenet")</f>
        <v>0.0</v>
      </c>
      <c r="I4066" s="2" t="n">
        <f>HYPERLINK("https://ppubs.uspto.gov/pubwebapp/external.html?q=8506967.pn.","USPTO")</f>
        <v>0.0</v>
      </c>
      <c r="J4066" s="2" t="n">
        <f>HYPERLINK("https://image-ppubs.uspto.gov/dirsearch-public/print/downloadPdf/8506967","USPTO PDF")</f>
        <v>0.0</v>
      </c>
      <c r="K4066" s="2" t="n">
        <f>HYPERLINK("https://sectors.patentforecast.com/pmd/US8506967","PMD")</f>
        <v>0.0</v>
      </c>
      <c r="L4066" s="2" t="n">
        <f>HYPERLINK("https://globaldossier.uspto.gov/result/patent/US/8506967/1","US8506967")</f>
        <v>0.0</v>
      </c>
      <c r="M4066" t="s">
        <v>22201</v>
      </c>
      <c r="N4066" t="s">
        <v>1275</v>
      </c>
      <c r="O4066" t="s">
        <v>1275</v>
      </c>
      <c r="P4066" t="s">
        <v>24001</v>
      </c>
      <c r="Q4066" s="3" t="n">
        <v>39801.0</v>
      </c>
      <c r="R4066" s="3" t="n">
        <v>41499.0</v>
      </c>
      <c r="S4066" s="3" t="n">
        <v>43900.43738940972</v>
      </c>
      <c r="T4066" s="3" t="n">
        <v>43901.70557090278</v>
      </c>
      <c r="U4066" t="s">
        <v>25108</v>
      </c>
      <c r="V4066" t="s">
        <v>17402</v>
      </c>
    </row>
    <row r="4067">
      <c r="A4067" t="s">
        <v>23557</v>
      </c>
      <c r="B4067" t="s">
        <v>25109</v>
      </c>
      <c r="C4067" t="s">
        <v>60</v>
      </c>
      <c r="D4067" t="s">
        <v>61</v>
      </c>
      <c r="E4067" t="s">
        <v>24406</v>
      </c>
      <c r="F4067" s="2" t="n">
        <f>HYPERLINK("https://patents.google.com/patent/US8501714","Google")</f>
        <v>0.0</v>
      </c>
      <c r="G4067" s="2" t="n">
        <f>HYPERLINK("https://patentcenter.uspto.gov/applications/13392467","Patent Center")</f>
        <v>0.0</v>
      </c>
      <c r="H4067" s="2" t="n">
        <f>HYPERLINK("https://worldwide.espacenet.com/patent/search?q=US8501714","Espacenet")</f>
        <v>0.0</v>
      </c>
      <c r="I4067" s="2" t="n">
        <f>HYPERLINK("https://ppubs.uspto.gov/pubwebapp/external.html?q=8501714.pn.","USPTO")</f>
        <v>0.0</v>
      </c>
      <c r="J4067" s="2" t="n">
        <f>HYPERLINK("https://image-ppubs.uspto.gov/dirsearch-public/print/downloadPdf/8501714","USPTO PDF")</f>
        <v>0.0</v>
      </c>
      <c r="K4067" s="2" t="n">
        <f>HYPERLINK("https://sectors.patentforecast.com/pmd/US8501714","PMD")</f>
        <v>0.0</v>
      </c>
      <c r="L4067" s="2" t="n">
        <f>HYPERLINK("https://globaldossier.uspto.gov/result/patent/US/8501714/1","US8501714")</f>
        <v>0.0</v>
      </c>
      <c r="M4067" t="s">
        <v>21499</v>
      </c>
      <c r="N4067" t="s">
        <v>664</v>
      </c>
      <c r="O4067" t="s">
        <v>665</v>
      </c>
      <c r="P4067" t="s">
        <v>24873</v>
      </c>
      <c r="Q4067" s="3" t="n">
        <v>40428.0</v>
      </c>
      <c r="R4067" s="3" t="n">
        <v>41492.0</v>
      </c>
      <c r="S4067" s="3" t="n">
        <v>43952.45970667824</v>
      </c>
      <c r="T4067" s="3" t="n">
        <v>44638.65643378472</v>
      </c>
      <c r="U4067" t="s">
        <v>25110</v>
      </c>
      <c r="V4067" t="s">
        <v>21502</v>
      </c>
    </row>
    <row r="4068">
      <c r="A4068" t="s">
        <v>23557</v>
      </c>
      <c r="B4068" t="s">
        <v>25111</v>
      </c>
      <c r="C4068" t="s">
        <v>312</v>
      </c>
      <c r="D4068" t="s">
        <v>976</v>
      </c>
      <c r="E4068" t="s">
        <v>22340</v>
      </c>
      <c r="F4068" s="2" t="n">
        <f>HYPERLINK("https://patents.google.com/patent/US8498879","Google")</f>
        <v>0.0</v>
      </c>
      <c r="G4068" s="2" t="n">
        <f>HYPERLINK("https://patentcenter.uspto.gov/applications/12291529","Patent Center")</f>
        <v>0.0</v>
      </c>
      <c r="H4068" s="2" t="n">
        <f>HYPERLINK("https://worldwide.espacenet.com/patent/search?q=US8498879","Espacenet")</f>
        <v>0.0</v>
      </c>
      <c r="I4068" s="2" t="n">
        <f>HYPERLINK("https://ppubs.uspto.gov/pubwebapp/external.html?q=8498879.pn.","USPTO")</f>
        <v>0.0</v>
      </c>
      <c r="J4068" s="2" t="n">
        <f>HYPERLINK("https://image-ppubs.uspto.gov/dirsearch-public/print/downloadPdf/8498879","USPTO PDF")</f>
        <v>0.0</v>
      </c>
      <c r="K4068" s="2" t="n">
        <f>HYPERLINK("https://sectors.patentforecast.com/pmd/US8498879","PMD")</f>
        <v>0.0</v>
      </c>
      <c r="L4068" s="2" t="n">
        <f>HYPERLINK("https://globaldossier.uspto.gov/result/patent/US/8498879/1","US8498879")</f>
        <v>0.0</v>
      </c>
      <c r="M4068" t="s">
        <v>22341</v>
      </c>
      <c r="N4068" t="s">
        <v>18940</v>
      </c>
      <c r="O4068" t="s">
        <v>18941</v>
      </c>
      <c r="P4068" t="s">
        <v>25112</v>
      </c>
      <c r="Q4068" s="3" t="n">
        <v>39762.0</v>
      </c>
      <c r="R4068" s="3" t="n">
        <v>41485.0</v>
      </c>
      <c r="S4068" s="3" t="n">
        <v>43266.45735758102</v>
      </c>
      <c r="T4068" s="3" t="n">
        <v>43950.55332638889</v>
      </c>
      <c r="U4068" t="s">
        <v>25113</v>
      </c>
      <c r="V4068" t="s">
        <v>18944</v>
      </c>
    </row>
    <row r="4069">
      <c r="A4069" t="s">
        <v>23557</v>
      </c>
      <c r="B4069" t="s">
        <v>25114</v>
      </c>
      <c r="C4069" t="s">
        <v>24</v>
      </c>
      <c r="D4069" t="s">
        <v>204</v>
      </c>
      <c r="E4069" t="s">
        <v>25115</v>
      </c>
      <c r="F4069" s="2" t="n">
        <f>HYPERLINK("https://patents.google.com/patent/US8489419","Google")</f>
        <v>0.0</v>
      </c>
      <c r="G4069" s="2" t="n">
        <f>HYPERLINK("https://patentcenter.uspto.gov/applications/13010495","Patent Center")</f>
        <v>0.0</v>
      </c>
      <c r="H4069" s="2" t="n">
        <f>HYPERLINK("https://worldwide.espacenet.com/patent/search?q=US8489419","Espacenet")</f>
        <v>0.0</v>
      </c>
      <c r="I4069" s="2" t="n">
        <f>HYPERLINK("https://ppubs.uspto.gov/pubwebapp/external.html?q=8489419.pn.","USPTO")</f>
        <v>0.0</v>
      </c>
      <c r="J4069" s="2" t="n">
        <f>HYPERLINK("https://image-ppubs.uspto.gov/dirsearch-public/print/downloadPdf/8489419","USPTO PDF")</f>
        <v>0.0</v>
      </c>
      <c r="K4069" s="2" t="n">
        <f>HYPERLINK("https://sectors.patentforecast.com/pmd/US8489419","PMD")</f>
        <v>0.0</v>
      </c>
      <c r="L4069" s="2" t="n">
        <f>HYPERLINK("https://globaldossier.uspto.gov/result/patent/US/8489419/1","US8489419")</f>
        <v>0.0</v>
      </c>
      <c r="M4069" t="s">
        <v>21633</v>
      </c>
      <c r="N4069" t="s">
        <v>21634</v>
      </c>
      <c r="O4069" t="s">
        <v>21635</v>
      </c>
      <c r="P4069" t="s">
        <v>25116</v>
      </c>
      <c r="Q4069" s="3" t="n">
        <v>40563.0</v>
      </c>
      <c r="R4069" s="3" t="n">
        <v>41471.0</v>
      </c>
      <c r="S4069" s="3" t="n">
        <v>43266.45735758102</v>
      </c>
      <c r="T4069" s="3" t="n">
        <v>43901.705571099534</v>
      </c>
      <c r="U4069" t="s">
        <v>25117</v>
      </c>
      <c r="V4069" t="s">
        <v>21638</v>
      </c>
    </row>
    <row r="4070">
      <c r="A4070" t="s">
        <v>23557</v>
      </c>
      <c r="B4070" t="s">
        <v>25118</v>
      </c>
      <c r="C4070" t="s">
        <v>60</v>
      </c>
      <c r="D4070" t="s">
        <v>61</v>
      </c>
      <c r="E4070" t="s">
        <v>25119</v>
      </c>
      <c r="F4070" s="2" t="n">
        <f>HYPERLINK("https://patents.google.com/patent/US8486938","Google")</f>
        <v>0.0</v>
      </c>
      <c r="G4070" s="2" t="n">
        <f>HYPERLINK("https://patentcenter.uspto.gov/applications/13167618","Patent Center")</f>
        <v>0.0</v>
      </c>
      <c r="H4070" s="2" t="n">
        <f>HYPERLINK("https://worldwide.espacenet.com/patent/search?q=US8486938","Espacenet")</f>
        <v>0.0</v>
      </c>
      <c r="I4070" s="2" t="n">
        <f>HYPERLINK("https://ppubs.uspto.gov/pubwebapp/external.html?q=8486938.pn.","USPTO")</f>
        <v>0.0</v>
      </c>
      <c r="J4070" s="2" t="n">
        <f>HYPERLINK("https://image-ppubs.uspto.gov/dirsearch-public/print/downloadPdf/8486938","USPTO PDF")</f>
        <v>0.0</v>
      </c>
      <c r="K4070" s="2" t="n">
        <f>HYPERLINK("https://sectors.patentforecast.com/pmd/US8486938","PMD")</f>
        <v>0.0</v>
      </c>
      <c r="L4070" s="2" t="n">
        <f>HYPERLINK("https://globaldossier.uspto.gov/result/patent/US/8486938/1","US8486938")</f>
        <v>0.0</v>
      </c>
      <c r="M4070" t="s">
        <v>21628</v>
      </c>
      <c r="N4070" t="s">
        <v>664</v>
      </c>
      <c r="O4070" t="s">
        <v>665</v>
      </c>
      <c r="P4070" t="s">
        <v>23626</v>
      </c>
      <c r="Q4070" s="3" t="n">
        <v>40717.0</v>
      </c>
      <c r="R4070" s="3" t="n">
        <v>41471.0</v>
      </c>
      <c r="S4070" s="3" t="n">
        <v>43952.45970667824</v>
      </c>
      <c r="T4070" s="3" t="n">
        <v>44638.65271974537</v>
      </c>
      <c r="U4070" t="s">
        <v>25120</v>
      </c>
      <c r="V4070" t="s">
        <v>23628</v>
      </c>
    </row>
    <row r="4071">
      <c r="A4071" t="s">
        <v>23557</v>
      </c>
      <c r="B4071" t="s">
        <v>25121</v>
      </c>
      <c r="C4071" t="s">
        <v>60</v>
      </c>
      <c r="D4071" t="s">
        <v>61</v>
      </c>
      <c r="E4071" t="s">
        <v>22432</v>
      </c>
      <c r="F4071" s="2" t="n">
        <f>HYPERLINK("https://patents.google.com/patent/US8476225","Google")</f>
        <v>0.0</v>
      </c>
      <c r="G4071" s="2" t="n">
        <f>HYPERLINK("https://patentcenter.uspto.gov/applications/12958086","Patent Center")</f>
        <v>0.0</v>
      </c>
      <c r="H4071" s="2" t="n">
        <f>HYPERLINK("https://worldwide.espacenet.com/patent/search?q=US8476225","Espacenet")</f>
        <v>0.0</v>
      </c>
      <c r="I4071" s="2" t="n">
        <f>HYPERLINK("https://ppubs.uspto.gov/pubwebapp/external.html?q=8476225.pn.","USPTO")</f>
        <v>0.0</v>
      </c>
      <c r="J4071" s="2" t="n">
        <f>HYPERLINK("https://image-ppubs.uspto.gov/dirsearch-public/print/downloadPdf/8476225","USPTO PDF")</f>
        <v>0.0</v>
      </c>
      <c r="K4071" s="2" t="n">
        <f>HYPERLINK("https://sectors.patentforecast.com/pmd/US8476225","PMD")</f>
        <v>0.0</v>
      </c>
      <c r="L4071" s="2" t="n">
        <f>HYPERLINK("https://globaldossier.uspto.gov/result/patent/US/8476225/1","US8476225")</f>
        <v>0.0</v>
      </c>
      <c r="M4071" t="s">
        <v>21771</v>
      </c>
      <c r="N4071" t="s">
        <v>664</v>
      </c>
      <c r="O4071" t="s">
        <v>665</v>
      </c>
      <c r="P4071" t="s">
        <v>25122</v>
      </c>
      <c r="Q4071" s="3" t="n">
        <v>40513.0</v>
      </c>
      <c r="R4071" s="3" t="n">
        <v>41457.0</v>
      </c>
      <c r="S4071" s="3" t="n">
        <v>43952.45970667824</v>
      </c>
      <c r="T4071" s="3" t="n">
        <v>44638.65271974537</v>
      </c>
      <c r="U4071" t="s">
        <v>25123</v>
      </c>
      <c r="V4071" t="s">
        <v>16907</v>
      </c>
    </row>
    <row r="4072">
      <c r="A4072" t="s">
        <v>23557</v>
      </c>
      <c r="B4072" t="s">
        <v>25124</v>
      </c>
      <c r="C4072" t="s">
        <v>132</v>
      </c>
      <c r="D4072" t="s">
        <v>1265</v>
      </c>
      <c r="E4072" t="s">
        <v>21747</v>
      </c>
      <c r="F4072" s="2" t="n">
        <f>HYPERLINK("https://patents.google.com/patent/US8475807","Google")</f>
        <v>0.0</v>
      </c>
      <c r="G4072" s="2" t="n">
        <f>HYPERLINK("https://patentcenter.uspto.gov/applications/12381550","Patent Center")</f>
        <v>0.0</v>
      </c>
      <c r="H4072" s="2" t="n">
        <f>HYPERLINK("https://worldwide.espacenet.com/patent/search?q=US8475807","Espacenet")</f>
        <v>0.0</v>
      </c>
      <c r="I4072" s="2" t="n">
        <f>HYPERLINK("https://ppubs.uspto.gov/pubwebapp/external.html?q=8475807.pn.","USPTO")</f>
        <v>0.0</v>
      </c>
      <c r="J4072" s="2" t="n">
        <f>HYPERLINK("https://image-ppubs.uspto.gov/dirsearch-public/print/downloadPdf/8475807","USPTO PDF")</f>
        <v>0.0</v>
      </c>
      <c r="K4072" s="2" t="n">
        <f>HYPERLINK("https://sectors.patentforecast.com/pmd/US8475807","PMD")</f>
        <v>0.0</v>
      </c>
      <c r="L4072" s="2" t="n">
        <f>HYPERLINK("https://globaldossier.uspto.gov/result/patent/US/8475807/1","US8475807")</f>
        <v>0.0</v>
      </c>
      <c r="M4072" t="s">
        <v>21748</v>
      </c>
      <c r="N4072" t="s">
        <v>3334</v>
      </c>
      <c r="O4072" t="s">
        <v>3335</v>
      </c>
      <c r="P4072" t="s">
        <v>25125</v>
      </c>
      <c r="Q4072" s="3" t="n">
        <v>39885.0</v>
      </c>
      <c r="R4072" s="3" t="n">
        <v>41457.0</v>
      </c>
      <c r="S4072" s="3" t="n">
        <v>43900.43738940972</v>
      </c>
      <c r="T4072" s="3" t="n">
        <v>43901.70557085648</v>
      </c>
      <c r="U4072" t="s">
        <v>25126</v>
      </c>
      <c r="V4072" t="s">
        <v>21753</v>
      </c>
    </row>
    <row r="4073">
      <c r="A4073" t="s">
        <v>23557</v>
      </c>
      <c r="B4073" t="s">
        <v>25127</v>
      </c>
      <c r="C4073" t="s">
        <v>60</v>
      </c>
      <c r="D4073" t="s">
        <v>61</v>
      </c>
      <c r="E4073" t="s">
        <v>24795</v>
      </c>
      <c r="F4073" s="2" t="n">
        <f>HYPERLINK("https://patents.google.com/patent/US8461180","Google")</f>
        <v>0.0</v>
      </c>
      <c r="G4073" s="2" t="n">
        <f>HYPERLINK("https://patentcenter.uspto.gov/applications/12743146","Patent Center")</f>
        <v>0.0</v>
      </c>
      <c r="H4073" s="2" t="n">
        <f>HYPERLINK("https://worldwide.espacenet.com/patent/search?q=US8461180","Espacenet")</f>
        <v>0.0</v>
      </c>
      <c r="I4073" s="2" t="n">
        <f>HYPERLINK("https://ppubs.uspto.gov/pubwebapp/external.html?q=8461180.pn.","USPTO")</f>
        <v>0.0</v>
      </c>
      <c r="J4073" s="2" t="n">
        <f>HYPERLINK("https://image-ppubs.uspto.gov/dirsearch-public/print/downloadPdf/8461180","USPTO PDF")</f>
        <v>0.0</v>
      </c>
      <c r="K4073" s="2" t="n">
        <f>HYPERLINK("https://sectors.patentforecast.com/pmd/US8461180","PMD")</f>
        <v>0.0</v>
      </c>
      <c r="L4073" s="2" t="n">
        <f>HYPERLINK("https://globaldossier.uspto.gov/result/patent/US/8461180/1","US8461180")</f>
        <v>0.0</v>
      </c>
      <c r="M4073" t="s">
        <v>25128</v>
      </c>
      <c r="N4073" t="s">
        <v>664</v>
      </c>
      <c r="O4073" t="s">
        <v>665</v>
      </c>
      <c r="P4073" t="s">
        <v>25129</v>
      </c>
      <c r="Q4073" s="3" t="n">
        <v>39765.0</v>
      </c>
      <c r="R4073" s="3" t="n">
        <v>41436.0</v>
      </c>
      <c r="S4073" s="3" t="n">
        <v>43952.45970667824</v>
      </c>
      <c r="T4073" s="3" t="n">
        <v>44638.65643378472</v>
      </c>
      <c r="U4073" t="s">
        <v>25130</v>
      </c>
      <c r="V4073" t="s">
        <v>25131</v>
      </c>
    </row>
    <row r="4074">
      <c r="A4074" t="s">
        <v>23557</v>
      </c>
      <c r="B4074" t="s">
        <v>25132</v>
      </c>
      <c r="C4074" t="s">
        <v>60</v>
      </c>
      <c r="D4074" t="s">
        <v>61</v>
      </c>
      <c r="E4074" t="s">
        <v>25133</v>
      </c>
      <c r="F4074" s="2" t="n">
        <f>HYPERLINK("https://patents.google.com/patent/US8455451","Google")</f>
        <v>0.0</v>
      </c>
      <c r="G4074" s="2" t="n">
        <f>HYPERLINK("https://patentcenter.uspto.gov/applications/13050820","Patent Center")</f>
        <v>0.0</v>
      </c>
      <c r="H4074" s="2" t="n">
        <f>HYPERLINK("https://worldwide.espacenet.com/patent/search?q=US8455451","Espacenet")</f>
        <v>0.0</v>
      </c>
      <c r="I4074" s="2" t="n">
        <f>HYPERLINK("https://ppubs.uspto.gov/pubwebapp/external.html?q=8455451.pn.","USPTO")</f>
        <v>0.0</v>
      </c>
      <c r="J4074" s="2" t="n">
        <f>HYPERLINK("https://image-ppubs.uspto.gov/dirsearch-public/print/downloadPdf/8455451","USPTO PDF")</f>
        <v>0.0</v>
      </c>
      <c r="K4074" s="2" t="n">
        <f>HYPERLINK("https://sectors.patentforecast.com/pmd/US8455451","PMD")</f>
        <v>0.0</v>
      </c>
      <c r="L4074" s="2" t="n">
        <f>HYPERLINK("https://globaldossier.uspto.gov/result/patent/US/8455451/1","US8455451")</f>
        <v>0.0</v>
      </c>
      <c r="M4074" t="s">
        <v>21615</v>
      </c>
      <c r="N4074" t="s">
        <v>664</v>
      </c>
      <c r="O4074" t="s">
        <v>665</v>
      </c>
      <c r="P4074" t="s">
        <v>25134</v>
      </c>
      <c r="Q4074" s="3" t="n">
        <v>40619.0</v>
      </c>
      <c r="R4074" s="3" t="n">
        <v>41429.0</v>
      </c>
      <c r="S4074" s="3" t="n">
        <v>43952.45970667824</v>
      </c>
      <c r="T4074" s="3" t="n">
        <v>44638.65048400463</v>
      </c>
      <c r="U4074" t="s">
        <v>25135</v>
      </c>
      <c r="V4074" t="s">
        <v>21618</v>
      </c>
    </row>
    <row r="4075">
      <c r="A4075" t="s">
        <v>23557</v>
      </c>
      <c r="B4075" t="s">
        <v>25136</v>
      </c>
      <c r="C4075" t="s">
        <v>312</v>
      </c>
      <c r="D4075" t="s">
        <v>715</v>
      </c>
      <c r="E4075" t="s">
        <v>25137</v>
      </c>
      <c r="F4075" s="2" t="n">
        <f>HYPERLINK("https://patents.google.com/patent/US8451113","Google")</f>
        <v>0.0</v>
      </c>
      <c r="G4075" s="2" t="n">
        <f>HYPERLINK("https://patentcenter.uspto.gov/applications/13371240","Patent Center")</f>
        <v>0.0</v>
      </c>
      <c r="H4075" s="2" t="n">
        <f>HYPERLINK("https://worldwide.espacenet.com/patent/search?q=US8451113","Espacenet")</f>
        <v>0.0</v>
      </c>
      <c r="I4075" s="2" t="n">
        <f>HYPERLINK("https://ppubs.uspto.gov/pubwebapp/external.html?q=8451113.pn.","USPTO")</f>
        <v>0.0</v>
      </c>
      <c r="J4075" s="2" t="n">
        <f>HYPERLINK("https://image-ppubs.uspto.gov/dirsearch-public/print/downloadPdf/8451113","USPTO PDF")</f>
        <v>0.0</v>
      </c>
      <c r="K4075" s="2" t="n">
        <f>HYPERLINK("https://sectors.patentforecast.com/pmd/US8451113","PMD")</f>
        <v>0.0</v>
      </c>
      <c r="L4075" s="2" t="n">
        <f>HYPERLINK("https://globaldossier.uspto.gov/result/patent/US/8451113/1","US8451113")</f>
        <v>0.0</v>
      </c>
      <c r="M4075" t="s">
        <v>21522</v>
      </c>
      <c r="N4075" t="s">
        <v>4975</v>
      </c>
      <c r="O4075" t="s">
        <v>4976</v>
      </c>
      <c r="P4075" t="s">
        <v>24855</v>
      </c>
      <c r="Q4075" s="3" t="n">
        <v>40949.0</v>
      </c>
      <c r="R4075" s="3" t="n">
        <v>41422.0</v>
      </c>
      <c r="S4075" s="3" t="n">
        <v>43266.45735758102</v>
      </c>
      <c r="T4075" s="3" t="n">
        <v>44643.404349386576</v>
      </c>
      <c r="U4075" t="s">
        <v>25138</v>
      </c>
      <c r="V4075" t="s">
        <v>21523</v>
      </c>
    </row>
    <row r="4076">
      <c r="A4076" t="s">
        <v>23557</v>
      </c>
      <c r="B4076" t="s">
        <v>25139</v>
      </c>
      <c r="C4076" t="s">
        <v>60</v>
      </c>
      <c r="D4076" t="s">
        <v>61</v>
      </c>
      <c r="E4076" t="s">
        <v>22866</v>
      </c>
      <c r="F4076" s="2" t="n">
        <f>HYPERLINK("https://patents.google.com/patent/US8431745","Google")</f>
        <v>0.0</v>
      </c>
      <c r="G4076" s="2" t="n">
        <f>HYPERLINK("https://patentcenter.uspto.gov/applications/13401659","Patent Center")</f>
        <v>0.0</v>
      </c>
      <c r="H4076" s="2" t="n">
        <f>HYPERLINK("https://worldwide.espacenet.com/patent/search?q=US8431745","Espacenet")</f>
        <v>0.0</v>
      </c>
      <c r="I4076" s="2" t="n">
        <f>HYPERLINK("https://ppubs.uspto.gov/pubwebapp/external.html?q=8431745.pn.","USPTO")</f>
        <v>0.0</v>
      </c>
      <c r="J4076" s="2" t="n">
        <f>HYPERLINK("https://image-ppubs.uspto.gov/dirsearch-public/print/downloadPdf/8431745","USPTO PDF")</f>
        <v>0.0</v>
      </c>
      <c r="K4076" s="2" t="n">
        <f>HYPERLINK("https://sectors.patentforecast.com/pmd/US8431745","PMD")</f>
        <v>0.0</v>
      </c>
      <c r="L4076" s="2" t="n">
        <f>HYPERLINK("https://globaldossier.uspto.gov/result/patent/US/8431745/1","US8431745")</f>
        <v>0.0</v>
      </c>
      <c r="M4076" t="s">
        <v>21383</v>
      </c>
      <c r="N4076" t="s">
        <v>664</v>
      </c>
      <c r="O4076" t="s">
        <v>665</v>
      </c>
      <c r="P4076" t="s">
        <v>25140</v>
      </c>
      <c r="Q4076" s="3" t="n">
        <v>40960.0</v>
      </c>
      <c r="R4076" s="3" t="n">
        <v>41394.0</v>
      </c>
      <c r="S4076" s="3" t="n">
        <v>43950.647372685184</v>
      </c>
      <c r="T4076" s="3" t="n">
        <v>44638.662781747684</v>
      </c>
      <c r="U4076" t="s">
        <v>25141</v>
      </c>
      <c r="V4076" t="s">
        <v>25142</v>
      </c>
    </row>
    <row r="4077">
      <c r="A4077" t="s">
        <v>23557</v>
      </c>
      <c r="B4077" t="s">
        <v>25143</v>
      </c>
      <c r="C4077" t="s">
        <v>60</v>
      </c>
      <c r="D4077" t="s">
        <v>61</v>
      </c>
      <c r="E4077" t="s">
        <v>25144</v>
      </c>
      <c r="F4077" s="2" t="n">
        <f>HYPERLINK("https://patents.google.com/patent/US8431554","Google")</f>
        <v>0.0</v>
      </c>
      <c r="G4077" s="2" t="n">
        <f>HYPERLINK("https://patentcenter.uspto.gov/applications/12452575","Patent Center")</f>
        <v>0.0</v>
      </c>
      <c r="H4077" s="2" t="n">
        <f>HYPERLINK("https://worldwide.espacenet.com/patent/search?q=US8431554","Espacenet")</f>
        <v>0.0</v>
      </c>
      <c r="I4077" s="2" t="n">
        <f>HYPERLINK("https://ppubs.uspto.gov/pubwebapp/external.html?q=8431554.pn.","USPTO")</f>
        <v>0.0</v>
      </c>
      <c r="J4077" s="2" t="n">
        <f>HYPERLINK("https://image-ppubs.uspto.gov/dirsearch-public/print/downloadPdf/8431554","USPTO PDF")</f>
        <v>0.0</v>
      </c>
      <c r="K4077" s="2" t="n">
        <f>HYPERLINK("https://sectors.patentforecast.com/pmd/US8431554","PMD")</f>
        <v>0.0</v>
      </c>
      <c r="L4077" s="2" t="n">
        <f>HYPERLINK("https://globaldossier.uspto.gov/result/patent/US/8431554/1","US8431554")</f>
        <v>0.0</v>
      </c>
      <c r="M4077" t="s">
        <v>22216</v>
      </c>
      <c r="N4077" t="s">
        <v>22217</v>
      </c>
      <c r="O4077" t="s">
        <v>22218</v>
      </c>
      <c r="P4077" t="s">
        <v>25145</v>
      </c>
      <c r="Q4077" s="3" t="n">
        <v>39633.0</v>
      </c>
      <c r="R4077" s="3" t="n">
        <v>41394.0</v>
      </c>
      <c r="S4077" s="3" t="n">
        <v>43900.43738940972</v>
      </c>
      <c r="T4077" s="3" t="n">
        <v>43901.70557111111</v>
      </c>
      <c r="U4077" t="s">
        <v>25146</v>
      </c>
      <c r="V4077" t="s">
        <v>25147</v>
      </c>
    </row>
    <row r="4078">
      <c r="A4078" t="s">
        <v>23557</v>
      </c>
      <c r="B4078" t="s">
        <v>25148</v>
      </c>
      <c r="C4078" t="s">
        <v>132</v>
      </c>
      <c r="D4078" t="s">
        <v>1265</v>
      </c>
      <c r="E4078" t="s">
        <v>23170</v>
      </c>
      <c r="F4078" s="2" t="n">
        <f>HYPERLINK("https://patents.google.com/patent/US8431137","Google")</f>
        <v>0.0</v>
      </c>
      <c r="G4078" s="2" t="n">
        <f>HYPERLINK("https://patentcenter.uspto.gov/applications/13230203","Patent Center")</f>
        <v>0.0</v>
      </c>
      <c r="H4078" s="2" t="n">
        <f>HYPERLINK("https://worldwide.espacenet.com/patent/search?q=US8431137","Espacenet")</f>
        <v>0.0</v>
      </c>
      <c r="I4078" s="2" t="n">
        <f>HYPERLINK("https://ppubs.uspto.gov/pubwebapp/external.html?q=8431137.pn.","USPTO")</f>
        <v>0.0</v>
      </c>
      <c r="J4078" s="2" t="n">
        <f>HYPERLINK("https://image-ppubs.uspto.gov/dirsearch-public/print/downloadPdf/8431137","USPTO PDF")</f>
        <v>0.0</v>
      </c>
      <c r="K4078" s="2" t="n">
        <f>HYPERLINK("https://sectors.patentforecast.com/pmd/US8431137","PMD")</f>
        <v>0.0</v>
      </c>
      <c r="L4078" s="2" t="n">
        <f>HYPERLINK("https://globaldossier.uspto.gov/result/patent/US/8431137/1","US8431137")</f>
        <v>0.0</v>
      </c>
      <c r="M4078" t="s">
        <v>21613</v>
      </c>
      <c r="N4078" t="s">
        <v>25149</v>
      </c>
      <c r="O4078" t="s">
        <v>25150</v>
      </c>
      <c r="P4078" t="s">
        <v>24677</v>
      </c>
      <c r="Q4078" s="3" t="n">
        <v>40798.0</v>
      </c>
      <c r="R4078" s="3" t="n">
        <v>41394.0</v>
      </c>
      <c r="S4078" s="3" t="n">
        <v>43900.43738940972</v>
      </c>
      <c r="T4078" s="3" t="n">
        <v>43901.70557056713</v>
      </c>
      <c r="U4078" t="s">
        <v>24678</v>
      </c>
      <c r="V4078" t="s">
        <v>21127</v>
      </c>
    </row>
    <row r="4079">
      <c r="A4079" t="s">
        <v>23557</v>
      </c>
      <c r="B4079" t="s">
        <v>25151</v>
      </c>
      <c r="C4079" t="s">
        <v>60</v>
      </c>
      <c r="D4079" t="s">
        <v>61</v>
      </c>
      <c r="E4079" t="s">
        <v>22432</v>
      </c>
      <c r="F4079" s="2" t="n">
        <f>HYPERLINK("https://patents.google.com/patent/US8420597","Google")</f>
        <v>0.0</v>
      </c>
      <c r="G4079" s="2" t="n">
        <f>HYPERLINK("https://patentcenter.uspto.gov/applications/13598430","Patent Center")</f>
        <v>0.0</v>
      </c>
      <c r="H4079" s="2" t="n">
        <f>HYPERLINK("https://worldwide.espacenet.com/patent/search?q=US8420597","Espacenet")</f>
        <v>0.0</v>
      </c>
      <c r="I4079" s="2" t="n">
        <f>HYPERLINK("https://ppubs.uspto.gov/pubwebapp/external.html?q=8420597.pn.","USPTO")</f>
        <v>0.0</v>
      </c>
      <c r="J4079" s="2" t="n">
        <f>HYPERLINK("https://image-ppubs.uspto.gov/dirsearch-public/print/downloadPdf/8420597","USPTO PDF")</f>
        <v>0.0</v>
      </c>
      <c r="K4079" s="2" t="n">
        <f>HYPERLINK("https://sectors.patentforecast.com/pmd/US8420597","PMD")</f>
        <v>0.0</v>
      </c>
      <c r="L4079" s="2" t="n">
        <f>HYPERLINK("https://globaldossier.uspto.gov/result/patent/US/8420597/1","US8420597")</f>
        <v>0.0</v>
      </c>
      <c r="M4079" t="s">
        <v>21278</v>
      </c>
      <c r="N4079" t="s">
        <v>664</v>
      </c>
      <c r="O4079" t="s">
        <v>665</v>
      </c>
      <c r="P4079" t="s">
        <v>24834</v>
      </c>
      <c r="Q4079" s="3" t="n">
        <v>41150.0</v>
      </c>
      <c r="R4079" s="3" t="n">
        <v>41380.0</v>
      </c>
      <c r="S4079" s="3" t="n">
        <v>43952.45991055555</v>
      </c>
      <c r="T4079" s="3" t="n">
        <v>44638.65271974537</v>
      </c>
      <c r="U4079" t="s">
        <v>25152</v>
      </c>
      <c r="V4079" t="s">
        <v>16907</v>
      </c>
    </row>
    <row r="4080">
      <c r="A4080" t="s">
        <v>23557</v>
      </c>
      <c r="B4080" t="s">
        <v>25153</v>
      </c>
      <c r="C4080" t="s">
        <v>60</v>
      </c>
      <c r="D4080" t="s">
        <v>696</v>
      </c>
      <c r="E4080" t="s">
        <v>21604</v>
      </c>
      <c r="F4080" s="2" t="n">
        <f>HYPERLINK("https://patents.google.com/patent/US8420089","Google")</f>
        <v>0.0</v>
      </c>
      <c r="G4080" s="2" t="n">
        <f>HYPERLINK("https://patentcenter.uspto.gov/applications/12624965","Patent Center")</f>
        <v>0.0</v>
      </c>
      <c r="H4080" s="2" t="n">
        <f>HYPERLINK("https://worldwide.espacenet.com/patent/search?q=US8420089","Espacenet")</f>
        <v>0.0</v>
      </c>
      <c r="I4080" s="2" t="n">
        <f>HYPERLINK("https://ppubs.uspto.gov/pubwebapp/external.html?q=8420089.pn.","USPTO")</f>
        <v>0.0</v>
      </c>
      <c r="J4080" s="2" t="n">
        <f>HYPERLINK("https://image-ppubs.uspto.gov/dirsearch-public/print/downloadPdf/8420089","USPTO PDF")</f>
        <v>0.0</v>
      </c>
      <c r="K4080" s="2" t="n">
        <f>HYPERLINK("https://sectors.patentforecast.com/pmd/US8420089","PMD")</f>
        <v>0.0</v>
      </c>
      <c r="L4080" s="2" t="n">
        <f>HYPERLINK("https://globaldossier.uspto.gov/result/patent/US/8420089/1","US8420089")</f>
        <v>0.0</v>
      </c>
      <c r="M4080" t="s">
        <v>21688</v>
      </c>
      <c r="N4080" t="s">
        <v>16927</v>
      </c>
      <c r="O4080" t="s">
        <v>16928</v>
      </c>
      <c r="P4080" t="s">
        <v>23586</v>
      </c>
      <c r="Q4080" s="3" t="n">
        <v>40141.0</v>
      </c>
      <c r="R4080" s="3" t="n">
        <v>41380.0</v>
      </c>
      <c r="S4080" s="3" t="n">
        <v>43966.48632164352</v>
      </c>
      <c r="T4080" s="3" t="n">
        <v>44643.44490069444</v>
      </c>
      <c r="U4080" t="s">
        <v>25154</v>
      </c>
      <c r="V4080" t="s">
        <v>16961</v>
      </c>
    </row>
    <row r="4081">
      <c r="A4081" t="s">
        <v>23557</v>
      </c>
      <c r="B4081" t="s">
        <v>25155</v>
      </c>
      <c r="C4081" t="s">
        <v>60</v>
      </c>
      <c r="D4081" t="s">
        <v>61</v>
      </c>
      <c r="E4081" t="s">
        <v>25156</v>
      </c>
      <c r="F4081" s="2" t="n">
        <f>HYPERLINK("https://patents.google.com/patent/US8415322","Google")</f>
        <v>0.0</v>
      </c>
      <c r="G4081" s="2" t="n">
        <f>HYPERLINK("https://patentcenter.uspto.gov/applications/12878262","Patent Center")</f>
        <v>0.0</v>
      </c>
      <c r="H4081" s="2" t="n">
        <f>HYPERLINK("https://worldwide.espacenet.com/patent/search?q=US8415322","Espacenet")</f>
        <v>0.0</v>
      </c>
      <c r="I4081" s="2" t="n">
        <f>HYPERLINK("https://ppubs.uspto.gov/pubwebapp/external.html?q=8415322.pn.","USPTO")</f>
        <v>0.0</v>
      </c>
      <c r="J4081" s="2" t="n">
        <f>HYPERLINK("https://image-ppubs.uspto.gov/dirsearch-public/print/downloadPdf/8415322","USPTO PDF")</f>
        <v>0.0</v>
      </c>
      <c r="K4081" s="2" t="n">
        <f>HYPERLINK("https://sectors.patentforecast.com/pmd/US8415322","PMD")</f>
        <v>0.0</v>
      </c>
      <c r="L4081" s="2" t="n">
        <f>HYPERLINK("https://globaldossier.uspto.gov/result/patent/US/8415322/1","US8415322")</f>
        <v>0.0</v>
      </c>
      <c r="M4081" t="s">
        <v>25157</v>
      </c>
      <c r="N4081" t="s">
        <v>664</v>
      </c>
      <c r="O4081" t="s">
        <v>665</v>
      </c>
      <c r="P4081" t="s">
        <v>25158</v>
      </c>
      <c r="Q4081" s="3" t="n">
        <v>40430.0</v>
      </c>
      <c r="R4081" s="3" t="n">
        <v>41373.0</v>
      </c>
      <c r="S4081" s="3" t="n">
        <v>43950.660331770836</v>
      </c>
      <c r="T4081" s="3" t="n">
        <v>44638.66611917824</v>
      </c>
      <c r="U4081" t="s">
        <v>25159</v>
      </c>
      <c r="V4081" t="s">
        <v>17390</v>
      </c>
    </row>
    <row r="4082">
      <c r="A4082" t="s">
        <v>23557</v>
      </c>
      <c r="B4082" t="s">
        <v>25160</v>
      </c>
      <c r="C4082" t="s">
        <v>60</v>
      </c>
      <c r="D4082" t="s">
        <v>61</v>
      </c>
      <c r="E4082" t="s">
        <v>25161</v>
      </c>
      <c r="F4082" s="2" t="n">
        <f>HYPERLINK("https://patents.google.com/patent/US8415308","Google")</f>
        <v>0.0</v>
      </c>
      <c r="G4082" s="2" t="n">
        <f>HYPERLINK("https://patentcenter.uspto.gov/applications/13117060","Patent Center")</f>
        <v>0.0</v>
      </c>
      <c r="H4082" s="2" t="n">
        <f>HYPERLINK("https://worldwide.espacenet.com/patent/search?q=US8415308","Espacenet")</f>
        <v>0.0</v>
      </c>
      <c r="I4082" s="2" t="n">
        <f>HYPERLINK("https://ppubs.uspto.gov/pubwebapp/external.html?q=8415308.pn.","USPTO")</f>
        <v>0.0</v>
      </c>
      <c r="J4082" s="2" t="n">
        <f>HYPERLINK("https://image-ppubs.uspto.gov/dirsearch-public/print/downloadPdf/8415308","USPTO PDF")</f>
        <v>0.0</v>
      </c>
      <c r="K4082" s="2" t="n">
        <f>HYPERLINK("https://sectors.patentforecast.com/pmd/US8415308","PMD")</f>
        <v>0.0</v>
      </c>
      <c r="L4082" s="2" t="n">
        <f>HYPERLINK("https://globaldossier.uspto.gov/result/patent/US/8415308/1","US8415308")</f>
        <v>0.0</v>
      </c>
      <c r="M4082" t="s">
        <v>21585</v>
      </c>
      <c r="N4082" t="s">
        <v>664</v>
      </c>
      <c r="O4082" t="s">
        <v>665</v>
      </c>
      <c r="P4082" t="s">
        <v>25162</v>
      </c>
      <c r="Q4082" s="3" t="n">
        <v>40689.0</v>
      </c>
      <c r="R4082" s="3" t="n">
        <v>41373.0</v>
      </c>
      <c r="S4082" s="3" t="n">
        <v>43952.45991055555</v>
      </c>
      <c r="T4082" s="3" t="n">
        <v>44638.65271974537</v>
      </c>
      <c r="U4082" t="s">
        <v>25163</v>
      </c>
      <c r="V4082" t="s">
        <v>21588</v>
      </c>
    </row>
    <row r="4083">
      <c r="A4083" t="s">
        <v>23557</v>
      </c>
      <c r="B4083" t="s">
        <v>25164</v>
      </c>
      <c r="C4083" t="s">
        <v>24</v>
      </c>
      <c r="D4083" t="s">
        <v>43</v>
      </c>
      <c r="E4083" t="s">
        <v>22237</v>
      </c>
      <c r="F4083" s="2" t="n">
        <f>HYPERLINK("https://patents.google.com/patent/US8405503","Google")</f>
        <v>0.0</v>
      </c>
      <c r="G4083" s="2" t="n">
        <f>HYPERLINK("https://patentcenter.uspto.gov/applications/12585403","Patent Center")</f>
        <v>0.0</v>
      </c>
      <c r="H4083" s="2" t="n">
        <f>HYPERLINK("https://worldwide.espacenet.com/patent/search?q=US8405503","Espacenet")</f>
        <v>0.0</v>
      </c>
      <c r="I4083" s="2" t="n">
        <f>HYPERLINK("https://ppubs.uspto.gov/pubwebapp/external.html?q=8405503.pn.","USPTO")</f>
        <v>0.0</v>
      </c>
      <c r="J4083" s="2" t="n">
        <f>HYPERLINK("https://image-ppubs.uspto.gov/dirsearch-public/print/downloadPdf/8405503","USPTO PDF")</f>
        <v>0.0</v>
      </c>
      <c r="K4083" s="2" t="n">
        <f>HYPERLINK("https://sectors.patentforecast.com/pmd/US8405503","PMD")</f>
        <v>0.0</v>
      </c>
      <c r="L4083" s="2" t="n">
        <f>HYPERLINK("https://globaldossier.uspto.gov/result/patent/US/8405503/1","US8405503")</f>
        <v>0.0</v>
      </c>
      <c r="M4083" t="s">
        <v>22238</v>
      </c>
      <c r="N4083" t="s">
        <v>22239</v>
      </c>
      <c r="O4083" t="s">
        <v>22240</v>
      </c>
      <c r="P4083" t="s">
        <v>25165</v>
      </c>
      <c r="Q4083" s="3" t="n">
        <v>40070.0</v>
      </c>
      <c r="R4083" s="3" t="n">
        <v>41359.0</v>
      </c>
      <c r="S4083" s="3" t="n">
        <v>43900.43738940972</v>
      </c>
      <c r="T4083" s="3" t="n">
        <v>43901.70556980324</v>
      </c>
      <c r="U4083" t="s">
        <v>25166</v>
      </c>
      <c r="V4083" t="s">
        <v>22243</v>
      </c>
    </row>
    <row r="4084">
      <c r="A4084" t="s">
        <v>23557</v>
      </c>
      <c r="B4084" t="s">
        <v>25167</v>
      </c>
      <c r="C4084" t="s">
        <v>60</v>
      </c>
      <c r="D4084" t="s">
        <v>696</v>
      </c>
      <c r="E4084" t="s">
        <v>21604</v>
      </c>
      <c r="F4084" s="2" t="n">
        <f>HYPERLINK("https://patents.google.com/patent/US8404235","Google")</f>
        <v>0.0</v>
      </c>
      <c r="G4084" s="2" t="n">
        <f>HYPERLINK("https://patentcenter.uspto.gov/applications/12323066","Patent Center")</f>
        <v>0.0</v>
      </c>
      <c r="H4084" s="2" t="n">
        <f>HYPERLINK("https://worldwide.espacenet.com/patent/search?q=US8404235","Espacenet")</f>
        <v>0.0</v>
      </c>
      <c r="I4084" s="2" t="n">
        <f>HYPERLINK("https://ppubs.uspto.gov/pubwebapp/external.html?q=8404235.pn.","USPTO")</f>
        <v>0.0</v>
      </c>
      <c r="J4084" s="2" t="n">
        <f>HYPERLINK("https://image-ppubs.uspto.gov/dirsearch-public/print/downloadPdf/8404235","USPTO PDF")</f>
        <v>0.0</v>
      </c>
      <c r="K4084" s="2" t="n">
        <f>HYPERLINK("https://sectors.patentforecast.com/pmd/US8404235","PMD")</f>
        <v>0.0</v>
      </c>
      <c r="L4084" s="2" t="n">
        <f>HYPERLINK("https://globaldossier.uspto.gov/result/patent/US/8404235/1","US8404235")</f>
        <v>0.0</v>
      </c>
      <c r="M4084" t="s">
        <v>22358</v>
      </c>
      <c r="N4084" t="s">
        <v>16927</v>
      </c>
      <c r="O4084" t="s">
        <v>16928</v>
      </c>
      <c r="P4084" t="s">
        <v>23586</v>
      </c>
      <c r="Q4084" s="3" t="n">
        <v>39777.0</v>
      </c>
      <c r="R4084" s="3" t="n">
        <v>41359.0</v>
      </c>
      <c r="S4084" s="3" t="n">
        <v>43966.48632164352</v>
      </c>
      <c r="T4084" s="3" t="n">
        <v>44643.44490069444</v>
      </c>
      <c r="U4084" t="s">
        <v>25168</v>
      </c>
      <c r="V4084" t="s">
        <v>17130</v>
      </c>
    </row>
    <row r="4085">
      <c r="A4085" t="s">
        <v>23557</v>
      </c>
      <c r="B4085" t="s">
        <v>25169</v>
      </c>
      <c r="C4085" t="s">
        <v>24</v>
      </c>
      <c r="D4085" t="s">
        <v>25</v>
      </c>
      <c r="E4085" t="s">
        <v>25170</v>
      </c>
      <c r="F4085" s="2" t="n">
        <f>HYPERLINK("https://patents.google.com/patent/US8396721","Google")</f>
        <v>0.0</v>
      </c>
      <c r="G4085" s="2" t="n">
        <f>HYPERLINK("https://patentcenter.uspto.gov/applications/12711177","Patent Center")</f>
        <v>0.0</v>
      </c>
      <c r="H4085" s="2" t="n">
        <f>HYPERLINK("https://worldwide.espacenet.com/patent/search?q=US8396721","Espacenet")</f>
        <v>0.0</v>
      </c>
      <c r="I4085" s="2" t="n">
        <f>HYPERLINK("https://ppubs.uspto.gov/pubwebapp/external.html?q=8396721.pn.","USPTO")</f>
        <v>0.0</v>
      </c>
      <c r="J4085" s="2" t="n">
        <f>HYPERLINK("https://image-ppubs.uspto.gov/dirsearch-public/print/downloadPdf/8396721","USPTO PDF")</f>
        <v>0.0</v>
      </c>
      <c r="K4085" s="2" t="n">
        <f>HYPERLINK("https://sectors.patentforecast.com/pmd/US8396721","PMD")</f>
        <v>0.0</v>
      </c>
      <c r="L4085" s="2" t="n">
        <f>HYPERLINK("https://globaldossier.uspto.gov/result/patent/US/8396721/1","US8396721")</f>
        <v>0.0</v>
      </c>
      <c r="M4085" t="s">
        <v>22062</v>
      </c>
      <c r="N4085" t="s">
        <v>22063</v>
      </c>
      <c r="O4085" t="s">
        <v>22064</v>
      </c>
      <c r="P4085" t="s">
        <v>25171</v>
      </c>
      <c r="Q4085" s="3" t="n">
        <v>40232.0</v>
      </c>
      <c r="R4085" s="3" t="n">
        <v>41345.0</v>
      </c>
      <c r="S4085" s="3" t="n">
        <v>43266.45735873843</v>
      </c>
      <c r="T4085" s="3" t="n">
        <v>43950.56004121528</v>
      </c>
      <c r="U4085" t="s">
        <v>25172</v>
      </c>
      <c r="V4085" t="s">
        <v>22067</v>
      </c>
    </row>
    <row r="4086">
      <c r="A4086" t="s">
        <v>23557</v>
      </c>
      <c r="B4086" t="s">
        <v>25173</v>
      </c>
      <c r="C4086" t="s">
        <v>312</v>
      </c>
      <c r="D4086" t="s">
        <v>3202</v>
      </c>
      <c r="E4086" t="s">
        <v>22505</v>
      </c>
      <c r="F4086" s="2" t="n">
        <f>HYPERLINK("https://patents.google.com/patent/US8392152","Google")</f>
        <v>0.0</v>
      </c>
      <c r="G4086" s="2" t="n">
        <f>HYPERLINK("https://patentcenter.uspto.gov/applications/12190675","Patent Center")</f>
        <v>0.0</v>
      </c>
      <c r="H4086" s="2" t="n">
        <f>HYPERLINK("https://worldwide.espacenet.com/patent/search?q=US8392152","Espacenet")</f>
        <v>0.0</v>
      </c>
      <c r="I4086" s="2" t="n">
        <f>HYPERLINK("https://ppubs.uspto.gov/pubwebapp/external.html?q=8392152.pn.","USPTO")</f>
        <v>0.0</v>
      </c>
      <c r="J4086" s="2" t="n">
        <f>HYPERLINK("https://image-ppubs.uspto.gov/dirsearch-public/print/downloadPdf/8392152","USPTO PDF")</f>
        <v>0.0</v>
      </c>
      <c r="K4086" s="2" t="n">
        <f>HYPERLINK("https://sectors.patentforecast.com/pmd/US8392152","PMD")</f>
        <v>0.0</v>
      </c>
      <c r="L4086" s="2" t="n">
        <f>HYPERLINK("https://globaldossier.uspto.gov/result/patent/US/8392152/1","US8392152")</f>
        <v>0.0</v>
      </c>
      <c r="M4086" t="s">
        <v>22506</v>
      </c>
      <c r="N4086" t="s">
        <v>6786</v>
      </c>
      <c r="O4086" t="s">
        <v>6787</v>
      </c>
      <c r="P4086" t="s">
        <v>25174</v>
      </c>
      <c r="Q4086" s="3" t="n">
        <v>39673.0</v>
      </c>
      <c r="R4086" s="3" t="n">
        <v>41338.0</v>
      </c>
      <c r="S4086" s="3" t="n">
        <v>43266.45735873843</v>
      </c>
      <c r="T4086" s="3" t="n">
        <v>43266.620227569445</v>
      </c>
      <c r="U4086" t="s">
        <v>25175</v>
      </c>
      <c r="V4086" t="s">
        <v>22509</v>
      </c>
    </row>
    <row r="4087">
      <c r="A4087" t="s">
        <v>23557</v>
      </c>
      <c r="B4087" t="s">
        <v>25176</v>
      </c>
      <c r="C4087" t="s">
        <v>24</v>
      </c>
      <c r="D4087" t="s">
        <v>187</v>
      </c>
      <c r="E4087" t="s">
        <v>23278</v>
      </c>
      <c r="F4087" s="2" t="n">
        <f>HYPERLINK("https://patents.google.com/patent/US8380442","Google")</f>
        <v>0.0</v>
      </c>
      <c r="G4087" s="2" t="n">
        <f>HYPERLINK("https://patentcenter.uspto.gov/applications/11930108","Patent Center")</f>
        <v>0.0</v>
      </c>
      <c r="H4087" s="2" t="n">
        <f>HYPERLINK("https://worldwide.espacenet.com/patent/search?q=US8380442","Espacenet")</f>
        <v>0.0</v>
      </c>
      <c r="I4087" s="2" t="n">
        <f>HYPERLINK("https://ppubs.uspto.gov/pubwebapp/external.html?q=8380442.pn.","USPTO")</f>
        <v>0.0</v>
      </c>
      <c r="J4087" s="2" t="n">
        <f>HYPERLINK("https://image-ppubs.uspto.gov/dirsearch-public/print/downloadPdf/8380442","USPTO PDF")</f>
        <v>0.0</v>
      </c>
      <c r="K4087" s="2" t="n">
        <f>HYPERLINK("https://sectors.patentforecast.com/pmd/US8380442","PMD")</f>
        <v>0.0</v>
      </c>
      <c r="L4087" s="2" t="n">
        <f>HYPERLINK("https://globaldossier.uspto.gov/result/patent/US/8380442/1","US8380442")</f>
        <v>0.0</v>
      </c>
      <c r="M4087" t="s">
        <v>21739</v>
      </c>
      <c r="N4087" t="s">
        <v>6851</v>
      </c>
      <c r="O4087" t="s">
        <v>6852</v>
      </c>
      <c r="P4087" t="s">
        <v>24756</v>
      </c>
      <c r="Q4087" s="3" t="n">
        <v>39386.0</v>
      </c>
      <c r="R4087" s="3" t="n">
        <v>41324.0</v>
      </c>
      <c r="S4087" s="3" t="n">
        <v>43266.45735872685</v>
      </c>
      <c r="T4087" s="3" t="n">
        <v>43266.61438974537</v>
      </c>
      <c r="U4087" t="s">
        <v>24757</v>
      </c>
      <c r="V4087" t="s">
        <v>19648</v>
      </c>
    </row>
    <row r="4088">
      <c r="A4088" t="s">
        <v>23557</v>
      </c>
      <c r="B4088" t="s">
        <v>25177</v>
      </c>
      <c r="C4088" t="s">
        <v>60</v>
      </c>
      <c r="D4088" t="s">
        <v>61</v>
      </c>
      <c r="E4088" t="s">
        <v>24795</v>
      </c>
      <c r="F4088" s="2" t="n">
        <f>HYPERLINK("https://patents.google.com/patent/US8377960","Google")</f>
        <v>0.0</v>
      </c>
      <c r="G4088" s="2" t="n">
        <f>HYPERLINK("https://patentcenter.uspto.gov/applications/12743138","Patent Center")</f>
        <v>0.0</v>
      </c>
      <c r="H4088" s="2" t="n">
        <f>HYPERLINK("https://worldwide.espacenet.com/patent/search?q=US8377960","Espacenet")</f>
        <v>0.0</v>
      </c>
      <c r="I4088" s="2" t="n">
        <f>HYPERLINK("https://ppubs.uspto.gov/pubwebapp/external.html?q=8377960.pn.","USPTO")</f>
        <v>0.0</v>
      </c>
      <c r="J4088" s="2" t="n">
        <f>HYPERLINK("https://image-ppubs.uspto.gov/dirsearch-public/print/downloadPdf/8377960","USPTO PDF")</f>
        <v>0.0</v>
      </c>
      <c r="K4088" s="2" t="n">
        <f>HYPERLINK("https://sectors.patentforecast.com/pmd/US8377960","PMD")</f>
        <v>0.0</v>
      </c>
      <c r="L4088" s="2" t="n">
        <f>HYPERLINK("https://globaldossier.uspto.gov/result/patent/US/8377960/1","US8377960")</f>
        <v>0.0</v>
      </c>
      <c r="M4088" t="s">
        <v>25178</v>
      </c>
      <c r="N4088" t="s">
        <v>664</v>
      </c>
      <c r="O4088" t="s">
        <v>665</v>
      </c>
      <c r="P4088" t="s">
        <v>25179</v>
      </c>
      <c r="Q4088" s="3" t="n">
        <v>39755.0</v>
      </c>
      <c r="R4088" s="3" t="n">
        <v>41324.0</v>
      </c>
      <c r="S4088" s="3" t="n">
        <v>43952.45991055555</v>
      </c>
      <c r="T4088" s="3" t="n">
        <v>44638.65643378472</v>
      </c>
      <c r="U4088" t="s">
        <v>25180</v>
      </c>
      <c r="V4088" t="s">
        <v>25181</v>
      </c>
    </row>
    <row r="4089">
      <c r="A4089" t="s">
        <v>23557</v>
      </c>
      <c r="B4089" t="s">
        <v>25182</v>
      </c>
      <c r="C4089" t="s">
        <v>24</v>
      </c>
      <c r="D4089" t="s">
        <v>100</v>
      </c>
      <c r="E4089" t="s">
        <v>23106</v>
      </c>
      <c r="F4089" s="2" t="n">
        <f>HYPERLINK("https://patents.google.com/patent/US8368544","Google")</f>
        <v>0.0</v>
      </c>
      <c r="G4089" s="2" t="n">
        <f>HYPERLINK("https://patentcenter.uspto.gov/applications/12901891","Patent Center")</f>
        <v>0.0</v>
      </c>
      <c r="H4089" s="2" t="n">
        <f>HYPERLINK("https://worldwide.espacenet.com/patent/search?q=US8368544","Espacenet")</f>
        <v>0.0</v>
      </c>
      <c r="I4089" s="2" t="n">
        <f>HYPERLINK("https://ppubs.uspto.gov/pubwebapp/external.html?q=8368544.pn.","USPTO")</f>
        <v>0.0</v>
      </c>
      <c r="J4089" s="2" t="n">
        <f>HYPERLINK("https://image-ppubs.uspto.gov/dirsearch-public/print/downloadPdf/8368544","USPTO PDF")</f>
        <v>0.0</v>
      </c>
      <c r="K4089" s="2" t="n">
        <f>HYPERLINK("https://sectors.patentforecast.com/pmd/US8368544","PMD")</f>
        <v>0.0</v>
      </c>
      <c r="L4089" s="2" t="n">
        <f>HYPERLINK("https://globaldossier.uspto.gov/result/patent/US/8368544/1","US8368544")</f>
        <v>0.0</v>
      </c>
      <c r="M4089" t="s">
        <v>21864</v>
      </c>
      <c r="N4089" t="s">
        <v>25183</v>
      </c>
      <c r="O4089" t="s">
        <v>25184</v>
      </c>
      <c r="P4089" t="s">
        <v>25185</v>
      </c>
      <c r="Q4089" s="3" t="n">
        <v>40462.0</v>
      </c>
      <c r="R4089" s="3" t="n">
        <v>41310.0</v>
      </c>
      <c r="S4089" s="3" t="n">
        <v>43266.45735872685</v>
      </c>
      <c r="T4089" s="3" t="n">
        <v>43906.35771765046</v>
      </c>
      <c r="U4089" t="s">
        <v>23990</v>
      </c>
      <c r="V4089" t="s">
        <v>21865</v>
      </c>
    </row>
    <row r="4090">
      <c r="A4090" t="s">
        <v>23557</v>
      </c>
      <c r="B4090" t="s">
        <v>25186</v>
      </c>
      <c r="C4090" t="s">
        <v>132</v>
      </c>
      <c r="D4090" t="s">
        <v>11423</v>
      </c>
      <c r="E4090" t="s">
        <v>25187</v>
      </c>
      <c r="F4090" s="2" t="n">
        <f>HYPERLINK("https://patents.google.com/patent/US8364258","Google")</f>
        <v>0.0</v>
      </c>
      <c r="G4090" s="2" t="n">
        <f>HYPERLINK("https://patentcenter.uspto.gov/applications/12802812","Patent Center")</f>
        <v>0.0</v>
      </c>
      <c r="H4090" s="2" t="n">
        <f>HYPERLINK("https://worldwide.espacenet.com/patent/search?q=US8364258","Espacenet")</f>
        <v>0.0</v>
      </c>
      <c r="I4090" s="2" t="n">
        <f>HYPERLINK("https://ppubs.uspto.gov/pubwebapp/external.html?q=8364258.pn.","USPTO")</f>
        <v>0.0</v>
      </c>
      <c r="J4090" s="2" t="n">
        <f>HYPERLINK("https://image-ppubs.uspto.gov/dirsearch-public/print/downloadPdf/8364258","USPTO PDF")</f>
        <v>0.0</v>
      </c>
      <c r="K4090" s="2" t="n">
        <f>HYPERLINK("https://sectors.patentforecast.com/pmd/US8364258","PMD")</f>
        <v>0.0</v>
      </c>
      <c r="L4090" s="2" t="n">
        <f>HYPERLINK("https://globaldossier.uspto.gov/result/patent/US/8364258/1","US8364258")</f>
        <v>0.0</v>
      </c>
      <c r="M4090" t="s">
        <v>25188</v>
      </c>
      <c r="N4090" t="s">
        <v>24917</v>
      </c>
      <c r="O4090" t="s">
        <v>24918</v>
      </c>
      <c r="P4090" t="s">
        <v>25189</v>
      </c>
      <c r="Q4090" s="3" t="n">
        <v>40343.0</v>
      </c>
      <c r="R4090" s="3" t="n">
        <v>41303.0</v>
      </c>
      <c r="S4090" s="3" t="n">
        <v>43966.48632164352</v>
      </c>
      <c r="T4090" s="3" t="n">
        <v>43985.49813917824</v>
      </c>
      <c r="U4090" t="s">
        <v>25190</v>
      </c>
      <c r="V4090" t="s">
        <v>25191</v>
      </c>
    </row>
    <row r="4091">
      <c r="A4091" t="s">
        <v>23557</v>
      </c>
      <c r="B4091" t="s">
        <v>25192</v>
      </c>
      <c r="C4091" t="s">
        <v>60</v>
      </c>
      <c r="D4091" t="s">
        <v>61</v>
      </c>
      <c r="E4091" t="s">
        <v>24795</v>
      </c>
      <c r="F4091" s="2" t="n">
        <f>HYPERLINK("https://patents.google.com/patent/US8354429","Google")</f>
        <v>0.0</v>
      </c>
      <c r="G4091" s="2" t="n">
        <f>HYPERLINK("https://patentcenter.uspto.gov/applications/12742997","Patent Center")</f>
        <v>0.0</v>
      </c>
      <c r="H4091" s="2" t="n">
        <f>HYPERLINK("https://worldwide.espacenet.com/patent/search?q=US8354429","Espacenet")</f>
        <v>0.0</v>
      </c>
      <c r="I4091" s="2" t="n">
        <f>HYPERLINK("https://ppubs.uspto.gov/pubwebapp/external.html?q=8354429.pn.","USPTO")</f>
        <v>0.0</v>
      </c>
      <c r="J4091" s="2" t="n">
        <f>HYPERLINK("https://image-ppubs.uspto.gov/dirsearch-public/print/downloadPdf/8354429","USPTO PDF")</f>
        <v>0.0</v>
      </c>
      <c r="K4091" s="2" t="n">
        <f>HYPERLINK("https://sectors.patentforecast.com/pmd/US8354429","PMD")</f>
        <v>0.0</v>
      </c>
      <c r="L4091" s="2" t="n">
        <f>HYPERLINK("https://globaldossier.uspto.gov/result/patent/US/8354429/1","US8354429")</f>
        <v>0.0</v>
      </c>
      <c r="M4091" t="s">
        <v>25193</v>
      </c>
      <c r="N4091" t="s">
        <v>664</v>
      </c>
      <c r="O4091" t="s">
        <v>665</v>
      </c>
      <c r="P4091" t="s">
        <v>25194</v>
      </c>
      <c r="Q4091" s="3" t="n">
        <v>39702.0</v>
      </c>
      <c r="R4091" s="3" t="n">
        <v>41289.0</v>
      </c>
      <c r="S4091" s="3" t="n">
        <v>43952.45991055555</v>
      </c>
      <c r="T4091" s="3" t="n">
        <v>44638.65643378472</v>
      </c>
      <c r="U4091" t="s">
        <v>25195</v>
      </c>
      <c r="V4091" t="s">
        <v>24948</v>
      </c>
    </row>
    <row r="4092">
      <c r="A4092" t="s">
        <v>23557</v>
      </c>
      <c r="B4092" t="s">
        <v>25196</v>
      </c>
      <c r="C4092" t="s">
        <v>60</v>
      </c>
      <c r="D4092" t="s">
        <v>61</v>
      </c>
      <c r="E4092" t="s">
        <v>24795</v>
      </c>
      <c r="F4092" s="2" t="n">
        <f>HYPERLINK("https://patents.google.com/patent/US8338441","Google")</f>
        <v>0.0</v>
      </c>
      <c r="G4092" s="2" t="n">
        <f>HYPERLINK("https://patentcenter.uspto.gov/applications/12777406","Patent Center")</f>
        <v>0.0</v>
      </c>
      <c r="H4092" s="2" t="n">
        <f>HYPERLINK("https://worldwide.espacenet.com/patent/search?q=US8338441","Espacenet")</f>
        <v>0.0</v>
      </c>
      <c r="I4092" s="2" t="n">
        <f>HYPERLINK("https://ppubs.uspto.gov/pubwebapp/external.html?q=8338441.pn.","USPTO")</f>
        <v>0.0</v>
      </c>
      <c r="J4092" s="2" t="n">
        <f>HYPERLINK("https://image-ppubs.uspto.gov/dirsearch-public/print/downloadPdf/8338441","USPTO PDF")</f>
        <v>0.0</v>
      </c>
      <c r="K4092" s="2" t="n">
        <f>HYPERLINK("https://sectors.patentforecast.com/pmd/US8338441","PMD")</f>
        <v>0.0</v>
      </c>
      <c r="L4092" s="2" t="n">
        <f>HYPERLINK("https://globaldossier.uspto.gov/result/patent/US/8338441/1","US8338441")</f>
        <v>0.0</v>
      </c>
      <c r="M4092" t="s">
        <v>25197</v>
      </c>
      <c r="N4092" t="s">
        <v>664</v>
      </c>
      <c r="O4092" t="s">
        <v>665</v>
      </c>
      <c r="P4092" t="s">
        <v>25198</v>
      </c>
      <c r="Q4092" s="3" t="n">
        <v>40309.0</v>
      </c>
      <c r="R4092" s="3" t="n">
        <v>41268.0</v>
      </c>
      <c r="S4092" s="3" t="n">
        <v>43952.45991055555</v>
      </c>
      <c r="T4092" s="3" t="n">
        <v>44638.65643378472</v>
      </c>
      <c r="U4092" t="s">
        <v>25199</v>
      </c>
      <c r="V4092" t="s">
        <v>24798</v>
      </c>
    </row>
    <row r="4093">
      <c r="A4093" t="s">
        <v>23557</v>
      </c>
      <c r="B4093" t="s">
        <v>25200</v>
      </c>
      <c r="C4093" t="s">
        <v>60</v>
      </c>
      <c r="D4093" t="s">
        <v>61</v>
      </c>
      <c r="E4093" t="s">
        <v>25201</v>
      </c>
      <c r="F4093" s="2" t="n">
        <f>HYPERLINK("https://patents.google.com/patent/US8338435","Google")</f>
        <v>0.0</v>
      </c>
      <c r="G4093" s="2" t="n">
        <f>HYPERLINK("https://patentcenter.uspto.gov/applications/12374223","Patent Center")</f>
        <v>0.0</v>
      </c>
      <c r="H4093" s="2" t="n">
        <f>HYPERLINK("https://worldwide.espacenet.com/patent/search?q=US8338435","Espacenet")</f>
        <v>0.0</v>
      </c>
      <c r="I4093" s="2" t="n">
        <f>HYPERLINK("https://ppubs.uspto.gov/pubwebapp/external.html?q=8338435.pn.","USPTO")</f>
        <v>0.0</v>
      </c>
      <c r="J4093" s="2" t="n">
        <f>HYPERLINK("https://image-ppubs.uspto.gov/dirsearch-public/print/downloadPdf/8338435","USPTO PDF")</f>
        <v>0.0</v>
      </c>
      <c r="K4093" s="2" t="n">
        <f>HYPERLINK("https://sectors.patentforecast.com/pmd/US8338435","PMD")</f>
        <v>0.0</v>
      </c>
      <c r="L4093" s="2" t="n">
        <f>HYPERLINK("https://globaldossier.uspto.gov/result/patent/US/8338435/1","US8338435")</f>
        <v>0.0</v>
      </c>
      <c r="M4093" t="s">
        <v>25202</v>
      </c>
      <c r="N4093" t="s">
        <v>664</v>
      </c>
      <c r="O4093" t="s">
        <v>665</v>
      </c>
      <c r="P4093" t="s">
        <v>25203</v>
      </c>
      <c r="Q4093" s="3" t="n">
        <v>39253.0</v>
      </c>
      <c r="R4093" s="3" t="n">
        <v>41268.0</v>
      </c>
      <c r="S4093" s="3" t="n">
        <v>43950.647372685184</v>
      </c>
      <c r="T4093" s="3" t="n">
        <v>44638.65579662037</v>
      </c>
      <c r="U4093" t="s">
        <v>25204</v>
      </c>
      <c r="V4093" t="s">
        <v>25205</v>
      </c>
    </row>
    <row r="4094">
      <c r="A4094" t="s">
        <v>23557</v>
      </c>
      <c r="B4094" t="s">
        <v>25206</v>
      </c>
      <c r="C4094" t="s">
        <v>24</v>
      </c>
      <c r="D4094" t="s">
        <v>34</v>
      </c>
      <c r="E4094" t="s">
        <v>25207</v>
      </c>
      <c r="F4094" s="2" t="n">
        <f>HYPERLINK("https://patents.google.com/patent/US8335298","Google")</f>
        <v>0.0</v>
      </c>
      <c r="G4094" s="2" t="n">
        <f>HYPERLINK("https://patentcenter.uspto.gov/applications/12558808","Patent Center")</f>
        <v>0.0</v>
      </c>
      <c r="H4094" s="2" t="n">
        <f>HYPERLINK("https://worldwide.espacenet.com/patent/search?q=US8335298","Espacenet")</f>
        <v>0.0</v>
      </c>
      <c r="I4094" s="2" t="n">
        <f>HYPERLINK("https://ppubs.uspto.gov/pubwebapp/external.html?q=8335298.pn.","USPTO")</f>
        <v>0.0</v>
      </c>
      <c r="J4094" s="2" t="n">
        <f>HYPERLINK("https://image-ppubs.uspto.gov/dirsearch-public/print/downloadPdf/8335298","USPTO PDF")</f>
        <v>0.0</v>
      </c>
      <c r="K4094" s="2" t="n">
        <f>HYPERLINK("https://sectors.patentforecast.com/pmd/US8335298","PMD")</f>
        <v>0.0</v>
      </c>
      <c r="L4094" s="2" t="n">
        <f>HYPERLINK("https://globaldossier.uspto.gov/result/patent/US/8335298/1","US8335298")</f>
        <v>0.0</v>
      </c>
      <c r="M4094" t="s">
        <v>21868</v>
      </c>
      <c r="N4094" t="s">
        <v>20833</v>
      </c>
      <c r="O4094" t="s">
        <v>20834</v>
      </c>
      <c r="P4094" t="s">
        <v>24943</v>
      </c>
      <c r="Q4094" s="3" t="n">
        <v>40070.0</v>
      </c>
      <c r="R4094" s="3" t="n">
        <v>41261.0</v>
      </c>
      <c r="S4094" s="3" t="n">
        <v>43266.45735872685</v>
      </c>
      <c r="T4094" s="3" t="n">
        <v>43901.70557103009</v>
      </c>
      <c r="U4094" t="s">
        <v>25208</v>
      </c>
      <c r="V4094" t="s">
        <v>21870</v>
      </c>
    </row>
    <row r="4095">
      <c r="A4095" t="s">
        <v>23557</v>
      </c>
      <c r="B4095" t="s">
        <v>25209</v>
      </c>
      <c r="C4095" t="s">
        <v>24</v>
      </c>
      <c r="D4095" t="s">
        <v>100</v>
      </c>
      <c r="E4095" t="s">
        <v>25210</v>
      </c>
      <c r="F4095" s="2" t="n">
        <f>HYPERLINK("https://patents.google.com/patent/US8334422","Google")</f>
        <v>0.0</v>
      </c>
      <c r="G4095" s="2" t="n">
        <f>HYPERLINK("https://patentcenter.uspto.gov/applications/12377904","Patent Center")</f>
        <v>0.0</v>
      </c>
      <c r="H4095" s="2" t="n">
        <f>HYPERLINK("https://worldwide.espacenet.com/patent/search?q=US8334422","Espacenet")</f>
        <v>0.0</v>
      </c>
      <c r="I4095" s="2" t="n">
        <f>HYPERLINK("https://ppubs.uspto.gov/pubwebapp/external.html?q=8334422.pn.","USPTO")</f>
        <v>0.0</v>
      </c>
      <c r="J4095" s="2" t="n">
        <f>HYPERLINK("https://image-ppubs.uspto.gov/dirsearch-public/print/downloadPdf/8334422","USPTO PDF")</f>
        <v>0.0</v>
      </c>
      <c r="K4095" s="2" t="n">
        <f>HYPERLINK("https://sectors.patentforecast.com/pmd/US8334422","PMD")</f>
        <v>0.0</v>
      </c>
      <c r="L4095" s="2" t="n">
        <f>HYPERLINK("https://globaldossier.uspto.gov/result/patent/US/8334422/1","US8334422")</f>
        <v>0.0</v>
      </c>
      <c r="M4095" t="s">
        <v>22142</v>
      </c>
      <c r="N4095" t="s">
        <v>1244</v>
      </c>
      <c r="O4095" t="s">
        <v>1244</v>
      </c>
      <c r="P4095" t="s">
        <v>25211</v>
      </c>
      <c r="Q4095" s="3" t="n">
        <v>39309.0</v>
      </c>
      <c r="R4095" s="3" t="n">
        <v>41261.0</v>
      </c>
      <c r="S4095" s="3" t="n">
        <v>43900.43738940972</v>
      </c>
      <c r="T4095" s="3" t="n">
        <v>43901.70557063657</v>
      </c>
      <c r="U4095" t="s">
        <v>25212</v>
      </c>
      <c r="V4095" t="s">
        <v>22145</v>
      </c>
    </row>
    <row r="4096">
      <c r="A4096" t="s">
        <v>23557</v>
      </c>
      <c r="B4096" t="s">
        <v>25213</v>
      </c>
      <c r="C4096" t="s">
        <v>60</v>
      </c>
      <c r="D4096" t="s">
        <v>61</v>
      </c>
      <c r="E4096" t="s">
        <v>22432</v>
      </c>
      <c r="F4096" s="2" t="n">
        <f>HYPERLINK("https://patents.google.com/patent/US8329926","Google")</f>
        <v>0.0</v>
      </c>
      <c r="G4096" s="2" t="n">
        <f>HYPERLINK("https://patentcenter.uspto.gov/applications/11658628","Patent Center")</f>
        <v>0.0</v>
      </c>
      <c r="H4096" s="2" t="n">
        <f>HYPERLINK("https://worldwide.espacenet.com/patent/search?q=US8329926","Espacenet")</f>
        <v>0.0</v>
      </c>
      <c r="I4096" s="2" t="n">
        <f>HYPERLINK("https://ppubs.uspto.gov/pubwebapp/external.html?q=8329926.pn.","USPTO")</f>
        <v>0.0</v>
      </c>
      <c r="J4096" s="2" t="n">
        <f>HYPERLINK("https://image-ppubs.uspto.gov/dirsearch-public/print/downloadPdf/8329926","USPTO PDF")</f>
        <v>0.0</v>
      </c>
      <c r="K4096" s="2" t="n">
        <f>HYPERLINK("https://sectors.patentforecast.com/pmd/US8329926","PMD")</f>
        <v>0.0</v>
      </c>
      <c r="L4096" s="2" t="n">
        <f>HYPERLINK("https://globaldossier.uspto.gov/result/patent/US/8329926/1","US8329926")</f>
        <v>0.0</v>
      </c>
      <c r="M4096" t="s">
        <v>22555</v>
      </c>
      <c r="N4096" t="s">
        <v>664</v>
      </c>
      <c r="O4096" t="s">
        <v>665</v>
      </c>
      <c r="P4096" t="s">
        <v>24123</v>
      </c>
      <c r="Q4096" s="3" t="n">
        <v>38560.0</v>
      </c>
      <c r="R4096" s="3" t="n">
        <v>41254.0</v>
      </c>
      <c r="S4096" s="3" t="n">
        <v>43952.45991055555</v>
      </c>
      <c r="T4096" s="3" t="n">
        <v>44638.65271974537</v>
      </c>
      <c r="U4096" t="s">
        <v>25214</v>
      </c>
      <c r="V4096" t="s">
        <v>17358</v>
      </c>
    </row>
    <row r="4097">
      <c r="A4097" t="s">
        <v>23557</v>
      </c>
      <c r="B4097" t="s">
        <v>25215</v>
      </c>
      <c r="C4097" t="s">
        <v>60</v>
      </c>
      <c r="D4097" t="s">
        <v>61</v>
      </c>
      <c r="E4097" t="s">
        <v>23204</v>
      </c>
      <c r="F4097" s="2" t="n">
        <f>HYPERLINK("https://patents.google.com/patent/US8329727","Google")</f>
        <v>0.0</v>
      </c>
      <c r="G4097" s="2" t="n">
        <f>HYPERLINK("https://patentcenter.uspto.gov/applications/12577865","Patent Center")</f>
        <v>0.0</v>
      </c>
      <c r="H4097" s="2" t="n">
        <f>HYPERLINK("https://worldwide.espacenet.com/patent/search?q=US8329727","Espacenet")</f>
        <v>0.0</v>
      </c>
      <c r="I4097" s="2" t="n">
        <f>HYPERLINK("https://ppubs.uspto.gov/pubwebapp/external.html?q=8329727.pn.","USPTO")</f>
        <v>0.0</v>
      </c>
      <c r="J4097" s="2" t="n">
        <f>HYPERLINK("https://image-ppubs.uspto.gov/dirsearch-public/print/downloadPdf/8329727","USPTO PDF")</f>
        <v>0.0</v>
      </c>
      <c r="K4097" s="2" t="n">
        <f>HYPERLINK("https://sectors.patentforecast.com/pmd/US8329727","PMD")</f>
        <v>0.0</v>
      </c>
      <c r="L4097" s="2" t="n">
        <f>HYPERLINK("https://globaldossier.uspto.gov/result/patent/US/8329727/1","US8329727")</f>
        <v>0.0</v>
      </c>
      <c r="M4097" t="s">
        <v>25216</v>
      </c>
      <c r="N4097" t="s">
        <v>7862</v>
      </c>
      <c r="O4097" t="s">
        <v>7863</v>
      </c>
      <c r="P4097" t="s">
        <v>25217</v>
      </c>
      <c r="Q4097" s="3" t="n">
        <v>40099.0</v>
      </c>
      <c r="R4097" s="3" t="n">
        <v>41254.0</v>
      </c>
      <c r="S4097" s="3" t="n">
        <v>43952.45991055555</v>
      </c>
      <c r="T4097" s="3" t="n">
        <v>44638.65271974537</v>
      </c>
      <c r="U4097" t="s">
        <v>25218</v>
      </c>
      <c r="V4097" t="s">
        <v>25219</v>
      </c>
    </row>
    <row r="4098">
      <c r="A4098" t="s">
        <v>23557</v>
      </c>
      <c r="B4098" t="s">
        <v>25220</v>
      </c>
      <c r="C4098" t="s">
        <v>60</v>
      </c>
      <c r="D4098" t="s">
        <v>61</v>
      </c>
      <c r="E4098" t="s">
        <v>25221</v>
      </c>
      <c r="F4098" s="2" t="n">
        <f>HYPERLINK("https://patents.google.com/patent/US8324179","Google")</f>
        <v>0.0</v>
      </c>
      <c r="G4098" s="2" t="n">
        <f>HYPERLINK("https://patentcenter.uspto.gov/applications/12524545","Patent Center")</f>
        <v>0.0</v>
      </c>
      <c r="H4098" s="2" t="n">
        <f>HYPERLINK("https://worldwide.espacenet.com/patent/search?q=US8324179","Espacenet")</f>
        <v>0.0</v>
      </c>
      <c r="I4098" s="2" t="n">
        <f>HYPERLINK("https://ppubs.uspto.gov/pubwebapp/external.html?q=8324179.pn.","USPTO")</f>
        <v>0.0</v>
      </c>
      <c r="J4098" s="2" t="n">
        <f>HYPERLINK("https://image-ppubs.uspto.gov/dirsearch-public/print/downloadPdf/8324179","USPTO PDF")</f>
        <v>0.0</v>
      </c>
      <c r="K4098" s="2" t="n">
        <f>HYPERLINK("https://sectors.patentforecast.com/pmd/US8324179","PMD")</f>
        <v>0.0</v>
      </c>
      <c r="L4098" s="2" t="n">
        <f>HYPERLINK("https://globaldossier.uspto.gov/result/patent/US/8324179/1","US8324179")</f>
        <v>0.0</v>
      </c>
      <c r="M4098" t="s">
        <v>22232</v>
      </c>
      <c r="N4098" t="s">
        <v>664</v>
      </c>
      <c r="O4098" t="s">
        <v>665</v>
      </c>
      <c r="P4098" t="s">
        <v>25222</v>
      </c>
      <c r="Q4098" s="3" t="n">
        <v>39486.0</v>
      </c>
      <c r="R4098" s="3" t="n">
        <v>41247.0</v>
      </c>
      <c r="S4098" s="3" t="n">
        <v>43952.45991055555</v>
      </c>
      <c r="T4098" s="3" t="n">
        <v>44638.65271974537</v>
      </c>
      <c r="U4098" t="s">
        <v>25223</v>
      </c>
      <c r="V4098" t="s">
        <v>25224</v>
      </c>
    </row>
    <row r="4099">
      <c r="A4099" t="s">
        <v>23557</v>
      </c>
      <c r="B4099" t="s">
        <v>25225</v>
      </c>
      <c r="C4099" t="s">
        <v>60</v>
      </c>
      <c r="D4099" t="s">
        <v>696</v>
      </c>
      <c r="E4099" t="s">
        <v>22011</v>
      </c>
      <c r="F4099" s="2" t="n">
        <f>HYPERLINK("https://patents.google.com/patent/US8323649","Google")</f>
        <v>0.0</v>
      </c>
      <c r="G4099" s="2" t="n">
        <f>HYPERLINK("https://patentcenter.uspto.gov/applications/12502581","Patent Center")</f>
        <v>0.0</v>
      </c>
      <c r="H4099" s="2" t="n">
        <f>HYPERLINK("https://worldwide.espacenet.com/patent/search?q=US8323649","Espacenet")</f>
        <v>0.0</v>
      </c>
      <c r="I4099" s="2" t="n">
        <f>HYPERLINK("https://ppubs.uspto.gov/pubwebapp/external.html?q=8323649.pn.","USPTO")</f>
        <v>0.0</v>
      </c>
      <c r="J4099" s="2" t="n">
        <f>HYPERLINK("https://image-ppubs.uspto.gov/dirsearch-public/print/downloadPdf/8323649","USPTO PDF")</f>
        <v>0.0</v>
      </c>
      <c r="K4099" s="2" t="n">
        <f>HYPERLINK("https://sectors.patentforecast.com/pmd/US8323649","PMD")</f>
        <v>0.0</v>
      </c>
      <c r="L4099" s="2" t="n">
        <f>HYPERLINK("https://globaldossier.uspto.gov/result/patent/US/8323649/1","US8323649")</f>
        <v>0.0</v>
      </c>
      <c r="M4099" t="s">
        <v>22212</v>
      </c>
      <c r="N4099" t="s">
        <v>16927</v>
      </c>
      <c r="O4099" t="s">
        <v>16928</v>
      </c>
      <c r="P4099" t="s">
        <v>23942</v>
      </c>
      <c r="Q4099" s="3" t="n">
        <v>40008.0</v>
      </c>
      <c r="R4099" s="3" t="n">
        <v>41247.0</v>
      </c>
      <c r="S4099" s="3" t="n">
        <v>43966.48632164352</v>
      </c>
      <c r="T4099" s="3" t="n">
        <v>44643.44490069444</v>
      </c>
      <c r="U4099" t="s">
        <v>25226</v>
      </c>
      <c r="V4099" t="s">
        <v>25227</v>
      </c>
    </row>
    <row r="4100">
      <c r="A4100" t="s">
        <v>23557</v>
      </c>
      <c r="B4100" t="s">
        <v>25228</v>
      </c>
      <c r="C4100" t="s">
        <v>60</v>
      </c>
      <c r="D4100" t="s">
        <v>61</v>
      </c>
      <c r="E4100" t="s">
        <v>18626</v>
      </c>
      <c r="F4100" s="2" t="n">
        <f>HYPERLINK("https://patents.google.com/patent/US8318701","Google")</f>
        <v>0.0</v>
      </c>
      <c r="G4100" s="2" t="n">
        <f>HYPERLINK("https://patentcenter.uspto.gov/applications/11658419","Patent Center")</f>
        <v>0.0</v>
      </c>
      <c r="H4100" s="2" t="n">
        <f>HYPERLINK("https://worldwide.espacenet.com/patent/search?q=US8318701","Espacenet")</f>
        <v>0.0</v>
      </c>
      <c r="I4100" s="2" t="n">
        <f>HYPERLINK("https://ppubs.uspto.gov/pubwebapp/external.html?q=8318701.pn.","USPTO")</f>
        <v>0.0</v>
      </c>
      <c r="J4100" s="2" t="n">
        <f>HYPERLINK("https://image-ppubs.uspto.gov/dirsearch-public/print/downloadPdf/8318701","USPTO PDF")</f>
        <v>0.0</v>
      </c>
      <c r="K4100" s="2" t="n">
        <f>HYPERLINK("https://sectors.patentforecast.com/pmd/US8318701","PMD")</f>
        <v>0.0</v>
      </c>
      <c r="L4100" s="2" t="n">
        <f>HYPERLINK("https://globaldossier.uspto.gov/result/patent/US/8318701/1","US8318701")</f>
        <v>0.0</v>
      </c>
      <c r="M4100" t="s">
        <v>22404</v>
      </c>
      <c r="N4100" t="s">
        <v>664</v>
      </c>
      <c r="O4100" t="s">
        <v>665</v>
      </c>
      <c r="P4100" t="s">
        <v>24123</v>
      </c>
      <c r="Q4100" s="3" t="n">
        <v>38559.0</v>
      </c>
      <c r="R4100" s="3" t="n">
        <v>41240.0</v>
      </c>
      <c r="S4100" s="3" t="n">
        <v>43952.45991055555</v>
      </c>
      <c r="T4100" s="3" t="n">
        <v>44638.662781747684</v>
      </c>
      <c r="U4100" t="s">
        <v>25229</v>
      </c>
      <c r="V4100" t="s">
        <v>17358</v>
      </c>
    </row>
    <row r="4101">
      <c r="A4101" t="s">
        <v>23557</v>
      </c>
      <c r="B4101" t="s">
        <v>25230</v>
      </c>
      <c r="C4101" t="s">
        <v>60</v>
      </c>
      <c r="D4101" t="s">
        <v>61</v>
      </c>
      <c r="E4101" t="s">
        <v>25231</v>
      </c>
      <c r="F4101" s="2" t="n">
        <f>HYPERLINK("https://patents.google.com/patent/US8318682","Google")</f>
        <v>0.0</v>
      </c>
      <c r="G4101" s="2" t="n">
        <f>HYPERLINK("https://patentcenter.uspto.gov/applications/13196117","Patent Center")</f>
        <v>0.0</v>
      </c>
      <c r="H4101" s="2" t="n">
        <f>HYPERLINK("https://worldwide.espacenet.com/patent/search?q=US8318682","Espacenet")</f>
        <v>0.0</v>
      </c>
      <c r="I4101" s="2" t="n">
        <f>HYPERLINK("https://ppubs.uspto.gov/pubwebapp/external.html?q=8318682.pn.","USPTO")</f>
        <v>0.0</v>
      </c>
      <c r="J4101" s="2" t="n">
        <f>HYPERLINK("https://image-ppubs.uspto.gov/dirsearch-public/print/downloadPdf/8318682","USPTO PDF")</f>
        <v>0.0</v>
      </c>
      <c r="K4101" s="2" t="n">
        <f>HYPERLINK("https://sectors.patentforecast.com/pmd/US8318682","PMD")</f>
        <v>0.0</v>
      </c>
      <c r="L4101" s="2" t="n">
        <f>HYPERLINK("https://globaldossier.uspto.gov/result/patent/US/8318682/1","US8318682")</f>
        <v>0.0</v>
      </c>
      <c r="M4101" t="s">
        <v>21656</v>
      </c>
      <c r="N4101" t="s">
        <v>664</v>
      </c>
      <c r="O4101" t="s">
        <v>665</v>
      </c>
      <c r="P4101" t="s">
        <v>23572</v>
      </c>
      <c r="Q4101" s="3" t="n">
        <v>40757.0</v>
      </c>
      <c r="R4101" s="3" t="n">
        <v>41240.0</v>
      </c>
      <c r="S4101" s="3" t="n">
        <v>43952.45991055555</v>
      </c>
      <c r="T4101" s="3" t="n">
        <v>44638.65271974537</v>
      </c>
      <c r="U4101" t="s">
        <v>25232</v>
      </c>
      <c r="V4101" t="s">
        <v>25233</v>
      </c>
    </row>
    <row r="4102">
      <c r="A4102" t="s">
        <v>23557</v>
      </c>
      <c r="B4102" t="s">
        <v>25234</v>
      </c>
      <c r="C4102" t="s">
        <v>24</v>
      </c>
      <c r="D4102" t="s">
        <v>187</v>
      </c>
      <c r="E4102" t="s">
        <v>23278</v>
      </c>
      <c r="F4102" s="2" t="n">
        <f>HYPERLINK("https://patents.google.com/patent/US8298760","Google")</f>
        <v>0.0</v>
      </c>
      <c r="G4102" s="2" t="n">
        <f>HYPERLINK("https://patentcenter.uspto.gov/applications/11674538","Patent Center")</f>
        <v>0.0</v>
      </c>
      <c r="H4102" s="2" t="n">
        <f>HYPERLINK("https://worldwide.espacenet.com/patent/search?q=US8298760","Espacenet")</f>
        <v>0.0</v>
      </c>
      <c r="I4102" s="2" t="n">
        <f>HYPERLINK("https://ppubs.uspto.gov/pubwebapp/external.html?q=8298760.pn.","USPTO")</f>
        <v>0.0</v>
      </c>
      <c r="J4102" s="2" t="n">
        <f>HYPERLINK("https://image-ppubs.uspto.gov/dirsearch-public/print/downloadPdf/8298760","USPTO PDF")</f>
        <v>0.0</v>
      </c>
      <c r="K4102" s="2" t="n">
        <f>HYPERLINK("https://sectors.patentforecast.com/pmd/US8298760","PMD")</f>
        <v>0.0</v>
      </c>
      <c r="L4102" s="2" t="n">
        <f>HYPERLINK("https://globaldossier.uspto.gov/result/patent/US/8298760/1","US8298760")</f>
        <v>0.0</v>
      </c>
      <c r="M4102" t="s">
        <v>21533</v>
      </c>
      <c r="N4102" t="s">
        <v>6851</v>
      </c>
      <c r="O4102" t="s">
        <v>6852</v>
      </c>
      <c r="P4102" t="s">
        <v>24756</v>
      </c>
      <c r="Q4102" s="3" t="n">
        <v>39126.0</v>
      </c>
      <c r="R4102" s="3" t="n">
        <v>41212.0</v>
      </c>
      <c r="S4102" s="3" t="n">
        <v>43266.45735872685</v>
      </c>
      <c r="T4102" s="3" t="n">
        <v>43266.61438974537</v>
      </c>
      <c r="U4102" t="s">
        <v>24757</v>
      </c>
      <c r="V4102" t="s">
        <v>19648</v>
      </c>
    </row>
    <row r="4103">
      <c r="A4103" t="s">
        <v>23557</v>
      </c>
      <c r="B4103" t="s">
        <v>25235</v>
      </c>
      <c r="C4103" t="s">
        <v>24</v>
      </c>
      <c r="D4103" t="s">
        <v>25</v>
      </c>
      <c r="E4103" t="s">
        <v>22098</v>
      </c>
      <c r="F4103" s="2" t="n">
        <f>HYPERLINK("https://patents.google.com/patent/US8297231","Google")</f>
        <v>0.0</v>
      </c>
      <c r="G4103" s="2" t="n">
        <f>HYPERLINK("https://patentcenter.uspto.gov/applications/12320719","Patent Center")</f>
        <v>0.0</v>
      </c>
      <c r="H4103" s="2" t="n">
        <f>HYPERLINK("https://worldwide.espacenet.com/patent/search?q=US8297231","Espacenet")</f>
        <v>0.0</v>
      </c>
      <c r="I4103" s="2" t="n">
        <f>HYPERLINK("https://ppubs.uspto.gov/pubwebapp/external.html?q=8297231.pn.","USPTO")</f>
        <v>0.0</v>
      </c>
      <c r="J4103" s="2" t="n">
        <f>HYPERLINK("https://image-ppubs.uspto.gov/dirsearch-public/print/downloadPdf/8297231","USPTO PDF")</f>
        <v>0.0</v>
      </c>
      <c r="K4103" s="2" t="n">
        <f>HYPERLINK("https://sectors.patentforecast.com/pmd/US8297231","PMD")</f>
        <v>0.0</v>
      </c>
      <c r="L4103" s="2" t="n">
        <f>HYPERLINK("https://globaldossier.uspto.gov/result/patent/US/8297231/1","US8297231")</f>
        <v>0.0</v>
      </c>
      <c r="M4103" t="s">
        <v>22099</v>
      </c>
      <c r="N4103" t="s">
        <v>20717</v>
      </c>
      <c r="O4103" t="s">
        <v>20718</v>
      </c>
      <c r="P4103" t="s">
        <v>24981</v>
      </c>
      <c r="Q4103" s="3" t="n">
        <v>39847.0</v>
      </c>
      <c r="R4103" s="3" t="n">
        <v>41212.0</v>
      </c>
      <c r="S4103" s="3" t="n">
        <v>44019.229937094904</v>
      </c>
      <c r="T4103" s="3" t="n">
        <v>44020.4306603125</v>
      </c>
      <c r="U4103" t="s">
        <v>25236</v>
      </c>
      <c r="V4103" t="s">
        <v>21337</v>
      </c>
    </row>
    <row r="4104">
      <c r="A4104" t="s">
        <v>23557</v>
      </c>
      <c r="B4104" t="s">
        <v>25237</v>
      </c>
      <c r="C4104" t="s">
        <v>132</v>
      </c>
      <c r="D4104" t="s">
        <v>1265</v>
      </c>
      <c r="E4104" t="s">
        <v>20378</v>
      </c>
      <c r="F4104" s="2" t="n">
        <f>HYPERLINK("https://patents.google.com/patent/US8288090","Google")</f>
        <v>0.0</v>
      </c>
      <c r="G4104" s="2" t="n">
        <f>HYPERLINK("https://patentcenter.uspto.gov/applications/12689547","Patent Center")</f>
        <v>0.0</v>
      </c>
      <c r="H4104" s="2" t="n">
        <f>HYPERLINK("https://worldwide.espacenet.com/patent/search?q=US8288090","Espacenet")</f>
        <v>0.0</v>
      </c>
      <c r="I4104" s="2" t="n">
        <f>HYPERLINK("https://ppubs.uspto.gov/pubwebapp/external.html?q=8288090.pn.","USPTO")</f>
        <v>0.0</v>
      </c>
      <c r="J4104" s="2" t="n">
        <f>HYPERLINK("https://image-ppubs.uspto.gov/dirsearch-public/print/downloadPdf/8288090","USPTO PDF")</f>
        <v>0.0</v>
      </c>
      <c r="K4104" s="2" t="n">
        <f>HYPERLINK("https://sectors.patentforecast.com/pmd/US8288090","PMD")</f>
        <v>0.0</v>
      </c>
      <c r="L4104" s="2" t="n">
        <f>HYPERLINK("https://globaldossier.uspto.gov/result/patent/US/8288090/1","US8288090")</f>
        <v>0.0</v>
      </c>
      <c r="M4104" t="s">
        <v>22151</v>
      </c>
      <c r="N4104" t="s">
        <v>21698</v>
      </c>
      <c r="O4104" t="s">
        <v>21698</v>
      </c>
      <c r="P4104" t="s">
        <v>25238</v>
      </c>
      <c r="Q4104" s="3" t="n">
        <v>40197.0</v>
      </c>
      <c r="R4104" s="3" t="n">
        <v>41198.0</v>
      </c>
      <c r="S4104" s="3" t="n">
        <v>43900.43738940972</v>
      </c>
      <c r="T4104" s="3" t="n">
        <v>43901.705570729166</v>
      </c>
      <c r="U4104" t="s">
        <v>25239</v>
      </c>
      <c r="V4104" t="s">
        <v>22154</v>
      </c>
    </row>
    <row r="4105">
      <c r="A4105" t="s">
        <v>23557</v>
      </c>
      <c r="B4105" t="s">
        <v>25240</v>
      </c>
      <c r="C4105" t="s">
        <v>60</v>
      </c>
      <c r="D4105" t="s">
        <v>61</v>
      </c>
      <c r="E4105" t="s">
        <v>22432</v>
      </c>
      <c r="F4105" s="2" t="n">
        <f>HYPERLINK("https://patents.google.com/patent/US8283442","Google")</f>
        <v>0.0</v>
      </c>
      <c r="G4105" s="2" t="n">
        <f>HYPERLINK("https://patentcenter.uspto.gov/applications/13436679","Patent Center")</f>
        <v>0.0</v>
      </c>
      <c r="H4105" s="2" t="n">
        <f>HYPERLINK("https://worldwide.espacenet.com/patent/search?q=US8283442","Espacenet")</f>
        <v>0.0</v>
      </c>
      <c r="I4105" s="2" t="n">
        <f>HYPERLINK("https://ppubs.uspto.gov/pubwebapp/external.html?q=8283442.pn.","USPTO")</f>
        <v>0.0</v>
      </c>
      <c r="J4105" s="2" t="n">
        <f>HYPERLINK("https://image-ppubs.uspto.gov/dirsearch-public/print/downloadPdf/8283442","USPTO PDF")</f>
        <v>0.0</v>
      </c>
      <c r="K4105" s="2" t="n">
        <f>HYPERLINK("https://sectors.patentforecast.com/pmd/US8283442","PMD")</f>
        <v>0.0</v>
      </c>
      <c r="L4105" s="2" t="n">
        <f>HYPERLINK("https://globaldossier.uspto.gov/result/patent/US/8283442/1","US8283442")</f>
        <v>0.0</v>
      </c>
      <c r="M4105" t="s">
        <v>21478</v>
      </c>
      <c r="N4105" t="s">
        <v>664</v>
      </c>
      <c r="O4105" t="s">
        <v>665</v>
      </c>
      <c r="P4105" t="s">
        <v>24834</v>
      </c>
      <c r="Q4105" s="3" t="n">
        <v>40998.0</v>
      </c>
      <c r="R4105" s="3" t="n">
        <v>41191.0</v>
      </c>
      <c r="S4105" s="3" t="n">
        <v>43952.45991055555</v>
      </c>
      <c r="T4105" s="3" t="n">
        <v>44638.65271974537</v>
      </c>
      <c r="U4105" t="s">
        <v>25241</v>
      </c>
      <c r="V4105" t="s">
        <v>16907</v>
      </c>
    </row>
    <row r="4106">
      <c r="A4106" t="s">
        <v>23557</v>
      </c>
      <c r="B4106" t="s">
        <v>25242</v>
      </c>
      <c r="C4106" t="s">
        <v>132</v>
      </c>
      <c r="D4106" t="s">
        <v>1265</v>
      </c>
      <c r="E4106" t="s">
        <v>25243</v>
      </c>
      <c r="F4106" s="2" t="n">
        <f>HYPERLINK("https://patents.google.com/patent/US8282937","Google")</f>
        <v>0.0</v>
      </c>
      <c r="G4106" s="2" t="n">
        <f>HYPERLINK("https://patentcenter.uspto.gov/applications/11690498","Patent Center")</f>
        <v>0.0</v>
      </c>
      <c r="H4106" s="2" t="n">
        <f>HYPERLINK("https://worldwide.espacenet.com/patent/search?q=US8282937","Espacenet")</f>
        <v>0.0</v>
      </c>
      <c r="I4106" s="2" t="n">
        <f>HYPERLINK("https://ppubs.uspto.gov/pubwebapp/external.html?q=8282937.pn.","USPTO")</f>
        <v>0.0</v>
      </c>
      <c r="J4106" s="2" t="n">
        <f>HYPERLINK("https://image-ppubs.uspto.gov/dirsearch-public/print/downloadPdf/8282937","USPTO PDF")</f>
        <v>0.0</v>
      </c>
      <c r="K4106" s="2" t="n">
        <f>HYPERLINK("https://sectors.patentforecast.com/pmd/US8282937","PMD")</f>
        <v>0.0</v>
      </c>
      <c r="L4106" s="2" t="n">
        <f>HYPERLINK("https://globaldossier.uspto.gov/result/patent/US/8282937/1","US8282937")</f>
        <v>0.0</v>
      </c>
      <c r="M4106" t="s">
        <v>22950</v>
      </c>
      <c r="N4106" t="s">
        <v>4005</v>
      </c>
      <c r="O4106" t="s">
        <v>4006</v>
      </c>
      <c r="P4106" t="s">
        <v>25244</v>
      </c>
      <c r="Q4106" s="3" t="n">
        <v>39164.0</v>
      </c>
      <c r="R4106" s="3" t="n">
        <v>41191.0</v>
      </c>
      <c r="S4106" s="3" t="n">
        <v>43900.43738940972</v>
      </c>
      <c r="T4106" s="3" t="n">
        <v>43901.705571053244</v>
      </c>
      <c r="U4106" t="s">
        <v>25245</v>
      </c>
      <c r="V4106" t="s">
        <v>22953</v>
      </c>
    </row>
    <row r="4107">
      <c r="A4107" t="s">
        <v>23557</v>
      </c>
      <c r="B4107" t="s">
        <v>25246</v>
      </c>
      <c r="C4107" t="s">
        <v>60</v>
      </c>
      <c r="D4107" t="s">
        <v>696</v>
      </c>
      <c r="E4107" t="s">
        <v>23687</v>
      </c>
      <c r="F4107" s="2" t="n">
        <f>HYPERLINK("https://patents.google.com/patent/US8277804","Google")</f>
        <v>0.0</v>
      </c>
      <c r="G4107" s="2" t="n">
        <f>HYPERLINK("https://patentcenter.uspto.gov/applications/12624830","Patent Center")</f>
        <v>0.0</v>
      </c>
      <c r="H4107" s="2" t="n">
        <f>HYPERLINK("https://worldwide.espacenet.com/patent/search?q=US8277804","Espacenet")</f>
        <v>0.0</v>
      </c>
      <c r="I4107" s="2" t="n">
        <f>HYPERLINK("https://ppubs.uspto.gov/pubwebapp/external.html?q=8277804.pn.","USPTO")</f>
        <v>0.0</v>
      </c>
      <c r="J4107" s="2" t="n">
        <f>HYPERLINK("https://image-ppubs.uspto.gov/dirsearch-public/print/downloadPdf/8277804","USPTO PDF")</f>
        <v>0.0</v>
      </c>
      <c r="K4107" s="2" t="n">
        <f>HYPERLINK("https://sectors.patentforecast.com/pmd/US8277804","PMD")</f>
        <v>0.0</v>
      </c>
      <c r="L4107" s="2" t="n">
        <f>HYPERLINK("https://globaldossier.uspto.gov/result/patent/US/8277804/1","US8277804")</f>
        <v>0.0</v>
      </c>
      <c r="M4107" t="s">
        <v>22182</v>
      </c>
      <c r="N4107" t="s">
        <v>16927</v>
      </c>
      <c r="O4107" t="s">
        <v>16928</v>
      </c>
      <c r="P4107" t="s">
        <v>23586</v>
      </c>
      <c r="Q4107" s="3" t="n">
        <v>40141.0</v>
      </c>
      <c r="R4107" s="3" t="n">
        <v>41184.0</v>
      </c>
      <c r="S4107" s="3" t="n">
        <v>43966.48632164352</v>
      </c>
      <c r="T4107" s="3" t="n">
        <v>44643.44490069444</v>
      </c>
      <c r="U4107" t="s">
        <v>25247</v>
      </c>
      <c r="V4107" t="s">
        <v>17701</v>
      </c>
    </row>
    <row r="4108">
      <c r="A4108" t="s">
        <v>23557</v>
      </c>
      <c r="B4108" t="s">
        <v>25248</v>
      </c>
      <c r="C4108" t="s">
        <v>60</v>
      </c>
      <c r="D4108" t="s">
        <v>61</v>
      </c>
      <c r="E4108" t="s">
        <v>22432</v>
      </c>
      <c r="F4108" s="2" t="n">
        <f>HYPERLINK("https://patents.google.com/patent/US8273341","Google")</f>
        <v>0.0</v>
      </c>
      <c r="G4108" s="2" t="n">
        <f>HYPERLINK("https://patentcenter.uspto.gov/applications/13291977","Patent Center")</f>
        <v>0.0</v>
      </c>
      <c r="H4108" s="2" t="n">
        <f>HYPERLINK("https://worldwide.espacenet.com/patent/search?q=US8273341","Espacenet")</f>
        <v>0.0</v>
      </c>
      <c r="I4108" s="2" t="n">
        <f>HYPERLINK("https://ppubs.uspto.gov/pubwebapp/external.html?q=8273341.pn.","USPTO")</f>
        <v>0.0</v>
      </c>
      <c r="J4108" s="2" t="n">
        <f>HYPERLINK("https://image-ppubs.uspto.gov/dirsearch-public/print/downloadPdf/8273341","USPTO PDF")</f>
        <v>0.0</v>
      </c>
      <c r="K4108" s="2" t="n">
        <f>HYPERLINK("https://sectors.patentforecast.com/pmd/US8273341","PMD")</f>
        <v>0.0</v>
      </c>
      <c r="L4108" s="2" t="n">
        <f>HYPERLINK("https://globaldossier.uspto.gov/result/patent/US/8273341/1","US8273341")</f>
        <v>0.0</v>
      </c>
      <c r="M4108" t="s">
        <v>21495</v>
      </c>
      <c r="N4108" t="s">
        <v>664</v>
      </c>
      <c r="O4108" t="s">
        <v>665</v>
      </c>
      <c r="P4108" t="s">
        <v>25249</v>
      </c>
      <c r="Q4108" s="3" t="n">
        <v>40855.0</v>
      </c>
      <c r="R4108" s="3" t="n">
        <v>41177.0</v>
      </c>
      <c r="S4108" s="3" t="n">
        <v>43952.45991055555</v>
      </c>
      <c r="T4108" s="3" t="n">
        <v>44638.65271974537</v>
      </c>
      <c r="U4108" t="s">
        <v>25250</v>
      </c>
      <c r="V4108" t="s">
        <v>16907</v>
      </c>
    </row>
    <row r="4109">
      <c r="A4109" t="s">
        <v>23557</v>
      </c>
      <c r="B4109" t="s">
        <v>25251</v>
      </c>
      <c r="C4109" t="s">
        <v>60</v>
      </c>
      <c r="D4109" t="s">
        <v>61</v>
      </c>
      <c r="E4109" t="s">
        <v>24866</v>
      </c>
      <c r="F4109" s="2" t="n">
        <f>HYPERLINK("https://patents.google.com/patent/US8263612","Google")</f>
        <v>0.0</v>
      </c>
      <c r="G4109" s="2" t="n">
        <f>HYPERLINK("https://patentcenter.uspto.gov/applications/11957017","Patent Center")</f>
        <v>0.0</v>
      </c>
      <c r="H4109" s="2" t="n">
        <f>HYPERLINK("https://worldwide.espacenet.com/patent/search?q=US8263612","Espacenet")</f>
        <v>0.0</v>
      </c>
      <c r="I4109" s="2" t="n">
        <f>HYPERLINK("https://ppubs.uspto.gov/pubwebapp/external.html?q=8263612.pn.","USPTO")</f>
        <v>0.0</v>
      </c>
      <c r="J4109" s="2" t="n">
        <f>HYPERLINK("https://image-ppubs.uspto.gov/dirsearch-public/print/downloadPdf/8263612","USPTO PDF")</f>
        <v>0.0</v>
      </c>
      <c r="K4109" s="2" t="n">
        <f>HYPERLINK("https://sectors.patentforecast.com/pmd/US8263612","PMD")</f>
        <v>0.0</v>
      </c>
      <c r="L4109" s="2" t="n">
        <f>HYPERLINK("https://globaldossier.uspto.gov/result/patent/US/8263612/1","US8263612")</f>
        <v>0.0</v>
      </c>
      <c r="M4109" t="s">
        <v>25252</v>
      </c>
      <c r="N4109" t="s">
        <v>20636</v>
      </c>
      <c r="O4109" t="s">
        <v>20637</v>
      </c>
      <c r="P4109" t="s">
        <v>24924</v>
      </c>
      <c r="Q4109" s="3" t="n">
        <v>39430.0</v>
      </c>
      <c r="R4109" s="3" t="n">
        <v>41163.0</v>
      </c>
      <c r="S4109" s="3" t="n">
        <v>43952.45991055555</v>
      </c>
      <c r="T4109" s="3" t="n">
        <v>44638.65579662037</v>
      </c>
      <c r="U4109" t="s">
        <v>25253</v>
      </c>
      <c r="V4109" t="s">
        <v>24926</v>
      </c>
    </row>
    <row r="4110">
      <c r="A4110" t="s">
        <v>23557</v>
      </c>
      <c r="B4110" t="s">
        <v>25254</v>
      </c>
      <c r="C4110" t="s">
        <v>60</v>
      </c>
      <c r="D4110" t="s">
        <v>696</v>
      </c>
      <c r="E4110" t="s">
        <v>23687</v>
      </c>
      <c r="F4110" s="2" t="n">
        <f>HYPERLINK("https://patents.google.com/patent/US8252286","Google")</f>
        <v>0.0</v>
      </c>
      <c r="G4110" s="2" t="n">
        <f>HYPERLINK("https://patentcenter.uspto.gov/applications/12323194","Patent Center")</f>
        <v>0.0</v>
      </c>
      <c r="H4110" s="2" t="n">
        <f>HYPERLINK("https://worldwide.espacenet.com/patent/search?q=US8252286","Espacenet")</f>
        <v>0.0</v>
      </c>
      <c r="I4110" s="2" t="n">
        <f>HYPERLINK("https://ppubs.uspto.gov/pubwebapp/external.html?q=8252286.pn.","USPTO")</f>
        <v>0.0</v>
      </c>
      <c r="J4110" s="2" t="n">
        <f>HYPERLINK("https://image-ppubs.uspto.gov/dirsearch-public/print/downloadPdf/8252286","USPTO PDF")</f>
        <v>0.0</v>
      </c>
      <c r="K4110" s="2" t="n">
        <f>HYPERLINK("https://sectors.patentforecast.com/pmd/US8252286","PMD")</f>
        <v>0.0</v>
      </c>
      <c r="L4110" s="2" t="n">
        <f>HYPERLINK("https://globaldossier.uspto.gov/result/patent/US/8252286/1","US8252286")</f>
        <v>0.0</v>
      </c>
      <c r="M4110" t="s">
        <v>22354</v>
      </c>
      <c r="N4110" t="s">
        <v>16927</v>
      </c>
      <c r="O4110" t="s">
        <v>16928</v>
      </c>
      <c r="P4110" t="s">
        <v>23586</v>
      </c>
      <c r="Q4110" s="3" t="n">
        <v>39777.0</v>
      </c>
      <c r="R4110" s="3" t="n">
        <v>41149.0</v>
      </c>
      <c r="S4110" s="3" t="n">
        <v>43966.48632164352</v>
      </c>
      <c r="T4110" s="3" t="n">
        <v>44643.44490069444</v>
      </c>
      <c r="U4110" t="s">
        <v>25255</v>
      </c>
      <c r="V4110" t="s">
        <v>17701</v>
      </c>
    </row>
    <row r="4111">
      <c r="A4111" t="s">
        <v>23557</v>
      </c>
      <c r="B4111" t="s">
        <v>25256</v>
      </c>
      <c r="C4111" t="s">
        <v>312</v>
      </c>
      <c r="D4111" t="s">
        <v>976</v>
      </c>
      <c r="E4111" t="s">
        <v>22799</v>
      </c>
      <c r="F4111" s="2" t="n">
        <f>HYPERLINK("https://patents.google.com/patent/US8234129","Google")</f>
        <v>0.0</v>
      </c>
      <c r="G4111" s="2" t="n">
        <f>HYPERLINK("https://patentcenter.uspto.gov/applications/11796727","Patent Center")</f>
        <v>0.0</v>
      </c>
      <c r="H4111" s="2" t="n">
        <f>HYPERLINK("https://worldwide.espacenet.com/patent/search?q=US8234129","Espacenet")</f>
        <v>0.0</v>
      </c>
      <c r="I4111" s="2" t="n">
        <f>HYPERLINK("https://ppubs.uspto.gov/pubwebapp/external.html?q=8234129.pn.","USPTO")</f>
        <v>0.0</v>
      </c>
      <c r="J4111" s="2" t="n">
        <f>HYPERLINK("https://image-ppubs.uspto.gov/dirsearch-public/print/downloadPdf/8234129","USPTO PDF")</f>
        <v>0.0</v>
      </c>
      <c r="K4111" s="2" t="n">
        <f>HYPERLINK("https://sectors.patentforecast.com/pmd/US8234129","PMD")</f>
        <v>0.0</v>
      </c>
      <c r="L4111" s="2" t="n">
        <f>HYPERLINK("https://globaldossier.uspto.gov/result/patent/US/8234129/1","US8234129")</f>
        <v>0.0</v>
      </c>
      <c r="M4111" t="s">
        <v>22800</v>
      </c>
      <c r="N4111" t="s">
        <v>18940</v>
      </c>
      <c r="O4111" t="s">
        <v>18941</v>
      </c>
      <c r="P4111" t="s">
        <v>25257</v>
      </c>
      <c r="Q4111" s="3" t="n">
        <v>39199.0</v>
      </c>
      <c r="R4111" s="3" t="n">
        <v>41121.0</v>
      </c>
      <c r="S4111" s="3" t="n">
        <v>43266.45735872685</v>
      </c>
      <c r="T4111" s="3" t="n">
        <v>44643.40280885417</v>
      </c>
      <c r="U4111" t="s">
        <v>25258</v>
      </c>
      <c r="V4111" t="s">
        <v>25259</v>
      </c>
    </row>
    <row r="4112">
      <c r="A4112" t="s">
        <v>23557</v>
      </c>
      <c r="B4112" t="s">
        <v>25260</v>
      </c>
      <c r="C4112" t="s">
        <v>24</v>
      </c>
      <c r="D4112" t="s">
        <v>25</v>
      </c>
      <c r="E4112" t="s">
        <v>25261</v>
      </c>
      <c r="F4112" s="2" t="n">
        <f>HYPERLINK("https://patents.google.com/patent/US8218871","Google")</f>
        <v>0.0</v>
      </c>
      <c r="G4112" s="2" t="n">
        <f>HYPERLINK("https://patentcenter.uspto.gov/applications/12042857","Patent Center")</f>
        <v>0.0</v>
      </c>
      <c r="H4112" s="2" t="n">
        <f>HYPERLINK("https://worldwide.espacenet.com/patent/search?q=US8218871","Espacenet")</f>
        <v>0.0</v>
      </c>
      <c r="I4112" s="2" t="n">
        <f>HYPERLINK("https://ppubs.uspto.gov/pubwebapp/external.html?q=8218871.pn.","USPTO")</f>
        <v>0.0</v>
      </c>
      <c r="J4112" s="2" t="n">
        <f>HYPERLINK("https://image-ppubs.uspto.gov/dirsearch-public/print/downloadPdf/8218871","USPTO PDF")</f>
        <v>0.0</v>
      </c>
      <c r="K4112" s="2" t="n">
        <f>HYPERLINK("https://sectors.patentforecast.com/pmd/US8218871","PMD")</f>
        <v>0.0</v>
      </c>
      <c r="L4112" s="2" t="n">
        <f>HYPERLINK("https://globaldossier.uspto.gov/result/patent/US/8218871/1","US8218871")</f>
        <v>0.0</v>
      </c>
      <c r="M4112" t="s">
        <v>22398</v>
      </c>
      <c r="N4112" t="s">
        <v>947</v>
      </c>
      <c r="O4112" t="s">
        <v>948</v>
      </c>
      <c r="P4112" t="s">
        <v>25262</v>
      </c>
      <c r="Q4112" s="3" t="n">
        <v>39512.0</v>
      </c>
      <c r="R4112" s="3" t="n">
        <v>41100.0</v>
      </c>
      <c r="S4112" s="3" t="n">
        <v>43908.45851611111</v>
      </c>
      <c r="T4112" s="3" t="n">
        <v>43979.492230902775</v>
      </c>
      <c r="U4112" t="s">
        <v>25263</v>
      </c>
      <c r="V4112" t="s">
        <v>25264</v>
      </c>
    </row>
    <row r="4113">
      <c r="A4113" t="s">
        <v>23557</v>
      </c>
      <c r="B4113" t="s">
        <v>25265</v>
      </c>
      <c r="C4113" t="s">
        <v>24</v>
      </c>
      <c r="D4113" t="s">
        <v>204</v>
      </c>
      <c r="E4113" t="s">
        <v>25266</v>
      </c>
      <c r="F4113" s="2" t="n">
        <f>HYPERLINK("https://patents.google.com/patent/US8190448","Google")</f>
        <v>0.0</v>
      </c>
      <c r="G4113" s="2" t="n">
        <f>HYPERLINK("https://patentcenter.uspto.gov/applications/11948135","Patent Center")</f>
        <v>0.0</v>
      </c>
      <c r="H4113" s="2" t="n">
        <f>HYPERLINK("https://worldwide.espacenet.com/patent/search?q=US8190448","Espacenet")</f>
        <v>0.0</v>
      </c>
      <c r="I4113" s="2" t="n">
        <f>HYPERLINK("https://ppubs.uspto.gov/pubwebapp/external.html?q=8190448.pn.","USPTO")</f>
        <v>0.0</v>
      </c>
      <c r="J4113" s="2" t="n">
        <f>HYPERLINK("https://image-ppubs.uspto.gov/dirsearch-public/print/downloadPdf/8190448","USPTO PDF")</f>
        <v>0.0</v>
      </c>
      <c r="K4113" s="2" t="n">
        <f>HYPERLINK("https://sectors.patentforecast.com/pmd/US8190448","PMD")</f>
        <v>0.0</v>
      </c>
      <c r="L4113" s="2" t="n">
        <f>HYPERLINK("https://globaldossier.uspto.gov/result/patent/US/8190448/1","US8190448")</f>
        <v>0.0</v>
      </c>
      <c r="M4113" t="s">
        <v>22467</v>
      </c>
      <c r="N4113" t="s">
        <v>2016</v>
      </c>
      <c r="O4113" t="s">
        <v>2017</v>
      </c>
      <c r="P4113" t="s">
        <v>25267</v>
      </c>
      <c r="Q4113" s="3" t="n">
        <v>39416.0</v>
      </c>
      <c r="R4113" s="3" t="n">
        <v>41058.0</v>
      </c>
      <c r="S4113" s="3" t="n">
        <v>44019.229937094904</v>
      </c>
      <c r="T4113" s="3" t="n">
        <v>44019.69895196759</v>
      </c>
      <c r="U4113" t="s">
        <v>25268</v>
      </c>
      <c r="V4113" t="s">
        <v>22470</v>
      </c>
    </row>
    <row r="4114">
      <c r="A4114" t="s">
        <v>23557</v>
      </c>
      <c r="B4114" t="s">
        <v>25269</v>
      </c>
      <c r="C4114" t="s">
        <v>24</v>
      </c>
      <c r="D4114" t="s">
        <v>13922</v>
      </c>
      <c r="E4114" t="s">
        <v>25270</v>
      </c>
      <c r="F4114" s="2" t="n">
        <f>HYPERLINK("https://patents.google.com/patent/US8183035","Google")</f>
        <v>0.0</v>
      </c>
      <c r="G4114" s="2" t="n">
        <f>HYPERLINK("https://patentcenter.uspto.gov/applications/13227324","Patent Center")</f>
        <v>0.0</v>
      </c>
      <c r="H4114" s="2" t="n">
        <f>HYPERLINK("https://worldwide.espacenet.com/patent/search?q=US8183035","Espacenet")</f>
        <v>0.0</v>
      </c>
      <c r="I4114" s="2" t="n">
        <f>HYPERLINK("https://ppubs.uspto.gov/pubwebapp/external.html?q=8183035.pn.","USPTO")</f>
        <v>0.0</v>
      </c>
      <c r="J4114" s="2" t="n">
        <f>HYPERLINK("https://image-ppubs.uspto.gov/dirsearch-public/print/downloadPdf/8183035","USPTO PDF")</f>
        <v>0.0</v>
      </c>
      <c r="K4114" s="2" t="n">
        <f>HYPERLINK("https://sectors.patentforecast.com/pmd/US8183035","PMD")</f>
        <v>0.0</v>
      </c>
      <c r="L4114" s="2" t="n">
        <f>HYPERLINK("https://globaldossier.uspto.gov/result/patent/US/8183035/1","US8183035")</f>
        <v>0.0</v>
      </c>
      <c r="M4114" t="s">
        <v>25271</v>
      </c>
      <c r="N4114" t="s">
        <v>25272</v>
      </c>
      <c r="O4114" t="s">
        <v>25273</v>
      </c>
      <c r="P4114" t="s">
        <v>25274</v>
      </c>
      <c r="Q4114" s="3" t="n">
        <v>40793.0</v>
      </c>
      <c r="R4114" s="3" t="n">
        <v>41051.0</v>
      </c>
      <c r="S4114" s="3" t="n">
        <v>43900.43738940972</v>
      </c>
      <c r="T4114" s="3" t="n">
        <v>43901.721564375</v>
      </c>
      <c r="U4114" t="s">
        <v>25275</v>
      </c>
      <c r="V4114" t="s">
        <v>25276</v>
      </c>
    </row>
    <row r="4115">
      <c r="A4115" t="s">
        <v>23557</v>
      </c>
      <c r="B4115" t="s">
        <v>25277</v>
      </c>
      <c r="C4115" t="s">
        <v>60</v>
      </c>
      <c r="D4115" t="s">
        <v>77</v>
      </c>
      <c r="E4115" t="s">
        <v>24847</v>
      </c>
      <c r="F4115" s="2" t="n">
        <f>HYPERLINK("https://patents.google.com/patent/US8182985","Google")</f>
        <v>0.0</v>
      </c>
      <c r="G4115" s="2" t="n">
        <f>HYPERLINK("https://patentcenter.uspto.gov/applications/12184330","Patent Center")</f>
        <v>0.0</v>
      </c>
      <c r="H4115" s="2" t="n">
        <f>HYPERLINK("https://worldwide.espacenet.com/patent/search?q=US8182985","Espacenet")</f>
        <v>0.0</v>
      </c>
      <c r="I4115" s="2" t="n">
        <f>HYPERLINK("https://ppubs.uspto.gov/pubwebapp/external.html?q=8182985.pn.","USPTO")</f>
        <v>0.0</v>
      </c>
      <c r="J4115" s="2" t="n">
        <f>HYPERLINK("https://image-ppubs.uspto.gov/dirsearch-public/print/downloadPdf/8182985","USPTO PDF")</f>
        <v>0.0</v>
      </c>
      <c r="K4115" s="2" t="n">
        <f>HYPERLINK("https://sectors.patentforecast.com/pmd/US8182985","PMD")</f>
        <v>0.0</v>
      </c>
      <c r="L4115" s="2" t="n">
        <f>HYPERLINK("https://globaldossier.uspto.gov/result/patent/US/8182985/1","US8182985")</f>
        <v>0.0</v>
      </c>
      <c r="M4115" t="s">
        <v>22500</v>
      </c>
      <c r="N4115" t="s">
        <v>22410</v>
      </c>
      <c r="O4115" t="s">
        <v>22410</v>
      </c>
      <c r="P4115" t="s">
        <v>25278</v>
      </c>
      <c r="Q4115" s="3" t="n">
        <v>39661.0</v>
      </c>
      <c r="R4115" s="3" t="n">
        <v>41051.0</v>
      </c>
      <c r="S4115" s="3" t="n">
        <v>43966.47997900463</v>
      </c>
      <c r="T4115" s="3" t="n">
        <v>43985.69532324074</v>
      </c>
      <c r="U4115" t="s">
        <v>25279</v>
      </c>
      <c r="V4115" t="s">
        <v>22503</v>
      </c>
    </row>
    <row r="4116">
      <c r="A4116" t="s">
        <v>23557</v>
      </c>
      <c r="B4116" t="s">
        <v>25280</v>
      </c>
      <c r="C4116" t="s">
        <v>60</v>
      </c>
      <c r="D4116" t="s">
        <v>61</v>
      </c>
      <c r="E4116" t="s">
        <v>22432</v>
      </c>
      <c r="F4116" s="2" t="n">
        <f>HYPERLINK("https://patents.google.com/patent/US8178491","Google")</f>
        <v>0.0</v>
      </c>
      <c r="G4116" s="2" t="n">
        <f>HYPERLINK("https://patentcenter.uspto.gov/applications/12215605","Patent Center")</f>
        <v>0.0</v>
      </c>
      <c r="H4116" s="2" t="n">
        <f>HYPERLINK("https://worldwide.espacenet.com/patent/search?q=US8178491","Espacenet")</f>
        <v>0.0</v>
      </c>
      <c r="I4116" s="2" t="n">
        <f>HYPERLINK("https://ppubs.uspto.gov/pubwebapp/external.html?q=8178491.pn.","USPTO")</f>
        <v>0.0</v>
      </c>
      <c r="J4116" s="2" t="n">
        <f>HYPERLINK("https://image-ppubs.uspto.gov/dirsearch-public/print/downloadPdf/8178491","USPTO PDF")</f>
        <v>0.0</v>
      </c>
      <c r="K4116" s="2" t="n">
        <f>HYPERLINK("https://sectors.patentforecast.com/pmd/US8178491","PMD")</f>
        <v>0.0</v>
      </c>
      <c r="L4116" s="2" t="n">
        <f>HYPERLINK("https://globaldossier.uspto.gov/result/patent/US/8178491/1","US8178491")</f>
        <v>0.0</v>
      </c>
      <c r="M4116" t="s">
        <v>22374</v>
      </c>
      <c r="N4116" t="s">
        <v>664</v>
      </c>
      <c r="O4116" t="s">
        <v>665</v>
      </c>
      <c r="P4116" t="s">
        <v>24834</v>
      </c>
      <c r="Q4116" s="3" t="n">
        <v>39625.0</v>
      </c>
      <c r="R4116" s="3" t="n">
        <v>41044.0</v>
      </c>
      <c r="S4116" s="3" t="n">
        <v>43957.45956962963</v>
      </c>
      <c r="T4116" s="3" t="n">
        <v>44544.455852453706</v>
      </c>
      <c r="U4116" t="s">
        <v>25281</v>
      </c>
      <c r="V4116" t="s">
        <v>16907</v>
      </c>
    </row>
    <row r="4117">
      <c r="A4117" t="s">
        <v>23557</v>
      </c>
      <c r="B4117" t="s">
        <v>25282</v>
      </c>
      <c r="C4117" t="s">
        <v>60</v>
      </c>
      <c r="D4117" t="s">
        <v>61</v>
      </c>
      <c r="E4117" t="s">
        <v>22866</v>
      </c>
      <c r="F4117" s="2" t="n">
        <f>HYPERLINK("https://patents.google.com/patent/US8173623","Google")</f>
        <v>0.0</v>
      </c>
      <c r="G4117" s="2" t="n">
        <f>HYPERLINK("https://patentcenter.uspto.gov/applications/11729522","Patent Center")</f>
        <v>0.0</v>
      </c>
      <c r="H4117" s="2" t="n">
        <f>HYPERLINK("https://worldwide.espacenet.com/patent/search?q=US8173623","Espacenet")</f>
        <v>0.0</v>
      </c>
      <c r="I4117" s="2" t="n">
        <f>HYPERLINK("https://ppubs.uspto.gov/pubwebapp/external.html?q=8173623.pn.","USPTO")</f>
        <v>0.0</v>
      </c>
      <c r="J4117" s="2" t="n">
        <f>HYPERLINK("https://image-ppubs.uspto.gov/dirsearch-public/print/downloadPdf/8173623","USPTO PDF")</f>
        <v>0.0</v>
      </c>
      <c r="K4117" s="2" t="n">
        <f>HYPERLINK("https://sectors.patentforecast.com/pmd/US8173623","PMD")</f>
        <v>0.0</v>
      </c>
      <c r="L4117" s="2" t="n">
        <f>HYPERLINK("https://globaldossier.uspto.gov/result/patent/US/8173623/1","US8173623")</f>
        <v>0.0</v>
      </c>
      <c r="M4117" t="s">
        <v>22867</v>
      </c>
      <c r="N4117" t="s">
        <v>664</v>
      </c>
      <c r="O4117" t="s">
        <v>665</v>
      </c>
      <c r="P4117" t="s">
        <v>25283</v>
      </c>
      <c r="Q4117" s="3" t="n">
        <v>39170.0</v>
      </c>
      <c r="R4117" s="3" t="n">
        <v>41037.0</v>
      </c>
      <c r="S4117" s="3" t="n">
        <v>43950.647372685184</v>
      </c>
      <c r="T4117" s="3" t="n">
        <v>44638.662781747684</v>
      </c>
      <c r="U4117" t="s">
        <v>25284</v>
      </c>
      <c r="V4117" t="s">
        <v>25142</v>
      </c>
    </row>
    <row r="4118">
      <c r="A4118" t="s">
        <v>23557</v>
      </c>
      <c r="B4118" t="s">
        <v>25285</v>
      </c>
      <c r="C4118" t="s">
        <v>132</v>
      </c>
      <c r="D4118" t="s">
        <v>1265</v>
      </c>
      <c r="E4118" t="s">
        <v>25286</v>
      </c>
      <c r="F4118" s="2" t="n">
        <f>HYPERLINK("https://patents.google.com/patent/US8163545","Google")</f>
        <v>0.0</v>
      </c>
      <c r="G4118" s="2" t="n">
        <f>HYPERLINK("https://patentcenter.uspto.gov/applications/12646078","Patent Center")</f>
        <v>0.0</v>
      </c>
      <c r="H4118" s="2" t="n">
        <f>HYPERLINK("https://worldwide.espacenet.com/patent/search?q=US8163545","Espacenet")</f>
        <v>0.0</v>
      </c>
      <c r="I4118" s="2" t="n">
        <f>HYPERLINK("https://ppubs.uspto.gov/pubwebapp/external.html?q=8163545.pn.","USPTO")</f>
        <v>0.0</v>
      </c>
      <c r="J4118" s="2" t="n">
        <f>HYPERLINK("https://image-ppubs.uspto.gov/dirsearch-public/print/downloadPdf/8163545","USPTO PDF")</f>
        <v>0.0</v>
      </c>
      <c r="K4118" s="2" t="n">
        <f>HYPERLINK("https://sectors.patentforecast.com/pmd/US8163545","PMD")</f>
        <v>0.0</v>
      </c>
      <c r="L4118" s="2" t="n">
        <f>HYPERLINK("https://globaldossier.uspto.gov/result/patent/US/8163545/1","US8163545")</f>
        <v>0.0</v>
      </c>
      <c r="M4118" t="s">
        <v>22157</v>
      </c>
      <c r="N4118" t="s">
        <v>22158</v>
      </c>
      <c r="O4118" t="s">
        <v>22159</v>
      </c>
      <c r="P4118" t="s">
        <v>25287</v>
      </c>
      <c r="Q4118" s="3" t="n">
        <v>40170.0</v>
      </c>
      <c r="R4118" s="3" t="n">
        <v>41023.0</v>
      </c>
      <c r="S4118" s="3" t="n">
        <v>43900.43738940972</v>
      </c>
      <c r="T4118" s="3" t="n">
        <v>43901.70557067129</v>
      </c>
      <c r="U4118" t="s">
        <v>25288</v>
      </c>
      <c r="V4118" t="s">
        <v>22162</v>
      </c>
    </row>
    <row r="4119">
      <c r="A4119" t="s">
        <v>23557</v>
      </c>
      <c r="B4119" t="s">
        <v>25289</v>
      </c>
      <c r="C4119" t="s">
        <v>24</v>
      </c>
      <c r="D4119" t="s">
        <v>25</v>
      </c>
      <c r="E4119" t="s">
        <v>22673</v>
      </c>
      <c r="F4119" s="2" t="n">
        <f>HYPERLINK("https://patents.google.com/patent/US8160836","Google")</f>
        <v>0.0</v>
      </c>
      <c r="G4119" s="2" t="n">
        <f>HYPERLINK("https://patentcenter.uspto.gov/applications/11787651","Patent Center")</f>
        <v>0.0</v>
      </c>
      <c r="H4119" s="2" t="n">
        <f>HYPERLINK("https://worldwide.espacenet.com/patent/search?q=US8160836","Espacenet")</f>
        <v>0.0</v>
      </c>
      <c r="I4119" s="2" t="n">
        <f>HYPERLINK("https://ppubs.uspto.gov/pubwebapp/external.html?q=8160836.pn.","USPTO")</f>
        <v>0.0</v>
      </c>
      <c r="J4119" s="2" t="n">
        <f>HYPERLINK("https://image-ppubs.uspto.gov/dirsearch-public/print/downloadPdf/8160836","USPTO PDF")</f>
        <v>0.0</v>
      </c>
      <c r="K4119" s="2" t="n">
        <f>HYPERLINK("https://sectors.patentforecast.com/pmd/US8160836","PMD")</f>
        <v>0.0</v>
      </c>
      <c r="L4119" s="2" t="n">
        <f>HYPERLINK("https://globaldossier.uspto.gov/result/patent/US/8160836/1","US8160836")</f>
        <v>0.0</v>
      </c>
      <c r="M4119" t="s">
        <v>22674</v>
      </c>
      <c r="N4119" t="s">
        <v>18699</v>
      </c>
      <c r="O4119" t="s">
        <v>18700</v>
      </c>
      <c r="P4119" t="s">
        <v>25051</v>
      </c>
      <c r="Q4119" s="3" t="n">
        <v>39189.0</v>
      </c>
      <c r="R4119" s="3" t="n">
        <v>41016.0</v>
      </c>
      <c r="S4119" s="3" t="n">
        <v>43900.43738940972</v>
      </c>
      <c r="T4119" s="3" t="n">
        <v>43901.70557085648</v>
      </c>
      <c r="U4119" t="s">
        <v>25290</v>
      </c>
      <c r="V4119" t="s">
        <v>18703</v>
      </c>
    </row>
    <row r="4120">
      <c r="A4120" t="s">
        <v>23557</v>
      </c>
      <c r="B4120" t="s">
        <v>25291</v>
      </c>
      <c r="C4120" t="s">
        <v>60</v>
      </c>
      <c r="D4120" t="s">
        <v>61</v>
      </c>
      <c r="E4120" t="s">
        <v>24910</v>
      </c>
      <c r="F4120" s="2" t="n">
        <f>HYPERLINK("https://patents.google.com/patent/US8143394","Google")</f>
        <v>0.0</v>
      </c>
      <c r="G4120" s="2" t="n">
        <f>HYPERLINK("https://patentcenter.uspto.gov/applications/12519496","Patent Center")</f>
        <v>0.0</v>
      </c>
      <c r="H4120" s="2" t="n">
        <f>HYPERLINK("https://worldwide.espacenet.com/patent/search?q=US8143394","Espacenet")</f>
        <v>0.0</v>
      </c>
      <c r="I4120" s="2" t="n">
        <f>HYPERLINK("https://ppubs.uspto.gov/pubwebapp/external.html?q=8143394.pn.","USPTO")</f>
        <v>0.0</v>
      </c>
      <c r="J4120" s="2" t="n">
        <f>HYPERLINK("https://image-ppubs.uspto.gov/dirsearch-public/print/downloadPdf/8143394","USPTO PDF")</f>
        <v>0.0</v>
      </c>
      <c r="K4120" s="2" t="n">
        <f>HYPERLINK("https://sectors.patentforecast.com/pmd/US8143394","PMD")</f>
        <v>0.0</v>
      </c>
      <c r="L4120" s="2" t="n">
        <f>HYPERLINK("https://globaldossier.uspto.gov/result/patent/US/8143394/1","US8143394")</f>
        <v>0.0</v>
      </c>
      <c r="M4120" t="s">
        <v>22314</v>
      </c>
      <c r="N4120" t="s">
        <v>664</v>
      </c>
      <c r="O4120" t="s">
        <v>665</v>
      </c>
      <c r="P4120" t="s">
        <v>25292</v>
      </c>
      <c r="Q4120" s="3" t="n">
        <v>39440.0</v>
      </c>
      <c r="R4120" s="3" t="n">
        <v>40995.0</v>
      </c>
      <c r="S4120" s="3" t="n">
        <v>43957.45956962963</v>
      </c>
      <c r="T4120" s="3" t="n">
        <v>44638.65579662037</v>
      </c>
      <c r="U4120" t="s">
        <v>25293</v>
      </c>
      <c r="V4120" t="s">
        <v>25294</v>
      </c>
    </row>
    <row r="4121">
      <c r="A4121" t="s">
        <v>23557</v>
      </c>
      <c r="B4121" t="s">
        <v>25295</v>
      </c>
      <c r="C4121" t="s">
        <v>24</v>
      </c>
      <c r="D4121" t="s">
        <v>25</v>
      </c>
      <c r="E4121" t="s">
        <v>25296</v>
      </c>
      <c r="F4121" s="2" t="n">
        <f>HYPERLINK("https://patents.google.com/patent/US8135863","Google")</f>
        <v>0.0</v>
      </c>
      <c r="G4121" s="2" t="n">
        <f>HYPERLINK("https://patentcenter.uspto.gov/applications/10594670","Patent Center")</f>
        <v>0.0</v>
      </c>
      <c r="H4121" s="2" t="n">
        <f>HYPERLINK("https://worldwide.espacenet.com/patent/search?q=US8135863","Espacenet")</f>
        <v>0.0</v>
      </c>
      <c r="I4121" s="2" t="n">
        <f>HYPERLINK("https://ppubs.uspto.gov/pubwebapp/external.html?q=8135863.pn.","USPTO")</f>
        <v>0.0</v>
      </c>
      <c r="J4121" s="2" t="n">
        <f>HYPERLINK("https://image-ppubs.uspto.gov/dirsearch-public/print/downloadPdf/8135863","USPTO PDF")</f>
        <v>0.0</v>
      </c>
      <c r="K4121" s="2" t="n">
        <f>HYPERLINK("https://sectors.patentforecast.com/pmd/US8135863","PMD")</f>
        <v>0.0</v>
      </c>
      <c r="L4121" s="2" t="n">
        <f>HYPERLINK("https://globaldossier.uspto.gov/result/patent/US/8135863/1","US8135863")</f>
        <v>0.0</v>
      </c>
      <c r="M4121" t="s">
        <v>22637</v>
      </c>
      <c r="N4121" t="s">
        <v>22638</v>
      </c>
      <c r="O4121" t="s">
        <v>22639</v>
      </c>
      <c r="P4121" t="s">
        <v>25297</v>
      </c>
      <c r="Q4121" s="3" t="n">
        <v>38468.0</v>
      </c>
      <c r="R4121" s="3" t="n">
        <v>40981.0</v>
      </c>
      <c r="S4121" s="3" t="n">
        <v>43900.43738940972</v>
      </c>
      <c r="T4121" s="3" t="n">
        <v>43901.70557052083</v>
      </c>
      <c r="U4121" t="s">
        <v>25298</v>
      </c>
      <c r="V4121" t="s">
        <v>22642</v>
      </c>
    </row>
    <row r="4122">
      <c r="A4122" t="s">
        <v>23557</v>
      </c>
      <c r="B4122" t="s">
        <v>25299</v>
      </c>
      <c r="C4122" t="s">
        <v>312</v>
      </c>
      <c r="D4122" t="s">
        <v>715</v>
      </c>
      <c r="E4122" t="s">
        <v>25137</v>
      </c>
      <c r="F4122" s="2" t="n">
        <f>HYPERLINK("https://patents.google.com/patent/US8130093","Google")</f>
        <v>0.0</v>
      </c>
      <c r="G4122" s="2" t="n">
        <f>HYPERLINK("https://patentcenter.uspto.gov/applications/12874899","Patent Center")</f>
        <v>0.0</v>
      </c>
      <c r="H4122" s="2" t="n">
        <f>HYPERLINK("https://worldwide.espacenet.com/patent/search?q=US8130093","Espacenet")</f>
        <v>0.0</v>
      </c>
      <c r="I4122" s="2" t="n">
        <f>HYPERLINK("https://ppubs.uspto.gov/pubwebapp/external.html?q=8130093.pn.","USPTO")</f>
        <v>0.0</v>
      </c>
      <c r="J4122" s="2" t="n">
        <f>HYPERLINK("https://image-ppubs.uspto.gov/dirsearch-public/print/downloadPdf/8130093","USPTO PDF")</f>
        <v>0.0</v>
      </c>
      <c r="K4122" s="2" t="n">
        <f>HYPERLINK("https://sectors.patentforecast.com/pmd/US8130093","PMD")</f>
        <v>0.0</v>
      </c>
      <c r="L4122" s="2" t="n">
        <f>HYPERLINK("https://globaldossier.uspto.gov/result/patent/US/8130093/1","US8130093")</f>
        <v>0.0</v>
      </c>
      <c r="M4122" t="s">
        <v>21958</v>
      </c>
      <c r="N4122" t="s">
        <v>4975</v>
      </c>
      <c r="O4122" t="s">
        <v>4976</v>
      </c>
      <c r="P4122" t="s">
        <v>24855</v>
      </c>
      <c r="Q4122" s="3" t="n">
        <v>40423.0</v>
      </c>
      <c r="R4122" s="3" t="n">
        <v>40974.0</v>
      </c>
      <c r="S4122" s="3" t="n">
        <v>43266.45735936343</v>
      </c>
      <c r="T4122" s="3" t="n">
        <v>43328.45413824074</v>
      </c>
      <c r="U4122" t="s">
        <v>25138</v>
      </c>
      <c r="V4122" t="s">
        <v>21523</v>
      </c>
    </row>
    <row r="4123">
      <c r="A4123" t="s">
        <v>23557</v>
      </c>
      <c r="B4123" t="s">
        <v>25300</v>
      </c>
      <c r="C4123" t="s">
        <v>24</v>
      </c>
      <c r="D4123" t="s">
        <v>25</v>
      </c>
      <c r="E4123" t="s">
        <v>25301</v>
      </c>
      <c r="F4123" s="2" t="n">
        <f>HYPERLINK("https://patents.google.com/patent/US8090592","Google")</f>
        <v>0.0</v>
      </c>
      <c r="G4123" s="2" t="n">
        <f>HYPERLINK("https://patentcenter.uspto.gov/applications/11931789","Patent Center")</f>
        <v>0.0</v>
      </c>
      <c r="H4123" s="2" t="n">
        <f>HYPERLINK("https://worldwide.espacenet.com/patent/search?q=US8090592","Espacenet")</f>
        <v>0.0</v>
      </c>
      <c r="I4123" s="2" t="n">
        <f>HYPERLINK("https://ppubs.uspto.gov/pubwebapp/external.html?q=8090592.pn.","USPTO")</f>
        <v>0.0</v>
      </c>
      <c r="J4123" s="2" t="n">
        <f>HYPERLINK("https://image-ppubs.uspto.gov/dirsearch-public/print/downloadPdf/8090592","USPTO PDF")</f>
        <v>0.0</v>
      </c>
      <c r="K4123" s="2" t="n">
        <f>HYPERLINK("https://sectors.patentforecast.com/pmd/US8090592","PMD")</f>
        <v>0.0</v>
      </c>
      <c r="L4123" s="2" t="n">
        <f>HYPERLINK("https://globaldossier.uspto.gov/result/patent/US/8090592/1","US8090592")</f>
        <v>0.0</v>
      </c>
      <c r="M4123" t="s">
        <v>25302</v>
      </c>
      <c r="N4123" t="s">
        <v>17334</v>
      </c>
      <c r="O4123" t="s">
        <v>17335</v>
      </c>
      <c r="P4123" t="s">
        <v>25303</v>
      </c>
      <c r="Q4123" s="3" t="n">
        <v>39386.0</v>
      </c>
      <c r="R4123" s="3" t="n">
        <v>40911.0</v>
      </c>
      <c r="S4123" s="3" t="n">
        <v>43908.45862358796</v>
      </c>
      <c r="T4123" s="3" t="n">
        <v>43984.72531674769</v>
      </c>
      <c r="U4123" t="s">
        <v>25304</v>
      </c>
      <c r="V4123" t="s">
        <v>25305</v>
      </c>
    </row>
    <row r="4124">
      <c r="A4124" t="s">
        <v>23557</v>
      </c>
      <c r="B4124" t="s">
        <v>25306</v>
      </c>
      <c r="C4124" t="s">
        <v>60</v>
      </c>
      <c r="D4124" t="s">
        <v>61</v>
      </c>
      <c r="E4124" t="s">
        <v>25307</v>
      </c>
      <c r="F4124" s="2" t="n">
        <f>HYPERLINK("https://patents.google.com/patent/US8088754","Google")</f>
        <v>0.0</v>
      </c>
      <c r="G4124" s="2" t="n">
        <f>HYPERLINK("https://patentcenter.uspto.gov/applications/12388295","Patent Center")</f>
        <v>0.0</v>
      </c>
      <c r="H4124" s="2" t="n">
        <f>HYPERLINK("https://worldwide.espacenet.com/patent/search?q=US8088754","Espacenet")</f>
        <v>0.0</v>
      </c>
      <c r="I4124" s="2" t="n">
        <f>HYPERLINK("https://ppubs.uspto.gov/pubwebapp/external.html?q=8088754.pn.","USPTO")</f>
        <v>0.0</v>
      </c>
      <c r="J4124" s="2" t="n">
        <f>HYPERLINK("https://image-ppubs.uspto.gov/dirsearch-public/print/downloadPdf/8088754","USPTO PDF")</f>
        <v>0.0</v>
      </c>
      <c r="K4124" s="2" t="n">
        <f>HYPERLINK("https://sectors.patentforecast.com/pmd/US8088754","PMD")</f>
        <v>0.0</v>
      </c>
      <c r="L4124" s="2" t="n">
        <f>HYPERLINK("https://globaldossier.uspto.gov/result/patent/US/8088754/1","US8088754")</f>
        <v>0.0</v>
      </c>
      <c r="M4124" t="s">
        <v>25308</v>
      </c>
      <c r="N4124" t="s">
        <v>25309</v>
      </c>
      <c r="O4124" t="s">
        <v>25310</v>
      </c>
      <c r="P4124" t="s">
        <v>25311</v>
      </c>
      <c r="Q4124" s="3" t="n">
        <v>39862.0</v>
      </c>
      <c r="R4124" s="3" t="n">
        <v>40911.0</v>
      </c>
      <c r="S4124" s="3" t="n">
        <v>43957.45956962963</v>
      </c>
      <c r="T4124" s="3" t="n">
        <v>44544.43859215278</v>
      </c>
      <c r="U4124" t="s">
        <v>25312</v>
      </c>
      <c r="V4124" t="s">
        <v>25313</v>
      </c>
    </row>
    <row r="4125">
      <c r="A4125" t="s">
        <v>23557</v>
      </c>
      <c r="B4125" t="s">
        <v>25314</v>
      </c>
      <c r="C4125" t="s">
        <v>60</v>
      </c>
      <c r="D4125" t="s">
        <v>61</v>
      </c>
      <c r="E4125" t="s">
        <v>22432</v>
      </c>
      <c r="F4125" s="2" t="n">
        <f>HYPERLINK("https://patents.google.com/patent/US8088368","Google")</f>
        <v>0.0</v>
      </c>
      <c r="G4125" s="2" t="n">
        <f>HYPERLINK("https://patentcenter.uspto.gov/applications/12779023","Patent Center")</f>
        <v>0.0</v>
      </c>
      <c r="H4125" s="2" t="n">
        <f>HYPERLINK("https://worldwide.espacenet.com/patent/search?q=US8088368","Espacenet")</f>
        <v>0.0</v>
      </c>
      <c r="I4125" s="2" t="n">
        <f>HYPERLINK("https://ppubs.uspto.gov/pubwebapp/external.html?q=8088368.pn.","USPTO")</f>
        <v>0.0</v>
      </c>
      <c r="J4125" s="2" t="n">
        <f>HYPERLINK("https://image-ppubs.uspto.gov/dirsearch-public/print/downloadPdf/8088368","USPTO PDF")</f>
        <v>0.0</v>
      </c>
      <c r="K4125" s="2" t="n">
        <f>HYPERLINK("https://sectors.patentforecast.com/pmd/US8088368","PMD")</f>
        <v>0.0</v>
      </c>
      <c r="L4125" s="2" t="n">
        <f>HYPERLINK("https://globaldossier.uspto.gov/result/patent/US/8088368/1","US8088368")</f>
        <v>0.0</v>
      </c>
      <c r="M4125" t="s">
        <v>25315</v>
      </c>
      <c r="N4125" t="s">
        <v>664</v>
      </c>
      <c r="O4125" t="s">
        <v>665</v>
      </c>
      <c r="P4125" t="s">
        <v>25316</v>
      </c>
      <c r="Q4125" s="3" t="n">
        <v>40310.0</v>
      </c>
      <c r="R4125" s="3" t="n">
        <v>40911.0</v>
      </c>
      <c r="S4125" s="3" t="n">
        <v>43957.45956962963</v>
      </c>
      <c r="T4125" s="3" t="n">
        <v>44544.455852453706</v>
      </c>
      <c r="U4125" t="s">
        <v>25317</v>
      </c>
      <c r="V4125" t="s">
        <v>16907</v>
      </c>
    </row>
    <row r="4126">
      <c r="A4126" t="s">
        <v>23557</v>
      </c>
      <c r="B4126" t="s">
        <v>25318</v>
      </c>
      <c r="C4126" t="s">
        <v>24</v>
      </c>
      <c r="D4126" t="s">
        <v>25</v>
      </c>
      <c r="E4126" t="s">
        <v>22041</v>
      </c>
      <c r="F4126" s="2" t="n">
        <f>HYPERLINK("https://patents.google.com/patent/US8085145","Google")</f>
        <v>0.0</v>
      </c>
      <c r="G4126" s="2" t="n">
        <f>HYPERLINK("https://patentcenter.uspto.gov/applications/12384430","Patent Center")</f>
        <v>0.0</v>
      </c>
      <c r="H4126" s="2" t="n">
        <f>HYPERLINK("https://worldwide.espacenet.com/patent/search?q=US8085145","Espacenet")</f>
        <v>0.0</v>
      </c>
      <c r="I4126" s="2" t="n">
        <f>HYPERLINK("https://ppubs.uspto.gov/pubwebapp/external.html?q=8085145.pn.","USPTO")</f>
        <v>0.0</v>
      </c>
      <c r="J4126" s="2" t="n">
        <f>HYPERLINK("https://image-ppubs.uspto.gov/dirsearch-public/print/downloadPdf/8085145","USPTO PDF")</f>
        <v>0.0</v>
      </c>
      <c r="K4126" s="2" t="n">
        <f>HYPERLINK("https://sectors.patentforecast.com/pmd/US8085145","PMD")</f>
        <v>0.0</v>
      </c>
      <c r="L4126" s="2" t="n">
        <f>HYPERLINK("https://globaldossier.uspto.gov/result/patent/US/8085145/1","US8085145")</f>
        <v>0.0</v>
      </c>
      <c r="M4126" t="s">
        <v>22042</v>
      </c>
      <c r="N4126" t="s">
        <v>22043</v>
      </c>
      <c r="O4126" t="s">
        <v>22044</v>
      </c>
      <c r="P4126" t="s">
        <v>25319</v>
      </c>
      <c r="Q4126" s="3" t="n">
        <v>39906.0</v>
      </c>
      <c r="R4126" s="3" t="n">
        <v>40904.0</v>
      </c>
      <c r="S4126" s="3" t="n">
        <v>43266.45735936343</v>
      </c>
      <c r="T4126" s="3" t="n">
        <v>43901.70557085648</v>
      </c>
      <c r="U4126" t="s">
        <v>25320</v>
      </c>
      <c r="V4126" t="s">
        <v>22047</v>
      </c>
    </row>
    <row r="4127">
      <c r="A4127" t="s">
        <v>23557</v>
      </c>
      <c r="B4127" t="s">
        <v>25321</v>
      </c>
      <c r="C4127" t="s">
        <v>132</v>
      </c>
      <c r="D4127" t="s">
        <v>1265</v>
      </c>
      <c r="E4127" t="s">
        <v>22938</v>
      </c>
      <c r="F4127" s="2" t="n">
        <f>HYPERLINK("https://patents.google.com/patent/US8080255","Google")</f>
        <v>0.0</v>
      </c>
      <c r="G4127" s="2" t="n">
        <f>HYPERLINK("https://patentcenter.uspto.gov/applications/11582540","Patent Center")</f>
        <v>0.0</v>
      </c>
      <c r="H4127" s="2" t="n">
        <f>HYPERLINK("https://worldwide.espacenet.com/patent/search?q=US8080255","Espacenet")</f>
        <v>0.0</v>
      </c>
      <c r="I4127" s="2" t="n">
        <f>HYPERLINK("https://ppubs.uspto.gov/pubwebapp/external.html?q=8080255.pn.","USPTO")</f>
        <v>0.0</v>
      </c>
      <c r="J4127" s="2" t="n">
        <f>HYPERLINK("https://image-ppubs.uspto.gov/dirsearch-public/print/downloadPdf/8080255","USPTO PDF")</f>
        <v>0.0</v>
      </c>
      <c r="K4127" s="2" t="n">
        <f>HYPERLINK("https://sectors.patentforecast.com/pmd/US8080255","PMD")</f>
        <v>0.0</v>
      </c>
      <c r="L4127" s="2" t="n">
        <f>HYPERLINK("https://globaldossier.uspto.gov/result/patent/US/8080255/1","US8080255")</f>
        <v>0.0</v>
      </c>
      <c r="M4127" t="s">
        <v>22939</v>
      </c>
      <c r="N4127" t="s">
        <v>1275</v>
      </c>
      <c r="O4127" t="s">
        <v>1275</v>
      </c>
      <c r="P4127" t="s">
        <v>23680</v>
      </c>
      <c r="Q4127" s="3" t="n">
        <v>39008.0</v>
      </c>
      <c r="R4127" s="3" t="n">
        <v>40897.0</v>
      </c>
      <c r="S4127" s="3" t="n">
        <v>43900.43738940972</v>
      </c>
      <c r="T4127" s="3" t="n">
        <v>43901.70557067129</v>
      </c>
      <c r="U4127" t="s">
        <v>25322</v>
      </c>
      <c r="V4127" t="s">
        <v>17402</v>
      </c>
    </row>
    <row r="4128">
      <c r="A4128" t="s">
        <v>23557</v>
      </c>
      <c r="B4128" t="s">
        <v>25323</v>
      </c>
      <c r="C4128" t="s">
        <v>24</v>
      </c>
      <c r="D4128" t="s">
        <v>25</v>
      </c>
      <c r="E4128" t="s">
        <v>25324</v>
      </c>
      <c r="F4128" s="2" t="n">
        <f>HYPERLINK("https://patents.google.com/patent/US8068993","Google")</f>
        <v>0.0</v>
      </c>
      <c r="G4128" s="2" t="n">
        <f>HYPERLINK("https://patentcenter.uspto.gov/applications/12140880","Patent Center")</f>
        <v>0.0</v>
      </c>
      <c r="H4128" s="2" t="n">
        <f>HYPERLINK("https://worldwide.espacenet.com/patent/search?q=US8068993","Espacenet")</f>
        <v>0.0</v>
      </c>
      <c r="I4128" s="2" t="n">
        <f>HYPERLINK("https://ppubs.uspto.gov/pubwebapp/external.html?q=8068993.pn.","USPTO")</f>
        <v>0.0</v>
      </c>
      <c r="J4128" s="2" t="n">
        <f>HYPERLINK("https://image-ppubs.uspto.gov/dirsearch-public/print/downloadPdf/8068993","USPTO PDF")</f>
        <v>0.0</v>
      </c>
      <c r="K4128" s="2" t="n">
        <f>HYPERLINK("https://sectors.patentforecast.com/pmd/US8068993","PMD")</f>
        <v>0.0</v>
      </c>
      <c r="L4128" s="2" t="n">
        <f>HYPERLINK("https://globaldossier.uspto.gov/result/patent/US/8068993/1","US8068993")</f>
        <v>0.0</v>
      </c>
      <c r="M4128" t="s">
        <v>22547</v>
      </c>
      <c r="N4128" t="s">
        <v>22548</v>
      </c>
      <c r="O4128" t="s">
        <v>22549</v>
      </c>
      <c r="P4128" t="s">
        <v>25325</v>
      </c>
      <c r="Q4128" s="3" t="n">
        <v>39616.0</v>
      </c>
      <c r="R4128" s="3" t="n">
        <v>40876.0</v>
      </c>
      <c r="S4128" s="3" t="n">
        <v>43266.45735936343</v>
      </c>
      <c r="T4128" s="3" t="n">
        <v>43950.61218975695</v>
      </c>
      <c r="U4128" t="s">
        <v>25326</v>
      </c>
      <c r="V4128" t="s">
        <v>22552</v>
      </c>
    </row>
    <row r="4129">
      <c r="A4129" t="s">
        <v>23557</v>
      </c>
      <c r="B4129" t="s">
        <v>25327</v>
      </c>
      <c r="C4129" t="s">
        <v>312</v>
      </c>
      <c r="D4129" t="s">
        <v>3202</v>
      </c>
      <c r="E4129" t="s">
        <v>25328</v>
      </c>
      <c r="F4129" s="2" t="n">
        <f>HYPERLINK("https://patents.google.com/patent/US8049614","Google")</f>
        <v>0.0</v>
      </c>
      <c r="G4129" s="2" t="n">
        <f>HYPERLINK("https://patentcenter.uspto.gov/applications/12764097","Patent Center")</f>
        <v>0.0</v>
      </c>
      <c r="H4129" s="2" t="n">
        <f>HYPERLINK("https://worldwide.espacenet.com/patent/search?q=US8049614","Espacenet")</f>
        <v>0.0</v>
      </c>
      <c r="I4129" s="2" t="n">
        <f>HYPERLINK("https://ppubs.uspto.gov/pubwebapp/external.html?q=8049614.pn.","USPTO")</f>
        <v>0.0</v>
      </c>
      <c r="J4129" s="2" t="n">
        <f>HYPERLINK("https://image-ppubs.uspto.gov/dirsearch-public/print/downloadPdf/8049614","USPTO PDF")</f>
        <v>0.0</v>
      </c>
      <c r="K4129" s="2" t="n">
        <f>HYPERLINK("https://sectors.patentforecast.com/pmd/US8049614","PMD")</f>
        <v>0.0</v>
      </c>
      <c r="L4129" s="2" t="n">
        <f>HYPERLINK("https://globaldossier.uspto.gov/result/patent/US/8049614/1","US8049614")</f>
        <v>0.0</v>
      </c>
      <c r="M4129" t="s">
        <v>25329</v>
      </c>
      <c r="N4129" t="s">
        <v>22901</v>
      </c>
      <c r="O4129" t="s">
        <v>22902</v>
      </c>
      <c r="P4129" t="s">
        <v>25330</v>
      </c>
      <c r="Q4129" s="3" t="n">
        <v>40289.0</v>
      </c>
      <c r="R4129" s="3" t="n">
        <v>40848.0</v>
      </c>
      <c r="S4129" s="3" t="n">
        <v>43908.45851611111</v>
      </c>
      <c r="T4129" s="3" t="n">
        <v>44543.608965659725</v>
      </c>
      <c r="U4129" t="s">
        <v>25331</v>
      </c>
      <c r="V4129" t="s">
        <v>25332</v>
      </c>
    </row>
    <row r="4130">
      <c r="A4130" t="s">
        <v>23557</v>
      </c>
      <c r="B4130" t="s">
        <v>25333</v>
      </c>
      <c r="C4130" t="s">
        <v>24</v>
      </c>
      <c r="D4130" t="s">
        <v>1356</v>
      </c>
      <c r="E4130" t="s">
        <v>22023</v>
      </c>
      <c r="F4130" s="2" t="n">
        <f>HYPERLINK("https://patents.google.com/patent/US8046172","Google")</f>
        <v>0.0</v>
      </c>
      <c r="G4130" s="2" t="n">
        <f>HYPERLINK("https://patentcenter.uspto.gov/applications/11979500","Patent Center")</f>
        <v>0.0</v>
      </c>
      <c r="H4130" s="2" t="n">
        <f>HYPERLINK("https://worldwide.espacenet.com/patent/search?q=US8046172","Espacenet")</f>
        <v>0.0</v>
      </c>
      <c r="I4130" s="2" t="n">
        <f>HYPERLINK("https://ppubs.uspto.gov/pubwebapp/external.html?q=8046172.pn.","USPTO")</f>
        <v>0.0</v>
      </c>
      <c r="J4130" s="2" t="n">
        <f>HYPERLINK("https://image-ppubs.uspto.gov/dirsearch-public/print/downloadPdf/8046172","USPTO PDF")</f>
        <v>0.0</v>
      </c>
      <c r="K4130" s="2" t="n">
        <f>HYPERLINK("https://sectors.patentforecast.com/pmd/US8046172","PMD")</f>
        <v>0.0</v>
      </c>
      <c r="L4130" s="2" t="n">
        <f>HYPERLINK("https://globaldossier.uspto.gov/result/patent/US/8046172/1","US8046172")</f>
        <v>0.0</v>
      </c>
      <c r="M4130" t="s">
        <v>22703</v>
      </c>
      <c r="N4130" t="s">
        <v>20175</v>
      </c>
      <c r="O4130" t="s">
        <v>20176</v>
      </c>
      <c r="P4130" t="s">
        <v>25334</v>
      </c>
      <c r="Q4130" s="3" t="n">
        <v>39391.0</v>
      </c>
      <c r="R4130" s="3" t="n">
        <v>40841.0</v>
      </c>
      <c r="S4130" s="3" t="n">
        <v>44019.232709386575</v>
      </c>
      <c r="T4130" s="3" t="n">
        <v>44020.410610300925</v>
      </c>
      <c r="U4130" t="s">
        <v>25335</v>
      </c>
      <c r="V4130" t="s">
        <v>22027</v>
      </c>
    </row>
    <row r="4131">
      <c r="A4131" t="s">
        <v>23557</v>
      </c>
      <c r="B4131" t="s">
        <v>25336</v>
      </c>
      <c r="C4131" t="s">
        <v>132</v>
      </c>
      <c r="D4131" t="s">
        <v>1265</v>
      </c>
      <c r="E4131" t="s">
        <v>23170</v>
      </c>
      <c r="F4131" s="2" t="n">
        <f>HYPERLINK("https://patents.google.com/patent/US8039002","Google")</f>
        <v>0.0</v>
      </c>
      <c r="G4131" s="2" t="n">
        <f>HYPERLINK("https://patentcenter.uspto.gov/applications/11836369","Patent Center")</f>
        <v>0.0</v>
      </c>
      <c r="H4131" s="2" t="n">
        <f>HYPERLINK("https://worldwide.espacenet.com/patent/search?q=US8039002","Espacenet")</f>
        <v>0.0</v>
      </c>
      <c r="I4131" s="2" t="n">
        <f>HYPERLINK("https://ppubs.uspto.gov/pubwebapp/external.html?q=8039002.pn.","USPTO")</f>
        <v>0.0</v>
      </c>
      <c r="J4131" s="2" t="n">
        <f>HYPERLINK("https://image-ppubs.uspto.gov/dirsearch-public/print/downloadPdf/8039002","USPTO PDF")</f>
        <v>0.0</v>
      </c>
      <c r="K4131" s="2" t="n">
        <f>HYPERLINK("https://sectors.patentforecast.com/pmd/US8039002","PMD")</f>
        <v>0.0</v>
      </c>
      <c r="L4131" s="2" t="n">
        <f>HYPERLINK("https://globaldossier.uspto.gov/result/patent/US/8039002/1","US8039002")</f>
        <v>0.0</v>
      </c>
      <c r="M4131" t="s">
        <v>22826</v>
      </c>
      <c r="N4131" t="s">
        <v>21123</v>
      </c>
      <c r="O4131" t="s">
        <v>21124</v>
      </c>
      <c r="P4131" t="s">
        <v>24677</v>
      </c>
      <c r="Q4131" s="3" t="n">
        <v>39303.0</v>
      </c>
      <c r="R4131" s="3" t="n">
        <v>40834.0</v>
      </c>
      <c r="S4131" s="3" t="n">
        <v>43900.43738940972</v>
      </c>
      <c r="T4131" s="3" t="n">
        <v>43901.7055708912</v>
      </c>
      <c r="U4131" t="s">
        <v>24678</v>
      </c>
      <c r="V4131" t="s">
        <v>21127</v>
      </c>
    </row>
    <row r="4132">
      <c r="A4132" t="s">
        <v>23557</v>
      </c>
      <c r="B4132" t="s">
        <v>25337</v>
      </c>
      <c r="C4132" t="s">
        <v>60</v>
      </c>
      <c r="D4132" t="s">
        <v>61</v>
      </c>
      <c r="E4132" t="s">
        <v>24593</v>
      </c>
      <c r="F4132" s="2" t="n">
        <f>HYPERLINK("https://patents.google.com/patent/US8022083","Google")</f>
        <v>0.0</v>
      </c>
      <c r="G4132" s="2" t="n">
        <f>HYPERLINK("https://patentcenter.uspto.gov/applications/12166076","Patent Center")</f>
        <v>0.0</v>
      </c>
      <c r="H4132" s="2" t="n">
        <f>HYPERLINK("https://worldwide.espacenet.com/patent/search?q=US8022083","Espacenet")</f>
        <v>0.0</v>
      </c>
      <c r="I4132" s="2" t="n">
        <f>HYPERLINK("https://ppubs.uspto.gov/pubwebapp/external.html?q=8022083.pn.","USPTO")</f>
        <v>0.0</v>
      </c>
      <c r="J4132" s="2" t="n">
        <f>HYPERLINK("https://image-ppubs.uspto.gov/dirsearch-public/print/downloadPdf/8022083","USPTO PDF")</f>
        <v>0.0</v>
      </c>
      <c r="K4132" s="2" t="n">
        <f>HYPERLINK("https://sectors.patentforecast.com/pmd/US8022083","PMD")</f>
        <v>0.0</v>
      </c>
      <c r="L4132" s="2" t="n">
        <f>HYPERLINK("https://globaldossier.uspto.gov/result/patent/US/8022083/1","US8022083")</f>
        <v>0.0</v>
      </c>
      <c r="M4132" t="s">
        <v>25338</v>
      </c>
      <c r="N4132" t="s">
        <v>664</v>
      </c>
      <c r="O4132" t="s">
        <v>665</v>
      </c>
      <c r="P4132" t="s">
        <v>25339</v>
      </c>
      <c r="Q4132" s="3" t="n">
        <v>39630.0</v>
      </c>
      <c r="R4132" s="3" t="n">
        <v>40806.0</v>
      </c>
      <c r="S4132" s="3" t="n">
        <v>43950.647372685184</v>
      </c>
      <c r="T4132" s="3" t="n">
        <v>44638.65271974537</v>
      </c>
      <c r="U4132" t="s">
        <v>25340</v>
      </c>
      <c r="V4132" t="s">
        <v>20442</v>
      </c>
    </row>
    <row r="4133">
      <c r="A4133" t="s">
        <v>23557</v>
      </c>
      <c r="B4133" t="s">
        <v>25341</v>
      </c>
      <c r="C4133" t="s">
        <v>60</v>
      </c>
      <c r="D4133" t="s">
        <v>61</v>
      </c>
      <c r="E4133" t="s">
        <v>25342</v>
      </c>
      <c r="F4133" s="2" t="n">
        <f>HYPERLINK("https://patents.google.com/patent/US8012942","Google")</f>
        <v>0.0</v>
      </c>
      <c r="G4133" s="2" t="n">
        <f>HYPERLINK("https://patentcenter.uspto.gov/applications/12702957","Patent Center")</f>
        <v>0.0</v>
      </c>
      <c r="H4133" s="2" t="n">
        <f>HYPERLINK("https://worldwide.espacenet.com/patent/search?q=US8012942","Espacenet")</f>
        <v>0.0</v>
      </c>
      <c r="I4133" s="2" t="n">
        <f>HYPERLINK("https://ppubs.uspto.gov/pubwebapp/external.html?q=8012942.pn.","USPTO")</f>
        <v>0.0</v>
      </c>
      <c r="J4133" s="2" t="n">
        <f>HYPERLINK("https://image-ppubs.uspto.gov/dirsearch-public/print/downloadPdf/8012942","USPTO PDF")</f>
        <v>0.0</v>
      </c>
      <c r="K4133" s="2" t="n">
        <f>HYPERLINK("https://sectors.patentforecast.com/pmd/US8012942","PMD")</f>
        <v>0.0</v>
      </c>
      <c r="L4133" s="2" t="n">
        <f>HYPERLINK("https://globaldossier.uspto.gov/result/patent/US/8012942/1","US8012942")</f>
        <v>0.0</v>
      </c>
      <c r="M4133" t="s">
        <v>22093</v>
      </c>
      <c r="N4133" t="s">
        <v>664</v>
      </c>
      <c r="O4133" t="s">
        <v>665</v>
      </c>
      <c r="P4133" t="s">
        <v>25343</v>
      </c>
      <c r="Q4133" s="3" t="n">
        <v>40218.0</v>
      </c>
      <c r="R4133" s="3" t="n">
        <v>40792.0</v>
      </c>
      <c r="S4133" s="3" t="n">
        <v>43957.45956962963</v>
      </c>
      <c r="T4133" s="3" t="n">
        <v>44544.499641863425</v>
      </c>
      <c r="U4133" t="s">
        <v>25344</v>
      </c>
      <c r="V4133" t="s">
        <v>22096</v>
      </c>
    </row>
    <row r="4134">
      <c r="A4134" t="s">
        <v>23557</v>
      </c>
      <c r="B4134" t="s">
        <v>25345</v>
      </c>
      <c r="C4134" t="s">
        <v>60</v>
      </c>
      <c r="D4134" t="s">
        <v>61</v>
      </c>
      <c r="E4134" t="s">
        <v>25342</v>
      </c>
      <c r="F4134" s="2" t="n">
        <f>HYPERLINK("https://patents.google.com/patent/US8012941","Google")</f>
        <v>0.0</v>
      </c>
      <c r="G4134" s="2" t="n">
        <f>HYPERLINK("https://patentcenter.uspto.gov/applications/12428234","Patent Center")</f>
        <v>0.0</v>
      </c>
      <c r="H4134" s="2" t="n">
        <f>HYPERLINK("https://worldwide.espacenet.com/patent/search?q=US8012941","Espacenet")</f>
        <v>0.0</v>
      </c>
      <c r="I4134" s="2" t="n">
        <f>HYPERLINK("https://ppubs.uspto.gov/pubwebapp/external.html?q=8012941.pn.","USPTO")</f>
        <v>0.0</v>
      </c>
      <c r="J4134" s="2" t="n">
        <f>HYPERLINK("https://image-ppubs.uspto.gov/dirsearch-public/print/downloadPdf/8012941","USPTO PDF")</f>
        <v>0.0</v>
      </c>
      <c r="K4134" s="2" t="n">
        <f>HYPERLINK("https://sectors.patentforecast.com/pmd/US8012941","PMD")</f>
        <v>0.0</v>
      </c>
      <c r="L4134" s="2" t="n">
        <f>HYPERLINK("https://globaldossier.uspto.gov/result/patent/US/8012941/1","US8012941")</f>
        <v>0.0</v>
      </c>
      <c r="M4134" t="s">
        <v>22329</v>
      </c>
      <c r="N4134" t="s">
        <v>664</v>
      </c>
      <c r="O4134" t="s">
        <v>665</v>
      </c>
      <c r="P4134" t="s">
        <v>25346</v>
      </c>
      <c r="Q4134" s="3" t="n">
        <v>39925.0</v>
      </c>
      <c r="R4134" s="3" t="n">
        <v>40792.0</v>
      </c>
      <c r="S4134" s="3" t="n">
        <v>43957.45956962963</v>
      </c>
      <c r="T4134" s="3" t="n">
        <v>44544.49987153935</v>
      </c>
      <c r="U4134" t="s">
        <v>25347</v>
      </c>
      <c r="V4134" t="s">
        <v>22332</v>
      </c>
    </row>
    <row r="4135">
      <c r="A4135" t="s">
        <v>23557</v>
      </c>
      <c r="B4135" t="s">
        <v>25348</v>
      </c>
      <c r="C4135" t="s">
        <v>60</v>
      </c>
      <c r="D4135" t="s">
        <v>61</v>
      </c>
      <c r="E4135" t="s">
        <v>23570</v>
      </c>
      <c r="F4135" s="2" t="n">
        <f>HYPERLINK("https://patents.google.com/patent/US8008264","Google")</f>
        <v>0.0</v>
      </c>
      <c r="G4135" s="2" t="n">
        <f>HYPERLINK("https://patentcenter.uspto.gov/applications/12428176","Patent Center")</f>
        <v>0.0</v>
      </c>
      <c r="H4135" s="2" t="n">
        <f>HYPERLINK("https://worldwide.espacenet.com/patent/search?q=US8008264","Espacenet")</f>
        <v>0.0</v>
      </c>
      <c r="I4135" s="2" t="n">
        <f>HYPERLINK("https://ppubs.uspto.gov/pubwebapp/external.html?q=8008264.pn.","USPTO")</f>
        <v>0.0</v>
      </c>
      <c r="J4135" s="2" t="n">
        <f>HYPERLINK("https://image-ppubs.uspto.gov/dirsearch-public/print/downloadPdf/8008264","USPTO PDF")</f>
        <v>0.0</v>
      </c>
      <c r="K4135" s="2" t="n">
        <f>HYPERLINK("https://sectors.patentforecast.com/pmd/US8008264","PMD")</f>
        <v>0.0</v>
      </c>
      <c r="L4135" s="2" t="n">
        <f>HYPERLINK("https://globaldossier.uspto.gov/result/patent/US/8008264/1","US8008264")</f>
        <v>0.0</v>
      </c>
      <c r="M4135" t="s">
        <v>22285</v>
      </c>
      <c r="N4135" t="s">
        <v>664</v>
      </c>
      <c r="O4135" t="s">
        <v>665</v>
      </c>
      <c r="P4135" t="s">
        <v>25349</v>
      </c>
      <c r="Q4135" s="3" t="n">
        <v>39925.0</v>
      </c>
      <c r="R4135" s="3" t="n">
        <v>40785.0</v>
      </c>
      <c r="S4135" s="3" t="n">
        <v>43957.45956962963</v>
      </c>
      <c r="T4135" s="3" t="n">
        <v>44638.65271974537</v>
      </c>
      <c r="U4135" t="s">
        <v>25350</v>
      </c>
      <c r="V4135" t="s">
        <v>20933</v>
      </c>
    </row>
    <row r="4136">
      <c r="A4136" t="s">
        <v>23557</v>
      </c>
      <c r="B4136" t="s">
        <v>25351</v>
      </c>
      <c r="C4136" t="s">
        <v>60</v>
      </c>
      <c r="D4136" t="s">
        <v>61</v>
      </c>
      <c r="E4136" t="s">
        <v>22432</v>
      </c>
      <c r="F4136" s="2" t="n">
        <f>HYPERLINK("https://patents.google.com/patent/US7998950","Google")</f>
        <v>0.0</v>
      </c>
      <c r="G4136" s="2" t="n">
        <f>HYPERLINK("https://patentcenter.uspto.gov/applications/12509250","Patent Center")</f>
        <v>0.0</v>
      </c>
      <c r="H4136" s="2" t="n">
        <f>HYPERLINK("https://worldwide.espacenet.com/patent/search?q=US7998950","Espacenet")</f>
        <v>0.0</v>
      </c>
      <c r="I4136" s="2" t="n">
        <f>HYPERLINK("https://ppubs.uspto.gov/pubwebapp/external.html?q=7998950.pn.","USPTO")</f>
        <v>0.0</v>
      </c>
      <c r="J4136" s="2" t="n">
        <f>HYPERLINK("https://image-ppubs.uspto.gov/dirsearch-public/print/downloadPdf/7998950","USPTO PDF")</f>
        <v>0.0</v>
      </c>
      <c r="K4136" s="2" t="n">
        <f>HYPERLINK("https://sectors.patentforecast.com/pmd/US7998950","PMD")</f>
        <v>0.0</v>
      </c>
      <c r="L4136" s="2" t="n">
        <f>HYPERLINK("https://globaldossier.uspto.gov/result/patent/US/7998950/1","US7998950")</f>
        <v>0.0</v>
      </c>
      <c r="M4136" t="s">
        <v>22281</v>
      </c>
      <c r="N4136" t="s">
        <v>664</v>
      </c>
      <c r="O4136" t="s">
        <v>665</v>
      </c>
      <c r="P4136" t="s">
        <v>25352</v>
      </c>
      <c r="Q4136" s="3" t="n">
        <v>40018.0</v>
      </c>
      <c r="R4136" s="3" t="n">
        <v>40771.0</v>
      </c>
      <c r="S4136" s="3" t="n">
        <v>43957.45956962963</v>
      </c>
      <c r="T4136" s="3" t="n">
        <v>44544.455852453706</v>
      </c>
      <c r="U4136" t="s">
        <v>25353</v>
      </c>
      <c r="V4136" t="s">
        <v>16907</v>
      </c>
    </row>
    <row r="4137">
      <c r="A4137" t="s">
        <v>23557</v>
      </c>
      <c r="B4137" t="s">
        <v>25354</v>
      </c>
      <c r="C4137" t="s">
        <v>24</v>
      </c>
      <c r="D4137" t="s">
        <v>25</v>
      </c>
      <c r="E4137" t="s">
        <v>23409</v>
      </c>
      <c r="F4137" s="2" t="n">
        <f>HYPERLINK("https://patents.google.com/patent/US7993266","Google")</f>
        <v>0.0</v>
      </c>
      <c r="G4137" s="2" t="n">
        <f>HYPERLINK("https://patentcenter.uspto.gov/applications/10375273","Patent Center")</f>
        <v>0.0</v>
      </c>
      <c r="H4137" s="2" t="n">
        <f>HYPERLINK("https://worldwide.espacenet.com/patent/search?q=US7993266","Espacenet")</f>
        <v>0.0</v>
      </c>
      <c r="I4137" s="2" t="n">
        <f>HYPERLINK("https://ppubs.uspto.gov/pubwebapp/external.html?q=7993266.pn.","USPTO")</f>
        <v>0.0</v>
      </c>
      <c r="J4137" s="2" t="n">
        <f>HYPERLINK("https://image-ppubs.uspto.gov/dirsearch-public/print/downloadPdf/7993266","USPTO PDF")</f>
        <v>0.0</v>
      </c>
      <c r="K4137" s="2" t="n">
        <f>HYPERLINK("https://sectors.patentforecast.com/pmd/US7993266","PMD")</f>
        <v>0.0</v>
      </c>
      <c r="L4137" s="2" t="n">
        <f>HYPERLINK("https://globaldossier.uspto.gov/result/patent/US/7993266/1","US7993266")</f>
        <v>0.0</v>
      </c>
      <c r="M4137" t="s">
        <v>23410</v>
      </c>
      <c r="N4137" t="s">
        <v>22732</v>
      </c>
      <c r="O4137" t="s">
        <v>22733</v>
      </c>
      <c r="P4137" t="s">
        <v>25355</v>
      </c>
      <c r="Q4137" s="3" t="n">
        <v>37678.0</v>
      </c>
      <c r="R4137" s="3" t="n">
        <v>40764.0</v>
      </c>
      <c r="S4137" s="3" t="n">
        <v>43266.45735935185</v>
      </c>
      <c r="T4137" s="3" t="n">
        <v>43903.494973483794</v>
      </c>
      <c r="U4137" t="s">
        <v>25356</v>
      </c>
      <c r="V4137" t="s">
        <v>23413</v>
      </c>
    </row>
    <row r="4138">
      <c r="A4138" t="s">
        <v>23557</v>
      </c>
      <c r="B4138" t="s">
        <v>25357</v>
      </c>
      <c r="C4138" t="s">
        <v>132</v>
      </c>
      <c r="D4138" t="s">
        <v>1265</v>
      </c>
      <c r="E4138" t="s">
        <v>23170</v>
      </c>
      <c r="F4138" s="2" t="n">
        <f>HYPERLINK("https://patents.google.com/patent/US7981429","Google")</f>
        <v>0.0</v>
      </c>
      <c r="G4138" s="2" t="n">
        <f>HYPERLINK("https://patentcenter.uspto.gov/applications/12399312","Patent Center")</f>
        <v>0.0</v>
      </c>
      <c r="H4138" s="2" t="n">
        <f>HYPERLINK("https://worldwide.espacenet.com/patent/search?q=US7981429","Espacenet")</f>
        <v>0.0</v>
      </c>
      <c r="I4138" s="2" t="n">
        <f>HYPERLINK("https://ppubs.uspto.gov/pubwebapp/external.html?q=7981429.pn.","USPTO")</f>
        <v>0.0</v>
      </c>
      <c r="J4138" s="2" t="n">
        <f>HYPERLINK("https://image-ppubs.uspto.gov/dirsearch-public/print/downloadPdf/7981429","USPTO PDF")</f>
        <v>0.0</v>
      </c>
      <c r="K4138" s="2" t="n">
        <f>HYPERLINK("https://sectors.patentforecast.com/pmd/US7981429","PMD")</f>
        <v>0.0</v>
      </c>
      <c r="L4138" s="2" t="n">
        <f>HYPERLINK("https://globaldossier.uspto.gov/result/patent/US/7981429/1","US7981429")</f>
        <v>0.0</v>
      </c>
      <c r="M4138" t="s">
        <v>22449</v>
      </c>
      <c r="N4138" t="s">
        <v>21123</v>
      </c>
      <c r="O4138" t="s">
        <v>21124</v>
      </c>
      <c r="P4138" t="s">
        <v>24677</v>
      </c>
      <c r="Q4138" s="3" t="n">
        <v>39878.0</v>
      </c>
      <c r="R4138" s="3" t="n">
        <v>40743.0</v>
      </c>
      <c r="S4138" s="3" t="n">
        <v>43900.43738940972</v>
      </c>
      <c r="T4138" s="3" t="n">
        <v>43901.70557082176</v>
      </c>
      <c r="U4138" t="s">
        <v>24880</v>
      </c>
      <c r="V4138" t="s">
        <v>21127</v>
      </c>
    </row>
    <row r="4139">
      <c r="A4139" t="s">
        <v>23557</v>
      </c>
      <c r="B4139" t="s">
        <v>25358</v>
      </c>
      <c r="C4139" t="s">
        <v>60</v>
      </c>
      <c r="D4139" t="s">
        <v>61</v>
      </c>
      <c r="E4139" t="s">
        <v>25133</v>
      </c>
      <c r="F4139" s="2" t="n">
        <f>HYPERLINK("https://patents.google.com/patent/US7973013","Google")</f>
        <v>0.0</v>
      </c>
      <c r="G4139" s="2" t="n">
        <f>HYPERLINK("https://patentcenter.uspto.gov/applications/12885917","Patent Center")</f>
        <v>0.0</v>
      </c>
      <c r="H4139" s="2" t="n">
        <f>HYPERLINK("https://worldwide.espacenet.com/patent/search?q=US7973013","Espacenet")</f>
        <v>0.0</v>
      </c>
      <c r="I4139" s="2" t="n">
        <f>HYPERLINK("https://ppubs.uspto.gov/pubwebapp/external.html?q=7973013.pn.","USPTO")</f>
        <v>0.0</v>
      </c>
      <c r="J4139" s="2" t="n">
        <f>HYPERLINK("https://image-ppubs.uspto.gov/dirsearch-public/print/downloadPdf/7973013","USPTO PDF")</f>
        <v>0.0</v>
      </c>
      <c r="K4139" s="2" t="n">
        <f>HYPERLINK("https://sectors.patentforecast.com/pmd/US7973013","PMD")</f>
        <v>0.0</v>
      </c>
      <c r="L4139" s="2" t="n">
        <f>HYPERLINK("https://globaldossier.uspto.gov/result/patent/US/7973013/1","US7973013")</f>
        <v>0.0</v>
      </c>
      <c r="M4139" t="s">
        <v>21853</v>
      </c>
      <c r="N4139" t="s">
        <v>664</v>
      </c>
      <c r="O4139" t="s">
        <v>665</v>
      </c>
      <c r="P4139" t="s">
        <v>25359</v>
      </c>
      <c r="Q4139" s="3" t="n">
        <v>40441.0</v>
      </c>
      <c r="R4139" s="3" t="n">
        <v>40729.0</v>
      </c>
      <c r="S4139" s="3" t="n">
        <v>43957.45956962963</v>
      </c>
      <c r="T4139" s="3" t="n">
        <v>44544.413724398146</v>
      </c>
      <c r="U4139" t="s">
        <v>25360</v>
      </c>
      <c r="V4139" t="s">
        <v>21856</v>
      </c>
    </row>
    <row r="4140">
      <c r="A4140" t="s">
        <v>23557</v>
      </c>
      <c r="B4140" t="s">
        <v>25361</v>
      </c>
      <c r="C4140" t="s">
        <v>312</v>
      </c>
      <c r="D4140" t="s">
        <v>976</v>
      </c>
      <c r="E4140" t="s">
        <v>25362</v>
      </c>
      <c r="F4140" s="2" t="n">
        <f>HYPERLINK("https://patents.google.com/patent/US7933912","Google")</f>
        <v>0.0</v>
      </c>
      <c r="G4140" s="2" t="n">
        <f>HYPERLINK("https://patentcenter.uspto.gov/applications/11968998","Patent Center")</f>
        <v>0.0</v>
      </c>
      <c r="H4140" s="2" t="n">
        <f>HYPERLINK("https://worldwide.espacenet.com/patent/search?q=US7933912","Espacenet")</f>
        <v>0.0</v>
      </c>
      <c r="I4140" s="2" t="n">
        <f>HYPERLINK("https://ppubs.uspto.gov/pubwebapp/external.html?q=7933912.pn.","USPTO")</f>
        <v>0.0</v>
      </c>
      <c r="J4140" s="2" t="n">
        <f>HYPERLINK("https://image-ppubs.uspto.gov/dirsearch-public/print/downloadPdf/7933912","USPTO PDF")</f>
        <v>0.0</v>
      </c>
      <c r="K4140" s="2" t="n">
        <f>HYPERLINK("https://sectors.patentforecast.com/pmd/US7933912","PMD")</f>
        <v>0.0</v>
      </c>
      <c r="L4140" s="2" t="n">
        <f>HYPERLINK("https://globaldossier.uspto.gov/result/patent/US/7933912/1","US7933912")</f>
        <v>0.0</v>
      </c>
      <c r="M4140" t="s">
        <v>22693</v>
      </c>
      <c r="N4140" t="s">
        <v>16673</v>
      </c>
      <c r="O4140" t="s">
        <v>16674</v>
      </c>
      <c r="P4140" t="s">
        <v>25363</v>
      </c>
      <c r="Q4140" s="3" t="n">
        <v>39450.0</v>
      </c>
      <c r="R4140" s="3" t="n">
        <v>40659.0</v>
      </c>
      <c r="S4140" s="3" t="n">
        <v>43977.50201118056</v>
      </c>
      <c r="T4140" s="3" t="n">
        <v>44643.42582246528</v>
      </c>
      <c r="U4140" t="s">
        <v>25364</v>
      </c>
      <c r="V4140" t="s">
        <v>22695</v>
      </c>
    </row>
    <row r="4141">
      <c r="A4141" t="s">
        <v>23557</v>
      </c>
      <c r="B4141" t="s">
        <v>25365</v>
      </c>
      <c r="C4141" t="s">
        <v>24</v>
      </c>
      <c r="D4141" t="s">
        <v>25</v>
      </c>
      <c r="E4141" t="s">
        <v>25366</v>
      </c>
      <c r="F4141" s="2" t="n">
        <f>HYPERLINK("https://patents.google.com/patent/US7917478","Google")</f>
        <v>0.0</v>
      </c>
      <c r="G4141" s="2" t="n">
        <f>HYPERLINK("https://patentcenter.uspto.gov/applications/11741467","Patent Center")</f>
        <v>0.0</v>
      </c>
      <c r="H4141" s="2" t="n">
        <f>HYPERLINK("https://worldwide.espacenet.com/patent/search?q=US7917478","Espacenet")</f>
        <v>0.0</v>
      </c>
      <c r="I4141" s="2" t="n">
        <f>HYPERLINK("https://ppubs.uspto.gov/pubwebapp/external.html?q=7917478.pn.","USPTO")</f>
        <v>0.0</v>
      </c>
      <c r="J4141" s="2" t="n">
        <f>HYPERLINK("https://image-ppubs.uspto.gov/dirsearch-public/print/downloadPdf/7917478","USPTO PDF")</f>
        <v>0.0</v>
      </c>
      <c r="K4141" s="2" t="n">
        <f>HYPERLINK("https://sectors.patentforecast.com/pmd/US7917478","PMD")</f>
        <v>0.0</v>
      </c>
      <c r="L4141" s="2" t="n">
        <f>HYPERLINK("https://globaldossier.uspto.gov/result/patent/US/7917478/1","US7917478")</f>
        <v>0.0</v>
      </c>
      <c r="M4141" t="s">
        <v>22698</v>
      </c>
      <c r="N4141" t="s">
        <v>1913</v>
      </c>
      <c r="O4141" t="s">
        <v>1914</v>
      </c>
      <c r="P4141" t="s">
        <v>25367</v>
      </c>
      <c r="Q4141" s="3" t="n">
        <v>39199.0</v>
      </c>
      <c r="R4141" s="3" t="n">
        <v>40631.0</v>
      </c>
      <c r="S4141" s="3" t="n">
        <v>43266.45735935185</v>
      </c>
      <c r="T4141" s="3" t="n">
        <v>43901.70557064815</v>
      </c>
      <c r="U4141" t="s">
        <v>25368</v>
      </c>
      <c r="V4141" t="s">
        <v>22701</v>
      </c>
    </row>
    <row r="4142">
      <c r="A4142" t="s">
        <v>23557</v>
      </c>
      <c r="B4142" t="s">
        <v>25369</v>
      </c>
      <c r="C4142" t="s">
        <v>24</v>
      </c>
      <c r="D4142" t="s">
        <v>204</v>
      </c>
      <c r="E4142" t="s">
        <v>23222</v>
      </c>
      <c r="F4142" s="2" t="n">
        <f>HYPERLINK("https://patents.google.com/patent/US7899682","Google")</f>
        <v>0.0</v>
      </c>
      <c r="G4142" s="2" t="n">
        <f>HYPERLINK("https://patentcenter.uspto.gov/applications/10944110","Patent Center")</f>
        <v>0.0</v>
      </c>
      <c r="H4142" s="2" t="n">
        <f>HYPERLINK("https://worldwide.espacenet.com/patent/search?q=US7899682","Espacenet")</f>
        <v>0.0</v>
      </c>
      <c r="I4142" s="2" t="n">
        <f>HYPERLINK("https://ppubs.uspto.gov/pubwebapp/external.html?q=7899682.pn.","USPTO")</f>
        <v>0.0</v>
      </c>
      <c r="J4142" s="2" t="n">
        <f>HYPERLINK("https://image-ppubs.uspto.gov/dirsearch-public/print/downloadPdf/7899682","USPTO PDF")</f>
        <v>0.0</v>
      </c>
      <c r="K4142" s="2" t="n">
        <f>HYPERLINK("https://sectors.patentforecast.com/pmd/US7899682","PMD")</f>
        <v>0.0</v>
      </c>
      <c r="L4142" s="2" t="n">
        <f>HYPERLINK("https://globaldossier.uspto.gov/result/patent/US/7899682/1","US7899682")</f>
        <v>0.0</v>
      </c>
      <c r="M4142" t="s">
        <v>23223</v>
      </c>
      <c r="N4142" t="s">
        <v>21634</v>
      </c>
      <c r="O4142" t="s">
        <v>21635</v>
      </c>
      <c r="P4142" t="s">
        <v>25116</v>
      </c>
      <c r="Q4142" s="3" t="n">
        <v>38246.0</v>
      </c>
      <c r="R4142" s="3" t="n">
        <v>40603.0</v>
      </c>
      <c r="S4142" s="3" t="n">
        <v>43266.45736019676</v>
      </c>
      <c r="T4142" s="3" t="n">
        <v>44643.46252900463</v>
      </c>
      <c r="U4142" t="s">
        <v>25370</v>
      </c>
      <c r="V4142" t="s">
        <v>23226</v>
      </c>
    </row>
    <row r="4143">
      <c r="A4143" t="s">
        <v>23557</v>
      </c>
      <c r="B4143" t="s">
        <v>25371</v>
      </c>
      <c r="C4143" t="s">
        <v>60</v>
      </c>
      <c r="D4143" t="s">
        <v>61</v>
      </c>
      <c r="E4143" t="s">
        <v>22828</v>
      </c>
      <c r="F4143" s="2" t="n">
        <f>HYPERLINK("https://patents.google.com/patent/US7893264","Google")</f>
        <v>0.0</v>
      </c>
      <c r="G4143" s="2" t="n">
        <f>HYPERLINK("https://patentcenter.uspto.gov/applications/11825606","Patent Center")</f>
        <v>0.0</v>
      </c>
      <c r="H4143" s="2" t="n">
        <f>HYPERLINK("https://worldwide.espacenet.com/patent/search?q=US7893264","Espacenet")</f>
        <v>0.0</v>
      </c>
      <c r="I4143" s="2" t="n">
        <f>HYPERLINK("https://ppubs.uspto.gov/pubwebapp/external.html?q=7893264.pn.","USPTO")</f>
        <v>0.0</v>
      </c>
      <c r="J4143" s="2" t="n">
        <f>HYPERLINK("https://image-ppubs.uspto.gov/dirsearch-public/print/downloadPdf/7893264","USPTO PDF")</f>
        <v>0.0</v>
      </c>
      <c r="K4143" s="2" t="n">
        <f>HYPERLINK("https://sectors.patentforecast.com/pmd/US7893264","PMD")</f>
        <v>0.0</v>
      </c>
      <c r="L4143" s="2" t="n">
        <f>HYPERLINK("https://globaldossier.uspto.gov/result/patent/US/7893264/1","US7893264")</f>
        <v>0.0</v>
      </c>
      <c r="M4143" t="s">
        <v>22829</v>
      </c>
      <c r="N4143" t="s">
        <v>664</v>
      </c>
      <c r="O4143" t="s">
        <v>665</v>
      </c>
      <c r="P4143" t="s">
        <v>24984</v>
      </c>
      <c r="Q4143" s="3" t="n">
        <v>39269.0</v>
      </c>
      <c r="R4143" s="3" t="n">
        <v>40596.0</v>
      </c>
      <c r="S4143" s="3" t="n">
        <v>43957.45956962963</v>
      </c>
      <c r="T4143" s="3" t="n">
        <v>44544.455852453706</v>
      </c>
      <c r="U4143" t="s">
        <v>25372</v>
      </c>
      <c r="V4143" t="s">
        <v>21838</v>
      </c>
    </row>
    <row r="4144">
      <c r="A4144" t="s">
        <v>23557</v>
      </c>
      <c r="B4144" t="s">
        <v>25373</v>
      </c>
      <c r="C4144" t="s">
        <v>24</v>
      </c>
      <c r="D4144" t="s">
        <v>3193</v>
      </c>
      <c r="E4144" t="s">
        <v>25374</v>
      </c>
      <c r="F4144" s="2" t="n">
        <f>HYPERLINK("https://patents.google.com/patent/US7877277","Google")</f>
        <v>0.0</v>
      </c>
      <c r="G4144" s="2" t="n">
        <f>HYPERLINK("https://patentcenter.uspto.gov/applications/12697735","Patent Center")</f>
        <v>0.0</v>
      </c>
      <c r="H4144" s="2" t="n">
        <f>HYPERLINK("https://worldwide.espacenet.com/patent/search?q=US7877277","Espacenet")</f>
        <v>0.0</v>
      </c>
      <c r="I4144" s="2" t="n">
        <f>HYPERLINK("https://ppubs.uspto.gov/pubwebapp/external.html?q=7877277.pn.","USPTO")</f>
        <v>0.0</v>
      </c>
      <c r="J4144" s="2" t="n">
        <f>HYPERLINK("https://image-ppubs.uspto.gov/dirsearch-public/print/downloadPdf/7877277","USPTO PDF")</f>
        <v>0.0</v>
      </c>
      <c r="K4144" s="2" t="n">
        <f>HYPERLINK("https://sectors.patentforecast.com/pmd/US7877277","PMD")</f>
        <v>0.0</v>
      </c>
      <c r="L4144" s="2" t="n">
        <f>HYPERLINK("https://globaldossier.uspto.gov/result/patent/US/7877277/1","US7877277")</f>
        <v>0.0</v>
      </c>
      <c r="M4144" t="s">
        <v>25375</v>
      </c>
      <c r="N4144" t="s">
        <v>25376</v>
      </c>
      <c r="O4144" t="s">
        <v>25377</v>
      </c>
      <c r="P4144" t="s">
        <v>25378</v>
      </c>
      <c r="Q4144" s="3" t="n">
        <v>40210.0</v>
      </c>
      <c r="R4144" s="3" t="n">
        <v>40568.0</v>
      </c>
      <c r="S4144" s="3" t="n">
        <v>44089.230168993054</v>
      </c>
      <c r="T4144" s="3" t="n">
        <v>44089.44452935185</v>
      </c>
      <c r="U4144" t="s">
        <v>25379</v>
      </c>
      <c r="V4144" t="s">
        <v>25380</v>
      </c>
    </row>
    <row r="4145">
      <c r="A4145" t="s">
        <v>23557</v>
      </c>
      <c r="B4145" t="s">
        <v>25381</v>
      </c>
      <c r="C4145" t="s">
        <v>60</v>
      </c>
      <c r="D4145" t="s">
        <v>61</v>
      </c>
      <c r="E4145" t="s">
        <v>18626</v>
      </c>
      <c r="F4145" s="2" t="n">
        <f>HYPERLINK("https://patents.google.com/patent/US7871991","Google")</f>
        <v>0.0</v>
      </c>
      <c r="G4145" s="2" t="n">
        <f>HYPERLINK("https://patentcenter.uspto.gov/applications/11190225","Patent Center")</f>
        <v>0.0</v>
      </c>
      <c r="H4145" s="2" t="n">
        <f>HYPERLINK("https://worldwide.espacenet.com/patent/search?q=US7871991","Espacenet")</f>
        <v>0.0</v>
      </c>
      <c r="I4145" s="2" t="n">
        <f>HYPERLINK("https://ppubs.uspto.gov/pubwebapp/external.html?q=7871991.pn.","USPTO")</f>
        <v>0.0</v>
      </c>
      <c r="J4145" s="2" t="n">
        <f>HYPERLINK("https://image-ppubs.uspto.gov/dirsearch-public/print/downloadPdf/7871991","USPTO PDF")</f>
        <v>0.0</v>
      </c>
      <c r="K4145" s="2" t="n">
        <f>HYPERLINK("https://sectors.patentforecast.com/pmd/US7871991","PMD")</f>
        <v>0.0</v>
      </c>
      <c r="L4145" s="2" t="n">
        <f>HYPERLINK("https://globaldossier.uspto.gov/result/patent/US/7871991/1","US7871991")</f>
        <v>0.0</v>
      </c>
      <c r="M4145" t="s">
        <v>23027</v>
      </c>
      <c r="N4145" t="s">
        <v>664</v>
      </c>
      <c r="O4145" t="s">
        <v>665</v>
      </c>
      <c r="P4145" t="s">
        <v>25382</v>
      </c>
      <c r="Q4145" s="3" t="n">
        <v>38559.0</v>
      </c>
      <c r="R4145" s="3" t="n">
        <v>40561.0</v>
      </c>
      <c r="S4145" s="3" t="n">
        <v>43957.45956962963</v>
      </c>
      <c r="T4145" s="3" t="n">
        <v>44638.662781747684</v>
      </c>
      <c r="U4145" t="s">
        <v>25383</v>
      </c>
      <c r="V4145" t="s">
        <v>17358</v>
      </c>
    </row>
    <row r="4146">
      <c r="A4146" t="s">
        <v>23557</v>
      </c>
      <c r="B4146" t="s">
        <v>25384</v>
      </c>
      <c r="C4146" t="s">
        <v>60</v>
      </c>
      <c r="D4146" t="s">
        <v>61</v>
      </c>
      <c r="E4146" t="s">
        <v>25385</v>
      </c>
      <c r="F4146" s="2" t="n">
        <f>HYPERLINK("https://patents.google.com/patent/US7851512","Google")</f>
        <v>0.0</v>
      </c>
      <c r="G4146" s="2" t="n">
        <f>HYPERLINK("https://patentcenter.uspto.gov/applications/10587277","Patent Center")</f>
        <v>0.0</v>
      </c>
      <c r="H4146" s="2" t="n">
        <f>HYPERLINK("https://worldwide.espacenet.com/patent/search?q=US7851512","Espacenet")</f>
        <v>0.0</v>
      </c>
      <c r="I4146" s="2" t="n">
        <f>HYPERLINK("https://ppubs.uspto.gov/pubwebapp/external.html?q=7851512.pn.","USPTO")</f>
        <v>0.0</v>
      </c>
      <c r="J4146" s="2" t="n">
        <f>HYPERLINK("https://image-ppubs.uspto.gov/dirsearch-public/print/downloadPdf/7851512","USPTO PDF")</f>
        <v>0.0</v>
      </c>
      <c r="K4146" s="2" t="n">
        <f>HYPERLINK("https://sectors.patentforecast.com/pmd/US7851512","PMD")</f>
        <v>0.0</v>
      </c>
      <c r="L4146" s="2" t="n">
        <f>HYPERLINK("https://globaldossier.uspto.gov/result/patent/US/7851512/1","US7851512")</f>
        <v>0.0</v>
      </c>
      <c r="M4146" t="s">
        <v>25386</v>
      </c>
      <c r="N4146" t="s">
        <v>25387</v>
      </c>
      <c r="O4146" t="s">
        <v>25388</v>
      </c>
      <c r="P4146" t="s">
        <v>25389</v>
      </c>
      <c r="Q4146" s="3" t="n">
        <v>38250.0</v>
      </c>
      <c r="R4146" s="3" t="n">
        <v>40526.0</v>
      </c>
      <c r="S4146" s="3" t="n">
        <v>43900.43738940972</v>
      </c>
      <c r="T4146" s="3" t="n">
        <v>43901.705571087965</v>
      </c>
      <c r="U4146" t="s">
        <v>25390</v>
      </c>
      <c r="V4146" t="s">
        <v>25391</v>
      </c>
    </row>
    <row r="4147">
      <c r="A4147" t="s">
        <v>23557</v>
      </c>
      <c r="B4147" t="s">
        <v>25392</v>
      </c>
      <c r="C4147" t="s">
        <v>24</v>
      </c>
      <c r="D4147" t="s">
        <v>25</v>
      </c>
      <c r="E4147" t="s">
        <v>25393</v>
      </c>
      <c r="F4147" s="2" t="n">
        <f>HYPERLINK("https://patents.google.com/patent/US7840421","Google")</f>
        <v>0.0</v>
      </c>
      <c r="G4147" s="2" t="n">
        <f>HYPERLINK("https://patentcenter.uspto.gov/applications/10209542","Patent Center")</f>
        <v>0.0</v>
      </c>
      <c r="H4147" s="2" t="n">
        <f>HYPERLINK("https://worldwide.espacenet.com/patent/search?q=US7840421","Espacenet")</f>
        <v>0.0</v>
      </c>
      <c r="I4147" s="2" t="n">
        <f>HYPERLINK("https://ppubs.uspto.gov/pubwebapp/external.html?q=7840421.pn.","USPTO")</f>
        <v>0.0</v>
      </c>
      <c r="J4147" s="2" t="n">
        <f>HYPERLINK("https://image-ppubs.uspto.gov/dirsearch-public/print/downloadPdf/7840421","USPTO PDF")</f>
        <v>0.0</v>
      </c>
      <c r="K4147" s="2" t="n">
        <f>HYPERLINK("https://sectors.patentforecast.com/pmd/US7840421","PMD")</f>
        <v>0.0</v>
      </c>
      <c r="L4147" s="2" t="n">
        <f>HYPERLINK("https://globaldossier.uspto.gov/result/patent/US/7840421/1","US7840421")</f>
        <v>0.0</v>
      </c>
      <c r="M4147" t="s">
        <v>25394</v>
      </c>
      <c r="N4147" t="s">
        <v>25395</v>
      </c>
      <c r="O4147" t="s">
        <v>25395</v>
      </c>
      <c r="P4147" t="s">
        <v>25396</v>
      </c>
      <c r="Q4147" s="3" t="n">
        <v>37468.0</v>
      </c>
      <c r="R4147" s="3" t="n">
        <v>40505.0</v>
      </c>
      <c r="S4147" s="3" t="n">
        <v>43266.45736019676</v>
      </c>
      <c r="T4147" s="3" t="n">
        <v>43903.49497315972</v>
      </c>
      <c r="U4147" t="s">
        <v>25397</v>
      </c>
      <c r="V4147" t="s">
        <v>25398</v>
      </c>
    </row>
    <row r="4148">
      <c r="A4148" t="s">
        <v>23557</v>
      </c>
      <c r="B4148" t="s">
        <v>25399</v>
      </c>
      <c r="C4148" t="s">
        <v>312</v>
      </c>
      <c r="D4148" t="s">
        <v>313</v>
      </c>
      <c r="E4148" t="s">
        <v>23096</v>
      </c>
      <c r="F4148" s="2" t="n">
        <f>HYPERLINK("https://patents.google.com/patent/US7827234","Google")</f>
        <v>0.0</v>
      </c>
      <c r="G4148" s="2" t="n">
        <f>HYPERLINK("https://patentcenter.uspto.gov/applications/11032391","Patent Center")</f>
        <v>0.0</v>
      </c>
      <c r="H4148" s="2" t="n">
        <f>HYPERLINK("https://worldwide.espacenet.com/patent/search?q=US7827234","Espacenet")</f>
        <v>0.0</v>
      </c>
      <c r="I4148" s="2" t="n">
        <f>HYPERLINK("https://ppubs.uspto.gov/pubwebapp/external.html?q=7827234.pn.","USPTO")</f>
        <v>0.0</v>
      </c>
      <c r="J4148" s="2" t="n">
        <f>HYPERLINK("https://image-ppubs.uspto.gov/dirsearch-public/print/downloadPdf/7827234","USPTO PDF")</f>
        <v>0.0</v>
      </c>
      <c r="K4148" s="2" t="n">
        <f>HYPERLINK("https://sectors.patentforecast.com/pmd/US7827234","PMD")</f>
        <v>0.0</v>
      </c>
      <c r="L4148" s="2" t="n">
        <f>HYPERLINK("https://globaldossier.uspto.gov/result/patent/US/7827234/1","US7827234")</f>
        <v>0.0</v>
      </c>
      <c r="M4148" t="s">
        <v>23097</v>
      </c>
      <c r="N4148" t="s">
        <v>947</v>
      </c>
      <c r="O4148" t="s">
        <v>948</v>
      </c>
      <c r="P4148" t="s">
        <v>25400</v>
      </c>
      <c r="Q4148" s="3" t="n">
        <v>38362.0</v>
      </c>
      <c r="R4148" s="3" t="n">
        <v>40484.0</v>
      </c>
      <c r="S4148" s="3" t="n">
        <v>43266.45736018519</v>
      </c>
      <c r="T4148" s="3" t="n">
        <v>43266.63762232639</v>
      </c>
      <c r="U4148" t="s">
        <v>25401</v>
      </c>
      <c r="V4148" t="s">
        <v>23100</v>
      </c>
    </row>
    <row r="4149">
      <c r="A4149" t="s">
        <v>23557</v>
      </c>
      <c r="B4149" t="s">
        <v>25402</v>
      </c>
      <c r="C4149" t="s">
        <v>24</v>
      </c>
      <c r="D4149" t="s">
        <v>187</v>
      </c>
      <c r="E4149" t="s">
        <v>22707</v>
      </c>
      <c r="F4149" s="2" t="n">
        <f>HYPERLINK("https://patents.google.com/patent/US7822782","Google")</f>
        <v>0.0</v>
      </c>
      <c r="G4149" s="2" t="n">
        <f>HYPERLINK("https://patentcenter.uspto.gov/applications/11903564","Patent Center")</f>
        <v>0.0</v>
      </c>
      <c r="H4149" s="2" t="n">
        <f>HYPERLINK("https://worldwide.espacenet.com/patent/search?q=US7822782","Espacenet")</f>
        <v>0.0</v>
      </c>
      <c r="I4149" s="2" t="n">
        <f>HYPERLINK("https://ppubs.uspto.gov/pubwebapp/external.html?q=7822782.pn.","USPTO")</f>
        <v>0.0</v>
      </c>
      <c r="J4149" s="2" t="n">
        <f>HYPERLINK("https://image-ppubs.uspto.gov/dirsearch-public/print/downloadPdf/7822782","USPTO PDF")</f>
        <v>0.0</v>
      </c>
      <c r="K4149" s="2" t="n">
        <f>HYPERLINK("https://sectors.patentforecast.com/pmd/US7822782","PMD")</f>
        <v>0.0</v>
      </c>
      <c r="L4149" s="2" t="n">
        <f>HYPERLINK("https://globaldossier.uspto.gov/result/patent/US/7822782/1","US7822782")</f>
        <v>0.0</v>
      </c>
      <c r="M4149" t="s">
        <v>22708</v>
      </c>
      <c r="N4149" t="s">
        <v>22709</v>
      </c>
      <c r="O4149" t="s">
        <v>22710</v>
      </c>
      <c r="P4149" t="s">
        <v>25403</v>
      </c>
      <c r="Q4149" s="3" t="n">
        <v>39346.0</v>
      </c>
      <c r="R4149" s="3" t="n">
        <v>40477.0</v>
      </c>
      <c r="S4149" s="3" t="n">
        <v>43266.45736018519</v>
      </c>
      <c r="T4149" s="3" t="n">
        <v>43950.55131255787</v>
      </c>
      <c r="U4149" t="s">
        <v>25404</v>
      </c>
      <c r="V4149" t="s">
        <v>25405</v>
      </c>
    </row>
    <row r="4150">
      <c r="A4150" t="s">
        <v>23557</v>
      </c>
      <c r="B4150" t="s">
        <v>25406</v>
      </c>
      <c r="C4150" t="s">
        <v>24</v>
      </c>
      <c r="D4150" t="s">
        <v>1356</v>
      </c>
      <c r="E4150" t="s">
        <v>25407</v>
      </c>
      <c r="F4150" s="2" t="n">
        <f>HYPERLINK("https://patents.google.com/patent/US7817046","Google")</f>
        <v>0.0</v>
      </c>
      <c r="G4150" s="2" t="n">
        <f>HYPERLINK("https://patentcenter.uspto.gov/applications/10589128","Patent Center")</f>
        <v>0.0</v>
      </c>
      <c r="H4150" s="2" t="n">
        <f>HYPERLINK("https://worldwide.espacenet.com/patent/search?q=US7817046","Espacenet")</f>
        <v>0.0</v>
      </c>
      <c r="I4150" s="2" t="n">
        <f>HYPERLINK("https://ppubs.uspto.gov/pubwebapp/external.html?q=7817046.pn.","USPTO")</f>
        <v>0.0</v>
      </c>
      <c r="J4150" s="2" t="n">
        <f>HYPERLINK("https://image-ppubs.uspto.gov/dirsearch-public/print/downloadPdf/7817046","USPTO PDF")</f>
        <v>0.0</v>
      </c>
      <c r="K4150" s="2" t="n">
        <f>HYPERLINK("https://sectors.patentforecast.com/pmd/US7817046","PMD")</f>
        <v>0.0</v>
      </c>
      <c r="L4150" s="2" t="n">
        <f>HYPERLINK("https://globaldossier.uspto.gov/result/patent/US/7817046/1","US7817046")</f>
        <v>0.0</v>
      </c>
      <c r="M4150" t="s">
        <v>22915</v>
      </c>
      <c r="N4150" t="s">
        <v>22916</v>
      </c>
      <c r="O4150" t="s">
        <v>22917</v>
      </c>
      <c r="P4150" t="s">
        <v>25408</v>
      </c>
      <c r="Q4150" s="3" t="n">
        <v>38394.0</v>
      </c>
      <c r="R4150" s="3" t="n">
        <v>40470.0</v>
      </c>
      <c r="S4150" s="3" t="n">
        <v>43266.45736018519</v>
      </c>
      <c r="T4150" s="3" t="n">
        <v>43901.705570844904</v>
      </c>
      <c r="U4150" t="s">
        <v>25409</v>
      </c>
      <c r="V4150" t="s">
        <v>22920</v>
      </c>
    </row>
    <row r="4151">
      <c r="A4151" t="s">
        <v>23557</v>
      </c>
      <c r="B4151" t="s">
        <v>25410</v>
      </c>
      <c r="C4151" t="s">
        <v>60</v>
      </c>
      <c r="D4151" t="s">
        <v>2262</v>
      </c>
      <c r="E4151" t="s">
        <v>25411</v>
      </c>
      <c r="F4151" s="2" t="n">
        <f>HYPERLINK("https://patents.google.com/patent/US7815945","Google")</f>
        <v>0.0</v>
      </c>
      <c r="G4151" s="2" t="n">
        <f>HYPERLINK("https://patentcenter.uspto.gov/applications/12065663","Patent Center")</f>
        <v>0.0</v>
      </c>
      <c r="H4151" s="2" t="n">
        <f>HYPERLINK("https://worldwide.espacenet.com/patent/search?q=US7815945","Espacenet")</f>
        <v>0.0</v>
      </c>
      <c r="I4151" s="2" t="n">
        <f>HYPERLINK("https://ppubs.uspto.gov/pubwebapp/external.html?q=7815945.pn.","USPTO")</f>
        <v>0.0</v>
      </c>
      <c r="J4151" s="2" t="n">
        <f>HYPERLINK("https://image-ppubs.uspto.gov/dirsearch-public/print/downloadPdf/7815945","USPTO PDF")</f>
        <v>0.0</v>
      </c>
      <c r="K4151" s="2" t="n">
        <f>HYPERLINK("https://sectors.patentforecast.com/pmd/US7815945","PMD")</f>
        <v>0.0</v>
      </c>
      <c r="L4151" s="2" t="n">
        <f>HYPERLINK("https://globaldossier.uspto.gov/result/patent/US/7815945/1","US7815945")</f>
        <v>0.0</v>
      </c>
      <c r="M4151" t="s">
        <v>22624</v>
      </c>
      <c r="N4151" t="s">
        <v>22625</v>
      </c>
      <c r="O4151" t="s">
        <v>22625</v>
      </c>
      <c r="P4151" t="s">
        <v>25412</v>
      </c>
      <c r="Q4151" s="3" t="n">
        <v>38973.0</v>
      </c>
      <c r="R4151" s="3" t="n">
        <v>40470.0</v>
      </c>
      <c r="S4151" s="3" t="n">
        <v>43900.437259108796</v>
      </c>
      <c r="T4151" s="3" t="n">
        <v>43901.7055709375</v>
      </c>
      <c r="U4151" t="s">
        <v>25413</v>
      </c>
      <c r="V4151" t="s">
        <v>25414</v>
      </c>
    </row>
    <row r="4152">
      <c r="A4152" t="s">
        <v>23557</v>
      </c>
      <c r="B4152" t="s">
        <v>25415</v>
      </c>
      <c r="C4152" t="s">
        <v>24</v>
      </c>
      <c r="D4152" t="s">
        <v>204</v>
      </c>
      <c r="E4152" t="s">
        <v>23154</v>
      </c>
      <c r="F4152" s="2" t="n">
        <f>HYPERLINK("https://patents.google.com/patent/US7813879","Google")</f>
        <v>0.0</v>
      </c>
      <c r="G4152" s="2" t="n">
        <f>HYPERLINK("https://patentcenter.uspto.gov/applications/10911713","Patent Center")</f>
        <v>0.0</v>
      </c>
      <c r="H4152" s="2" t="n">
        <f>HYPERLINK("https://worldwide.espacenet.com/patent/search?q=US7813879","Espacenet")</f>
        <v>0.0</v>
      </c>
      <c r="I4152" s="2" t="n">
        <f>HYPERLINK("https://ppubs.uspto.gov/pubwebapp/external.html?q=7813879.pn.","USPTO")</f>
        <v>0.0</v>
      </c>
      <c r="J4152" s="2" t="n">
        <f>HYPERLINK("https://image-ppubs.uspto.gov/dirsearch-public/print/downloadPdf/7813879","USPTO PDF")</f>
        <v>0.0</v>
      </c>
      <c r="K4152" s="2" t="n">
        <f>HYPERLINK("https://sectors.patentforecast.com/pmd/US7813879","PMD")</f>
        <v>0.0</v>
      </c>
      <c r="L4152" s="2" t="n">
        <f>HYPERLINK("https://globaldossier.uspto.gov/result/patent/US/7813879/1","US7813879")</f>
        <v>0.0</v>
      </c>
      <c r="M4152" t="s">
        <v>23155</v>
      </c>
      <c r="N4152" t="s">
        <v>6786</v>
      </c>
      <c r="O4152" t="s">
        <v>6787</v>
      </c>
      <c r="P4152" t="s">
        <v>25416</v>
      </c>
      <c r="Q4152" s="3" t="n">
        <v>38204.0</v>
      </c>
      <c r="R4152" s="3" t="n">
        <v>40463.0</v>
      </c>
      <c r="S4152" s="3" t="n">
        <v>44019.22993142361</v>
      </c>
      <c r="T4152" s="3" t="n">
        <v>44020.39989366898</v>
      </c>
      <c r="U4152" t="s">
        <v>25417</v>
      </c>
      <c r="V4152" t="s">
        <v>23158</v>
      </c>
    </row>
    <row r="4153">
      <c r="A4153" t="s">
        <v>23557</v>
      </c>
      <c r="B4153" t="s">
        <v>25418</v>
      </c>
      <c r="C4153" t="s">
        <v>24</v>
      </c>
      <c r="D4153" t="s">
        <v>100</v>
      </c>
      <c r="E4153" t="s">
        <v>23106</v>
      </c>
      <c r="F4153" s="2" t="n">
        <f>HYPERLINK("https://patents.google.com/patent/US7812730","Google")</f>
        <v>0.0</v>
      </c>
      <c r="G4153" s="2" t="n">
        <f>HYPERLINK("https://patentcenter.uspto.gov/applications/12185556","Patent Center")</f>
        <v>0.0</v>
      </c>
      <c r="H4153" s="2" t="n">
        <f>HYPERLINK("https://worldwide.espacenet.com/patent/search?q=US7812730","Espacenet")</f>
        <v>0.0</v>
      </c>
      <c r="I4153" s="2" t="n">
        <f>HYPERLINK("https://ppubs.uspto.gov/pubwebapp/external.html?q=7812730.pn.","USPTO")</f>
        <v>0.0</v>
      </c>
      <c r="J4153" s="2" t="n">
        <f>HYPERLINK("https://image-ppubs.uspto.gov/dirsearch-public/print/downloadPdf/7812730","USPTO PDF")</f>
        <v>0.0</v>
      </c>
      <c r="K4153" s="2" t="n">
        <f>HYPERLINK("https://sectors.patentforecast.com/pmd/US7812730","PMD")</f>
        <v>0.0</v>
      </c>
      <c r="L4153" s="2" t="n">
        <f>HYPERLINK("https://globaldossier.uspto.gov/result/patent/US/7812730/1","US7812730")</f>
        <v>0.0</v>
      </c>
      <c r="M4153" t="s">
        <v>22429</v>
      </c>
      <c r="N4153" t="s">
        <v>1444</v>
      </c>
      <c r="O4153" t="s">
        <v>1445</v>
      </c>
      <c r="P4153" t="s">
        <v>25185</v>
      </c>
      <c r="Q4153" s="3" t="n">
        <v>39664.0</v>
      </c>
      <c r="R4153" s="3" t="n">
        <v>40463.0</v>
      </c>
      <c r="S4153" s="3" t="n">
        <v>43266.45736018519</v>
      </c>
      <c r="T4153" s="3" t="n">
        <v>43906.35981086805</v>
      </c>
      <c r="U4153" t="s">
        <v>23990</v>
      </c>
      <c r="V4153" t="s">
        <v>21865</v>
      </c>
    </row>
    <row r="4154">
      <c r="A4154" t="s">
        <v>23557</v>
      </c>
      <c r="B4154" t="s">
        <v>25419</v>
      </c>
      <c r="C4154" t="s">
        <v>24</v>
      </c>
      <c r="D4154" t="s">
        <v>25</v>
      </c>
      <c r="E4154" t="s">
        <v>25420</v>
      </c>
      <c r="F4154" s="2" t="n">
        <f>HYPERLINK("https://patents.google.com/patent/US7797109","Google")</f>
        <v>0.0</v>
      </c>
      <c r="G4154" s="2" t="n">
        <f>HYPERLINK("https://patentcenter.uspto.gov/applications/11742010","Patent Center")</f>
        <v>0.0</v>
      </c>
      <c r="H4154" s="2" t="n">
        <f>HYPERLINK("https://worldwide.espacenet.com/patent/search?q=US7797109","Espacenet")</f>
        <v>0.0</v>
      </c>
      <c r="I4154" s="2" t="n">
        <f>HYPERLINK("https://ppubs.uspto.gov/pubwebapp/external.html?q=7797109.pn.","USPTO")</f>
        <v>0.0</v>
      </c>
      <c r="J4154" s="2" t="n">
        <f>HYPERLINK("https://image-ppubs.uspto.gov/dirsearch-public/print/downloadPdf/7797109","USPTO PDF")</f>
        <v>0.0</v>
      </c>
      <c r="K4154" s="2" t="n">
        <f>HYPERLINK("https://sectors.patentforecast.com/pmd/US7797109","PMD")</f>
        <v>0.0</v>
      </c>
      <c r="L4154" s="2" t="n">
        <f>HYPERLINK("https://globaldossier.uspto.gov/result/patent/US/7797109/1","US7797109")</f>
        <v>0.0</v>
      </c>
      <c r="M4154" t="s">
        <v>22651</v>
      </c>
      <c r="N4154" t="s">
        <v>22652</v>
      </c>
      <c r="O4154" t="s">
        <v>22652</v>
      </c>
      <c r="P4154" t="s">
        <v>25421</v>
      </c>
      <c r="Q4154" s="3" t="n">
        <v>39202.0</v>
      </c>
      <c r="R4154" s="3" t="n">
        <v>40435.0</v>
      </c>
      <c r="S4154" s="3" t="n">
        <v>43908.45851611111</v>
      </c>
      <c r="T4154" s="3" t="n">
        <v>43950.59021314815</v>
      </c>
      <c r="U4154" t="s">
        <v>25331</v>
      </c>
      <c r="V4154" t="s">
        <v>25422</v>
      </c>
    </row>
    <row r="4155">
      <c r="A4155" t="s">
        <v>23557</v>
      </c>
      <c r="B4155" t="s">
        <v>25423</v>
      </c>
      <c r="C4155" t="s">
        <v>60</v>
      </c>
      <c r="D4155" t="s">
        <v>61</v>
      </c>
      <c r="E4155" t="s">
        <v>25424</v>
      </c>
      <c r="F4155" s="2" t="n">
        <f>HYPERLINK("https://patents.google.com/patent/US7795276","Google")</f>
        <v>0.0</v>
      </c>
      <c r="G4155" s="2" t="n">
        <f>HYPERLINK("https://patentcenter.uspto.gov/applications/12022557","Patent Center")</f>
        <v>0.0</v>
      </c>
      <c r="H4155" s="2" t="n">
        <f>HYPERLINK("https://worldwide.espacenet.com/patent/search?q=US7795276","Espacenet")</f>
        <v>0.0</v>
      </c>
      <c r="I4155" s="2" t="n">
        <f>HYPERLINK("https://ppubs.uspto.gov/pubwebapp/external.html?q=7795276.pn.","USPTO")</f>
        <v>0.0</v>
      </c>
      <c r="J4155" s="2" t="n">
        <f>HYPERLINK("https://image-ppubs.uspto.gov/dirsearch-public/print/downloadPdf/7795276","USPTO PDF")</f>
        <v>0.0</v>
      </c>
      <c r="K4155" s="2" t="n">
        <f>HYPERLINK("https://sectors.patentforecast.com/pmd/US7795276","PMD")</f>
        <v>0.0</v>
      </c>
      <c r="L4155" s="2" t="n">
        <f>HYPERLINK("https://globaldossier.uspto.gov/result/patent/US/7795276/1","US7795276")</f>
        <v>0.0</v>
      </c>
      <c r="M4155" t="s">
        <v>25425</v>
      </c>
      <c r="N4155" t="s">
        <v>20636</v>
      </c>
      <c r="O4155" t="s">
        <v>20637</v>
      </c>
      <c r="P4155" t="s">
        <v>25426</v>
      </c>
      <c r="Q4155" s="3" t="n">
        <v>39477.0</v>
      </c>
      <c r="R4155" s="3" t="n">
        <v>40435.0</v>
      </c>
      <c r="S4155" s="3" t="n">
        <v>43952.4599103588</v>
      </c>
      <c r="T4155" s="3" t="n">
        <v>44638.65271974537</v>
      </c>
      <c r="U4155" t="s">
        <v>25427</v>
      </c>
      <c r="V4155" t="s">
        <v>25428</v>
      </c>
    </row>
    <row r="4156">
      <c r="A4156" t="s">
        <v>23557</v>
      </c>
      <c r="B4156" t="s">
        <v>25429</v>
      </c>
      <c r="C4156" t="s">
        <v>24</v>
      </c>
      <c r="D4156" t="s">
        <v>25</v>
      </c>
      <c r="E4156" t="s">
        <v>25430</v>
      </c>
      <c r="F4156" s="2" t="n">
        <f>HYPERLINK("https://patents.google.com/patent/US7792779","Google")</f>
        <v>0.0</v>
      </c>
      <c r="G4156" s="2" t="n">
        <f>HYPERLINK("https://patentcenter.uspto.gov/applications/11806996","Patent Center")</f>
        <v>0.0</v>
      </c>
      <c r="H4156" s="2" t="n">
        <f>HYPERLINK("https://worldwide.espacenet.com/patent/search?q=US7792779","Espacenet")</f>
        <v>0.0</v>
      </c>
      <c r="I4156" s="2" t="n">
        <f>HYPERLINK("https://ppubs.uspto.gov/pubwebapp/external.html?q=7792779.pn.","USPTO")</f>
        <v>0.0</v>
      </c>
      <c r="J4156" s="2" t="n">
        <f>HYPERLINK("https://image-ppubs.uspto.gov/dirsearch-public/print/downloadPdf/7792779","USPTO PDF")</f>
        <v>0.0</v>
      </c>
      <c r="K4156" s="2" t="n">
        <f>HYPERLINK("https://sectors.patentforecast.com/pmd/US7792779","PMD")</f>
        <v>0.0</v>
      </c>
      <c r="L4156" s="2" t="n">
        <f>HYPERLINK("https://globaldossier.uspto.gov/result/patent/US/7792779/1","US7792779")</f>
        <v>0.0</v>
      </c>
      <c r="M4156" t="s">
        <v>22596</v>
      </c>
      <c r="N4156" t="s">
        <v>15359</v>
      </c>
      <c r="O4156" t="s">
        <v>15360</v>
      </c>
      <c r="P4156" t="s">
        <v>25431</v>
      </c>
      <c r="Q4156" s="3" t="n">
        <v>39238.0</v>
      </c>
      <c r="R4156" s="3" t="n">
        <v>40428.0</v>
      </c>
      <c r="S4156" s="3" t="n">
        <v>43266.45736018519</v>
      </c>
      <c r="T4156" s="3" t="n">
        <v>43906.35855832176</v>
      </c>
      <c r="U4156" t="s">
        <v>24106</v>
      </c>
      <c r="V4156" t="s">
        <v>22598</v>
      </c>
    </row>
    <row r="4157">
      <c r="A4157" t="s">
        <v>23557</v>
      </c>
      <c r="B4157" t="s">
        <v>25432</v>
      </c>
      <c r="C4157" t="s">
        <v>312</v>
      </c>
      <c r="D4157" t="s">
        <v>715</v>
      </c>
      <c r="E4157" t="s">
        <v>25137</v>
      </c>
      <c r="F4157" s="2" t="n">
        <f>HYPERLINK("https://patents.google.com/patent/US7791467","Google")</f>
        <v>0.0</v>
      </c>
      <c r="G4157" s="2" t="n">
        <f>HYPERLINK("https://patentcenter.uspto.gov/applications/11872841","Patent Center")</f>
        <v>0.0</v>
      </c>
      <c r="H4157" s="2" t="n">
        <f>HYPERLINK("https://worldwide.espacenet.com/patent/search?q=US7791467","Espacenet")</f>
        <v>0.0</v>
      </c>
      <c r="I4157" s="2" t="n">
        <f>HYPERLINK("https://ppubs.uspto.gov/pubwebapp/external.html?q=7791467.pn.","USPTO")</f>
        <v>0.0</v>
      </c>
      <c r="J4157" s="2" t="n">
        <f>HYPERLINK("https://image-ppubs.uspto.gov/dirsearch-public/print/downloadPdf/7791467","USPTO PDF")</f>
        <v>0.0</v>
      </c>
      <c r="K4157" s="2" t="n">
        <f>HYPERLINK("https://sectors.patentforecast.com/pmd/US7791467","PMD")</f>
        <v>0.0</v>
      </c>
      <c r="L4157" s="2" t="n">
        <f>HYPERLINK("https://globaldossier.uspto.gov/result/patent/US/7791467/1","US7791467")</f>
        <v>0.0</v>
      </c>
      <c r="M4157" t="s">
        <v>22814</v>
      </c>
      <c r="N4157" t="s">
        <v>4975</v>
      </c>
      <c r="O4157" t="s">
        <v>4976</v>
      </c>
      <c r="P4157" t="s">
        <v>24855</v>
      </c>
      <c r="Q4157" s="3" t="n">
        <v>39371.0</v>
      </c>
      <c r="R4157" s="3" t="n">
        <v>40428.0</v>
      </c>
      <c r="S4157" s="3" t="n">
        <v>43266.45736018519</v>
      </c>
      <c r="T4157" s="3" t="n">
        <v>43328.45413824074</v>
      </c>
      <c r="U4157" t="s">
        <v>25138</v>
      </c>
      <c r="V4157" t="s">
        <v>22817</v>
      </c>
    </row>
    <row r="4158">
      <c r="A4158" t="s">
        <v>23557</v>
      </c>
      <c r="B4158" t="s">
        <v>25433</v>
      </c>
      <c r="C4158" t="s">
        <v>60</v>
      </c>
      <c r="D4158" t="s">
        <v>845</v>
      </c>
      <c r="E4158" t="s">
        <v>24896</v>
      </c>
      <c r="F4158" s="2" t="n">
        <f>HYPERLINK("https://patents.google.com/patent/US7769600","Google")</f>
        <v>0.0</v>
      </c>
      <c r="G4158" s="2" t="n">
        <f>HYPERLINK("https://patentcenter.uspto.gov/applications/11933098","Patent Center")</f>
        <v>0.0</v>
      </c>
      <c r="H4158" s="2" t="n">
        <f>HYPERLINK("https://worldwide.espacenet.com/patent/search?q=US7769600","Espacenet")</f>
        <v>0.0</v>
      </c>
      <c r="I4158" s="2" t="n">
        <f>HYPERLINK("https://ppubs.uspto.gov/pubwebapp/external.html?q=7769600.pn.","USPTO")</f>
        <v>0.0</v>
      </c>
      <c r="J4158" s="2" t="n">
        <f>HYPERLINK("https://image-ppubs.uspto.gov/dirsearch-public/print/downloadPdf/7769600","USPTO PDF")</f>
        <v>0.0</v>
      </c>
      <c r="K4158" s="2" t="n">
        <f>HYPERLINK("https://sectors.patentforecast.com/pmd/US7769600","PMD")</f>
        <v>0.0</v>
      </c>
      <c r="L4158" s="2" t="n">
        <f>HYPERLINK("https://globaldossier.uspto.gov/result/patent/US/7769600/1","US7769600")</f>
        <v>0.0</v>
      </c>
      <c r="M4158" t="s">
        <v>22834</v>
      </c>
      <c r="N4158" t="s">
        <v>22835</v>
      </c>
      <c r="O4158" t="s">
        <v>22836</v>
      </c>
      <c r="P4158" t="s">
        <v>25027</v>
      </c>
      <c r="Q4158" s="3" t="n">
        <v>39386.0</v>
      </c>
      <c r="R4158" s="3" t="n">
        <v>40393.0</v>
      </c>
      <c r="S4158" s="3" t="n">
        <v>43906.37296650463</v>
      </c>
      <c r="T4158" s="3" t="n">
        <v>44643.42310893519</v>
      </c>
      <c r="U4158" t="s">
        <v>24898</v>
      </c>
      <c r="V4158" t="s">
        <v>22839</v>
      </c>
    </row>
    <row r="4159">
      <c r="A4159" t="s">
        <v>23557</v>
      </c>
      <c r="B4159" t="s">
        <v>25434</v>
      </c>
      <c r="C4159" t="s">
        <v>132</v>
      </c>
      <c r="D4159" t="s">
        <v>1265</v>
      </c>
      <c r="E4159" t="s">
        <v>23039</v>
      </c>
      <c r="F4159" s="2" t="n">
        <f>HYPERLINK("https://patents.google.com/patent/US7763450","Google")</f>
        <v>0.0</v>
      </c>
      <c r="G4159" s="2" t="n">
        <f>HYPERLINK("https://patentcenter.uspto.gov/applications/11372466","Patent Center")</f>
        <v>0.0</v>
      </c>
      <c r="H4159" s="2" t="n">
        <f>HYPERLINK("https://worldwide.espacenet.com/patent/search?q=US7763450","Espacenet")</f>
        <v>0.0</v>
      </c>
      <c r="I4159" s="2" t="n">
        <f>HYPERLINK("https://ppubs.uspto.gov/pubwebapp/external.html?q=7763450.pn.","USPTO")</f>
        <v>0.0</v>
      </c>
      <c r="J4159" s="2" t="n">
        <f>HYPERLINK("https://image-ppubs.uspto.gov/dirsearch-public/print/downloadPdf/7763450","USPTO PDF")</f>
        <v>0.0</v>
      </c>
      <c r="K4159" s="2" t="n">
        <f>HYPERLINK("https://sectors.patentforecast.com/pmd/US7763450","PMD")</f>
        <v>0.0</v>
      </c>
      <c r="L4159" s="2" t="n">
        <f>HYPERLINK("https://globaldossier.uspto.gov/result/patent/US/7763450/1","US7763450")</f>
        <v>0.0</v>
      </c>
      <c r="M4159" t="s">
        <v>23040</v>
      </c>
      <c r="N4159" t="s">
        <v>1275</v>
      </c>
      <c r="O4159" t="s">
        <v>1275</v>
      </c>
      <c r="P4159" t="s">
        <v>23630</v>
      </c>
      <c r="Q4159" s="3" t="n">
        <v>38786.0</v>
      </c>
      <c r="R4159" s="3" t="n">
        <v>40386.0</v>
      </c>
      <c r="S4159" s="3" t="n">
        <v>44019.685416631946</v>
      </c>
      <c r="T4159" s="3" t="n">
        <v>44020.62063275463</v>
      </c>
      <c r="U4159" t="s">
        <v>25435</v>
      </c>
      <c r="V4159" t="s">
        <v>19103</v>
      </c>
    </row>
    <row r="4160">
      <c r="A4160" t="s">
        <v>23557</v>
      </c>
      <c r="B4160" t="s">
        <v>25436</v>
      </c>
      <c r="C4160" t="s">
        <v>132</v>
      </c>
      <c r="D4160" t="s">
        <v>1265</v>
      </c>
      <c r="E4160" t="s">
        <v>25437</v>
      </c>
      <c r="F4160" s="2" t="n">
        <f>HYPERLINK("https://patents.google.com/patent/US7758867","Google")</f>
        <v>0.0</v>
      </c>
      <c r="G4160" s="2" t="n">
        <f>HYPERLINK("https://patentcenter.uspto.gov/applications/11764532","Patent Center")</f>
        <v>0.0</v>
      </c>
      <c r="H4160" s="2" t="n">
        <f>HYPERLINK("https://worldwide.espacenet.com/patent/search?q=US7758867","Espacenet")</f>
        <v>0.0</v>
      </c>
      <c r="I4160" s="2" t="n">
        <f>HYPERLINK("https://ppubs.uspto.gov/pubwebapp/external.html?q=7758867.pn.","USPTO")</f>
        <v>0.0</v>
      </c>
      <c r="J4160" s="2" t="n">
        <f>HYPERLINK("https://image-ppubs.uspto.gov/dirsearch-public/print/downloadPdf/7758867","USPTO PDF")</f>
        <v>0.0</v>
      </c>
      <c r="K4160" s="2" t="n">
        <f>HYPERLINK("https://sectors.patentforecast.com/pmd/US7758867","PMD")</f>
        <v>0.0</v>
      </c>
      <c r="L4160" s="2" t="n">
        <f>HYPERLINK("https://globaldossier.uspto.gov/result/patent/US/7758867/1","US7758867")</f>
        <v>0.0</v>
      </c>
      <c r="M4160" t="s">
        <v>22582</v>
      </c>
      <c r="N4160" t="s">
        <v>22583</v>
      </c>
      <c r="O4160" t="s">
        <v>22584</v>
      </c>
      <c r="P4160" t="s">
        <v>25438</v>
      </c>
      <c r="Q4160" s="3" t="n">
        <v>39251.0</v>
      </c>
      <c r="R4160" s="3" t="n">
        <v>40379.0</v>
      </c>
      <c r="S4160" s="3" t="n">
        <v>43900.43738940972</v>
      </c>
      <c r="T4160" s="3" t="n">
        <v>43901.70557104167</v>
      </c>
      <c r="U4160" t="s">
        <v>25439</v>
      </c>
      <c r="V4160" t="s">
        <v>22587</v>
      </c>
    </row>
    <row r="4161">
      <c r="A4161" t="s">
        <v>23557</v>
      </c>
      <c r="B4161" t="s">
        <v>25440</v>
      </c>
      <c r="C4161" t="s">
        <v>132</v>
      </c>
      <c r="D4161" t="s">
        <v>1265</v>
      </c>
      <c r="E4161" t="s">
        <v>23170</v>
      </c>
      <c r="F4161" s="2" t="n">
        <f>HYPERLINK("https://patents.google.com/patent/US7744901","Google")</f>
        <v>0.0</v>
      </c>
      <c r="G4161" s="2" t="n">
        <f>HYPERLINK("https://patentcenter.uspto.gov/applications/12354085","Patent Center")</f>
        <v>0.0</v>
      </c>
      <c r="H4161" s="2" t="n">
        <f>HYPERLINK("https://worldwide.espacenet.com/patent/search?q=US7744901","Espacenet")</f>
        <v>0.0</v>
      </c>
      <c r="I4161" s="2" t="n">
        <f>HYPERLINK("https://ppubs.uspto.gov/pubwebapp/external.html?q=7744901.pn.","USPTO")</f>
        <v>0.0</v>
      </c>
      <c r="J4161" s="2" t="n">
        <f>HYPERLINK("https://image-ppubs.uspto.gov/dirsearch-public/print/downloadPdf/7744901","USPTO PDF")</f>
        <v>0.0</v>
      </c>
      <c r="K4161" s="2" t="n">
        <f>HYPERLINK("https://sectors.patentforecast.com/pmd/US7744901","PMD")</f>
        <v>0.0</v>
      </c>
      <c r="L4161" s="2" t="n">
        <f>HYPERLINK("https://globaldossier.uspto.gov/result/patent/US/7744901/1","US7744901")</f>
        <v>0.0</v>
      </c>
      <c r="M4161" t="s">
        <v>22491</v>
      </c>
      <c r="N4161" t="s">
        <v>21123</v>
      </c>
      <c r="O4161" t="s">
        <v>21124</v>
      </c>
      <c r="P4161" t="s">
        <v>24879</v>
      </c>
      <c r="Q4161" s="3" t="n">
        <v>39828.0</v>
      </c>
      <c r="R4161" s="3" t="n">
        <v>40358.0</v>
      </c>
      <c r="S4161" s="3" t="n">
        <v>43900.43738974537</v>
      </c>
      <c r="T4161" s="3" t="n">
        <v>43901.70557099537</v>
      </c>
      <c r="U4161" t="s">
        <v>24880</v>
      </c>
      <c r="V4161" t="s">
        <v>21127</v>
      </c>
    </row>
    <row r="4162">
      <c r="A4162" t="s">
        <v>23557</v>
      </c>
      <c r="B4162" t="s">
        <v>25441</v>
      </c>
      <c r="C4162" t="s">
        <v>312</v>
      </c>
      <c r="D4162" t="s">
        <v>3202</v>
      </c>
      <c r="E4162" t="s">
        <v>23326</v>
      </c>
      <c r="F4162" s="2" t="n">
        <f>HYPERLINK("https://patents.google.com/patent/US7742932","Google")</f>
        <v>0.0</v>
      </c>
      <c r="G4162" s="2" t="n">
        <f>HYPERLINK("https://patentcenter.uspto.gov/applications/10350217","Patent Center")</f>
        <v>0.0</v>
      </c>
      <c r="H4162" s="2" t="n">
        <f>HYPERLINK("https://worldwide.espacenet.com/patent/search?q=US7742932","Espacenet")</f>
        <v>0.0</v>
      </c>
      <c r="I4162" s="2" t="n">
        <f>HYPERLINK("https://ppubs.uspto.gov/pubwebapp/external.html?q=7742932.pn.","USPTO")</f>
        <v>0.0</v>
      </c>
      <c r="J4162" s="2" t="n">
        <f>HYPERLINK("https://image-ppubs.uspto.gov/dirsearch-public/print/downloadPdf/7742932","USPTO PDF")</f>
        <v>0.0</v>
      </c>
      <c r="K4162" s="2" t="n">
        <f>HYPERLINK("https://sectors.patentforecast.com/pmd/US7742932","PMD")</f>
        <v>0.0</v>
      </c>
      <c r="L4162" s="2" t="n">
        <f>HYPERLINK("https://globaldossier.uspto.gov/result/patent/US/7742932/1","US7742932")</f>
        <v>0.0</v>
      </c>
      <c r="M4162" t="s">
        <v>23327</v>
      </c>
      <c r="N4162" t="s">
        <v>23328</v>
      </c>
      <c r="O4162" t="s">
        <v>23329</v>
      </c>
      <c r="P4162" t="s">
        <v>25442</v>
      </c>
      <c r="Q4162" s="3" t="n">
        <v>37643.0</v>
      </c>
      <c r="R4162" s="3" t="n">
        <v>40351.0</v>
      </c>
      <c r="S4162" s="3" t="n">
        <v>43266.45736099537</v>
      </c>
      <c r="T4162" s="3" t="n">
        <v>44643.45846642361</v>
      </c>
      <c r="U4162" t="s">
        <v>25443</v>
      </c>
      <c r="V4162" t="s">
        <v>23332</v>
      </c>
    </row>
    <row r="4163">
      <c r="A4163" t="s">
        <v>23557</v>
      </c>
      <c r="B4163" t="s">
        <v>25444</v>
      </c>
      <c r="C4163" t="s">
        <v>60</v>
      </c>
      <c r="D4163" t="s">
        <v>61</v>
      </c>
      <c r="E4163" t="s">
        <v>24866</v>
      </c>
      <c r="F4163" s="2" t="n">
        <f>HYPERLINK("https://patents.google.com/patent/US7737162","Google")</f>
        <v>0.0</v>
      </c>
      <c r="G4163" s="2" t="n">
        <f>HYPERLINK("https://patentcenter.uspto.gov/applications/10519756","Patent Center")</f>
        <v>0.0</v>
      </c>
      <c r="H4163" s="2" t="n">
        <f>HYPERLINK("https://worldwide.espacenet.com/patent/search?q=US7737162","Espacenet")</f>
        <v>0.0</v>
      </c>
      <c r="I4163" s="2" t="n">
        <f>HYPERLINK("https://ppubs.uspto.gov/pubwebapp/external.html?q=7737162.pn.","USPTO")</f>
        <v>0.0</v>
      </c>
      <c r="J4163" s="2" t="n">
        <f>HYPERLINK("https://image-ppubs.uspto.gov/dirsearch-public/print/downloadPdf/7737162","USPTO PDF")</f>
        <v>0.0</v>
      </c>
      <c r="K4163" s="2" t="n">
        <f>HYPERLINK("https://sectors.patentforecast.com/pmd/US7737162","PMD")</f>
        <v>0.0</v>
      </c>
      <c r="L4163" s="2" t="n">
        <f>HYPERLINK("https://globaldossier.uspto.gov/result/patent/US/7737162/1","US7737162")</f>
        <v>0.0</v>
      </c>
      <c r="M4163" t="s">
        <v>25445</v>
      </c>
      <c r="N4163" t="s">
        <v>7862</v>
      </c>
      <c r="O4163" t="s">
        <v>7863</v>
      </c>
      <c r="P4163" t="s">
        <v>24868</v>
      </c>
      <c r="Q4163" s="3" t="n">
        <v>37805.0</v>
      </c>
      <c r="R4163" s="3" t="n">
        <v>40344.0</v>
      </c>
      <c r="S4163" s="3" t="n">
        <v>43952.4599103588</v>
      </c>
      <c r="T4163" s="3" t="n">
        <v>44638.65579662037</v>
      </c>
      <c r="U4163" t="s">
        <v>25446</v>
      </c>
      <c r="V4163" t="s">
        <v>25447</v>
      </c>
    </row>
    <row r="4164">
      <c r="A4164" t="s">
        <v>23557</v>
      </c>
      <c r="B4164" t="s">
        <v>25448</v>
      </c>
      <c r="C4164" t="s">
        <v>60</v>
      </c>
      <c r="D4164" t="s">
        <v>61</v>
      </c>
      <c r="E4164" t="s">
        <v>25449</v>
      </c>
      <c r="F4164" s="2" t="n">
        <f>HYPERLINK("https://patents.google.com/patent/US7723380","Google")</f>
        <v>0.0</v>
      </c>
      <c r="G4164" s="2" t="n">
        <f>HYPERLINK("https://patentcenter.uspto.gov/applications/11880069","Patent Center")</f>
        <v>0.0</v>
      </c>
      <c r="H4164" s="2" t="n">
        <f>HYPERLINK("https://worldwide.espacenet.com/patent/search?q=US7723380","Espacenet")</f>
        <v>0.0</v>
      </c>
      <c r="I4164" s="2" t="n">
        <f>HYPERLINK("https://ppubs.uspto.gov/pubwebapp/external.html?q=7723380.pn.","USPTO")</f>
        <v>0.0</v>
      </c>
      <c r="J4164" s="2" t="n">
        <f>HYPERLINK("https://image-ppubs.uspto.gov/dirsearch-public/print/downloadPdf/7723380","USPTO PDF")</f>
        <v>0.0</v>
      </c>
      <c r="K4164" s="2" t="n">
        <f>HYPERLINK("https://sectors.patentforecast.com/pmd/US7723380","PMD")</f>
        <v>0.0</v>
      </c>
      <c r="L4164" s="2" t="n">
        <f>HYPERLINK("https://globaldossier.uspto.gov/result/patent/US/7723380/1","US7723380")</f>
        <v>0.0</v>
      </c>
      <c r="M4164" t="s">
        <v>25450</v>
      </c>
      <c r="N4164" t="s">
        <v>664</v>
      </c>
      <c r="O4164" t="s">
        <v>665</v>
      </c>
      <c r="P4164" t="s">
        <v>25451</v>
      </c>
      <c r="Q4164" s="3" t="n">
        <v>39282.0</v>
      </c>
      <c r="R4164" s="3" t="n">
        <v>40323.0</v>
      </c>
      <c r="S4164" s="3" t="n">
        <v>43952.4599103588</v>
      </c>
      <c r="T4164" s="3" t="n">
        <v>44638.65271974537</v>
      </c>
      <c r="U4164" t="s">
        <v>25452</v>
      </c>
      <c r="V4164" t="s">
        <v>25453</v>
      </c>
    </row>
    <row r="4165">
      <c r="A4165" t="s">
        <v>23557</v>
      </c>
      <c r="B4165" t="s">
        <v>25454</v>
      </c>
      <c r="C4165" t="s">
        <v>132</v>
      </c>
      <c r="D4165" t="s">
        <v>2629</v>
      </c>
      <c r="E4165" t="s">
        <v>25455</v>
      </c>
      <c r="F4165" s="2" t="n">
        <f>HYPERLINK("https://patents.google.com/patent/US7722861","Google")</f>
        <v>0.0</v>
      </c>
      <c r="G4165" s="2" t="n">
        <f>HYPERLINK("https://patentcenter.uspto.gov/applications/10351452","Patent Center")</f>
        <v>0.0</v>
      </c>
      <c r="H4165" s="2" t="n">
        <f>HYPERLINK("https://worldwide.espacenet.com/patent/search?q=US7722861","Espacenet")</f>
        <v>0.0</v>
      </c>
      <c r="I4165" s="2" t="n">
        <f>HYPERLINK("https://ppubs.uspto.gov/pubwebapp/external.html?q=7722861.pn.","USPTO")</f>
        <v>0.0</v>
      </c>
      <c r="J4165" s="2" t="n">
        <f>HYPERLINK("https://image-ppubs.uspto.gov/dirsearch-public/print/downloadPdf/7722861","USPTO PDF")</f>
        <v>0.0</v>
      </c>
      <c r="K4165" s="2" t="n">
        <f>HYPERLINK("https://sectors.patentforecast.com/pmd/US7722861","PMD")</f>
        <v>0.0</v>
      </c>
      <c r="L4165" s="2" t="n">
        <f>HYPERLINK("https://globaldossier.uspto.gov/result/patent/US/7722861/1","US7722861")</f>
        <v>0.0</v>
      </c>
      <c r="M4165" t="s">
        <v>25456</v>
      </c>
      <c r="N4165" t="s">
        <v>699</v>
      </c>
      <c r="O4165" t="s">
        <v>700</v>
      </c>
      <c r="P4165" t="s">
        <v>25457</v>
      </c>
      <c r="Q4165" s="3" t="n">
        <v>37645.0</v>
      </c>
      <c r="R4165" s="3" t="n">
        <v>40323.0</v>
      </c>
      <c r="S4165" s="3" t="n">
        <v>43973.46948655092</v>
      </c>
      <c r="T4165" s="3" t="n">
        <v>44545.36892755787</v>
      </c>
      <c r="U4165" t="s">
        <v>25458</v>
      </c>
      <c r="V4165" t="s">
        <v>25459</v>
      </c>
    </row>
    <row r="4166">
      <c r="A4166" t="s">
        <v>23557</v>
      </c>
      <c r="B4166" t="s">
        <v>25460</v>
      </c>
      <c r="C4166" t="s">
        <v>132</v>
      </c>
      <c r="D4166" t="s">
        <v>1265</v>
      </c>
      <c r="E4166" t="s">
        <v>25461</v>
      </c>
      <c r="F4166" s="2" t="n">
        <f>HYPERLINK("https://patents.google.com/patent/US7709190","Google")</f>
        <v>0.0</v>
      </c>
      <c r="G4166" s="2" t="n">
        <f>HYPERLINK("https://patentcenter.uspto.gov/applications/11566216","Patent Center")</f>
        <v>0.0</v>
      </c>
      <c r="H4166" s="2" t="n">
        <f>HYPERLINK("https://worldwide.espacenet.com/patent/search?q=US7709190","Espacenet")</f>
        <v>0.0</v>
      </c>
      <c r="I4166" s="2" t="n">
        <f>HYPERLINK("https://ppubs.uspto.gov/pubwebapp/external.html?q=7709190.pn.","USPTO")</f>
        <v>0.0</v>
      </c>
      <c r="J4166" s="2" t="n">
        <f>HYPERLINK("https://image-ppubs.uspto.gov/dirsearch-public/print/downloadPdf/7709190","USPTO PDF")</f>
        <v>0.0</v>
      </c>
      <c r="K4166" s="2" t="n">
        <f>HYPERLINK("https://sectors.patentforecast.com/pmd/US7709190","PMD")</f>
        <v>0.0</v>
      </c>
      <c r="L4166" s="2" t="n">
        <f>HYPERLINK("https://globaldossier.uspto.gov/result/patent/US/7709190/1","US7709190")</f>
        <v>0.0</v>
      </c>
      <c r="M4166" t="s">
        <v>25462</v>
      </c>
      <c r="N4166" t="s">
        <v>1030</v>
      </c>
      <c r="O4166" t="s">
        <v>1031</v>
      </c>
      <c r="P4166" t="s">
        <v>25463</v>
      </c>
      <c r="Q4166" s="3" t="n">
        <v>39053.0</v>
      </c>
      <c r="R4166" s="3" t="n">
        <v>40302.0</v>
      </c>
      <c r="S4166" s="3" t="n">
        <v>43973.46948655092</v>
      </c>
      <c r="T4166" s="3" t="n">
        <v>44545.612765763886</v>
      </c>
      <c r="U4166" t="s">
        <v>25464</v>
      </c>
      <c r="V4166" t="s">
        <v>25465</v>
      </c>
    </row>
    <row r="4167">
      <c r="A4167" t="s">
        <v>23557</v>
      </c>
      <c r="B4167" t="s">
        <v>25466</v>
      </c>
      <c r="C4167" t="s">
        <v>312</v>
      </c>
      <c r="D4167" t="s">
        <v>3202</v>
      </c>
      <c r="E4167" t="s">
        <v>25467</v>
      </c>
      <c r="F4167" s="2" t="n">
        <f>HYPERLINK("https://patents.google.com/patent/US7705723","Google")</f>
        <v>0.0</v>
      </c>
      <c r="G4167" s="2" t="n">
        <f>HYPERLINK("https://patentcenter.uspto.gov/applications/11686908","Patent Center")</f>
        <v>0.0</v>
      </c>
      <c r="H4167" s="2" t="n">
        <f>HYPERLINK("https://worldwide.espacenet.com/patent/search?q=US7705723","Espacenet")</f>
        <v>0.0</v>
      </c>
      <c r="I4167" s="2" t="n">
        <f>HYPERLINK("https://ppubs.uspto.gov/pubwebapp/external.html?q=7705723.pn.","USPTO")</f>
        <v>0.0</v>
      </c>
      <c r="J4167" s="2" t="n">
        <f>HYPERLINK("https://image-ppubs.uspto.gov/dirsearch-public/print/downloadPdf/7705723","USPTO PDF")</f>
        <v>0.0</v>
      </c>
      <c r="K4167" s="2" t="n">
        <f>HYPERLINK("https://sectors.patentforecast.com/pmd/US7705723","PMD")</f>
        <v>0.0</v>
      </c>
      <c r="L4167" s="2" t="n">
        <f>HYPERLINK("https://globaldossier.uspto.gov/result/patent/US/7705723/1","US7705723")</f>
        <v>0.0</v>
      </c>
      <c r="M4167" t="s">
        <v>22900</v>
      </c>
      <c r="N4167" t="s">
        <v>22901</v>
      </c>
      <c r="O4167" t="s">
        <v>22902</v>
      </c>
      <c r="P4167" t="s">
        <v>25330</v>
      </c>
      <c r="Q4167" s="3" t="n">
        <v>39156.0</v>
      </c>
      <c r="R4167" s="3" t="n">
        <v>40295.0</v>
      </c>
      <c r="S4167" s="3" t="n">
        <v>43266.45736099537</v>
      </c>
      <c r="T4167" s="3" t="n">
        <v>44643.459972847224</v>
      </c>
      <c r="U4167" t="s">
        <v>25092</v>
      </c>
      <c r="V4167" t="s">
        <v>22904</v>
      </c>
    </row>
    <row r="4168">
      <c r="A4168" t="s">
        <v>23557</v>
      </c>
      <c r="B4168" t="s">
        <v>25468</v>
      </c>
      <c r="C4168" t="s">
        <v>24</v>
      </c>
      <c r="D4168" t="s">
        <v>25</v>
      </c>
      <c r="E4168" t="s">
        <v>22906</v>
      </c>
      <c r="F4168" s="2" t="n">
        <f>HYPERLINK("https://patents.google.com/patent/US7703671","Google")</f>
        <v>0.0</v>
      </c>
      <c r="G4168" s="2" t="n">
        <f>HYPERLINK("https://patentcenter.uspto.gov/applications/11221599","Patent Center")</f>
        <v>0.0</v>
      </c>
      <c r="H4168" s="2" t="n">
        <f>HYPERLINK("https://worldwide.espacenet.com/patent/search?q=US7703671","Espacenet")</f>
        <v>0.0</v>
      </c>
      <c r="I4168" s="2" t="n">
        <f>HYPERLINK("https://ppubs.uspto.gov/pubwebapp/external.html?q=7703671.pn.","USPTO")</f>
        <v>0.0</v>
      </c>
      <c r="J4168" s="2" t="n">
        <f>HYPERLINK("https://image-ppubs.uspto.gov/dirsearch-public/print/downloadPdf/7703671","USPTO PDF")</f>
        <v>0.0</v>
      </c>
      <c r="K4168" s="2" t="n">
        <f>HYPERLINK("https://sectors.patentforecast.com/pmd/US7703671","PMD")</f>
        <v>0.0</v>
      </c>
      <c r="L4168" s="2" t="n">
        <f>HYPERLINK("https://globaldossier.uspto.gov/result/patent/US/7703671/1","US7703671")</f>
        <v>0.0</v>
      </c>
      <c r="M4168" t="s">
        <v>22907</v>
      </c>
      <c r="N4168" t="s">
        <v>22908</v>
      </c>
      <c r="O4168" t="s">
        <v>22909</v>
      </c>
      <c r="P4168" t="s">
        <v>25469</v>
      </c>
      <c r="Q4168" s="3" t="n">
        <v>38602.0</v>
      </c>
      <c r="R4168" s="3" t="n">
        <v>40295.0</v>
      </c>
      <c r="S4168" s="3" t="n">
        <v>43266.45736099537</v>
      </c>
      <c r="T4168" s="3" t="n">
        <v>43901.705570844904</v>
      </c>
      <c r="U4168" t="s">
        <v>25470</v>
      </c>
      <c r="V4168" t="s">
        <v>22912</v>
      </c>
    </row>
    <row r="4169">
      <c r="A4169" t="s">
        <v>23557</v>
      </c>
      <c r="B4169" t="s">
        <v>25471</v>
      </c>
      <c r="C4169" t="s">
        <v>24</v>
      </c>
      <c r="D4169" t="s">
        <v>3193</v>
      </c>
      <c r="E4169" t="s">
        <v>25472</v>
      </c>
      <c r="F4169" s="2" t="n">
        <f>HYPERLINK("https://patents.google.com/patent/US7685000","Google")</f>
        <v>0.0</v>
      </c>
      <c r="G4169" s="2" t="n">
        <f>HYPERLINK("https://patentcenter.uspto.gov/applications/11200804","Patent Center")</f>
        <v>0.0</v>
      </c>
      <c r="H4169" s="2" t="n">
        <f>HYPERLINK("https://worldwide.espacenet.com/patent/search?q=US7685000","Espacenet")</f>
        <v>0.0</v>
      </c>
      <c r="I4169" s="2" t="n">
        <f>HYPERLINK("https://ppubs.uspto.gov/pubwebapp/external.html?q=7685000.pn.","USPTO")</f>
        <v>0.0</v>
      </c>
      <c r="J4169" s="2" t="n">
        <f>HYPERLINK("https://image-ppubs.uspto.gov/dirsearch-public/print/downloadPdf/7685000","USPTO PDF")</f>
        <v>0.0</v>
      </c>
      <c r="K4169" s="2" t="n">
        <f>HYPERLINK("https://sectors.patentforecast.com/pmd/US7685000","PMD")</f>
        <v>0.0</v>
      </c>
      <c r="L4169" s="2" t="n">
        <f>HYPERLINK("https://globaldossier.uspto.gov/result/patent/US/7685000/1","US7685000")</f>
        <v>0.0</v>
      </c>
      <c r="M4169" t="s">
        <v>25473</v>
      </c>
      <c r="N4169" t="s">
        <v>25376</v>
      </c>
      <c r="O4169" t="s">
        <v>25377</v>
      </c>
      <c r="P4169" t="s">
        <v>25378</v>
      </c>
      <c r="Q4169" s="3" t="n">
        <v>38574.0</v>
      </c>
      <c r="R4169" s="3" t="n">
        <v>40260.0</v>
      </c>
      <c r="S4169" s="3" t="n">
        <v>44089.230168993054</v>
      </c>
      <c r="T4169" s="3" t="n">
        <v>44089.44547471065</v>
      </c>
      <c r="U4169" t="s">
        <v>25474</v>
      </c>
      <c r="V4169" t="s">
        <v>25380</v>
      </c>
    </row>
    <row r="4170">
      <c r="A4170" t="s">
        <v>23557</v>
      </c>
      <c r="B4170" t="s">
        <v>25475</v>
      </c>
      <c r="C4170" t="s">
        <v>60</v>
      </c>
      <c r="D4170" t="s">
        <v>61</v>
      </c>
      <c r="E4170" t="s">
        <v>23216</v>
      </c>
      <c r="F4170" s="2" t="n">
        <f>HYPERLINK("https://patents.google.com/patent/US7649015","Google")</f>
        <v>0.0</v>
      </c>
      <c r="G4170" s="2" t="n">
        <f>HYPERLINK("https://patentcenter.uspto.gov/applications/10423496","Patent Center")</f>
        <v>0.0</v>
      </c>
      <c r="H4170" s="2" t="n">
        <f>HYPERLINK("https://worldwide.espacenet.com/patent/search?q=US7649015","Espacenet")</f>
        <v>0.0</v>
      </c>
      <c r="I4170" s="2" t="n">
        <f>HYPERLINK("https://ppubs.uspto.gov/pubwebapp/external.html?q=7649015.pn.","USPTO")</f>
        <v>0.0</v>
      </c>
      <c r="J4170" s="2" t="n">
        <f>HYPERLINK("https://image-ppubs.uspto.gov/dirsearch-public/print/downloadPdf/7649015","USPTO PDF")</f>
        <v>0.0</v>
      </c>
      <c r="K4170" s="2" t="n">
        <f>HYPERLINK("https://sectors.patentforecast.com/pmd/US7649015","PMD")</f>
        <v>0.0</v>
      </c>
      <c r="L4170" s="2" t="n">
        <f>HYPERLINK("https://globaldossier.uspto.gov/result/patent/US/7649015/1","US7649015")</f>
        <v>0.0</v>
      </c>
      <c r="M4170" t="s">
        <v>23217</v>
      </c>
      <c r="N4170" t="s">
        <v>664</v>
      </c>
      <c r="O4170" t="s">
        <v>665</v>
      </c>
      <c r="P4170" t="s">
        <v>25476</v>
      </c>
      <c r="Q4170" s="3" t="n">
        <v>37736.0</v>
      </c>
      <c r="R4170" s="3" t="n">
        <v>40197.0</v>
      </c>
      <c r="S4170" s="3" t="n">
        <v>43950.647372685184</v>
      </c>
      <c r="T4170" s="3" t="n">
        <v>44638.662781747684</v>
      </c>
      <c r="U4170" t="s">
        <v>25477</v>
      </c>
      <c r="V4170" t="s">
        <v>23220</v>
      </c>
    </row>
    <row r="4171">
      <c r="A4171" t="s">
        <v>23557</v>
      </c>
      <c r="B4171" t="s">
        <v>25478</v>
      </c>
      <c r="C4171" t="s">
        <v>60</v>
      </c>
      <c r="D4171" t="s">
        <v>61</v>
      </c>
      <c r="E4171" t="s">
        <v>25479</v>
      </c>
      <c r="F4171" s="2" t="n">
        <f>HYPERLINK("https://patents.google.com/patent/US7648998","Google")</f>
        <v>0.0</v>
      </c>
      <c r="G4171" s="2" t="n">
        <f>HYPERLINK("https://patentcenter.uspto.gov/applications/10583814","Patent Center")</f>
        <v>0.0</v>
      </c>
      <c r="H4171" s="2" t="n">
        <f>HYPERLINK("https://worldwide.espacenet.com/patent/search?q=US7648998","Espacenet")</f>
        <v>0.0</v>
      </c>
      <c r="I4171" s="2" t="n">
        <f>HYPERLINK("https://ppubs.uspto.gov/pubwebapp/external.html?q=7648998.pn.","USPTO")</f>
        <v>0.0</v>
      </c>
      <c r="J4171" s="2" t="n">
        <f>HYPERLINK("https://image-ppubs.uspto.gov/dirsearch-public/print/downloadPdf/7648998","USPTO PDF")</f>
        <v>0.0</v>
      </c>
      <c r="K4171" s="2" t="n">
        <f>HYPERLINK("https://sectors.patentforecast.com/pmd/US7648998","PMD")</f>
        <v>0.0</v>
      </c>
      <c r="L4171" s="2" t="n">
        <f>HYPERLINK("https://globaldossier.uspto.gov/result/patent/US/7648998/1","US7648998")</f>
        <v>0.0</v>
      </c>
      <c r="M4171" t="s">
        <v>25480</v>
      </c>
      <c r="N4171" t="s">
        <v>7862</v>
      </c>
      <c r="O4171" t="s">
        <v>7863</v>
      </c>
      <c r="P4171" t="s">
        <v>25217</v>
      </c>
      <c r="Q4171" s="3" t="n">
        <v>38342.0</v>
      </c>
      <c r="R4171" s="3" t="n">
        <v>40197.0</v>
      </c>
      <c r="S4171" s="3" t="n">
        <v>43952.4599103588</v>
      </c>
      <c r="T4171" s="3" t="n">
        <v>44638.65271974537</v>
      </c>
      <c r="U4171" t="s">
        <v>25481</v>
      </c>
      <c r="V4171" t="s">
        <v>25482</v>
      </c>
    </row>
    <row r="4172">
      <c r="A4172" t="s">
        <v>23557</v>
      </c>
      <c r="B4172" t="s">
        <v>25483</v>
      </c>
      <c r="C4172" t="s">
        <v>60</v>
      </c>
      <c r="D4172" t="s">
        <v>61</v>
      </c>
      <c r="E4172" t="s">
        <v>23933</v>
      </c>
      <c r="F4172" s="2" t="n">
        <f>HYPERLINK("https://patents.google.com/patent/US7645448","Google")</f>
        <v>0.0</v>
      </c>
      <c r="G4172" s="2" t="n">
        <f>HYPERLINK("https://patentcenter.uspto.gov/applications/12256230","Patent Center")</f>
        <v>0.0</v>
      </c>
      <c r="H4172" s="2" t="n">
        <f>HYPERLINK("https://worldwide.espacenet.com/patent/search?q=US7645448","Espacenet")</f>
        <v>0.0</v>
      </c>
      <c r="I4172" s="2" t="n">
        <f>HYPERLINK("https://ppubs.uspto.gov/pubwebapp/external.html?q=7645448.pn.","USPTO")</f>
        <v>0.0</v>
      </c>
      <c r="J4172" s="2" t="n">
        <f>HYPERLINK("https://image-ppubs.uspto.gov/dirsearch-public/print/downloadPdf/7645448","USPTO PDF")</f>
        <v>0.0</v>
      </c>
      <c r="K4172" s="2" t="n">
        <f>HYPERLINK("https://sectors.patentforecast.com/pmd/US7645448","PMD")</f>
        <v>0.0</v>
      </c>
      <c r="L4172" s="2" t="n">
        <f>HYPERLINK("https://globaldossier.uspto.gov/result/patent/US/7645448/1","US7645448")</f>
        <v>0.0</v>
      </c>
      <c r="M4172" t="s">
        <v>25484</v>
      </c>
      <c r="N4172" t="s">
        <v>23935</v>
      </c>
      <c r="O4172" t="s">
        <v>23936</v>
      </c>
      <c r="P4172" t="s">
        <v>25485</v>
      </c>
      <c r="Q4172" s="3" t="n">
        <v>39743.0</v>
      </c>
      <c r="R4172" s="3" t="n">
        <v>40190.0</v>
      </c>
      <c r="S4172" s="3" t="n">
        <v>43973.46948655092</v>
      </c>
      <c r="T4172" s="3" t="n">
        <v>44545.57115005787</v>
      </c>
      <c r="U4172" t="s">
        <v>25486</v>
      </c>
      <c r="V4172" t="s">
        <v>23939</v>
      </c>
    </row>
    <row r="4173">
      <c r="A4173" t="s">
        <v>23557</v>
      </c>
      <c r="B4173" t="s">
        <v>25487</v>
      </c>
      <c r="C4173" t="s">
        <v>60</v>
      </c>
      <c r="D4173" t="s">
        <v>61</v>
      </c>
      <c r="E4173" t="s">
        <v>22432</v>
      </c>
      <c r="F4173" s="2" t="n">
        <f>HYPERLINK("https://patents.google.com/patent/US7642339","Google")</f>
        <v>0.0</v>
      </c>
      <c r="G4173" s="2" t="n">
        <f>HYPERLINK("https://patentcenter.uspto.gov/applications/11184429","Patent Center")</f>
        <v>0.0</v>
      </c>
      <c r="H4173" s="2" t="n">
        <f>HYPERLINK("https://worldwide.espacenet.com/patent/search?q=US7642339","Espacenet")</f>
        <v>0.0</v>
      </c>
      <c r="I4173" s="2" t="n">
        <f>HYPERLINK("https://ppubs.uspto.gov/pubwebapp/external.html?q=7642339.pn.","USPTO")</f>
        <v>0.0</v>
      </c>
      <c r="J4173" s="2" t="n">
        <f>HYPERLINK("https://image-ppubs.uspto.gov/dirsearch-public/print/downloadPdf/7642339","USPTO PDF")</f>
        <v>0.0</v>
      </c>
      <c r="K4173" s="2" t="n">
        <f>HYPERLINK("https://sectors.patentforecast.com/pmd/US7642339","PMD")</f>
        <v>0.0</v>
      </c>
      <c r="L4173" s="2" t="n">
        <f>HYPERLINK("https://globaldossier.uspto.gov/result/patent/US/7642339/1","US7642339")</f>
        <v>0.0</v>
      </c>
      <c r="M4173" t="s">
        <v>23109</v>
      </c>
      <c r="N4173" t="s">
        <v>664</v>
      </c>
      <c r="O4173" t="s">
        <v>665</v>
      </c>
      <c r="P4173" t="s">
        <v>25488</v>
      </c>
      <c r="Q4173" s="3" t="n">
        <v>38551.0</v>
      </c>
      <c r="R4173" s="3" t="n">
        <v>40183.0</v>
      </c>
      <c r="S4173" s="3" t="n">
        <v>43952.4599103588</v>
      </c>
      <c r="T4173" s="3" t="n">
        <v>44638.65271974537</v>
      </c>
      <c r="U4173" t="s">
        <v>25489</v>
      </c>
      <c r="V4173" t="s">
        <v>17358</v>
      </c>
    </row>
    <row r="4174">
      <c r="A4174" t="s">
        <v>23557</v>
      </c>
      <c r="B4174" t="s">
        <v>25490</v>
      </c>
      <c r="C4174" t="s">
        <v>132</v>
      </c>
      <c r="D4174" t="s">
        <v>11423</v>
      </c>
      <c r="E4174" t="s">
        <v>23244</v>
      </c>
      <c r="F4174" s="2" t="n">
        <f>HYPERLINK("https://patents.google.com/patent/US7641911","Google")</f>
        <v>0.0</v>
      </c>
      <c r="G4174" s="2" t="n">
        <f>HYPERLINK("https://patentcenter.uspto.gov/applications/11042745","Patent Center")</f>
        <v>0.0</v>
      </c>
      <c r="H4174" s="2" t="n">
        <f>HYPERLINK("https://worldwide.espacenet.com/patent/search?q=US7641911","Espacenet")</f>
        <v>0.0</v>
      </c>
      <c r="I4174" s="2" t="n">
        <f>HYPERLINK("https://ppubs.uspto.gov/pubwebapp/external.html?q=7641911.pn.","USPTO")</f>
        <v>0.0</v>
      </c>
      <c r="J4174" s="2" t="n">
        <f>HYPERLINK("https://image-ppubs.uspto.gov/dirsearch-public/print/downloadPdf/7641911","USPTO PDF")</f>
        <v>0.0</v>
      </c>
      <c r="K4174" s="2" t="n">
        <f>HYPERLINK("https://sectors.patentforecast.com/pmd/US7641911","PMD")</f>
        <v>0.0</v>
      </c>
      <c r="L4174" s="2" t="n">
        <f>HYPERLINK("https://globaldossier.uspto.gov/result/patent/US/7641911/1","US7641911")</f>
        <v>0.0</v>
      </c>
      <c r="M4174" t="s">
        <v>23245</v>
      </c>
      <c r="N4174" t="s">
        <v>16845</v>
      </c>
      <c r="O4174" t="s">
        <v>16846</v>
      </c>
      <c r="P4174" t="s">
        <v>25491</v>
      </c>
      <c r="Q4174" s="3" t="n">
        <v>38377.0</v>
      </c>
      <c r="R4174" s="3" t="n">
        <v>40183.0</v>
      </c>
      <c r="S4174" s="3" t="n">
        <v>44179.58158761574</v>
      </c>
      <c r="T4174" s="3" t="n">
        <v>44678.4587296875</v>
      </c>
      <c r="U4174" t="s">
        <v>25492</v>
      </c>
      <c r="V4174" t="s">
        <v>23248</v>
      </c>
    </row>
    <row r="4175">
      <c r="A4175" t="s">
        <v>23557</v>
      </c>
      <c r="B4175" t="s">
        <v>25493</v>
      </c>
      <c r="C4175" t="s">
        <v>24</v>
      </c>
      <c r="D4175" t="s">
        <v>34</v>
      </c>
      <c r="E4175" t="s">
        <v>22567</v>
      </c>
      <c r="F4175" s="2" t="n">
        <f>HYPERLINK("https://patents.google.com/patent/US7627489","Google")</f>
        <v>0.0</v>
      </c>
      <c r="G4175" s="2" t="n">
        <f>HYPERLINK("https://patentcenter.uspto.gov/applications/12217719","Patent Center")</f>
        <v>0.0</v>
      </c>
      <c r="H4175" s="2" t="n">
        <f>HYPERLINK("https://worldwide.espacenet.com/patent/search?q=US7627489","Espacenet")</f>
        <v>0.0</v>
      </c>
      <c r="I4175" s="2" t="n">
        <f>HYPERLINK("https://ppubs.uspto.gov/pubwebapp/external.html?q=7627489.pn.","USPTO")</f>
        <v>0.0</v>
      </c>
      <c r="J4175" s="2" t="n">
        <f>HYPERLINK("https://image-ppubs.uspto.gov/dirsearch-public/print/downloadPdf/7627489","USPTO PDF")</f>
        <v>0.0</v>
      </c>
      <c r="K4175" s="2" t="n">
        <f>HYPERLINK("https://sectors.patentforecast.com/pmd/US7627489","PMD")</f>
        <v>0.0</v>
      </c>
      <c r="L4175" s="2" t="n">
        <f>HYPERLINK("https://globaldossier.uspto.gov/result/patent/US/7627489/1","US7627489")</f>
        <v>0.0</v>
      </c>
      <c r="M4175" t="s">
        <v>22568</v>
      </c>
      <c r="N4175" t="s">
        <v>22569</v>
      </c>
      <c r="O4175" t="s">
        <v>22570</v>
      </c>
      <c r="P4175" t="s">
        <v>25494</v>
      </c>
      <c r="Q4175" s="3" t="n">
        <v>39637.0</v>
      </c>
      <c r="R4175" s="3" t="n">
        <v>40148.0</v>
      </c>
      <c r="S4175" s="3" t="n">
        <v>43900.43738974537</v>
      </c>
      <c r="T4175" s="3" t="n">
        <v>44643.38561747685</v>
      </c>
      <c r="U4175" t="s">
        <v>25495</v>
      </c>
      <c r="V4175" t="s">
        <v>22573</v>
      </c>
    </row>
    <row r="4176">
      <c r="A4176" t="s">
        <v>23557</v>
      </c>
      <c r="B4176" t="s">
        <v>25496</v>
      </c>
      <c r="C4176" t="s">
        <v>24</v>
      </c>
      <c r="D4176" t="s">
        <v>25</v>
      </c>
      <c r="E4176" t="s">
        <v>23338</v>
      </c>
      <c r="F4176" s="2" t="n">
        <f>HYPERLINK("https://patents.google.com/patent/US7623971","Google")</f>
        <v>0.0</v>
      </c>
      <c r="G4176" s="2" t="n">
        <f>HYPERLINK("https://patentcenter.uspto.gov/applications/10381271","Patent Center")</f>
        <v>0.0</v>
      </c>
      <c r="H4176" s="2" t="n">
        <f>HYPERLINK("https://worldwide.espacenet.com/patent/search?q=US7623971","Espacenet")</f>
        <v>0.0</v>
      </c>
      <c r="I4176" s="2" t="n">
        <f>HYPERLINK("https://ppubs.uspto.gov/pubwebapp/external.html?q=7623971.pn.","USPTO")</f>
        <v>0.0</v>
      </c>
      <c r="J4176" s="2" t="n">
        <f>HYPERLINK("https://image-ppubs.uspto.gov/dirsearch-public/print/downloadPdf/7623971","USPTO PDF")</f>
        <v>0.0</v>
      </c>
      <c r="K4176" s="2" t="n">
        <f>HYPERLINK("https://sectors.patentforecast.com/pmd/US7623971","PMD")</f>
        <v>0.0</v>
      </c>
      <c r="L4176" s="2" t="n">
        <f>HYPERLINK("https://globaldossier.uspto.gov/result/patent/US/7623971/1","US7623971")</f>
        <v>0.0</v>
      </c>
      <c r="M4176" t="s">
        <v>23339</v>
      </c>
      <c r="N4176" t="s">
        <v>23340</v>
      </c>
      <c r="O4176" t="s">
        <v>23341</v>
      </c>
      <c r="P4176" t="s">
        <v>25497</v>
      </c>
      <c r="Q4176" s="3" t="n">
        <v>37159.0</v>
      </c>
      <c r="R4176" s="3" t="n">
        <v>40141.0</v>
      </c>
      <c r="S4176" s="3" t="n">
        <v>43266.45736099537</v>
      </c>
      <c r="T4176" s="3" t="n">
        <v>44643.46340574074</v>
      </c>
      <c r="U4176" t="s">
        <v>25498</v>
      </c>
      <c r="V4176" t="s">
        <v>23344</v>
      </c>
    </row>
    <row r="4177">
      <c r="A4177" t="s">
        <v>23557</v>
      </c>
      <c r="B4177" t="s">
        <v>25499</v>
      </c>
      <c r="C4177" t="s">
        <v>132</v>
      </c>
      <c r="D4177" t="s">
        <v>1265</v>
      </c>
      <c r="E4177" t="s">
        <v>25500</v>
      </c>
      <c r="F4177" s="2" t="n">
        <f>HYPERLINK("https://patents.google.com/patent/US7601490","Google")</f>
        <v>0.0</v>
      </c>
      <c r="G4177" s="2" t="n">
        <f>HYPERLINK("https://patentcenter.uspto.gov/applications/11566214","Patent Center")</f>
        <v>0.0</v>
      </c>
      <c r="H4177" s="2" t="n">
        <f>HYPERLINK("https://worldwide.espacenet.com/patent/search?q=US7601490","Espacenet")</f>
        <v>0.0</v>
      </c>
      <c r="I4177" s="2" t="n">
        <f>HYPERLINK("https://ppubs.uspto.gov/pubwebapp/external.html?q=7601490.pn.","USPTO")</f>
        <v>0.0</v>
      </c>
      <c r="J4177" s="2" t="n">
        <f>HYPERLINK("https://image-ppubs.uspto.gov/dirsearch-public/print/downloadPdf/7601490","USPTO PDF")</f>
        <v>0.0</v>
      </c>
      <c r="K4177" s="2" t="n">
        <f>HYPERLINK("https://sectors.patentforecast.com/pmd/US7601490","PMD")</f>
        <v>0.0</v>
      </c>
      <c r="L4177" s="2" t="n">
        <f>HYPERLINK("https://globaldossier.uspto.gov/result/patent/US/7601490/1","US7601490")</f>
        <v>0.0</v>
      </c>
      <c r="M4177" t="s">
        <v>25501</v>
      </c>
      <c r="N4177" t="s">
        <v>4193</v>
      </c>
      <c r="O4177" t="s">
        <v>4194</v>
      </c>
      <c r="P4177" t="s">
        <v>25502</v>
      </c>
      <c r="Q4177" s="3" t="n">
        <v>39053.0</v>
      </c>
      <c r="R4177" s="3" t="n">
        <v>40099.0</v>
      </c>
      <c r="S4177" s="3" t="n">
        <v>43973.46948655092</v>
      </c>
      <c r="T4177" s="3" t="n">
        <v>44545.57992175926</v>
      </c>
      <c r="U4177" t="s">
        <v>25503</v>
      </c>
      <c r="V4177" t="s">
        <v>25504</v>
      </c>
    </row>
    <row r="4178">
      <c r="A4178" t="s">
        <v>23557</v>
      </c>
      <c r="B4178" t="s">
        <v>25505</v>
      </c>
      <c r="C4178" t="s">
        <v>24</v>
      </c>
      <c r="D4178" t="s">
        <v>43</v>
      </c>
      <c r="E4178" t="s">
        <v>22997</v>
      </c>
      <c r="F4178" s="2" t="n">
        <f>HYPERLINK("https://patents.google.com/patent/US7598854","Google")</f>
        <v>0.0</v>
      </c>
      <c r="G4178" s="2" t="n">
        <f>HYPERLINK("https://patentcenter.uspto.gov/applications/11363103","Patent Center")</f>
        <v>0.0</v>
      </c>
      <c r="H4178" s="2" t="n">
        <f>HYPERLINK("https://worldwide.espacenet.com/patent/search?q=US7598854","Espacenet")</f>
        <v>0.0</v>
      </c>
      <c r="I4178" s="2" t="n">
        <f>HYPERLINK("https://ppubs.uspto.gov/pubwebapp/external.html?q=7598854.pn.","USPTO")</f>
        <v>0.0</v>
      </c>
      <c r="J4178" s="2" t="n">
        <f>HYPERLINK("https://image-ppubs.uspto.gov/dirsearch-public/print/downloadPdf/7598854","USPTO PDF")</f>
        <v>0.0</v>
      </c>
      <c r="K4178" s="2" t="n">
        <f>HYPERLINK("https://sectors.patentforecast.com/pmd/US7598854","PMD")</f>
        <v>0.0</v>
      </c>
      <c r="L4178" s="2" t="n">
        <f>HYPERLINK("https://globaldossier.uspto.gov/result/patent/US/7598854/1","US7598854")</f>
        <v>0.0</v>
      </c>
      <c r="M4178" t="s">
        <v>22998</v>
      </c>
      <c r="N4178" t="s">
        <v>22239</v>
      </c>
      <c r="O4178" t="s">
        <v>22240</v>
      </c>
      <c r="P4178" t="s">
        <v>25165</v>
      </c>
      <c r="Q4178" s="3" t="n">
        <v>38775.0</v>
      </c>
      <c r="R4178" s="3" t="n">
        <v>40092.0</v>
      </c>
      <c r="S4178" s="3" t="n">
        <v>43900.43738974537</v>
      </c>
      <c r="T4178" s="3" t="n">
        <v>43965.45033789352</v>
      </c>
      <c r="U4178" t="s">
        <v>25166</v>
      </c>
      <c r="V4178" t="s">
        <v>23000</v>
      </c>
    </row>
    <row r="4179">
      <c r="A4179" t="s">
        <v>23557</v>
      </c>
      <c r="B4179" t="s">
        <v>25506</v>
      </c>
      <c r="C4179" t="s">
        <v>60</v>
      </c>
      <c r="D4179" t="s">
        <v>61</v>
      </c>
      <c r="E4179" t="s">
        <v>25507</v>
      </c>
      <c r="F4179" s="2" t="n">
        <f>HYPERLINK("https://patents.google.com/patent/US7598345","Google")</f>
        <v>0.0</v>
      </c>
      <c r="G4179" s="2" t="n">
        <f>HYPERLINK("https://patentcenter.uspto.gov/applications/11635066","Patent Center")</f>
        <v>0.0</v>
      </c>
      <c r="H4179" s="2" t="n">
        <f>HYPERLINK("https://worldwide.espacenet.com/patent/search?q=US7598345","Espacenet")</f>
        <v>0.0</v>
      </c>
      <c r="I4179" s="2" t="n">
        <f>HYPERLINK("https://ppubs.uspto.gov/pubwebapp/external.html?q=7598345.pn.","USPTO")</f>
        <v>0.0</v>
      </c>
      <c r="J4179" s="2" t="n">
        <f>HYPERLINK("https://image-ppubs.uspto.gov/dirsearch-public/print/downloadPdf/7598345","USPTO PDF")</f>
        <v>0.0</v>
      </c>
      <c r="K4179" s="2" t="n">
        <f>HYPERLINK("https://sectors.patentforecast.com/pmd/US7598345","PMD")</f>
        <v>0.0</v>
      </c>
      <c r="L4179" s="2" t="n">
        <f>HYPERLINK("https://globaldossier.uspto.gov/result/patent/US/7598345/1","US7598345")</f>
        <v>0.0</v>
      </c>
      <c r="M4179" t="s">
        <v>25508</v>
      </c>
      <c r="N4179" t="s">
        <v>13522</v>
      </c>
      <c r="O4179" t="s">
        <v>13523</v>
      </c>
      <c r="P4179" t="s">
        <v>25509</v>
      </c>
      <c r="Q4179" s="3" t="n">
        <v>39058.0</v>
      </c>
      <c r="R4179" s="3" t="n">
        <v>40092.0</v>
      </c>
      <c r="S4179" s="3" t="n">
        <v>43973.46948655092</v>
      </c>
      <c r="T4179" s="3" t="n">
        <v>44545.6125103588</v>
      </c>
      <c r="U4179" t="s">
        <v>25510</v>
      </c>
      <c r="V4179" t="s">
        <v>25511</v>
      </c>
    </row>
    <row r="4180">
      <c r="A4180" t="s">
        <v>23557</v>
      </c>
      <c r="B4180" t="s">
        <v>25512</v>
      </c>
      <c r="C4180" t="s">
        <v>60</v>
      </c>
      <c r="D4180" t="s">
        <v>61</v>
      </c>
      <c r="E4180" t="s">
        <v>25513</v>
      </c>
      <c r="F4180" s="2" t="n">
        <f>HYPERLINK("https://patents.google.com/patent/US7595151","Google")</f>
        <v>0.0</v>
      </c>
      <c r="G4180" s="2" t="n">
        <f>HYPERLINK("https://patentcenter.uspto.gov/applications/11481411","Patent Center")</f>
        <v>0.0</v>
      </c>
      <c r="H4180" s="2" t="n">
        <f>HYPERLINK("https://worldwide.espacenet.com/patent/search?q=US7595151","Espacenet")</f>
        <v>0.0</v>
      </c>
      <c r="I4180" s="2" t="n">
        <f>HYPERLINK("https://ppubs.uspto.gov/pubwebapp/external.html?q=7595151.pn.","USPTO")</f>
        <v>0.0</v>
      </c>
      <c r="J4180" s="2" t="n">
        <f>HYPERLINK("https://image-ppubs.uspto.gov/dirsearch-public/print/downloadPdf/7595151","USPTO PDF")</f>
        <v>0.0</v>
      </c>
      <c r="K4180" s="2" t="n">
        <f>HYPERLINK("https://sectors.patentforecast.com/pmd/US7595151","PMD")</f>
        <v>0.0</v>
      </c>
      <c r="L4180" s="2" t="n">
        <f>HYPERLINK("https://globaldossier.uspto.gov/result/patent/US/7595151/1","US7595151")</f>
        <v>0.0</v>
      </c>
      <c r="M4180" t="s">
        <v>25514</v>
      </c>
      <c r="N4180" t="s">
        <v>25515</v>
      </c>
      <c r="O4180" t="s">
        <v>25516</v>
      </c>
      <c r="P4180" t="s">
        <v>25517</v>
      </c>
      <c r="Q4180" s="3" t="n">
        <v>38901.0</v>
      </c>
      <c r="R4180" s="3" t="n">
        <v>40085.0</v>
      </c>
      <c r="S4180" s="3" t="n">
        <v>43973.46948655092</v>
      </c>
      <c r="T4180" s="3" t="n">
        <v>44545.66576384259</v>
      </c>
      <c r="U4180" t="s">
        <v>25518</v>
      </c>
      <c r="V4180" t="s">
        <v>25519</v>
      </c>
    </row>
    <row r="4181">
      <c r="A4181" t="s">
        <v>23557</v>
      </c>
      <c r="B4181" t="s">
        <v>25520</v>
      </c>
      <c r="C4181" t="s">
        <v>60</v>
      </c>
      <c r="D4181" t="s">
        <v>61</v>
      </c>
      <c r="E4181" t="s">
        <v>23258</v>
      </c>
      <c r="F4181" s="2" t="n">
        <f>HYPERLINK("https://patents.google.com/patent/US7579332","Google")</f>
        <v>0.0</v>
      </c>
      <c r="G4181" s="2" t="n">
        <f>HYPERLINK("https://patentcenter.uspto.gov/applications/10903288","Patent Center")</f>
        <v>0.0</v>
      </c>
      <c r="H4181" s="2" t="n">
        <f>HYPERLINK("https://worldwide.espacenet.com/patent/search?q=US7579332","Espacenet")</f>
        <v>0.0</v>
      </c>
      <c r="I4181" s="2" t="n">
        <f>HYPERLINK("https://ppubs.uspto.gov/pubwebapp/external.html?q=7579332.pn.","USPTO")</f>
        <v>0.0</v>
      </c>
      <c r="J4181" s="2" t="n">
        <f>HYPERLINK("https://image-ppubs.uspto.gov/dirsearch-public/print/downloadPdf/7579332","USPTO PDF")</f>
        <v>0.0</v>
      </c>
      <c r="K4181" s="2" t="n">
        <f>HYPERLINK("https://sectors.patentforecast.com/pmd/US7579332","PMD")</f>
        <v>0.0</v>
      </c>
      <c r="L4181" s="2" t="n">
        <f>HYPERLINK("https://globaldossier.uspto.gov/result/patent/US/7579332/1","US7579332")</f>
        <v>0.0</v>
      </c>
      <c r="M4181" t="s">
        <v>23259</v>
      </c>
      <c r="N4181" t="s">
        <v>664</v>
      </c>
      <c r="O4181" t="s">
        <v>665</v>
      </c>
      <c r="P4181" t="s">
        <v>25521</v>
      </c>
      <c r="Q4181" s="3" t="n">
        <v>38198.0</v>
      </c>
      <c r="R4181" s="3" t="n">
        <v>40050.0</v>
      </c>
      <c r="S4181" s="3" t="n">
        <v>43952.4599103588</v>
      </c>
      <c r="T4181" s="3" t="n">
        <v>44638.65271974537</v>
      </c>
      <c r="U4181" t="s">
        <v>25522</v>
      </c>
      <c r="V4181" t="s">
        <v>25523</v>
      </c>
    </row>
    <row r="4182">
      <c r="A4182" t="s">
        <v>23557</v>
      </c>
      <c r="B4182" t="s">
        <v>25524</v>
      </c>
      <c r="C4182" t="s">
        <v>60</v>
      </c>
      <c r="D4182" t="s">
        <v>61</v>
      </c>
      <c r="E4182" t="s">
        <v>25525</v>
      </c>
      <c r="F4182" s="2" t="n">
        <f>HYPERLINK("https://patents.google.com/patent/US7572800","Google")</f>
        <v>0.0</v>
      </c>
      <c r="G4182" s="2" t="n">
        <f>HYPERLINK("https://patentcenter.uspto.gov/applications/10374363","Patent Center")</f>
        <v>0.0</v>
      </c>
      <c r="H4182" s="2" t="n">
        <f>HYPERLINK("https://worldwide.espacenet.com/patent/search?q=US7572800","Espacenet")</f>
        <v>0.0</v>
      </c>
      <c r="I4182" s="2" t="n">
        <f>HYPERLINK("https://ppubs.uspto.gov/pubwebapp/external.html?q=7572800.pn.","USPTO")</f>
        <v>0.0</v>
      </c>
      <c r="J4182" s="2" t="n">
        <f>HYPERLINK("https://image-ppubs.uspto.gov/dirsearch-public/print/downloadPdf/7572800","USPTO PDF")</f>
        <v>0.0</v>
      </c>
      <c r="K4182" s="2" t="n">
        <f>HYPERLINK("https://sectors.patentforecast.com/pmd/US7572800","PMD")</f>
        <v>0.0</v>
      </c>
      <c r="L4182" s="2" t="n">
        <f>HYPERLINK("https://globaldossier.uspto.gov/result/patent/US/7572800/1","US7572800")</f>
        <v>0.0</v>
      </c>
      <c r="M4182" t="s">
        <v>25526</v>
      </c>
      <c r="N4182" t="s">
        <v>664</v>
      </c>
      <c r="O4182" t="s">
        <v>665</v>
      </c>
      <c r="P4182" t="s">
        <v>25527</v>
      </c>
      <c r="Q4182" s="3" t="n">
        <v>37677.0</v>
      </c>
      <c r="R4182" s="3" t="n">
        <v>40036.0</v>
      </c>
      <c r="S4182" s="3" t="n">
        <v>43952.4599103588</v>
      </c>
      <c r="T4182" s="3" t="n">
        <v>44638.65643378472</v>
      </c>
      <c r="U4182" t="s">
        <v>25528</v>
      </c>
      <c r="V4182" t="s">
        <v>22383</v>
      </c>
    </row>
    <row r="4183">
      <c r="A4183" t="s">
        <v>23557</v>
      </c>
      <c r="B4183" t="s">
        <v>25529</v>
      </c>
      <c r="C4183" t="s">
        <v>60</v>
      </c>
      <c r="D4183" t="s">
        <v>77</v>
      </c>
      <c r="E4183" t="s">
        <v>25530</v>
      </c>
      <c r="F4183" s="2" t="n">
        <f>HYPERLINK("https://patents.google.com/patent/US7572449","Google")</f>
        <v>0.0</v>
      </c>
      <c r="G4183" s="2" t="n">
        <f>HYPERLINK("https://patentcenter.uspto.gov/applications/10525057","Patent Center")</f>
        <v>0.0</v>
      </c>
      <c r="H4183" s="2" t="n">
        <f>HYPERLINK("https://worldwide.espacenet.com/patent/search?q=US7572449","Espacenet")</f>
        <v>0.0</v>
      </c>
      <c r="I4183" s="2" t="n">
        <f>HYPERLINK("https://ppubs.uspto.gov/pubwebapp/external.html?q=7572449.pn.","USPTO")</f>
        <v>0.0</v>
      </c>
      <c r="J4183" s="2" t="n">
        <f>HYPERLINK("https://image-ppubs.uspto.gov/dirsearch-public/print/downloadPdf/7572449","USPTO PDF")</f>
        <v>0.0</v>
      </c>
      <c r="K4183" s="2" t="n">
        <f>HYPERLINK("https://sectors.patentforecast.com/pmd/US7572449","PMD")</f>
        <v>0.0</v>
      </c>
      <c r="L4183" s="2" t="n">
        <f>HYPERLINK("https://globaldossier.uspto.gov/result/patent/US/7572449/1","US7572449")</f>
        <v>0.0</v>
      </c>
      <c r="M4183" t="s">
        <v>25531</v>
      </c>
      <c r="N4183" t="s">
        <v>25532</v>
      </c>
      <c r="O4183" t="s">
        <v>25533</v>
      </c>
      <c r="P4183" t="s">
        <v>25534</v>
      </c>
      <c r="Q4183" s="3" t="n">
        <v>37862.0</v>
      </c>
      <c r="R4183" s="3" t="n">
        <v>40036.0</v>
      </c>
      <c r="S4183" s="3" t="n">
        <v>43973.46948655092</v>
      </c>
      <c r="T4183" s="3" t="n">
        <v>44546.39104672454</v>
      </c>
      <c r="U4183" t="s">
        <v>25535</v>
      </c>
      <c r="V4183" t="s">
        <v>25536</v>
      </c>
    </row>
    <row r="4184">
      <c r="A4184" t="s">
        <v>23557</v>
      </c>
      <c r="B4184" t="s">
        <v>25537</v>
      </c>
      <c r="C4184" t="s">
        <v>60</v>
      </c>
      <c r="D4184" t="s">
        <v>77</v>
      </c>
      <c r="E4184" t="s">
        <v>25538</v>
      </c>
      <c r="F4184" s="2" t="n">
        <f>HYPERLINK("https://patents.google.com/patent/US7550150","Google")</f>
        <v>0.0</v>
      </c>
      <c r="G4184" s="2" t="n">
        <f>HYPERLINK("https://patentcenter.uspto.gov/applications/11376656","Patent Center")</f>
        <v>0.0</v>
      </c>
      <c r="H4184" s="2" t="n">
        <f>HYPERLINK("https://worldwide.espacenet.com/patent/search?q=US7550150","Espacenet")</f>
        <v>0.0</v>
      </c>
      <c r="I4184" s="2" t="n">
        <f>HYPERLINK("https://ppubs.uspto.gov/pubwebapp/external.html?q=7550150.pn.","USPTO")</f>
        <v>0.0</v>
      </c>
      <c r="J4184" s="2" t="n">
        <f>HYPERLINK("https://image-ppubs.uspto.gov/dirsearch-public/print/downloadPdf/7550150","USPTO PDF")</f>
        <v>0.0</v>
      </c>
      <c r="K4184" s="2" t="n">
        <f>HYPERLINK("https://sectors.patentforecast.com/pmd/US7550150","PMD")</f>
        <v>0.0</v>
      </c>
      <c r="L4184" s="2" t="n">
        <f>HYPERLINK("https://globaldossier.uspto.gov/result/patent/US/7550150/1","US7550150")</f>
        <v>0.0</v>
      </c>
      <c r="M4184" t="s">
        <v>25539</v>
      </c>
      <c r="N4184" t="s">
        <v>25540</v>
      </c>
      <c r="O4184" t="s">
        <v>25540</v>
      </c>
      <c r="P4184" t="s">
        <v>25541</v>
      </c>
      <c r="Q4184" s="3" t="n">
        <v>38790.0</v>
      </c>
      <c r="R4184" s="3" t="n">
        <v>39987.0</v>
      </c>
      <c r="S4184" s="3" t="n">
        <v>43973.46948655092</v>
      </c>
      <c r="T4184" s="3" t="n">
        <v>44545.66847509259</v>
      </c>
      <c r="U4184" t="s">
        <v>25542</v>
      </c>
      <c r="V4184" t="s">
        <v>25543</v>
      </c>
    </row>
    <row r="4185">
      <c r="A4185" t="s">
        <v>23557</v>
      </c>
      <c r="B4185" t="s">
        <v>25544</v>
      </c>
      <c r="C4185" t="s">
        <v>24</v>
      </c>
      <c r="D4185" t="s">
        <v>25</v>
      </c>
      <c r="E4185" t="s">
        <v>25545</v>
      </c>
      <c r="F4185" s="2" t="n">
        <f>HYPERLINK("https://patents.google.com/patent/US7542959","Google")</f>
        <v>0.0</v>
      </c>
      <c r="G4185" s="2" t="n">
        <f>HYPERLINK("https://patentcenter.uspto.gov/applications/11842934","Patent Center")</f>
        <v>0.0</v>
      </c>
      <c r="H4185" s="2" t="n">
        <f>HYPERLINK("https://worldwide.espacenet.com/patent/search?q=US7542959","Espacenet")</f>
        <v>0.0</v>
      </c>
      <c r="I4185" s="2" t="n">
        <f>HYPERLINK("https://ppubs.uspto.gov/pubwebapp/external.html?q=7542959.pn.","USPTO")</f>
        <v>0.0</v>
      </c>
      <c r="J4185" s="2" t="n">
        <f>HYPERLINK("https://image-ppubs.uspto.gov/dirsearch-public/print/downloadPdf/7542959","USPTO PDF")</f>
        <v>0.0</v>
      </c>
      <c r="K4185" s="2" t="n">
        <f>HYPERLINK("https://sectors.patentforecast.com/pmd/US7542959","PMD")</f>
        <v>0.0</v>
      </c>
      <c r="L4185" s="2" t="n">
        <f>HYPERLINK("https://globaldossier.uspto.gov/result/patent/US/7542959/1","US7542959")</f>
        <v>0.0</v>
      </c>
      <c r="M4185" t="s">
        <v>25546</v>
      </c>
      <c r="N4185" t="s">
        <v>25547</v>
      </c>
      <c r="O4185" t="s">
        <v>25548</v>
      </c>
      <c r="P4185" t="s">
        <v>25549</v>
      </c>
      <c r="Q4185" s="3" t="n">
        <v>39315.0</v>
      </c>
      <c r="R4185" s="3" t="n">
        <v>39966.0</v>
      </c>
      <c r="S4185" s="3" t="n">
        <v>43922.45929821759</v>
      </c>
      <c r="T4185" s="3" t="n">
        <v>43984.66754328704</v>
      </c>
      <c r="U4185" t="s">
        <v>25550</v>
      </c>
      <c r="V4185" t="s">
        <v>25551</v>
      </c>
    </row>
    <row r="4186">
      <c r="A4186" t="s">
        <v>23557</v>
      </c>
      <c r="B4186" t="s">
        <v>25552</v>
      </c>
      <c r="C4186" t="s">
        <v>24</v>
      </c>
      <c r="D4186" t="s">
        <v>69</v>
      </c>
      <c r="E4186" t="s">
        <v>25553</v>
      </c>
      <c r="F4186" s="2" t="n">
        <f>HYPERLINK("https://patents.google.com/patent/US7531164","Google")</f>
        <v>0.0</v>
      </c>
      <c r="G4186" s="2" t="n">
        <f>HYPERLINK("https://patentcenter.uspto.gov/applications/11544559","Patent Center")</f>
        <v>0.0</v>
      </c>
      <c r="H4186" s="2" t="n">
        <f>HYPERLINK("https://worldwide.espacenet.com/patent/search?q=US7531164","Espacenet")</f>
        <v>0.0</v>
      </c>
      <c r="I4186" s="2" t="n">
        <f>HYPERLINK("https://ppubs.uspto.gov/pubwebapp/external.html?q=7531164.pn.","USPTO")</f>
        <v>0.0</v>
      </c>
      <c r="J4186" s="2" t="n">
        <f>HYPERLINK("https://image-ppubs.uspto.gov/dirsearch-public/print/downloadPdf/7531164","USPTO PDF")</f>
        <v>0.0</v>
      </c>
      <c r="K4186" s="2" t="n">
        <f>HYPERLINK("https://sectors.patentforecast.com/pmd/US7531164","PMD")</f>
        <v>0.0</v>
      </c>
      <c r="L4186" s="2" t="n">
        <f>HYPERLINK("https://globaldossier.uspto.gov/result/patent/US/7531164/1","US7531164")</f>
        <v>0.0</v>
      </c>
      <c r="M4186" t="s">
        <v>25554</v>
      </c>
      <c r="N4186" t="s">
        <v>3270</v>
      </c>
      <c r="O4186" t="s">
        <v>3271</v>
      </c>
      <c r="P4186" t="s">
        <v>25555</v>
      </c>
      <c r="Q4186" s="3" t="n">
        <v>39000.0</v>
      </c>
      <c r="R4186" s="3" t="n">
        <v>39945.0</v>
      </c>
      <c r="S4186" s="3" t="n">
        <v>43973.46948655092</v>
      </c>
      <c r="T4186" s="3" t="n">
        <v>44545.68734553241</v>
      </c>
      <c r="U4186" t="s">
        <v>25556</v>
      </c>
      <c r="V4186" t="s">
        <v>25557</v>
      </c>
    </row>
    <row r="4187">
      <c r="A4187" t="s">
        <v>23557</v>
      </c>
      <c r="B4187" t="s">
        <v>25558</v>
      </c>
      <c r="C4187" t="s">
        <v>24</v>
      </c>
      <c r="D4187" t="s">
        <v>373</v>
      </c>
      <c r="E4187" t="s">
        <v>25559</v>
      </c>
      <c r="F4187" s="2" t="n">
        <f>HYPERLINK("https://patents.google.com/patent/US7527932","Google")</f>
        <v>0.0</v>
      </c>
      <c r="G4187" s="2" t="n">
        <f>HYPERLINK("https://patentcenter.uspto.gov/applications/10495081","Patent Center")</f>
        <v>0.0</v>
      </c>
      <c r="H4187" s="2" t="n">
        <f>HYPERLINK("https://worldwide.espacenet.com/patent/search?q=US7527932","Espacenet")</f>
        <v>0.0</v>
      </c>
      <c r="I4187" s="2" t="n">
        <f>HYPERLINK("https://ppubs.uspto.gov/pubwebapp/external.html?q=7527932.pn.","USPTO")</f>
        <v>0.0</v>
      </c>
      <c r="J4187" s="2" t="n">
        <f>HYPERLINK("https://image-ppubs.uspto.gov/dirsearch-public/print/downloadPdf/7527932","USPTO PDF")</f>
        <v>0.0</v>
      </c>
      <c r="K4187" s="2" t="n">
        <f>HYPERLINK("https://sectors.patentforecast.com/pmd/US7527932","PMD")</f>
        <v>0.0</v>
      </c>
      <c r="L4187" s="2" t="n">
        <f>HYPERLINK("https://globaldossier.uspto.gov/result/patent/US/7527932/1","US7527932")</f>
        <v>0.0</v>
      </c>
      <c r="M4187" t="s">
        <v>25560</v>
      </c>
      <c r="N4187" t="s">
        <v>25561</v>
      </c>
      <c r="O4187" t="s">
        <v>25562</v>
      </c>
      <c r="P4187" t="s">
        <v>25563</v>
      </c>
      <c r="Q4187" s="3" t="n">
        <v>37572.0</v>
      </c>
      <c r="R4187" s="3" t="n">
        <v>39938.0</v>
      </c>
      <c r="S4187" s="3" t="n">
        <v>43922.459409641204</v>
      </c>
      <c r="T4187" s="3" t="n">
        <v>43984.64828987268</v>
      </c>
      <c r="U4187" t="s">
        <v>25564</v>
      </c>
      <c r="V4187" t="s">
        <v>25565</v>
      </c>
    </row>
    <row r="4188">
      <c r="A4188" t="s">
        <v>23557</v>
      </c>
      <c r="B4188" t="s">
        <v>25566</v>
      </c>
      <c r="C4188" t="s">
        <v>132</v>
      </c>
      <c r="D4188" t="s">
        <v>18217</v>
      </c>
      <c r="E4188" t="s">
        <v>25567</v>
      </c>
      <c r="F4188" s="2" t="n">
        <f>HYPERLINK("https://patents.google.com/patent/US7527801","Google")</f>
        <v>0.0</v>
      </c>
      <c r="G4188" s="2" t="n">
        <f>HYPERLINK("https://patentcenter.uspto.gov/applications/11603913","Patent Center")</f>
        <v>0.0</v>
      </c>
      <c r="H4188" s="2" t="n">
        <f>HYPERLINK("https://worldwide.espacenet.com/patent/search?q=US7527801","Espacenet")</f>
        <v>0.0</v>
      </c>
      <c r="I4188" s="2" t="n">
        <f>HYPERLINK("https://ppubs.uspto.gov/pubwebapp/external.html?q=7527801.pn.","USPTO")</f>
        <v>0.0</v>
      </c>
      <c r="J4188" s="2" t="n">
        <f>HYPERLINK("https://image-ppubs.uspto.gov/dirsearch-public/print/downloadPdf/7527801","USPTO PDF")</f>
        <v>0.0</v>
      </c>
      <c r="K4188" s="2" t="n">
        <f>HYPERLINK("https://sectors.patentforecast.com/pmd/US7527801","PMD")</f>
        <v>0.0</v>
      </c>
      <c r="L4188" s="2" t="n">
        <f>HYPERLINK("https://globaldossier.uspto.gov/result/patent/US/7527801/1","US7527801")</f>
        <v>0.0</v>
      </c>
      <c r="M4188" t="s">
        <v>25568</v>
      </c>
      <c r="N4188" t="s">
        <v>16845</v>
      </c>
      <c r="O4188" t="s">
        <v>16846</v>
      </c>
      <c r="P4188" t="s">
        <v>25569</v>
      </c>
      <c r="Q4188" s="3" t="n">
        <v>39043.0</v>
      </c>
      <c r="R4188" s="3" t="n">
        <v>39938.0</v>
      </c>
      <c r="S4188" s="3" t="n">
        <v>43973.46948655092</v>
      </c>
      <c r="T4188" s="3" t="n">
        <v>44545.684378356484</v>
      </c>
      <c r="U4188" t="s">
        <v>25570</v>
      </c>
      <c r="V4188" t="s">
        <v>25571</v>
      </c>
    </row>
    <row r="4189">
      <c r="A4189" t="s">
        <v>23557</v>
      </c>
      <c r="B4189" t="s">
        <v>25572</v>
      </c>
      <c r="C4189" t="s">
        <v>132</v>
      </c>
      <c r="D4189" t="s">
        <v>1265</v>
      </c>
      <c r="E4189" t="s">
        <v>23170</v>
      </c>
      <c r="F4189" s="2" t="n">
        <f>HYPERLINK("https://patents.google.com/patent/US7527800","Google")</f>
        <v>0.0</v>
      </c>
      <c r="G4189" s="2" t="n">
        <f>HYPERLINK("https://patentcenter.uspto.gov/applications/11133360","Patent Center")</f>
        <v>0.0</v>
      </c>
      <c r="H4189" s="2" t="n">
        <f>HYPERLINK("https://worldwide.espacenet.com/patent/search?q=US7527800","Espacenet")</f>
        <v>0.0</v>
      </c>
      <c r="I4189" s="2" t="n">
        <f>HYPERLINK("https://ppubs.uspto.gov/pubwebapp/external.html?q=7527800.pn.","USPTO")</f>
        <v>0.0</v>
      </c>
      <c r="J4189" s="2" t="n">
        <f>HYPERLINK("https://image-ppubs.uspto.gov/dirsearch-public/print/downloadPdf/7527800","USPTO PDF")</f>
        <v>0.0</v>
      </c>
      <c r="K4189" s="2" t="n">
        <f>HYPERLINK("https://sectors.patentforecast.com/pmd/US7527800","PMD")</f>
        <v>0.0</v>
      </c>
      <c r="L4189" s="2" t="n">
        <f>HYPERLINK("https://globaldossier.uspto.gov/result/patent/US/7527800/1","US7527800")</f>
        <v>0.0</v>
      </c>
      <c r="M4189" t="s">
        <v>23174</v>
      </c>
      <c r="N4189" t="s">
        <v>21123</v>
      </c>
      <c r="O4189" t="s">
        <v>21124</v>
      </c>
      <c r="P4189" t="s">
        <v>24677</v>
      </c>
      <c r="Q4189" s="3" t="n">
        <v>38492.0</v>
      </c>
      <c r="R4189" s="3" t="n">
        <v>39938.0</v>
      </c>
      <c r="S4189" s="3" t="n">
        <v>43900.43738974537</v>
      </c>
      <c r="T4189" s="3" t="n">
        <v>43901.705570555554</v>
      </c>
      <c r="U4189" t="s">
        <v>25573</v>
      </c>
      <c r="V4189" t="s">
        <v>21127</v>
      </c>
    </row>
    <row r="4190">
      <c r="A4190" t="s">
        <v>23557</v>
      </c>
      <c r="B4190" t="s">
        <v>25574</v>
      </c>
      <c r="C4190" t="s">
        <v>312</v>
      </c>
      <c r="D4190" t="s">
        <v>313</v>
      </c>
      <c r="E4190" t="s">
        <v>23322</v>
      </c>
      <c r="F4190" s="2" t="n">
        <f>HYPERLINK("https://patents.google.com/patent/US7523042","Google")</f>
        <v>0.0</v>
      </c>
      <c r="G4190" s="2" t="n">
        <f>HYPERLINK("https://patentcenter.uspto.gov/applications/10346937","Patent Center")</f>
        <v>0.0</v>
      </c>
      <c r="H4190" s="2" t="n">
        <f>HYPERLINK("https://worldwide.espacenet.com/patent/search?q=US7523042","Espacenet")</f>
        <v>0.0</v>
      </c>
      <c r="I4190" s="2" t="n">
        <f>HYPERLINK("https://ppubs.uspto.gov/pubwebapp/external.html?q=7523042.pn.","USPTO")</f>
        <v>0.0</v>
      </c>
      <c r="J4190" s="2" t="n">
        <f>HYPERLINK("https://image-ppubs.uspto.gov/dirsearch-public/print/downloadPdf/7523042","USPTO PDF")</f>
        <v>0.0</v>
      </c>
      <c r="K4190" s="2" t="n">
        <f>HYPERLINK("https://sectors.patentforecast.com/pmd/US7523042","PMD")</f>
        <v>0.0</v>
      </c>
      <c r="L4190" s="2" t="n">
        <f>HYPERLINK("https://globaldossier.uspto.gov/result/patent/US/7523042/1","US7523042")</f>
        <v>0.0</v>
      </c>
      <c r="M4190" t="s">
        <v>23323</v>
      </c>
      <c r="N4190" t="s">
        <v>22417</v>
      </c>
      <c r="O4190" t="s">
        <v>22418</v>
      </c>
      <c r="P4190" t="s">
        <v>25575</v>
      </c>
      <c r="Q4190" s="3" t="n">
        <v>37638.0</v>
      </c>
      <c r="R4190" s="3" t="n">
        <v>39924.0</v>
      </c>
      <c r="S4190" s="3" t="n">
        <v>43266.45736099537</v>
      </c>
      <c r="T4190" s="3" t="n">
        <v>43266.63762232639</v>
      </c>
      <c r="U4190" t="s">
        <v>25576</v>
      </c>
      <c r="V4190" t="s">
        <v>22421</v>
      </c>
    </row>
    <row r="4191">
      <c r="A4191" t="s">
        <v>23557</v>
      </c>
      <c r="B4191" t="s">
        <v>25577</v>
      </c>
      <c r="C4191" t="s">
        <v>132</v>
      </c>
      <c r="D4191" t="s">
        <v>1265</v>
      </c>
      <c r="E4191" t="s">
        <v>23170</v>
      </c>
      <c r="F4191" s="2" t="n">
        <f>HYPERLINK("https://patents.google.com/patent/US7504109","Google")</f>
        <v>0.0</v>
      </c>
      <c r="G4191" s="2" t="n">
        <f>HYPERLINK("https://patentcenter.uspto.gov/applications/11133346","Patent Center")</f>
        <v>0.0</v>
      </c>
      <c r="H4191" s="2" t="n">
        <f>HYPERLINK("https://worldwide.espacenet.com/patent/search?q=US7504109","Espacenet")</f>
        <v>0.0</v>
      </c>
      <c r="I4191" s="2" t="n">
        <f>HYPERLINK("https://ppubs.uspto.gov/pubwebapp/external.html?q=7504109.pn.","USPTO")</f>
        <v>0.0</v>
      </c>
      <c r="J4191" s="2" t="n">
        <f>HYPERLINK("https://image-ppubs.uspto.gov/dirsearch-public/print/downloadPdf/7504109","USPTO PDF")</f>
        <v>0.0</v>
      </c>
      <c r="K4191" s="2" t="n">
        <f>HYPERLINK("https://sectors.patentforecast.com/pmd/US7504109","PMD")</f>
        <v>0.0</v>
      </c>
      <c r="L4191" s="2" t="n">
        <f>HYPERLINK("https://globaldossier.uspto.gov/result/patent/US/7504109/1","US7504109")</f>
        <v>0.0</v>
      </c>
      <c r="M4191" t="s">
        <v>23171</v>
      </c>
      <c r="N4191" t="s">
        <v>21123</v>
      </c>
      <c r="O4191" t="s">
        <v>21124</v>
      </c>
      <c r="P4191" t="s">
        <v>24879</v>
      </c>
      <c r="Q4191" s="3" t="n">
        <v>38492.0</v>
      </c>
      <c r="R4191" s="3" t="n">
        <v>39889.0</v>
      </c>
      <c r="S4191" s="3" t="n">
        <v>43900.43738974537</v>
      </c>
      <c r="T4191" s="3" t="n">
        <v>43901.70557076389</v>
      </c>
      <c r="U4191" t="s">
        <v>25573</v>
      </c>
      <c r="V4191" t="s">
        <v>21127</v>
      </c>
    </row>
    <row r="4192">
      <c r="A4192" t="s">
        <v>23557</v>
      </c>
      <c r="B4192" t="s">
        <v>25578</v>
      </c>
      <c r="C4192" t="s">
        <v>132</v>
      </c>
      <c r="D4192" t="s">
        <v>18217</v>
      </c>
      <c r="E4192" t="s">
        <v>25579</v>
      </c>
      <c r="F4192" s="2" t="n">
        <f>HYPERLINK("https://patents.google.com/patent/US7481997","Google")</f>
        <v>0.0</v>
      </c>
      <c r="G4192" s="2" t="n">
        <f>HYPERLINK("https://patentcenter.uspto.gov/applications/11058030","Patent Center")</f>
        <v>0.0</v>
      </c>
      <c r="H4192" s="2" t="n">
        <f>HYPERLINK("https://worldwide.espacenet.com/patent/search?q=US7481997","Espacenet")</f>
        <v>0.0</v>
      </c>
      <c r="I4192" s="2" t="n">
        <f>HYPERLINK("https://ppubs.uspto.gov/pubwebapp/external.html?q=7481997.pn.","USPTO")</f>
        <v>0.0</v>
      </c>
      <c r="J4192" s="2" t="n">
        <f>HYPERLINK("https://image-ppubs.uspto.gov/dirsearch-public/print/downloadPdf/7481997","USPTO PDF")</f>
        <v>0.0</v>
      </c>
      <c r="K4192" s="2" t="n">
        <f>HYPERLINK("https://sectors.patentforecast.com/pmd/US7481997","PMD")</f>
        <v>0.0</v>
      </c>
      <c r="L4192" s="2" t="n">
        <f>HYPERLINK("https://globaldossier.uspto.gov/result/patent/US/7481997/1","US7481997")</f>
        <v>0.0</v>
      </c>
      <c r="M4192" t="s">
        <v>25580</v>
      </c>
      <c r="N4192" t="s">
        <v>24761</v>
      </c>
      <c r="O4192" t="s">
        <v>24762</v>
      </c>
      <c r="P4192" t="s">
        <v>25581</v>
      </c>
      <c r="Q4192" s="3" t="n">
        <v>38397.0</v>
      </c>
      <c r="R4192" s="3" t="n">
        <v>39840.0</v>
      </c>
      <c r="S4192" s="3" t="n">
        <v>43900.43738974537</v>
      </c>
      <c r="T4192" s="3" t="n">
        <v>43901.72156438657</v>
      </c>
      <c r="U4192" t="s">
        <v>25582</v>
      </c>
      <c r="V4192" t="s">
        <v>25583</v>
      </c>
    </row>
    <row r="4193">
      <c r="A4193" t="s">
        <v>23557</v>
      </c>
      <c r="B4193" t="s">
        <v>25584</v>
      </c>
      <c r="C4193" t="s">
        <v>60</v>
      </c>
      <c r="D4193" t="s">
        <v>61</v>
      </c>
      <c r="E4193" t="s">
        <v>25585</v>
      </c>
      <c r="F4193" s="2" t="n">
        <f>HYPERLINK("https://patents.google.com/patent/US7479498","Google")</f>
        <v>0.0</v>
      </c>
      <c r="G4193" s="2" t="n">
        <f>HYPERLINK("https://patentcenter.uspto.gov/applications/11353467","Patent Center")</f>
        <v>0.0</v>
      </c>
      <c r="H4193" s="2" t="n">
        <f>HYPERLINK("https://worldwide.espacenet.com/patent/search?q=US7479498","Espacenet")</f>
        <v>0.0</v>
      </c>
      <c r="I4193" s="2" t="n">
        <f>HYPERLINK("https://ppubs.uspto.gov/pubwebapp/external.html?q=7479498.pn.","USPTO")</f>
        <v>0.0</v>
      </c>
      <c r="J4193" s="2" t="n">
        <f>HYPERLINK("https://image-ppubs.uspto.gov/dirsearch-public/print/downloadPdf/7479498","USPTO PDF")</f>
        <v>0.0</v>
      </c>
      <c r="K4193" s="2" t="n">
        <f>HYPERLINK("https://sectors.patentforecast.com/pmd/US7479498","PMD")</f>
        <v>0.0</v>
      </c>
      <c r="L4193" s="2" t="n">
        <f>HYPERLINK("https://globaldossier.uspto.gov/result/patent/US/7479498/1","US7479498")</f>
        <v>0.0</v>
      </c>
      <c r="M4193" t="s">
        <v>25586</v>
      </c>
      <c r="N4193" t="s">
        <v>25587</v>
      </c>
      <c r="O4193" t="s">
        <v>25588</v>
      </c>
      <c r="P4193" t="s">
        <v>25589</v>
      </c>
      <c r="Q4193" s="3" t="n">
        <v>38762.0</v>
      </c>
      <c r="R4193" s="3" t="n">
        <v>39833.0</v>
      </c>
      <c r="S4193" s="3" t="n">
        <v>43973.46948655092</v>
      </c>
      <c r="T4193" s="3" t="n">
        <v>44546.39796310185</v>
      </c>
      <c r="U4193" t="s">
        <v>25590</v>
      </c>
      <c r="V4193" t="s">
        <v>25591</v>
      </c>
    </row>
    <row r="4194">
      <c r="A4194" t="s">
        <v>23557</v>
      </c>
      <c r="B4194" t="s">
        <v>25592</v>
      </c>
      <c r="C4194" t="s">
        <v>312</v>
      </c>
      <c r="D4194" t="s">
        <v>3202</v>
      </c>
      <c r="E4194" t="s">
        <v>22505</v>
      </c>
      <c r="F4194" s="2" t="n">
        <f>HYPERLINK("https://patents.google.com/patent/US7457731","Google")</f>
        <v>0.0</v>
      </c>
      <c r="G4194" s="2" t="n">
        <f>HYPERLINK("https://patentcenter.uspto.gov/applications/10319365","Patent Center")</f>
        <v>0.0</v>
      </c>
      <c r="H4194" s="2" t="n">
        <f>HYPERLINK("https://worldwide.espacenet.com/patent/search?q=US7457731","Espacenet")</f>
        <v>0.0</v>
      </c>
      <c r="I4194" s="2" t="n">
        <f>HYPERLINK("https://ppubs.uspto.gov/pubwebapp/external.html?q=7457731.pn.","USPTO")</f>
        <v>0.0</v>
      </c>
      <c r="J4194" s="2" t="n">
        <f>HYPERLINK("https://image-ppubs.uspto.gov/dirsearch-public/print/downloadPdf/7457731","USPTO PDF")</f>
        <v>0.0</v>
      </c>
      <c r="K4194" s="2" t="n">
        <f>HYPERLINK("https://sectors.patentforecast.com/pmd/US7457731","PMD")</f>
        <v>0.0</v>
      </c>
      <c r="L4194" s="2" t="n">
        <f>HYPERLINK("https://globaldossier.uspto.gov/result/patent/US/7457731/1","US7457731")</f>
        <v>0.0</v>
      </c>
      <c r="M4194" t="s">
        <v>23435</v>
      </c>
      <c r="N4194" t="s">
        <v>6786</v>
      </c>
      <c r="O4194" t="s">
        <v>6787</v>
      </c>
      <c r="P4194" t="s">
        <v>25174</v>
      </c>
      <c r="Q4194" s="3" t="n">
        <v>37603.0</v>
      </c>
      <c r="R4194" s="3" t="n">
        <v>39777.0</v>
      </c>
      <c r="S4194" s="3" t="n">
        <v>43266.4573615625</v>
      </c>
      <c r="T4194" s="3" t="n">
        <v>43266.620227569445</v>
      </c>
      <c r="U4194" t="s">
        <v>25175</v>
      </c>
      <c r="V4194" t="s">
        <v>22509</v>
      </c>
    </row>
    <row r="4195">
      <c r="A4195" t="s">
        <v>23557</v>
      </c>
      <c r="B4195" t="s">
        <v>25593</v>
      </c>
      <c r="C4195" t="s">
        <v>24</v>
      </c>
      <c r="D4195" t="s">
        <v>25</v>
      </c>
      <c r="E4195" t="s">
        <v>25594</v>
      </c>
      <c r="F4195" s="2" t="n">
        <f>HYPERLINK("https://patents.google.com/patent/US7447333","Google")</f>
        <v>0.0</v>
      </c>
      <c r="G4195" s="2" t="n">
        <f>HYPERLINK("https://patentcenter.uspto.gov/applications/11037914","Patent Center")</f>
        <v>0.0</v>
      </c>
      <c r="H4195" s="2" t="n">
        <f>HYPERLINK("https://worldwide.espacenet.com/patent/search?q=US7447333","Espacenet")</f>
        <v>0.0</v>
      </c>
      <c r="I4195" s="2" t="n">
        <f>HYPERLINK("https://ppubs.uspto.gov/pubwebapp/external.html?q=7447333.pn.","USPTO")</f>
        <v>0.0</v>
      </c>
      <c r="J4195" s="2" t="n">
        <f>HYPERLINK("https://image-ppubs.uspto.gov/dirsearch-public/print/downloadPdf/7447333","USPTO PDF")</f>
        <v>0.0</v>
      </c>
      <c r="K4195" s="2" t="n">
        <f>HYPERLINK("https://sectors.patentforecast.com/pmd/US7447333","PMD")</f>
        <v>0.0</v>
      </c>
      <c r="L4195" s="2" t="n">
        <f>HYPERLINK("https://globaldossier.uspto.gov/result/patent/US/7447333/1","US7447333")</f>
        <v>0.0</v>
      </c>
      <c r="M4195" t="s">
        <v>22618</v>
      </c>
      <c r="N4195" t="s">
        <v>7526</v>
      </c>
      <c r="O4195" t="s">
        <v>7527</v>
      </c>
      <c r="P4195" t="s">
        <v>25595</v>
      </c>
      <c r="Q4195" s="3" t="n">
        <v>38370.0</v>
      </c>
      <c r="R4195" s="3" t="n">
        <v>39756.0</v>
      </c>
      <c r="S4195" s="3" t="n">
        <v>43266.4573615625</v>
      </c>
      <c r="T4195" s="3" t="n">
        <v>43901.705570729166</v>
      </c>
      <c r="U4195" t="s">
        <v>25596</v>
      </c>
      <c r="V4195" t="s">
        <v>22621</v>
      </c>
    </row>
    <row r="4196">
      <c r="A4196" t="s">
        <v>23557</v>
      </c>
      <c r="B4196" t="s">
        <v>25597</v>
      </c>
      <c r="C4196" t="s">
        <v>60</v>
      </c>
      <c r="D4196" t="s">
        <v>61</v>
      </c>
      <c r="E4196" t="s">
        <v>25598</v>
      </c>
      <c r="F4196" s="2" t="n">
        <f>HYPERLINK("https://patents.google.com/patent/US7432273","Google")</f>
        <v>0.0</v>
      </c>
      <c r="G4196" s="2" t="n">
        <f>HYPERLINK("https://patentcenter.uspto.gov/applications/10833897","Patent Center")</f>
        <v>0.0</v>
      </c>
      <c r="H4196" s="2" t="n">
        <f>HYPERLINK("https://worldwide.espacenet.com/patent/search?q=US7432273","Espacenet")</f>
        <v>0.0</v>
      </c>
      <c r="I4196" s="2" t="n">
        <f>HYPERLINK("https://ppubs.uspto.gov/pubwebapp/external.html?q=7432273.pn.","USPTO")</f>
        <v>0.0</v>
      </c>
      <c r="J4196" s="2" t="n">
        <f>HYPERLINK("https://image-ppubs.uspto.gov/dirsearch-public/print/downloadPdf/7432273","USPTO PDF")</f>
        <v>0.0</v>
      </c>
      <c r="K4196" s="2" t="n">
        <f>HYPERLINK("https://sectors.patentforecast.com/pmd/US7432273","PMD")</f>
        <v>0.0</v>
      </c>
      <c r="L4196" s="2" t="n">
        <f>HYPERLINK("https://globaldossier.uspto.gov/result/patent/US/7432273/1","US7432273")</f>
        <v>0.0</v>
      </c>
      <c r="M4196" t="s">
        <v>25599</v>
      </c>
      <c r="N4196" t="s">
        <v>664</v>
      </c>
      <c r="O4196" t="s">
        <v>665</v>
      </c>
      <c r="P4196" t="s">
        <v>25600</v>
      </c>
      <c r="Q4196" s="3" t="n">
        <v>38103.0</v>
      </c>
      <c r="R4196" s="3" t="n">
        <v>39728.0</v>
      </c>
      <c r="S4196" s="3" t="n">
        <v>43952.4599103588</v>
      </c>
      <c r="T4196" s="3" t="n">
        <v>44638.657920405094</v>
      </c>
      <c r="U4196" t="s">
        <v>25601</v>
      </c>
      <c r="V4196" t="s">
        <v>25602</v>
      </c>
    </row>
    <row r="4197">
      <c r="A4197" t="s">
        <v>23557</v>
      </c>
      <c r="B4197" t="s">
        <v>25603</v>
      </c>
      <c r="C4197" t="s">
        <v>60</v>
      </c>
      <c r="D4197" t="s">
        <v>61</v>
      </c>
      <c r="E4197" t="s">
        <v>25604</v>
      </c>
      <c r="F4197" s="2" t="n">
        <f>HYPERLINK("https://patents.google.com/patent/US7432272","Google")</f>
        <v>0.0</v>
      </c>
      <c r="G4197" s="2" t="n">
        <f>HYPERLINK("https://patentcenter.uspto.gov/applications/11020641","Patent Center")</f>
        <v>0.0</v>
      </c>
      <c r="H4197" s="2" t="n">
        <f>HYPERLINK("https://worldwide.espacenet.com/patent/search?q=US7432272","Espacenet")</f>
        <v>0.0</v>
      </c>
      <c r="I4197" s="2" t="n">
        <f>HYPERLINK("https://ppubs.uspto.gov/pubwebapp/external.html?q=7432272.pn.","USPTO")</f>
        <v>0.0</v>
      </c>
      <c r="J4197" s="2" t="n">
        <f>HYPERLINK("https://image-ppubs.uspto.gov/dirsearch-public/print/downloadPdf/7432272","USPTO PDF")</f>
        <v>0.0</v>
      </c>
      <c r="K4197" s="2" t="n">
        <f>HYPERLINK("https://sectors.patentforecast.com/pmd/US7432272","PMD")</f>
        <v>0.0</v>
      </c>
      <c r="L4197" s="2" t="n">
        <f>HYPERLINK("https://globaldossier.uspto.gov/result/patent/US/7432272/1","US7432272")</f>
        <v>0.0</v>
      </c>
      <c r="M4197" t="s">
        <v>25605</v>
      </c>
      <c r="N4197" t="s">
        <v>664</v>
      </c>
      <c r="O4197" t="s">
        <v>665</v>
      </c>
      <c r="P4197" t="s">
        <v>25606</v>
      </c>
      <c r="Q4197" s="3" t="n">
        <v>38343.0</v>
      </c>
      <c r="R4197" s="3" t="n">
        <v>39728.0</v>
      </c>
      <c r="S4197" s="3" t="n">
        <v>43952.4599103588</v>
      </c>
      <c r="T4197" s="3" t="n">
        <v>44638.65271974537</v>
      </c>
      <c r="U4197" t="s">
        <v>25607</v>
      </c>
      <c r="V4197" t="s">
        <v>25608</v>
      </c>
    </row>
    <row r="4198">
      <c r="A4198" t="s">
        <v>23557</v>
      </c>
      <c r="B4198" t="s">
        <v>25609</v>
      </c>
      <c r="C4198" t="s">
        <v>60</v>
      </c>
      <c r="D4198" t="s">
        <v>61</v>
      </c>
      <c r="E4198" t="s">
        <v>24593</v>
      </c>
      <c r="F4198" s="2" t="n">
        <f>HYPERLINK("https://patents.google.com/patent/US7429565","Google")</f>
        <v>0.0</v>
      </c>
      <c r="G4198" s="2" t="n">
        <f>HYPERLINK("https://patentcenter.uspto.gov/applications/10832815","Patent Center")</f>
        <v>0.0</v>
      </c>
      <c r="H4198" s="2" t="n">
        <f>HYPERLINK("https://worldwide.espacenet.com/patent/search?q=US7429565","Espacenet")</f>
        <v>0.0</v>
      </c>
      <c r="I4198" s="2" t="n">
        <f>HYPERLINK("https://ppubs.uspto.gov/pubwebapp/external.html?q=7429565.pn.","USPTO")</f>
        <v>0.0</v>
      </c>
      <c r="J4198" s="2" t="n">
        <f>HYPERLINK("https://image-ppubs.uspto.gov/dirsearch-public/print/downloadPdf/7429565","USPTO PDF")</f>
        <v>0.0</v>
      </c>
      <c r="K4198" s="2" t="n">
        <f>HYPERLINK("https://sectors.patentforecast.com/pmd/US7429565","PMD")</f>
        <v>0.0</v>
      </c>
      <c r="L4198" s="2" t="n">
        <f>HYPERLINK("https://globaldossier.uspto.gov/result/patent/US/7429565/1","US7429565")</f>
        <v>0.0</v>
      </c>
      <c r="M4198" t="s">
        <v>25610</v>
      </c>
      <c r="N4198" t="s">
        <v>664</v>
      </c>
      <c r="O4198" t="s">
        <v>665</v>
      </c>
      <c r="P4198" t="s">
        <v>25339</v>
      </c>
      <c r="Q4198" s="3" t="n">
        <v>38103.0</v>
      </c>
      <c r="R4198" s="3" t="n">
        <v>39721.0</v>
      </c>
      <c r="S4198" s="3" t="n">
        <v>43950.647372685184</v>
      </c>
      <c r="T4198" s="3" t="n">
        <v>44638.65271974537</v>
      </c>
      <c r="U4198" t="s">
        <v>25611</v>
      </c>
      <c r="V4198" t="s">
        <v>20442</v>
      </c>
    </row>
    <row r="4199">
      <c r="A4199" t="s">
        <v>23557</v>
      </c>
      <c r="B4199" t="s">
        <v>25612</v>
      </c>
      <c r="C4199" t="s">
        <v>24</v>
      </c>
      <c r="D4199" t="s">
        <v>25</v>
      </c>
      <c r="E4199" t="s">
        <v>25613</v>
      </c>
      <c r="F4199" s="2" t="n">
        <f>HYPERLINK("https://patents.google.com/patent/US7427920","Google")</f>
        <v>0.0</v>
      </c>
      <c r="G4199" s="2" t="n">
        <f>HYPERLINK("https://patentcenter.uspto.gov/applications/10332762","Patent Center")</f>
        <v>0.0</v>
      </c>
      <c r="H4199" s="2" t="n">
        <f>HYPERLINK("https://worldwide.espacenet.com/patent/search?q=US7427920","Espacenet")</f>
        <v>0.0</v>
      </c>
      <c r="I4199" s="2" t="n">
        <f>HYPERLINK("https://ppubs.uspto.gov/pubwebapp/external.html?q=7427920.pn.","USPTO")</f>
        <v>0.0</v>
      </c>
      <c r="J4199" s="2" t="n">
        <f>HYPERLINK("https://image-ppubs.uspto.gov/dirsearch-public/print/downloadPdf/7427920","USPTO PDF")</f>
        <v>0.0</v>
      </c>
      <c r="K4199" s="2" t="n">
        <f>HYPERLINK("https://sectors.patentforecast.com/pmd/US7427920","PMD")</f>
        <v>0.0</v>
      </c>
      <c r="L4199" s="2" t="n">
        <f>HYPERLINK("https://globaldossier.uspto.gov/result/patent/US/7427920/1","US7427920")</f>
        <v>0.0</v>
      </c>
      <c r="M4199" t="s">
        <v>25614</v>
      </c>
      <c r="N4199" t="s">
        <v>25532</v>
      </c>
      <c r="O4199" t="s">
        <v>25533</v>
      </c>
      <c r="P4199" t="s">
        <v>25615</v>
      </c>
      <c r="Q4199" s="3" t="n">
        <v>37043.0</v>
      </c>
      <c r="R4199" s="3" t="n">
        <v>39714.0</v>
      </c>
      <c r="S4199" s="3" t="n">
        <v>43266.4573615625</v>
      </c>
      <c r="T4199" s="3" t="n">
        <v>43901.721564224536</v>
      </c>
      <c r="U4199" t="s">
        <v>25616</v>
      </c>
      <c r="V4199" t="s">
        <v>25617</v>
      </c>
    </row>
    <row r="4200">
      <c r="A4200" t="s">
        <v>23557</v>
      </c>
      <c r="B4200" t="s">
        <v>25618</v>
      </c>
      <c r="C4200" t="s">
        <v>60</v>
      </c>
      <c r="D4200" t="s">
        <v>77</v>
      </c>
      <c r="E4200" t="s">
        <v>24847</v>
      </c>
      <c r="F4200" s="2" t="n">
        <f>HYPERLINK("https://patents.google.com/patent/US7427468","Google")</f>
        <v>0.0</v>
      </c>
      <c r="G4200" s="2" t="n">
        <f>HYPERLINK("https://patentcenter.uspto.gov/applications/10675979","Patent Center")</f>
        <v>0.0</v>
      </c>
      <c r="H4200" s="2" t="n">
        <f>HYPERLINK("https://worldwide.espacenet.com/patent/search?q=US7427468","Espacenet")</f>
        <v>0.0</v>
      </c>
      <c r="I4200" s="2" t="n">
        <f>HYPERLINK("https://ppubs.uspto.gov/pubwebapp/external.html?q=7427468.pn.","USPTO")</f>
        <v>0.0</v>
      </c>
      <c r="J4200" s="2" t="n">
        <f>HYPERLINK("https://image-ppubs.uspto.gov/dirsearch-public/print/downloadPdf/7427468","USPTO PDF")</f>
        <v>0.0</v>
      </c>
      <c r="K4200" s="2" t="n">
        <f>HYPERLINK("https://sectors.patentforecast.com/pmd/US7427468","PMD")</f>
        <v>0.0</v>
      </c>
      <c r="L4200" s="2" t="n">
        <f>HYPERLINK("https://globaldossier.uspto.gov/result/patent/US/7427468/1","US7427468")</f>
        <v>0.0</v>
      </c>
      <c r="M4200" t="s">
        <v>25619</v>
      </c>
      <c r="N4200" t="s">
        <v>22410</v>
      </c>
      <c r="O4200" t="s">
        <v>22410</v>
      </c>
      <c r="P4200" t="s">
        <v>25278</v>
      </c>
      <c r="Q4200" s="3" t="n">
        <v>37895.0</v>
      </c>
      <c r="R4200" s="3" t="n">
        <v>39714.0</v>
      </c>
      <c r="S4200" s="3" t="n">
        <v>43973.46948655092</v>
      </c>
      <c r="T4200" s="3" t="n">
        <v>43985.69532324074</v>
      </c>
      <c r="U4200" t="s">
        <v>25620</v>
      </c>
      <c r="V4200" t="s">
        <v>22503</v>
      </c>
    </row>
    <row r="4201">
      <c r="A4201" t="s">
        <v>23557</v>
      </c>
      <c r="B4201" t="s">
        <v>25621</v>
      </c>
      <c r="C4201" t="s">
        <v>24</v>
      </c>
      <c r="D4201" t="s">
        <v>34</v>
      </c>
      <c r="E4201" t="s">
        <v>25622</v>
      </c>
      <c r="F4201" s="2" t="n">
        <f>HYPERLINK("https://patents.google.com/patent/US7418399","Google")</f>
        <v>0.0</v>
      </c>
      <c r="G4201" s="2" t="n">
        <f>HYPERLINK("https://patentcenter.uspto.gov/applications/09972762","Patent Center")</f>
        <v>0.0</v>
      </c>
      <c r="H4201" s="2" t="n">
        <f>HYPERLINK("https://worldwide.espacenet.com/patent/search?q=US7418399","Espacenet")</f>
        <v>0.0</v>
      </c>
      <c r="I4201" s="2" t="n">
        <f>HYPERLINK("https://ppubs.uspto.gov/pubwebapp/external.html?q=7418399.pn.","USPTO")</f>
        <v>0.0</v>
      </c>
      <c r="J4201" s="2" t="n">
        <f>HYPERLINK("https://image-ppubs.uspto.gov/dirsearch-public/print/downloadPdf/7418399","USPTO PDF")</f>
        <v>0.0</v>
      </c>
      <c r="K4201" s="2" t="n">
        <f>HYPERLINK("https://sectors.patentforecast.com/pmd/US7418399","PMD")</f>
        <v>0.0</v>
      </c>
      <c r="L4201" s="2" t="n">
        <f>HYPERLINK("https://globaldossier.uspto.gov/result/patent/US/7418399/1","US7418399")</f>
        <v>0.0</v>
      </c>
      <c r="M4201" t="s">
        <v>25623</v>
      </c>
      <c r="N4201" t="s">
        <v>9325</v>
      </c>
      <c r="O4201" t="s">
        <v>9326</v>
      </c>
      <c r="P4201" t="s">
        <v>25494</v>
      </c>
      <c r="Q4201" s="3" t="n">
        <v>37169.0</v>
      </c>
      <c r="R4201" s="3" t="n">
        <v>39686.0</v>
      </c>
      <c r="S4201" s="3" t="n">
        <v>43900.43738974537</v>
      </c>
      <c r="T4201" s="3" t="n">
        <v>43901.72156488426</v>
      </c>
      <c r="U4201" t="s">
        <v>25495</v>
      </c>
      <c r="V4201" t="s">
        <v>22573</v>
      </c>
    </row>
    <row r="4202">
      <c r="A4202" t="s">
        <v>23557</v>
      </c>
      <c r="B4202" t="s">
        <v>25624</v>
      </c>
      <c r="C4202" t="s">
        <v>24</v>
      </c>
      <c r="D4202" t="s">
        <v>25</v>
      </c>
      <c r="E4202" t="s">
        <v>25625</v>
      </c>
      <c r="F4202" s="2" t="n">
        <f>HYPERLINK("https://patents.google.com/patent/US7412356","Google")</f>
        <v>0.0</v>
      </c>
      <c r="G4202" s="2" t="n">
        <f>HYPERLINK("https://patentcenter.uspto.gov/applications/11700686","Patent Center")</f>
        <v>0.0</v>
      </c>
      <c r="H4202" s="2" t="n">
        <f>HYPERLINK("https://worldwide.espacenet.com/patent/search?q=US7412356","Espacenet")</f>
        <v>0.0</v>
      </c>
      <c r="I4202" s="2" t="n">
        <f>HYPERLINK("https://ppubs.uspto.gov/pubwebapp/external.html?q=7412356.pn.","USPTO")</f>
        <v>0.0</v>
      </c>
      <c r="J4202" s="2" t="n">
        <f>HYPERLINK("https://image-ppubs.uspto.gov/dirsearch-public/print/downloadPdf/7412356","USPTO PDF")</f>
        <v>0.0</v>
      </c>
      <c r="K4202" s="2" t="n">
        <f>HYPERLINK("https://sectors.patentforecast.com/pmd/US7412356","PMD")</f>
        <v>0.0</v>
      </c>
      <c r="L4202" s="2" t="n">
        <f>HYPERLINK("https://globaldossier.uspto.gov/result/patent/US/7412356/1","US7412356")</f>
        <v>0.0</v>
      </c>
      <c r="M4202" t="s">
        <v>22731</v>
      </c>
      <c r="N4202" t="s">
        <v>22732</v>
      </c>
      <c r="O4202" t="s">
        <v>22733</v>
      </c>
      <c r="P4202" t="s">
        <v>25626</v>
      </c>
      <c r="Q4202" s="3" t="n">
        <v>39112.0</v>
      </c>
      <c r="R4202" s="3" t="n">
        <v>39672.0</v>
      </c>
      <c r="S4202" s="3" t="n">
        <v>43266.4573615625</v>
      </c>
      <c r="T4202" s="3" t="n">
        <v>43901.70557064815</v>
      </c>
      <c r="U4202" t="s">
        <v>25092</v>
      </c>
      <c r="V4202" t="s">
        <v>22735</v>
      </c>
    </row>
    <row r="4203">
      <c r="A4203" t="s">
        <v>23557</v>
      </c>
      <c r="B4203" t="s">
        <v>25627</v>
      </c>
      <c r="C4203" t="s">
        <v>24</v>
      </c>
      <c r="D4203" t="s">
        <v>100</v>
      </c>
      <c r="E4203" t="s">
        <v>23106</v>
      </c>
      <c r="F4203" s="2" t="n">
        <f>HYPERLINK("https://patents.google.com/patent/US7408470","Google")</f>
        <v>0.0</v>
      </c>
      <c r="G4203" s="2" t="n">
        <f>HYPERLINK("https://patentcenter.uspto.gov/applications/11339378","Patent Center")</f>
        <v>0.0</v>
      </c>
      <c r="H4203" s="2" t="n">
        <f>HYPERLINK("https://worldwide.espacenet.com/patent/search?q=US7408470","Espacenet")</f>
        <v>0.0</v>
      </c>
      <c r="I4203" s="2" t="n">
        <f>HYPERLINK("https://ppubs.uspto.gov/pubwebapp/external.html?q=7408470.pn.","USPTO")</f>
        <v>0.0</v>
      </c>
      <c r="J4203" s="2" t="n">
        <f>HYPERLINK("https://image-ppubs.uspto.gov/dirsearch-public/print/downloadPdf/7408470","USPTO PDF")</f>
        <v>0.0</v>
      </c>
      <c r="K4203" s="2" t="n">
        <f>HYPERLINK("https://sectors.patentforecast.com/pmd/US7408470","PMD")</f>
        <v>0.0</v>
      </c>
      <c r="L4203" s="2" t="n">
        <f>HYPERLINK("https://globaldossier.uspto.gov/result/patent/US/7408470/1","US7408470")</f>
        <v>0.0</v>
      </c>
      <c r="M4203" t="s">
        <v>23107</v>
      </c>
      <c r="N4203" t="s">
        <v>17055</v>
      </c>
      <c r="O4203" t="s">
        <v>17056</v>
      </c>
      <c r="P4203" t="s">
        <v>25185</v>
      </c>
      <c r="Q4203" s="3" t="n">
        <v>38742.0</v>
      </c>
      <c r="R4203" s="3" t="n">
        <v>39665.0</v>
      </c>
      <c r="S4203" s="3" t="n">
        <v>43266.4573615625</v>
      </c>
      <c r="T4203" s="3" t="n">
        <v>43906.35771765046</v>
      </c>
      <c r="U4203" t="s">
        <v>23990</v>
      </c>
      <c r="V4203" t="s">
        <v>21865</v>
      </c>
    </row>
    <row r="4204">
      <c r="A4204" t="s">
        <v>23557</v>
      </c>
      <c r="B4204" t="s">
        <v>25628</v>
      </c>
      <c r="C4204" t="s">
        <v>60</v>
      </c>
      <c r="D4204" t="s">
        <v>61</v>
      </c>
      <c r="E4204" t="s">
        <v>25629</v>
      </c>
      <c r="F4204" s="2" t="n">
        <f>HYPERLINK("https://patents.google.com/patent/US7405046","Google")</f>
        <v>0.0</v>
      </c>
      <c r="G4204" s="2" t="n">
        <f>HYPERLINK("https://patentcenter.uspto.gov/applications/11553656","Patent Center")</f>
        <v>0.0</v>
      </c>
      <c r="H4204" s="2" t="n">
        <f>HYPERLINK("https://worldwide.espacenet.com/patent/search?q=US7405046","Espacenet")</f>
        <v>0.0</v>
      </c>
      <c r="I4204" s="2" t="n">
        <f>HYPERLINK("https://ppubs.uspto.gov/pubwebapp/external.html?q=7405046.pn.","USPTO")</f>
        <v>0.0</v>
      </c>
      <c r="J4204" s="2" t="n">
        <f>HYPERLINK("https://image-ppubs.uspto.gov/dirsearch-public/print/downloadPdf/7405046","USPTO PDF")</f>
        <v>0.0</v>
      </c>
      <c r="K4204" s="2" t="n">
        <f>HYPERLINK("https://sectors.patentforecast.com/pmd/US7405046","PMD")</f>
        <v>0.0</v>
      </c>
      <c r="L4204" s="2" t="n">
        <f>HYPERLINK("https://globaldossier.uspto.gov/result/patent/US/7405046/1","US7405046")</f>
        <v>0.0</v>
      </c>
      <c r="M4204" t="s">
        <v>25630</v>
      </c>
      <c r="N4204" t="s">
        <v>25631</v>
      </c>
      <c r="O4204" t="s">
        <v>25632</v>
      </c>
      <c r="P4204" t="s">
        <v>25633</v>
      </c>
      <c r="Q4204" s="3" t="n">
        <v>39017.0</v>
      </c>
      <c r="R4204" s="3" t="n">
        <v>39658.0</v>
      </c>
      <c r="S4204" s="3" t="n">
        <v>43973.46948655092</v>
      </c>
      <c r="T4204" s="3" t="n">
        <v>44545.575660138886</v>
      </c>
      <c r="U4204" t="s">
        <v>25634</v>
      </c>
      <c r="V4204" t="s">
        <v>25635</v>
      </c>
    </row>
    <row r="4205">
      <c r="A4205" t="s">
        <v>23557</v>
      </c>
      <c r="B4205" t="s">
        <v>25636</v>
      </c>
      <c r="C4205" t="s">
        <v>24</v>
      </c>
      <c r="D4205" t="s">
        <v>25</v>
      </c>
      <c r="E4205" t="s">
        <v>24732</v>
      </c>
      <c r="F4205" s="2" t="n">
        <f>HYPERLINK("https://patents.google.com/patent/US7399276","Google")</f>
        <v>0.0</v>
      </c>
      <c r="G4205" s="2" t="n">
        <f>HYPERLINK("https://patentcenter.uspto.gov/applications/10840945","Patent Center")</f>
        <v>0.0</v>
      </c>
      <c r="H4205" s="2" t="n">
        <f>HYPERLINK("https://worldwide.espacenet.com/patent/search?q=US7399276","Espacenet")</f>
        <v>0.0</v>
      </c>
      <c r="I4205" s="2" t="n">
        <f>HYPERLINK("https://ppubs.uspto.gov/pubwebapp/external.html?q=7399276.pn.","USPTO")</f>
        <v>0.0</v>
      </c>
      <c r="J4205" s="2" t="n">
        <f>HYPERLINK("https://image-ppubs.uspto.gov/dirsearch-public/print/downloadPdf/7399276","USPTO PDF")</f>
        <v>0.0</v>
      </c>
      <c r="K4205" s="2" t="n">
        <f>HYPERLINK("https://sectors.patentforecast.com/pmd/US7399276","PMD")</f>
        <v>0.0</v>
      </c>
      <c r="L4205" s="2" t="n">
        <f>HYPERLINK("https://globaldossier.uspto.gov/result/patent/US/7399276/1","US7399276")</f>
        <v>0.0</v>
      </c>
      <c r="M4205" t="s">
        <v>25637</v>
      </c>
      <c r="N4205" t="s">
        <v>23446</v>
      </c>
      <c r="O4205" t="s">
        <v>23447</v>
      </c>
      <c r="P4205" t="s">
        <v>24733</v>
      </c>
      <c r="Q4205" s="3" t="n">
        <v>38114.0</v>
      </c>
      <c r="R4205" s="3" t="n">
        <v>39644.0</v>
      </c>
      <c r="S4205" s="3" t="n">
        <v>43266.4573615625</v>
      </c>
      <c r="T4205" s="3" t="n">
        <v>43901.721564548614</v>
      </c>
      <c r="U4205" t="s">
        <v>24734</v>
      </c>
      <c r="V4205" t="s">
        <v>22662</v>
      </c>
    </row>
    <row r="4206">
      <c r="A4206" t="s">
        <v>23557</v>
      </c>
      <c r="B4206" t="s">
        <v>25638</v>
      </c>
      <c r="C4206" t="s">
        <v>24</v>
      </c>
      <c r="D4206" t="s">
        <v>25</v>
      </c>
      <c r="E4206" t="s">
        <v>25324</v>
      </c>
      <c r="F4206" s="2" t="n">
        <f>HYPERLINK("https://patents.google.com/patent/US7392199","Google")</f>
        <v>0.0</v>
      </c>
      <c r="G4206" s="2" t="n">
        <f>HYPERLINK("https://patentcenter.uspto.gov/applications/10138068","Patent Center")</f>
        <v>0.0</v>
      </c>
      <c r="H4206" s="2" t="n">
        <f>HYPERLINK("https://worldwide.espacenet.com/patent/search?q=US7392199","Espacenet")</f>
        <v>0.0</v>
      </c>
      <c r="I4206" s="2" t="n">
        <f>HYPERLINK("https://ppubs.uspto.gov/pubwebapp/external.html?q=7392199.pn.","USPTO")</f>
        <v>0.0</v>
      </c>
      <c r="J4206" s="2" t="n">
        <f>HYPERLINK("https://image-ppubs.uspto.gov/dirsearch-public/print/downloadPdf/7392199","USPTO PDF")</f>
        <v>0.0</v>
      </c>
      <c r="K4206" s="2" t="n">
        <f>HYPERLINK("https://sectors.patentforecast.com/pmd/US7392199","PMD")</f>
        <v>0.0</v>
      </c>
      <c r="L4206" s="2" t="n">
        <f>HYPERLINK("https://globaldossier.uspto.gov/result/patent/US/7392199/1","US7392199")</f>
        <v>0.0</v>
      </c>
      <c r="M4206" t="s">
        <v>23493</v>
      </c>
      <c r="N4206" t="s">
        <v>22548</v>
      </c>
      <c r="O4206" t="s">
        <v>22549</v>
      </c>
      <c r="P4206" t="s">
        <v>25325</v>
      </c>
      <c r="Q4206" s="3" t="n">
        <v>37377.0</v>
      </c>
      <c r="R4206" s="3" t="n">
        <v>39623.0</v>
      </c>
      <c r="S4206" s="3" t="n">
        <v>43266.4573615625</v>
      </c>
      <c r="T4206" s="3" t="n">
        <v>43950.61216837963</v>
      </c>
      <c r="U4206" t="s">
        <v>25326</v>
      </c>
      <c r="V4206" t="s">
        <v>22552</v>
      </c>
    </row>
    <row r="4207">
      <c r="A4207" t="s">
        <v>23557</v>
      </c>
      <c r="B4207" t="s">
        <v>25639</v>
      </c>
      <c r="C4207" t="s">
        <v>24</v>
      </c>
      <c r="D4207" t="s">
        <v>1356</v>
      </c>
      <c r="E4207" t="s">
        <v>22023</v>
      </c>
      <c r="F4207" s="2" t="n">
        <f>HYPERLINK("https://patents.google.com/patent/US7349808","Google")</f>
        <v>0.0</v>
      </c>
      <c r="G4207" s="2" t="n">
        <f>HYPERLINK("https://patentcenter.uspto.gov/applications/09656084","Patent Center")</f>
        <v>0.0</v>
      </c>
      <c r="H4207" s="2" t="n">
        <f>HYPERLINK("https://worldwide.espacenet.com/patent/search?q=US7349808","Espacenet")</f>
        <v>0.0</v>
      </c>
      <c r="I4207" s="2" t="n">
        <f>HYPERLINK("https://ppubs.uspto.gov/pubwebapp/external.html?q=7349808.pn.","USPTO")</f>
        <v>0.0</v>
      </c>
      <c r="J4207" s="2" t="n">
        <f>HYPERLINK("https://image-ppubs.uspto.gov/dirsearch-public/print/downloadPdf/7349808","USPTO PDF")</f>
        <v>0.0</v>
      </c>
      <c r="K4207" s="2" t="n">
        <f>HYPERLINK("https://sectors.patentforecast.com/pmd/US7349808","PMD")</f>
        <v>0.0</v>
      </c>
      <c r="L4207" s="2" t="n">
        <f>HYPERLINK("https://globaldossier.uspto.gov/result/patent/US/7349808/1","US7349808")</f>
        <v>0.0</v>
      </c>
      <c r="M4207" t="s">
        <v>25640</v>
      </c>
      <c r="N4207" t="s">
        <v>20175</v>
      </c>
      <c r="O4207" t="s">
        <v>20176</v>
      </c>
      <c r="P4207" t="s">
        <v>25334</v>
      </c>
      <c r="Q4207" s="3" t="n">
        <v>36775.0</v>
      </c>
      <c r="R4207" s="3" t="n">
        <v>39532.0</v>
      </c>
      <c r="S4207" s="3" t="n">
        <v>44019.232709386575</v>
      </c>
      <c r="T4207" s="3" t="n">
        <v>44020.410610300925</v>
      </c>
      <c r="U4207" t="s">
        <v>25641</v>
      </c>
      <c r="V4207" t="s">
        <v>22027</v>
      </c>
    </row>
    <row r="4208">
      <c r="A4208" t="s">
        <v>23557</v>
      </c>
      <c r="B4208" t="s">
        <v>25642</v>
      </c>
      <c r="C4208" t="s">
        <v>132</v>
      </c>
      <c r="D4208" t="s">
        <v>1265</v>
      </c>
      <c r="E4208" t="s">
        <v>25643</v>
      </c>
      <c r="F4208" s="2" t="n">
        <f>HYPERLINK("https://patents.google.com/patent/US7344722","Google")</f>
        <v>0.0</v>
      </c>
      <c r="G4208" s="2" t="n">
        <f>HYPERLINK("https://patentcenter.uspto.gov/applications/08573569","Patent Center")</f>
        <v>0.0</v>
      </c>
      <c r="H4208" s="2" t="n">
        <f>HYPERLINK("https://worldwide.espacenet.com/patent/search?q=US7344722","Espacenet")</f>
        <v>0.0</v>
      </c>
      <c r="I4208" s="2" t="n">
        <f>HYPERLINK("https://ppubs.uspto.gov/pubwebapp/external.html?q=7344722.pn.","USPTO")</f>
        <v>0.0</v>
      </c>
      <c r="J4208" s="2" t="n">
        <f>HYPERLINK("https://image-ppubs.uspto.gov/dirsearch-public/print/downloadPdf/7344722","USPTO PDF")</f>
        <v>0.0</v>
      </c>
      <c r="K4208" s="2" t="n">
        <f>HYPERLINK("https://sectors.patentforecast.com/pmd/US7344722","PMD")</f>
        <v>0.0</v>
      </c>
      <c r="L4208" s="2" t="n">
        <f>HYPERLINK("https://globaldossier.uspto.gov/result/patent/US/7344722/1","US7344722")</f>
        <v>0.0</v>
      </c>
      <c r="M4208" t="s">
        <v>25644</v>
      </c>
      <c r="N4208" t="s">
        <v>8210</v>
      </c>
      <c r="O4208" t="s">
        <v>8211</v>
      </c>
      <c r="P4208" t="s">
        <v>25645</v>
      </c>
      <c r="Q4208" s="3" t="n">
        <v>35047.0</v>
      </c>
      <c r="R4208" s="3" t="n">
        <v>39525.0</v>
      </c>
      <c r="S4208" s="3" t="n">
        <v>43900.43738974537</v>
      </c>
      <c r="T4208" s="3" t="n">
        <v>43901.7215649537</v>
      </c>
      <c r="U4208" t="s">
        <v>25646</v>
      </c>
      <c r="V4208" t="s">
        <v>25647</v>
      </c>
    </row>
    <row r="4209">
      <c r="A4209" t="s">
        <v>23557</v>
      </c>
      <c r="B4209" t="s">
        <v>25648</v>
      </c>
      <c r="C4209" t="s">
        <v>132</v>
      </c>
      <c r="D4209" t="s">
        <v>11423</v>
      </c>
      <c r="E4209" t="s">
        <v>25649</v>
      </c>
      <c r="F4209" s="2" t="n">
        <f>HYPERLINK("https://patents.google.com/patent/US7323182","Google")</f>
        <v>0.0</v>
      </c>
      <c r="G4209" s="2" t="n">
        <f>HYPERLINK("https://patentcenter.uspto.gov/applications/10139815","Patent Center")</f>
        <v>0.0</v>
      </c>
      <c r="H4209" s="2" t="n">
        <f>HYPERLINK("https://worldwide.espacenet.com/patent/search?q=US7323182","Espacenet")</f>
        <v>0.0</v>
      </c>
      <c r="I4209" s="2" t="n">
        <f>HYPERLINK("https://ppubs.uspto.gov/pubwebapp/external.html?q=7323182.pn.","USPTO")</f>
        <v>0.0</v>
      </c>
      <c r="J4209" s="2" t="n">
        <f>HYPERLINK("https://image-ppubs.uspto.gov/dirsearch-public/print/downloadPdf/7323182","USPTO PDF")</f>
        <v>0.0</v>
      </c>
      <c r="K4209" s="2" t="n">
        <f>HYPERLINK("https://sectors.patentforecast.com/pmd/US7323182","PMD")</f>
        <v>0.0</v>
      </c>
      <c r="L4209" s="2" t="n">
        <f>HYPERLINK("https://globaldossier.uspto.gov/result/patent/US/7323182/1","US7323182")</f>
        <v>0.0</v>
      </c>
      <c r="M4209" t="s">
        <v>25650</v>
      </c>
      <c r="N4209" t="s">
        <v>25651</v>
      </c>
      <c r="O4209" t="s">
        <v>25652</v>
      </c>
      <c r="P4209" t="s">
        <v>25653</v>
      </c>
      <c r="Q4209" s="3" t="n">
        <v>37382.0</v>
      </c>
      <c r="R4209" s="3" t="n">
        <v>39476.0</v>
      </c>
      <c r="S4209" s="3" t="n">
        <v>44179.58158761574</v>
      </c>
      <c r="T4209" s="3" t="n">
        <v>44678.47010922454</v>
      </c>
      <c r="U4209" t="s">
        <v>25654</v>
      </c>
      <c r="V4209" t="s">
        <v>25655</v>
      </c>
    </row>
    <row r="4210">
      <c r="A4210" t="s">
        <v>23557</v>
      </c>
      <c r="B4210" t="s">
        <v>25656</v>
      </c>
      <c r="C4210" t="s">
        <v>132</v>
      </c>
      <c r="D4210" t="s">
        <v>11423</v>
      </c>
      <c r="E4210" t="s">
        <v>25657</v>
      </c>
      <c r="F4210" s="2" t="n">
        <f>HYPERLINK("https://patents.google.com/patent/US7314624","Google")</f>
        <v>0.0</v>
      </c>
      <c r="G4210" s="2" t="n">
        <f>HYPERLINK("https://patentcenter.uspto.gov/applications/10162970","Patent Center")</f>
        <v>0.0</v>
      </c>
      <c r="H4210" s="2" t="n">
        <f>HYPERLINK("https://worldwide.espacenet.com/patent/search?q=US7314624","Espacenet")</f>
        <v>0.0</v>
      </c>
      <c r="I4210" s="2" t="n">
        <f>HYPERLINK("https://ppubs.uspto.gov/pubwebapp/external.html?q=7314624.pn.","USPTO")</f>
        <v>0.0</v>
      </c>
      <c r="J4210" s="2" t="n">
        <f>HYPERLINK("https://image-ppubs.uspto.gov/dirsearch-public/print/downloadPdf/7314624","USPTO PDF")</f>
        <v>0.0</v>
      </c>
      <c r="K4210" s="2" t="n">
        <f>HYPERLINK("https://sectors.patentforecast.com/pmd/US7314624","PMD")</f>
        <v>0.0</v>
      </c>
      <c r="L4210" s="2" t="n">
        <f>HYPERLINK("https://globaldossier.uspto.gov/result/patent/US/7314624/1","US7314624")</f>
        <v>0.0</v>
      </c>
      <c r="M4210" t="s">
        <v>25658</v>
      </c>
      <c r="N4210" t="s">
        <v>25659</v>
      </c>
      <c r="O4210" t="s">
        <v>25659</v>
      </c>
      <c r="P4210" t="s">
        <v>25660</v>
      </c>
      <c r="Q4210" s="3" t="n">
        <v>37412.0</v>
      </c>
      <c r="R4210" s="3" t="n">
        <v>39448.0</v>
      </c>
      <c r="S4210" s="3" t="n">
        <v>43973.46948655092</v>
      </c>
      <c r="T4210" s="3" t="n">
        <v>44545.683587025465</v>
      </c>
      <c r="U4210" t="s">
        <v>25661</v>
      </c>
      <c r="V4210" t="s">
        <v>25662</v>
      </c>
    </row>
    <row r="4211">
      <c r="A4211" t="s">
        <v>23557</v>
      </c>
      <c r="B4211" t="s">
        <v>25663</v>
      </c>
      <c r="C4211" t="s">
        <v>60</v>
      </c>
      <c r="D4211" t="s">
        <v>61</v>
      </c>
      <c r="E4211" t="s">
        <v>25664</v>
      </c>
      <c r="F4211" s="2" t="n">
        <f>HYPERLINK("https://patents.google.com/patent/US7312064","Google")</f>
        <v>0.0</v>
      </c>
      <c r="G4211" s="2" t="n">
        <f>HYPERLINK("https://patentcenter.uspto.gov/applications/11093430","Patent Center")</f>
        <v>0.0</v>
      </c>
      <c r="H4211" s="2" t="n">
        <f>HYPERLINK("https://worldwide.espacenet.com/patent/search?q=US7312064","Espacenet")</f>
        <v>0.0</v>
      </c>
      <c r="I4211" s="2" t="n">
        <f>HYPERLINK("https://ppubs.uspto.gov/pubwebapp/external.html?q=7312064.pn.","USPTO")</f>
        <v>0.0</v>
      </c>
      <c r="J4211" s="2" t="n">
        <f>HYPERLINK("https://image-ppubs.uspto.gov/dirsearch-public/print/downloadPdf/7312064","USPTO PDF")</f>
        <v>0.0</v>
      </c>
      <c r="K4211" s="2" t="n">
        <f>HYPERLINK("https://sectors.patentforecast.com/pmd/US7312064","PMD")</f>
        <v>0.0</v>
      </c>
      <c r="L4211" s="2" t="n">
        <f>HYPERLINK("https://globaldossier.uspto.gov/result/patent/US/7312064/1","US7312064")</f>
        <v>0.0</v>
      </c>
      <c r="M4211" t="s">
        <v>25665</v>
      </c>
      <c r="N4211" t="s">
        <v>25666</v>
      </c>
      <c r="O4211" t="s">
        <v>25667</v>
      </c>
      <c r="P4211" t="s">
        <v>25668</v>
      </c>
      <c r="Q4211" s="3" t="n">
        <v>38440.0</v>
      </c>
      <c r="R4211" s="3" t="n">
        <v>39441.0</v>
      </c>
      <c r="S4211" s="3" t="n">
        <v>43973.46948655092</v>
      </c>
      <c r="T4211" s="3" t="n">
        <v>44545.58076488426</v>
      </c>
      <c r="U4211" t="s">
        <v>25669</v>
      </c>
      <c r="V4211" t="s">
        <v>25670</v>
      </c>
    </row>
    <row r="4212">
      <c r="A4212" t="s">
        <v>23557</v>
      </c>
      <c r="B4212" t="s">
        <v>25671</v>
      </c>
      <c r="C4212" t="s">
        <v>60</v>
      </c>
      <c r="D4212" t="s">
        <v>61</v>
      </c>
      <c r="E4212" t="s">
        <v>23210</v>
      </c>
      <c r="F4212" s="2" t="n">
        <f>HYPERLINK("https://patents.google.com/patent/US7300924","Google")</f>
        <v>0.0</v>
      </c>
      <c r="G4212" s="2" t="n">
        <f>HYPERLINK("https://patentcenter.uspto.gov/applications/10833291","Patent Center")</f>
        <v>0.0</v>
      </c>
      <c r="H4212" s="2" t="n">
        <f>HYPERLINK("https://worldwide.espacenet.com/patent/search?q=US7300924","Espacenet")</f>
        <v>0.0</v>
      </c>
      <c r="I4212" s="2" t="n">
        <f>HYPERLINK("https://ppubs.uspto.gov/pubwebapp/external.html?q=7300924.pn.","USPTO")</f>
        <v>0.0</v>
      </c>
      <c r="J4212" s="2" t="n">
        <f>HYPERLINK("https://image-ppubs.uspto.gov/dirsearch-public/print/downloadPdf/7300924","USPTO PDF")</f>
        <v>0.0</v>
      </c>
      <c r="K4212" s="2" t="n">
        <f>HYPERLINK("https://sectors.patentforecast.com/pmd/US7300924","PMD")</f>
        <v>0.0</v>
      </c>
      <c r="L4212" s="2" t="n">
        <f>HYPERLINK("https://globaldossier.uspto.gov/result/patent/US/7300924/1","US7300924")</f>
        <v>0.0</v>
      </c>
      <c r="M4212" t="s">
        <v>23211</v>
      </c>
      <c r="N4212" t="s">
        <v>664</v>
      </c>
      <c r="O4212" t="s">
        <v>665</v>
      </c>
      <c r="P4212" t="s">
        <v>25672</v>
      </c>
      <c r="Q4212" s="3" t="n">
        <v>38103.0</v>
      </c>
      <c r="R4212" s="3" t="n">
        <v>39413.0</v>
      </c>
      <c r="S4212" s="3" t="n">
        <v>43957.45969076389</v>
      </c>
      <c r="T4212" s="3" t="n">
        <v>44638.65707431713</v>
      </c>
      <c r="U4212" t="s">
        <v>25673</v>
      </c>
      <c r="V4212" t="s">
        <v>23214</v>
      </c>
    </row>
    <row r="4213">
      <c r="A4213" t="s">
        <v>23557</v>
      </c>
      <c r="B4213" t="s">
        <v>25674</v>
      </c>
      <c r="C4213" t="s">
        <v>60</v>
      </c>
      <c r="D4213" t="s">
        <v>61</v>
      </c>
      <c r="E4213" t="s">
        <v>25675</v>
      </c>
      <c r="F4213" s="2" t="n">
        <f>HYPERLINK("https://patents.google.com/patent/US7282599","Google")</f>
        <v>0.0</v>
      </c>
      <c r="G4213" s="2" t="n">
        <f>HYPERLINK("https://patentcenter.uspto.gov/applications/10483975","Patent Center")</f>
        <v>0.0</v>
      </c>
      <c r="H4213" s="2" t="n">
        <f>HYPERLINK("https://worldwide.espacenet.com/patent/search?q=US7282599","Espacenet")</f>
        <v>0.0</v>
      </c>
      <c r="I4213" s="2" t="n">
        <f>HYPERLINK("https://ppubs.uspto.gov/pubwebapp/external.html?q=7282599.pn.","USPTO")</f>
        <v>0.0</v>
      </c>
      <c r="J4213" s="2" t="n">
        <f>HYPERLINK("https://image-ppubs.uspto.gov/dirsearch-public/print/downloadPdf/7282599","USPTO PDF")</f>
        <v>0.0</v>
      </c>
      <c r="K4213" s="2" t="n">
        <f>HYPERLINK("https://sectors.patentforecast.com/pmd/US7282599","PMD")</f>
        <v>0.0</v>
      </c>
      <c r="L4213" s="2" t="n">
        <f>HYPERLINK("https://globaldossier.uspto.gov/result/patent/US/7282599/1","US7282599")</f>
        <v>0.0</v>
      </c>
      <c r="M4213" t="s">
        <v>25676</v>
      </c>
      <c r="N4213" t="s">
        <v>25677</v>
      </c>
      <c r="O4213" t="s">
        <v>25678</v>
      </c>
      <c r="P4213" t="s">
        <v>25679</v>
      </c>
      <c r="Q4213" s="3" t="n">
        <v>37452.0</v>
      </c>
      <c r="R4213" s="3" t="n">
        <v>39371.0</v>
      </c>
      <c r="S4213" s="3" t="n">
        <v>43973.46948655092</v>
      </c>
      <c r="T4213" s="3" t="n">
        <v>44545.580532395834</v>
      </c>
      <c r="U4213" t="s">
        <v>25680</v>
      </c>
      <c r="V4213" t="s">
        <v>25681</v>
      </c>
    </row>
    <row r="4214">
      <c r="A4214" t="s">
        <v>23557</v>
      </c>
      <c r="B4214" t="s">
        <v>25682</v>
      </c>
      <c r="C4214" t="s">
        <v>24</v>
      </c>
      <c r="D4214" t="s">
        <v>25</v>
      </c>
      <c r="E4214" t="s">
        <v>25683</v>
      </c>
      <c r="F4214" s="2" t="n">
        <f>HYPERLINK("https://patents.google.com/patent/US7266484","Google")</f>
        <v>0.0</v>
      </c>
      <c r="G4214" s="2" t="n">
        <f>HYPERLINK("https://patentcenter.uspto.gov/applications/10466459","Patent Center")</f>
        <v>0.0</v>
      </c>
      <c r="H4214" s="2" t="n">
        <f>HYPERLINK("https://worldwide.espacenet.com/patent/search?q=US7266484","Espacenet")</f>
        <v>0.0</v>
      </c>
      <c r="I4214" s="2" t="n">
        <f>HYPERLINK("https://ppubs.uspto.gov/pubwebapp/external.html?q=7266484.pn.","USPTO")</f>
        <v>0.0</v>
      </c>
      <c r="J4214" s="2" t="n">
        <f>HYPERLINK("https://image-ppubs.uspto.gov/dirsearch-public/print/downloadPdf/7266484","USPTO PDF")</f>
        <v>0.0</v>
      </c>
      <c r="K4214" s="2" t="n">
        <f>HYPERLINK("https://sectors.patentforecast.com/pmd/US7266484","PMD")</f>
        <v>0.0</v>
      </c>
      <c r="L4214" s="2" t="n">
        <f>HYPERLINK("https://globaldossier.uspto.gov/result/patent/US/7266484/1","US7266484")</f>
        <v>0.0</v>
      </c>
      <c r="M4214" t="s">
        <v>25684</v>
      </c>
      <c r="N4214" t="s">
        <v>16349</v>
      </c>
      <c r="O4214" t="s">
        <v>16350</v>
      </c>
      <c r="P4214" t="s">
        <v>25685</v>
      </c>
      <c r="Q4214" s="3" t="n">
        <v>37592.0</v>
      </c>
      <c r="R4214" s="3" t="n">
        <v>39329.0</v>
      </c>
      <c r="S4214" s="3" t="n">
        <v>43266.45736216435</v>
      </c>
      <c r="T4214" s="3" t="n">
        <v>43903.49497346065</v>
      </c>
      <c r="U4214" t="s">
        <v>25686</v>
      </c>
      <c r="V4214" t="s">
        <v>25687</v>
      </c>
    </row>
    <row r="4215">
      <c r="A4215" t="s">
        <v>23557</v>
      </c>
      <c r="B4215" t="s">
        <v>25688</v>
      </c>
      <c r="C4215" t="s">
        <v>60</v>
      </c>
      <c r="D4215" t="s">
        <v>61</v>
      </c>
      <c r="E4215" t="s">
        <v>25689</v>
      </c>
      <c r="F4215" s="2" t="n">
        <f>HYPERLINK("https://patents.google.com/patent/US7255862","Google")</f>
        <v>0.0</v>
      </c>
      <c r="G4215" s="2" t="n">
        <f>HYPERLINK("https://patentcenter.uspto.gov/applications/08746668","Patent Center")</f>
        <v>0.0</v>
      </c>
      <c r="H4215" s="2" t="n">
        <f>HYPERLINK("https://worldwide.espacenet.com/patent/search?q=US7255862","Espacenet")</f>
        <v>0.0</v>
      </c>
      <c r="I4215" s="2" t="n">
        <f>HYPERLINK("https://ppubs.uspto.gov/pubwebapp/external.html?q=7255862.pn.","USPTO")</f>
        <v>0.0</v>
      </c>
      <c r="J4215" s="2" t="n">
        <f>HYPERLINK("https://image-ppubs.uspto.gov/dirsearch-public/print/downloadPdf/7255862","USPTO PDF")</f>
        <v>0.0</v>
      </c>
      <c r="K4215" s="2" t="n">
        <f>HYPERLINK("https://sectors.patentforecast.com/pmd/US7255862","PMD")</f>
        <v>0.0</v>
      </c>
      <c r="L4215" s="2" t="n">
        <f>HYPERLINK("https://globaldossier.uspto.gov/result/patent/US/7255862/1","US7255862")</f>
        <v>0.0</v>
      </c>
      <c r="M4215" t="s">
        <v>25690</v>
      </c>
      <c r="N4215" t="s">
        <v>25691</v>
      </c>
      <c r="O4215" t="s">
        <v>25692</v>
      </c>
      <c r="P4215" t="s">
        <v>25693</v>
      </c>
      <c r="Q4215" s="3" t="n">
        <v>35383.0</v>
      </c>
      <c r="R4215" s="3" t="n">
        <v>39308.0</v>
      </c>
      <c r="S4215" s="3" t="n">
        <v>43973.46948655092</v>
      </c>
      <c r="T4215" s="3" t="n">
        <v>44545.35856380787</v>
      </c>
      <c r="U4215" t="s">
        <v>25694</v>
      </c>
      <c r="V4215" t="s">
        <v>25695</v>
      </c>
    </row>
    <row r="4216">
      <c r="A4216" t="s">
        <v>23557</v>
      </c>
      <c r="B4216" t="s">
        <v>25696</v>
      </c>
      <c r="C4216" t="s">
        <v>132</v>
      </c>
      <c r="D4216" t="s">
        <v>2629</v>
      </c>
      <c r="E4216" t="s">
        <v>25697</v>
      </c>
      <c r="F4216" s="2" t="n">
        <f>HYPERLINK("https://patents.google.com/patent/US7250171","Google")</f>
        <v>0.0</v>
      </c>
      <c r="G4216" s="2" t="n">
        <f>HYPERLINK("https://patentcenter.uspto.gov/applications/09459062","Patent Center")</f>
        <v>0.0</v>
      </c>
      <c r="H4216" s="2" t="n">
        <f>HYPERLINK("https://worldwide.espacenet.com/patent/search?q=US7250171","Espacenet")</f>
        <v>0.0</v>
      </c>
      <c r="I4216" s="2" t="n">
        <f>HYPERLINK("https://ppubs.uspto.gov/pubwebapp/external.html?q=7250171.pn.","USPTO")</f>
        <v>0.0</v>
      </c>
      <c r="J4216" s="2" t="n">
        <f>HYPERLINK("https://image-ppubs.uspto.gov/dirsearch-public/print/downloadPdf/7250171","USPTO PDF")</f>
        <v>0.0</v>
      </c>
      <c r="K4216" s="2" t="n">
        <f>HYPERLINK("https://sectors.patentforecast.com/pmd/US7250171","PMD")</f>
        <v>0.0</v>
      </c>
      <c r="L4216" s="2" t="n">
        <f>HYPERLINK("https://globaldossier.uspto.gov/result/patent/US/7250171/1","US7250171")</f>
        <v>0.0</v>
      </c>
      <c r="M4216" t="s">
        <v>25698</v>
      </c>
      <c r="N4216" t="s">
        <v>22158</v>
      </c>
      <c r="O4216" t="s">
        <v>22159</v>
      </c>
      <c r="P4216" t="s">
        <v>25699</v>
      </c>
      <c r="Q4216" s="3" t="n">
        <v>36504.0</v>
      </c>
      <c r="R4216" s="3" t="n">
        <v>39294.0</v>
      </c>
      <c r="S4216" s="3" t="n">
        <v>43973.46948655092</v>
      </c>
      <c r="T4216" s="3" t="n">
        <v>44545.579284513886</v>
      </c>
      <c r="U4216" t="s">
        <v>25700</v>
      </c>
      <c r="V4216" t="s">
        <v>25701</v>
      </c>
    </row>
    <row r="4217">
      <c r="A4217" t="s">
        <v>23557</v>
      </c>
      <c r="B4217" t="s">
        <v>25702</v>
      </c>
      <c r="C4217" t="s">
        <v>24</v>
      </c>
      <c r="D4217" t="s">
        <v>25</v>
      </c>
      <c r="E4217" t="s">
        <v>23510</v>
      </c>
      <c r="F4217" s="2" t="n">
        <f>HYPERLINK("https://patents.google.com/patent/US7249006","Google")</f>
        <v>0.0</v>
      </c>
      <c r="G4217" s="2" t="n">
        <f>HYPERLINK("https://patentcenter.uspto.gov/applications/10130404","Patent Center")</f>
        <v>0.0</v>
      </c>
      <c r="H4217" s="2" t="n">
        <f>HYPERLINK("https://worldwide.espacenet.com/patent/search?q=US7249006","Espacenet")</f>
        <v>0.0</v>
      </c>
      <c r="I4217" s="2" t="n">
        <f>HYPERLINK("https://ppubs.uspto.gov/pubwebapp/external.html?q=7249006.pn.","USPTO")</f>
        <v>0.0</v>
      </c>
      <c r="J4217" s="2" t="n">
        <f>HYPERLINK("https://image-ppubs.uspto.gov/dirsearch-public/print/downloadPdf/7249006","USPTO PDF")</f>
        <v>0.0</v>
      </c>
      <c r="K4217" s="2" t="n">
        <f>HYPERLINK("https://sectors.patentforecast.com/pmd/US7249006","PMD")</f>
        <v>0.0</v>
      </c>
      <c r="L4217" s="2" t="n">
        <f>HYPERLINK("https://globaldossier.uspto.gov/result/patent/US/7249006/1","US7249006")</f>
        <v>0.0</v>
      </c>
      <c r="M4217" t="s">
        <v>23511</v>
      </c>
      <c r="N4217" t="s">
        <v>16349</v>
      </c>
      <c r="O4217" t="s">
        <v>16350</v>
      </c>
      <c r="P4217" t="s">
        <v>25703</v>
      </c>
      <c r="Q4217" s="3" t="n">
        <v>36973.0</v>
      </c>
      <c r="R4217" s="3" t="n">
        <v>39287.0</v>
      </c>
      <c r="S4217" s="3" t="n">
        <v>43266.45736216435</v>
      </c>
      <c r="T4217" s="3" t="n">
        <v>43903.49497303241</v>
      </c>
      <c r="U4217" t="s">
        <v>25704</v>
      </c>
      <c r="V4217" t="s">
        <v>25705</v>
      </c>
    </row>
    <row r="4218">
      <c r="A4218" t="s">
        <v>23557</v>
      </c>
      <c r="B4218" t="s">
        <v>25706</v>
      </c>
      <c r="C4218" t="s">
        <v>24</v>
      </c>
      <c r="D4218" t="s">
        <v>34</v>
      </c>
      <c r="E4218" t="s">
        <v>25707</v>
      </c>
      <c r="F4218" s="2" t="n">
        <f>HYPERLINK("https://patents.google.com/patent/US7247439","Google")</f>
        <v>0.0</v>
      </c>
      <c r="G4218" s="2" t="n">
        <f>HYPERLINK("https://patentcenter.uspto.gov/applications/10077027","Patent Center")</f>
        <v>0.0</v>
      </c>
      <c r="H4218" s="2" t="n">
        <f>HYPERLINK("https://worldwide.espacenet.com/patent/search?q=US7247439","Espacenet")</f>
        <v>0.0</v>
      </c>
      <c r="I4218" s="2" t="n">
        <f>HYPERLINK("https://ppubs.uspto.gov/pubwebapp/external.html?q=7247439.pn.","USPTO")</f>
        <v>0.0</v>
      </c>
      <c r="J4218" s="2" t="n">
        <f>HYPERLINK("https://image-ppubs.uspto.gov/dirsearch-public/print/downloadPdf/7247439","USPTO PDF")</f>
        <v>0.0</v>
      </c>
      <c r="K4218" s="2" t="n">
        <f>HYPERLINK("https://sectors.patentforecast.com/pmd/US7247439","PMD")</f>
        <v>0.0</v>
      </c>
      <c r="L4218" s="2" t="n">
        <f>HYPERLINK("https://globaldossier.uspto.gov/result/patent/US/7247439/1","US7247439")</f>
        <v>0.0</v>
      </c>
      <c r="M4218" t="s">
        <v>25708</v>
      </c>
      <c r="N4218" t="s">
        <v>23834</v>
      </c>
      <c r="O4218" t="s">
        <v>23835</v>
      </c>
      <c r="P4218" t="s">
        <v>25709</v>
      </c>
      <c r="Q4218" s="3" t="n">
        <v>37302.0</v>
      </c>
      <c r="R4218" s="3" t="n">
        <v>39287.0</v>
      </c>
      <c r="S4218" s="3" t="n">
        <v>43973.46948655092</v>
      </c>
      <c r="T4218" s="3" t="n">
        <v>44545.6640049537</v>
      </c>
      <c r="U4218" t="s">
        <v>23837</v>
      </c>
      <c r="V4218" t="s">
        <v>25710</v>
      </c>
    </row>
    <row r="4219">
      <c r="A4219" t="s">
        <v>23557</v>
      </c>
      <c r="B4219" t="s">
        <v>25711</v>
      </c>
      <c r="C4219" t="s">
        <v>132</v>
      </c>
      <c r="D4219" t="s">
        <v>1265</v>
      </c>
      <c r="E4219" t="s">
        <v>24495</v>
      </c>
      <c r="F4219" s="2" t="n">
        <f>HYPERLINK("https://patents.google.com/patent/US7238349","Google")</f>
        <v>0.0</v>
      </c>
      <c r="G4219" s="2" t="n">
        <f>HYPERLINK("https://patentcenter.uspto.gov/applications/10088632","Patent Center")</f>
        <v>0.0</v>
      </c>
      <c r="H4219" s="2" t="n">
        <f>HYPERLINK("https://worldwide.espacenet.com/patent/search?q=US7238349","Espacenet")</f>
        <v>0.0</v>
      </c>
      <c r="I4219" s="2" t="n">
        <f>HYPERLINK("https://ppubs.uspto.gov/pubwebapp/external.html?q=7238349.pn.","USPTO")</f>
        <v>0.0</v>
      </c>
      <c r="J4219" s="2" t="n">
        <f>HYPERLINK("https://image-ppubs.uspto.gov/dirsearch-public/print/downloadPdf/7238349","USPTO PDF")</f>
        <v>0.0</v>
      </c>
      <c r="K4219" s="2" t="n">
        <f>HYPERLINK("https://sectors.patentforecast.com/pmd/US7238349","PMD")</f>
        <v>0.0</v>
      </c>
      <c r="L4219" s="2" t="n">
        <f>HYPERLINK("https://globaldossier.uspto.gov/result/patent/US/7238349/1","US7238349")</f>
        <v>0.0</v>
      </c>
      <c r="M4219" t="s">
        <v>25712</v>
      </c>
      <c r="N4219" t="s">
        <v>25651</v>
      </c>
      <c r="O4219" t="s">
        <v>25652</v>
      </c>
      <c r="P4219" t="s">
        <v>25713</v>
      </c>
      <c r="Q4219" s="3" t="n">
        <v>36796.0</v>
      </c>
      <c r="R4219" s="3" t="n">
        <v>39266.0</v>
      </c>
      <c r="S4219" s="3" t="n">
        <v>43900.43738974537</v>
      </c>
      <c r="T4219" s="3" t="n">
        <v>43901.72156457176</v>
      </c>
      <c r="U4219" t="s">
        <v>25714</v>
      </c>
      <c r="V4219" t="s">
        <v>25715</v>
      </c>
    </row>
    <row r="4220">
      <c r="A4220" t="s">
        <v>23557</v>
      </c>
      <c r="B4220" t="s">
        <v>25716</v>
      </c>
      <c r="C4220" t="s">
        <v>24</v>
      </c>
      <c r="D4220" t="s">
        <v>187</v>
      </c>
      <c r="E4220" t="s">
        <v>25717</v>
      </c>
      <c r="F4220" s="2" t="n">
        <f>HYPERLINK("https://patents.google.com/patent/US7217510","Google")</f>
        <v>0.0</v>
      </c>
      <c r="G4220" s="2" t="n">
        <f>HYPERLINK("https://patentcenter.uspto.gov/applications/09891793","Patent Center")</f>
        <v>0.0</v>
      </c>
      <c r="H4220" s="2" t="n">
        <f>HYPERLINK("https://worldwide.espacenet.com/patent/search?q=US7217510","Espacenet")</f>
        <v>0.0</v>
      </c>
      <c r="I4220" s="2" t="n">
        <f>HYPERLINK("https://ppubs.uspto.gov/pubwebapp/external.html?q=7217510.pn.","USPTO")</f>
        <v>0.0</v>
      </c>
      <c r="J4220" s="2" t="n">
        <f>HYPERLINK("https://image-ppubs.uspto.gov/dirsearch-public/print/downloadPdf/7217510","USPTO PDF")</f>
        <v>0.0</v>
      </c>
      <c r="K4220" s="2" t="n">
        <f>HYPERLINK("https://sectors.patentforecast.com/pmd/US7217510","PMD")</f>
        <v>0.0</v>
      </c>
      <c r="L4220" s="2" t="n">
        <f>HYPERLINK("https://globaldossier.uspto.gov/result/patent/US/7217510/1","US7217510")</f>
        <v>0.0</v>
      </c>
      <c r="M4220" t="s">
        <v>23483</v>
      </c>
      <c r="N4220" t="s">
        <v>6851</v>
      </c>
      <c r="O4220" t="s">
        <v>6852</v>
      </c>
      <c r="P4220" t="s">
        <v>24756</v>
      </c>
      <c r="Q4220" s="3" t="n">
        <v>37068.0</v>
      </c>
      <c r="R4220" s="3" t="n">
        <v>39217.0</v>
      </c>
      <c r="S4220" s="3" t="n">
        <v>43266.45736216435</v>
      </c>
      <c r="T4220" s="3" t="n">
        <v>43266.61438974537</v>
      </c>
      <c r="U4220" t="s">
        <v>24757</v>
      </c>
      <c r="V4220" t="s">
        <v>19648</v>
      </c>
    </row>
    <row r="4221">
      <c r="A4221" t="s">
        <v>23557</v>
      </c>
      <c r="B4221" t="s">
        <v>25718</v>
      </c>
      <c r="C4221" t="s">
        <v>132</v>
      </c>
      <c r="D4221" t="s">
        <v>2629</v>
      </c>
      <c r="E4221" t="s">
        <v>25719</v>
      </c>
      <c r="F4221" s="2" t="n">
        <f>HYPERLINK("https://patents.google.com/patent/US7192593","Google")</f>
        <v>0.0</v>
      </c>
      <c r="G4221" s="2" t="n">
        <f>HYPERLINK("https://patentcenter.uspto.gov/applications/09733692","Patent Center")</f>
        <v>0.0</v>
      </c>
      <c r="H4221" s="2" t="n">
        <f>HYPERLINK("https://worldwide.espacenet.com/patent/search?q=US7192593","Espacenet")</f>
        <v>0.0</v>
      </c>
      <c r="I4221" s="2" t="n">
        <f>HYPERLINK("https://ppubs.uspto.gov/pubwebapp/external.html?q=7192593.pn.","USPTO")</f>
        <v>0.0</v>
      </c>
      <c r="J4221" s="2" t="n">
        <f>HYPERLINK("https://image-ppubs.uspto.gov/dirsearch-public/print/downloadPdf/7192593","USPTO PDF")</f>
        <v>0.0</v>
      </c>
      <c r="K4221" s="2" t="n">
        <f>HYPERLINK("https://sectors.patentforecast.com/pmd/US7192593","PMD")</f>
        <v>0.0</v>
      </c>
      <c r="L4221" s="2" t="n">
        <f>HYPERLINK("https://globaldossier.uspto.gov/result/patent/US/7192593/1","US7192593")</f>
        <v>0.0</v>
      </c>
      <c r="M4221" t="s">
        <v>25720</v>
      </c>
      <c r="N4221" t="s">
        <v>25721</v>
      </c>
      <c r="O4221" t="s">
        <v>25722</v>
      </c>
      <c r="P4221" t="s">
        <v>25723</v>
      </c>
      <c r="Q4221" s="3" t="n">
        <v>36868.0</v>
      </c>
      <c r="R4221" s="3" t="n">
        <v>39161.0</v>
      </c>
      <c r="S4221" s="3" t="n">
        <v>43966.4860903125</v>
      </c>
      <c r="T4221" s="3" t="n">
        <v>44672.33879877315</v>
      </c>
      <c r="U4221" t="s">
        <v>25724</v>
      </c>
      <c r="V4221" t="s">
        <v>25725</v>
      </c>
    </row>
    <row r="4222">
      <c r="A4222" t="s">
        <v>23557</v>
      </c>
      <c r="B4222" t="s">
        <v>25726</v>
      </c>
      <c r="C4222" t="s">
        <v>24</v>
      </c>
      <c r="D4222" t="s">
        <v>25</v>
      </c>
      <c r="E4222" t="s">
        <v>23302</v>
      </c>
      <c r="F4222" s="2" t="n">
        <f>HYPERLINK("https://patents.google.com/patent/US7171312","Google")</f>
        <v>0.0</v>
      </c>
      <c r="G4222" s="2" t="n">
        <f>HYPERLINK("https://patentcenter.uspto.gov/applications/10698042","Patent Center")</f>
        <v>0.0</v>
      </c>
      <c r="H4222" s="2" t="n">
        <f>HYPERLINK("https://worldwide.espacenet.com/patent/search?q=US7171312","Espacenet")</f>
        <v>0.0</v>
      </c>
      <c r="I4222" s="2" t="n">
        <f>HYPERLINK("https://ppubs.uspto.gov/pubwebapp/external.html?q=7171312.pn.","USPTO")</f>
        <v>0.0</v>
      </c>
      <c r="J4222" s="2" t="n">
        <f>HYPERLINK("https://image-ppubs.uspto.gov/dirsearch-public/print/downloadPdf/7171312","USPTO PDF")</f>
        <v>0.0</v>
      </c>
      <c r="K4222" s="2" t="n">
        <f>HYPERLINK("https://sectors.patentforecast.com/pmd/US7171312","PMD")</f>
        <v>0.0</v>
      </c>
      <c r="L4222" s="2" t="n">
        <f>HYPERLINK("https://globaldossier.uspto.gov/result/patent/US/7171312/1","US7171312")</f>
        <v>0.0</v>
      </c>
      <c r="M4222" t="s">
        <v>23303</v>
      </c>
      <c r="N4222" t="s">
        <v>23304</v>
      </c>
      <c r="O4222" t="s">
        <v>23305</v>
      </c>
      <c r="P4222" t="s">
        <v>25727</v>
      </c>
      <c r="Q4222" s="3" t="n">
        <v>37923.0</v>
      </c>
      <c r="R4222" s="3" t="n">
        <v>39112.0</v>
      </c>
      <c r="S4222" s="3" t="n">
        <v>43266.45736216435</v>
      </c>
      <c r="T4222" s="3" t="n">
        <v>43950.55443375</v>
      </c>
      <c r="U4222" t="s">
        <v>25728</v>
      </c>
      <c r="V4222" t="s">
        <v>23308</v>
      </c>
    </row>
    <row r="4223">
      <c r="A4223" t="s">
        <v>23557</v>
      </c>
      <c r="B4223" t="s">
        <v>25729</v>
      </c>
      <c r="C4223" t="s">
        <v>24</v>
      </c>
      <c r="D4223" t="s">
        <v>25</v>
      </c>
      <c r="E4223" t="s">
        <v>25730</v>
      </c>
      <c r="F4223" s="2" t="n">
        <f>HYPERLINK("https://patents.google.com/patent/US7088230","Google")</f>
        <v>0.0</v>
      </c>
      <c r="G4223" s="2" t="n">
        <f>HYPERLINK("https://patentcenter.uspto.gov/applications/10881995","Patent Center")</f>
        <v>0.0</v>
      </c>
      <c r="H4223" s="2" t="n">
        <f>HYPERLINK("https://worldwide.espacenet.com/patent/search?q=US7088230","Espacenet")</f>
        <v>0.0</v>
      </c>
      <c r="I4223" s="2" t="n">
        <f>HYPERLINK("https://ppubs.uspto.gov/pubwebapp/external.html?q=7088230.pn.","USPTO")</f>
        <v>0.0</v>
      </c>
      <c r="J4223" s="2" t="n">
        <f>HYPERLINK("https://image-ppubs.uspto.gov/dirsearch-public/print/downloadPdf/7088230","USPTO PDF")</f>
        <v>0.0</v>
      </c>
      <c r="K4223" s="2" t="n">
        <f>HYPERLINK("https://sectors.patentforecast.com/pmd/US7088230","PMD")</f>
        <v>0.0</v>
      </c>
      <c r="L4223" s="2" t="n">
        <f>HYPERLINK("https://globaldossier.uspto.gov/result/patent/US/7088230/1","US7088230")</f>
        <v>0.0</v>
      </c>
      <c r="M4223" t="s">
        <v>25731</v>
      </c>
      <c r="N4223" t="s">
        <v>25732</v>
      </c>
      <c r="O4223" t="s">
        <v>25733</v>
      </c>
      <c r="P4223" t="s">
        <v>25734</v>
      </c>
      <c r="Q4223" s="3" t="n">
        <v>38168.0</v>
      </c>
      <c r="R4223" s="3" t="n">
        <v>38937.0</v>
      </c>
      <c r="S4223" s="3" t="n">
        <v>43266.45736216435</v>
      </c>
      <c r="T4223" s="3" t="n">
        <v>43950.55459148148</v>
      </c>
      <c r="U4223" t="s">
        <v>25735</v>
      </c>
      <c r="V4223" t="s">
        <v>25736</v>
      </c>
    </row>
    <row r="4224">
      <c r="A4224" t="s">
        <v>23557</v>
      </c>
      <c r="B4224" t="s">
        <v>25737</v>
      </c>
      <c r="C4224" t="s">
        <v>24</v>
      </c>
      <c r="D4224" t="s">
        <v>25</v>
      </c>
      <c r="E4224" t="s">
        <v>23334</v>
      </c>
      <c r="F4224" s="2" t="n">
        <f>HYPERLINK("https://patents.google.com/patent/US7069233","Google")</f>
        <v>0.0</v>
      </c>
      <c r="G4224" s="2" t="n">
        <f>HYPERLINK("https://patentcenter.uspto.gov/applications/10335467","Patent Center")</f>
        <v>0.0</v>
      </c>
      <c r="H4224" s="2" t="n">
        <f>HYPERLINK("https://worldwide.espacenet.com/patent/search?q=US7069233","Espacenet")</f>
        <v>0.0</v>
      </c>
      <c r="I4224" s="2" t="n">
        <f>HYPERLINK("https://ppubs.uspto.gov/pubwebapp/external.html?q=7069233.pn.","USPTO")</f>
        <v>0.0</v>
      </c>
      <c r="J4224" s="2" t="n">
        <f>HYPERLINK("https://image-ppubs.uspto.gov/dirsearch-public/print/downloadPdf/7069233","USPTO PDF")</f>
        <v>0.0</v>
      </c>
      <c r="K4224" s="2" t="n">
        <f>HYPERLINK("https://sectors.patentforecast.com/pmd/US7069233","PMD")</f>
        <v>0.0</v>
      </c>
      <c r="L4224" s="2" t="n">
        <f>HYPERLINK("https://globaldossier.uspto.gov/result/patent/US/7069233/1","US7069233")</f>
        <v>0.0</v>
      </c>
      <c r="M4224" t="s">
        <v>23335</v>
      </c>
      <c r="N4224" t="s">
        <v>23090</v>
      </c>
      <c r="O4224" t="s">
        <v>23091</v>
      </c>
      <c r="P4224" t="s">
        <v>25738</v>
      </c>
      <c r="Q4224" s="3" t="n">
        <v>37621.0</v>
      </c>
      <c r="R4224" s="3" t="n">
        <v>38895.0</v>
      </c>
      <c r="S4224" s="3" t="n">
        <v>43266.45736216435</v>
      </c>
      <c r="T4224" s="3" t="n">
        <v>43901.721565162035</v>
      </c>
      <c r="U4224" t="s">
        <v>25739</v>
      </c>
      <c r="V4224" t="s">
        <v>23094</v>
      </c>
    </row>
    <row r="4225">
      <c r="A4225" t="s">
        <v>23557</v>
      </c>
      <c r="B4225" t="s">
        <v>25740</v>
      </c>
      <c r="C4225" t="s">
        <v>24</v>
      </c>
      <c r="D4225" t="s">
        <v>204</v>
      </c>
      <c r="E4225" t="s">
        <v>25741</v>
      </c>
      <c r="F4225" s="2" t="n">
        <f>HYPERLINK("https://patents.google.com/patent/US7062553","Google")</f>
        <v>0.0</v>
      </c>
      <c r="G4225" s="2" t="n">
        <f>HYPERLINK("https://patentcenter.uspto.gov/applications/10199078","Patent Center")</f>
        <v>0.0</v>
      </c>
      <c r="H4225" s="2" t="n">
        <f>HYPERLINK("https://worldwide.espacenet.com/patent/search?q=US7062553","Espacenet")</f>
        <v>0.0</v>
      </c>
      <c r="I4225" s="2" t="n">
        <f>HYPERLINK("https://ppubs.uspto.gov/pubwebapp/external.html?q=7062553.pn.","USPTO")</f>
        <v>0.0</v>
      </c>
      <c r="J4225" s="2" t="n">
        <f>HYPERLINK("https://image-ppubs.uspto.gov/dirsearch-public/print/downloadPdf/7062553","USPTO PDF")</f>
        <v>0.0</v>
      </c>
      <c r="K4225" s="2" t="n">
        <f>HYPERLINK("https://sectors.patentforecast.com/pmd/US7062553","PMD")</f>
        <v>0.0</v>
      </c>
      <c r="L4225" s="2" t="n">
        <f>HYPERLINK("https://globaldossier.uspto.gov/result/patent/US/7062553/1","US7062553")</f>
        <v>0.0</v>
      </c>
      <c r="M4225" t="s">
        <v>25742</v>
      </c>
      <c r="N4225" t="s">
        <v>25743</v>
      </c>
      <c r="O4225" t="s">
        <v>25744</v>
      </c>
      <c r="P4225" t="s">
        <v>25745</v>
      </c>
      <c r="Q4225" s="3" t="n">
        <v>37459.0</v>
      </c>
      <c r="R4225" s="3" t="n">
        <v>38881.0</v>
      </c>
      <c r="S4225" s="3" t="n">
        <v>43900.43726825232</v>
      </c>
      <c r="T4225" s="3" t="n">
        <v>43903.68694726852</v>
      </c>
      <c r="U4225" t="s">
        <v>25746</v>
      </c>
      <c r="V4225" t="s">
        <v>25747</v>
      </c>
    </row>
    <row r="4226">
      <c r="A4226" t="s">
        <v>23557</v>
      </c>
      <c r="B4226" t="s">
        <v>25748</v>
      </c>
      <c r="C4226" t="s">
        <v>24</v>
      </c>
      <c r="D4226" t="s">
        <v>25</v>
      </c>
      <c r="E4226" t="s">
        <v>23415</v>
      </c>
      <c r="F4226" s="2" t="n">
        <f>HYPERLINK("https://patents.google.com/patent/US7051009","Google")</f>
        <v>0.0</v>
      </c>
      <c r="G4226" s="2" t="n">
        <f>HYPERLINK("https://patentcenter.uspto.gov/applications/10113318","Patent Center")</f>
        <v>0.0</v>
      </c>
      <c r="H4226" s="2" t="n">
        <f>HYPERLINK("https://worldwide.espacenet.com/patent/search?q=US7051009","Espacenet")</f>
        <v>0.0</v>
      </c>
      <c r="I4226" s="2" t="n">
        <f>HYPERLINK("https://ppubs.uspto.gov/pubwebapp/external.html?q=7051009.pn.","USPTO")</f>
        <v>0.0</v>
      </c>
      <c r="J4226" s="2" t="n">
        <f>HYPERLINK("https://image-ppubs.uspto.gov/dirsearch-public/print/downloadPdf/7051009","USPTO PDF")</f>
        <v>0.0</v>
      </c>
      <c r="K4226" s="2" t="n">
        <f>HYPERLINK("https://sectors.patentforecast.com/pmd/US7051009","PMD")</f>
        <v>0.0</v>
      </c>
      <c r="L4226" s="2" t="n">
        <f>HYPERLINK("https://globaldossier.uspto.gov/result/patent/US/7051009/1","US7051009")</f>
        <v>0.0</v>
      </c>
      <c r="M4226" t="s">
        <v>23416</v>
      </c>
      <c r="N4226" t="s">
        <v>895</v>
      </c>
      <c r="O4226" t="s">
        <v>896</v>
      </c>
      <c r="P4226" t="s">
        <v>25749</v>
      </c>
      <c r="Q4226" s="3" t="n">
        <v>37344.0</v>
      </c>
      <c r="R4226" s="3" t="n">
        <v>38860.0</v>
      </c>
      <c r="S4226" s="3" t="n">
        <v>43266.45736216435</v>
      </c>
      <c r="T4226" s="3" t="n">
        <v>43901.72156489583</v>
      </c>
      <c r="U4226" t="s">
        <v>25092</v>
      </c>
      <c r="V4226" t="s">
        <v>23418</v>
      </c>
    </row>
    <row r="4227">
      <c r="A4227" t="s">
        <v>23557</v>
      </c>
      <c r="B4227" t="s">
        <v>25750</v>
      </c>
      <c r="C4227" t="s">
        <v>60</v>
      </c>
      <c r="D4227" t="s">
        <v>2262</v>
      </c>
      <c r="E4227" t="s">
        <v>23395</v>
      </c>
      <c r="F4227" s="2" t="n">
        <f>HYPERLINK("https://patents.google.com/patent/US7048953","Google")</f>
        <v>0.0</v>
      </c>
      <c r="G4227" s="2" t="n">
        <f>HYPERLINK("https://patentcenter.uspto.gov/applications/10429077","Patent Center")</f>
        <v>0.0</v>
      </c>
      <c r="H4227" s="2" t="n">
        <f>HYPERLINK("https://worldwide.espacenet.com/patent/search?q=US7048953","Espacenet")</f>
        <v>0.0</v>
      </c>
      <c r="I4227" s="2" t="n">
        <f>HYPERLINK("https://ppubs.uspto.gov/pubwebapp/external.html?q=7048953.pn.","USPTO")</f>
        <v>0.0</v>
      </c>
      <c r="J4227" s="2" t="n">
        <f>HYPERLINK("https://image-ppubs.uspto.gov/dirsearch-public/print/downloadPdf/7048953","USPTO PDF")</f>
        <v>0.0</v>
      </c>
      <c r="K4227" s="2" t="n">
        <f>HYPERLINK("https://sectors.patentforecast.com/pmd/US7048953","PMD")</f>
        <v>0.0</v>
      </c>
      <c r="L4227" s="2" t="n">
        <f>HYPERLINK("https://globaldossier.uspto.gov/result/patent/US/7048953/1","US7048953")</f>
        <v>0.0</v>
      </c>
      <c r="M4227" t="s">
        <v>23396</v>
      </c>
      <c r="N4227" t="s">
        <v>23397</v>
      </c>
      <c r="O4227" t="s">
        <v>23398</v>
      </c>
      <c r="P4227" t="s">
        <v>25751</v>
      </c>
      <c r="Q4227" s="3" t="n">
        <v>37743.0</v>
      </c>
      <c r="R4227" s="3" t="n">
        <v>38860.0</v>
      </c>
      <c r="S4227" s="3" t="n">
        <v>43966.4860903125</v>
      </c>
      <c r="T4227" s="3" t="n">
        <v>44678.56052868056</v>
      </c>
      <c r="U4227" t="s">
        <v>25752</v>
      </c>
      <c r="V4227" t="s">
        <v>23401</v>
      </c>
    </row>
    <row r="4228">
      <c r="A4228" t="s">
        <v>23557</v>
      </c>
      <c r="B4228" t="s">
        <v>25753</v>
      </c>
      <c r="C4228" t="s">
        <v>24</v>
      </c>
      <c r="D4228" t="s">
        <v>25</v>
      </c>
      <c r="E4228" t="s">
        <v>23420</v>
      </c>
      <c r="F4228" s="2" t="n">
        <f>HYPERLINK("https://patents.google.com/patent/US7024370","Google")</f>
        <v>0.0</v>
      </c>
      <c r="G4228" s="2" t="n">
        <f>HYPERLINK("https://patentcenter.uspto.gov/applications/10106841","Patent Center")</f>
        <v>0.0</v>
      </c>
      <c r="H4228" s="2" t="n">
        <f>HYPERLINK("https://worldwide.espacenet.com/patent/search?q=US7024370","Espacenet")</f>
        <v>0.0</v>
      </c>
      <c r="I4228" s="2" t="n">
        <f>HYPERLINK("https://ppubs.uspto.gov/pubwebapp/external.html?q=7024370.pn.","USPTO")</f>
        <v>0.0</v>
      </c>
      <c r="J4228" s="2" t="n">
        <f>HYPERLINK("https://image-ppubs.uspto.gov/dirsearch-public/print/downloadPdf/7024370","USPTO PDF")</f>
        <v>0.0</v>
      </c>
      <c r="K4228" s="2" t="n">
        <f>HYPERLINK("https://sectors.patentforecast.com/pmd/US7024370","PMD")</f>
        <v>0.0</v>
      </c>
      <c r="L4228" s="2" t="n">
        <f>HYPERLINK("https://globaldossier.uspto.gov/result/patent/US/7024370/1","US7024370")</f>
        <v>0.0</v>
      </c>
      <c r="M4228" t="s">
        <v>23421</v>
      </c>
      <c r="N4228" t="s">
        <v>23422</v>
      </c>
      <c r="O4228" t="s">
        <v>23423</v>
      </c>
      <c r="P4228" t="s">
        <v>25754</v>
      </c>
      <c r="Q4228" s="3" t="n">
        <v>37341.0</v>
      </c>
      <c r="R4228" s="3" t="n">
        <v>38811.0</v>
      </c>
      <c r="S4228" s="3" t="n">
        <v>43266.45736216435</v>
      </c>
      <c r="T4228" s="3" t="n">
        <v>43901.72156353009</v>
      </c>
      <c r="U4228" t="s">
        <v>25755</v>
      </c>
      <c r="V4228" t="s">
        <v>23426</v>
      </c>
    </row>
    <row r="4229">
      <c r="A4229" t="s">
        <v>23557</v>
      </c>
      <c r="B4229" t="s">
        <v>25756</v>
      </c>
      <c r="C4229" t="s">
        <v>24</v>
      </c>
      <c r="D4229" t="s">
        <v>100</v>
      </c>
      <c r="E4229" t="s">
        <v>23106</v>
      </c>
      <c r="F4229" s="2" t="n">
        <f>HYPERLINK("https://patents.google.com/patent/US7015816","Google")</f>
        <v>0.0</v>
      </c>
      <c r="G4229" s="2" t="n">
        <f>HYPERLINK("https://patentcenter.uspto.gov/applications/10698652","Patent Center")</f>
        <v>0.0</v>
      </c>
      <c r="H4229" s="2" t="n">
        <f>HYPERLINK("https://worldwide.espacenet.com/patent/search?q=US7015816","Espacenet")</f>
        <v>0.0</v>
      </c>
      <c r="I4229" s="2" t="n">
        <f>HYPERLINK("https://ppubs.uspto.gov/pubwebapp/external.html?q=7015816.pn.","USPTO")</f>
        <v>0.0</v>
      </c>
      <c r="J4229" s="2" t="n">
        <f>HYPERLINK("https://image-ppubs.uspto.gov/dirsearch-public/print/downloadPdf/7015816","USPTO PDF")</f>
        <v>0.0</v>
      </c>
      <c r="K4229" s="2" t="n">
        <f>HYPERLINK("https://sectors.patentforecast.com/pmd/US7015816","PMD")</f>
        <v>0.0</v>
      </c>
      <c r="L4229" s="2" t="n">
        <f>HYPERLINK("https://globaldossier.uspto.gov/result/patent/US/7015816/1","US7015816")</f>
        <v>0.0</v>
      </c>
      <c r="M4229" t="s">
        <v>23362</v>
      </c>
      <c r="N4229" t="s">
        <v>20565</v>
      </c>
      <c r="O4229" t="s">
        <v>20566</v>
      </c>
      <c r="P4229" t="s">
        <v>25185</v>
      </c>
      <c r="Q4229" s="3" t="n">
        <v>37925.0</v>
      </c>
      <c r="R4229" s="3" t="n">
        <v>38797.0</v>
      </c>
      <c r="S4229" s="3" t="n">
        <v>43266.45736260417</v>
      </c>
      <c r="T4229" s="3" t="n">
        <v>43906.35771765046</v>
      </c>
      <c r="U4229" t="s">
        <v>23990</v>
      </c>
      <c r="V4229" t="s">
        <v>21865</v>
      </c>
    </row>
    <row r="4230">
      <c r="A4230" t="s">
        <v>23557</v>
      </c>
      <c r="B4230" t="s">
        <v>25757</v>
      </c>
      <c r="C4230" t="s">
        <v>312</v>
      </c>
      <c r="D4230" t="s">
        <v>3202</v>
      </c>
      <c r="E4230" t="s">
        <v>23072</v>
      </c>
      <c r="F4230" s="2" t="n">
        <f>HYPERLINK("https://patents.google.com/patent/US6985829","Google")</f>
        <v>0.0</v>
      </c>
      <c r="G4230" s="2" t="n">
        <f>HYPERLINK("https://patentcenter.uspto.gov/applications/10775319","Patent Center")</f>
        <v>0.0</v>
      </c>
      <c r="H4230" s="2" t="n">
        <f>HYPERLINK("https://worldwide.espacenet.com/patent/search?q=US6985829","Espacenet")</f>
        <v>0.0</v>
      </c>
      <c r="I4230" s="2" t="n">
        <f>HYPERLINK("https://ppubs.uspto.gov/pubwebapp/external.html?q=6985829.pn.","USPTO")</f>
        <v>0.0</v>
      </c>
      <c r="J4230" s="2" t="n">
        <f>HYPERLINK("https://image-ppubs.uspto.gov/dirsearch-public/print/downloadPdf/6985829","USPTO PDF")</f>
        <v>0.0</v>
      </c>
      <c r="K4230" s="2" t="n">
        <f>HYPERLINK("https://sectors.patentforecast.com/pmd/US6985829","PMD")</f>
        <v>0.0</v>
      </c>
      <c r="L4230" s="2" t="n">
        <f>HYPERLINK("https://globaldossier.uspto.gov/result/patent/US/6985829/1","US6985829")</f>
        <v>0.0</v>
      </c>
      <c r="M4230" t="s">
        <v>23318</v>
      </c>
      <c r="N4230" t="s">
        <v>23074</v>
      </c>
      <c r="O4230" t="s">
        <v>23075</v>
      </c>
      <c r="P4230" t="s">
        <v>25758</v>
      </c>
      <c r="Q4230" s="3" t="n">
        <v>38027.0</v>
      </c>
      <c r="R4230" s="3" t="n">
        <v>38727.0</v>
      </c>
      <c r="S4230" s="3" t="n">
        <v>43266.45736260417</v>
      </c>
      <c r="T4230" s="3" t="n">
        <v>43950.593528125</v>
      </c>
      <c r="U4230" t="s">
        <v>25759</v>
      </c>
      <c r="V4230" t="s">
        <v>23078</v>
      </c>
    </row>
    <row r="4231">
      <c r="A4231" t="s">
        <v>23557</v>
      </c>
      <c r="B4231" t="s">
        <v>25760</v>
      </c>
      <c r="C4231" t="s">
        <v>132</v>
      </c>
      <c r="D4231" t="s">
        <v>11423</v>
      </c>
      <c r="E4231" t="s">
        <v>23244</v>
      </c>
      <c r="F4231" s="2" t="n">
        <f>HYPERLINK("https://patents.google.com/patent/US6861410","Google")</f>
        <v>0.0</v>
      </c>
      <c r="G4231" s="2" t="n">
        <f>HYPERLINK("https://patentcenter.uspto.gov/applications/10103673","Patent Center")</f>
        <v>0.0</v>
      </c>
      <c r="H4231" s="2" t="n">
        <f>HYPERLINK("https://worldwide.espacenet.com/patent/search?q=US6861410","Espacenet")</f>
        <v>0.0</v>
      </c>
      <c r="I4231" s="2" t="n">
        <f>HYPERLINK("https://ppubs.uspto.gov/pubwebapp/external.html?q=6861410.pn.","USPTO")</f>
        <v>0.0</v>
      </c>
      <c r="J4231" s="2" t="n">
        <f>HYPERLINK("https://image-ppubs.uspto.gov/dirsearch-public/print/downloadPdf/6861410","USPTO PDF")</f>
        <v>0.0</v>
      </c>
      <c r="K4231" s="2" t="n">
        <f>HYPERLINK("https://sectors.patentforecast.com/pmd/US6861410","PMD")</f>
        <v>0.0</v>
      </c>
      <c r="L4231" s="2" t="n">
        <f>HYPERLINK("https://globaldossier.uspto.gov/result/patent/US/6861410/1","US6861410")</f>
        <v>0.0</v>
      </c>
      <c r="M4231" t="s">
        <v>25761</v>
      </c>
      <c r="N4231" t="s">
        <v>16845</v>
      </c>
      <c r="O4231" t="s">
        <v>16846</v>
      </c>
      <c r="P4231" t="s">
        <v>25762</v>
      </c>
      <c r="Q4231" s="3" t="n">
        <v>37336.0</v>
      </c>
      <c r="R4231" s="3" t="n">
        <v>38412.0</v>
      </c>
      <c r="S4231" s="3" t="n">
        <v>44179.58158761574</v>
      </c>
      <c r="T4231" s="3" t="n">
        <v>44678.4587296875</v>
      </c>
      <c r="U4231" t="s">
        <v>25763</v>
      </c>
      <c r="V4231" t="s">
        <v>23248</v>
      </c>
    </row>
    <row r="4232">
      <c r="A4232" t="s">
        <v>23557</v>
      </c>
      <c r="B4232" t="s">
        <v>25764</v>
      </c>
      <c r="C4232" t="s">
        <v>24</v>
      </c>
      <c r="D4232" t="s">
        <v>25</v>
      </c>
      <c r="E4232" t="s">
        <v>23354</v>
      </c>
      <c r="F4232" s="2" t="n">
        <f>HYPERLINK("https://patents.google.com/patent/US6838993","Google")</f>
        <v>0.0</v>
      </c>
      <c r="G4232" s="2" t="n">
        <f>HYPERLINK("https://patentcenter.uspto.gov/applications/10080746","Patent Center")</f>
        <v>0.0</v>
      </c>
      <c r="H4232" s="2" t="n">
        <f>HYPERLINK("https://worldwide.espacenet.com/patent/search?q=US6838993","Espacenet")</f>
        <v>0.0</v>
      </c>
      <c r="I4232" s="2" t="n">
        <f>HYPERLINK("https://ppubs.uspto.gov/pubwebapp/external.html?q=6838993.pn.","USPTO")</f>
        <v>0.0</v>
      </c>
      <c r="J4232" s="2" t="n">
        <f>HYPERLINK("https://image-ppubs.uspto.gov/dirsearch-public/print/downloadPdf/6838993","USPTO PDF")</f>
        <v>0.0</v>
      </c>
      <c r="K4232" s="2" t="n">
        <f>HYPERLINK("https://sectors.patentforecast.com/pmd/US6838993","PMD")</f>
        <v>0.0</v>
      </c>
      <c r="L4232" s="2" t="n">
        <f>HYPERLINK("https://globaldossier.uspto.gov/result/patent/US/6838993/1","US6838993")</f>
        <v>0.0</v>
      </c>
      <c r="M4232" t="s">
        <v>23355</v>
      </c>
      <c r="N4232" t="s">
        <v>23356</v>
      </c>
      <c r="O4232" t="s">
        <v>23357</v>
      </c>
      <c r="P4232" t="s">
        <v>25765</v>
      </c>
      <c r="Q4232" s="3" t="n">
        <v>37309.0</v>
      </c>
      <c r="R4232" s="3" t="n">
        <v>38356.0</v>
      </c>
      <c r="S4232" s="3" t="n">
        <v>43266.45736260417</v>
      </c>
      <c r="T4232" s="3" t="n">
        <v>43901.721565011576</v>
      </c>
      <c r="U4232" t="s">
        <v>25766</v>
      </c>
      <c r="V4232" t="s">
        <v>23360</v>
      </c>
    </row>
    <row r="4233">
      <c r="A4233" t="s">
        <v>23557</v>
      </c>
      <c r="B4233" t="s">
        <v>25767</v>
      </c>
      <c r="C4233" t="s">
        <v>24</v>
      </c>
      <c r="D4233" t="s">
        <v>25</v>
      </c>
      <c r="E4233" t="s">
        <v>23469</v>
      </c>
      <c r="F4233" s="2" t="n">
        <f>HYPERLINK("https://patents.google.com/patent/US6803202","Google")</f>
        <v>0.0</v>
      </c>
      <c r="G4233" s="2" t="n">
        <f>HYPERLINK("https://patentcenter.uspto.gov/applications/10055318","Patent Center")</f>
        <v>0.0</v>
      </c>
      <c r="H4233" s="2" t="n">
        <f>HYPERLINK("https://worldwide.espacenet.com/patent/search?q=US6803202","Espacenet")</f>
        <v>0.0</v>
      </c>
      <c r="I4233" s="2" t="n">
        <f>HYPERLINK("https://ppubs.uspto.gov/pubwebapp/external.html?q=6803202.pn.","USPTO")</f>
        <v>0.0</v>
      </c>
      <c r="J4233" s="2" t="n">
        <f>HYPERLINK("https://image-ppubs.uspto.gov/dirsearch-public/print/downloadPdf/6803202","USPTO PDF")</f>
        <v>0.0</v>
      </c>
      <c r="K4233" s="2" t="n">
        <f>HYPERLINK("https://sectors.patentforecast.com/pmd/US6803202","PMD")</f>
        <v>0.0</v>
      </c>
      <c r="L4233" s="2" t="n">
        <f>HYPERLINK("https://globaldossier.uspto.gov/result/patent/US/6803202/1","US6803202")</f>
        <v>0.0</v>
      </c>
      <c r="M4233" t="s">
        <v>23470</v>
      </c>
      <c r="N4233" t="s">
        <v>25768</v>
      </c>
      <c r="O4233" t="s">
        <v>25769</v>
      </c>
      <c r="P4233" t="s">
        <v>25770</v>
      </c>
      <c r="Q4233" s="3" t="n">
        <v>37187.0</v>
      </c>
      <c r="R4233" s="3" t="n">
        <v>38272.0</v>
      </c>
      <c r="S4233" s="3" t="n">
        <v>43266.45736260417</v>
      </c>
      <c r="T4233" s="3" t="n">
        <v>43901.721564513886</v>
      </c>
      <c r="U4233" t="s">
        <v>25771</v>
      </c>
      <c r="V4233" t="s">
        <v>25772</v>
      </c>
    </row>
    <row r="4234">
      <c r="A4234" t="s">
        <v>23557</v>
      </c>
      <c r="B4234" t="s">
        <v>25773</v>
      </c>
      <c r="C4234" t="s">
        <v>132</v>
      </c>
      <c r="D4234" t="s">
        <v>1265</v>
      </c>
      <c r="E4234" t="s">
        <v>25774</v>
      </c>
      <c r="F4234" s="2" t="n">
        <f>HYPERLINK("https://patents.google.com/patent/US6787145","Google")</f>
        <v>0.0</v>
      </c>
      <c r="G4234" s="2" t="n">
        <f>HYPERLINK("https://patentcenter.uspto.gov/applications/09724475","Patent Center")</f>
        <v>0.0</v>
      </c>
      <c r="H4234" s="2" t="n">
        <f>HYPERLINK("https://worldwide.espacenet.com/patent/search?q=US6787145","Espacenet")</f>
        <v>0.0</v>
      </c>
      <c r="I4234" s="2" t="n">
        <f>HYPERLINK("https://ppubs.uspto.gov/pubwebapp/external.html?q=6787145.pn.","USPTO")</f>
        <v>0.0</v>
      </c>
      <c r="J4234" s="2" t="n">
        <f>HYPERLINK("https://image-ppubs.uspto.gov/dirsearch-public/print/downloadPdf/6787145","USPTO PDF")</f>
        <v>0.0</v>
      </c>
      <c r="K4234" s="2" t="n">
        <f>HYPERLINK("https://sectors.patentforecast.com/pmd/US6787145","PMD")</f>
        <v>0.0</v>
      </c>
      <c r="L4234" s="2" t="n">
        <f>HYPERLINK("https://globaldossier.uspto.gov/result/patent/US/6787145/1","US6787145")</f>
        <v>0.0</v>
      </c>
      <c r="M4234" t="s">
        <v>25775</v>
      </c>
      <c r="N4234" t="s">
        <v>19264</v>
      </c>
      <c r="O4234" t="s">
        <v>19264</v>
      </c>
      <c r="P4234" t="s">
        <v>25776</v>
      </c>
      <c r="Q4234" s="3" t="n">
        <v>36858.0</v>
      </c>
      <c r="R4234" s="3" t="n">
        <v>38237.0</v>
      </c>
      <c r="S4234" s="3" t="n">
        <v>43900.43738974537</v>
      </c>
      <c r="T4234" s="3" t="n">
        <v>43901.72156387731</v>
      </c>
      <c r="U4234" t="s">
        <v>25777</v>
      </c>
      <c r="V4234" t="s">
        <v>25778</v>
      </c>
    </row>
    <row r="4235">
      <c r="A4235" t="s">
        <v>23557</v>
      </c>
      <c r="B4235" t="s">
        <v>25779</v>
      </c>
      <c r="C4235" t="s">
        <v>60</v>
      </c>
      <c r="D4235" t="s">
        <v>845</v>
      </c>
      <c r="E4235" t="s">
        <v>23452</v>
      </c>
      <c r="F4235" s="2" t="n">
        <f>HYPERLINK("https://patents.google.com/patent/US6770029","Google")</f>
        <v>0.0</v>
      </c>
      <c r="G4235" s="2" t="n">
        <f>HYPERLINK("https://patentcenter.uspto.gov/applications/10368681","Patent Center")</f>
        <v>0.0</v>
      </c>
      <c r="H4235" s="2" t="n">
        <f>HYPERLINK("https://worldwide.espacenet.com/patent/search?q=US6770029","Espacenet")</f>
        <v>0.0</v>
      </c>
      <c r="I4235" s="2" t="n">
        <f>HYPERLINK("https://ppubs.uspto.gov/pubwebapp/external.html?q=6770029.pn.","USPTO")</f>
        <v>0.0</v>
      </c>
      <c r="J4235" s="2" t="n">
        <f>HYPERLINK("https://image-ppubs.uspto.gov/dirsearch-public/print/downloadPdf/6770029","USPTO PDF")</f>
        <v>0.0</v>
      </c>
      <c r="K4235" s="2" t="n">
        <f>HYPERLINK("https://sectors.patentforecast.com/pmd/US6770029","PMD")</f>
        <v>0.0</v>
      </c>
      <c r="L4235" s="2" t="n">
        <f>HYPERLINK("https://globaldossier.uspto.gov/result/patent/US/6770029/1","US6770029")</f>
        <v>0.0</v>
      </c>
      <c r="M4235" t="s">
        <v>23453</v>
      </c>
      <c r="N4235" t="s">
        <v>22835</v>
      </c>
      <c r="O4235" t="s">
        <v>22836</v>
      </c>
      <c r="P4235" t="s">
        <v>25027</v>
      </c>
      <c r="Q4235" s="3" t="n">
        <v>37665.0</v>
      </c>
      <c r="R4235" s="3" t="n">
        <v>38202.0</v>
      </c>
      <c r="S4235" s="3" t="n">
        <v>43906.37295873842</v>
      </c>
      <c r="T4235" s="3" t="n">
        <v>44643.42310893519</v>
      </c>
      <c r="U4235" t="s">
        <v>24898</v>
      </c>
      <c r="V4235" t="s">
        <v>22839</v>
      </c>
    </row>
    <row r="4236">
      <c r="A4236" t="s">
        <v>23557</v>
      </c>
      <c r="B4236" t="s">
        <v>25780</v>
      </c>
      <c r="C4236" t="s">
        <v>24</v>
      </c>
      <c r="D4236" t="s">
        <v>25</v>
      </c>
      <c r="E4236" t="s">
        <v>25781</v>
      </c>
      <c r="F4236" s="2" t="n">
        <f>HYPERLINK("https://patents.google.com/patent/US6766277","Google")</f>
        <v>0.0</v>
      </c>
      <c r="G4236" s="2" t="n">
        <f>HYPERLINK("https://patentcenter.uspto.gov/applications/09882886","Patent Center")</f>
        <v>0.0</v>
      </c>
      <c r="H4236" s="2" t="n">
        <f>HYPERLINK("https://worldwide.espacenet.com/patent/search?q=US6766277","Espacenet")</f>
        <v>0.0</v>
      </c>
      <c r="I4236" s="2" t="n">
        <f>HYPERLINK("https://ppubs.uspto.gov/pubwebapp/external.html?q=6766277.pn.","USPTO")</f>
        <v>0.0</v>
      </c>
      <c r="J4236" s="2" t="n">
        <f>HYPERLINK("https://image-ppubs.uspto.gov/dirsearch-public/print/downloadPdf/6766277","USPTO PDF")</f>
        <v>0.0</v>
      </c>
      <c r="K4236" s="2" t="n">
        <f>HYPERLINK("https://sectors.patentforecast.com/pmd/US6766277","PMD")</f>
        <v>0.0</v>
      </c>
      <c r="L4236" s="2" t="n">
        <f>HYPERLINK("https://globaldossier.uspto.gov/result/patent/US/6766277/1","US6766277")</f>
        <v>0.0</v>
      </c>
      <c r="M4236" t="s">
        <v>23517</v>
      </c>
      <c r="N4236" t="s">
        <v>22320</v>
      </c>
      <c r="O4236" t="s">
        <v>22321</v>
      </c>
      <c r="P4236" t="s">
        <v>25782</v>
      </c>
      <c r="Q4236" s="3" t="n">
        <v>37057.0</v>
      </c>
      <c r="R4236" s="3" t="n">
        <v>38188.0</v>
      </c>
      <c r="S4236" s="3" t="n">
        <v>43266.45736260417</v>
      </c>
      <c r="T4236" s="3" t="n">
        <v>43901.72156353009</v>
      </c>
      <c r="U4236" t="s">
        <v>25783</v>
      </c>
      <c r="V4236" t="s">
        <v>25784</v>
      </c>
    </row>
    <row r="4237">
      <c r="A4237" t="s">
        <v>23557</v>
      </c>
      <c r="B4237" t="s">
        <v>25785</v>
      </c>
      <c r="C4237" t="s">
        <v>24</v>
      </c>
      <c r="D4237" t="s">
        <v>1356</v>
      </c>
      <c r="E4237" t="s">
        <v>25786</v>
      </c>
      <c r="F4237" s="2" t="n">
        <f>HYPERLINK("https://patents.google.com/patent/US6761312","Google")</f>
        <v>0.0</v>
      </c>
      <c r="G4237" s="2" t="n">
        <f>HYPERLINK("https://patentcenter.uspto.gov/applications/10170781","Patent Center")</f>
        <v>0.0</v>
      </c>
      <c r="H4237" s="2" t="n">
        <f>HYPERLINK("https://worldwide.espacenet.com/patent/search?q=US6761312","Espacenet")</f>
        <v>0.0</v>
      </c>
      <c r="I4237" s="2" t="n">
        <f>HYPERLINK("https://ppubs.uspto.gov/pubwebapp/external.html?q=6761312.pn.","USPTO")</f>
        <v>0.0</v>
      </c>
      <c r="J4237" s="2" t="n">
        <f>HYPERLINK("https://image-ppubs.uspto.gov/dirsearch-public/print/downloadPdf/6761312","USPTO PDF")</f>
        <v>0.0</v>
      </c>
      <c r="K4237" s="2" t="n">
        <f>HYPERLINK("https://sectors.patentforecast.com/pmd/US6761312","PMD")</f>
        <v>0.0</v>
      </c>
      <c r="L4237" s="2" t="n">
        <f>HYPERLINK("https://globaldossier.uspto.gov/result/patent/US/6761312/1","US6761312")</f>
        <v>0.0</v>
      </c>
      <c r="M4237" t="s">
        <v>25787</v>
      </c>
      <c r="N4237" t="s">
        <v>25788</v>
      </c>
      <c r="O4237" t="s">
        <v>25789</v>
      </c>
      <c r="P4237" t="s">
        <v>25790</v>
      </c>
      <c r="Q4237" s="3" t="n">
        <v>37419.0</v>
      </c>
      <c r="R4237" s="3" t="n">
        <v>38181.0</v>
      </c>
      <c r="S4237" s="3" t="n">
        <v>43266.45736260417</v>
      </c>
      <c r="T4237" s="3" t="n">
        <v>43901.721564293985</v>
      </c>
      <c r="U4237" t="s">
        <v>25791</v>
      </c>
      <c r="V4237" t="s">
        <v>25792</v>
      </c>
    </row>
    <row r="4238">
      <c r="A4238" t="s">
        <v>23557</v>
      </c>
      <c r="B4238" t="s">
        <v>25793</v>
      </c>
      <c r="C4238" t="s">
        <v>312</v>
      </c>
      <c r="D4238" t="s">
        <v>3202</v>
      </c>
      <c r="E4238" t="s">
        <v>23072</v>
      </c>
      <c r="F4238" s="2" t="n">
        <f>HYPERLINK("https://patents.google.com/patent/US6738728","Google")</f>
        <v>0.0</v>
      </c>
      <c r="G4238" s="2" t="n">
        <f>HYPERLINK("https://patentcenter.uspto.gov/applications/10457963","Patent Center")</f>
        <v>0.0</v>
      </c>
      <c r="H4238" s="2" t="n">
        <f>HYPERLINK("https://worldwide.espacenet.com/patent/search?q=US6738728","Espacenet")</f>
        <v>0.0</v>
      </c>
      <c r="I4238" s="2" t="n">
        <f>HYPERLINK("https://ppubs.uspto.gov/pubwebapp/external.html?q=6738728.pn.","USPTO")</f>
        <v>0.0</v>
      </c>
      <c r="J4238" s="2" t="n">
        <f>HYPERLINK("https://image-ppubs.uspto.gov/dirsearch-public/print/downloadPdf/6738728","USPTO PDF")</f>
        <v>0.0</v>
      </c>
      <c r="K4238" s="2" t="n">
        <f>HYPERLINK("https://sectors.patentforecast.com/pmd/US6738728","PMD")</f>
        <v>0.0</v>
      </c>
      <c r="L4238" s="2" t="n">
        <f>HYPERLINK("https://globaldossier.uspto.gov/result/patent/US/6738728/1","US6738728")</f>
        <v>0.0</v>
      </c>
      <c r="M4238" t="s">
        <v>23407</v>
      </c>
      <c r="N4238" t="s">
        <v>23074</v>
      </c>
      <c r="O4238" t="s">
        <v>23075</v>
      </c>
      <c r="P4238" t="s">
        <v>25758</v>
      </c>
      <c r="Q4238" s="3" t="n">
        <v>37782.0</v>
      </c>
      <c r="R4238" s="3" t="n">
        <v>38125.0</v>
      </c>
      <c r="S4238" s="3" t="n">
        <v>43266.45736260417</v>
      </c>
      <c r="T4238" s="3" t="n">
        <v>43950.593528125</v>
      </c>
      <c r="U4238" t="s">
        <v>25759</v>
      </c>
      <c r="V4238" t="s">
        <v>25794</v>
      </c>
    </row>
    <row r="4239">
      <c r="A4239" t="s">
        <v>23557</v>
      </c>
      <c r="B4239" t="s">
        <v>25795</v>
      </c>
      <c r="C4239" t="s">
        <v>24</v>
      </c>
      <c r="D4239" t="s">
        <v>100</v>
      </c>
      <c r="E4239" t="s">
        <v>23106</v>
      </c>
      <c r="F4239" s="2" t="n">
        <f>HYPERLINK("https://patents.google.com/patent/US6727818","Google")</f>
        <v>0.0</v>
      </c>
      <c r="G4239" s="2" t="n">
        <f>HYPERLINK("https://patentcenter.uspto.gov/applications/09699796","Patent Center")</f>
        <v>0.0</v>
      </c>
      <c r="H4239" s="2" t="n">
        <f>HYPERLINK("https://worldwide.espacenet.com/patent/search?q=US6727818","Espacenet")</f>
        <v>0.0</v>
      </c>
      <c r="I4239" s="2" t="n">
        <f>HYPERLINK("https://ppubs.uspto.gov/pubwebapp/external.html?q=6727818.pn.","USPTO")</f>
        <v>0.0</v>
      </c>
      <c r="J4239" s="2" t="n">
        <f>HYPERLINK("https://image-ppubs.uspto.gov/dirsearch-public/print/downloadPdf/6727818","USPTO PDF")</f>
        <v>0.0</v>
      </c>
      <c r="K4239" s="2" t="n">
        <f>HYPERLINK("https://sectors.patentforecast.com/pmd/US6727818","PMD")</f>
        <v>0.0</v>
      </c>
      <c r="L4239" s="2" t="n">
        <f>HYPERLINK("https://globaldossier.uspto.gov/result/patent/US/6727818/1","US6727818")</f>
        <v>0.0</v>
      </c>
      <c r="M4239" t="s">
        <v>25796</v>
      </c>
      <c r="N4239" t="s">
        <v>20565</v>
      </c>
      <c r="O4239" t="s">
        <v>20566</v>
      </c>
      <c r="P4239" t="s">
        <v>25185</v>
      </c>
      <c r="Q4239" s="3" t="n">
        <v>36829.0</v>
      </c>
      <c r="R4239" s="3" t="n">
        <v>38104.0</v>
      </c>
      <c r="S4239" s="3" t="n">
        <v>43266.45736259259</v>
      </c>
      <c r="T4239" s="3" t="n">
        <v>43901.72156537037</v>
      </c>
      <c r="U4239" t="s">
        <v>23990</v>
      </c>
      <c r="V4239" t="s">
        <v>25797</v>
      </c>
    </row>
    <row r="4240">
      <c r="A4240" t="s">
        <v>23557</v>
      </c>
      <c r="B4240" t="s">
        <v>25798</v>
      </c>
      <c r="C4240" t="s">
        <v>132</v>
      </c>
      <c r="D4240" t="s">
        <v>1265</v>
      </c>
      <c r="E4240" t="s">
        <v>25774</v>
      </c>
      <c r="F4240" s="2" t="n">
        <f>HYPERLINK("https://patents.google.com/patent/US6706873","Google")</f>
        <v>0.0</v>
      </c>
      <c r="G4240" s="2" t="n">
        <f>HYPERLINK("https://patentcenter.uspto.gov/applications/08316765","Patent Center")</f>
        <v>0.0</v>
      </c>
      <c r="H4240" s="2" t="n">
        <f>HYPERLINK("https://worldwide.espacenet.com/patent/search?q=US6706873","Espacenet")</f>
        <v>0.0</v>
      </c>
      <c r="I4240" s="2" t="n">
        <f>HYPERLINK("https://ppubs.uspto.gov/pubwebapp/external.html?q=6706873.pn.","USPTO")</f>
        <v>0.0</v>
      </c>
      <c r="J4240" s="2" t="n">
        <f>HYPERLINK("https://image-ppubs.uspto.gov/dirsearch-public/print/downloadPdf/6706873","USPTO PDF")</f>
        <v>0.0</v>
      </c>
      <c r="K4240" s="2" t="n">
        <f>HYPERLINK("https://sectors.patentforecast.com/pmd/US6706873","PMD")</f>
        <v>0.0</v>
      </c>
      <c r="L4240" s="2" t="n">
        <f>HYPERLINK("https://globaldossier.uspto.gov/result/patent/US/6706873/1","US6706873")</f>
        <v>0.0</v>
      </c>
      <c r="M4240" t="s">
        <v>25799</v>
      </c>
      <c r="N4240" t="s">
        <v>1792</v>
      </c>
      <c r="O4240" t="s">
        <v>1793</v>
      </c>
      <c r="P4240" t="s">
        <v>25776</v>
      </c>
      <c r="Q4240" s="3" t="n">
        <v>34610.0</v>
      </c>
      <c r="R4240" s="3" t="n">
        <v>38062.0</v>
      </c>
      <c r="S4240" s="3" t="n">
        <v>43900.43738974537</v>
      </c>
      <c r="T4240" s="3" t="n">
        <v>43901.72156493056</v>
      </c>
      <c r="U4240" t="s">
        <v>25800</v>
      </c>
      <c r="V4240" t="s">
        <v>25778</v>
      </c>
    </row>
    <row r="4241">
      <c r="A4241" t="s">
        <v>23557</v>
      </c>
      <c r="B4241" t="s">
        <v>25801</v>
      </c>
      <c r="C4241" t="s">
        <v>60</v>
      </c>
      <c r="D4241" t="s">
        <v>61</v>
      </c>
      <c r="E4241" t="s">
        <v>25802</v>
      </c>
      <c r="F4241" s="2" t="n">
        <f>HYPERLINK("https://patents.google.com/patent/US6705556","Google")</f>
        <v>0.0</v>
      </c>
      <c r="G4241" s="2" t="n">
        <f>HYPERLINK("https://patentcenter.uspto.gov/applications/10115653","Patent Center")</f>
        <v>0.0</v>
      </c>
      <c r="H4241" s="2" t="n">
        <f>HYPERLINK("https://worldwide.espacenet.com/patent/search?q=US6705556","Espacenet")</f>
        <v>0.0</v>
      </c>
      <c r="I4241" s="2" t="n">
        <f>HYPERLINK("https://ppubs.uspto.gov/pubwebapp/external.html?q=6705556.pn.","USPTO")</f>
        <v>0.0</v>
      </c>
      <c r="J4241" s="2" t="n">
        <f>HYPERLINK("https://image-ppubs.uspto.gov/dirsearch-public/print/downloadPdf/6705556","USPTO PDF")</f>
        <v>0.0</v>
      </c>
      <c r="K4241" s="2" t="n">
        <f>HYPERLINK("https://sectors.patentforecast.com/pmd/US6705556","PMD")</f>
        <v>0.0</v>
      </c>
      <c r="L4241" s="2" t="n">
        <f>HYPERLINK("https://globaldossier.uspto.gov/result/patent/US/6705556/1","US6705556")</f>
        <v>0.0</v>
      </c>
      <c r="M4241" t="s">
        <v>23503</v>
      </c>
      <c r="N4241" t="s">
        <v>23504</v>
      </c>
      <c r="O4241" t="s">
        <v>23505</v>
      </c>
      <c r="P4241" t="s">
        <v>25803</v>
      </c>
      <c r="Q4241" s="3" t="n">
        <v>37343.0</v>
      </c>
      <c r="R4241" s="3" t="n">
        <v>38062.0</v>
      </c>
      <c r="S4241" s="3" t="n">
        <v>43900.43738974537</v>
      </c>
      <c r="T4241" s="3" t="n">
        <v>43901.721564837964</v>
      </c>
      <c r="U4241" t="s">
        <v>25804</v>
      </c>
      <c r="V4241" t="s">
        <v>25805</v>
      </c>
    </row>
    <row r="4242">
      <c r="A4242" t="s">
        <v>23557</v>
      </c>
      <c r="B4242" t="s">
        <v>25806</v>
      </c>
      <c r="C4242" t="s">
        <v>132</v>
      </c>
      <c r="D4242" t="s">
        <v>1265</v>
      </c>
      <c r="E4242" t="s">
        <v>25807</v>
      </c>
      <c r="F4242" s="2" t="n">
        <f>HYPERLINK("https://patents.google.com/patent/US6696242","Google")</f>
        <v>0.0</v>
      </c>
      <c r="G4242" s="2" t="n">
        <f>HYPERLINK("https://patentcenter.uspto.gov/applications/08470246","Patent Center")</f>
        <v>0.0</v>
      </c>
      <c r="H4242" s="2" t="n">
        <f>HYPERLINK("https://worldwide.espacenet.com/patent/search?q=US6696242","Espacenet")</f>
        <v>0.0</v>
      </c>
      <c r="I4242" s="2" t="n">
        <f>HYPERLINK("https://ppubs.uspto.gov/pubwebapp/external.html?q=6696242.pn.","USPTO")</f>
        <v>0.0</v>
      </c>
      <c r="J4242" s="2" t="n">
        <f>HYPERLINK("https://image-ppubs.uspto.gov/dirsearch-public/print/downloadPdf/6696242","USPTO PDF")</f>
        <v>0.0</v>
      </c>
      <c r="K4242" s="2" t="n">
        <f>HYPERLINK("https://sectors.patentforecast.com/pmd/US6696242","PMD")</f>
        <v>0.0</v>
      </c>
      <c r="L4242" s="2" t="n">
        <f>HYPERLINK("https://globaldossier.uspto.gov/result/patent/US/6696242/1","US6696242")</f>
        <v>0.0</v>
      </c>
      <c r="M4242" t="s">
        <v>25808</v>
      </c>
      <c r="N4242" t="s">
        <v>19264</v>
      </c>
      <c r="O4242" t="s">
        <v>19264</v>
      </c>
      <c r="P4242" t="s">
        <v>25776</v>
      </c>
      <c r="Q4242" s="3" t="n">
        <v>34856.0</v>
      </c>
      <c r="R4242" s="3" t="n">
        <v>38041.0</v>
      </c>
      <c r="S4242" s="3" t="n">
        <v>43900.43738974537</v>
      </c>
      <c r="T4242" s="3" t="n">
        <v>43901.72156466435</v>
      </c>
      <c r="U4242" t="s">
        <v>25777</v>
      </c>
      <c r="V4242" t="s">
        <v>25778</v>
      </c>
    </row>
    <row r="4243">
      <c r="A4243" t="s">
        <v>23557</v>
      </c>
      <c r="B4243" t="s">
        <v>25809</v>
      </c>
      <c r="C4243" t="s">
        <v>132</v>
      </c>
      <c r="D4243" t="s">
        <v>142</v>
      </c>
      <c r="E4243" t="s">
        <v>23496</v>
      </c>
      <c r="F4243" s="2" t="n">
        <f>HYPERLINK("https://patents.google.com/patent/US6610044","Google")</f>
        <v>0.0</v>
      </c>
      <c r="G4243" s="2" t="n">
        <f>HYPERLINK("https://patentcenter.uspto.gov/applications/10141561","Patent Center")</f>
        <v>0.0</v>
      </c>
      <c r="H4243" s="2" t="n">
        <f>HYPERLINK("https://worldwide.espacenet.com/patent/search?q=US6610044","Espacenet")</f>
        <v>0.0</v>
      </c>
      <c r="I4243" s="2" t="n">
        <f>HYPERLINK("https://ppubs.uspto.gov/pubwebapp/external.html?q=6610044.pn.","USPTO")</f>
        <v>0.0</v>
      </c>
      <c r="J4243" s="2" t="n">
        <f>HYPERLINK("https://image-ppubs.uspto.gov/dirsearch-public/print/downloadPdf/6610044","USPTO PDF")</f>
        <v>0.0</v>
      </c>
      <c r="K4243" s="2" t="n">
        <f>HYPERLINK("https://sectors.patentforecast.com/pmd/US6610044","PMD")</f>
        <v>0.0</v>
      </c>
      <c r="L4243" s="2" t="n">
        <f>HYPERLINK("https://globaldossier.uspto.gov/result/patent/US/6610044/1","US6610044")</f>
        <v>0.0</v>
      </c>
      <c r="M4243" t="s">
        <v>23497</v>
      </c>
      <c r="N4243" t="s">
        <v>23375</v>
      </c>
      <c r="O4243" t="s">
        <v>23376</v>
      </c>
      <c r="P4243" t="s">
        <v>25810</v>
      </c>
      <c r="Q4243" s="3" t="n">
        <v>37383.0</v>
      </c>
      <c r="R4243" s="3" t="n">
        <v>37859.0</v>
      </c>
      <c r="S4243" s="3" t="n">
        <v>43936.46037523148</v>
      </c>
      <c r="T4243" s="3" t="n">
        <v>44543.67354224537</v>
      </c>
      <c r="U4243" t="s">
        <v>25811</v>
      </c>
      <c r="V4243" t="s">
        <v>23500</v>
      </c>
    </row>
    <row r="4244">
      <c r="A4244" t="s">
        <v>23557</v>
      </c>
      <c r="B4244" t="s">
        <v>25812</v>
      </c>
      <c r="C4244" t="s">
        <v>132</v>
      </c>
      <c r="D4244" t="s">
        <v>23522</v>
      </c>
      <c r="E4244" t="s">
        <v>23523</v>
      </c>
      <c r="F4244" s="2" t="n">
        <f>HYPERLINK("https://patents.google.com/patent/US6605284","Google")</f>
        <v>0.0</v>
      </c>
      <c r="G4244" s="2" t="n">
        <f>HYPERLINK("https://patentcenter.uspto.gov/applications/09873233","Patent Center")</f>
        <v>0.0</v>
      </c>
      <c r="H4244" s="2" t="n">
        <f>HYPERLINK("https://worldwide.espacenet.com/patent/search?q=US6605284","Espacenet")</f>
        <v>0.0</v>
      </c>
      <c r="I4244" s="2" t="n">
        <f>HYPERLINK("https://ppubs.uspto.gov/pubwebapp/external.html?q=6605284.pn.","USPTO")</f>
        <v>0.0</v>
      </c>
      <c r="J4244" s="2" t="n">
        <f>HYPERLINK("https://image-ppubs.uspto.gov/dirsearch-public/print/downloadPdf/6605284","USPTO PDF")</f>
        <v>0.0</v>
      </c>
      <c r="K4244" s="2" t="n">
        <f>HYPERLINK("https://sectors.patentforecast.com/pmd/US6605284","PMD")</f>
        <v>0.0</v>
      </c>
      <c r="L4244" s="2" t="n">
        <f>HYPERLINK("https://globaldossier.uspto.gov/result/patent/US/6605284/1","US6605284")</f>
        <v>0.0</v>
      </c>
      <c r="M4244" t="s">
        <v>23524</v>
      </c>
      <c r="N4244" t="s">
        <v>23525</v>
      </c>
      <c r="O4244" t="s">
        <v>23526</v>
      </c>
      <c r="P4244" t="s">
        <v>25813</v>
      </c>
      <c r="Q4244" s="3" t="n">
        <v>37047.0</v>
      </c>
      <c r="R4244" s="3" t="n">
        <v>37845.0</v>
      </c>
      <c r="S4244" s="3" t="n">
        <v>43900.43738974537</v>
      </c>
      <c r="T4244" s="3" t="n">
        <v>43901.721565092594</v>
      </c>
      <c r="U4244" t="s">
        <v>25814</v>
      </c>
      <c r="V4244" t="s">
        <v>25815</v>
      </c>
    </row>
    <row r="4245">
      <c r="A4245" t="s">
        <v>23557</v>
      </c>
      <c r="B4245" t="s">
        <v>25816</v>
      </c>
      <c r="C4245" t="s">
        <v>24</v>
      </c>
      <c r="D4245" t="s">
        <v>25</v>
      </c>
      <c r="E4245" t="s">
        <v>25817</v>
      </c>
      <c r="F4245" s="2" t="n">
        <f>HYPERLINK("https://patents.google.com/patent/US6527712","Google")</f>
        <v>0.0</v>
      </c>
      <c r="G4245" s="2" t="n">
        <f>HYPERLINK("https://patentcenter.uspto.gov/applications/09583941","Patent Center")</f>
        <v>0.0</v>
      </c>
      <c r="H4245" s="2" t="n">
        <f>HYPERLINK("https://worldwide.espacenet.com/patent/search?q=US6527712","Espacenet")</f>
        <v>0.0</v>
      </c>
      <c r="I4245" s="2" t="n">
        <f>HYPERLINK("https://ppubs.uspto.gov/pubwebapp/external.html?q=6527712.pn.","USPTO")</f>
        <v>0.0</v>
      </c>
      <c r="J4245" s="2" t="n">
        <f>HYPERLINK("https://image-ppubs.uspto.gov/dirsearch-public/print/downloadPdf/6527712","USPTO PDF")</f>
        <v>0.0</v>
      </c>
      <c r="K4245" s="2" t="n">
        <f>HYPERLINK("https://sectors.patentforecast.com/pmd/US6527712","PMD")</f>
        <v>0.0</v>
      </c>
      <c r="L4245" s="2" t="n">
        <f>HYPERLINK("https://globaldossier.uspto.gov/result/patent/US/6527712/1","US6527712")</f>
        <v>0.0</v>
      </c>
      <c r="M4245" t="s">
        <v>25818</v>
      </c>
      <c r="N4245" t="s">
        <v>25819</v>
      </c>
      <c r="O4245" t="s">
        <v>25820</v>
      </c>
      <c r="P4245" t="s">
        <v>25821</v>
      </c>
      <c r="Q4245" s="3" t="n">
        <v>36677.0</v>
      </c>
      <c r="R4245" s="3" t="n">
        <v>37684.0</v>
      </c>
      <c r="S4245" s="3" t="n">
        <v>43266.45736288194</v>
      </c>
      <c r="T4245" s="3" t="n">
        <v>43901.7215646875</v>
      </c>
      <c r="U4245" t="s">
        <v>25822</v>
      </c>
      <c r="V4245" t="s">
        <v>25823</v>
      </c>
    </row>
    <row r="4246">
      <c r="A4246" t="s">
        <v>23557</v>
      </c>
      <c r="B4246" t="s">
        <v>25824</v>
      </c>
      <c r="C4246" t="s">
        <v>60</v>
      </c>
      <c r="D4246" t="s">
        <v>2262</v>
      </c>
      <c r="E4246" t="s">
        <v>25825</v>
      </c>
      <c r="F4246" s="2" t="n">
        <f>HYPERLINK("https://patents.google.com/patent/US6475531","Google")</f>
        <v>0.0</v>
      </c>
      <c r="G4246" s="2" t="n">
        <f>HYPERLINK("https://patentcenter.uspto.gov/applications/09795012","Patent Center")</f>
        <v>0.0</v>
      </c>
      <c r="H4246" s="2" t="n">
        <f>HYPERLINK("https://worldwide.espacenet.com/patent/search?q=US6475531","Espacenet")</f>
        <v>0.0</v>
      </c>
      <c r="I4246" s="2" t="n">
        <f>HYPERLINK("https://ppubs.uspto.gov/pubwebapp/external.html?q=6475531.pn.","USPTO")</f>
        <v>0.0</v>
      </c>
      <c r="J4246" s="2" t="n">
        <f>HYPERLINK("https://image-ppubs.uspto.gov/dirsearch-public/print/downloadPdf/6475531","USPTO PDF")</f>
        <v>0.0</v>
      </c>
      <c r="K4246" s="2" t="n">
        <f>HYPERLINK("https://sectors.patentforecast.com/pmd/US6475531","PMD")</f>
        <v>0.0</v>
      </c>
      <c r="L4246" s="2" t="n">
        <f>HYPERLINK("https://globaldossier.uspto.gov/result/patent/US/6475531/1","US6475531")</f>
        <v>0.0</v>
      </c>
      <c r="M4246" t="s">
        <v>25826</v>
      </c>
      <c r="N4246" t="s">
        <v>25827</v>
      </c>
      <c r="O4246" t="s">
        <v>25828</v>
      </c>
      <c r="P4246" t="s">
        <v>25829</v>
      </c>
      <c r="Q4246" s="3" t="n">
        <v>36950.0</v>
      </c>
      <c r="R4246" s="3" t="n">
        <v>37565.0</v>
      </c>
      <c r="S4246" s="3" t="n">
        <v>43971.49555327546</v>
      </c>
      <c r="T4246" s="3" t="n">
        <v>44678.56144090278</v>
      </c>
      <c r="U4246" t="s">
        <v>25830</v>
      </c>
      <c r="V4246" t="s">
        <v>25831</v>
      </c>
    </row>
    <row r="4247">
      <c r="A4247" t="s">
        <v>23557</v>
      </c>
      <c r="B4247" t="s">
        <v>25832</v>
      </c>
      <c r="C4247" t="s">
        <v>60</v>
      </c>
      <c r="D4247" t="s">
        <v>61</v>
      </c>
      <c r="E4247" t="s">
        <v>23552</v>
      </c>
      <c r="F4247" s="2" t="n">
        <f>HYPERLINK("https://patents.google.com/patent/US6428970","Google")</f>
        <v>0.0</v>
      </c>
      <c r="G4247" s="2" t="n">
        <f>HYPERLINK("https://patentcenter.uspto.gov/applications/09747142","Patent Center")</f>
        <v>0.0</v>
      </c>
      <c r="H4247" s="2" t="n">
        <f>HYPERLINK("https://worldwide.espacenet.com/patent/search?q=US6428970","Espacenet")</f>
        <v>0.0</v>
      </c>
      <c r="I4247" s="2" t="n">
        <f>HYPERLINK("https://ppubs.uspto.gov/pubwebapp/external.html?q=6428970.pn.","USPTO")</f>
        <v>0.0</v>
      </c>
      <c r="J4247" s="2" t="n">
        <f>HYPERLINK("https://image-ppubs.uspto.gov/dirsearch-public/print/downloadPdf/6428970","USPTO PDF")</f>
        <v>0.0</v>
      </c>
      <c r="K4247" s="2" t="n">
        <f>HYPERLINK("https://sectors.patentforecast.com/pmd/US6428970","PMD")</f>
        <v>0.0</v>
      </c>
      <c r="L4247" s="2" t="n">
        <f>HYPERLINK("https://globaldossier.uspto.gov/result/patent/US/6428970/1","US6428970")</f>
        <v>0.0</v>
      </c>
      <c r="M4247" t="s">
        <v>23553</v>
      </c>
      <c r="N4247" t="s">
        <v>3334</v>
      </c>
      <c r="O4247" t="s">
        <v>3335</v>
      </c>
      <c r="P4247" t="s">
        <v>25833</v>
      </c>
      <c r="Q4247" s="3" t="n">
        <v>36882.0</v>
      </c>
      <c r="R4247" s="3" t="n">
        <v>37474.0</v>
      </c>
      <c r="S4247" s="3" t="n">
        <v>43971.49555327546</v>
      </c>
      <c r="T4247" s="3" t="n">
        <v>44672.34393340278</v>
      </c>
      <c r="U4247" t="s">
        <v>25834</v>
      </c>
      <c r="V4247" t="s">
        <v>23556</v>
      </c>
    </row>
    <row r="4248">
      <c r="A4248" t="s">
        <v>23557</v>
      </c>
      <c r="B4248" t="s">
        <v>25835</v>
      </c>
      <c r="C4248" t="s">
        <v>132</v>
      </c>
      <c r="D4248" t="s">
        <v>18029</v>
      </c>
      <c r="E4248" t="s">
        <v>25836</v>
      </c>
      <c r="F4248" s="2" t="n">
        <f>HYPERLINK("https://patents.google.com/patent/US6410031","Google")</f>
        <v>0.0</v>
      </c>
      <c r="G4248" s="2" t="n">
        <f>HYPERLINK("https://patentcenter.uspto.gov/applications/09448427","Patent Center")</f>
        <v>0.0</v>
      </c>
      <c r="H4248" s="2" t="n">
        <f>HYPERLINK("https://worldwide.espacenet.com/patent/search?q=US6410031","Espacenet")</f>
        <v>0.0</v>
      </c>
      <c r="I4248" s="2" t="n">
        <f>HYPERLINK("https://ppubs.uspto.gov/pubwebapp/external.html?q=6410031.pn.","USPTO")</f>
        <v>0.0</v>
      </c>
      <c r="J4248" s="2" t="n">
        <f>HYPERLINK("https://image-ppubs.uspto.gov/dirsearch-public/print/downloadPdf/6410031","USPTO PDF")</f>
        <v>0.0</v>
      </c>
      <c r="K4248" s="2" t="n">
        <f>HYPERLINK("https://sectors.patentforecast.com/pmd/US6410031","PMD")</f>
        <v>0.0</v>
      </c>
      <c r="L4248" s="2" t="n">
        <f>HYPERLINK("https://globaldossier.uspto.gov/result/patent/US/6410031/1","US6410031")</f>
        <v>0.0</v>
      </c>
      <c r="M4248" t="s">
        <v>25837</v>
      </c>
      <c r="N4248" t="s">
        <v>25838</v>
      </c>
      <c r="O4248" t="s">
        <v>25839</v>
      </c>
      <c r="P4248" t="s">
        <v>25840</v>
      </c>
      <c r="Q4248" s="3" t="n">
        <v>36488.0</v>
      </c>
      <c r="R4248" s="3" t="n">
        <v>37432.0</v>
      </c>
      <c r="S4248" s="3" t="n">
        <v>43900.43738974537</v>
      </c>
      <c r="T4248" s="3" t="n">
        <v>43901.72156097222</v>
      </c>
      <c r="U4248" t="s">
        <v>25841</v>
      </c>
      <c r="V4248" t="s">
        <v>25842</v>
      </c>
    </row>
    <row r="4249">
      <c r="A4249" t="s">
        <v>23557</v>
      </c>
      <c r="B4249" t="s">
        <v>25843</v>
      </c>
      <c r="C4249" t="s">
        <v>60</v>
      </c>
      <c r="D4249" t="s">
        <v>61</v>
      </c>
      <c r="E4249" t="s">
        <v>25844</v>
      </c>
      <c r="F4249" s="2" t="n">
        <f>HYPERLINK("https://patents.google.com/patent/US6395541","Google")</f>
        <v>0.0</v>
      </c>
      <c r="G4249" s="2" t="n">
        <f>HYPERLINK("https://patentcenter.uspto.gov/applications/08814866","Patent Center")</f>
        <v>0.0</v>
      </c>
      <c r="H4249" s="2" t="n">
        <f>HYPERLINK("https://worldwide.espacenet.com/patent/search?q=US6395541","Espacenet")</f>
        <v>0.0</v>
      </c>
      <c r="I4249" s="2" t="n">
        <f>HYPERLINK("https://ppubs.uspto.gov/pubwebapp/external.html?q=6395541.pn.","USPTO")</f>
        <v>0.0</v>
      </c>
      <c r="J4249" s="2" t="n">
        <f>HYPERLINK("https://image-ppubs.uspto.gov/dirsearch-public/print/downloadPdf/6395541","USPTO PDF")</f>
        <v>0.0</v>
      </c>
      <c r="K4249" s="2" t="n">
        <f>HYPERLINK("https://sectors.patentforecast.com/pmd/US6395541","PMD")</f>
        <v>0.0</v>
      </c>
      <c r="L4249" s="2" t="n">
        <f>HYPERLINK("https://globaldossier.uspto.gov/result/patent/US/6395541/1","US6395541")</f>
        <v>0.0</v>
      </c>
      <c r="M4249" t="s">
        <v>23542</v>
      </c>
      <c r="N4249" t="s">
        <v>23543</v>
      </c>
      <c r="O4249" t="s">
        <v>23543</v>
      </c>
      <c r="P4249" t="s">
        <v>25845</v>
      </c>
      <c r="Q4249" s="3" t="n">
        <v>35500.0</v>
      </c>
      <c r="R4249" s="3" t="n">
        <v>37404.0</v>
      </c>
      <c r="S4249" s="3" t="n">
        <v>43971.49555327546</v>
      </c>
      <c r="T4249" s="3" t="n">
        <v>44672.30763927083</v>
      </c>
      <c r="U4249" t="s">
        <v>25846</v>
      </c>
      <c r="V4249" t="s">
        <v>25847</v>
      </c>
    </row>
    <row r="4250">
      <c r="A4250" t="s">
        <v>23557</v>
      </c>
      <c r="B4250" t="s">
        <v>25848</v>
      </c>
      <c r="C4250" t="s">
        <v>132</v>
      </c>
      <c r="D4250" t="s">
        <v>11423</v>
      </c>
      <c r="E4250" t="s">
        <v>25849</v>
      </c>
      <c r="F4250" s="2" t="n">
        <f>HYPERLINK("https://patents.google.com/patent/US6387373","Google")</f>
        <v>0.0</v>
      </c>
      <c r="G4250" s="2" t="n">
        <f>HYPERLINK("https://patentcenter.uspto.gov/applications/08840034","Patent Center")</f>
        <v>0.0</v>
      </c>
      <c r="H4250" s="2" t="n">
        <f>HYPERLINK("https://worldwide.espacenet.com/patent/search?q=US6387373","Espacenet")</f>
        <v>0.0</v>
      </c>
      <c r="I4250" s="2" t="n">
        <f>HYPERLINK("https://ppubs.uspto.gov/pubwebapp/external.html?q=6387373.pn.","USPTO")</f>
        <v>0.0</v>
      </c>
      <c r="J4250" s="2" t="n">
        <f>HYPERLINK("https://image-ppubs.uspto.gov/dirsearch-public/print/downloadPdf/6387373","USPTO PDF")</f>
        <v>0.0</v>
      </c>
      <c r="K4250" s="2" t="n">
        <f>HYPERLINK("https://sectors.patentforecast.com/pmd/US6387373","PMD")</f>
        <v>0.0</v>
      </c>
      <c r="L4250" s="2" t="n">
        <f>HYPERLINK("https://globaldossier.uspto.gov/result/patent/US/6387373/1","US6387373")</f>
        <v>0.0</v>
      </c>
      <c r="M4250" t="s">
        <v>25850</v>
      </c>
      <c r="N4250" t="s">
        <v>1275</v>
      </c>
      <c r="O4250" t="s">
        <v>1275</v>
      </c>
      <c r="P4250" t="s">
        <v>25851</v>
      </c>
      <c r="Q4250" s="3" t="n">
        <v>35544.0</v>
      </c>
      <c r="R4250" s="3" t="n">
        <v>37390.0</v>
      </c>
      <c r="S4250" s="3" t="n">
        <v>44019.685416631946</v>
      </c>
      <c r="T4250" s="3" t="n">
        <v>44020.63672582176</v>
      </c>
      <c r="U4250" t="s">
        <v>25852</v>
      </c>
      <c r="V4250" t="s">
        <v>25853</v>
      </c>
    </row>
    <row r="4251">
      <c r="A4251" t="s">
        <v>23557</v>
      </c>
      <c r="B4251" t="s">
        <v>25854</v>
      </c>
      <c r="C4251" t="s">
        <v>132</v>
      </c>
      <c r="D4251" t="s">
        <v>1265</v>
      </c>
      <c r="E4251" t="s">
        <v>25807</v>
      </c>
      <c r="F4251" s="2" t="n">
        <f>HYPERLINK("https://patents.google.com/patent/US6287759","Google")</f>
        <v>0.0</v>
      </c>
      <c r="G4251" s="2" t="n">
        <f>HYPERLINK("https://patentcenter.uspto.gov/applications/08471971","Patent Center")</f>
        <v>0.0</v>
      </c>
      <c r="H4251" s="2" t="n">
        <f>HYPERLINK("https://worldwide.espacenet.com/patent/search?q=US6287759","Espacenet")</f>
        <v>0.0</v>
      </c>
      <c r="I4251" s="2" t="n">
        <f>HYPERLINK("https://ppubs.uspto.gov/pubwebapp/external.html?q=6287759.pn.","USPTO")</f>
        <v>0.0</v>
      </c>
      <c r="J4251" s="2" t="n">
        <f>HYPERLINK("https://image-ppubs.uspto.gov/dirsearch-public/print/downloadPdf/6287759","USPTO PDF")</f>
        <v>0.0</v>
      </c>
      <c r="K4251" s="2" t="n">
        <f>HYPERLINK("https://sectors.patentforecast.com/pmd/US6287759","PMD")</f>
        <v>0.0</v>
      </c>
      <c r="L4251" s="2" t="n">
        <f>HYPERLINK("https://globaldossier.uspto.gov/result/patent/US/6287759/1","US6287759")</f>
        <v>0.0</v>
      </c>
      <c r="M4251" t="s">
        <v>25855</v>
      </c>
      <c r="N4251" t="s">
        <v>19264</v>
      </c>
      <c r="O4251" t="s">
        <v>19264</v>
      </c>
      <c r="P4251" t="s">
        <v>25776</v>
      </c>
      <c r="Q4251" s="3" t="n">
        <v>34856.0</v>
      </c>
      <c r="R4251" s="3" t="n">
        <v>37145.0</v>
      </c>
      <c r="S4251" s="3" t="n">
        <v>43900.43738974537</v>
      </c>
      <c r="T4251" s="3" t="n">
        <v>43901.721565162035</v>
      </c>
      <c r="U4251" t="s">
        <v>25800</v>
      </c>
      <c r="V4251" t="s">
        <v>25778</v>
      </c>
    </row>
    <row r="4252">
      <c r="A4252" t="s">
        <v>23557</v>
      </c>
      <c r="B4252" t="s">
        <v>25856</v>
      </c>
      <c r="C4252" t="s">
        <v>132</v>
      </c>
      <c r="D4252" t="s">
        <v>23522</v>
      </c>
      <c r="E4252" t="s">
        <v>25857</v>
      </c>
      <c r="F4252" s="2" t="n">
        <f>HYPERLINK("https://patents.google.com/patent/US6277380","Google")</f>
        <v>0.0</v>
      </c>
      <c r="G4252" s="2" t="n">
        <f>HYPERLINK("https://patentcenter.uspto.gov/applications/09230944","Patent Center")</f>
        <v>0.0</v>
      </c>
      <c r="H4252" s="2" t="n">
        <f>HYPERLINK("https://worldwide.espacenet.com/patent/search?q=US6277380","Espacenet")</f>
        <v>0.0</v>
      </c>
      <c r="I4252" s="2" t="n">
        <f>HYPERLINK("https://ppubs.uspto.gov/pubwebapp/external.html?q=6277380.pn.","USPTO")</f>
        <v>0.0</v>
      </c>
      <c r="J4252" s="2" t="n">
        <f>HYPERLINK("https://image-ppubs.uspto.gov/dirsearch-public/print/downloadPdf/6277380","USPTO PDF")</f>
        <v>0.0</v>
      </c>
      <c r="K4252" s="2" t="n">
        <f>HYPERLINK("https://sectors.patentforecast.com/pmd/US6277380","PMD")</f>
        <v>0.0</v>
      </c>
      <c r="L4252" s="2" t="n">
        <f>HYPERLINK("https://globaldossier.uspto.gov/result/patent/US/6277380/1","US6277380")</f>
        <v>0.0</v>
      </c>
      <c r="M4252" t="s">
        <v>25858</v>
      </c>
      <c r="N4252" t="s">
        <v>25859</v>
      </c>
      <c r="O4252" t="s">
        <v>25860</v>
      </c>
      <c r="P4252" t="s">
        <v>25813</v>
      </c>
      <c r="Q4252" s="3" t="n">
        <v>36195.0</v>
      </c>
      <c r="R4252" s="3" t="n">
        <v>37124.0</v>
      </c>
      <c r="S4252" s="3" t="n">
        <v>43900.43738974537</v>
      </c>
      <c r="T4252" s="3" t="n">
        <v>43901.7215646875</v>
      </c>
      <c r="U4252" t="s">
        <v>25814</v>
      </c>
      <c r="V4252" t="s">
        <v>25861</v>
      </c>
    </row>
    <row r="4253">
      <c r="A4253" t="s">
        <v>23557</v>
      </c>
      <c r="B4253" t="s">
        <v>25862</v>
      </c>
      <c r="C4253" t="s">
        <v>132</v>
      </c>
      <c r="D4253" t="s">
        <v>1265</v>
      </c>
      <c r="E4253" t="s">
        <v>25863</v>
      </c>
      <c r="F4253" s="2" t="n">
        <f>HYPERLINK("https://patents.google.com/patent/US6245532","Google")</f>
        <v>0.0</v>
      </c>
      <c r="G4253" s="2" t="n">
        <f>HYPERLINK("https://patentcenter.uspto.gov/applications/09169027","Patent Center")</f>
        <v>0.0</v>
      </c>
      <c r="H4253" s="2" t="n">
        <f>HYPERLINK("https://worldwide.espacenet.com/patent/search?q=US6245532","Espacenet")</f>
        <v>0.0</v>
      </c>
      <c r="I4253" s="2" t="n">
        <f>HYPERLINK("https://ppubs.uspto.gov/pubwebapp/external.html?q=6245532.pn.","USPTO")</f>
        <v>0.0</v>
      </c>
      <c r="J4253" s="2" t="n">
        <f>HYPERLINK("https://image-ppubs.uspto.gov/dirsearch-public/print/downloadPdf/6245532","USPTO PDF")</f>
        <v>0.0</v>
      </c>
      <c r="K4253" s="2" t="n">
        <f>HYPERLINK("https://sectors.patentforecast.com/pmd/US6245532","PMD")</f>
        <v>0.0</v>
      </c>
      <c r="L4253" s="2" t="n">
        <f>HYPERLINK("https://globaldossier.uspto.gov/result/patent/US/6245532/1","US6245532")</f>
        <v>0.0</v>
      </c>
      <c r="M4253" t="s">
        <v>25864</v>
      </c>
      <c r="N4253" t="s">
        <v>25865</v>
      </c>
      <c r="O4253" t="s">
        <v>25866</v>
      </c>
      <c r="P4253" t="s">
        <v>25867</v>
      </c>
      <c r="Q4253" s="3" t="n">
        <v>36077.0</v>
      </c>
      <c r="R4253" s="3" t="n">
        <v>37054.0</v>
      </c>
      <c r="S4253" s="3" t="n">
        <v>43900.43738974537</v>
      </c>
      <c r="T4253" s="3" t="n">
        <v>43901.72156369213</v>
      </c>
      <c r="U4253" t="s">
        <v>25868</v>
      </c>
      <c r="V4253" t="s">
        <v>25869</v>
      </c>
    </row>
    <row r="4254">
      <c r="A4254" t="s">
        <v>23557</v>
      </c>
      <c r="B4254" t="s">
        <v>25870</v>
      </c>
      <c r="C4254" t="s">
        <v>24</v>
      </c>
      <c r="D4254" t="s">
        <v>25</v>
      </c>
      <c r="E4254" t="s">
        <v>25871</v>
      </c>
      <c r="F4254" s="2" t="n">
        <f>HYPERLINK("https://patents.google.com/patent/US6238337","Google")</f>
        <v>0.0</v>
      </c>
      <c r="G4254" s="2" t="n">
        <f>HYPERLINK("https://patentcenter.uspto.gov/applications/09350626","Patent Center")</f>
        <v>0.0</v>
      </c>
      <c r="H4254" s="2" t="n">
        <f>HYPERLINK("https://worldwide.espacenet.com/patent/search?q=US6238337","Espacenet")</f>
        <v>0.0</v>
      </c>
      <c r="I4254" s="2" t="n">
        <f>HYPERLINK("https://ppubs.uspto.gov/pubwebapp/external.html?q=6238337.pn.","USPTO")</f>
        <v>0.0</v>
      </c>
      <c r="J4254" s="2" t="n">
        <f>HYPERLINK("https://image-ppubs.uspto.gov/dirsearch-public/print/downloadPdf/6238337","USPTO PDF")</f>
        <v>0.0</v>
      </c>
      <c r="K4254" s="2" t="n">
        <f>HYPERLINK("https://sectors.patentforecast.com/pmd/US6238337","PMD")</f>
        <v>0.0</v>
      </c>
      <c r="L4254" s="2" t="n">
        <f>HYPERLINK("https://globaldossier.uspto.gov/result/patent/US/6238337/1","US6238337")</f>
        <v>0.0</v>
      </c>
      <c r="M4254" t="s">
        <v>25872</v>
      </c>
      <c r="N4254" t="s">
        <v>947</v>
      </c>
      <c r="O4254" t="s">
        <v>948</v>
      </c>
      <c r="P4254" t="s">
        <v>25873</v>
      </c>
      <c r="Q4254" s="3" t="n">
        <v>36350.0</v>
      </c>
      <c r="R4254" s="3" t="n">
        <v>37040.0</v>
      </c>
      <c r="S4254" s="3" t="n">
        <v>43266.45736288194</v>
      </c>
      <c r="T4254" s="3" t="n">
        <v>43901.721565162035</v>
      </c>
      <c r="U4254" t="s">
        <v>25874</v>
      </c>
      <c r="V4254" t="s">
        <v>25875</v>
      </c>
    </row>
    <row r="4255">
      <c r="A4255" t="s">
        <v>23557</v>
      </c>
      <c r="B4255" t="s">
        <v>25876</v>
      </c>
      <c r="C4255" t="s">
        <v>60</v>
      </c>
      <c r="D4255" t="s">
        <v>61</v>
      </c>
      <c r="E4255" t="s">
        <v>25877</v>
      </c>
      <c r="F4255" s="2" t="n">
        <f>HYPERLINK("https://patents.google.com/patent/US6225341","Google")</f>
        <v>0.0</v>
      </c>
      <c r="G4255" s="2" t="n">
        <f>HYPERLINK("https://patentcenter.uspto.gov/applications/09288091","Patent Center")</f>
        <v>0.0</v>
      </c>
      <c r="H4255" s="2" t="n">
        <f>HYPERLINK("https://worldwide.espacenet.com/patent/search?q=US6225341","Espacenet")</f>
        <v>0.0</v>
      </c>
      <c r="I4255" s="2" t="n">
        <f>HYPERLINK("https://ppubs.uspto.gov/pubwebapp/external.html?q=6225341.pn.","USPTO")</f>
        <v>0.0</v>
      </c>
      <c r="J4255" s="2" t="n">
        <f>HYPERLINK("https://image-ppubs.uspto.gov/dirsearch-public/print/downloadPdf/6225341","USPTO PDF")</f>
        <v>0.0</v>
      </c>
      <c r="K4255" s="2" t="n">
        <f>HYPERLINK("https://sectors.patentforecast.com/pmd/US6225341","PMD")</f>
        <v>0.0</v>
      </c>
      <c r="L4255" s="2" t="n">
        <f>HYPERLINK("https://globaldossier.uspto.gov/result/patent/US/6225341/1","US6225341")</f>
        <v>0.0</v>
      </c>
      <c r="M4255" t="s">
        <v>25878</v>
      </c>
      <c r="N4255" t="s">
        <v>664</v>
      </c>
      <c r="O4255" t="s">
        <v>665</v>
      </c>
      <c r="P4255" t="s">
        <v>25879</v>
      </c>
      <c r="Q4255" s="3" t="n">
        <v>36258.0</v>
      </c>
      <c r="R4255" s="3" t="n">
        <v>37012.0</v>
      </c>
      <c r="S4255" s="3" t="n">
        <v>43952.45956121528</v>
      </c>
      <c r="T4255" s="3" t="n">
        <v>44638.661572453704</v>
      </c>
      <c r="U4255" t="s">
        <v>25880</v>
      </c>
      <c r="V4255" t="s">
        <v>25881</v>
      </c>
    </row>
    <row r="4256">
      <c r="A4256" t="s">
        <v>23557</v>
      </c>
      <c r="B4256" t="s">
        <v>25882</v>
      </c>
      <c r="C4256" t="s">
        <v>60</v>
      </c>
      <c r="D4256" t="s">
        <v>61</v>
      </c>
      <c r="E4256" t="s">
        <v>25883</v>
      </c>
      <c r="F4256" s="2" t="n">
        <f>HYPERLINK("https://patents.google.com/patent/US6221388","Google")</f>
        <v>0.0</v>
      </c>
      <c r="G4256" s="2" t="n">
        <f>HYPERLINK("https://patentcenter.uspto.gov/applications/09407798","Patent Center")</f>
        <v>0.0</v>
      </c>
      <c r="H4256" s="2" t="n">
        <f>HYPERLINK("https://worldwide.espacenet.com/patent/search?q=US6221388","Espacenet")</f>
        <v>0.0</v>
      </c>
      <c r="I4256" s="2" t="n">
        <f>HYPERLINK("https://ppubs.uspto.gov/pubwebapp/external.html?q=6221388.pn.","USPTO")</f>
        <v>0.0</v>
      </c>
      <c r="J4256" s="2" t="n">
        <f>HYPERLINK("https://image-ppubs.uspto.gov/dirsearch-public/print/downloadPdf/6221388","USPTO PDF")</f>
        <v>0.0</v>
      </c>
      <c r="K4256" s="2" t="n">
        <f>HYPERLINK("https://sectors.patentforecast.com/pmd/US6221388","PMD")</f>
        <v>0.0</v>
      </c>
      <c r="L4256" s="2" t="n">
        <f>HYPERLINK("https://globaldossier.uspto.gov/result/patent/US/6221388/1","US6221388")</f>
        <v>0.0</v>
      </c>
      <c r="M4256" t="s">
        <v>25884</v>
      </c>
      <c r="N4256" t="s">
        <v>664</v>
      </c>
      <c r="O4256" t="s">
        <v>665</v>
      </c>
      <c r="P4256" t="s">
        <v>25885</v>
      </c>
      <c r="Q4256" s="3" t="n">
        <v>36431.0</v>
      </c>
      <c r="R4256" s="3" t="n">
        <v>37005.0</v>
      </c>
      <c r="S4256" s="3" t="n">
        <v>43952.45956121528</v>
      </c>
      <c r="T4256" s="3" t="n">
        <v>44638.65730324074</v>
      </c>
      <c r="U4256" t="s">
        <v>25886</v>
      </c>
      <c r="V4256" t="s">
        <v>25887</v>
      </c>
    </row>
    <row r="4257">
      <c r="A4257" t="s">
        <v>23557</v>
      </c>
      <c r="B4257" t="s">
        <v>25888</v>
      </c>
      <c r="C4257" t="s">
        <v>132</v>
      </c>
      <c r="D4257" t="s">
        <v>1265</v>
      </c>
      <c r="E4257" t="s">
        <v>25807</v>
      </c>
      <c r="F4257" s="2" t="n">
        <f>HYPERLINK("https://patents.google.com/patent/US6207416","Google")</f>
        <v>0.0</v>
      </c>
      <c r="G4257" s="2" t="n">
        <f>HYPERLINK("https://patentcenter.uspto.gov/applications/08809523","Patent Center")</f>
        <v>0.0</v>
      </c>
      <c r="H4257" s="2" t="n">
        <f>HYPERLINK("https://worldwide.espacenet.com/patent/search?q=US6207416","Espacenet")</f>
        <v>0.0</v>
      </c>
      <c r="I4257" s="2" t="n">
        <f>HYPERLINK("https://ppubs.uspto.gov/pubwebapp/external.html?q=6207416.pn.","USPTO")</f>
        <v>0.0</v>
      </c>
      <c r="J4257" s="2" t="n">
        <f>HYPERLINK("https://image-ppubs.uspto.gov/dirsearch-public/print/downloadPdf/6207416","USPTO PDF")</f>
        <v>0.0</v>
      </c>
      <c r="K4257" s="2" t="n">
        <f>HYPERLINK("https://sectors.patentforecast.com/pmd/US6207416","PMD")</f>
        <v>0.0</v>
      </c>
      <c r="L4257" s="2" t="n">
        <f>HYPERLINK("https://globaldossier.uspto.gov/result/patent/US/6207416/1","US6207416")</f>
        <v>0.0</v>
      </c>
      <c r="M4257" t="s">
        <v>25889</v>
      </c>
      <c r="N4257" t="s">
        <v>22158</v>
      </c>
      <c r="O4257" t="s">
        <v>22159</v>
      </c>
      <c r="P4257" t="s">
        <v>25776</v>
      </c>
      <c r="Q4257" s="3" t="n">
        <v>35578.0</v>
      </c>
      <c r="R4257" s="3" t="n">
        <v>36977.0</v>
      </c>
      <c r="S4257" s="3" t="n">
        <v>43900.43738974537</v>
      </c>
      <c r="T4257" s="3" t="n">
        <v>43901.72156395833</v>
      </c>
      <c r="U4257" t="s">
        <v>25890</v>
      </c>
      <c r="V4257" t="s">
        <v>25778</v>
      </c>
    </row>
    <row r="4258">
      <c r="A4258" t="s">
        <v>23557</v>
      </c>
      <c r="B4258" t="s">
        <v>25891</v>
      </c>
      <c r="C4258" t="s">
        <v>60</v>
      </c>
      <c r="D4258" t="s">
        <v>61</v>
      </c>
      <c r="E4258" t="s">
        <v>25892</v>
      </c>
      <c r="F4258" s="2" t="n">
        <f>HYPERLINK("https://patents.google.com/patent/US6133198","Google")</f>
        <v>0.0</v>
      </c>
      <c r="G4258" s="2" t="n">
        <f>HYPERLINK("https://patentcenter.uspto.gov/applications/09215764","Patent Center")</f>
        <v>0.0</v>
      </c>
      <c r="H4258" s="2" t="n">
        <f>HYPERLINK("https://worldwide.espacenet.com/patent/search?q=US6133198","Espacenet")</f>
        <v>0.0</v>
      </c>
      <c r="I4258" s="2" t="n">
        <f>HYPERLINK("https://ppubs.uspto.gov/pubwebapp/external.html?q=6133198.pn.","USPTO")</f>
        <v>0.0</v>
      </c>
      <c r="J4258" s="2" t="n">
        <f>HYPERLINK("https://image-ppubs.uspto.gov/dirsearch-public/print/downloadPdf/6133198","USPTO PDF")</f>
        <v>0.0</v>
      </c>
      <c r="K4258" s="2" t="n">
        <f>HYPERLINK("https://sectors.patentforecast.com/pmd/US6133198","PMD")</f>
        <v>0.0</v>
      </c>
      <c r="L4258" s="2" t="n">
        <f>HYPERLINK("https://globaldossier.uspto.gov/result/patent/US/6133198/1","US6133198")</f>
        <v>0.0</v>
      </c>
      <c r="M4258" t="s">
        <v>25893</v>
      </c>
      <c r="N4258" t="s">
        <v>25894</v>
      </c>
      <c r="O4258" t="s">
        <v>25895</v>
      </c>
      <c r="P4258" t="s">
        <v>25896</v>
      </c>
      <c r="Q4258" s="3" t="n">
        <v>36148.0</v>
      </c>
      <c r="R4258" s="3" t="n">
        <v>36816.0</v>
      </c>
      <c r="S4258" s="3" t="n">
        <v>43973.4687971875</v>
      </c>
      <c r="T4258" s="3" t="n">
        <v>44638.70636017361</v>
      </c>
      <c r="U4258" t="s">
        <v>25897</v>
      </c>
      <c r="V4258" t="s">
        <v>25898</v>
      </c>
    </row>
    <row r="4259">
      <c r="A4259" t="s">
        <v>23557</v>
      </c>
      <c r="B4259" t="s">
        <v>25899</v>
      </c>
      <c r="C4259" t="s">
        <v>60</v>
      </c>
      <c r="D4259" t="s">
        <v>61</v>
      </c>
      <c r="E4259" t="s">
        <v>25877</v>
      </c>
      <c r="F4259" s="2" t="n">
        <f>HYPERLINK("https://patents.google.com/patent/US6111132","Google")</f>
        <v>0.0</v>
      </c>
      <c r="G4259" s="2" t="n">
        <f>HYPERLINK("https://patentcenter.uspto.gov/applications/09208646","Patent Center")</f>
        <v>0.0</v>
      </c>
      <c r="H4259" s="2" t="n">
        <f>HYPERLINK("https://worldwide.espacenet.com/patent/search?q=US6111132","Espacenet")</f>
        <v>0.0</v>
      </c>
      <c r="I4259" s="2" t="n">
        <f>HYPERLINK("https://ppubs.uspto.gov/pubwebapp/external.html?q=6111132.pn.","USPTO")</f>
        <v>0.0</v>
      </c>
      <c r="J4259" s="2" t="n">
        <f>HYPERLINK("https://image-ppubs.uspto.gov/dirsearch-public/print/downloadPdf/6111132","USPTO PDF")</f>
        <v>0.0</v>
      </c>
      <c r="K4259" s="2" t="n">
        <f>HYPERLINK("https://sectors.patentforecast.com/pmd/US6111132","PMD")</f>
        <v>0.0</v>
      </c>
      <c r="L4259" s="2" t="n">
        <f>HYPERLINK("https://globaldossier.uspto.gov/result/patent/US/6111132/1","US6111132")</f>
        <v>0.0</v>
      </c>
      <c r="M4259" t="s">
        <v>25900</v>
      </c>
      <c r="N4259" t="s">
        <v>25901</v>
      </c>
      <c r="O4259" t="s">
        <v>25902</v>
      </c>
      <c r="P4259" t="s">
        <v>25903</v>
      </c>
      <c r="Q4259" s="3" t="n">
        <v>36139.0</v>
      </c>
      <c r="R4259" s="3" t="n">
        <v>36767.0</v>
      </c>
      <c r="S4259" s="3" t="n">
        <v>43952.45956121528</v>
      </c>
      <c r="T4259" s="3" t="n">
        <v>44638.661572453704</v>
      </c>
      <c r="U4259" t="s">
        <v>25904</v>
      </c>
      <c r="V4259" t="s">
        <v>25905</v>
      </c>
    </row>
    <row r="4260">
      <c r="A4260" t="s">
        <v>23557</v>
      </c>
      <c r="B4260" t="s">
        <v>25906</v>
      </c>
      <c r="C4260" t="s">
        <v>132</v>
      </c>
      <c r="D4260" t="s">
        <v>2629</v>
      </c>
      <c r="E4260" t="s">
        <v>25907</v>
      </c>
      <c r="F4260" s="2" t="n">
        <f>HYPERLINK("https://patents.google.com/patent/US6093794","Google")</f>
        <v>0.0</v>
      </c>
      <c r="G4260" s="2" t="n">
        <f>HYPERLINK("https://patentcenter.uspto.gov/applications/08471913","Patent Center")</f>
        <v>0.0</v>
      </c>
      <c r="H4260" s="2" t="n">
        <f>HYPERLINK("https://worldwide.espacenet.com/patent/search?q=US6093794","Espacenet")</f>
        <v>0.0</v>
      </c>
      <c r="I4260" s="2" t="n">
        <f>HYPERLINK("https://ppubs.uspto.gov/pubwebapp/external.html?q=6093794.pn.","USPTO")</f>
        <v>0.0</v>
      </c>
      <c r="J4260" s="2" t="n">
        <f>HYPERLINK("https://image-ppubs.uspto.gov/dirsearch-public/print/downloadPdf/6093794","USPTO PDF")</f>
        <v>0.0</v>
      </c>
      <c r="K4260" s="2" t="n">
        <f>HYPERLINK("https://sectors.patentforecast.com/pmd/US6093794","PMD")</f>
        <v>0.0</v>
      </c>
      <c r="L4260" s="2" t="n">
        <f>HYPERLINK("https://globaldossier.uspto.gov/result/patent/US/6093794/1","US6093794")</f>
        <v>0.0</v>
      </c>
      <c r="M4260" t="s">
        <v>25908</v>
      </c>
      <c r="N4260" t="s">
        <v>25909</v>
      </c>
      <c r="O4260" t="s">
        <v>25910</v>
      </c>
      <c r="P4260" t="s">
        <v>25911</v>
      </c>
      <c r="Q4260" s="3" t="n">
        <v>34857.0</v>
      </c>
      <c r="R4260" s="3" t="n">
        <v>36732.0</v>
      </c>
      <c r="S4260" s="3" t="n">
        <v>43973.4687971875</v>
      </c>
      <c r="T4260" s="3" t="n">
        <v>44545.6148962963</v>
      </c>
      <c r="U4260" t="s">
        <v>25912</v>
      </c>
      <c r="V4260" t="s">
        <v>25913</v>
      </c>
    </row>
    <row r="4261">
      <c r="A4261" t="s">
        <v>23557</v>
      </c>
      <c r="B4261" t="s">
        <v>25914</v>
      </c>
      <c r="C4261" t="s">
        <v>132</v>
      </c>
      <c r="D4261" t="s">
        <v>22134</v>
      </c>
      <c r="E4261" t="s">
        <v>25915</v>
      </c>
      <c r="F4261" s="2" t="n">
        <f>HYPERLINK("https://patents.google.com/patent/US6077515","Google")</f>
        <v>0.0</v>
      </c>
      <c r="G4261" s="2" t="n">
        <f>HYPERLINK("https://patentcenter.uspto.gov/applications/08696372","Patent Center")</f>
        <v>0.0</v>
      </c>
      <c r="H4261" s="2" t="n">
        <f>HYPERLINK("https://worldwide.espacenet.com/patent/search?q=US6077515","Espacenet")</f>
        <v>0.0</v>
      </c>
      <c r="I4261" s="2" t="n">
        <f>HYPERLINK("https://ppubs.uspto.gov/pubwebapp/external.html?q=6077515.pn.","USPTO")</f>
        <v>0.0</v>
      </c>
      <c r="J4261" s="2" t="n">
        <f>HYPERLINK("https://image-ppubs.uspto.gov/dirsearch-public/print/downloadPdf/6077515","USPTO PDF")</f>
        <v>0.0</v>
      </c>
      <c r="K4261" s="2" t="n">
        <f>HYPERLINK("https://sectors.patentforecast.com/pmd/US6077515","PMD")</f>
        <v>0.0</v>
      </c>
      <c r="L4261" s="2" t="n">
        <f>HYPERLINK("https://globaldossier.uspto.gov/result/patent/US/6077515/1","US6077515")</f>
        <v>0.0</v>
      </c>
      <c r="M4261" t="s">
        <v>25916</v>
      </c>
      <c r="N4261" t="s">
        <v>4005</v>
      </c>
      <c r="O4261" t="s">
        <v>4006</v>
      </c>
      <c r="P4261" t="s">
        <v>25917</v>
      </c>
      <c r="Q4261" s="3" t="n">
        <v>35290.0</v>
      </c>
      <c r="R4261" s="3" t="n">
        <v>36697.0</v>
      </c>
      <c r="S4261" s="3" t="n">
        <v>43900.43738974537</v>
      </c>
      <c r="T4261" s="3" t="n">
        <v>43901.721561122686</v>
      </c>
      <c r="U4261" t="s">
        <v>25918</v>
      </c>
      <c r="V4261" t="s">
        <v>25919</v>
      </c>
    </row>
    <row r="4262">
      <c r="A4262" t="s">
        <v>23557</v>
      </c>
      <c r="B4262" t="s">
        <v>25920</v>
      </c>
      <c r="C4262" t="s">
        <v>60</v>
      </c>
      <c r="D4262" t="s">
        <v>61</v>
      </c>
      <c r="E4262" t="s">
        <v>25921</v>
      </c>
      <c r="F4262" s="2" t="n">
        <f>HYPERLINK("https://patents.google.com/patent/US6071743","Google")</f>
        <v>0.0</v>
      </c>
      <c r="G4262" s="2" t="n">
        <f>HYPERLINK("https://patentcenter.uspto.gov/applications/08867314","Patent Center")</f>
        <v>0.0</v>
      </c>
      <c r="H4262" s="2" t="n">
        <f>HYPERLINK("https://worldwide.espacenet.com/patent/search?q=US6071743","Espacenet")</f>
        <v>0.0</v>
      </c>
      <c r="I4262" s="2" t="n">
        <f>HYPERLINK("https://ppubs.uspto.gov/pubwebapp/external.html?q=6071743.pn.","USPTO")</f>
        <v>0.0</v>
      </c>
      <c r="J4262" s="2" t="n">
        <f>HYPERLINK("https://image-ppubs.uspto.gov/dirsearch-public/print/downloadPdf/6071743","USPTO PDF")</f>
        <v>0.0</v>
      </c>
      <c r="K4262" s="2" t="n">
        <f>HYPERLINK("https://sectors.patentforecast.com/pmd/US6071743","PMD")</f>
        <v>0.0</v>
      </c>
      <c r="L4262" s="2" t="n">
        <f>HYPERLINK("https://globaldossier.uspto.gov/result/patent/US/6071743/1","US6071743")</f>
        <v>0.0</v>
      </c>
      <c r="M4262" t="s">
        <v>25922</v>
      </c>
      <c r="N4262" t="s">
        <v>25923</v>
      </c>
      <c r="O4262" t="s">
        <v>25924</v>
      </c>
      <c r="P4262" t="s">
        <v>25925</v>
      </c>
      <c r="Q4262" s="3" t="n">
        <v>35583.0</v>
      </c>
      <c r="R4262" s="3" t="n">
        <v>36683.0</v>
      </c>
      <c r="S4262" s="3" t="n">
        <v>43973.4687971875</v>
      </c>
      <c r="T4262" s="3" t="n">
        <v>44545.57514458333</v>
      </c>
      <c r="U4262" t="s">
        <v>25926</v>
      </c>
      <c r="V4262" t="s">
        <v>25927</v>
      </c>
    </row>
    <row r="4263">
      <c r="A4263" t="s">
        <v>23557</v>
      </c>
      <c r="B4263" t="s">
        <v>25928</v>
      </c>
      <c r="C4263" t="s">
        <v>60</v>
      </c>
      <c r="D4263" t="s">
        <v>61</v>
      </c>
      <c r="E4263" t="s">
        <v>23575</v>
      </c>
      <c r="F4263" s="2" t="n">
        <f>HYPERLINK("https://patents.google.com/patent/US6069249","Google")</f>
        <v>0.0</v>
      </c>
      <c r="G4263" s="2" t="n">
        <f>HYPERLINK("https://patentcenter.uspto.gov/applications/09314607","Patent Center")</f>
        <v>0.0</v>
      </c>
      <c r="H4263" s="2" t="n">
        <f>HYPERLINK("https://worldwide.espacenet.com/patent/search?q=US6069249","Espacenet")</f>
        <v>0.0</v>
      </c>
      <c r="I4263" s="2" t="n">
        <f>HYPERLINK("https://ppubs.uspto.gov/pubwebapp/external.html?q=6069249.pn.","USPTO")</f>
        <v>0.0</v>
      </c>
      <c r="J4263" s="2" t="n">
        <f>HYPERLINK("https://image-ppubs.uspto.gov/dirsearch-public/print/downloadPdf/6069249","USPTO PDF")</f>
        <v>0.0</v>
      </c>
      <c r="K4263" s="2" t="n">
        <f>HYPERLINK("https://sectors.patentforecast.com/pmd/US6069249","PMD")</f>
        <v>0.0</v>
      </c>
      <c r="L4263" s="2" t="n">
        <f>HYPERLINK("https://globaldossier.uspto.gov/result/patent/US/6069249/1","US6069249")</f>
        <v>0.0</v>
      </c>
      <c r="M4263" t="s">
        <v>25929</v>
      </c>
      <c r="N4263" t="s">
        <v>664</v>
      </c>
      <c r="O4263" t="s">
        <v>665</v>
      </c>
      <c r="P4263" t="s">
        <v>23577</v>
      </c>
      <c r="Q4263" s="3" t="n">
        <v>36299.0</v>
      </c>
      <c r="R4263" s="3" t="n">
        <v>36676.0</v>
      </c>
      <c r="S4263" s="3" t="n">
        <v>43950.647372685184</v>
      </c>
      <c r="T4263" s="3" t="n">
        <v>44638.65271974537</v>
      </c>
      <c r="U4263" t="s">
        <v>23578</v>
      </c>
      <c r="V4263" t="s">
        <v>23579</v>
      </c>
    </row>
    <row r="4264">
      <c r="A4264" t="s">
        <v>23557</v>
      </c>
      <c r="B4264" t="s">
        <v>25930</v>
      </c>
      <c r="C4264" t="s">
        <v>132</v>
      </c>
      <c r="D4264" t="s">
        <v>1265</v>
      </c>
      <c r="E4264" t="s">
        <v>25931</v>
      </c>
      <c r="F4264" s="2" t="n">
        <f>HYPERLINK("https://patents.google.com/patent/US6068973","Google")</f>
        <v>0.0</v>
      </c>
      <c r="G4264" s="2" t="n">
        <f>HYPERLINK("https://patentcenter.uspto.gov/applications/08485551","Patent Center")</f>
        <v>0.0</v>
      </c>
      <c r="H4264" s="2" t="n">
        <f>HYPERLINK("https://worldwide.espacenet.com/patent/search?q=US6068973","Espacenet")</f>
        <v>0.0</v>
      </c>
      <c r="I4264" s="2" t="n">
        <f>HYPERLINK("https://ppubs.uspto.gov/pubwebapp/external.html?q=6068973.pn.","USPTO")</f>
        <v>0.0</v>
      </c>
      <c r="J4264" s="2" t="n">
        <f>HYPERLINK("https://image-ppubs.uspto.gov/dirsearch-public/print/downloadPdf/6068973","USPTO PDF")</f>
        <v>0.0</v>
      </c>
      <c r="K4264" s="2" t="n">
        <f>HYPERLINK("https://sectors.patentforecast.com/pmd/US6068973","PMD")</f>
        <v>0.0</v>
      </c>
      <c r="L4264" s="2" t="n">
        <f>HYPERLINK("https://globaldossier.uspto.gov/result/patent/US/6068973/1","US6068973")</f>
        <v>0.0</v>
      </c>
      <c r="M4264" t="s">
        <v>25932</v>
      </c>
      <c r="N4264" t="s">
        <v>25909</v>
      </c>
      <c r="O4264" t="s">
        <v>25910</v>
      </c>
      <c r="P4264" t="s">
        <v>25911</v>
      </c>
      <c r="Q4264" s="3" t="n">
        <v>34857.0</v>
      </c>
      <c r="R4264" s="3" t="n">
        <v>36676.0</v>
      </c>
      <c r="S4264" s="3" t="n">
        <v>43973.4687971875</v>
      </c>
      <c r="T4264" s="3" t="n">
        <v>44545.667110069444</v>
      </c>
      <c r="U4264" t="s">
        <v>25933</v>
      </c>
      <c r="V4264" t="s">
        <v>25934</v>
      </c>
    </row>
    <row r="4265">
      <c r="A4265" t="s">
        <v>23557</v>
      </c>
      <c r="B4265" t="s">
        <v>25935</v>
      </c>
      <c r="C4265" t="s">
        <v>132</v>
      </c>
      <c r="D4265" t="s">
        <v>1265</v>
      </c>
      <c r="E4265" t="s">
        <v>25936</v>
      </c>
      <c r="F4265" s="2" t="n">
        <f>HYPERLINK("https://patents.google.com/patent/US6060065","Google")</f>
        <v>0.0</v>
      </c>
      <c r="G4265" s="2" t="n">
        <f>HYPERLINK("https://patentcenter.uspto.gov/applications/08475668","Patent Center")</f>
        <v>0.0</v>
      </c>
      <c r="H4265" s="2" t="n">
        <f>HYPERLINK("https://worldwide.espacenet.com/patent/search?q=US6060065","Espacenet")</f>
        <v>0.0</v>
      </c>
      <c r="I4265" s="2" t="n">
        <f>HYPERLINK("https://ppubs.uspto.gov/pubwebapp/external.html?q=6060065.pn.","USPTO")</f>
        <v>0.0</v>
      </c>
      <c r="J4265" s="2" t="n">
        <f>HYPERLINK("https://image-ppubs.uspto.gov/dirsearch-public/print/downloadPdf/6060065","USPTO PDF")</f>
        <v>0.0</v>
      </c>
      <c r="K4265" s="2" t="n">
        <f>HYPERLINK("https://sectors.patentforecast.com/pmd/US6060065","PMD")</f>
        <v>0.0</v>
      </c>
      <c r="L4265" s="2" t="n">
        <f>HYPERLINK("https://globaldossier.uspto.gov/result/patent/US/6060065/1","US6060065")</f>
        <v>0.0</v>
      </c>
      <c r="M4265" t="s">
        <v>25937</v>
      </c>
      <c r="N4265" t="s">
        <v>25909</v>
      </c>
      <c r="O4265" t="s">
        <v>25910</v>
      </c>
      <c r="P4265" t="s">
        <v>25911</v>
      </c>
      <c r="Q4265" s="3" t="n">
        <v>34857.0</v>
      </c>
      <c r="R4265" s="3" t="n">
        <v>36655.0</v>
      </c>
      <c r="S4265" s="3" t="n">
        <v>43973.4687971875</v>
      </c>
      <c r="T4265" s="3" t="n">
        <v>44545.57831331019</v>
      </c>
      <c r="U4265" t="s">
        <v>25938</v>
      </c>
      <c r="V4265" t="s">
        <v>25939</v>
      </c>
    </row>
    <row r="4266">
      <c r="A4266" t="s">
        <v>23557</v>
      </c>
      <c r="B4266" t="s">
        <v>25940</v>
      </c>
      <c r="C4266" t="s">
        <v>60</v>
      </c>
      <c r="D4266" t="s">
        <v>61</v>
      </c>
      <c r="E4266" t="s">
        <v>25941</v>
      </c>
      <c r="F4266" s="2" t="n">
        <f>HYPERLINK("https://patents.google.com/patent/US6043347","Google")</f>
        <v>0.0</v>
      </c>
      <c r="G4266" s="2" t="n">
        <f>HYPERLINK("https://patentcenter.uspto.gov/applications/08948782","Patent Center")</f>
        <v>0.0</v>
      </c>
      <c r="H4266" s="2" t="n">
        <f>HYPERLINK("https://worldwide.espacenet.com/patent/search?q=US6043347","Espacenet")</f>
        <v>0.0</v>
      </c>
      <c r="I4266" s="2" t="n">
        <f>HYPERLINK("https://ppubs.uspto.gov/pubwebapp/external.html?q=6043347.pn.","USPTO")</f>
        <v>0.0</v>
      </c>
      <c r="J4266" s="2" t="n">
        <f>HYPERLINK("https://image-ppubs.uspto.gov/dirsearch-public/print/downloadPdf/6043347","USPTO PDF")</f>
        <v>0.0</v>
      </c>
      <c r="K4266" s="2" t="n">
        <f>HYPERLINK("https://sectors.patentforecast.com/pmd/US6043347","PMD")</f>
        <v>0.0</v>
      </c>
      <c r="L4266" s="2" t="n">
        <f>HYPERLINK("https://globaldossier.uspto.gov/result/patent/US/6043347/1","US6043347")</f>
        <v>0.0</v>
      </c>
      <c r="M4266" t="s">
        <v>25942</v>
      </c>
      <c r="N4266" t="s">
        <v>25943</v>
      </c>
      <c r="O4266" t="s">
        <v>25944</v>
      </c>
      <c r="P4266" t="s">
        <v>25945</v>
      </c>
      <c r="Q4266" s="3" t="n">
        <v>35713.0</v>
      </c>
      <c r="R4266" s="3" t="n">
        <v>36613.0</v>
      </c>
      <c r="S4266" s="3" t="n">
        <v>43973.4687971875</v>
      </c>
      <c r="T4266" s="3" t="n">
        <v>44545.57553055556</v>
      </c>
      <c r="U4266" t="s">
        <v>25946</v>
      </c>
      <c r="V4266" t="s">
        <v>25947</v>
      </c>
    </row>
    <row r="4267">
      <c r="A4267" t="s">
        <v>23557</v>
      </c>
      <c r="B4267" t="s">
        <v>25948</v>
      </c>
      <c r="C4267" t="s">
        <v>60</v>
      </c>
      <c r="D4267" t="s">
        <v>61</v>
      </c>
      <c r="E4267" t="s">
        <v>23575</v>
      </c>
      <c r="F4267" s="2" t="n">
        <f>HYPERLINK("https://patents.google.com/patent/US6043230","Google")</f>
        <v>0.0</v>
      </c>
      <c r="G4267" s="2" t="n">
        <f>HYPERLINK("https://patentcenter.uspto.gov/applications/09314606","Patent Center")</f>
        <v>0.0</v>
      </c>
      <c r="H4267" s="2" t="n">
        <f>HYPERLINK("https://worldwide.espacenet.com/patent/search?q=US6043230","Espacenet")</f>
        <v>0.0</v>
      </c>
      <c r="I4267" s="2" t="n">
        <f>HYPERLINK("https://ppubs.uspto.gov/pubwebapp/external.html?q=6043230.pn.","USPTO")</f>
        <v>0.0</v>
      </c>
      <c r="J4267" s="2" t="n">
        <f>HYPERLINK("https://image-ppubs.uspto.gov/dirsearch-public/print/downloadPdf/6043230","USPTO PDF")</f>
        <v>0.0</v>
      </c>
      <c r="K4267" s="2" t="n">
        <f>HYPERLINK("https://sectors.patentforecast.com/pmd/US6043230","PMD")</f>
        <v>0.0</v>
      </c>
      <c r="L4267" s="2" t="n">
        <f>HYPERLINK("https://globaldossier.uspto.gov/result/patent/US/6043230/1","US6043230")</f>
        <v>0.0</v>
      </c>
      <c r="M4267" t="s">
        <v>25949</v>
      </c>
      <c r="N4267" t="s">
        <v>664</v>
      </c>
      <c r="O4267" t="s">
        <v>665</v>
      </c>
      <c r="P4267" t="s">
        <v>23577</v>
      </c>
      <c r="Q4267" s="3" t="n">
        <v>36299.0</v>
      </c>
      <c r="R4267" s="3" t="n">
        <v>36613.0</v>
      </c>
      <c r="S4267" s="3" t="n">
        <v>43950.647372685184</v>
      </c>
      <c r="T4267" s="3" t="n">
        <v>44638.65271974537</v>
      </c>
      <c r="U4267" t="s">
        <v>23578</v>
      </c>
      <c r="V4267" t="s">
        <v>25950</v>
      </c>
    </row>
    <row r="4268">
      <c r="A4268" t="s">
        <v>23557</v>
      </c>
      <c r="B4268" t="s">
        <v>25951</v>
      </c>
      <c r="C4268" t="s">
        <v>132</v>
      </c>
      <c r="D4268" t="s">
        <v>23522</v>
      </c>
      <c r="E4268" t="s">
        <v>25952</v>
      </c>
      <c r="F4268" s="2" t="n">
        <f>HYPERLINK("https://patents.google.com/patent/US6013263","Google")</f>
        <v>0.0</v>
      </c>
      <c r="G4268" s="2" t="n">
        <f>HYPERLINK("https://patentcenter.uspto.gov/applications/08486099","Patent Center")</f>
        <v>0.0</v>
      </c>
      <c r="H4268" s="2" t="n">
        <f>HYPERLINK("https://worldwide.espacenet.com/patent/search?q=US6013263","Espacenet")</f>
        <v>0.0</v>
      </c>
      <c r="I4268" s="2" t="n">
        <f>HYPERLINK("https://ppubs.uspto.gov/pubwebapp/external.html?q=6013263.pn.","USPTO")</f>
        <v>0.0</v>
      </c>
      <c r="J4268" s="2" t="n">
        <f>HYPERLINK("https://image-ppubs.uspto.gov/dirsearch-public/print/downloadPdf/6013263","USPTO PDF")</f>
        <v>0.0</v>
      </c>
      <c r="K4268" s="2" t="n">
        <f>HYPERLINK("https://sectors.patentforecast.com/pmd/US6013263","PMD")</f>
        <v>0.0</v>
      </c>
      <c r="L4268" s="2" t="n">
        <f>HYPERLINK("https://globaldossier.uspto.gov/result/patent/US/6013263/1","US6013263")</f>
        <v>0.0</v>
      </c>
      <c r="M4268" t="s">
        <v>25953</v>
      </c>
      <c r="N4268" t="s">
        <v>25909</v>
      </c>
      <c r="O4268" t="s">
        <v>25910</v>
      </c>
      <c r="P4268" t="s">
        <v>25911</v>
      </c>
      <c r="Q4268" s="3" t="n">
        <v>34857.0</v>
      </c>
      <c r="R4268" s="3" t="n">
        <v>36536.0</v>
      </c>
      <c r="S4268" s="3" t="n">
        <v>43973.4687971875</v>
      </c>
      <c r="T4268" s="3" t="n">
        <v>44545.624931631944</v>
      </c>
      <c r="U4268" t="s">
        <v>25954</v>
      </c>
      <c r="V4268" t="s">
        <v>25934</v>
      </c>
    </row>
    <row r="4269">
      <c r="A4269" t="s">
        <v>23557</v>
      </c>
      <c r="B4269" t="s">
        <v>25955</v>
      </c>
      <c r="C4269" t="s">
        <v>60</v>
      </c>
      <c r="D4269" t="s">
        <v>61</v>
      </c>
      <c r="E4269" t="s">
        <v>23575</v>
      </c>
      <c r="F4269" s="2" t="n">
        <f>HYPERLINK("https://patents.google.com/patent/US5977089","Google")</f>
        <v>0.0</v>
      </c>
      <c r="G4269" s="2" t="n">
        <f>HYPERLINK("https://patentcenter.uspto.gov/applications/09187763","Patent Center")</f>
        <v>0.0</v>
      </c>
      <c r="H4269" s="2" t="n">
        <f>HYPERLINK("https://worldwide.espacenet.com/patent/search?q=US5977089","Espacenet")</f>
        <v>0.0</v>
      </c>
      <c r="I4269" s="2" t="n">
        <f>HYPERLINK("https://ppubs.uspto.gov/pubwebapp/external.html?q=5977089.pn.","USPTO")</f>
        <v>0.0</v>
      </c>
      <c r="J4269" s="2" t="n">
        <f>HYPERLINK("https://image-ppubs.uspto.gov/dirsearch-public/print/downloadPdf/5977089","USPTO PDF")</f>
        <v>0.0</v>
      </c>
      <c r="K4269" s="2" t="n">
        <f>HYPERLINK("https://sectors.patentforecast.com/pmd/US5977089","PMD")</f>
        <v>0.0</v>
      </c>
      <c r="L4269" s="2" t="n">
        <f>HYPERLINK("https://globaldossier.uspto.gov/result/patent/US/5977089/1","US5977089")</f>
        <v>0.0</v>
      </c>
      <c r="M4269" t="s">
        <v>25956</v>
      </c>
      <c r="N4269" t="s">
        <v>664</v>
      </c>
      <c r="O4269" t="s">
        <v>665</v>
      </c>
      <c r="P4269" t="s">
        <v>23577</v>
      </c>
      <c r="Q4269" s="3" t="n">
        <v>36105.0</v>
      </c>
      <c r="R4269" s="3" t="n">
        <v>36466.0</v>
      </c>
      <c r="S4269" s="3" t="n">
        <v>43950.647372685184</v>
      </c>
      <c r="T4269" s="3" t="n">
        <v>44638.65271974537</v>
      </c>
      <c r="U4269" t="s">
        <v>23578</v>
      </c>
      <c r="V4269" t="s">
        <v>25957</v>
      </c>
    </row>
    <row r="4270">
      <c r="A4270" t="s">
        <v>23557</v>
      </c>
      <c r="B4270" t="s">
        <v>25958</v>
      </c>
      <c r="C4270" t="s">
        <v>60</v>
      </c>
      <c r="D4270" t="s">
        <v>61</v>
      </c>
      <c r="E4270" t="s">
        <v>25877</v>
      </c>
      <c r="F4270" s="2" t="n">
        <f>HYPERLINK("https://patents.google.com/patent/US5952375","Google")</f>
        <v>0.0</v>
      </c>
      <c r="G4270" s="2" t="n">
        <f>HYPERLINK("https://patentcenter.uspto.gov/applications/08606624","Patent Center")</f>
        <v>0.0</v>
      </c>
      <c r="H4270" s="2" t="n">
        <f>HYPERLINK("https://worldwide.espacenet.com/patent/search?q=US5952375","Espacenet")</f>
        <v>0.0</v>
      </c>
      <c r="I4270" s="2" t="n">
        <f>HYPERLINK("https://ppubs.uspto.gov/pubwebapp/external.html?q=5952375.pn.","USPTO")</f>
        <v>0.0</v>
      </c>
      <c r="J4270" s="2" t="n">
        <f>HYPERLINK("https://image-ppubs.uspto.gov/dirsearch-public/print/downloadPdf/5952375","USPTO PDF")</f>
        <v>0.0</v>
      </c>
      <c r="K4270" s="2" t="n">
        <f>HYPERLINK("https://sectors.patentforecast.com/pmd/US5952375","PMD")</f>
        <v>0.0</v>
      </c>
      <c r="L4270" s="2" t="n">
        <f>HYPERLINK("https://globaldossier.uspto.gov/result/patent/US/5952375/1","US5952375")</f>
        <v>0.0</v>
      </c>
      <c r="M4270" t="s">
        <v>25959</v>
      </c>
      <c r="N4270" t="s">
        <v>664</v>
      </c>
      <c r="O4270" t="s">
        <v>665</v>
      </c>
      <c r="P4270" t="s">
        <v>25879</v>
      </c>
      <c r="Q4270" s="3" t="n">
        <v>35121.0</v>
      </c>
      <c r="R4270" s="3" t="n">
        <v>36417.0</v>
      </c>
      <c r="S4270" s="3" t="n">
        <v>43952.45956121528</v>
      </c>
      <c r="T4270" s="3" t="n">
        <v>44638.661572453704</v>
      </c>
      <c r="U4270" t="s">
        <v>25960</v>
      </c>
      <c r="V4270" t="s">
        <v>25881</v>
      </c>
    </row>
    <row r="4271">
      <c r="A4271" t="s">
        <v>23557</v>
      </c>
      <c r="B4271" t="s">
        <v>25961</v>
      </c>
      <c r="C4271" t="s">
        <v>60</v>
      </c>
      <c r="D4271" t="s">
        <v>61</v>
      </c>
      <c r="E4271" t="s">
        <v>25962</v>
      </c>
      <c r="F4271" s="2" t="n">
        <f>HYPERLINK("https://patents.google.com/patent/US5948918","Google")</f>
        <v>0.0</v>
      </c>
      <c r="G4271" s="2" t="n">
        <f>HYPERLINK("https://patentcenter.uspto.gov/applications/09059913","Patent Center")</f>
        <v>0.0</v>
      </c>
      <c r="H4271" s="2" t="n">
        <f>HYPERLINK("https://worldwide.espacenet.com/patent/search?q=US5948918","Espacenet")</f>
        <v>0.0</v>
      </c>
      <c r="I4271" s="2" t="n">
        <f>HYPERLINK("https://ppubs.uspto.gov/pubwebapp/external.html?q=5948918.pn.","USPTO")</f>
        <v>0.0</v>
      </c>
      <c r="J4271" s="2" t="n">
        <f>HYPERLINK("https://image-ppubs.uspto.gov/dirsearch-public/print/downloadPdf/5948918","USPTO PDF")</f>
        <v>0.0</v>
      </c>
      <c r="K4271" s="2" t="n">
        <f>HYPERLINK("https://sectors.patentforecast.com/pmd/US5948918","PMD")</f>
        <v>0.0</v>
      </c>
      <c r="L4271" s="2" t="n">
        <f>HYPERLINK("https://globaldossier.uspto.gov/result/patent/US/5948918/1","US5948918")</f>
        <v>0.0</v>
      </c>
      <c r="M4271" t="s">
        <v>25963</v>
      </c>
      <c r="N4271" t="s">
        <v>25964</v>
      </c>
      <c r="O4271" t="s">
        <v>25965</v>
      </c>
      <c r="P4271" t="s">
        <v>25966</v>
      </c>
      <c r="Q4271" s="3" t="n">
        <v>35899.0</v>
      </c>
      <c r="R4271" s="3" t="n">
        <v>36410.0</v>
      </c>
      <c r="S4271" s="3" t="n">
        <v>43973.4687971875</v>
      </c>
      <c r="T4271" s="3" t="n">
        <v>44545.37348627315</v>
      </c>
      <c r="U4271" t="s">
        <v>25967</v>
      </c>
      <c r="V4271" t="s">
        <v>25968</v>
      </c>
    </row>
    <row r="4272">
      <c r="A4272" t="s">
        <v>23557</v>
      </c>
      <c r="B4272" t="s">
        <v>25969</v>
      </c>
      <c r="C4272" t="s">
        <v>60</v>
      </c>
      <c r="D4272" t="s">
        <v>61</v>
      </c>
      <c r="E4272" t="s">
        <v>25970</v>
      </c>
      <c r="F4272" s="2" t="n">
        <f>HYPERLINK("https://patents.google.com/patent/US5935946","Google")</f>
        <v>0.0</v>
      </c>
      <c r="G4272" s="2" t="n">
        <f>HYPERLINK("https://patentcenter.uspto.gov/applications/08900752","Patent Center")</f>
        <v>0.0</v>
      </c>
      <c r="H4272" s="2" t="n">
        <f>HYPERLINK("https://worldwide.espacenet.com/patent/search?q=US5935946","Espacenet")</f>
        <v>0.0</v>
      </c>
      <c r="I4272" s="2" t="n">
        <f>HYPERLINK("https://ppubs.uspto.gov/pubwebapp/external.html?q=5935946.pn.","USPTO")</f>
        <v>0.0</v>
      </c>
      <c r="J4272" s="2" t="n">
        <f>HYPERLINK("https://image-ppubs.uspto.gov/dirsearch-public/print/downloadPdf/5935946","USPTO PDF")</f>
        <v>0.0</v>
      </c>
      <c r="K4272" s="2" t="n">
        <f>HYPERLINK("https://sectors.patentforecast.com/pmd/US5935946","PMD")</f>
        <v>0.0</v>
      </c>
      <c r="L4272" s="2" t="n">
        <f>HYPERLINK("https://globaldossier.uspto.gov/result/patent/US/5935946/1","US5935946")</f>
        <v>0.0</v>
      </c>
      <c r="M4272" t="s">
        <v>25971</v>
      </c>
      <c r="N4272" t="s">
        <v>664</v>
      </c>
      <c r="O4272" t="s">
        <v>665</v>
      </c>
      <c r="P4272" t="s">
        <v>25972</v>
      </c>
      <c r="Q4272" s="3" t="n">
        <v>35636.0</v>
      </c>
      <c r="R4272" s="3" t="n">
        <v>36382.0</v>
      </c>
      <c r="S4272" s="3" t="n">
        <v>43950.647372685184</v>
      </c>
      <c r="T4272" s="3" t="n">
        <v>44678.6038259375</v>
      </c>
      <c r="U4272" t="s">
        <v>25973</v>
      </c>
      <c r="V4272" t="s">
        <v>25974</v>
      </c>
    </row>
    <row r="4273">
      <c r="A4273" t="s">
        <v>23557</v>
      </c>
      <c r="B4273" t="s">
        <v>25975</v>
      </c>
      <c r="C4273" t="s">
        <v>60</v>
      </c>
      <c r="D4273" t="s">
        <v>431</v>
      </c>
      <c r="E4273" t="s">
        <v>25976</v>
      </c>
      <c r="F4273" s="2" t="n">
        <f>HYPERLINK("https://patents.google.com/patent/US5935597","Google")</f>
        <v>0.0</v>
      </c>
      <c r="G4273" s="2" t="n">
        <f>HYPERLINK("https://patentcenter.uspto.gov/applications/08874425","Patent Center")</f>
        <v>0.0</v>
      </c>
      <c r="H4273" s="2" t="n">
        <f>HYPERLINK("https://worldwide.espacenet.com/patent/search?q=US5935597","Espacenet")</f>
        <v>0.0</v>
      </c>
      <c r="I4273" s="2" t="n">
        <f>HYPERLINK("https://ppubs.uspto.gov/pubwebapp/external.html?q=5935597.pn.","USPTO")</f>
        <v>0.0</v>
      </c>
      <c r="J4273" s="2" t="n">
        <f>HYPERLINK("https://image-ppubs.uspto.gov/dirsearch-public/print/downloadPdf/5935597","USPTO PDF")</f>
        <v>0.0</v>
      </c>
      <c r="K4273" s="2" t="n">
        <f>HYPERLINK("https://sectors.patentforecast.com/pmd/US5935597","PMD")</f>
        <v>0.0</v>
      </c>
      <c r="L4273" s="2" t="n">
        <f>HYPERLINK("https://globaldossier.uspto.gov/result/patent/US/5935597/1","US5935597")</f>
        <v>0.0</v>
      </c>
      <c r="M4273" t="s">
        <v>25977</v>
      </c>
      <c r="N4273" t="s">
        <v>25978</v>
      </c>
      <c r="O4273" t="s">
        <v>25979</v>
      </c>
      <c r="P4273" t="s">
        <v>25980</v>
      </c>
      <c r="Q4273" s="3" t="n">
        <v>35594.0</v>
      </c>
      <c r="R4273" s="3" t="n">
        <v>36382.0</v>
      </c>
      <c r="S4273" s="3" t="n">
        <v>43973.4687971875</v>
      </c>
      <c r="T4273" s="3" t="n">
        <v>44545.580920671295</v>
      </c>
      <c r="U4273" t="s">
        <v>25981</v>
      </c>
      <c r="V4273" t="s">
        <v>25982</v>
      </c>
    </row>
    <row r="4274">
      <c r="A4274" t="s">
        <v>23557</v>
      </c>
      <c r="B4274" t="s">
        <v>25983</v>
      </c>
      <c r="C4274" t="s">
        <v>60</v>
      </c>
      <c r="D4274" t="s">
        <v>61</v>
      </c>
      <c r="E4274" t="s">
        <v>25984</v>
      </c>
      <c r="F4274" s="2" t="n">
        <f>HYPERLINK("https://patents.google.com/patent/US5922695","Google")</f>
        <v>0.0</v>
      </c>
      <c r="G4274" s="2" t="n">
        <f>HYPERLINK("https://patentcenter.uspto.gov/applications/08900746","Patent Center")</f>
        <v>0.0</v>
      </c>
      <c r="H4274" s="2" t="n">
        <f>HYPERLINK("https://worldwide.espacenet.com/patent/search?q=US5922695","Espacenet")</f>
        <v>0.0</v>
      </c>
      <c r="I4274" s="2" t="n">
        <f>HYPERLINK("https://ppubs.uspto.gov/pubwebapp/external.html?q=5922695.pn.","USPTO")</f>
        <v>0.0</v>
      </c>
      <c r="J4274" s="2" t="n">
        <f>HYPERLINK("https://image-ppubs.uspto.gov/dirsearch-public/print/downloadPdf/5922695","USPTO PDF")</f>
        <v>0.0</v>
      </c>
      <c r="K4274" s="2" t="n">
        <f>HYPERLINK("https://sectors.patentforecast.com/pmd/US5922695","PMD")</f>
        <v>0.0</v>
      </c>
      <c r="L4274" s="2" t="n">
        <f>HYPERLINK("https://globaldossier.uspto.gov/result/patent/US/5922695/1","US5922695")</f>
        <v>0.0</v>
      </c>
      <c r="M4274" t="s">
        <v>25985</v>
      </c>
      <c r="N4274" t="s">
        <v>664</v>
      </c>
      <c r="O4274" t="s">
        <v>665</v>
      </c>
      <c r="P4274" t="s">
        <v>23577</v>
      </c>
      <c r="Q4274" s="3" t="n">
        <v>35636.0</v>
      </c>
      <c r="R4274" s="3" t="n">
        <v>36354.0</v>
      </c>
      <c r="S4274" s="3" t="n">
        <v>43950.647372685184</v>
      </c>
      <c r="T4274" s="3" t="n">
        <v>44638.65271974537</v>
      </c>
      <c r="U4274" t="s">
        <v>23578</v>
      </c>
      <c r="V4274" t="s">
        <v>25986</v>
      </c>
    </row>
    <row r="4275">
      <c r="A4275" t="s">
        <v>23557</v>
      </c>
      <c r="B4275" t="s">
        <v>25987</v>
      </c>
      <c r="C4275" t="s">
        <v>24</v>
      </c>
      <c r="D4275" t="s">
        <v>34</v>
      </c>
      <c r="E4275" t="s">
        <v>25988</v>
      </c>
      <c r="F4275" s="2" t="n">
        <f>HYPERLINK("https://patents.google.com/patent/US5922282","Google")</f>
        <v>0.0</v>
      </c>
      <c r="G4275" s="2" t="n">
        <f>HYPERLINK("https://patentcenter.uspto.gov/applications/08486500","Patent Center")</f>
        <v>0.0</v>
      </c>
      <c r="H4275" s="2" t="n">
        <f>HYPERLINK("https://worldwide.espacenet.com/patent/search?q=US5922282","Espacenet")</f>
        <v>0.0</v>
      </c>
      <c r="I4275" s="2" t="n">
        <f>HYPERLINK("https://ppubs.uspto.gov/pubwebapp/external.html?q=5922282.pn.","USPTO")</f>
        <v>0.0</v>
      </c>
      <c r="J4275" s="2" t="n">
        <f>HYPERLINK("https://image-ppubs.uspto.gov/dirsearch-public/print/downloadPdf/5922282","USPTO PDF")</f>
        <v>0.0</v>
      </c>
      <c r="K4275" s="2" t="n">
        <f>HYPERLINK("https://sectors.patentforecast.com/pmd/US5922282","PMD")</f>
        <v>0.0</v>
      </c>
      <c r="L4275" s="2" t="n">
        <f>HYPERLINK("https://globaldossier.uspto.gov/result/patent/US/5922282/1","US5922282")</f>
        <v>0.0</v>
      </c>
      <c r="M4275" t="s">
        <v>25989</v>
      </c>
      <c r="N4275" t="s">
        <v>25990</v>
      </c>
      <c r="O4275" t="s">
        <v>31</v>
      </c>
      <c r="P4275" t="s">
        <v>25991</v>
      </c>
      <c r="Q4275" s="3" t="n">
        <v>34857.0</v>
      </c>
      <c r="R4275" s="3" t="n">
        <v>36354.0</v>
      </c>
      <c r="S4275" s="3" t="n">
        <v>43900.43738974537</v>
      </c>
      <c r="T4275" s="3" t="n">
        <v>43906.37770956018</v>
      </c>
      <c r="U4275" t="s">
        <v>25992</v>
      </c>
      <c r="V4275" t="s">
        <v>25993</v>
      </c>
    </row>
    <row r="4276">
      <c r="A4276" t="s">
        <v>23557</v>
      </c>
      <c r="B4276" t="s">
        <v>25994</v>
      </c>
      <c r="C4276" t="s">
        <v>132</v>
      </c>
      <c r="D4276" t="s">
        <v>1265</v>
      </c>
      <c r="E4276" t="s">
        <v>25995</v>
      </c>
      <c r="F4276" s="2" t="n">
        <f>HYPERLINK("https://patents.google.com/patent/US5858368","Google")</f>
        <v>0.0</v>
      </c>
      <c r="G4276" s="2" t="n">
        <f>HYPERLINK("https://patentcenter.uspto.gov/applications/08453848","Patent Center")</f>
        <v>0.0</v>
      </c>
      <c r="H4276" s="2" t="n">
        <f>HYPERLINK("https://worldwide.espacenet.com/patent/search?q=US5858368","Espacenet")</f>
        <v>0.0</v>
      </c>
      <c r="I4276" s="2" t="n">
        <f>HYPERLINK("https://ppubs.uspto.gov/pubwebapp/external.html?q=5858368.pn.","USPTO")</f>
        <v>0.0</v>
      </c>
      <c r="J4276" s="2" t="n">
        <f>HYPERLINK("https://image-ppubs.uspto.gov/dirsearch-public/print/downloadPdf/5858368","USPTO PDF")</f>
        <v>0.0</v>
      </c>
      <c r="K4276" s="2" t="n">
        <f>HYPERLINK("https://sectors.patentforecast.com/pmd/US5858368","PMD")</f>
        <v>0.0</v>
      </c>
      <c r="L4276" s="2" t="n">
        <f>HYPERLINK("https://globaldossier.uspto.gov/result/patent/US/5858368/1","US5858368")</f>
        <v>0.0</v>
      </c>
      <c r="M4276" t="s">
        <v>25996</v>
      </c>
      <c r="N4276" t="s">
        <v>25997</v>
      </c>
      <c r="O4276" t="s">
        <v>25998</v>
      </c>
      <c r="P4276" t="s">
        <v>25867</v>
      </c>
      <c r="Q4276" s="3" t="n">
        <v>34849.0</v>
      </c>
      <c r="R4276" s="3" t="n">
        <v>36172.0</v>
      </c>
      <c r="S4276" s="3" t="n">
        <v>43900.43738974537</v>
      </c>
      <c r="T4276" s="3" t="n">
        <v>43906.37770956018</v>
      </c>
      <c r="U4276" t="s">
        <v>25999</v>
      </c>
      <c r="V4276" t="s">
        <v>26000</v>
      </c>
    </row>
    <row r="4277">
      <c r="A4277" t="s">
        <v>23557</v>
      </c>
      <c r="B4277" t="s">
        <v>26001</v>
      </c>
      <c r="C4277" t="s">
        <v>60</v>
      </c>
      <c r="D4277" t="s">
        <v>61</v>
      </c>
      <c r="E4277" t="s">
        <v>26002</v>
      </c>
      <c r="F4277" s="2" t="n">
        <f>HYPERLINK("https://patents.google.com/patent/US5853716","Google")</f>
        <v>0.0</v>
      </c>
      <c r="G4277" s="2" t="n">
        <f>HYPERLINK("https://patentcenter.uspto.gov/applications/08690174","Patent Center")</f>
        <v>0.0</v>
      </c>
      <c r="H4277" s="2" t="n">
        <f>HYPERLINK("https://worldwide.espacenet.com/patent/search?q=US5853716","Espacenet")</f>
        <v>0.0</v>
      </c>
      <c r="I4277" s="2" t="n">
        <f>HYPERLINK("https://ppubs.uspto.gov/pubwebapp/external.html?q=5853716.pn.","USPTO")</f>
        <v>0.0</v>
      </c>
      <c r="J4277" s="2" t="n">
        <f>HYPERLINK("https://image-ppubs.uspto.gov/dirsearch-public/print/downloadPdf/5853716","USPTO PDF")</f>
        <v>0.0</v>
      </c>
      <c r="K4277" s="2" t="n">
        <f>HYPERLINK("https://sectors.patentforecast.com/pmd/US5853716","PMD")</f>
        <v>0.0</v>
      </c>
      <c r="L4277" s="2" t="n">
        <f>HYPERLINK("https://globaldossier.uspto.gov/result/patent/US/5853716/1","US5853716")</f>
        <v>0.0</v>
      </c>
      <c r="M4277" t="s">
        <v>26003</v>
      </c>
      <c r="N4277" t="s">
        <v>26004</v>
      </c>
      <c r="O4277" t="s">
        <v>26005</v>
      </c>
      <c r="P4277" t="s">
        <v>26006</v>
      </c>
      <c r="Q4277" s="3" t="n">
        <v>35271.0</v>
      </c>
      <c r="R4277" s="3" t="n">
        <v>36158.0</v>
      </c>
      <c r="S4277" s="3" t="n">
        <v>43973.4687971875</v>
      </c>
      <c r="T4277" s="3" t="n">
        <v>44545.582078356485</v>
      </c>
      <c r="U4277" t="s">
        <v>26007</v>
      </c>
      <c r="V4277" t="s">
        <v>26008</v>
      </c>
    </row>
    <row r="4278">
      <c r="A4278" t="s">
        <v>23557</v>
      </c>
      <c r="B4278" t="s">
        <v>26009</v>
      </c>
      <c r="C4278" t="s">
        <v>132</v>
      </c>
      <c r="D4278" t="s">
        <v>2629</v>
      </c>
      <c r="E4278" t="s">
        <v>26010</v>
      </c>
      <c r="F4278" s="2" t="n">
        <f>HYPERLINK("https://patents.google.com/patent/US5840565","Google")</f>
        <v>0.0</v>
      </c>
      <c r="G4278" s="2" t="n">
        <f>HYPERLINK("https://patentcenter.uspto.gov/applications/08700198","Patent Center")</f>
        <v>0.0</v>
      </c>
      <c r="H4278" s="2" t="n">
        <f>HYPERLINK("https://worldwide.espacenet.com/patent/search?q=US5840565","Espacenet")</f>
        <v>0.0</v>
      </c>
      <c r="I4278" s="2" t="n">
        <f>HYPERLINK("https://ppubs.uspto.gov/pubwebapp/external.html?q=5840565.pn.","USPTO")</f>
        <v>0.0</v>
      </c>
      <c r="J4278" s="2" t="n">
        <f>HYPERLINK("https://image-ppubs.uspto.gov/dirsearch-public/print/downloadPdf/5840565","USPTO PDF")</f>
        <v>0.0</v>
      </c>
      <c r="K4278" s="2" t="n">
        <f>HYPERLINK("https://sectors.patentforecast.com/pmd/US5840565","PMD")</f>
        <v>0.0</v>
      </c>
      <c r="L4278" s="2" t="n">
        <f>HYPERLINK("https://globaldossier.uspto.gov/result/patent/US/5840565/1","US5840565")</f>
        <v>0.0</v>
      </c>
      <c r="M4278" t="s">
        <v>26011</v>
      </c>
      <c r="N4278" t="s">
        <v>2354</v>
      </c>
      <c r="O4278" t="s">
        <v>2355</v>
      </c>
      <c r="P4278" t="s">
        <v>26012</v>
      </c>
      <c r="Q4278" s="3" t="n">
        <v>35298.0</v>
      </c>
      <c r="R4278" s="3" t="n">
        <v>36123.0</v>
      </c>
      <c r="S4278" s="3" t="n">
        <v>43973.4687971875</v>
      </c>
      <c r="T4278" s="3" t="n">
        <v>44545.6665875</v>
      </c>
      <c r="U4278" t="s">
        <v>26013</v>
      </c>
      <c r="V4278" t="s">
        <v>26014</v>
      </c>
    </row>
    <row r="4279">
      <c r="A4279" t="s">
        <v>23557</v>
      </c>
      <c r="B4279" t="s">
        <v>26015</v>
      </c>
      <c r="C4279" t="s">
        <v>132</v>
      </c>
      <c r="D4279" t="s">
        <v>133</v>
      </c>
      <c r="E4279" t="s">
        <v>26016</v>
      </c>
      <c r="F4279" s="2" t="n">
        <f>HYPERLINK("https://patents.google.com/patent/US5804440","Google")</f>
        <v>0.0</v>
      </c>
      <c r="G4279" s="2" t="n">
        <f>HYPERLINK("https://patentcenter.uspto.gov/applications/08899575","Patent Center")</f>
        <v>0.0</v>
      </c>
      <c r="H4279" s="2" t="n">
        <f>HYPERLINK("https://worldwide.espacenet.com/patent/search?q=US5804440","Espacenet")</f>
        <v>0.0</v>
      </c>
      <c r="I4279" s="2" t="n">
        <f>HYPERLINK("https://ppubs.uspto.gov/pubwebapp/external.html?q=5804440.pn.","USPTO")</f>
        <v>0.0</v>
      </c>
      <c r="J4279" s="2" t="n">
        <f>HYPERLINK("https://image-ppubs.uspto.gov/dirsearch-public/print/downloadPdf/5804440","USPTO PDF")</f>
        <v>0.0</v>
      </c>
      <c r="K4279" s="2" t="n">
        <f>HYPERLINK("https://sectors.patentforecast.com/pmd/US5804440","PMD")</f>
        <v>0.0</v>
      </c>
      <c r="L4279" s="2" t="n">
        <f>HYPERLINK("https://globaldossier.uspto.gov/result/patent/US/5804440/1","US5804440")</f>
        <v>0.0</v>
      </c>
      <c r="M4279" t="s">
        <v>26017</v>
      </c>
      <c r="N4279" t="s">
        <v>7310</v>
      </c>
      <c r="O4279" t="s">
        <v>7311</v>
      </c>
      <c r="P4279" t="s">
        <v>26018</v>
      </c>
      <c r="Q4279" s="3" t="n">
        <v>35635.0</v>
      </c>
      <c r="R4279" s="3" t="n">
        <v>36046.0</v>
      </c>
      <c r="S4279" s="3" t="n">
        <v>43973.4687971875</v>
      </c>
      <c r="T4279" s="3" t="n">
        <v>44545.607884537036</v>
      </c>
      <c r="U4279" t="s">
        <v>26019</v>
      </c>
      <c r="V4279" t="s">
        <v>26020</v>
      </c>
    </row>
    <row r="4280">
      <c r="A4280" t="s">
        <v>23557</v>
      </c>
      <c r="B4280" t="s">
        <v>26021</v>
      </c>
      <c r="C4280" t="s">
        <v>132</v>
      </c>
      <c r="D4280" t="s">
        <v>1265</v>
      </c>
      <c r="E4280" t="s">
        <v>26022</v>
      </c>
      <c r="F4280" s="2" t="n">
        <f>HYPERLINK("https://patents.google.com/patent/US5762939","Google")</f>
        <v>0.0</v>
      </c>
      <c r="G4280" s="2" t="n">
        <f>HYPERLINK("https://patentcenter.uspto.gov/applications/08120607","Patent Center")</f>
        <v>0.0</v>
      </c>
      <c r="H4280" s="2" t="n">
        <f>HYPERLINK("https://worldwide.espacenet.com/patent/search?q=US5762939","Espacenet")</f>
        <v>0.0</v>
      </c>
      <c r="I4280" s="2" t="n">
        <f>HYPERLINK("https://ppubs.uspto.gov/pubwebapp/external.html?q=5762939.pn.","USPTO")</f>
        <v>0.0</v>
      </c>
      <c r="J4280" s="2" t="n">
        <f>HYPERLINK("https://image-ppubs.uspto.gov/dirsearch-public/print/downloadPdf/5762939","USPTO PDF")</f>
        <v>0.0</v>
      </c>
      <c r="K4280" s="2" t="n">
        <f>HYPERLINK("https://sectors.patentforecast.com/pmd/US5762939","PMD")</f>
        <v>0.0</v>
      </c>
      <c r="L4280" s="2" t="n">
        <f>HYPERLINK("https://globaldossier.uspto.gov/result/patent/US/5762939/1","US5762939")</f>
        <v>0.0</v>
      </c>
      <c r="M4280" t="s">
        <v>26023</v>
      </c>
      <c r="N4280" t="s">
        <v>25997</v>
      </c>
      <c r="O4280" t="s">
        <v>25998</v>
      </c>
      <c r="P4280" t="s">
        <v>26024</v>
      </c>
      <c r="Q4280" s="3" t="n">
        <v>34225.0</v>
      </c>
      <c r="R4280" s="3" t="n">
        <v>35955.0</v>
      </c>
      <c r="S4280" s="3" t="n">
        <v>43900.43738974537</v>
      </c>
      <c r="T4280" s="3" t="n">
        <v>43906.37770956018</v>
      </c>
      <c r="U4280" t="s">
        <v>26025</v>
      </c>
      <c r="V4280" t="s">
        <v>26026</v>
      </c>
    </row>
    <row r="4281">
      <c r="A4281" t="s">
        <v>23557</v>
      </c>
      <c r="B4281" t="s">
        <v>26027</v>
      </c>
      <c r="C4281" t="s">
        <v>132</v>
      </c>
      <c r="D4281" t="s">
        <v>133</v>
      </c>
      <c r="E4281" t="s">
        <v>26016</v>
      </c>
      <c r="F4281" s="2" t="n">
        <f>HYPERLINK("https://patents.google.com/patent/US5652138","Google")</f>
        <v>0.0</v>
      </c>
      <c r="G4281" s="2" t="n">
        <f>HYPERLINK("https://patentcenter.uspto.gov/applications/08276852","Patent Center")</f>
        <v>0.0</v>
      </c>
      <c r="H4281" s="2" t="n">
        <f>HYPERLINK("https://worldwide.espacenet.com/patent/search?q=US5652138","Espacenet")</f>
        <v>0.0</v>
      </c>
      <c r="I4281" s="2" t="n">
        <f>HYPERLINK("https://ppubs.uspto.gov/pubwebapp/external.html?q=5652138.pn.","USPTO")</f>
        <v>0.0</v>
      </c>
      <c r="J4281" s="2" t="n">
        <f>HYPERLINK("https://image-ppubs.uspto.gov/dirsearch-public/print/downloadPdf/5652138","USPTO PDF")</f>
        <v>0.0</v>
      </c>
      <c r="K4281" s="2" t="n">
        <f>HYPERLINK("https://sectors.patentforecast.com/pmd/US5652138","PMD")</f>
        <v>0.0</v>
      </c>
      <c r="L4281" s="2" t="n">
        <f>HYPERLINK("https://globaldossier.uspto.gov/result/patent/US/5652138/1","US5652138")</f>
        <v>0.0</v>
      </c>
      <c r="M4281" t="s">
        <v>26028</v>
      </c>
      <c r="N4281" t="s">
        <v>7310</v>
      </c>
      <c r="O4281" t="s">
        <v>7311</v>
      </c>
      <c r="P4281" t="s">
        <v>26018</v>
      </c>
      <c r="Q4281" s="3" t="n">
        <v>34533.0</v>
      </c>
      <c r="R4281" s="3" t="n">
        <v>35640.0</v>
      </c>
      <c r="S4281" s="3" t="n">
        <v>43973.4687971875</v>
      </c>
      <c r="T4281" s="3" t="n">
        <v>44545.60799578704</v>
      </c>
      <c r="U4281" t="s">
        <v>26029</v>
      </c>
      <c r="V4281" t="s">
        <v>26020</v>
      </c>
    </row>
    <row r="4282">
      <c r="A4282" t="s">
        <v>23557</v>
      </c>
      <c r="B4282" t="s">
        <v>26030</v>
      </c>
      <c r="C4282" t="s">
        <v>132</v>
      </c>
      <c r="D4282" t="s">
        <v>22134</v>
      </c>
      <c r="E4282" t="s">
        <v>25915</v>
      </c>
      <c r="F4282" s="2" t="n">
        <f>HYPERLINK("https://patents.google.com/patent/US5585102","Google")</f>
        <v>0.0</v>
      </c>
      <c r="G4282" s="2" t="n">
        <f>HYPERLINK("https://patentcenter.uspto.gov/applications/08124290","Patent Center")</f>
        <v>0.0</v>
      </c>
      <c r="H4282" s="2" t="n">
        <f>HYPERLINK("https://worldwide.espacenet.com/patent/search?q=US5585102","Espacenet")</f>
        <v>0.0</v>
      </c>
      <c r="I4282" s="2" t="n">
        <f>HYPERLINK("https://ppubs.uspto.gov/pubwebapp/external.html?q=5585102.pn.","USPTO")</f>
        <v>0.0</v>
      </c>
      <c r="J4282" s="2" t="n">
        <f>HYPERLINK("https://image-ppubs.uspto.gov/dirsearch-public/print/downloadPdf/5585102","USPTO PDF")</f>
        <v>0.0</v>
      </c>
      <c r="K4282" s="2" t="n">
        <f>HYPERLINK("https://sectors.patentforecast.com/pmd/US5585102","PMD")</f>
        <v>0.0</v>
      </c>
      <c r="L4282" s="2" t="n">
        <f>HYPERLINK("https://globaldossier.uspto.gov/result/patent/US/5585102/1","US5585102")</f>
        <v>0.0</v>
      </c>
      <c r="M4282" t="s">
        <v>26031</v>
      </c>
      <c r="N4282" t="s">
        <v>4193</v>
      </c>
      <c r="O4282" t="s">
        <v>4194</v>
      </c>
      <c r="P4282" t="s">
        <v>25917</v>
      </c>
      <c r="Q4282" s="3" t="n">
        <v>34232.0</v>
      </c>
      <c r="R4282" s="3" t="n">
        <v>35416.0</v>
      </c>
      <c r="S4282" s="3" t="n">
        <v>43900.43738974537</v>
      </c>
      <c r="T4282" s="3" t="n">
        <v>43906.37770956018</v>
      </c>
      <c r="U4282" t="s">
        <v>25918</v>
      </c>
      <c r="V4282" t="s">
        <v>26032</v>
      </c>
    </row>
    <row r="4283">
      <c r="A4283" t="s">
        <v>23557</v>
      </c>
      <c r="B4283" t="s">
        <v>26033</v>
      </c>
      <c r="C4283" t="s">
        <v>132</v>
      </c>
      <c r="D4283" t="s">
        <v>22134</v>
      </c>
      <c r="E4283" t="s">
        <v>25915</v>
      </c>
      <c r="F4283" s="2" t="n">
        <f>HYPERLINK("https://patents.google.com/patent/US5436000","Google")</f>
        <v>0.0</v>
      </c>
      <c r="G4283" s="2" t="n">
        <f>HYPERLINK("https://patentcenter.uspto.gov/applications/07641143","Patent Center")</f>
        <v>0.0</v>
      </c>
      <c r="H4283" s="2" t="n">
        <f>HYPERLINK("https://worldwide.espacenet.com/patent/search?q=US5436000","Espacenet")</f>
        <v>0.0</v>
      </c>
      <c r="I4283" s="2" t="n">
        <f>HYPERLINK("https://ppubs.uspto.gov/pubwebapp/external.html?q=5436000.pn.","USPTO")</f>
        <v>0.0</v>
      </c>
      <c r="J4283" s="2" t="n">
        <f>HYPERLINK("https://image-ppubs.uspto.gov/dirsearch-public/print/downloadPdf/5436000","USPTO PDF")</f>
        <v>0.0</v>
      </c>
      <c r="K4283" s="2" t="n">
        <f>HYPERLINK("https://sectors.patentforecast.com/pmd/US5436000","PMD")</f>
        <v>0.0</v>
      </c>
      <c r="L4283" s="2" t="n">
        <f>HYPERLINK("https://globaldossier.uspto.gov/result/patent/US/5436000/1","US5436000")</f>
        <v>0.0</v>
      </c>
      <c r="M4283" t="s">
        <v>26034</v>
      </c>
      <c r="N4283" t="s">
        <v>4193</v>
      </c>
      <c r="O4283" t="s">
        <v>4194</v>
      </c>
      <c r="P4283" t="s">
        <v>26035</v>
      </c>
      <c r="Q4283" s="3" t="n">
        <v>33249.0</v>
      </c>
      <c r="R4283" s="3" t="n">
        <v>34905.0</v>
      </c>
      <c r="S4283" s="3" t="n">
        <v>43900.43738974537</v>
      </c>
      <c r="T4283" s="3" t="n">
        <v>43906.37770956018</v>
      </c>
      <c r="U4283" t="s">
        <v>25918</v>
      </c>
      <c r="V4283" t="s">
        <v>25919</v>
      </c>
    </row>
    <row r="4284">
      <c r="A4284" t="s">
        <v>23557</v>
      </c>
      <c r="B4284" t="s">
        <v>26036</v>
      </c>
      <c r="C4284" t="s">
        <v>132</v>
      </c>
      <c r="D4284" t="s">
        <v>1265</v>
      </c>
      <c r="E4284" t="s">
        <v>26037</v>
      </c>
      <c r="F4284" s="2" t="n">
        <f>HYPERLINK("https://patents.google.com/patent/US4871659","Google")</f>
        <v>0.0</v>
      </c>
      <c r="G4284" s="2" t="n">
        <f>HYPERLINK("https://patentcenter.uspto.gov/applications/07035172","Patent Center")</f>
        <v>0.0</v>
      </c>
      <c r="H4284" s="2" t="n">
        <f>HYPERLINK("https://worldwide.espacenet.com/patent/search?q=US4871659","Espacenet")</f>
        <v>0.0</v>
      </c>
      <c r="I4284" s="2" t="n">
        <f>HYPERLINK("https://ppubs.uspto.gov/pubwebapp/external.html?q=4871659.pn.","USPTO")</f>
        <v>0.0</v>
      </c>
      <c r="J4284" s="2" t="n">
        <f>HYPERLINK("https://image-ppubs.uspto.gov/dirsearch-public/print/downloadPdf/4871659","USPTO PDF")</f>
        <v>0.0</v>
      </c>
      <c r="K4284" s="2" t="n">
        <f>HYPERLINK("https://sectors.patentforecast.com/pmd/US4871659","PMD")</f>
        <v>0.0</v>
      </c>
      <c r="L4284" s="2" t="n">
        <f>HYPERLINK("https://globaldossier.uspto.gov/result/patent/US/4871659/1","US4871659")</f>
        <v>0.0</v>
      </c>
      <c r="M4284" t="s">
        <v>26038</v>
      </c>
      <c r="N4284" t="s">
        <v>6864</v>
      </c>
      <c r="O4284" t="s">
        <v>6864</v>
      </c>
      <c r="P4284" t="s">
        <v>26039</v>
      </c>
      <c r="Q4284" s="3" t="n">
        <v>31874.0</v>
      </c>
      <c r="R4284" s="3" t="n">
        <v>32784.0</v>
      </c>
      <c r="S4284" s="3" t="n">
        <v>43900.43738974537</v>
      </c>
      <c r="T4284" s="3" t="n">
        <v>43906.37770956018</v>
      </c>
      <c r="U4284" t="s">
        <v>26040</v>
      </c>
      <c r="V4284" t="s">
        <v>26041</v>
      </c>
    </row>
    <row r="4285">
      <c r="A4285" t="s">
        <v>23557</v>
      </c>
      <c r="B4285" t="s">
        <v>26042</v>
      </c>
      <c r="C4285" t="s">
        <v>132</v>
      </c>
      <c r="D4285" t="s">
        <v>1265</v>
      </c>
      <c r="E4285" t="s">
        <v>26043</v>
      </c>
      <c r="F4285" s="2" t="n">
        <f>HYPERLINK("https://patents.google.com/patent/US4206287","Google")</f>
        <v>0.0</v>
      </c>
      <c r="G4285" s="2" t="n">
        <f>HYPERLINK("https://patentcenter.uspto.gov/applications/05739505","Patent Center")</f>
        <v>0.0</v>
      </c>
      <c r="H4285" s="2" t="n">
        <f>HYPERLINK("https://worldwide.espacenet.com/patent/search?q=US4206287","Espacenet")</f>
        <v>0.0</v>
      </c>
      <c r="I4285" s="2" t="n">
        <f>HYPERLINK("https://ppubs.uspto.gov/pubwebapp/external.html?q=4206287.pn.","USPTO")</f>
        <v>0.0</v>
      </c>
      <c r="J4285" s="2" t="n">
        <f>HYPERLINK("https://image-ppubs.uspto.gov/dirsearch-public/print/downloadPdf/4206287","USPTO PDF")</f>
        <v>0.0</v>
      </c>
      <c r="K4285" s="2" t="n">
        <f>HYPERLINK("https://sectors.patentforecast.com/pmd/US4206287","PMD")</f>
        <v>0.0</v>
      </c>
      <c r="L4285" s="2" t="n">
        <f>HYPERLINK("https://globaldossier.uspto.gov/result/patent/US/4206287/1","US4206287")</f>
        <v>0.0</v>
      </c>
      <c r="M4285" t="s">
        <v>26044</v>
      </c>
      <c r="N4285" t="s">
        <v>26045</v>
      </c>
      <c r="O4285" t="s">
        <v>26046</v>
      </c>
      <c r="P4285" t="s">
        <v>26047</v>
      </c>
      <c r="Q4285" s="3" t="n">
        <v>28072.0</v>
      </c>
      <c r="R4285" s="3" t="n">
        <v>29375.0</v>
      </c>
      <c r="S4285" s="3" t="n">
        <v>43900.43738974537</v>
      </c>
      <c r="T4285" s="3" t="n">
        <v>43906.378267789354</v>
      </c>
      <c r="U4285" t="s">
        <v>26048</v>
      </c>
      <c r="V4285" t="s">
        <v>26049</v>
      </c>
    </row>
    <row r="4286">
      <c r="A4286" t="s">
        <v>23557</v>
      </c>
      <c r="B4286" t="s">
        <v>26050</v>
      </c>
      <c r="C4286" t="s">
        <v>132</v>
      </c>
      <c r="D4286" t="s">
        <v>133</v>
      </c>
      <c r="E4286" t="s">
        <v>26051</v>
      </c>
      <c r="F4286" s="2" t="n">
        <f>HYPERLINK("https://patents.google.com/patent/US11376320","Google")</f>
        <v>0.0</v>
      </c>
      <c r="G4286" s="2" t="n">
        <f>HYPERLINK("https://patentcenter.uspto.gov/applications/17249546","Patent Center")</f>
        <v>0.0</v>
      </c>
      <c r="H4286" s="2" t="n">
        <f>HYPERLINK("https://worldwide.espacenet.com/patent/search?q=US11376320","Espacenet")</f>
        <v>0.0</v>
      </c>
      <c r="I4286" s="2" t="n">
        <f>HYPERLINK("https://ppubs.uspto.gov/pubwebapp/external.html?q=11376320.pn.","USPTO")</f>
        <v>0.0</v>
      </c>
      <c r="J4286" s="2" t="n">
        <f>HYPERLINK("https://image-ppubs.uspto.gov/dirsearch-public/print/downloadPdf/11376320","USPTO PDF")</f>
        <v>0.0</v>
      </c>
      <c r="K4286" s="2" t="n">
        <f>HYPERLINK("https://sectors.patentforecast.com/pmd/US11376320","PMD")</f>
        <v>0.0</v>
      </c>
      <c r="L4286" s="2" t="n">
        <f>HYPERLINK("https://globaldossier.uspto.gov/result/patent/US/11376320/1","US11376320")</f>
        <v>0.0</v>
      </c>
      <c r="M4286" t="s">
        <v>14300</v>
      </c>
      <c r="N4286" t="s">
        <v>3998</v>
      </c>
      <c r="O4286" t="s">
        <v>3999</v>
      </c>
      <c r="P4286" t="s">
        <v>26052</v>
      </c>
      <c r="Q4286" s="3" t="n">
        <v>44259.0</v>
      </c>
      <c r="R4286" s="3" t="n">
        <v>44747.0</v>
      </c>
      <c r="S4286" s="3" t="n">
        <v>44750.23638414352</v>
      </c>
      <c r="T4286" s="3" t="n">
        <v>44753.69756709491</v>
      </c>
      <c r="U4286" t="s">
        <v>26053</v>
      </c>
      <c r="V4286" t="s">
        <v>26054</v>
      </c>
    </row>
    <row r="4287">
      <c r="A4287" t="s">
        <v>23557</v>
      </c>
      <c r="B4287" t="s">
        <v>26055</v>
      </c>
      <c r="C4287" t="s">
        <v>24</v>
      </c>
      <c r="D4287" t="s">
        <v>69</v>
      </c>
      <c r="E4287" t="s">
        <v>26056</v>
      </c>
      <c r="F4287" s="2" t="n">
        <f>HYPERLINK("https://patents.google.com/patent/US11328823","Google")</f>
        <v>0.0</v>
      </c>
      <c r="G4287" s="2" t="n">
        <f>HYPERLINK("https://patentcenter.uspto.gov/applications/16949088","Patent Center")</f>
        <v>0.0</v>
      </c>
      <c r="H4287" s="2" t="n">
        <f>HYPERLINK("https://worldwide.espacenet.com/patent/search?q=US11328823","Espacenet")</f>
        <v>0.0</v>
      </c>
      <c r="I4287" s="2" t="n">
        <f>HYPERLINK("https://ppubs.uspto.gov/pubwebapp/external.html?q=11328823.pn.","USPTO")</f>
        <v>0.0</v>
      </c>
      <c r="J4287" s="2" t="n">
        <f>HYPERLINK("https://image-ppubs.uspto.gov/dirsearch-public/print/downloadPdf/11328823","USPTO PDF")</f>
        <v>0.0</v>
      </c>
      <c r="K4287" s="2" t="n">
        <f>HYPERLINK("https://sectors.patentforecast.com/pmd/US11328823","PMD")</f>
        <v>0.0</v>
      </c>
      <c r="L4287" s="2" t="n">
        <f>HYPERLINK("https://globaldossier.uspto.gov/result/patent/US/11328823/1","US11328823")</f>
        <v>0.0</v>
      </c>
      <c r="M4287" t="s">
        <v>2411</v>
      </c>
      <c r="N4287" t="s">
        <v>2412</v>
      </c>
      <c r="O4287" t="s">
        <v>2413</v>
      </c>
      <c r="P4287" t="s">
        <v>26057</v>
      </c>
      <c r="Q4287" s="3" t="n">
        <v>44117.0</v>
      </c>
      <c r="R4287" s="3" t="n">
        <v>44691.0</v>
      </c>
      <c r="S4287" s="3" t="n">
        <v>44692.232640243055</v>
      </c>
      <c r="T4287" s="3" t="n">
        <v>44698.64280074074</v>
      </c>
      <c r="U4287" t="s">
        <v>26058</v>
      </c>
      <c r="V4287" t="s">
        <v>26059</v>
      </c>
    </row>
    <row r="4288">
      <c r="A4288" t="s">
        <v>23557</v>
      </c>
      <c r="B4288" t="s">
        <v>26060</v>
      </c>
      <c r="C4288" t="s">
        <v>24</v>
      </c>
      <c r="D4288" t="s">
        <v>51</v>
      </c>
      <c r="E4288" t="s">
        <v>26061</v>
      </c>
      <c r="F4288" s="2" t="n">
        <f>HYPERLINK("https://patents.google.com/patent/US11327087","Google")</f>
        <v>0.0</v>
      </c>
      <c r="G4288" s="2" t="n">
        <f>HYPERLINK("https://patentcenter.uspto.gov/applications/16846684","Patent Center")</f>
        <v>0.0</v>
      </c>
      <c r="H4288" s="2" t="n">
        <f>HYPERLINK("https://worldwide.espacenet.com/patent/search?q=US11327087","Espacenet")</f>
        <v>0.0</v>
      </c>
      <c r="I4288" s="2" t="n">
        <f>HYPERLINK("https://ppubs.uspto.gov/pubwebapp/external.html?q=11327087.pn.","USPTO")</f>
        <v>0.0</v>
      </c>
      <c r="J4288" s="2" t="n">
        <f>HYPERLINK("https://image-ppubs.uspto.gov/dirsearch-public/print/downloadPdf/11327087","USPTO PDF")</f>
        <v>0.0</v>
      </c>
      <c r="K4288" s="2" t="n">
        <f>HYPERLINK("https://sectors.patentforecast.com/pmd/US11327087","PMD")</f>
        <v>0.0</v>
      </c>
      <c r="L4288" s="2" t="n">
        <f>HYPERLINK("https://globaldossier.uspto.gov/result/patent/US/11327087/1","US11327087")</f>
        <v>0.0</v>
      </c>
      <c r="M4288" t="s">
        <v>12428</v>
      </c>
      <c r="N4288" t="s">
        <v>12429</v>
      </c>
      <c r="O4288" t="s">
        <v>12430</v>
      </c>
      <c r="P4288" t="s">
        <v>26062</v>
      </c>
      <c r="Q4288" s="3" t="n">
        <v>43934.0</v>
      </c>
      <c r="R4288" s="3" t="n">
        <v>44691.0</v>
      </c>
      <c r="S4288" s="3" t="n">
        <v>44692.232640243055</v>
      </c>
      <c r="T4288" s="3" t="n">
        <v>44692.44804898148</v>
      </c>
      <c r="U4288" t="s">
        <v>26063</v>
      </c>
      <c r="V4288" t="s">
        <v>26064</v>
      </c>
    </row>
    <row r="4289">
      <c r="A4289" t="s">
        <v>23557</v>
      </c>
      <c r="B4289" t="s">
        <v>26065</v>
      </c>
      <c r="C4289" t="s">
        <v>60</v>
      </c>
      <c r="D4289" t="s">
        <v>61</v>
      </c>
      <c r="E4289" t="s">
        <v>26066</v>
      </c>
      <c r="F4289" s="2" t="n">
        <f>HYPERLINK("https://patents.google.com/patent/US11326182","Google")</f>
        <v>0.0</v>
      </c>
      <c r="G4289" s="2" t="n">
        <f>HYPERLINK("https://patentcenter.uspto.gov/applications/16097418","Patent Center")</f>
        <v>0.0</v>
      </c>
      <c r="H4289" s="2" t="n">
        <f>HYPERLINK("https://worldwide.espacenet.com/patent/search?q=US11326182","Espacenet")</f>
        <v>0.0</v>
      </c>
      <c r="I4289" s="2" t="n">
        <f>HYPERLINK("https://ppubs.uspto.gov/pubwebapp/external.html?q=11326182.pn.","USPTO")</f>
        <v>0.0</v>
      </c>
      <c r="J4289" s="2" t="n">
        <f>HYPERLINK("https://image-ppubs.uspto.gov/dirsearch-public/print/downloadPdf/11326182","USPTO PDF")</f>
        <v>0.0</v>
      </c>
      <c r="K4289" s="2" t="n">
        <f>HYPERLINK("https://sectors.patentforecast.com/pmd/US11326182","PMD")</f>
        <v>0.0</v>
      </c>
      <c r="L4289" s="2" t="n">
        <f>HYPERLINK("https://globaldossier.uspto.gov/result/patent/US/11326182/1","US11326182")</f>
        <v>0.0</v>
      </c>
      <c r="M4289" t="s">
        <v>26067</v>
      </c>
      <c r="N4289" t="s">
        <v>3469</v>
      </c>
      <c r="O4289" t="s">
        <v>3470</v>
      </c>
      <c r="P4289" t="s">
        <v>26068</v>
      </c>
      <c r="Q4289" s="3" t="n">
        <v>42853.0</v>
      </c>
      <c r="R4289" s="3" t="n">
        <v>44691.0</v>
      </c>
      <c r="S4289" s="3" t="n">
        <v>44692.23507040509</v>
      </c>
      <c r="T4289" s="3" t="n">
        <v>44698.642892662036</v>
      </c>
      <c r="U4289" t="s">
        <v>26069</v>
      </c>
      <c r="V4289" t="s">
        <v>26070</v>
      </c>
    </row>
    <row r="4290">
      <c r="A4290" t="s">
        <v>23557</v>
      </c>
      <c r="B4290" t="s">
        <v>26071</v>
      </c>
      <c r="C4290" t="s">
        <v>60</v>
      </c>
      <c r="D4290" t="s">
        <v>77</v>
      </c>
      <c r="E4290" t="s">
        <v>26072</v>
      </c>
      <c r="F4290" s="2" t="n">
        <f>HYPERLINK("https://patents.google.com/patent/US11325979","Google")</f>
        <v>0.0</v>
      </c>
      <c r="G4290" s="2" t="n">
        <f>HYPERLINK("https://patentcenter.uspto.gov/applications/17324931","Patent Center")</f>
        <v>0.0</v>
      </c>
      <c r="H4290" s="2" t="n">
        <f>HYPERLINK("https://worldwide.espacenet.com/patent/search?q=US11325979","Espacenet")</f>
        <v>0.0</v>
      </c>
      <c r="I4290" s="2" t="n">
        <f>HYPERLINK("https://ppubs.uspto.gov/pubwebapp/external.html?q=11325979.pn.","USPTO")</f>
        <v>0.0</v>
      </c>
      <c r="J4290" s="2" t="n">
        <f>HYPERLINK("https://image-ppubs.uspto.gov/dirsearch-public/print/downloadPdf/11325979","USPTO PDF")</f>
        <v>0.0</v>
      </c>
      <c r="K4290" s="2" t="n">
        <f>HYPERLINK("https://sectors.patentforecast.com/pmd/US11325979","PMD")</f>
        <v>0.0</v>
      </c>
      <c r="L4290" s="2" t="n">
        <f>HYPERLINK("https://globaldossier.uspto.gov/result/patent/US/11325979/1","US11325979")</f>
        <v>0.0</v>
      </c>
      <c r="M4290" t="s">
        <v>14075</v>
      </c>
      <c r="N4290" t="s">
        <v>14076</v>
      </c>
      <c r="O4290" t="s">
        <v>14077</v>
      </c>
      <c r="P4290" t="s">
        <v>26073</v>
      </c>
      <c r="Q4290" s="3" t="n">
        <v>44335.0</v>
      </c>
      <c r="R4290" s="3" t="n">
        <v>44691.0</v>
      </c>
      <c r="S4290" s="3" t="n">
        <v>44692.22951509259</v>
      </c>
      <c r="T4290" s="3" t="n">
        <v>44692.453151469905</v>
      </c>
      <c r="U4290" t="s">
        <v>26074</v>
      </c>
      <c r="V4290" t="s">
        <v>26075</v>
      </c>
    </row>
    <row r="4291">
      <c r="A4291" t="s">
        <v>23557</v>
      </c>
      <c r="B4291" t="s">
        <v>26076</v>
      </c>
      <c r="C4291" t="s">
        <v>24</v>
      </c>
      <c r="D4291" t="s">
        <v>69</v>
      </c>
      <c r="E4291" t="s">
        <v>26077</v>
      </c>
      <c r="F4291" s="2" t="n">
        <f>HYPERLINK("https://patents.google.com/patent/US11324974","Google")</f>
        <v>0.0</v>
      </c>
      <c r="G4291" s="2" t="n">
        <f>HYPERLINK("https://patentcenter.uspto.gov/applications/17232596","Patent Center")</f>
        <v>0.0</v>
      </c>
      <c r="H4291" s="2" t="n">
        <f>HYPERLINK("https://worldwide.espacenet.com/patent/search?q=US11324974","Espacenet")</f>
        <v>0.0</v>
      </c>
      <c r="I4291" s="2" t="n">
        <f>HYPERLINK("https://ppubs.uspto.gov/pubwebapp/external.html?q=11324974.pn.","USPTO")</f>
        <v>0.0</v>
      </c>
      <c r="J4291" s="2" t="n">
        <f>HYPERLINK("https://image-ppubs.uspto.gov/dirsearch-public/print/downloadPdf/11324974","USPTO PDF")</f>
        <v>0.0</v>
      </c>
      <c r="K4291" s="2" t="n">
        <f>HYPERLINK("https://sectors.patentforecast.com/pmd/US11324974","PMD")</f>
        <v>0.0</v>
      </c>
      <c r="L4291" s="2" t="n">
        <f>HYPERLINK("https://globaldossier.uspto.gov/result/patent/US/11324974/1","US11324974")</f>
        <v>0.0</v>
      </c>
      <c r="M4291" t="s">
        <v>12053</v>
      </c>
      <c r="N4291" t="s">
        <v>12054</v>
      </c>
      <c r="O4291" t="s">
        <v>12055</v>
      </c>
      <c r="P4291" t="s">
        <v>26078</v>
      </c>
      <c r="Q4291" s="3" t="n">
        <v>44302.0</v>
      </c>
      <c r="R4291" s="3" t="n">
        <v>44691.0</v>
      </c>
      <c r="S4291" s="3" t="n">
        <v>44692.232640243055</v>
      </c>
      <c r="T4291" s="3" t="n">
        <v>44692.453375289355</v>
      </c>
      <c r="U4291" t="s">
        <v>26079</v>
      </c>
      <c r="V4291" t="s">
        <v>26080</v>
      </c>
    </row>
    <row r="4292">
      <c r="A4292" t="s">
        <v>23557</v>
      </c>
      <c r="B4292" t="s">
        <v>26081</v>
      </c>
      <c r="C4292" t="s">
        <v>60</v>
      </c>
      <c r="D4292" t="s">
        <v>61</v>
      </c>
      <c r="E4292" t="s">
        <v>26082</v>
      </c>
      <c r="F4292" s="2" t="n">
        <f>HYPERLINK("https://patents.google.com/patent/US11324766","Google")</f>
        <v>0.0</v>
      </c>
      <c r="G4292" s="2" t="n">
        <f>HYPERLINK("https://patentcenter.uspto.gov/applications/17320003","Patent Center")</f>
        <v>0.0</v>
      </c>
      <c r="H4292" s="2" t="n">
        <f>HYPERLINK("https://worldwide.espacenet.com/patent/search?q=US11324766","Espacenet")</f>
        <v>0.0</v>
      </c>
      <c r="I4292" s="2" t="n">
        <f>HYPERLINK("https://ppubs.uspto.gov/pubwebapp/external.html?q=11324766.pn.","USPTO")</f>
        <v>0.0</v>
      </c>
      <c r="J4292" s="2" t="n">
        <f>HYPERLINK("https://image-ppubs.uspto.gov/dirsearch-public/print/downloadPdf/11324766","USPTO PDF")</f>
        <v>0.0</v>
      </c>
      <c r="K4292" s="2" t="n">
        <f>HYPERLINK("https://sectors.patentforecast.com/pmd/US11324766","PMD")</f>
        <v>0.0</v>
      </c>
      <c r="L4292" s="2" t="n">
        <f>HYPERLINK("https://globaldossier.uspto.gov/result/patent/US/11324766/1","US11324766")</f>
        <v>0.0</v>
      </c>
      <c r="M4292" t="s">
        <v>10182</v>
      </c>
      <c r="N4292" t="s">
        <v>10175</v>
      </c>
      <c r="O4292" t="s">
        <v>10176</v>
      </c>
      <c r="P4292" t="s">
        <v>26083</v>
      </c>
      <c r="Q4292" s="3" t="n">
        <v>44329.0</v>
      </c>
      <c r="R4292" s="3" t="n">
        <v>44691.0</v>
      </c>
      <c r="S4292" s="3" t="n">
        <v>44692.232640243055</v>
      </c>
      <c r="T4292" s="3" t="n">
        <v>44692.453576886575</v>
      </c>
      <c r="U4292" t="s">
        <v>26084</v>
      </c>
      <c r="V4292" t="s">
        <v>26085</v>
      </c>
    </row>
    <row r="4293">
      <c r="A4293" t="s">
        <v>23557</v>
      </c>
      <c r="B4293" t="s">
        <v>26086</v>
      </c>
      <c r="C4293" t="s">
        <v>60</v>
      </c>
      <c r="D4293" t="s">
        <v>61</v>
      </c>
      <c r="E4293" t="s">
        <v>26087</v>
      </c>
      <c r="F4293" s="2" t="n">
        <f>HYPERLINK("https://patents.google.com/patent/US11324750","Google")</f>
        <v>0.0</v>
      </c>
      <c r="G4293" s="2" t="n">
        <f>HYPERLINK("https://patentcenter.uspto.gov/applications/17131875","Patent Center")</f>
        <v>0.0</v>
      </c>
      <c r="H4293" s="2" t="n">
        <f>HYPERLINK("https://worldwide.espacenet.com/patent/search?q=US11324750","Espacenet")</f>
        <v>0.0</v>
      </c>
      <c r="I4293" s="2" t="n">
        <f>HYPERLINK("https://ppubs.uspto.gov/pubwebapp/external.html?q=11324750.pn.","USPTO")</f>
        <v>0.0</v>
      </c>
      <c r="J4293" s="2" t="n">
        <f>HYPERLINK("https://image-ppubs.uspto.gov/dirsearch-public/print/downloadPdf/11324750","USPTO PDF")</f>
        <v>0.0</v>
      </c>
      <c r="K4293" s="2" t="n">
        <f>HYPERLINK("https://sectors.patentforecast.com/pmd/US11324750","PMD")</f>
        <v>0.0</v>
      </c>
      <c r="L4293" s="2" t="n">
        <f>HYPERLINK("https://globaldossier.uspto.gov/result/patent/US/11324750/1","US11324750")</f>
        <v>0.0</v>
      </c>
      <c r="M4293" t="s">
        <v>12229</v>
      </c>
      <c r="N4293" t="s">
        <v>11116</v>
      </c>
      <c r="O4293" t="s">
        <v>11117</v>
      </c>
      <c r="P4293" t="s">
        <v>26088</v>
      </c>
      <c r="Q4293" s="3" t="n">
        <v>44188.0</v>
      </c>
      <c r="R4293" s="3" t="n">
        <v>44691.0</v>
      </c>
      <c r="S4293" s="3" t="n">
        <v>44692.232640243055</v>
      </c>
      <c r="T4293" s="3" t="n">
        <v>44692.453748391206</v>
      </c>
      <c r="U4293" t="s">
        <v>26089</v>
      </c>
      <c r="V4293" t="s">
        <v>26090</v>
      </c>
    </row>
    <row r="4294">
      <c r="A4294" t="s">
        <v>23557</v>
      </c>
      <c r="B4294" t="s">
        <v>26091</v>
      </c>
      <c r="C4294" t="s">
        <v>496</v>
      </c>
      <c r="D4294" t="s">
        <v>497</v>
      </c>
      <c r="E4294" t="s">
        <v>26092</v>
      </c>
      <c r="F4294" s="2" t="n">
        <f>HYPERLINK("https://patents.google.com/patent/US11324559","Google")</f>
        <v>0.0</v>
      </c>
      <c r="G4294" s="2" t="n">
        <f>HYPERLINK("https://patentcenter.uspto.gov/applications/17448843","Patent Center")</f>
        <v>0.0</v>
      </c>
      <c r="H4294" s="2" t="n">
        <f>HYPERLINK("https://worldwide.espacenet.com/patent/search?q=US11324559","Espacenet")</f>
        <v>0.0</v>
      </c>
      <c r="I4294" s="2" t="n">
        <f>HYPERLINK("https://ppubs.uspto.gov/pubwebapp/external.html?q=11324559.pn.","USPTO")</f>
        <v>0.0</v>
      </c>
      <c r="J4294" s="2" t="n">
        <f>HYPERLINK("https://image-ppubs.uspto.gov/dirsearch-public/print/downloadPdf/11324559","USPTO PDF")</f>
        <v>0.0</v>
      </c>
      <c r="K4294" s="2" t="n">
        <f>HYPERLINK("https://sectors.patentforecast.com/pmd/US11324559","PMD")</f>
        <v>0.0</v>
      </c>
      <c r="L4294" s="2" t="n">
        <f>HYPERLINK("https://globaldossier.uspto.gov/result/patent/US/11324559/1","US11324559")</f>
        <v>0.0</v>
      </c>
      <c r="M4294" t="s">
        <v>26093</v>
      </c>
      <c r="N4294" t="s">
        <v>2332</v>
      </c>
      <c r="O4294" t="s">
        <v>2333</v>
      </c>
      <c r="P4294" t="s">
        <v>26094</v>
      </c>
      <c r="Q4294" s="3" t="n">
        <v>44463.0</v>
      </c>
      <c r="R4294" s="3" t="n">
        <v>44691.0</v>
      </c>
      <c r="S4294" s="3" t="n">
        <v>44692.232640243055</v>
      </c>
      <c r="T4294" s="3" t="n">
        <v>44698.64316607639</v>
      </c>
      <c r="U4294" t="s">
        <v>26095</v>
      </c>
      <c r="V4294" t="s">
        <v>26096</v>
      </c>
    </row>
    <row r="4295">
      <c r="A4295" t="s">
        <v>23557</v>
      </c>
      <c r="B4295" t="s">
        <v>26097</v>
      </c>
      <c r="C4295" t="s">
        <v>24</v>
      </c>
      <c r="D4295" t="s">
        <v>204</v>
      </c>
      <c r="E4295" t="s">
        <v>26098</v>
      </c>
      <c r="F4295" s="2" t="n">
        <f>HYPERLINK("https://patents.google.com/patent/US11324400","Google")</f>
        <v>0.0</v>
      </c>
      <c r="G4295" s="2" t="n">
        <f>HYPERLINK("https://patentcenter.uspto.gov/applications/17321409","Patent Center")</f>
        <v>0.0</v>
      </c>
      <c r="H4295" s="2" t="n">
        <f>HYPERLINK("https://worldwide.espacenet.com/patent/search?q=US11324400","Espacenet")</f>
        <v>0.0</v>
      </c>
      <c r="I4295" s="2" t="n">
        <f>HYPERLINK("https://ppubs.uspto.gov/pubwebapp/external.html?q=11324400.pn.","USPTO")</f>
        <v>0.0</v>
      </c>
      <c r="J4295" s="2" t="n">
        <f>HYPERLINK("https://image-ppubs.uspto.gov/dirsearch-public/print/downloadPdf/11324400","USPTO PDF")</f>
        <v>0.0</v>
      </c>
      <c r="K4295" s="2" t="n">
        <f>HYPERLINK("https://sectors.patentforecast.com/pmd/US11324400","PMD")</f>
        <v>0.0</v>
      </c>
      <c r="L4295" s="2" t="n">
        <f>HYPERLINK("https://globaldossier.uspto.gov/result/patent/US/11324400/1","US11324400")</f>
        <v>0.0</v>
      </c>
      <c r="M4295" t="s">
        <v>26099</v>
      </c>
      <c r="N4295" t="s">
        <v>26100</v>
      </c>
      <c r="O4295" t="s">
        <v>26101</v>
      </c>
      <c r="P4295" t="s">
        <v>26102</v>
      </c>
      <c r="Q4295" s="3" t="n">
        <v>44331.0</v>
      </c>
      <c r="R4295" s="3" t="n">
        <v>44691.0</v>
      </c>
      <c r="S4295" s="3" t="n">
        <v>44692.232640243055</v>
      </c>
      <c r="T4295" s="3" t="n">
        <v>44698.64325518518</v>
      </c>
      <c r="U4295" t="s">
        <v>26103</v>
      </c>
      <c r="V4295" t="s">
        <v>26104</v>
      </c>
    </row>
    <row r="4296">
      <c r="A4296" t="s">
        <v>23557</v>
      </c>
      <c r="B4296" t="s">
        <v>26105</v>
      </c>
      <c r="C4296" t="s">
        <v>312</v>
      </c>
      <c r="D4296" t="s">
        <v>313</v>
      </c>
      <c r="E4296" t="s">
        <v>26106</v>
      </c>
      <c r="F4296" s="2" t="n">
        <f>HYPERLINK("https://patents.google.com/patent/US11323570","Google")</f>
        <v>0.0</v>
      </c>
      <c r="G4296" s="2" t="n">
        <f>HYPERLINK("https://patentcenter.uspto.gov/applications/17389214","Patent Center")</f>
        <v>0.0</v>
      </c>
      <c r="H4296" s="2" t="n">
        <f>HYPERLINK("https://worldwide.espacenet.com/patent/search?q=US11323570","Espacenet")</f>
        <v>0.0</v>
      </c>
      <c r="I4296" s="2" t="n">
        <f>HYPERLINK("https://ppubs.uspto.gov/pubwebapp/external.html?q=11323570.pn.","USPTO")</f>
        <v>0.0</v>
      </c>
      <c r="J4296" s="2" t="n">
        <f>HYPERLINK("https://image-ppubs.uspto.gov/dirsearch-public/print/downloadPdf/11323570","USPTO PDF")</f>
        <v>0.0</v>
      </c>
      <c r="K4296" s="2" t="n">
        <f>HYPERLINK("https://sectors.patentforecast.com/pmd/US11323570","PMD")</f>
        <v>0.0</v>
      </c>
      <c r="L4296" s="2" t="n">
        <f>HYPERLINK("https://globaldossier.uspto.gov/result/patent/US/11323570/1","US11323570")</f>
        <v>0.0</v>
      </c>
      <c r="M4296" t="s">
        <v>26107</v>
      </c>
      <c r="N4296" t="s">
        <v>26108</v>
      </c>
      <c r="O4296" t="s">
        <v>26109</v>
      </c>
      <c r="P4296" t="s">
        <v>26110</v>
      </c>
      <c r="Q4296" s="3" t="n">
        <v>44406.0</v>
      </c>
      <c r="R4296" s="3" t="n">
        <v>44684.0</v>
      </c>
      <c r="S4296" s="3" t="n">
        <v>44692.232640243055</v>
      </c>
      <c r="T4296" s="3" t="n">
        <v>44698.64351310185</v>
      </c>
      <c r="U4296" t="s">
        <v>26111</v>
      </c>
      <c r="V4296" t="s">
        <v>26112</v>
      </c>
    </row>
    <row r="4297">
      <c r="A4297" t="s">
        <v>23557</v>
      </c>
      <c r="B4297" t="s">
        <v>26113</v>
      </c>
      <c r="C4297" t="s">
        <v>312</v>
      </c>
      <c r="D4297" t="s">
        <v>26114</v>
      </c>
      <c r="E4297" t="s">
        <v>26115</v>
      </c>
      <c r="F4297" s="2" t="n">
        <f>HYPERLINK("https://patents.google.com/patent/US11323196","Google")</f>
        <v>0.0</v>
      </c>
      <c r="G4297" s="2" t="n">
        <f>HYPERLINK("https://patentcenter.uspto.gov/applications/16167160","Patent Center")</f>
        <v>0.0</v>
      </c>
      <c r="H4297" s="2" t="n">
        <f>HYPERLINK("https://worldwide.espacenet.com/patent/search?q=US11323196","Espacenet")</f>
        <v>0.0</v>
      </c>
      <c r="I4297" s="2" t="n">
        <f>HYPERLINK("https://ppubs.uspto.gov/pubwebapp/external.html?q=11323196.pn.","USPTO")</f>
        <v>0.0</v>
      </c>
      <c r="J4297" s="2" t="n">
        <f>HYPERLINK("https://image-ppubs.uspto.gov/dirsearch-public/print/downloadPdf/11323196","USPTO PDF")</f>
        <v>0.0</v>
      </c>
      <c r="K4297" s="2" t="n">
        <f>HYPERLINK("https://sectors.patentforecast.com/pmd/US11323196","PMD")</f>
        <v>0.0</v>
      </c>
      <c r="L4297" s="2" t="n">
        <f>HYPERLINK("https://globaldossier.uspto.gov/result/patent/US/11323196/1","US11323196")</f>
        <v>0.0</v>
      </c>
      <c r="M4297" t="s">
        <v>26116</v>
      </c>
      <c r="N4297" t="s">
        <v>26117</v>
      </c>
      <c r="O4297" t="s">
        <v>26118</v>
      </c>
      <c r="P4297" t="s">
        <v>26119</v>
      </c>
      <c r="Q4297" s="3" t="n">
        <v>43395.0</v>
      </c>
      <c r="R4297" s="3" t="n">
        <v>44684.0</v>
      </c>
      <c r="S4297" s="3" t="n">
        <v>44692.23507040509</v>
      </c>
      <c r="T4297" s="3" t="n">
        <v>44698.64388415509</v>
      </c>
      <c r="U4297" t="s">
        <v>26120</v>
      </c>
      <c r="V4297" t="s">
        <v>26121</v>
      </c>
    </row>
    <row r="4298">
      <c r="A4298" t="s">
        <v>23557</v>
      </c>
      <c r="B4298" t="s">
        <v>26122</v>
      </c>
      <c r="C4298" t="s">
        <v>312</v>
      </c>
      <c r="D4298" t="s">
        <v>26114</v>
      </c>
      <c r="E4298" t="s">
        <v>26123</v>
      </c>
      <c r="F4298" s="2" t="n">
        <f>HYPERLINK("https://patents.google.com/patent/US11322260","Google")</f>
        <v>0.0</v>
      </c>
      <c r="G4298" s="2" t="n">
        <f>HYPERLINK("https://patentcenter.uspto.gov/applications/17372020","Patent Center")</f>
        <v>0.0</v>
      </c>
      <c r="H4298" s="2" t="n">
        <f>HYPERLINK("https://worldwide.espacenet.com/patent/search?q=US11322260","Espacenet")</f>
        <v>0.0</v>
      </c>
      <c r="I4298" s="2" t="n">
        <f>HYPERLINK("https://ppubs.uspto.gov/pubwebapp/external.html?q=11322260.pn.","USPTO")</f>
        <v>0.0</v>
      </c>
      <c r="J4298" s="2" t="n">
        <f>HYPERLINK("https://image-ppubs.uspto.gov/dirsearch-public/print/downloadPdf/11322260","USPTO PDF")</f>
        <v>0.0</v>
      </c>
      <c r="K4298" s="2" t="n">
        <f>HYPERLINK("https://sectors.patentforecast.com/pmd/US11322260","PMD")</f>
        <v>0.0</v>
      </c>
      <c r="L4298" s="2" t="n">
        <f>HYPERLINK("https://globaldossier.uspto.gov/result/patent/US/11322260/1","US11322260")</f>
        <v>0.0</v>
      </c>
      <c r="M4298" t="s">
        <v>26124</v>
      </c>
      <c r="N4298" t="s">
        <v>26125</v>
      </c>
      <c r="O4298" t="s">
        <v>26126</v>
      </c>
      <c r="P4298" t="s">
        <v>26127</v>
      </c>
      <c r="Q4298" s="3" t="n">
        <v>44386.0</v>
      </c>
      <c r="R4298" s="3" t="n">
        <v>44684.0</v>
      </c>
      <c r="S4298" s="3" t="n">
        <v>44692.232640243055</v>
      </c>
      <c r="T4298" s="3" t="n">
        <v>44698.64414950232</v>
      </c>
      <c r="U4298" t="s">
        <v>26128</v>
      </c>
      <c r="V4298" t="s">
        <v>26129</v>
      </c>
    </row>
    <row r="4299">
      <c r="A4299" t="s">
        <v>23557</v>
      </c>
      <c r="B4299" t="s">
        <v>26130</v>
      </c>
      <c r="C4299" t="s">
        <v>312</v>
      </c>
      <c r="D4299" t="s">
        <v>313</v>
      </c>
      <c r="E4299" t="s">
        <v>26131</v>
      </c>
      <c r="F4299" s="2" t="n">
        <f>HYPERLINK("https://patents.google.com/patent/US11322236","Google")</f>
        <v>0.0</v>
      </c>
      <c r="G4299" s="2" t="n">
        <f>HYPERLINK("https://patentcenter.uspto.gov/applications/16926149","Patent Center")</f>
        <v>0.0</v>
      </c>
      <c r="H4299" s="2" t="n">
        <f>HYPERLINK("https://worldwide.espacenet.com/patent/search?q=US11322236","Espacenet")</f>
        <v>0.0</v>
      </c>
      <c r="I4299" s="2" t="n">
        <f>HYPERLINK("https://ppubs.uspto.gov/pubwebapp/external.html?q=11322236.pn.","USPTO")</f>
        <v>0.0</v>
      </c>
      <c r="J4299" s="2" t="n">
        <f>HYPERLINK("https://image-ppubs.uspto.gov/dirsearch-public/print/downloadPdf/11322236","USPTO PDF")</f>
        <v>0.0</v>
      </c>
      <c r="K4299" s="2" t="n">
        <f>HYPERLINK("https://sectors.patentforecast.com/pmd/US11322236","PMD")</f>
        <v>0.0</v>
      </c>
      <c r="L4299" s="2" t="n">
        <f>HYPERLINK("https://globaldossier.uspto.gov/result/patent/US/11322236/1","US11322236")</f>
        <v>0.0</v>
      </c>
      <c r="M4299" t="s">
        <v>26132</v>
      </c>
      <c r="N4299" t="s">
        <v>26133</v>
      </c>
      <c r="O4299" t="s">
        <v>26134</v>
      </c>
      <c r="P4299" t="s">
        <v>26135</v>
      </c>
      <c r="Q4299" s="3" t="n">
        <v>44022.0</v>
      </c>
      <c r="R4299" s="3" t="n">
        <v>44684.0</v>
      </c>
      <c r="S4299" s="3" t="n">
        <v>44692.232640243055</v>
      </c>
      <c r="T4299" s="3" t="n">
        <v>44698.64426269676</v>
      </c>
      <c r="U4299" t="s">
        <v>26136</v>
      </c>
      <c r="V4299" t="s">
        <v>26137</v>
      </c>
    </row>
    <row r="4300">
      <c r="A4300" t="s">
        <v>23557</v>
      </c>
      <c r="B4300" t="s">
        <v>26138</v>
      </c>
      <c r="C4300" t="s">
        <v>24</v>
      </c>
      <c r="D4300" t="s">
        <v>258</v>
      </c>
      <c r="E4300" t="s">
        <v>26139</v>
      </c>
      <c r="F4300" s="2" t="n">
        <f>HYPERLINK("https://patents.google.com/patent/US11321988","Google")</f>
        <v>0.0</v>
      </c>
      <c r="G4300" s="2" t="n">
        <f>HYPERLINK("https://patentcenter.uspto.gov/applications/17525911","Patent Center")</f>
        <v>0.0</v>
      </c>
      <c r="H4300" s="2" t="n">
        <f>HYPERLINK("https://worldwide.espacenet.com/patent/search?q=US11321988","Espacenet")</f>
        <v>0.0</v>
      </c>
      <c r="I4300" s="2" t="n">
        <f>HYPERLINK("https://ppubs.uspto.gov/pubwebapp/external.html?q=11321988.pn.","USPTO")</f>
        <v>0.0</v>
      </c>
      <c r="J4300" s="2" t="n">
        <f>HYPERLINK("https://image-ppubs.uspto.gov/dirsearch-public/print/downloadPdf/11321988","USPTO PDF")</f>
        <v>0.0</v>
      </c>
      <c r="K4300" s="2" t="n">
        <f>HYPERLINK("https://sectors.patentforecast.com/pmd/US11321988","PMD")</f>
        <v>0.0</v>
      </c>
      <c r="L4300" s="2" t="n">
        <f>HYPERLINK("https://globaldossier.uspto.gov/result/patent/US/11321988/1","US11321988")</f>
        <v>0.0</v>
      </c>
      <c r="M4300" t="s">
        <v>4631</v>
      </c>
      <c r="N4300" t="s">
        <v>4632</v>
      </c>
      <c r="O4300" t="s">
        <v>4633</v>
      </c>
      <c r="P4300" t="s">
        <v>26140</v>
      </c>
      <c r="Q4300" s="3" t="n">
        <v>44514.0</v>
      </c>
      <c r="R4300" s="3" t="n">
        <v>44684.0</v>
      </c>
      <c r="S4300" s="3" t="n">
        <v>44687.230107951385</v>
      </c>
      <c r="T4300" s="3" t="n">
        <v>44698.644333819444</v>
      </c>
      <c r="U4300" t="s">
        <v>26141</v>
      </c>
      <c r="V4300" t="s">
        <v>26142</v>
      </c>
    </row>
    <row r="4301">
      <c r="A4301" t="s">
        <v>23557</v>
      </c>
      <c r="B4301" t="s">
        <v>26143</v>
      </c>
      <c r="C4301" t="s">
        <v>24</v>
      </c>
      <c r="D4301" t="s">
        <v>25</v>
      </c>
      <c r="E4301" t="s">
        <v>26144</v>
      </c>
      <c r="F4301" s="2" t="n">
        <f>HYPERLINK("https://patents.google.com/patent/US11321843","Google")</f>
        <v>0.0</v>
      </c>
      <c r="G4301" s="2" t="n">
        <f>HYPERLINK("https://patentcenter.uspto.gov/applications/17136455","Patent Center")</f>
        <v>0.0</v>
      </c>
      <c r="H4301" s="2" t="n">
        <f>HYPERLINK("https://worldwide.espacenet.com/patent/search?q=US11321843","Espacenet")</f>
        <v>0.0</v>
      </c>
      <c r="I4301" s="2" t="n">
        <f>HYPERLINK("https://ppubs.uspto.gov/pubwebapp/external.html?q=11321843.pn.","USPTO")</f>
        <v>0.0</v>
      </c>
      <c r="J4301" s="2" t="n">
        <f>HYPERLINK("https://image-ppubs.uspto.gov/dirsearch-public/print/downloadPdf/11321843","USPTO PDF")</f>
        <v>0.0</v>
      </c>
      <c r="K4301" s="2" t="n">
        <f>HYPERLINK("https://sectors.patentforecast.com/pmd/US11321843","PMD")</f>
        <v>0.0</v>
      </c>
      <c r="L4301" s="2" t="n">
        <f>HYPERLINK("https://globaldossier.uspto.gov/result/patent/US/11321843/1","US11321843")</f>
        <v>0.0</v>
      </c>
      <c r="M4301" t="s">
        <v>26145</v>
      </c>
      <c r="N4301" t="s">
        <v>26146</v>
      </c>
      <c r="O4301" t="s">
        <v>26147</v>
      </c>
      <c r="P4301" t="s">
        <v>26148</v>
      </c>
      <c r="Q4301" s="3" t="n">
        <v>44194.0</v>
      </c>
      <c r="R4301" s="3" t="n">
        <v>44684.0</v>
      </c>
      <c r="S4301" s="3" t="n">
        <v>44692.232640243055</v>
      </c>
      <c r="T4301" s="3" t="n">
        <v>44698.64465699074</v>
      </c>
      <c r="U4301" t="s">
        <v>26149</v>
      </c>
      <c r="V4301" t="s">
        <v>26150</v>
      </c>
    </row>
    <row r="4302">
      <c r="A4302" t="s">
        <v>23557</v>
      </c>
      <c r="B4302" t="s">
        <v>26151</v>
      </c>
      <c r="C4302" t="s">
        <v>1492</v>
      </c>
      <c r="D4302" t="s">
        <v>862</v>
      </c>
      <c r="E4302" t="s">
        <v>26152</v>
      </c>
      <c r="F4302" s="2" t="n">
        <f>HYPERLINK("https://patents.google.com/patent/US11321567","Google")</f>
        <v>0.0</v>
      </c>
      <c r="G4302" s="2" t="n">
        <f>HYPERLINK("https://patentcenter.uspto.gov/applications/17074461","Patent Center")</f>
        <v>0.0</v>
      </c>
      <c r="H4302" s="2" t="n">
        <f>HYPERLINK("https://worldwide.espacenet.com/patent/search?q=US11321567","Espacenet")</f>
        <v>0.0</v>
      </c>
      <c r="I4302" s="2" t="n">
        <f>HYPERLINK("https://ppubs.uspto.gov/pubwebapp/external.html?q=11321567.pn.","USPTO")</f>
        <v>0.0</v>
      </c>
      <c r="J4302" s="2" t="n">
        <f>HYPERLINK("https://image-ppubs.uspto.gov/dirsearch-public/print/downloadPdf/11321567","USPTO PDF")</f>
        <v>0.0</v>
      </c>
      <c r="K4302" s="2" t="n">
        <f>HYPERLINK("https://sectors.patentforecast.com/pmd/US11321567","PMD")</f>
        <v>0.0</v>
      </c>
      <c r="L4302" s="2" t="n">
        <f>HYPERLINK("https://globaldossier.uspto.gov/result/patent/US/11321567/1","US11321567")</f>
        <v>0.0</v>
      </c>
      <c r="M4302" t="s">
        <v>1997</v>
      </c>
      <c r="N4302" t="s">
        <v>1998</v>
      </c>
      <c r="O4302" t="s">
        <v>1999</v>
      </c>
      <c r="P4302" t="s">
        <v>26153</v>
      </c>
      <c r="Q4302" s="3" t="n">
        <v>44123.0</v>
      </c>
      <c r="R4302" s="3" t="n">
        <v>44684.0</v>
      </c>
      <c r="S4302" s="3" t="n">
        <v>44692.232640243055</v>
      </c>
      <c r="T4302" s="3" t="n">
        <v>44698.644923148146</v>
      </c>
      <c r="U4302" t="s">
        <v>26154</v>
      </c>
      <c r="V4302" t="s">
        <v>26155</v>
      </c>
    </row>
    <row r="4303">
      <c r="A4303" t="s">
        <v>23557</v>
      </c>
      <c r="B4303" t="s">
        <v>26156</v>
      </c>
      <c r="C4303" t="s">
        <v>24</v>
      </c>
      <c r="D4303" t="s">
        <v>51</v>
      </c>
      <c r="E4303" t="s">
        <v>26157</v>
      </c>
      <c r="F4303" s="2" t="n">
        <f>HYPERLINK("https://patents.google.com/patent/US11320434","Google")</f>
        <v>0.0</v>
      </c>
      <c r="G4303" s="2" t="n">
        <f>HYPERLINK("https://patentcenter.uspto.gov/applications/17338640","Patent Center")</f>
        <v>0.0</v>
      </c>
      <c r="H4303" s="2" t="n">
        <f>HYPERLINK("https://worldwide.espacenet.com/patent/search?q=US11320434","Espacenet")</f>
        <v>0.0</v>
      </c>
      <c r="I4303" s="2" t="n">
        <f>HYPERLINK("https://ppubs.uspto.gov/pubwebapp/external.html?q=11320434.pn.","USPTO")</f>
        <v>0.0</v>
      </c>
      <c r="J4303" s="2" t="n">
        <f>HYPERLINK("https://image-ppubs.uspto.gov/dirsearch-public/print/downloadPdf/11320434","USPTO PDF")</f>
        <v>0.0</v>
      </c>
      <c r="K4303" s="2" t="n">
        <f>HYPERLINK("https://sectors.patentforecast.com/pmd/US11320434","PMD")</f>
        <v>0.0</v>
      </c>
      <c r="L4303" s="2" t="n">
        <f>HYPERLINK("https://globaldossier.uspto.gov/result/patent/US/11320434/1","US11320434")</f>
        <v>0.0</v>
      </c>
      <c r="M4303" t="s">
        <v>8289</v>
      </c>
      <c r="N4303" t="s">
        <v>8290</v>
      </c>
      <c r="O4303" t="s">
        <v>8290</v>
      </c>
      <c r="P4303" t="s">
        <v>26158</v>
      </c>
      <c r="Q4303" s="3" t="n">
        <v>44350.0</v>
      </c>
      <c r="R4303" s="3" t="n">
        <v>44684.0</v>
      </c>
      <c r="S4303" s="3" t="n">
        <v>44687.230107951385</v>
      </c>
      <c r="T4303" s="3" t="n">
        <v>44692.45565827546</v>
      </c>
      <c r="U4303" t="s">
        <v>26159</v>
      </c>
      <c r="V4303" t="s">
        <v>26160</v>
      </c>
    </row>
    <row r="4304">
      <c r="A4304" t="s">
        <v>23557</v>
      </c>
      <c r="B4304" t="s">
        <v>26161</v>
      </c>
      <c r="C4304" t="s">
        <v>24</v>
      </c>
      <c r="D4304" t="s">
        <v>51</v>
      </c>
      <c r="E4304" t="s">
        <v>26162</v>
      </c>
      <c r="F4304" s="2" t="n">
        <f>HYPERLINK("https://patents.google.com/patent/US11320429","Google")</f>
        <v>0.0</v>
      </c>
      <c r="G4304" s="2" t="n">
        <f>HYPERLINK("https://patentcenter.uspto.gov/applications/17204756","Patent Center")</f>
        <v>0.0</v>
      </c>
      <c r="H4304" s="2" t="n">
        <f>HYPERLINK("https://worldwide.espacenet.com/patent/search?q=US11320429","Espacenet")</f>
        <v>0.0</v>
      </c>
      <c r="I4304" s="2" t="n">
        <f>HYPERLINK("https://ppubs.uspto.gov/pubwebapp/external.html?q=11320429.pn.","USPTO")</f>
        <v>0.0</v>
      </c>
      <c r="J4304" s="2" t="n">
        <f>HYPERLINK("https://image-ppubs.uspto.gov/dirsearch-public/print/downloadPdf/11320429","USPTO PDF")</f>
        <v>0.0</v>
      </c>
      <c r="K4304" s="2" t="n">
        <f>HYPERLINK("https://sectors.patentforecast.com/pmd/US11320429","PMD")</f>
        <v>0.0</v>
      </c>
      <c r="L4304" s="2" t="n">
        <f>HYPERLINK("https://globaldossier.uspto.gov/result/patent/US/11320429/1","US11320429")</f>
        <v>0.0</v>
      </c>
      <c r="M4304" t="s">
        <v>26163</v>
      </c>
      <c r="N4304" t="s">
        <v>26164</v>
      </c>
      <c r="O4304" t="s">
        <v>26165</v>
      </c>
      <c r="P4304" t="s">
        <v>26166</v>
      </c>
      <c r="Q4304" s="3" t="n">
        <v>44272.0</v>
      </c>
      <c r="R4304" s="3" t="n">
        <v>44684.0</v>
      </c>
      <c r="S4304" s="3" t="n">
        <v>44692.232640243055</v>
      </c>
      <c r="T4304" s="3" t="n">
        <v>44698.64512068287</v>
      </c>
      <c r="U4304" t="s">
        <v>26167</v>
      </c>
      <c r="V4304" t="s">
        <v>26168</v>
      </c>
    </row>
    <row r="4305">
      <c r="A4305" t="s">
        <v>23557</v>
      </c>
      <c r="B4305" t="s">
        <v>26169</v>
      </c>
      <c r="C4305" t="s">
        <v>26170</v>
      </c>
      <c r="D4305" t="s">
        <v>400</v>
      </c>
      <c r="E4305" t="s">
        <v>26171</v>
      </c>
      <c r="F4305" s="2" t="n">
        <f>HYPERLINK("https://patents.google.com/patent/US11319382","Google")</f>
        <v>0.0</v>
      </c>
      <c r="G4305" s="2" t="n">
        <f>HYPERLINK("https://patentcenter.uspto.gov/applications/17360489","Patent Center")</f>
        <v>0.0</v>
      </c>
      <c r="H4305" s="2" t="n">
        <f>HYPERLINK("https://worldwide.espacenet.com/patent/search?q=US11319382","Espacenet")</f>
        <v>0.0</v>
      </c>
      <c r="I4305" s="2" t="n">
        <f>HYPERLINK("https://ppubs.uspto.gov/pubwebapp/external.html?q=11319382.pn.","USPTO")</f>
        <v>0.0</v>
      </c>
      <c r="J4305" s="2" t="n">
        <f>HYPERLINK("https://image-ppubs.uspto.gov/dirsearch-public/print/downloadPdf/11319382","USPTO PDF")</f>
        <v>0.0</v>
      </c>
      <c r="K4305" s="2" t="n">
        <f>HYPERLINK("https://sectors.patentforecast.com/pmd/US11319382","PMD")</f>
        <v>0.0</v>
      </c>
      <c r="L4305" s="2" t="n">
        <f>HYPERLINK("https://globaldossier.uspto.gov/result/patent/US/11319382/1","US11319382")</f>
        <v>0.0</v>
      </c>
      <c r="M4305" t="s">
        <v>26172</v>
      </c>
      <c r="N4305" t="s">
        <v>5964</v>
      </c>
      <c r="O4305" t="s">
        <v>5964</v>
      </c>
      <c r="P4305" t="s">
        <v>26173</v>
      </c>
      <c r="Q4305" s="3" t="n">
        <v>44375.0</v>
      </c>
      <c r="R4305" s="3" t="n">
        <v>44684.0</v>
      </c>
      <c r="S4305" s="3" t="n">
        <v>44692.23507040509</v>
      </c>
      <c r="T4305" s="3" t="n">
        <v>44698.645416631945</v>
      </c>
      <c r="U4305" t="s">
        <v>26174</v>
      </c>
      <c r="V4305" t="s">
        <v>26175</v>
      </c>
    </row>
    <row r="4306">
      <c r="A4306" t="s">
        <v>23557</v>
      </c>
      <c r="B4306" t="s">
        <v>26176</v>
      </c>
      <c r="C4306" t="s">
        <v>24</v>
      </c>
      <c r="D4306" t="s">
        <v>69</v>
      </c>
      <c r="E4306" t="s">
        <v>26177</v>
      </c>
      <c r="F4306" s="2" t="n">
        <f>HYPERLINK("https://patents.google.com/patent/US11318333","Google")</f>
        <v>0.0</v>
      </c>
      <c r="G4306" s="2" t="n">
        <f>HYPERLINK("https://patentcenter.uspto.gov/applications/17233444","Patent Center")</f>
        <v>0.0</v>
      </c>
      <c r="H4306" s="2" t="n">
        <f>HYPERLINK("https://worldwide.espacenet.com/patent/search?q=US11318333","Espacenet")</f>
        <v>0.0</v>
      </c>
      <c r="I4306" s="2" t="n">
        <f>HYPERLINK("https://ppubs.uspto.gov/pubwebapp/external.html?q=11318333.pn.","USPTO")</f>
        <v>0.0</v>
      </c>
      <c r="J4306" s="2" t="n">
        <f>HYPERLINK("https://image-ppubs.uspto.gov/dirsearch-public/print/downloadPdf/11318333","USPTO PDF")</f>
        <v>0.0</v>
      </c>
      <c r="K4306" s="2" t="n">
        <f>HYPERLINK("https://sectors.patentforecast.com/pmd/US11318333","PMD")</f>
        <v>0.0</v>
      </c>
      <c r="L4306" s="2" t="n">
        <f>HYPERLINK("https://globaldossier.uspto.gov/result/patent/US/11318333/1","US11318333")</f>
        <v>0.0</v>
      </c>
      <c r="M4306" t="s">
        <v>26178</v>
      </c>
      <c r="N4306" t="s">
        <v>26179</v>
      </c>
      <c r="O4306" t="s">
        <v>26180</v>
      </c>
      <c r="P4306" t="s">
        <v>26181</v>
      </c>
      <c r="Q4306" s="3" t="n">
        <v>44303.0</v>
      </c>
      <c r="R4306" s="3" t="n">
        <v>44684.0</v>
      </c>
      <c r="S4306" s="3" t="n">
        <v>44692.232640243055</v>
      </c>
      <c r="T4306" s="3" t="n">
        <v>44698.64553865741</v>
      </c>
      <c r="U4306" t="s">
        <v>26182</v>
      </c>
      <c r="V4306" t="s">
        <v>26183</v>
      </c>
    </row>
    <row r="4307">
      <c r="A4307" t="s">
        <v>23557</v>
      </c>
      <c r="B4307" t="s">
        <v>26184</v>
      </c>
      <c r="C4307" t="s">
        <v>60</v>
      </c>
      <c r="D4307" t="s">
        <v>715</v>
      </c>
      <c r="E4307" t="s">
        <v>26185</v>
      </c>
      <c r="F4307" s="2" t="n">
        <f>HYPERLINK("https://patents.google.com/patent/US11318325","Google")</f>
        <v>0.0</v>
      </c>
      <c r="G4307" s="2" t="n">
        <f>HYPERLINK("https://patentcenter.uspto.gov/applications/17507343","Patent Center")</f>
        <v>0.0</v>
      </c>
      <c r="H4307" s="2" t="n">
        <f>HYPERLINK("https://worldwide.espacenet.com/patent/search?q=US11318325","Espacenet")</f>
        <v>0.0</v>
      </c>
      <c r="I4307" s="2" t="n">
        <f>HYPERLINK("https://ppubs.uspto.gov/pubwebapp/external.html?q=11318325.pn.","USPTO")</f>
        <v>0.0</v>
      </c>
      <c r="J4307" s="2" t="n">
        <f>HYPERLINK("https://image-ppubs.uspto.gov/dirsearch-public/print/downloadPdf/11318325","USPTO PDF")</f>
        <v>0.0</v>
      </c>
      <c r="K4307" s="2" t="n">
        <f>HYPERLINK("https://sectors.patentforecast.com/pmd/US11318325","PMD")</f>
        <v>0.0</v>
      </c>
      <c r="L4307" s="2" t="n">
        <f>HYPERLINK("https://globaldossier.uspto.gov/result/patent/US/11318325/1","US11318325")</f>
        <v>0.0</v>
      </c>
      <c r="M4307" t="s">
        <v>7028</v>
      </c>
      <c r="N4307" t="s">
        <v>4923</v>
      </c>
      <c r="O4307" t="s">
        <v>4923</v>
      </c>
      <c r="P4307" t="s">
        <v>26186</v>
      </c>
      <c r="Q4307" s="3" t="n">
        <v>44490.0</v>
      </c>
      <c r="R4307" s="3" t="n">
        <v>44684.0</v>
      </c>
      <c r="S4307" s="3" t="n">
        <v>44687.230107951385</v>
      </c>
      <c r="T4307" s="3" t="n">
        <v>44698.645671481485</v>
      </c>
      <c r="U4307" t="s">
        <v>26187</v>
      </c>
      <c r="V4307" t="s">
        <v>26188</v>
      </c>
    </row>
    <row r="4308">
      <c r="A4308" t="s">
        <v>23557</v>
      </c>
      <c r="B4308" t="s">
        <v>26189</v>
      </c>
      <c r="C4308" t="s">
        <v>24</v>
      </c>
      <c r="D4308" t="s">
        <v>528</v>
      </c>
      <c r="E4308" t="s">
        <v>26190</v>
      </c>
      <c r="F4308" s="2" t="n">
        <f>HYPERLINK("https://patents.google.com/patent/US11318221","Google")</f>
        <v>0.0</v>
      </c>
      <c r="G4308" s="2" t="n">
        <f>HYPERLINK("https://patentcenter.uspto.gov/applications/17159099","Patent Center")</f>
        <v>0.0</v>
      </c>
      <c r="H4308" s="2" t="n">
        <f>HYPERLINK("https://worldwide.espacenet.com/patent/search?q=US11318221","Espacenet")</f>
        <v>0.0</v>
      </c>
      <c r="I4308" s="2" t="n">
        <f>HYPERLINK("https://ppubs.uspto.gov/pubwebapp/external.html?q=11318221.pn.","USPTO")</f>
        <v>0.0</v>
      </c>
      <c r="J4308" s="2" t="n">
        <f>HYPERLINK("https://image-ppubs.uspto.gov/dirsearch-public/print/downloadPdf/11318221","USPTO PDF")</f>
        <v>0.0</v>
      </c>
      <c r="K4308" s="2" t="n">
        <f>HYPERLINK("https://sectors.patentforecast.com/pmd/US11318221","PMD")</f>
        <v>0.0</v>
      </c>
      <c r="L4308" s="2" t="n">
        <f>HYPERLINK("https://globaldossier.uspto.gov/result/patent/US/11318221/1","US11318221")</f>
        <v>0.0</v>
      </c>
      <c r="M4308" t="s">
        <v>26191</v>
      </c>
      <c r="N4308" t="s">
        <v>26192</v>
      </c>
      <c r="O4308" t="s">
        <v>26193</v>
      </c>
      <c r="P4308" t="s">
        <v>26194</v>
      </c>
      <c r="Q4308" s="3" t="n">
        <v>44222.0</v>
      </c>
      <c r="R4308" s="3" t="n">
        <v>44684.0</v>
      </c>
      <c r="S4308" s="3" t="n">
        <v>44692.232640243055</v>
      </c>
      <c r="T4308" s="3" t="n">
        <v>44698.64594686343</v>
      </c>
      <c r="U4308" t="s">
        <v>26195</v>
      </c>
      <c r="V4308" t="s">
        <v>26196</v>
      </c>
    </row>
    <row r="4309">
      <c r="A4309" t="s">
        <v>23557</v>
      </c>
      <c r="B4309" t="s">
        <v>26197</v>
      </c>
      <c r="C4309" t="s">
        <v>132</v>
      </c>
      <c r="D4309" t="s">
        <v>142</v>
      </c>
      <c r="E4309" t="s">
        <v>26198</v>
      </c>
      <c r="F4309" s="2" t="n">
        <f>HYPERLINK("https://patents.google.com/patent/US11318213","Google")</f>
        <v>0.0</v>
      </c>
      <c r="G4309" s="2" t="n">
        <f>HYPERLINK("https://patentcenter.uspto.gov/applications/17523457","Patent Center")</f>
        <v>0.0</v>
      </c>
      <c r="H4309" s="2" t="n">
        <f>HYPERLINK("https://worldwide.espacenet.com/patent/search?q=US11318213","Espacenet")</f>
        <v>0.0</v>
      </c>
      <c r="I4309" s="2" t="n">
        <f>HYPERLINK("https://ppubs.uspto.gov/pubwebapp/external.html?q=11318213.pn.","USPTO")</f>
        <v>0.0</v>
      </c>
      <c r="J4309" s="2" t="n">
        <f>HYPERLINK("https://image-ppubs.uspto.gov/dirsearch-public/print/downloadPdf/11318213","USPTO PDF")</f>
        <v>0.0</v>
      </c>
      <c r="K4309" s="2" t="n">
        <f>HYPERLINK("https://sectors.patentforecast.com/pmd/US11318213","PMD")</f>
        <v>0.0</v>
      </c>
      <c r="L4309" s="2" t="n">
        <f>HYPERLINK("https://globaldossier.uspto.gov/result/patent/US/11318213/1","US11318213")</f>
        <v>0.0</v>
      </c>
      <c r="M4309" t="s">
        <v>3963</v>
      </c>
      <c r="N4309" t="s">
        <v>2325</v>
      </c>
      <c r="O4309" t="s">
        <v>2326</v>
      </c>
      <c r="P4309" t="s">
        <v>26199</v>
      </c>
      <c r="Q4309" s="3" t="n">
        <v>44510.0</v>
      </c>
      <c r="R4309" s="3" t="n">
        <v>44684.0</v>
      </c>
      <c r="S4309" s="3" t="n">
        <v>44687.230107951385</v>
      </c>
      <c r="T4309" s="3" t="n">
        <v>44694.563682037035</v>
      </c>
      <c r="U4309" t="s">
        <v>26200</v>
      </c>
      <c r="V4309" t="s">
        <v>26201</v>
      </c>
    </row>
    <row r="4310">
      <c r="A4310" t="s">
        <v>23557</v>
      </c>
      <c r="B4310" t="s">
        <v>26202</v>
      </c>
      <c r="C4310" t="s">
        <v>132</v>
      </c>
      <c r="D4310" t="s">
        <v>133</v>
      </c>
      <c r="E4310" t="s">
        <v>26203</v>
      </c>
      <c r="F4310" s="2" t="n">
        <f>HYPERLINK("https://patents.google.com/patent/US11318198","Google")</f>
        <v>0.0</v>
      </c>
      <c r="G4310" s="2" t="n">
        <f>HYPERLINK("https://patentcenter.uspto.gov/applications/17484557","Patent Center")</f>
        <v>0.0</v>
      </c>
      <c r="H4310" s="2" t="n">
        <f>HYPERLINK("https://worldwide.espacenet.com/patent/search?q=US11318198","Espacenet")</f>
        <v>0.0</v>
      </c>
      <c r="I4310" s="2" t="n">
        <f>HYPERLINK("https://ppubs.uspto.gov/pubwebapp/external.html?q=11318198.pn.","USPTO")</f>
        <v>0.0</v>
      </c>
      <c r="J4310" s="2" t="n">
        <f>HYPERLINK("https://image-ppubs.uspto.gov/dirsearch-public/print/downloadPdf/11318198","USPTO PDF")</f>
        <v>0.0</v>
      </c>
      <c r="K4310" s="2" t="n">
        <f>HYPERLINK("https://sectors.patentforecast.com/pmd/US11318198","PMD")</f>
        <v>0.0</v>
      </c>
      <c r="L4310" s="2" t="n">
        <f>HYPERLINK("https://globaldossier.uspto.gov/result/patent/US/11318198/1","US11318198")</f>
        <v>0.0</v>
      </c>
      <c r="M4310" t="s">
        <v>7960</v>
      </c>
      <c r="N4310" t="s">
        <v>5964</v>
      </c>
      <c r="O4310" t="s">
        <v>5964</v>
      </c>
      <c r="P4310" t="s">
        <v>26204</v>
      </c>
      <c r="Q4310" s="3" t="n">
        <v>44463.0</v>
      </c>
      <c r="R4310" s="3" t="n">
        <v>44684.0</v>
      </c>
      <c r="S4310" s="3" t="n">
        <v>44687.232775613425</v>
      </c>
      <c r="T4310" s="3" t="n">
        <v>44694.56368207176</v>
      </c>
      <c r="U4310" t="s">
        <v>26205</v>
      </c>
      <c r="V4310" t="s">
        <v>26206</v>
      </c>
    </row>
    <row r="4311">
      <c r="A4311" t="s">
        <v>23557</v>
      </c>
      <c r="B4311" t="s">
        <v>26207</v>
      </c>
      <c r="C4311" t="s">
        <v>60</v>
      </c>
      <c r="D4311" t="s">
        <v>61</v>
      </c>
      <c r="E4311" t="s">
        <v>26208</v>
      </c>
      <c r="F4311" s="2" t="n">
        <f>HYPERLINK("https://patents.google.com/patent/US11318174","Google")</f>
        <v>0.0</v>
      </c>
      <c r="G4311" s="2" t="n">
        <f>HYPERLINK("https://patentcenter.uspto.gov/applications/17240433","Patent Center")</f>
        <v>0.0</v>
      </c>
      <c r="H4311" s="2" t="n">
        <f>HYPERLINK("https://worldwide.espacenet.com/patent/search?q=US11318174","Espacenet")</f>
        <v>0.0</v>
      </c>
      <c r="I4311" s="2" t="n">
        <f>HYPERLINK("https://ppubs.uspto.gov/pubwebapp/external.html?q=11318174.pn.","USPTO")</f>
        <v>0.0</v>
      </c>
      <c r="J4311" s="2" t="n">
        <f>HYPERLINK("https://image-ppubs.uspto.gov/dirsearch-public/print/downloadPdf/11318174","USPTO PDF")</f>
        <v>0.0</v>
      </c>
      <c r="K4311" s="2" t="n">
        <f>HYPERLINK("https://sectors.patentforecast.com/pmd/US11318174","PMD")</f>
        <v>0.0</v>
      </c>
      <c r="L4311" s="2" t="n">
        <f>HYPERLINK("https://globaldossier.uspto.gov/result/patent/US/11318174/1","US11318174")</f>
        <v>0.0</v>
      </c>
      <c r="M4311" t="s">
        <v>7985</v>
      </c>
      <c r="N4311" t="s">
        <v>7986</v>
      </c>
      <c r="O4311" t="s">
        <v>7986</v>
      </c>
      <c r="P4311" t="s">
        <v>26209</v>
      </c>
      <c r="Q4311" s="3" t="n">
        <v>44312.0</v>
      </c>
      <c r="R4311" s="3" t="n">
        <v>44684.0</v>
      </c>
      <c r="S4311" s="3" t="n">
        <v>44687.230107951385</v>
      </c>
      <c r="T4311" s="3" t="n">
        <v>44694.563682037035</v>
      </c>
      <c r="U4311" t="s">
        <v>26210</v>
      </c>
      <c r="V4311" t="s">
        <v>26211</v>
      </c>
    </row>
    <row r="4312">
      <c r="A4312" t="s">
        <v>23557</v>
      </c>
      <c r="B4312" t="s">
        <v>26212</v>
      </c>
      <c r="C4312" t="s">
        <v>60</v>
      </c>
      <c r="D4312" t="s">
        <v>61</v>
      </c>
      <c r="E4312" t="s">
        <v>26213</v>
      </c>
      <c r="F4312" s="2" t="n">
        <f>HYPERLINK("https://patents.google.com/patent/US11318135","Google")</f>
        <v>0.0</v>
      </c>
      <c r="G4312" s="2" t="n">
        <f>HYPERLINK("https://patentcenter.uspto.gov/applications/17378361","Patent Center")</f>
        <v>0.0</v>
      </c>
      <c r="H4312" s="2" t="n">
        <f>HYPERLINK("https://worldwide.espacenet.com/patent/search?q=US11318135","Espacenet")</f>
        <v>0.0</v>
      </c>
      <c r="I4312" s="2" t="n">
        <f>HYPERLINK("https://ppubs.uspto.gov/pubwebapp/external.html?q=11318135.pn.","USPTO")</f>
        <v>0.0</v>
      </c>
      <c r="J4312" s="2" t="n">
        <f>HYPERLINK("https://image-ppubs.uspto.gov/dirsearch-public/print/downloadPdf/11318135","USPTO PDF")</f>
        <v>0.0</v>
      </c>
      <c r="K4312" s="2" t="n">
        <f>HYPERLINK("https://sectors.patentforecast.com/pmd/US11318135","PMD")</f>
        <v>0.0</v>
      </c>
      <c r="L4312" s="2" t="n">
        <f>HYPERLINK("https://globaldossier.uspto.gov/result/patent/US/11318135/1","US11318135")</f>
        <v>0.0</v>
      </c>
      <c r="M4312" t="s">
        <v>10708</v>
      </c>
      <c r="N4312" t="s">
        <v>153</v>
      </c>
      <c r="O4312" t="s">
        <v>154</v>
      </c>
      <c r="P4312" t="s">
        <v>26214</v>
      </c>
      <c r="Q4312" s="3" t="n">
        <v>44393.0</v>
      </c>
      <c r="R4312" s="3" t="n">
        <v>44684.0</v>
      </c>
      <c r="S4312" s="3" t="n">
        <v>44687.230107951385</v>
      </c>
      <c r="T4312" s="3" t="n">
        <v>44694.56368199074</v>
      </c>
      <c r="U4312" t="s">
        <v>26215</v>
      </c>
      <c r="V4312" t="s">
        <v>26216</v>
      </c>
    </row>
    <row r="4313">
      <c r="A4313" t="s">
        <v>23557</v>
      </c>
      <c r="B4313" t="s">
        <v>26217</v>
      </c>
      <c r="C4313" t="s">
        <v>60</v>
      </c>
      <c r="D4313" t="s">
        <v>61</v>
      </c>
      <c r="E4313" t="s">
        <v>26218</v>
      </c>
      <c r="F4313" s="2" t="n">
        <f>HYPERLINK("https://patents.google.com/patent/US11318119","Google")</f>
        <v>0.0</v>
      </c>
      <c r="G4313" s="2" t="n">
        <f>HYPERLINK("https://patentcenter.uspto.gov/applications/16849747","Patent Center")</f>
        <v>0.0</v>
      </c>
      <c r="H4313" s="2" t="n">
        <f>HYPERLINK("https://worldwide.espacenet.com/patent/search?q=US11318119","Espacenet")</f>
        <v>0.0</v>
      </c>
      <c r="I4313" s="2" t="n">
        <f>HYPERLINK("https://ppubs.uspto.gov/pubwebapp/external.html?q=11318119.pn.","USPTO")</f>
        <v>0.0</v>
      </c>
      <c r="J4313" s="2" t="n">
        <f>HYPERLINK("https://image-ppubs.uspto.gov/dirsearch-public/print/downloadPdf/11318119","USPTO PDF")</f>
        <v>0.0</v>
      </c>
      <c r="K4313" s="2" t="n">
        <f>HYPERLINK("https://sectors.patentforecast.com/pmd/US11318119","PMD")</f>
        <v>0.0</v>
      </c>
      <c r="L4313" s="2" t="n">
        <f>HYPERLINK("https://globaldossier.uspto.gov/result/patent/US/11318119/1","US11318119")</f>
        <v>0.0</v>
      </c>
      <c r="M4313" t="s">
        <v>16237</v>
      </c>
      <c r="N4313" t="s">
        <v>664</v>
      </c>
      <c r="O4313" t="s">
        <v>665</v>
      </c>
      <c r="P4313" t="s">
        <v>26219</v>
      </c>
      <c r="Q4313" s="3" t="n">
        <v>43936.0</v>
      </c>
      <c r="R4313" s="3" t="n">
        <v>44684.0</v>
      </c>
      <c r="S4313" s="3" t="n">
        <v>44687.230107951385</v>
      </c>
      <c r="T4313" s="3" t="n">
        <v>44692.44880965278</v>
      </c>
      <c r="U4313" t="s">
        <v>26220</v>
      </c>
      <c r="V4313" t="s">
        <v>26221</v>
      </c>
    </row>
    <row r="4314">
      <c r="A4314" t="s">
        <v>23557</v>
      </c>
      <c r="B4314" t="s">
        <v>26222</v>
      </c>
      <c r="C4314" t="s">
        <v>60</v>
      </c>
      <c r="D4314" t="s">
        <v>61</v>
      </c>
      <c r="E4314" t="s">
        <v>26223</v>
      </c>
      <c r="F4314" s="2" t="n">
        <f>HYPERLINK("https://patents.google.com/patent/US11318118","Google")</f>
        <v>0.0</v>
      </c>
      <c r="G4314" s="2" t="n">
        <f>HYPERLINK("https://patentcenter.uspto.gov/applications/17301493","Patent Center")</f>
        <v>0.0</v>
      </c>
      <c r="H4314" s="2" t="n">
        <f>HYPERLINK("https://worldwide.espacenet.com/patent/search?q=US11318118","Espacenet")</f>
        <v>0.0</v>
      </c>
      <c r="I4314" s="2" t="n">
        <f>HYPERLINK("https://ppubs.uspto.gov/pubwebapp/external.html?q=11318118.pn.","USPTO")</f>
        <v>0.0</v>
      </c>
      <c r="J4314" s="2" t="n">
        <f>HYPERLINK("https://image-ppubs.uspto.gov/dirsearch-public/print/downloadPdf/11318118","USPTO PDF")</f>
        <v>0.0</v>
      </c>
      <c r="K4314" s="2" t="n">
        <f>HYPERLINK("https://sectors.patentforecast.com/pmd/US11318118","PMD")</f>
        <v>0.0</v>
      </c>
      <c r="L4314" s="2" t="n">
        <f>HYPERLINK("https://globaldossier.uspto.gov/result/patent/US/11318118/1","US11318118")</f>
        <v>0.0</v>
      </c>
      <c r="M4314" t="s">
        <v>26224</v>
      </c>
      <c r="N4314" t="s">
        <v>26225</v>
      </c>
      <c r="O4314" t="s">
        <v>26226</v>
      </c>
      <c r="P4314" t="s">
        <v>26227</v>
      </c>
      <c r="Q4314" s="3" t="n">
        <v>44291.0</v>
      </c>
      <c r="R4314" s="3" t="n">
        <v>44684.0</v>
      </c>
      <c r="S4314" s="3" t="n">
        <v>44692.232640243055</v>
      </c>
      <c r="T4314" s="3" t="n">
        <v>44698.64602126157</v>
      </c>
      <c r="U4314" t="s">
        <v>26228</v>
      </c>
      <c r="V4314" t="s">
        <v>26229</v>
      </c>
    </row>
    <row r="4315">
      <c r="A4315" t="s">
        <v>23557</v>
      </c>
      <c r="B4315" t="s">
        <v>26230</v>
      </c>
      <c r="C4315" t="s">
        <v>60</v>
      </c>
      <c r="D4315" t="s">
        <v>715</v>
      </c>
      <c r="E4315" t="s">
        <v>26231</v>
      </c>
      <c r="F4315" s="2" t="n">
        <f>HYPERLINK("https://patents.google.com/patent/US11317906","Google")</f>
        <v>0.0</v>
      </c>
      <c r="G4315" s="2" t="n">
        <f>HYPERLINK("https://patentcenter.uspto.gov/applications/16927432","Patent Center")</f>
        <v>0.0</v>
      </c>
      <c r="H4315" s="2" t="n">
        <f>HYPERLINK("https://worldwide.espacenet.com/patent/search?q=US11317906","Espacenet")</f>
        <v>0.0</v>
      </c>
      <c r="I4315" s="2" t="n">
        <f>HYPERLINK("https://ppubs.uspto.gov/pubwebapp/external.html?q=11317906.pn.","USPTO")</f>
        <v>0.0</v>
      </c>
      <c r="J4315" s="2" t="n">
        <f>HYPERLINK("https://image-ppubs.uspto.gov/dirsearch-public/print/downloadPdf/11317906","USPTO PDF")</f>
        <v>0.0</v>
      </c>
      <c r="K4315" s="2" t="n">
        <f>HYPERLINK("https://sectors.patentforecast.com/pmd/US11317906","PMD")</f>
        <v>0.0</v>
      </c>
      <c r="L4315" s="2" t="n">
        <f>HYPERLINK("https://globaldossier.uspto.gov/result/patent/US/11317906/1","US11317906")</f>
        <v>0.0</v>
      </c>
      <c r="M4315" t="s">
        <v>26232</v>
      </c>
      <c r="N4315" t="s">
        <v>16387</v>
      </c>
      <c r="O4315" t="s">
        <v>16387</v>
      </c>
      <c r="P4315" t="s">
        <v>26233</v>
      </c>
      <c r="Q4315" s="3" t="n">
        <v>44025.0</v>
      </c>
      <c r="R4315" s="3" t="n">
        <v>44684.0</v>
      </c>
      <c r="S4315" s="3" t="n">
        <v>44687.230107951385</v>
      </c>
      <c r="T4315" s="3" t="n">
        <v>44698.64635930555</v>
      </c>
      <c r="U4315" t="s">
        <v>26234</v>
      </c>
      <c r="V4315" t="s">
        <v>26235</v>
      </c>
    </row>
    <row r="4316">
      <c r="A4316" t="s">
        <v>23557</v>
      </c>
      <c r="B4316" t="s">
        <v>26236</v>
      </c>
      <c r="C4316" t="s">
        <v>24</v>
      </c>
      <c r="D4316" t="s">
        <v>204</v>
      </c>
      <c r="E4316" t="s">
        <v>26237</v>
      </c>
      <c r="F4316" s="2" t="n">
        <f>HYPERLINK("https://patents.google.com/patent/US11317060","Google")</f>
        <v>0.0</v>
      </c>
      <c r="G4316" s="2" t="n">
        <f>HYPERLINK("https://patentcenter.uspto.gov/applications/17323137","Patent Center")</f>
        <v>0.0</v>
      </c>
      <c r="H4316" s="2" t="n">
        <f>HYPERLINK("https://worldwide.espacenet.com/patent/search?q=US11317060","Espacenet")</f>
        <v>0.0</v>
      </c>
      <c r="I4316" s="2" t="n">
        <f>HYPERLINK("https://ppubs.uspto.gov/pubwebapp/external.html?q=11317060.pn.","USPTO")</f>
        <v>0.0</v>
      </c>
      <c r="J4316" s="2" t="n">
        <f>HYPERLINK("https://image-ppubs.uspto.gov/dirsearch-public/print/downloadPdf/11317060","USPTO PDF")</f>
        <v>0.0</v>
      </c>
      <c r="K4316" s="2" t="n">
        <f>HYPERLINK("https://sectors.patentforecast.com/pmd/US11317060","PMD")</f>
        <v>0.0</v>
      </c>
      <c r="L4316" s="2" t="n">
        <f>HYPERLINK("https://globaldossier.uspto.gov/result/patent/US/11317060/1","US11317060")</f>
        <v>0.0</v>
      </c>
      <c r="M4316" t="s">
        <v>26238</v>
      </c>
      <c r="N4316" t="s">
        <v>26239</v>
      </c>
      <c r="O4316" t="s">
        <v>26240</v>
      </c>
      <c r="P4316" t="s">
        <v>26241</v>
      </c>
      <c r="Q4316" s="3" t="n">
        <v>44334.0</v>
      </c>
      <c r="R4316" s="3" t="n">
        <v>44677.0</v>
      </c>
      <c r="S4316" s="3" t="n">
        <v>44685.2302109838</v>
      </c>
      <c r="T4316" s="3" t="n">
        <v>44698.64643908565</v>
      </c>
      <c r="U4316" t="s">
        <v>26242</v>
      </c>
      <c r="V4316" t="s">
        <v>26243</v>
      </c>
    </row>
    <row r="4317">
      <c r="A4317" t="s">
        <v>23557</v>
      </c>
      <c r="B4317" t="s">
        <v>26244</v>
      </c>
      <c r="C4317" t="s">
        <v>24</v>
      </c>
      <c r="D4317" t="s">
        <v>204</v>
      </c>
      <c r="E4317" t="s">
        <v>26245</v>
      </c>
      <c r="F4317" s="2" t="n">
        <f>HYPERLINK("https://patents.google.com/patent/US11316941","Google")</f>
        <v>0.0</v>
      </c>
      <c r="G4317" s="2" t="n">
        <f>HYPERLINK("https://patentcenter.uspto.gov/applications/17324098","Patent Center")</f>
        <v>0.0</v>
      </c>
      <c r="H4317" s="2" t="n">
        <f>HYPERLINK("https://worldwide.espacenet.com/patent/search?q=US11316941","Espacenet")</f>
        <v>0.0</v>
      </c>
      <c r="I4317" s="2" t="n">
        <f>HYPERLINK("https://ppubs.uspto.gov/pubwebapp/external.html?q=11316941.pn.","USPTO")</f>
        <v>0.0</v>
      </c>
      <c r="J4317" s="2" t="n">
        <f>HYPERLINK("https://image-ppubs.uspto.gov/dirsearch-public/print/downloadPdf/11316941","USPTO PDF")</f>
        <v>0.0</v>
      </c>
      <c r="K4317" s="2" t="n">
        <f>HYPERLINK("https://sectors.patentforecast.com/pmd/US11316941","PMD")</f>
        <v>0.0</v>
      </c>
      <c r="L4317" s="2" t="n">
        <f>HYPERLINK("https://globaldossier.uspto.gov/result/patent/US/11316941/1","US11316941")</f>
        <v>0.0</v>
      </c>
      <c r="M4317" t="s">
        <v>26246</v>
      </c>
      <c r="N4317" t="s">
        <v>26125</v>
      </c>
      <c r="O4317" t="s">
        <v>26126</v>
      </c>
      <c r="P4317" t="s">
        <v>26127</v>
      </c>
      <c r="Q4317" s="3" t="n">
        <v>44334.0</v>
      </c>
      <c r="R4317" s="3" t="n">
        <v>44677.0</v>
      </c>
      <c r="S4317" s="3" t="n">
        <v>44685.2302109838</v>
      </c>
      <c r="T4317" s="3" t="n">
        <v>44698.64649650463</v>
      </c>
      <c r="U4317" t="s">
        <v>26247</v>
      </c>
      <c r="V4317" t="s">
        <v>26248</v>
      </c>
    </row>
    <row r="4318">
      <c r="A4318" t="s">
        <v>23557</v>
      </c>
      <c r="B4318" t="s">
        <v>26249</v>
      </c>
      <c r="C4318" t="s">
        <v>24</v>
      </c>
      <c r="D4318" t="s">
        <v>69</v>
      </c>
      <c r="E4318" t="s">
        <v>26250</v>
      </c>
      <c r="F4318" s="2" t="n">
        <f>HYPERLINK("https://patents.google.com/patent/US11315679","Google")</f>
        <v>0.0</v>
      </c>
      <c r="G4318" s="2" t="n">
        <f>HYPERLINK("https://patentcenter.uspto.gov/applications/17318648","Patent Center")</f>
        <v>0.0</v>
      </c>
      <c r="H4318" s="2" t="n">
        <f>HYPERLINK("https://worldwide.espacenet.com/patent/search?q=US11315679","Espacenet")</f>
        <v>0.0</v>
      </c>
      <c r="I4318" s="2" t="n">
        <f>HYPERLINK("https://ppubs.uspto.gov/pubwebapp/external.html?q=11315679.pn.","USPTO")</f>
        <v>0.0</v>
      </c>
      <c r="J4318" s="2" t="n">
        <f>HYPERLINK("https://image-ppubs.uspto.gov/dirsearch-public/print/downloadPdf/11315679","USPTO PDF")</f>
        <v>0.0</v>
      </c>
      <c r="K4318" s="2" t="n">
        <f>HYPERLINK("https://sectors.patentforecast.com/pmd/US11315679","PMD")</f>
        <v>0.0</v>
      </c>
      <c r="L4318" s="2" t="n">
        <f>HYPERLINK("https://globaldossier.uspto.gov/result/patent/US/11315679/1","US11315679")</f>
        <v>0.0</v>
      </c>
      <c r="M4318" t="s">
        <v>26251</v>
      </c>
      <c r="N4318" t="s">
        <v>26252</v>
      </c>
      <c r="O4318" t="s">
        <v>26253</v>
      </c>
      <c r="P4318" t="s">
        <v>26254</v>
      </c>
      <c r="Q4318" s="3" t="n">
        <v>44328.0</v>
      </c>
      <c r="R4318" s="3" t="n">
        <v>44677.0</v>
      </c>
      <c r="S4318" s="3" t="n">
        <v>44678.23078851852</v>
      </c>
      <c r="T4318" s="3" t="n">
        <v>44678.36528675926</v>
      </c>
      <c r="U4318" t="s">
        <v>26255</v>
      </c>
      <c r="V4318" t="s">
        <v>26256</v>
      </c>
    </row>
    <row r="4319">
      <c r="A4319" t="s">
        <v>23557</v>
      </c>
      <c r="B4319" t="s">
        <v>26257</v>
      </c>
      <c r="C4319" t="s">
        <v>312</v>
      </c>
      <c r="D4319" t="s">
        <v>313</v>
      </c>
      <c r="E4319" t="s">
        <v>26258</v>
      </c>
      <c r="F4319" s="2" t="n">
        <f>HYPERLINK("https://patents.google.com/patent/US11315041","Google")</f>
        <v>0.0</v>
      </c>
      <c r="G4319" s="2" t="n">
        <f>HYPERLINK("https://patentcenter.uspto.gov/applications/17028799","Patent Center")</f>
        <v>0.0</v>
      </c>
      <c r="H4319" s="2" t="n">
        <f>HYPERLINK("https://worldwide.espacenet.com/patent/search?q=US11315041","Espacenet")</f>
        <v>0.0</v>
      </c>
      <c r="I4319" s="2" t="n">
        <f>HYPERLINK("https://ppubs.uspto.gov/pubwebapp/external.html?q=11315041.pn.","USPTO")</f>
        <v>0.0</v>
      </c>
      <c r="J4319" s="2" t="n">
        <f>HYPERLINK("https://image-ppubs.uspto.gov/dirsearch-public/print/downloadPdf/11315041","USPTO PDF")</f>
        <v>0.0</v>
      </c>
      <c r="K4319" s="2" t="n">
        <f>HYPERLINK("https://sectors.patentforecast.com/pmd/US11315041","PMD")</f>
        <v>0.0</v>
      </c>
      <c r="L4319" s="2" t="n">
        <f>HYPERLINK("https://globaldossier.uspto.gov/result/patent/US/11315041/1","US11315041")</f>
        <v>0.0</v>
      </c>
      <c r="M4319" t="s">
        <v>26259</v>
      </c>
      <c r="N4319" t="s">
        <v>26125</v>
      </c>
      <c r="O4319" t="s">
        <v>26126</v>
      </c>
      <c r="P4319" t="s">
        <v>26260</v>
      </c>
      <c r="Q4319" s="3" t="n">
        <v>44096.0</v>
      </c>
      <c r="R4319" s="3" t="n">
        <v>44677.0</v>
      </c>
      <c r="S4319" s="3" t="n">
        <v>44685.2302109838</v>
      </c>
      <c r="T4319" s="3" t="n">
        <v>44698.646679108795</v>
      </c>
      <c r="U4319" t="s">
        <v>26261</v>
      </c>
      <c r="V4319" t="s">
        <v>26262</v>
      </c>
    </row>
    <row r="4320">
      <c r="A4320" t="s">
        <v>23557</v>
      </c>
      <c r="B4320" t="s">
        <v>26263</v>
      </c>
      <c r="C4320" t="s">
        <v>24</v>
      </c>
      <c r="D4320" t="s">
        <v>100</v>
      </c>
      <c r="E4320" t="s">
        <v>26264</v>
      </c>
      <c r="F4320" s="2" t="n">
        <f>HYPERLINK("https://patents.google.com/patent/US11313540","Google")</f>
        <v>0.0</v>
      </c>
      <c r="G4320" s="2" t="n">
        <f>HYPERLINK("https://patentcenter.uspto.gov/applications/17232155","Patent Center")</f>
        <v>0.0</v>
      </c>
      <c r="H4320" s="2" t="n">
        <f>HYPERLINK("https://worldwide.espacenet.com/patent/search?q=US11313540","Espacenet")</f>
        <v>0.0</v>
      </c>
      <c r="I4320" s="2" t="n">
        <f>HYPERLINK("https://ppubs.uspto.gov/pubwebapp/external.html?q=11313540.pn.","USPTO")</f>
        <v>0.0</v>
      </c>
      <c r="J4320" s="2" t="n">
        <f>HYPERLINK("https://image-ppubs.uspto.gov/dirsearch-public/print/downloadPdf/11313540","USPTO PDF")</f>
        <v>0.0</v>
      </c>
      <c r="K4320" s="2" t="n">
        <f>HYPERLINK("https://sectors.patentforecast.com/pmd/US11313540","PMD")</f>
        <v>0.0</v>
      </c>
      <c r="L4320" s="2" t="n">
        <f>HYPERLINK("https://globaldossier.uspto.gov/result/patent/US/11313540/1","US11313540")</f>
        <v>0.0</v>
      </c>
      <c r="M4320" t="s">
        <v>26265</v>
      </c>
      <c r="N4320" t="s">
        <v>3013</v>
      </c>
      <c r="O4320" t="s">
        <v>3014</v>
      </c>
      <c r="P4320" t="s">
        <v>26266</v>
      </c>
      <c r="Q4320" s="3" t="n">
        <v>44302.0</v>
      </c>
      <c r="R4320" s="3" t="n">
        <v>44677.0</v>
      </c>
      <c r="S4320" s="3" t="n">
        <v>44685.2302109838</v>
      </c>
      <c r="T4320" s="3" t="n">
        <v>44698.646724363425</v>
      </c>
      <c r="U4320" t="s">
        <v>26267</v>
      </c>
      <c r="V4320" t="s">
        <v>26268</v>
      </c>
    </row>
    <row r="4321">
      <c r="A4321" t="s">
        <v>23557</v>
      </c>
      <c r="B4321" t="s">
        <v>26269</v>
      </c>
      <c r="C4321" t="s">
        <v>60</v>
      </c>
      <c r="D4321" t="s">
        <v>696</v>
      </c>
      <c r="E4321" t="s">
        <v>26270</v>
      </c>
      <c r="F4321" s="2" t="n">
        <f>HYPERLINK("https://patents.google.com/patent/US11312939","Google")</f>
        <v>0.0</v>
      </c>
      <c r="G4321" s="2" t="n">
        <f>HYPERLINK("https://patentcenter.uspto.gov/applications/17477486","Patent Center")</f>
        <v>0.0</v>
      </c>
      <c r="H4321" s="2" t="n">
        <f>HYPERLINK("https://worldwide.espacenet.com/patent/search?q=US11312939","Espacenet")</f>
        <v>0.0</v>
      </c>
      <c r="I4321" s="2" t="n">
        <f>HYPERLINK("https://ppubs.uspto.gov/pubwebapp/external.html?q=11312939.pn.","USPTO")</f>
        <v>0.0</v>
      </c>
      <c r="J4321" s="2" t="n">
        <f>HYPERLINK("https://image-ppubs.uspto.gov/dirsearch-public/print/downloadPdf/11312939","USPTO PDF")</f>
        <v>0.0</v>
      </c>
      <c r="K4321" s="2" t="n">
        <f>HYPERLINK("https://sectors.patentforecast.com/pmd/US11312939","PMD")</f>
        <v>0.0</v>
      </c>
      <c r="L4321" s="2" t="n">
        <f>HYPERLINK("https://globaldossier.uspto.gov/result/patent/US/11312939/1","US11312939")</f>
        <v>0.0</v>
      </c>
      <c r="M4321" t="s">
        <v>8103</v>
      </c>
      <c r="N4321" t="s">
        <v>8104</v>
      </c>
      <c r="O4321" t="s">
        <v>8105</v>
      </c>
      <c r="P4321" t="s">
        <v>26271</v>
      </c>
      <c r="Q4321" s="3" t="n">
        <v>44455.0</v>
      </c>
      <c r="R4321" s="3" t="n">
        <v>44677.0</v>
      </c>
      <c r="S4321" s="3" t="n">
        <v>44678.230094039354</v>
      </c>
      <c r="T4321" s="3" t="n">
        <v>44678.33098353009</v>
      </c>
      <c r="U4321" t="s">
        <v>26272</v>
      </c>
      <c r="V4321" t="s">
        <v>26273</v>
      </c>
    </row>
    <row r="4322">
      <c r="A4322" t="s">
        <v>23557</v>
      </c>
      <c r="B4322" t="s">
        <v>26274</v>
      </c>
      <c r="C4322" t="s">
        <v>60</v>
      </c>
      <c r="D4322" t="s">
        <v>61</v>
      </c>
      <c r="E4322" t="s">
        <v>26275</v>
      </c>
      <c r="F4322" s="2" t="n">
        <f>HYPERLINK("https://patents.google.com/patent/US11312760","Google")</f>
        <v>0.0</v>
      </c>
      <c r="G4322" s="2" t="n">
        <f>HYPERLINK("https://patentcenter.uspto.gov/applications/17391262","Patent Center")</f>
        <v>0.0</v>
      </c>
      <c r="H4322" s="2" t="n">
        <f>HYPERLINK("https://worldwide.espacenet.com/patent/search?q=US11312760","Espacenet")</f>
        <v>0.0</v>
      </c>
      <c r="I4322" s="2" t="n">
        <f>HYPERLINK("https://ppubs.uspto.gov/pubwebapp/external.html?q=11312760.pn.","USPTO")</f>
        <v>0.0</v>
      </c>
      <c r="J4322" s="2" t="n">
        <f>HYPERLINK("https://image-ppubs.uspto.gov/dirsearch-public/print/downloadPdf/11312760","USPTO PDF")</f>
        <v>0.0</v>
      </c>
      <c r="K4322" s="2" t="n">
        <f>HYPERLINK("https://sectors.patentforecast.com/pmd/US11312760","PMD")</f>
        <v>0.0</v>
      </c>
      <c r="L4322" s="2" t="n">
        <f>HYPERLINK("https://globaldossier.uspto.gov/result/patent/US/11312760/1","US11312760")</f>
        <v>0.0</v>
      </c>
      <c r="M4322" t="s">
        <v>26276</v>
      </c>
      <c r="N4322" t="s">
        <v>4767</v>
      </c>
      <c r="O4322" t="s">
        <v>4768</v>
      </c>
      <c r="P4322" t="s">
        <v>26277</v>
      </c>
      <c r="Q4322" s="3" t="n">
        <v>44410.0</v>
      </c>
      <c r="R4322" s="3" t="n">
        <v>44677.0</v>
      </c>
      <c r="S4322" s="3" t="n">
        <v>44685.2302109838</v>
      </c>
      <c r="T4322" s="3" t="n">
        <v>44698.646873275466</v>
      </c>
      <c r="U4322" t="s">
        <v>26278</v>
      </c>
      <c r="V4322" t="s">
        <v>26279</v>
      </c>
    </row>
    <row r="4323">
      <c r="A4323" t="s">
        <v>23557</v>
      </c>
      <c r="B4323" t="s">
        <v>26280</v>
      </c>
      <c r="C4323" t="s">
        <v>60</v>
      </c>
      <c r="D4323" t="s">
        <v>61</v>
      </c>
      <c r="E4323" t="s">
        <v>26281</v>
      </c>
      <c r="F4323" s="2" t="n">
        <f>HYPERLINK("https://patents.google.com/patent/US11312743","Google")</f>
        <v>0.0</v>
      </c>
      <c r="G4323" s="2" t="n">
        <f>HYPERLINK("https://patentcenter.uspto.gov/applications/17383405","Patent Center")</f>
        <v>0.0</v>
      </c>
      <c r="H4323" s="2" t="n">
        <f>HYPERLINK("https://worldwide.espacenet.com/patent/search?q=US11312743","Espacenet")</f>
        <v>0.0</v>
      </c>
      <c r="I4323" s="2" t="n">
        <f>HYPERLINK("https://ppubs.uspto.gov/pubwebapp/external.html?q=11312743.pn.","USPTO")</f>
        <v>0.0</v>
      </c>
      <c r="J4323" s="2" t="n">
        <f>HYPERLINK("https://image-ppubs.uspto.gov/dirsearch-public/print/downloadPdf/11312743","USPTO PDF")</f>
        <v>0.0</v>
      </c>
      <c r="K4323" s="2" t="n">
        <f>HYPERLINK("https://sectors.patentforecast.com/pmd/US11312743","PMD")</f>
        <v>0.0</v>
      </c>
      <c r="L4323" s="2" t="n">
        <f>HYPERLINK("https://globaldossier.uspto.gov/result/patent/US/11312743/1","US11312743")</f>
        <v>0.0</v>
      </c>
      <c r="M4323" t="s">
        <v>26282</v>
      </c>
      <c r="N4323" t="s">
        <v>26283</v>
      </c>
      <c r="O4323" t="s">
        <v>26284</v>
      </c>
      <c r="P4323" t="s">
        <v>26285</v>
      </c>
      <c r="Q4323" s="3" t="n">
        <v>44399.0</v>
      </c>
      <c r="R4323" s="3" t="n">
        <v>44677.0</v>
      </c>
      <c r="S4323" s="3" t="n">
        <v>44685.2302109838</v>
      </c>
      <c r="T4323" s="3" t="n">
        <v>44698.64697130787</v>
      </c>
      <c r="U4323" t="s">
        <v>26286</v>
      </c>
      <c r="V4323" t="s">
        <v>26287</v>
      </c>
    </row>
    <row r="4324">
      <c r="A4324" t="s">
        <v>23557</v>
      </c>
      <c r="B4324" t="s">
        <v>26288</v>
      </c>
      <c r="C4324" t="s">
        <v>60</v>
      </c>
      <c r="D4324" t="s">
        <v>61</v>
      </c>
      <c r="E4324" t="s">
        <v>26289</v>
      </c>
      <c r="F4324" s="2" t="n">
        <f>HYPERLINK("https://patents.google.com/patent/US11312704","Google")</f>
        <v>0.0</v>
      </c>
      <c r="G4324" s="2" t="n">
        <f>HYPERLINK("https://patentcenter.uspto.gov/applications/17384369","Patent Center")</f>
        <v>0.0</v>
      </c>
      <c r="H4324" s="2" t="n">
        <f>HYPERLINK("https://worldwide.espacenet.com/patent/search?q=US11312704","Espacenet")</f>
        <v>0.0</v>
      </c>
      <c r="I4324" s="2" t="n">
        <f>HYPERLINK("https://ppubs.uspto.gov/pubwebapp/external.html?q=11312704.pn.","USPTO")</f>
        <v>0.0</v>
      </c>
      <c r="J4324" s="2" t="n">
        <f>HYPERLINK("https://image-ppubs.uspto.gov/dirsearch-public/print/downloadPdf/11312704","USPTO PDF")</f>
        <v>0.0</v>
      </c>
      <c r="K4324" s="2" t="n">
        <f>HYPERLINK("https://sectors.patentforecast.com/pmd/US11312704","PMD")</f>
        <v>0.0</v>
      </c>
      <c r="L4324" s="2" t="n">
        <f>HYPERLINK("https://globaldossier.uspto.gov/result/patent/US/11312704/1","US11312704")</f>
        <v>0.0</v>
      </c>
      <c r="M4324" t="s">
        <v>10000</v>
      </c>
      <c r="N4324" t="s">
        <v>223</v>
      </c>
      <c r="O4324" t="s">
        <v>224</v>
      </c>
      <c r="P4324" t="s">
        <v>26290</v>
      </c>
      <c r="Q4324" s="3" t="n">
        <v>44400.0</v>
      </c>
      <c r="R4324" s="3" t="n">
        <v>44677.0</v>
      </c>
      <c r="S4324" s="3" t="n">
        <v>44678.2295153125</v>
      </c>
      <c r="T4324" s="3" t="n">
        <v>44678.34465762731</v>
      </c>
      <c r="U4324" t="s">
        <v>26291</v>
      </c>
      <c r="V4324" t="s">
        <v>26292</v>
      </c>
    </row>
    <row r="4325">
      <c r="A4325" t="s">
        <v>23557</v>
      </c>
      <c r="B4325" t="s">
        <v>26293</v>
      </c>
      <c r="C4325" t="s">
        <v>60</v>
      </c>
      <c r="D4325" t="s">
        <v>715</v>
      </c>
      <c r="E4325" t="s">
        <v>26294</v>
      </c>
      <c r="F4325" s="2" t="n">
        <f>HYPERLINK("https://patents.google.com/patent/US11311739","Google")</f>
        <v>0.0</v>
      </c>
      <c r="G4325" s="2" t="n">
        <f>HYPERLINK("https://patentcenter.uspto.gov/applications/17443878","Patent Center")</f>
        <v>0.0</v>
      </c>
      <c r="H4325" s="2" t="n">
        <f>HYPERLINK("https://worldwide.espacenet.com/patent/search?q=US11311739","Espacenet")</f>
        <v>0.0</v>
      </c>
      <c r="I4325" s="2" t="n">
        <f>HYPERLINK("https://ppubs.uspto.gov/pubwebapp/external.html?q=11311739.pn.","USPTO")</f>
        <v>0.0</v>
      </c>
      <c r="J4325" s="2" t="n">
        <f>HYPERLINK("https://image-ppubs.uspto.gov/dirsearch-public/print/downloadPdf/11311739","USPTO PDF")</f>
        <v>0.0</v>
      </c>
      <c r="K4325" s="2" t="n">
        <f>HYPERLINK("https://sectors.patentforecast.com/pmd/US11311739","PMD")</f>
        <v>0.0</v>
      </c>
      <c r="L4325" s="2" t="n">
        <f>HYPERLINK("https://globaldossier.uspto.gov/result/patent/US/11311739/1","US11311739")</f>
        <v>0.0</v>
      </c>
      <c r="M4325" t="s">
        <v>9366</v>
      </c>
      <c r="N4325" t="s">
        <v>9367</v>
      </c>
      <c r="O4325" t="s">
        <v>9368</v>
      </c>
      <c r="P4325" t="s">
        <v>26295</v>
      </c>
      <c r="Q4325" s="3" t="n">
        <v>44405.0</v>
      </c>
      <c r="R4325" s="3" t="n">
        <v>44677.0</v>
      </c>
      <c r="S4325" s="3" t="n">
        <v>44678.2295153125</v>
      </c>
      <c r="T4325" s="3" t="n">
        <v>44678.356572847224</v>
      </c>
      <c r="U4325" t="s">
        <v>26296</v>
      </c>
      <c r="V4325" t="s">
        <v>26297</v>
      </c>
    </row>
    <row r="4326">
      <c r="A4326" t="s">
        <v>23557</v>
      </c>
      <c r="B4326" t="s">
        <v>26298</v>
      </c>
      <c r="C4326" t="s">
        <v>24</v>
      </c>
      <c r="D4326" t="s">
        <v>69</v>
      </c>
      <c r="E4326" t="s">
        <v>26299</v>
      </c>
      <c r="F4326" s="2" t="n">
        <f>HYPERLINK("https://patents.google.com/patent/US11311640","Google")</f>
        <v>0.0</v>
      </c>
      <c r="G4326" s="2" t="n">
        <f>HYPERLINK("https://patentcenter.uspto.gov/applications/17308024","Patent Center")</f>
        <v>0.0</v>
      </c>
      <c r="H4326" s="2" t="n">
        <f>HYPERLINK("https://worldwide.espacenet.com/patent/search?q=US11311640","Espacenet")</f>
        <v>0.0</v>
      </c>
      <c r="I4326" s="2" t="n">
        <f>HYPERLINK("https://ppubs.uspto.gov/pubwebapp/external.html?q=11311640.pn.","USPTO")</f>
        <v>0.0</v>
      </c>
      <c r="J4326" s="2" t="n">
        <f>HYPERLINK("https://image-ppubs.uspto.gov/dirsearch-public/print/downloadPdf/11311640","USPTO PDF")</f>
        <v>0.0</v>
      </c>
      <c r="K4326" s="2" t="n">
        <f>HYPERLINK("https://sectors.patentforecast.com/pmd/US11311640","PMD")</f>
        <v>0.0</v>
      </c>
      <c r="L4326" s="2" t="n">
        <f>HYPERLINK("https://globaldossier.uspto.gov/result/patent/US/11311640/1","US11311640")</f>
        <v>0.0</v>
      </c>
      <c r="M4326" t="s">
        <v>26300</v>
      </c>
      <c r="N4326" t="s">
        <v>26301</v>
      </c>
      <c r="O4326" t="s">
        <v>26302</v>
      </c>
      <c r="P4326" t="s">
        <v>26303</v>
      </c>
      <c r="Q4326" s="3" t="n">
        <v>44320.0</v>
      </c>
      <c r="R4326" s="3" t="n">
        <v>44677.0</v>
      </c>
      <c r="S4326" s="3" t="n">
        <v>44685.2302109838</v>
      </c>
      <c r="T4326" s="3" t="n">
        <v>44698.64701944444</v>
      </c>
      <c r="U4326" t="s">
        <v>26304</v>
      </c>
      <c r="V4326" t="s">
        <v>26305</v>
      </c>
    </row>
    <row r="4327">
      <c r="A4327" t="s">
        <v>23557</v>
      </c>
      <c r="B4327" t="s">
        <v>26306</v>
      </c>
      <c r="C4327" t="s">
        <v>60</v>
      </c>
      <c r="D4327" t="s">
        <v>2262</v>
      </c>
      <c r="E4327" t="s">
        <v>26307</v>
      </c>
      <c r="F4327" s="2" t="n">
        <f>HYPERLINK("https://patents.google.com/patent/US11311597","Google")</f>
        <v>0.0</v>
      </c>
      <c r="G4327" s="2" t="n">
        <f>HYPERLINK("https://patentcenter.uspto.gov/applications/16873162","Patent Center")</f>
        <v>0.0</v>
      </c>
      <c r="H4327" s="2" t="n">
        <f>HYPERLINK("https://worldwide.espacenet.com/patent/search?q=US11311597","Espacenet")</f>
        <v>0.0</v>
      </c>
      <c r="I4327" s="2" t="n">
        <f>HYPERLINK("https://ppubs.uspto.gov/pubwebapp/external.html?q=11311597.pn.","USPTO")</f>
        <v>0.0</v>
      </c>
      <c r="J4327" s="2" t="n">
        <f>HYPERLINK("https://image-ppubs.uspto.gov/dirsearch-public/print/downloadPdf/11311597","USPTO PDF")</f>
        <v>0.0</v>
      </c>
      <c r="K4327" s="2" t="n">
        <f>HYPERLINK("https://sectors.patentforecast.com/pmd/US11311597","PMD")</f>
        <v>0.0</v>
      </c>
      <c r="L4327" s="2" t="n">
        <f>HYPERLINK("https://globaldossier.uspto.gov/result/patent/US/11311597/1","US11311597")</f>
        <v>0.0</v>
      </c>
      <c r="M4327" t="s">
        <v>26308</v>
      </c>
      <c r="N4327" t="s">
        <v>26309</v>
      </c>
      <c r="O4327" t="s">
        <v>26310</v>
      </c>
      <c r="P4327" t="s">
        <v>26311</v>
      </c>
      <c r="Q4327" s="3" t="n">
        <v>43879.0</v>
      </c>
      <c r="R4327" s="3" t="n">
        <v>44677.0</v>
      </c>
      <c r="S4327" s="3" t="n">
        <v>44678.230094039354</v>
      </c>
      <c r="T4327" s="3" t="n">
        <v>44678.36492375</v>
      </c>
      <c r="U4327" t="s">
        <v>26312</v>
      </c>
      <c r="V4327" t="s">
        <v>26313</v>
      </c>
    </row>
    <row r="4328">
      <c r="A4328" t="s">
        <v>23557</v>
      </c>
      <c r="B4328" t="s">
        <v>26314</v>
      </c>
      <c r="C4328" t="s">
        <v>60</v>
      </c>
      <c r="D4328" t="s">
        <v>2262</v>
      </c>
      <c r="E4328" t="s">
        <v>26315</v>
      </c>
      <c r="F4328" s="2" t="n">
        <f>HYPERLINK("https://patents.google.com/patent/US11311559","Google")</f>
        <v>0.0</v>
      </c>
      <c r="G4328" s="2" t="n">
        <f>HYPERLINK("https://patentcenter.uspto.gov/applications/17234744","Patent Center")</f>
        <v>0.0</v>
      </c>
      <c r="H4328" s="2" t="n">
        <f>HYPERLINK("https://worldwide.espacenet.com/patent/search?q=US11311559","Espacenet")</f>
        <v>0.0</v>
      </c>
      <c r="I4328" s="2" t="n">
        <f>HYPERLINK("https://ppubs.uspto.gov/pubwebapp/external.html?q=11311559.pn.","USPTO")</f>
        <v>0.0</v>
      </c>
      <c r="J4328" s="2" t="n">
        <f>HYPERLINK("https://image-ppubs.uspto.gov/dirsearch-public/print/downloadPdf/11311559","USPTO PDF")</f>
        <v>0.0</v>
      </c>
      <c r="K4328" s="2" t="n">
        <f>HYPERLINK("https://sectors.patentforecast.com/pmd/US11311559","PMD")</f>
        <v>0.0</v>
      </c>
      <c r="L4328" s="2" t="n">
        <f>HYPERLINK("https://globaldossier.uspto.gov/result/patent/US/11311559/1","US11311559")</f>
        <v>0.0</v>
      </c>
      <c r="M4328" t="s">
        <v>6044</v>
      </c>
      <c r="N4328" t="s">
        <v>6045</v>
      </c>
      <c r="O4328" t="s">
        <v>6046</v>
      </c>
      <c r="P4328" t="s">
        <v>26316</v>
      </c>
      <c r="Q4328" s="3" t="n">
        <v>44305.0</v>
      </c>
      <c r="R4328" s="3" t="n">
        <v>44677.0</v>
      </c>
      <c r="S4328" s="3" t="n">
        <v>44678.230094039354</v>
      </c>
      <c r="T4328" s="3" t="n">
        <v>44678.327570243055</v>
      </c>
      <c r="U4328" t="s">
        <v>26317</v>
      </c>
      <c r="V4328" t="s">
        <v>26318</v>
      </c>
    </row>
    <row r="4329">
      <c r="A4329" t="s">
        <v>23557</v>
      </c>
      <c r="B4329" t="s">
        <v>26319</v>
      </c>
      <c r="C4329" t="s">
        <v>312</v>
      </c>
      <c r="D4329" t="s">
        <v>976</v>
      </c>
      <c r="E4329" t="s">
        <v>26320</v>
      </c>
      <c r="F4329" s="2" t="n">
        <f>HYPERLINK("https://patents.google.com/patent/US11309091","Google")</f>
        <v>0.0</v>
      </c>
      <c r="G4329" s="2" t="n">
        <f>HYPERLINK("https://patentcenter.uspto.gov/applications/17156810","Patent Center")</f>
        <v>0.0</v>
      </c>
      <c r="H4329" s="2" t="n">
        <f>HYPERLINK("https://worldwide.espacenet.com/patent/search?q=US11309091","Espacenet")</f>
        <v>0.0</v>
      </c>
      <c r="I4329" s="2" t="n">
        <f>HYPERLINK("https://ppubs.uspto.gov/pubwebapp/external.html?q=11309091.pn.","USPTO")</f>
        <v>0.0</v>
      </c>
      <c r="J4329" s="2" t="n">
        <f>HYPERLINK("https://image-ppubs.uspto.gov/dirsearch-public/print/downloadPdf/11309091","USPTO PDF")</f>
        <v>0.0</v>
      </c>
      <c r="K4329" s="2" t="n">
        <f>HYPERLINK("https://sectors.patentforecast.com/pmd/US11309091","PMD")</f>
        <v>0.0</v>
      </c>
      <c r="L4329" s="2" t="n">
        <f>HYPERLINK("https://globaldossier.uspto.gov/result/patent/US/11309091/1","US11309091")</f>
        <v>0.0</v>
      </c>
      <c r="M4329" t="s">
        <v>13663</v>
      </c>
      <c r="N4329" t="s">
        <v>28</v>
      </c>
      <c r="O4329" t="s">
        <v>29</v>
      </c>
      <c r="P4329" t="s">
        <v>26321</v>
      </c>
      <c r="Q4329" s="3" t="n">
        <v>44221.0</v>
      </c>
      <c r="R4329" s="3" t="n">
        <v>44670.0</v>
      </c>
      <c r="S4329" s="3" t="n">
        <v>44671.230069861114</v>
      </c>
      <c r="T4329" s="3" t="n">
        <v>44672.334065856485</v>
      </c>
      <c r="U4329" t="s">
        <v>26322</v>
      </c>
      <c r="V4329" t="s">
        <v>26323</v>
      </c>
    </row>
    <row r="4330">
      <c r="A4330" t="s">
        <v>23557</v>
      </c>
      <c r="B4330" t="s">
        <v>26324</v>
      </c>
      <c r="C4330" t="s">
        <v>24</v>
      </c>
      <c r="D4330" t="s">
        <v>34</v>
      </c>
      <c r="E4330" t="s">
        <v>26325</v>
      </c>
      <c r="F4330" s="2" t="n">
        <f>HYPERLINK("https://patents.google.com/patent/US11308612","Google")</f>
        <v>0.0</v>
      </c>
      <c r="G4330" s="2" t="n">
        <f>HYPERLINK("https://patentcenter.uspto.gov/applications/16889412","Patent Center")</f>
        <v>0.0</v>
      </c>
      <c r="H4330" s="2" t="n">
        <f>HYPERLINK("https://worldwide.espacenet.com/patent/search?q=US11308612","Espacenet")</f>
        <v>0.0</v>
      </c>
      <c r="I4330" s="2" t="n">
        <f>HYPERLINK("https://ppubs.uspto.gov/pubwebapp/external.html?q=11308612.pn.","USPTO")</f>
        <v>0.0</v>
      </c>
      <c r="J4330" s="2" t="n">
        <f>HYPERLINK("https://image-ppubs.uspto.gov/dirsearch-public/print/downloadPdf/11308612","USPTO PDF")</f>
        <v>0.0</v>
      </c>
      <c r="K4330" s="2" t="n">
        <f>HYPERLINK("https://sectors.patentforecast.com/pmd/US11308612","PMD")</f>
        <v>0.0</v>
      </c>
      <c r="L4330" s="2" t="n">
        <f>HYPERLINK("https://globaldossier.uspto.gov/result/patent/US/11308612/1","US11308612")</f>
        <v>0.0</v>
      </c>
      <c r="M4330" t="s">
        <v>11809</v>
      </c>
      <c r="N4330" t="s">
        <v>11810</v>
      </c>
      <c r="O4330" t="s">
        <v>11811</v>
      </c>
      <c r="P4330" t="s">
        <v>26326</v>
      </c>
      <c r="Q4330" s="3" t="n">
        <v>43983.0</v>
      </c>
      <c r="R4330" s="3" t="n">
        <v>44670.0</v>
      </c>
      <c r="S4330" s="3" t="n">
        <v>44673.23010644676</v>
      </c>
      <c r="T4330" s="3" t="n">
        <v>44692.4490896875</v>
      </c>
      <c r="U4330" t="s">
        <v>26327</v>
      </c>
      <c r="V4330" t="s">
        <v>26328</v>
      </c>
    </row>
    <row r="4331">
      <c r="A4331" t="s">
        <v>23557</v>
      </c>
      <c r="B4331" t="s">
        <v>26329</v>
      </c>
      <c r="C4331" t="s">
        <v>312</v>
      </c>
      <c r="D4331" t="s">
        <v>313</v>
      </c>
      <c r="E4331" t="s">
        <v>26330</v>
      </c>
      <c r="F4331" s="2" t="n">
        <f>HYPERLINK("https://patents.google.com/patent/US11308101","Google")</f>
        <v>0.0</v>
      </c>
      <c r="G4331" s="2" t="n">
        <f>HYPERLINK("https://patentcenter.uspto.gov/applications/17459346","Patent Center")</f>
        <v>0.0</v>
      </c>
      <c r="H4331" s="2" t="n">
        <f>HYPERLINK("https://worldwide.espacenet.com/patent/search?q=US11308101","Espacenet")</f>
        <v>0.0</v>
      </c>
      <c r="I4331" s="2" t="n">
        <f>HYPERLINK("https://ppubs.uspto.gov/pubwebapp/external.html?q=11308101.pn.","USPTO")</f>
        <v>0.0</v>
      </c>
      <c r="J4331" s="2" t="n">
        <f>HYPERLINK("https://image-ppubs.uspto.gov/dirsearch-public/print/downloadPdf/11308101","USPTO PDF")</f>
        <v>0.0</v>
      </c>
      <c r="K4331" s="2" t="n">
        <f>HYPERLINK("https://sectors.patentforecast.com/pmd/US11308101","PMD")</f>
        <v>0.0</v>
      </c>
      <c r="L4331" s="2" t="n">
        <f>HYPERLINK("https://globaldossier.uspto.gov/result/patent/US/11308101/1","US11308101")</f>
        <v>0.0</v>
      </c>
      <c r="M4331" t="s">
        <v>26331</v>
      </c>
      <c r="N4331" t="s">
        <v>26332</v>
      </c>
      <c r="O4331" t="s">
        <v>26333</v>
      </c>
      <c r="P4331" t="s">
        <v>26334</v>
      </c>
      <c r="Q4331" s="3" t="n">
        <v>44435.0</v>
      </c>
      <c r="R4331" s="3" t="n">
        <v>44670.0</v>
      </c>
      <c r="S4331" s="3" t="n">
        <v>44671.230069861114</v>
      </c>
      <c r="T4331" s="3" t="n">
        <v>44719.60395013889</v>
      </c>
      <c r="U4331" t="s">
        <v>26335</v>
      </c>
      <c r="V4331" t="s">
        <v>26336</v>
      </c>
    </row>
    <row r="4332">
      <c r="A4332" t="s">
        <v>23557</v>
      </c>
      <c r="B4332" t="s">
        <v>26337</v>
      </c>
      <c r="C4332" t="s">
        <v>24</v>
      </c>
      <c r="D4332" t="s">
        <v>51</v>
      </c>
      <c r="E4332" t="s">
        <v>26338</v>
      </c>
      <c r="F4332" s="2" t="n">
        <f>HYPERLINK("https://patents.google.com/patent/US11307202","Google")</f>
        <v>0.0</v>
      </c>
      <c r="G4332" s="2" t="n">
        <f>HYPERLINK("https://patentcenter.uspto.gov/applications/17406182","Patent Center")</f>
        <v>0.0</v>
      </c>
      <c r="H4332" s="2" t="n">
        <f>HYPERLINK("https://worldwide.espacenet.com/patent/search?q=US11307202","Espacenet")</f>
        <v>0.0</v>
      </c>
      <c r="I4332" s="2" t="n">
        <f>HYPERLINK("https://ppubs.uspto.gov/pubwebapp/external.html?q=11307202.pn.","USPTO")</f>
        <v>0.0</v>
      </c>
      <c r="J4332" s="2" t="n">
        <f>HYPERLINK("https://image-ppubs.uspto.gov/dirsearch-public/print/downloadPdf/11307202","USPTO PDF")</f>
        <v>0.0</v>
      </c>
      <c r="K4332" s="2" t="n">
        <f>HYPERLINK("https://sectors.patentforecast.com/pmd/US11307202","PMD")</f>
        <v>0.0</v>
      </c>
      <c r="L4332" s="2" t="n">
        <f>HYPERLINK("https://globaldossier.uspto.gov/result/patent/US/11307202/1","US11307202")</f>
        <v>0.0</v>
      </c>
      <c r="M4332" t="s">
        <v>26339</v>
      </c>
      <c r="N4332" t="s">
        <v>5964</v>
      </c>
      <c r="O4332" t="s">
        <v>5964</v>
      </c>
      <c r="P4332" t="s">
        <v>26340</v>
      </c>
      <c r="Q4332" s="3" t="n">
        <v>44427.0</v>
      </c>
      <c r="R4332" s="3" t="n">
        <v>44670.0</v>
      </c>
      <c r="S4332" s="3" t="n">
        <v>44678.232995810184</v>
      </c>
      <c r="T4332" s="3" t="n">
        <v>44678.33971270833</v>
      </c>
      <c r="U4332" t="s">
        <v>26341</v>
      </c>
      <c r="V4332" t="s">
        <v>26342</v>
      </c>
    </row>
    <row r="4333">
      <c r="A4333" t="s">
        <v>23557</v>
      </c>
      <c r="B4333" t="s">
        <v>26343</v>
      </c>
      <c r="C4333" t="s">
        <v>24</v>
      </c>
      <c r="D4333" t="s">
        <v>25</v>
      </c>
      <c r="E4333" t="s">
        <v>26344</v>
      </c>
      <c r="F4333" s="2" t="n">
        <f>HYPERLINK("https://patents.google.com/patent/US11307158","Google")</f>
        <v>0.0</v>
      </c>
      <c r="G4333" s="2" t="n">
        <f>HYPERLINK("https://patentcenter.uspto.gov/applications/17495499","Patent Center")</f>
        <v>0.0</v>
      </c>
      <c r="H4333" s="2" t="n">
        <f>HYPERLINK("https://worldwide.espacenet.com/patent/search?q=US11307158","Espacenet")</f>
        <v>0.0</v>
      </c>
      <c r="I4333" s="2" t="n">
        <f>HYPERLINK("https://ppubs.uspto.gov/pubwebapp/external.html?q=11307158.pn.","USPTO")</f>
        <v>0.0</v>
      </c>
      <c r="J4333" s="2" t="n">
        <f>HYPERLINK("https://image-ppubs.uspto.gov/dirsearch-public/print/downloadPdf/11307158","USPTO PDF")</f>
        <v>0.0</v>
      </c>
      <c r="K4333" s="2" t="n">
        <f>HYPERLINK("https://sectors.patentforecast.com/pmd/US11307158","PMD")</f>
        <v>0.0</v>
      </c>
      <c r="L4333" s="2" t="n">
        <f>HYPERLINK("https://globaldossier.uspto.gov/result/patent/US/11307158/1","US11307158")</f>
        <v>0.0</v>
      </c>
      <c r="M4333" t="s">
        <v>26345</v>
      </c>
      <c r="N4333" t="s">
        <v>26346</v>
      </c>
      <c r="O4333" t="s">
        <v>26347</v>
      </c>
      <c r="P4333" t="s">
        <v>26348</v>
      </c>
      <c r="Q4333" s="3" t="n">
        <v>44475.0</v>
      </c>
      <c r="R4333" s="3" t="n">
        <v>44670.0</v>
      </c>
      <c r="S4333" s="3" t="n">
        <v>44678.230094039354</v>
      </c>
      <c r="T4333" s="3" t="n">
        <v>44678.35808835648</v>
      </c>
      <c r="U4333" t="s">
        <v>26349</v>
      </c>
      <c r="V4333" t="s">
        <v>26350</v>
      </c>
    </row>
    <row r="4334">
      <c r="A4334" t="s">
        <v>23557</v>
      </c>
      <c r="B4334" t="s">
        <v>26351</v>
      </c>
      <c r="C4334" t="s">
        <v>24</v>
      </c>
      <c r="D4334" t="s">
        <v>69</v>
      </c>
      <c r="E4334" t="s">
        <v>26352</v>
      </c>
      <c r="F4334" s="2" t="n">
        <f>HYPERLINK("https://patents.google.com/patent/US11305037","Google")</f>
        <v>0.0</v>
      </c>
      <c r="G4334" s="2" t="n">
        <f>HYPERLINK("https://patentcenter.uspto.gov/applications/17112982","Patent Center")</f>
        <v>0.0</v>
      </c>
      <c r="H4334" s="2" t="n">
        <f>HYPERLINK("https://worldwide.espacenet.com/patent/search?q=US11305037","Espacenet")</f>
        <v>0.0</v>
      </c>
      <c r="I4334" s="2" t="n">
        <f>HYPERLINK("https://ppubs.uspto.gov/pubwebapp/external.html?q=11305037.pn.","USPTO")</f>
        <v>0.0</v>
      </c>
      <c r="J4334" s="2" t="n">
        <f>HYPERLINK("https://image-ppubs.uspto.gov/dirsearch-public/print/downloadPdf/11305037","USPTO PDF")</f>
        <v>0.0</v>
      </c>
      <c r="K4334" s="2" t="n">
        <f>HYPERLINK("https://sectors.patentforecast.com/pmd/US11305037","PMD")</f>
        <v>0.0</v>
      </c>
      <c r="L4334" s="2" t="n">
        <f>HYPERLINK("https://globaldossier.uspto.gov/result/patent/US/11305037/1","US11305037")</f>
        <v>0.0</v>
      </c>
      <c r="M4334" t="s">
        <v>15458</v>
      </c>
      <c r="N4334" t="s">
        <v>26353</v>
      </c>
      <c r="O4334" t="s">
        <v>26353</v>
      </c>
      <c r="P4334" t="s">
        <v>26354</v>
      </c>
      <c r="Q4334" s="3" t="n">
        <v>44170.0</v>
      </c>
      <c r="R4334" s="3" t="n">
        <v>44670.0</v>
      </c>
      <c r="S4334" s="3" t="n">
        <v>44673.23010644676</v>
      </c>
      <c r="T4334" s="3" t="n">
        <v>44678.632926736114</v>
      </c>
      <c r="U4334" t="s">
        <v>26355</v>
      </c>
      <c r="V4334" t="s">
        <v>26356</v>
      </c>
    </row>
    <row r="4335">
      <c r="A4335" t="s">
        <v>23557</v>
      </c>
      <c r="B4335" t="s">
        <v>26357</v>
      </c>
      <c r="C4335" t="s">
        <v>24</v>
      </c>
      <c r="D4335" t="s">
        <v>100</v>
      </c>
      <c r="E4335" t="s">
        <v>26358</v>
      </c>
      <c r="F4335" s="2" t="n">
        <f>HYPERLINK("https://patents.google.com/patent/US11305031","Google")</f>
        <v>0.0</v>
      </c>
      <c r="G4335" s="2" t="n">
        <f>HYPERLINK("https://patentcenter.uspto.gov/applications/17240953","Patent Center")</f>
        <v>0.0</v>
      </c>
      <c r="H4335" s="2" t="n">
        <f>HYPERLINK("https://worldwide.espacenet.com/patent/search?q=US11305031","Espacenet")</f>
        <v>0.0</v>
      </c>
      <c r="I4335" s="2" t="n">
        <f>HYPERLINK("https://ppubs.uspto.gov/pubwebapp/external.html?q=11305031.pn.","USPTO")</f>
        <v>0.0</v>
      </c>
      <c r="J4335" s="2" t="n">
        <f>HYPERLINK("https://image-ppubs.uspto.gov/dirsearch-public/print/downloadPdf/11305031","USPTO PDF")</f>
        <v>0.0</v>
      </c>
      <c r="K4335" s="2" t="n">
        <f>HYPERLINK("https://sectors.patentforecast.com/pmd/US11305031","PMD")</f>
        <v>0.0</v>
      </c>
      <c r="L4335" s="2" t="n">
        <f>HYPERLINK("https://globaldossier.uspto.gov/result/patent/US/11305031/1","US11305031")</f>
        <v>0.0</v>
      </c>
      <c r="M4335" t="s">
        <v>7919</v>
      </c>
      <c r="N4335" t="s">
        <v>7920</v>
      </c>
      <c r="O4335" t="s">
        <v>7921</v>
      </c>
      <c r="P4335" t="s">
        <v>26359</v>
      </c>
      <c r="Q4335" s="3" t="n">
        <v>44312.0</v>
      </c>
      <c r="R4335" s="3" t="n">
        <v>44670.0</v>
      </c>
      <c r="S4335" s="3" t="n">
        <v>44671.230069861114</v>
      </c>
      <c r="T4335" s="3" t="n">
        <v>44719.60399885417</v>
      </c>
      <c r="U4335" t="s">
        <v>26360</v>
      </c>
      <c r="V4335" t="s">
        <v>26361</v>
      </c>
    </row>
    <row r="4336">
      <c r="A4336" t="s">
        <v>23557</v>
      </c>
      <c r="B4336" t="s">
        <v>26362</v>
      </c>
      <c r="C4336" t="s">
        <v>132</v>
      </c>
      <c r="D4336" t="s">
        <v>133</v>
      </c>
      <c r="E4336" t="s">
        <v>26363</v>
      </c>
      <c r="F4336" s="2" t="n">
        <f>HYPERLINK("https://patents.google.com/patent/US11305008","Google")</f>
        <v>0.0</v>
      </c>
      <c r="G4336" s="2" t="n">
        <f>HYPERLINK("https://patentcenter.uspto.gov/applications/17230383","Patent Center")</f>
        <v>0.0</v>
      </c>
      <c r="H4336" s="2" t="n">
        <f>HYPERLINK("https://worldwide.espacenet.com/patent/search?q=US11305008","Espacenet")</f>
        <v>0.0</v>
      </c>
      <c r="I4336" s="2" t="n">
        <f>HYPERLINK("https://ppubs.uspto.gov/pubwebapp/external.html?q=11305008.pn.","USPTO")</f>
        <v>0.0</v>
      </c>
      <c r="J4336" s="2" t="n">
        <f>HYPERLINK("https://image-ppubs.uspto.gov/dirsearch-public/print/downloadPdf/11305008","USPTO PDF")</f>
        <v>0.0</v>
      </c>
      <c r="K4336" s="2" t="n">
        <f>HYPERLINK("https://sectors.patentforecast.com/pmd/US11305008","PMD")</f>
        <v>0.0</v>
      </c>
      <c r="L4336" s="2" t="n">
        <f>HYPERLINK("https://globaldossier.uspto.gov/result/patent/US/11305008/1","US11305008")</f>
        <v>0.0</v>
      </c>
      <c r="M4336" t="s">
        <v>5963</v>
      </c>
      <c r="N4336" t="s">
        <v>5964</v>
      </c>
      <c r="O4336" t="s">
        <v>5964</v>
      </c>
      <c r="P4336" t="s">
        <v>26204</v>
      </c>
      <c r="Q4336" s="3" t="n">
        <v>44300.0</v>
      </c>
      <c r="R4336" s="3" t="n">
        <v>44670.0</v>
      </c>
      <c r="S4336" s="3" t="n">
        <v>44671.232731655095</v>
      </c>
      <c r="T4336" s="3" t="n">
        <v>44678.339311400465</v>
      </c>
      <c r="U4336" t="s">
        <v>26205</v>
      </c>
      <c r="V4336" t="s">
        <v>26206</v>
      </c>
    </row>
    <row r="4337">
      <c r="A4337" t="s">
        <v>23557</v>
      </c>
      <c r="B4337" t="s">
        <v>26364</v>
      </c>
      <c r="C4337" t="s">
        <v>132</v>
      </c>
      <c r="D4337" t="s">
        <v>142</v>
      </c>
      <c r="E4337" t="s">
        <v>26365</v>
      </c>
      <c r="F4337" s="2" t="n">
        <f>HYPERLINK("https://patents.google.com/patent/US11304999","Google")</f>
        <v>0.0</v>
      </c>
      <c r="G4337" s="2" t="n">
        <f>HYPERLINK("https://patentcenter.uspto.gov/applications/16881236","Patent Center")</f>
        <v>0.0</v>
      </c>
      <c r="H4337" s="2" t="n">
        <f>HYPERLINK("https://worldwide.espacenet.com/patent/search?q=US11304999","Espacenet")</f>
        <v>0.0</v>
      </c>
      <c r="I4337" s="2" t="n">
        <f>HYPERLINK("https://ppubs.uspto.gov/pubwebapp/external.html?q=11304999.pn.","USPTO")</f>
        <v>0.0</v>
      </c>
      <c r="J4337" s="2" t="n">
        <f>HYPERLINK("https://image-ppubs.uspto.gov/dirsearch-public/print/downloadPdf/11304999","USPTO PDF")</f>
        <v>0.0</v>
      </c>
      <c r="K4337" s="2" t="n">
        <f>HYPERLINK("https://sectors.patentforecast.com/pmd/US11304999","PMD")</f>
        <v>0.0</v>
      </c>
      <c r="L4337" s="2" t="n">
        <f>HYPERLINK("https://globaldossier.uspto.gov/result/patent/US/11304999/1","US11304999")</f>
        <v>0.0</v>
      </c>
      <c r="M4337" t="s">
        <v>26366</v>
      </c>
      <c r="N4337" t="s">
        <v>15147</v>
      </c>
      <c r="O4337" t="s">
        <v>15148</v>
      </c>
      <c r="P4337" t="s">
        <v>26367</v>
      </c>
      <c r="Q4337" s="3" t="n">
        <v>43973.0</v>
      </c>
      <c r="R4337" s="3" t="n">
        <v>44670.0</v>
      </c>
      <c r="S4337" s="3" t="n">
        <v>44671.235856747684</v>
      </c>
      <c r="T4337" s="3" t="n">
        <v>44672.44118206018</v>
      </c>
      <c r="U4337" t="s">
        <v>26368</v>
      </c>
      <c r="V4337" t="s">
        <v>26369</v>
      </c>
    </row>
    <row r="4338">
      <c r="A4338" t="s">
        <v>23557</v>
      </c>
      <c r="B4338" t="s">
        <v>26370</v>
      </c>
      <c r="C4338" t="s">
        <v>60</v>
      </c>
      <c r="D4338" t="s">
        <v>61</v>
      </c>
      <c r="E4338" t="s">
        <v>26371</v>
      </c>
      <c r="F4338" s="2" t="n">
        <f>HYPERLINK("https://patents.google.com/patent/US11304947","Google")</f>
        <v>0.0</v>
      </c>
      <c r="G4338" s="2" t="n">
        <f>HYPERLINK("https://patentcenter.uspto.gov/applications/17325968","Patent Center")</f>
        <v>0.0</v>
      </c>
      <c r="H4338" s="2" t="n">
        <f>HYPERLINK("https://worldwide.espacenet.com/patent/search?q=US11304947","Espacenet")</f>
        <v>0.0</v>
      </c>
      <c r="I4338" s="2" t="n">
        <f>HYPERLINK("https://ppubs.uspto.gov/pubwebapp/external.html?q=11304947.pn.","USPTO")</f>
        <v>0.0</v>
      </c>
      <c r="J4338" s="2" t="n">
        <f>HYPERLINK("https://image-ppubs.uspto.gov/dirsearch-public/print/downloadPdf/11304947","USPTO PDF")</f>
        <v>0.0</v>
      </c>
      <c r="K4338" s="2" t="n">
        <f>HYPERLINK("https://sectors.patentforecast.com/pmd/US11304947","PMD")</f>
        <v>0.0</v>
      </c>
      <c r="L4338" s="2" t="n">
        <f>HYPERLINK("https://globaldossier.uspto.gov/result/patent/US/11304947/1","US11304947")</f>
        <v>0.0</v>
      </c>
      <c r="M4338" t="s">
        <v>9787</v>
      </c>
      <c r="N4338" t="s">
        <v>5462</v>
      </c>
      <c r="O4338" t="s">
        <v>5462</v>
      </c>
      <c r="P4338" t="s">
        <v>26372</v>
      </c>
      <c r="Q4338" s="3" t="n">
        <v>44336.0</v>
      </c>
      <c r="R4338" s="3" t="n">
        <v>44670.0</v>
      </c>
      <c r="S4338" s="3" t="n">
        <v>44671.230069861114</v>
      </c>
      <c r="T4338" s="3" t="n">
        <v>44672.39790986111</v>
      </c>
      <c r="U4338" t="s">
        <v>26373</v>
      </c>
      <c r="V4338" t="s">
        <v>26374</v>
      </c>
    </row>
    <row r="4339">
      <c r="A4339" t="s">
        <v>23557</v>
      </c>
      <c r="B4339" t="s">
        <v>26375</v>
      </c>
      <c r="C4339" t="s">
        <v>24</v>
      </c>
      <c r="D4339" t="s">
        <v>25</v>
      </c>
      <c r="E4339" t="s">
        <v>7724</v>
      </c>
      <c r="F4339" s="2" t="n">
        <f>HYPERLINK("https://patents.google.com/patent/US11304605","Google")</f>
        <v>0.0</v>
      </c>
      <c r="G4339" s="2" t="n">
        <f>HYPERLINK("https://patentcenter.uspto.gov/applications/17079649","Patent Center")</f>
        <v>0.0</v>
      </c>
      <c r="H4339" s="2" t="n">
        <f>HYPERLINK("https://worldwide.espacenet.com/patent/search?q=US11304605","Espacenet")</f>
        <v>0.0</v>
      </c>
      <c r="I4339" s="2" t="n">
        <f>HYPERLINK("https://ppubs.uspto.gov/pubwebapp/external.html?q=11304605.pn.","USPTO")</f>
        <v>0.0</v>
      </c>
      <c r="J4339" s="2" t="n">
        <f>HYPERLINK("https://image-ppubs.uspto.gov/dirsearch-public/print/downloadPdf/11304605","USPTO PDF")</f>
        <v>0.0</v>
      </c>
      <c r="K4339" s="2" t="n">
        <f>HYPERLINK("https://sectors.patentforecast.com/pmd/US11304605","PMD")</f>
        <v>0.0</v>
      </c>
      <c r="L4339" s="2" t="n">
        <f>HYPERLINK("https://globaldossier.uspto.gov/result/patent/US/11304605/1","US11304605")</f>
        <v>0.0</v>
      </c>
      <c r="M4339" t="s">
        <v>7725</v>
      </c>
      <c r="N4339" t="s">
        <v>7718</v>
      </c>
      <c r="O4339" t="s">
        <v>7719</v>
      </c>
      <c r="P4339" t="s">
        <v>26376</v>
      </c>
      <c r="Q4339" s="3" t="n">
        <v>44130.0</v>
      </c>
      <c r="R4339" s="3" t="n">
        <v>44670.0</v>
      </c>
      <c r="S4339" s="3" t="n">
        <v>44671.230069861114</v>
      </c>
      <c r="T4339" s="3" t="n">
        <v>44672.33077028935</v>
      </c>
      <c r="U4339" t="s">
        <v>26377</v>
      </c>
      <c r="V4339" t="s">
        <v>26378</v>
      </c>
    </row>
    <row r="4340">
      <c r="A4340" t="s">
        <v>23557</v>
      </c>
      <c r="B4340" t="s">
        <v>26379</v>
      </c>
      <c r="C4340" t="s">
        <v>60</v>
      </c>
      <c r="D4340" t="s">
        <v>845</v>
      </c>
      <c r="E4340" t="s">
        <v>26380</v>
      </c>
      <c r="F4340" s="2" t="n">
        <f>HYPERLINK("https://patents.google.com/patent/US11302448","Google")</f>
        <v>0.0</v>
      </c>
      <c r="G4340" s="2" t="n">
        <f>HYPERLINK("https://patentcenter.uspto.gov/applications/17355717","Patent Center")</f>
        <v>0.0</v>
      </c>
      <c r="H4340" s="2" t="n">
        <f>HYPERLINK("https://worldwide.espacenet.com/patent/search?q=US11302448","Espacenet")</f>
        <v>0.0</v>
      </c>
      <c r="I4340" s="2" t="n">
        <f>HYPERLINK("https://ppubs.uspto.gov/pubwebapp/external.html?q=11302448.pn.","USPTO")</f>
        <v>0.0</v>
      </c>
      <c r="J4340" s="2" t="n">
        <f>HYPERLINK("https://image-ppubs.uspto.gov/dirsearch-public/print/downloadPdf/11302448","USPTO PDF")</f>
        <v>0.0</v>
      </c>
      <c r="K4340" s="2" t="n">
        <f>HYPERLINK("https://sectors.patentforecast.com/pmd/US11302448","PMD")</f>
        <v>0.0</v>
      </c>
      <c r="L4340" s="2" t="n">
        <f>HYPERLINK("https://globaldossier.uspto.gov/result/patent/US/11302448/1","US11302448")</f>
        <v>0.0</v>
      </c>
      <c r="M4340" t="s">
        <v>26381</v>
      </c>
      <c r="N4340" t="s">
        <v>26125</v>
      </c>
      <c r="O4340" t="s">
        <v>26126</v>
      </c>
      <c r="P4340" t="s">
        <v>26127</v>
      </c>
      <c r="Q4340" s="3" t="n">
        <v>44370.0</v>
      </c>
      <c r="R4340" s="3" t="n">
        <v>44663.0</v>
      </c>
      <c r="S4340" s="3" t="n">
        <v>44671.230069861114</v>
      </c>
      <c r="T4340" s="3" t="n">
        <v>44672.482610625</v>
      </c>
      <c r="U4340" t="s">
        <v>26382</v>
      </c>
      <c r="V4340" t="s">
        <v>26383</v>
      </c>
    </row>
    <row r="4341">
      <c r="A4341" t="s">
        <v>23557</v>
      </c>
      <c r="B4341" t="s">
        <v>26384</v>
      </c>
      <c r="C4341" t="s">
        <v>24</v>
      </c>
      <c r="D4341" t="s">
        <v>25</v>
      </c>
      <c r="E4341" t="s">
        <v>26385</v>
      </c>
      <c r="F4341" s="2" t="n">
        <f>HYPERLINK("https://patents.google.com/patent/US11302133","Google")</f>
        <v>0.0</v>
      </c>
      <c r="G4341" s="2" t="n">
        <f>HYPERLINK("https://patentcenter.uspto.gov/applications/17328238","Patent Center")</f>
        <v>0.0</v>
      </c>
      <c r="H4341" s="2" t="n">
        <f>HYPERLINK("https://worldwide.espacenet.com/patent/search?q=US11302133","Espacenet")</f>
        <v>0.0</v>
      </c>
      <c r="I4341" s="2" t="n">
        <f>HYPERLINK("https://ppubs.uspto.gov/pubwebapp/external.html?q=11302133.pn.","USPTO")</f>
        <v>0.0</v>
      </c>
      <c r="J4341" s="2" t="n">
        <f>HYPERLINK("https://image-ppubs.uspto.gov/dirsearch-public/print/downloadPdf/11302133","USPTO PDF")</f>
        <v>0.0</v>
      </c>
      <c r="K4341" s="2" t="n">
        <f>HYPERLINK("https://sectors.patentforecast.com/pmd/US11302133","PMD")</f>
        <v>0.0</v>
      </c>
      <c r="L4341" s="2" t="n">
        <f>HYPERLINK("https://globaldossier.uspto.gov/result/patent/US/11302133/1","US11302133")</f>
        <v>0.0</v>
      </c>
      <c r="M4341" t="s">
        <v>26386</v>
      </c>
      <c r="N4341" t="s">
        <v>26387</v>
      </c>
      <c r="O4341" t="s">
        <v>26388</v>
      </c>
      <c r="P4341" t="s">
        <v>26389</v>
      </c>
      <c r="Q4341" s="3" t="n">
        <v>44340.0</v>
      </c>
      <c r="R4341" s="3" t="n">
        <v>44663.0</v>
      </c>
      <c r="S4341" s="3" t="n">
        <v>44666.23004243056</v>
      </c>
      <c r="T4341" s="3" t="n">
        <v>44719.604043391206</v>
      </c>
      <c r="U4341" t="s">
        <v>26390</v>
      </c>
      <c r="V4341" t="s">
        <v>26391</v>
      </c>
    </row>
    <row r="4342">
      <c r="A4342" t="s">
        <v>23557</v>
      </c>
      <c r="B4342" t="s">
        <v>26392</v>
      </c>
      <c r="C4342" t="s">
        <v>24</v>
      </c>
      <c r="D4342" t="s">
        <v>69</v>
      </c>
      <c r="E4342" t="s">
        <v>26393</v>
      </c>
      <c r="F4342" s="2" t="n">
        <f>HYPERLINK("https://patents.google.com/patent/US11301090","Google")</f>
        <v>0.0</v>
      </c>
      <c r="G4342" s="2" t="n">
        <f>HYPERLINK("https://patentcenter.uspto.gov/applications/16947392","Patent Center")</f>
        <v>0.0</v>
      </c>
      <c r="H4342" s="2" t="n">
        <f>HYPERLINK("https://worldwide.espacenet.com/patent/search?q=US11301090","Espacenet")</f>
        <v>0.0</v>
      </c>
      <c r="I4342" s="2" t="n">
        <f>HYPERLINK("https://ppubs.uspto.gov/pubwebapp/external.html?q=11301090.pn.","USPTO")</f>
        <v>0.0</v>
      </c>
      <c r="J4342" s="2" t="n">
        <f>HYPERLINK("https://image-ppubs.uspto.gov/dirsearch-public/print/downloadPdf/11301090","USPTO PDF")</f>
        <v>0.0</v>
      </c>
      <c r="K4342" s="2" t="n">
        <f>HYPERLINK("https://sectors.patentforecast.com/pmd/US11301090","PMD")</f>
        <v>0.0</v>
      </c>
      <c r="L4342" s="2" t="n">
        <f>HYPERLINK("https://globaldossier.uspto.gov/result/patent/US/11301090/1","US11301090")</f>
        <v>0.0</v>
      </c>
      <c r="M4342" t="s">
        <v>7173</v>
      </c>
      <c r="N4342" t="s">
        <v>207</v>
      </c>
      <c r="O4342" t="s">
        <v>208</v>
      </c>
      <c r="P4342" t="s">
        <v>26394</v>
      </c>
      <c r="Q4342" s="3" t="n">
        <v>44042.0</v>
      </c>
      <c r="R4342" s="3" t="n">
        <v>44663.0</v>
      </c>
      <c r="S4342" s="3" t="n">
        <v>44666.22946350694</v>
      </c>
      <c r="T4342" s="3" t="n">
        <v>44672.32407541667</v>
      </c>
      <c r="U4342" t="s">
        <v>26395</v>
      </c>
      <c r="V4342" t="s">
        <v>26396</v>
      </c>
    </row>
    <row r="4343">
      <c r="A4343" t="s">
        <v>23557</v>
      </c>
      <c r="B4343" t="s">
        <v>26397</v>
      </c>
      <c r="C4343" t="s">
        <v>24</v>
      </c>
      <c r="D4343" t="s">
        <v>25</v>
      </c>
      <c r="E4343" t="s">
        <v>26398</v>
      </c>
      <c r="F4343" s="2" t="n">
        <f>HYPERLINK("https://patents.google.com/patent/US11300484","Google")</f>
        <v>0.0</v>
      </c>
      <c r="G4343" s="2" t="n">
        <f>HYPERLINK("https://patentcenter.uspto.gov/applications/15732259","Patent Center")</f>
        <v>0.0</v>
      </c>
      <c r="H4343" s="2" t="n">
        <f>HYPERLINK("https://worldwide.espacenet.com/patent/search?q=US11300484","Espacenet")</f>
        <v>0.0</v>
      </c>
      <c r="I4343" s="2" t="n">
        <f>HYPERLINK("https://ppubs.uspto.gov/pubwebapp/external.html?q=11300484.pn.","USPTO")</f>
        <v>0.0</v>
      </c>
      <c r="J4343" s="2" t="n">
        <f>HYPERLINK("https://image-ppubs.uspto.gov/dirsearch-public/print/downloadPdf/11300484","USPTO PDF")</f>
        <v>0.0</v>
      </c>
      <c r="K4343" s="2" t="n">
        <f>HYPERLINK("https://sectors.patentforecast.com/pmd/US11300484","PMD")</f>
        <v>0.0</v>
      </c>
      <c r="L4343" s="2" t="n">
        <f>HYPERLINK("https://globaldossier.uspto.gov/result/patent/US/11300484/1","US11300484")</f>
        <v>0.0</v>
      </c>
      <c r="M4343" t="s">
        <v>26399</v>
      </c>
      <c r="N4343" t="s">
        <v>26400</v>
      </c>
      <c r="O4343" t="s">
        <v>26401</v>
      </c>
      <c r="P4343" t="s">
        <v>26402</v>
      </c>
      <c r="Q4343" s="3" t="n">
        <v>43024.0</v>
      </c>
      <c r="R4343" s="3" t="n">
        <v>44663.0</v>
      </c>
      <c r="S4343" s="3" t="n">
        <v>44671.238402939816</v>
      </c>
      <c r="T4343" s="3" t="n">
        <v>44672.49421982639</v>
      </c>
      <c r="U4343" t="s">
        <v>26403</v>
      </c>
      <c r="V4343" t="s">
        <v>26404</v>
      </c>
    </row>
    <row r="4344">
      <c r="A4344" t="s">
        <v>23557</v>
      </c>
      <c r="B4344" t="s">
        <v>26405</v>
      </c>
      <c r="C4344" t="s">
        <v>60</v>
      </c>
      <c r="D4344" t="s">
        <v>61</v>
      </c>
      <c r="E4344" t="s">
        <v>26066</v>
      </c>
      <c r="F4344" s="2" t="n">
        <f>HYPERLINK("https://patents.google.com/patent/US11299751","Google")</f>
        <v>0.0</v>
      </c>
      <c r="G4344" s="2" t="n">
        <f>HYPERLINK("https://patentcenter.uspto.gov/applications/16097446","Patent Center")</f>
        <v>0.0</v>
      </c>
      <c r="H4344" s="2" t="n">
        <f>HYPERLINK("https://worldwide.espacenet.com/patent/search?q=US11299751","Espacenet")</f>
        <v>0.0</v>
      </c>
      <c r="I4344" s="2" t="n">
        <f>HYPERLINK("https://ppubs.uspto.gov/pubwebapp/external.html?q=11299751.pn.","USPTO")</f>
        <v>0.0</v>
      </c>
      <c r="J4344" s="2" t="n">
        <f>HYPERLINK("https://image-ppubs.uspto.gov/dirsearch-public/print/downloadPdf/11299751","USPTO PDF")</f>
        <v>0.0</v>
      </c>
      <c r="K4344" s="2" t="n">
        <f>HYPERLINK("https://sectors.patentforecast.com/pmd/US11299751","PMD")</f>
        <v>0.0</v>
      </c>
      <c r="L4344" s="2" t="n">
        <f>HYPERLINK("https://globaldossier.uspto.gov/result/patent/US/11299751/1","US11299751")</f>
        <v>0.0</v>
      </c>
      <c r="M4344" t="s">
        <v>16791</v>
      </c>
      <c r="N4344" t="s">
        <v>3469</v>
      </c>
      <c r="O4344" t="s">
        <v>3470</v>
      </c>
      <c r="P4344" t="s">
        <v>26068</v>
      </c>
      <c r="Q4344" s="3" t="n">
        <v>42853.0</v>
      </c>
      <c r="R4344" s="3" t="n">
        <v>44663.0</v>
      </c>
      <c r="S4344" s="3" t="n">
        <v>44666.236055925925</v>
      </c>
      <c r="T4344" s="3" t="n">
        <v>44672.30653686343</v>
      </c>
      <c r="U4344" t="s">
        <v>26406</v>
      </c>
      <c r="V4344" t="s">
        <v>26407</v>
      </c>
    </row>
    <row r="4345">
      <c r="A4345" t="s">
        <v>23557</v>
      </c>
      <c r="B4345" t="s">
        <v>26408</v>
      </c>
      <c r="C4345" t="s">
        <v>24</v>
      </c>
      <c r="D4345" t="s">
        <v>34</v>
      </c>
      <c r="E4345" t="s">
        <v>23683</v>
      </c>
      <c r="F4345" s="2" t="n">
        <f>HYPERLINK("https://patents.google.com/patent/US11299728","Google")</f>
        <v>0.0</v>
      </c>
      <c r="G4345" s="2" t="n">
        <f>HYPERLINK("https://patentcenter.uspto.gov/applications/16898865","Patent Center")</f>
        <v>0.0</v>
      </c>
      <c r="H4345" s="2" t="n">
        <f>HYPERLINK("https://worldwide.espacenet.com/patent/search?q=US11299728","Espacenet")</f>
        <v>0.0</v>
      </c>
      <c r="I4345" s="2" t="n">
        <f>HYPERLINK("https://ppubs.uspto.gov/pubwebapp/external.html?q=11299728.pn.","USPTO")</f>
        <v>0.0</v>
      </c>
      <c r="J4345" s="2" t="n">
        <f>HYPERLINK("https://image-ppubs.uspto.gov/dirsearch-public/print/downloadPdf/11299728","USPTO PDF")</f>
        <v>0.0</v>
      </c>
      <c r="K4345" s="2" t="n">
        <f>HYPERLINK("https://sectors.patentforecast.com/pmd/US11299728","PMD")</f>
        <v>0.0</v>
      </c>
      <c r="L4345" s="2" t="n">
        <f>HYPERLINK("https://globaldossier.uspto.gov/result/patent/US/11299728/1","US11299728")</f>
        <v>0.0</v>
      </c>
      <c r="M4345" t="s">
        <v>16090</v>
      </c>
      <c r="N4345" t="s">
        <v>4728</v>
      </c>
      <c r="O4345" t="s">
        <v>4729</v>
      </c>
      <c r="P4345" t="s">
        <v>26409</v>
      </c>
      <c r="Q4345" s="3" t="n">
        <v>43993.0</v>
      </c>
      <c r="R4345" s="3" t="n">
        <v>44663.0</v>
      </c>
      <c r="S4345" s="3" t="n">
        <v>44666.23397232639</v>
      </c>
      <c r="T4345" s="3" t="n">
        <v>44672.318566354166</v>
      </c>
      <c r="U4345" t="s">
        <v>26410</v>
      </c>
      <c r="V4345" t="s">
        <v>18591</v>
      </c>
    </row>
    <row r="4346">
      <c r="A4346" t="s">
        <v>23557</v>
      </c>
      <c r="B4346" t="s">
        <v>26411</v>
      </c>
      <c r="C4346" t="s">
        <v>24</v>
      </c>
      <c r="D4346" t="s">
        <v>69</v>
      </c>
      <c r="E4346" t="s">
        <v>26412</v>
      </c>
      <c r="F4346" s="2" t="n">
        <f>HYPERLINK("https://patents.google.com/patent/US11298495","Google")</f>
        <v>0.0</v>
      </c>
      <c r="G4346" s="2" t="n">
        <f>HYPERLINK("https://patentcenter.uspto.gov/applications/17468967","Patent Center")</f>
        <v>0.0</v>
      </c>
      <c r="H4346" s="2" t="n">
        <f>HYPERLINK("https://worldwide.espacenet.com/patent/search?q=US11298495","Espacenet")</f>
        <v>0.0</v>
      </c>
      <c r="I4346" s="2" t="n">
        <f>HYPERLINK("https://ppubs.uspto.gov/pubwebapp/external.html?q=11298495.pn.","USPTO")</f>
        <v>0.0</v>
      </c>
      <c r="J4346" s="2" t="n">
        <f>HYPERLINK("https://image-ppubs.uspto.gov/dirsearch-public/print/downloadPdf/11298495","USPTO PDF")</f>
        <v>0.0</v>
      </c>
      <c r="K4346" s="2" t="n">
        <f>HYPERLINK("https://sectors.patentforecast.com/pmd/US11298495","PMD")</f>
        <v>0.0</v>
      </c>
      <c r="L4346" s="2" t="n">
        <f>HYPERLINK("https://globaldossier.uspto.gov/result/patent/US/11298495/1","US11298495")</f>
        <v>0.0</v>
      </c>
      <c r="M4346" t="s">
        <v>3906</v>
      </c>
      <c r="N4346" t="s">
        <v>3907</v>
      </c>
      <c r="O4346" t="s">
        <v>3907</v>
      </c>
      <c r="P4346" t="s">
        <v>26413</v>
      </c>
      <c r="Q4346" s="3" t="n">
        <v>44447.0</v>
      </c>
      <c r="R4346" s="3" t="n">
        <v>44663.0</v>
      </c>
      <c r="S4346" s="3" t="n">
        <v>44671.230069861114</v>
      </c>
      <c r="T4346" s="3" t="n">
        <v>44719.60415796296</v>
      </c>
      <c r="U4346" t="s">
        <v>26414</v>
      </c>
      <c r="V4346" t="s">
        <v>26415</v>
      </c>
    </row>
    <row r="4347">
      <c r="A4347" t="s">
        <v>23557</v>
      </c>
      <c r="B4347" t="s">
        <v>26416</v>
      </c>
      <c r="C4347" t="s">
        <v>132</v>
      </c>
      <c r="D4347" t="s">
        <v>133</v>
      </c>
      <c r="E4347" t="s">
        <v>26417</v>
      </c>
      <c r="F4347" s="2" t="n">
        <f>HYPERLINK("https://patents.google.com/patent/US11298417","Google")</f>
        <v>0.0</v>
      </c>
      <c r="G4347" s="2" t="n">
        <f>HYPERLINK("https://patentcenter.uspto.gov/applications/17143740","Patent Center")</f>
        <v>0.0</v>
      </c>
      <c r="H4347" s="2" t="n">
        <f>HYPERLINK("https://worldwide.espacenet.com/patent/search?q=US11298417","Espacenet")</f>
        <v>0.0</v>
      </c>
      <c r="I4347" s="2" t="n">
        <f>HYPERLINK("https://ppubs.uspto.gov/pubwebapp/external.html?q=11298417.pn.","USPTO")</f>
        <v>0.0</v>
      </c>
      <c r="J4347" s="2" t="n">
        <f>HYPERLINK("https://image-ppubs.uspto.gov/dirsearch-public/print/downloadPdf/11298417","USPTO PDF")</f>
        <v>0.0</v>
      </c>
      <c r="K4347" s="2" t="n">
        <f>HYPERLINK("https://sectors.patentforecast.com/pmd/US11298417","PMD")</f>
        <v>0.0</v>
      </c>
      <c r="L4347" s="2" t="n">
        <f>HYPERLINK("https://globaldossier.uspto.gov/result/patent/US/11298417/1","US11298417")</f>
        <v>0.0</v>
      </c>
      <c r="M4347" t="s">
        <v>8818</v>
      </c>
      <c r="N4347" t="s">
        <v>6418</v>
      </c>
      <c r="O4347" t="s">
        <v>6418</v>
      </c>
      <c r="P4347" t="s">
        <v>26418</v>
      </c>
      <c r="Q4347" s="3" t="n">
        <v>44203.0</v>
      </c>
      <c r="R4347" s="3" t="n">
        <v>44663.0</v>
      </c>
      <c r="S4347" s="3" t="n">
        <v>44666.23004243056</v>
      </c>
      <c r="T4347" s="3" t="n">
        <v>44672.33371309028</v>
      </c>
      <c r="U4347" t="s">
        <v>26419</v>
      </c>
      <c r="V4347" t="s">
        <v>26420</v>
      </c>
    </row>
    <row r="4348">
      <c r="A4348" t="s">
        <v>23557</v>
      </c>
      <c r="B4348" t="s">
        <v>26421</v>
      </c>
      <c r="C4348" t="s">
        <v>60</v>
      </c>
      <c r="D4348" t="s">
        <v>61</v>
      </c>
      <c r="E4348" t="s">
        <v>26422</v>
      </c>
      <c r="F4348" s="2" t="n">
        <f>HYPERLINK("https://patents.google.com/patent/US11298412","Google")</f>
        <v>0.0</v>
      </c>
      <c r="G4348" s="2" t="n">
        <f>HYPERLINK("https://patentcenter.uspto.gov/applications/17030524","Patent Center")</f>
        <v>0.0</v>
      </c>
      <c r="H4348" s="2" t="n">
        <f>HYPERLINK("https://worldwide.espacenet.com/patent/search?q=US11298412","Espacenet")</f>
        <v>0.0</v>
      </c>
      <c r="I4348" s="2" t="n">
        <f>HYPERLINK("https://ppubs.uspto.gov/pubwebapp/external.html?q=11298412.pn.","USPTO")</f>
        <v>0.0</v>
      </c>
      <c r="J4348" s="2" t="n">
        <f>HYPERLINK("https://image-ppubs.uspto.gov/dirsearch-public/print/downloadPdf/11298412","USPTO PDF")</f>
        <v>0.0</v>
      </c>
      <c r="K4348" s="2" t="n">
        <f>HYPERLINK("https://sectors.patentforecast.com/pmd/US11298412","PMD")</f>
        <v>0.0</v>
      </c>
      <c r="L4348" s="2" t="n">
        <f>HYPERLINK("https://globaldossier.uspto.gov/result/patent/US/11298412/1","US11298412")</f>
        <v>0.0</v>
      </c>
      <c r="M4348" t="s">
        <v>7688</v>
      </c>
      <c r="N4348" t="s">
        <v>7689</v>
      </c>
      <c r="O4348" t="s">
        <v>7690</v>
      </c>
      <c r="P4348" t="s">
        <v>26423</v>
      </c>
      <c r="Q4348" s="3" t="n">
        <v>44098.0</v>
      </c>
      <c r="R4348" s="3" t="n">
        <v>44663.0</v>
      </c>
      <c r="S4348" s="3" t="n">
        <v>44666.23004243056</v>
      </c>
      <c r="T4348" s="3" t="n">
        <v>44672.32723069444</v>
      </c>
      <c r="U4348" t="s">
        <v>26424</v>
      </c>
      <c r="V4348" t="s">
        <v>26425</v>
      </c>
    </row>
    <row r="4349">
      <c r="A4349" t="s">
        <v>23557</v>
      </c>
      <c r="B4349" t="s">
        <v>26426</v>
      </c>
      <c r="C4349" t="s">
        <v>60</v>
      </c>
      <c r="D4349" t="s">
        <v>61</v>
      </c>
      <c r="E4349" t="s">
        <v>26427</v>
      </c>
      <c r="F4349" s="2" t="n">
        <f>HYPERLINK("https://patents.google.com/patent/US11298379","Google")</f>
        <v>0.0</v>
      </c>
      <c r="G4349" s="2" t="n">
        <f>HYPERLINK("https://patentcenter.uspto.gov/applications/16898804","Patent Center")</f>
        <v>0.0</v>
      </c>
      <c r="H4349" s="2" t="n">
        <f>HYPERLINK("https://worldwide.espacenet.com/patent/search?q=US11298379","Espacenet")</f>
        <v>0.0</v>
      </c>
      <c r="I4349" s="2" t="n">
        <f>HYPERLINK("https://ppubs.uspto.gov/pubwebapp/external.html?q=11298379.pn.","USPTO")</f>
        <v>0.0</v>
      </c>
      <c r="J4349" s="2" t="n">
        <f>HYPERLINK("https://image-ppubs.uspto.gov/dirsearch-public/print/downloadPdf/11298379","USPTO PDF")</f>
        <v>0.0</v>
      </c>
      <c r="K4349" s="2" t="n">
        <f>HYPERLINK("https://sectors.patentforecast.com/pmd/US11298379","PMD")</f>
        <v>0.0</v>
      </c>
      <c r="L4349" s="2" t="n">
        <f>HYPERLINK("https://globaldossier.uspto.gov/result/patent/US/11298379/1","US11298379")</f>
        <v>0.0</v>
      </c>
      <c r="M4349" t="s">
        <v>12191</v>
      </c>
      <c r="N4349" t="s">
        <v>12192</v>
      </c>
      <c r="O4349" t="s">
        <v>12193</v>
      </c>
      <c r="P4349" t="s">
        <v>26428</v>
      </c>
      <c r="Q4349" s="3" t="n">
        <v>43993.0</v>
      </c>
      <c r="R4349" s="3" t="n">
        <v>44663.0</v>
      </c>
      <c r="S4349" s="3" t="n">
        <v>44666.23004243056</v>
      </c>
      <c r="T4349" s="3" t="n">
        <v>44672.31832375</v>
      </c>
      <c r="U4349" t="s">
        <v>26429</v>
      </c>
      <c r="V4349" t="s">
        <v>26430</v>
      </c>
    </row>
    <row r="4350">
      <c r="A4350" t="s">
        <v>23557</v>
      </c>
      <c r="B4350" t="s">
        <v>26431</v>
      </c>
      <c r="C4350" t="s">
        <v>24</v>
      </c>
      <c r="D4350" t="s">
        <v>69</v>
      </c>
      <c r="E4350" t="s">
        <v>26077</v>
      </c>
      <c r="F4350" s="2" t="n">
        <f>HYPERLINK("https://patents.google.com/patent/US11297887","Google")</f>
        <v>0.0</v>
      </c>
      <c r="G4350" s="2" t="n">
        <f>HYPERLINK("https://patentcenter.uspto.gov/applications/17363909","Patent Center")</f>
        <v>0.0</v>
      </c>
      <c r="H4350" s="2" t="n">
        <f>HYPERLINK("https://worldwide.espacenet.com/patent/search?q=US11297887","Espacenet")</f>
        <v>0.0</v>
      </c>
      <c r="I4350" s="2" t="n">
        <f>HYPERLINK("https://ppubs.uspto.gov/pubwebapp/external.html?q=11297887.pn.","USPTO")</f>
        <v>0.0</v>
      </c>
      <c r="J4350" s="2" t="n">
        <f>HYPERLINK("https://image-ppubs.uspto.gov/dirsearch-public/print/downloadPdf/11297887","USPTO PDF")</f>
        <v>0.0</v>
      </c>
      <c r="K4350" s="2" t="n">
        <f>HYPERLINK("https://sectors.patentforecast.com/pmd/US11297887","PMD")</f>
        <v>0.0</v>
      </c>
      <c r="L4350" s="2" t="n">
        <f>HYPERLINK("https://globaldossier.uspto.gov/result/patent/US/11297887/1","US11297887")</f>
        <v>0.0</v>
      </c>
      <c r="M4350" t="s">
        <v>26432</v>
      </c>
      <c r="N4350" t="s">
        <v>26433</v>
      </c>
      <c r="O4350" t="s">
        <v>26434</v>
      </c>
      <c r="P4350" t="s">
        <v>26435</v>
      </c>
      <c r="Q4350" s="3" t="n">
        <v>44377.0</v>
      </c>
      <c r="R4350" s="3" t="n">
        <v>44663.0</v>
      </c>
      <c r="S4350" s="3" t="n">
        <v>44671.230069861114</v>
      </c>
      <c r="T4350" s="3" t="n">
        <v>44672.4548371875</v>
      </c>
      <c r="U4350" t="s">
        <v>26436</v>
      </c>
      <c r="V4350" t="s">
        <v>26437</v>
      </c>
    </row>
    <row r="4351">
      <c r="A4351" t="s">
        <v>23557</v>
      </c>
      <c r="B4351" t="s">
        <v>26438</v>
      </c>
      <c r="C4351" t="s">
        <v>24</v>
      </c>
      <c r="D4351" t="s">
        <v>25</v>
      </c>
      <c r="E4351" t="s">
        <v>26439</v>
      </c>
      <c r="F4351" s="2" t="n">
        <f>HYPERLINK("https://patents.google.com/patent/US11296971","Google")</f>
        <v>0.0</v>
      </c>
      <c r="G4351" s="2" t="n">
        <f>HYPERLINK("https://patentcenter.uspto.gov/applications/17378643","Patent Center")</f>
        <v>0.0</v>
      </c>
      <c r="H4351" s="2" t="n">
        <f>HYPERLINK("https://worldwide.espacenet.com/patent/search?q=US11296971","Espacenet")</f>
        <v>0.0</v>
      </c>
      <c r="I4351" s="2" t="n">
        <f>HYPERLINK("https://ppubs.uspto.gov/pubwebapp/external.html?q=11296971.pn.","USPTO")</f>
        <v>0.0</v>
      </c>
      <c r="J4351" s="2" t="n">
        <f>HYPERLINK("https://image-ppubs.uspto.gov/dirsearch-public/print/downloadPdf/11296971","USPTO PDF")</f>
        <v>0.0</v>
      </c>
      <c r="K4351" s="2" t="n">
        <f>HYPERLINK("https://sectors.patentforecast.com/pmd/US11296971","PMD")</f>
        <v>0.0</v>
      </c>
      <c r="L4351" s="2" t="n">
        <f>HYPERLINK("https://globaldossier.uspto.gov/result/patent/US/11296971/1","US11296971")</f>
        <v>0.0</v>
      </c>
      <c r="M4351" t="s">
        <v>26440</v>
      </c>
      <c r="N4351" t="s">
        <v>26125</v>
      </c>
      <c r="O4351" t="s">
        <v>26126</v>
      </c>
      <c r="P4351" t="s">
        <v>26127</v>
      </c>
      <c r="Q4351" s="3" t="n">
        <v>44393.0</v>
      </c>
      <c r="R4351" s="3" t="n">
        <v>44656.0</v>
      </c>
      <c r="S4351" s="3" t="n">
        <v>44666.23004243056</v>
      </c>
      <c r="T4351" s="3" t="n">
        <v>44672.482749675924</v>
      </c>
      <c r="U4351" t="s">
        <v>26441</v>
      </c>
      <c r="V4351" t="s">
        <v>26442</v>
      </c>
    </row>
    <row r="4352">
      <c r="A4352" t="s">
        <v>23557</v>
      </c>
      <c r="B4352" t="s">
        <v>26443</v>
      </c>
      <c r="C4352" t="s">
        <v>24</v>
      </c>
      <c r="D4352" t="s">
        <v>3193</v>
      </c>
      <c r="E4352" t="s">
        <v>26444</v>
      </c>
      <c r="F4352" s="2" t="n">
        <f>HYPERLINK("https://patents.google.com/patent/US11295862","Google")</f>
        <v>0.0</v>
      </c>
      <c r="G4352" s="2" t="n">
        <f>HYPERLINK("https://patentcenter.uspto.gov/applications/16904508","Patent Center")</f>
        <v>0.0</v>
      </c>
      <c r="H4352" s="2" t="n">
        <f>HYPERLINK("https://worldwide.espacenet.com/patent/search?q=US11295862","Espacenet")</f>
        <v>0.0</v>
      </c>
      <c r="I4352" s="2" t="n">
        <f>HYPERLINK("https://ppubs.uspto.gov/pubwebapp/external.html?q=11295862.pn.","USPTO")</f>
        <v>0.0</v>
      </c>
      <c r="J4352" s="2" t="n">
        <f>HYPERLINK("https://image-ppubs.uspto.gov/dirsearch-public/print/downloadPdf/11295862","USPTO PDF")</f>
        <v>0.0</v>
      </c>
      <c r="K4352" s="2" t="n">
        <f>HYPERLINK("https://sectors.patentforecast.com/pmd/US11295862","PMD")</f>
        <v>0.0</v>
      </c>
      <c r="L4352" s="2" t="n">
        <f>HYPERLINK("https://globaldossier.uspto.gov/result/patent/US/11295862/1","US11295862")</f>
        <v>0.0</v>
      </c>
      <c r="M4352" t="s">
        <v>16340</v>
      </c>
      <c r="N4352" t="s">
        <v>16341</v>
      </c>
      <c r="O4352" t="s">
        <v>16342</v>
      </c>
      <c r="P4352" t="s">
        <v>26445</v>
      </c>
      <c r="Q4352" s="3" t="n">
        <v>43999.0</v>
      </c>
      <c r="R4352" s="3" t="n">
        <v>44656.0</v>
      </c>
      <c r="S4352" s="3" t="n">
        <v>44666.23455591435</v>
      </c>
      <c r="T4352" s="3" t="n">
        <v>44672.3208578125</v>
      </c>
      <c r="U4352" t="s">
        <v>26446</v>
      </c>
      <c r="V4352" t="s">
        <v>26447</v>
      </c>
    </row>
    <row r="4353">
      <c r="A4353" t="s">
        <v>23557</v>
      </c>
      <c r="B4353" t="s">
        <v>26448</v>
      </c>
      <c r="C4353" t="s">
        <v>24</v>
      </c>
      <c r="D4353" t="s">
        <v>204</v>
      </c>
      <c r="E4353" t="s">
        <v>26449</v>
      </c>
      <c r="F4353" s="2" t="n">
        <f>HYPERLINK("https://patents.google.com/patent/US11295398","Google")</f>
        <v>0.0</v>
      </c>
      <c r="G4353" s="2" t="n">
        <f>HYPERLINK("https://patentcenter.uspto.gov/applications/17225043","Patent Center")</f>
        <v>0.0</v>
      </c>
      <c r="H4353" s="2" t="n">
        <f>HYPERLINK("https://worldwide.espacenet.com/patent/search?q=US11295398","Espacenet")</f>
        <v>0.0</v>
      </c>
      <c r="I4353" s="2" t="n">
        <f>HYPERLINK("https://ppubs.uspto.gov/pubwebapp/external.html?q=11295398.pn.","USPTO")</f>
        <v>0.0</v>
      </c>
      <c r="J4353" s="2" t="n">
        <f>HYPERLINK("https://image-ppubs.uspto.gov/dirsearch-public/print/downloadPdf/11295398","USPTO PDF")</f>
        <v>0.0</v>
      </c>
      <c r="K4353" s="2" t="n">
        <f>HYPERLINK("https://sectors.patentforecast.com/pmd/US11295398","PMD")</f>
        <v>0.0</v>
      </c>
      <c r="L4353" s="2" t="n">
        <f>HYPERLINK("https://globaldossier.uspto.gov/result/patent/US/11295398/1","US11295398")</f>
        <v>0.0</v>
      </c>
      <c r="M4353" t="s">
        <v>26450</v>
      </c>
      <c r="N4353" t="s">
        <v>26451</v>
      </c>
      <c r="O4353" t="s">
        <v>26452</v>
      </c>
      <c r="P4353" t="s">
        <v>26453</v>
      </c>
      <c r="Q4353" s="3" t="n">
        <v>44293.0</v>
      </c>
      <c r="R4353" s="3" t="n">
        <v>44656.0</v>
      </c>
      <c r="S4353" s="3" t="n">
        <v>44657.230089386576</v>
      </c>
      <c r="T4353" s="3" t="n">
        <v>44719.60421077546</v>
      </c>
      <c r="U4353" t="s">
        <v>26454</v>
      </c>
      <c r="V4353" t="s">
        <v>26455</v>
      </c>
    </row>
    <row r="4354">
      <c r="A4354" t="s">
        <v>23557</v>
      </c>
      <c r="B4354" t="s">
        <v>26456</v>
      </c>
      <c r="C4354" t="s">
        <v>24</v>
      </c>
      <c r="D4354" t="s">
        <v>69</v>
      </c>
      <c r="E4354" t="s">
        <v>26457</v>
      </c>
      <c r="F4354" s="2" t="n">
        <f>HYPERLINK("https://patents.google.com/patent/US11295120","Google")</f>
        <v>0.0</v>
      </c>
      <c r="G4354" s="2" t="n">
        <f>HYPERLINK("https://patentcenter.uspto.gov/applications/16867651","Patent Center")</f>
        <v>0.0</v>
      </c>
      <c r="H4354" s="2" t="n">
        <f>HYPERLINK("https://worldwide.espacenet.com/patent/search?q=US11295120","Espacenet")</f>
        <v>0.0</v>
      </c>
      <c r="I4354" s="2" t="n">
        <f>HYPERLINK("https://ppubs.uspto.gov/pubwebapp/external.html?q=11295120.pn.","USPTO")</f>
        <v>0.0</v>
      </c>
      <c r="J4354" s="2" t="n">
        <f>HYPERLINK("https://image-ppubs.uspto.gov/dirsearch-public/print/downloadPdf/11295120","USPTO PDF")</f>
        <v>0.0</v>
      </c>
      <c r="K4354" s="2" t="n">
        <f>HYPERLINK("https://sectors.patentforecast.com/pmd/US11295120","PMD")</f>
        <v>0.0</v>
      </c>
      <c r="L4354" s="2" t="n">
        <f>HYPERLINK("https://globaldossier.uspto.gov/result/patent/US/11295120/1","US11295120")</f>
        <v>0.0</v>
      </c>
      <c r="M4354" t="s">
        <v>10348</v>
      </c>
      <c r="N4354" t="s">
        <v>1384</v>
      </c>
      <c r="O4354" t="s">
        <v>1385</v>
      </c>
      <c r="P4354" t="s">
        <v>26458</v>
      </c>
      <c r="Q4354" s="3" t="n">
        <v>43957.0</v>
      </c>
      <c r="R4354" s="3" t="n">
        <v>44656.0</v>
      </c>
      <c r="S4354" s="3" t="n">
        <v>44657.230089386576</v>
      </c>
      <c r="T4354" s="3" t="n">
        <v>44672.316621956015</v>
      </c>
      <c r="U4354" t="s">
        <v>26459</v>
      </c>
      <c r="V4354" t="s">
        <v>26460</v>
      </c>
    </row>
    <row r="4355">
      <c r="A4355" t="s">
        <v>23557</v>
      </c>
      <c r="B4355" t="s">
        <v>26461</v>
      </c>
      <c r="C4355" t="s">
        <v>60</v>
      </c>
      <c r="D4355" t="s">
        <v>61</v>
      </c>
      <c r="E4355" t="s">
        <v>26462</v>
      </c>
      <c r="F4355" s="2" t="n">
        <f>HYPERLINK("https://patents.google.com/patent/US11292789","Google")</f>
        <v>0.0</v>
      </c>
      <c r="G4355" s="2" t="n">
        <f>HYPERLINK("https://patentcenter.uspto.gov/applications/17106799","Patent Center")</f>
        <v>0.0</v>
      </c>
      <c r="H4355" s="2" t="n">
        <f>HYPERLINK("https://worldwide.espacenet.com/patent/search?q=US11292789","Espacenet")</f>
        <v>0.0</v>
      </c>
      <c r="I4355" s="2" t="n">
        <f>HYPERLINK("https://ppubs.uspto.gov/pubwebapp/external.html?q=11292789.pn.","USPTO")</f>
        <v>0.0</v>
      </c>
      <c r="J4355" s="2" t="n">
        <f>HYPERLINK("https://image-ppubs.uspto.gov/dirsearch-public/print/downloadPdf/11292789","USPTO PDF")</f>
        <v>0.0</v>
      </c>
      <c r="K4355" s="2" t="n">
        <f>HYPERLINK("https://sectors.patentforecast.com/pmd/US11292789","PMD")</f>
        <v>0.0</v>
      </c>
      <c r="L4355" s="2" t="n">
        <f>HYPERLINK("https://globaldossier.uspto.gov/result/patent/US/11292789/1","US11292789")</f>
        <v>0.0</v>
      </c>
      <c r="M4355" t="s">
        <v>2171</v>
      </c>
      <c r="N4355" t="s">
        <v>2172</v>
      </c>
      <c r="O4355" t="s">
        <v>2173</v>
      </c>
      <c r="P4355" t="s">
        <v>26463</v>
      </c>
      <c r="Q4355" s="3" t="n">
        <v>44165.0</v>
      </c>
      <c r="R4355" s="3" t="n">
        <v>44656.0</v>
      </c>
      <c r="S4355" s="3" t="n">
        <v>44666.23004243056</v>
      </c>
      <c r="T4355" s="3" t="n">
        <v>44672.38930650463</v>
      </c>
      <c r="U4355" t="s">
        <v>26464</v>
      </c>
      <c r="V4355" t="s">
        <v>26465</v>
      </c>
    </row>
    <row r="4356">
      <c r="A4356" t="s">
        <v>23557</v>
      </c>
      <c r="B4356" t="s">
        <v>26466</v>
      </c>
      <c r="C4356" t="s">
        <v>24</v>
      </c>
      <c r="D4356" t="s">
        <v>100</v>
      </c>
      <c r="E4356" t="s">
        <v>26467</v>
      </c>
      <c r="F4356" s="2" t="n">
        <f>HYPERLINK("https://patents.google.com/patent/US11291939","Google")</f>
        <v>0.0</v>
      </c>
      <c r="G4356" s="2" t="n">
        <f>HYPERLINK("https://patentcenter.uspto.gov/applications/17471610","Patent Center")</f>
        <v>0.0</v>
      </c>
      <c r="H4356" s="2" t="n">
        <f>HYPERLINK("https://worldwide.espacenet.com/patent/search?q=US11291939","Espacenet")</f>
        <v>0.0</v>
      </c>
      <c r="I4356" s="2" t="n">
        <f>HYPERLINK("https://ppubs.uspto.gov/pubwebapp/external.html?q=11291939.pn.","USPTO")</f>
        <v>0.0</v>
      </c>
      <c r="J4356" s="2" t="n">
        <f>HYPERLINK("https://image-ppubs.uspto.gov/dirsearch-public/print/downloadPdf/11291939","USPTO PDF")</f>
        <v>0.0</v>
      </c>
      <c r="K4356" s="2" t="n">
        <f>HYPERLINK("https://sectors.patentforecast.com/pmd/US11291939","PMD")</f>
        <v>0.0</v>
      </c>
      <c r="L4356" s="2" t="n">
        <f>HYPERLINK("https://globaldossier.uspto.gov/result/patent/US/11291939/1","US11291939")</f>
        <v>0.0</v>
      </c>
      <c r="M4356" t="s">
        <v>26468</v>
      </c>
      <c r="N4356" t="s">
        <v>26469</v>
      </c>
      <c r="O4356" t="s">
        <v>26470</v>
      </c>
      <c r="P4356" t="s">
        <v>26471</v>
      </c>
      <c r="Q4356" s="3" t="n">
        <v>44449.0</v>
      </c>
      <c r="R4356" s="3" t="n">
        <v>44656.0</v>
      </c>
      <c r="S4356" s="3" t="n">
        <v>44666.23004243056</v>
      </c>
      <c r="T4356" s="3" t="n">
        <v>44719.60429265046</v>
      </c>
      <c r="U4356" t="s">
        <v>26472</v>
      </c>
      <c r="V4356" t="s">
        <v>26473</v>
      </c>
    </row>
    <row r="4357">
      <c r="A4357" t="s">
        <v>23557</v>
      </c>
      <c r="B4357" t="s">
        <v>26474</v>
      </c>
      <c r="C4357" t="s">
        <v>132</v>
      </c>
      <c r="D4357" t="s">
        <v>142</v>
      </c>
      <c r="E4357" t="s">
        <v>26475</v>
      </c>
      <c r="F4357" s="2" t="n">
        <f>HYPERLINK("https://patents.google.com/patent/US11291836","Google")</f>
        <v>0.0</v>
      </c>
      <c r="G4357" s="2" t="n">
        <f>HYPERLINK("https://patentcenter.uspto.gov/applications/16857963","Patent Center")</f>
        <v>0.0</v>
      </c>
      <c r="H4357" s="2" t="n">
        <f>HYPERLINK("https://worldwide.espacenet.com/patent/search?q=US11291836","Espacenet")</f>
        <v>0.0</v>
      </c>
      <c r="I4357" s="2" t="n">
        <f>HYPERLINK("https://ppubs.uspto.gov/pubwebapp/external.html?q=11291836.pn.","USPTO")</f>
        <v>0.0</v>
      </c>
      <c r="J4357" s="2" t="n">
        <f>HYPERLINK("https://image-ppubs.uspto.gov/dirsearch-public/print/downloadPdf/11291836","USPTO PDF")</f>
        <v>0.0</v>
      </c>
      <c r="K4357" s="2" t="n">
        <f>HYPERLINK("https://sectors.patentforecast.com/pmd/US11291836","PMD")</f>
        <v>0.0</v>
      </c>
      <c r="L4357" s="2" t="n">
        <f>HYPERLINK("https://globaldossier.uspto.gov/result/patent/US/11291836/1","US11291836")</f>
        <v>0.0</v>
      </c>
      <c r="M4357" t="s">
        <v>16566</v>
      </c>
      <c r="N4357" t="s">
        <v>10151</v>
      </c>
      <c r="O4357" t="s">
        <v>10152</v>
      </c>
      <c r="P4357" t="s">
        <v>26476</v>
      </c>
      <c r="Q4357" s="3" t="n">
        <v>43945.0</v>
      </c>
      <c r="R4357" s="3" t="n">
        <v>44656.0</v>
      </c>
      <c r="S4357" s="3" t="n">
        <v>44657.23194131944</v>
      </c>
      <c r="T4357" s="3" t="n">
        <v>44672.31512517361</v>
      </c>
      <c r="U4357" t="s">
        <v>26477</v>
      </c>
      <c r="V4357" t="s">
        <v>26478</v>
      </c>
    </row>
    <row r="4358">
      <c r="A4358" t="s">
        <v>23557</v>
      </c>
      <c r="B4358" t="s">
        <v>26479</v>
      </c>
      <c r="C4358" t="s">
        <v>132</v>
      </c>
      <c r="D4358" t="s">
        <v>142</v>
      </c>
      <c r="E4358" t="s">
        <v>26480</v>
      </c>
      <c r="F4358" s="2" t="n">
        <f>HYPERLINK("https://patents.google.com/patent/US11291717","Google")</f>
        <v>0.0</v>
      </c>
      <c r="G4358" s="2" t="n">
        <f>HYPERLINK("https://patentcenter.uspto.gov/applications/17516161","Patent Center")</f>
        <v>0.0</v>
      </c>
      <c r="H4358" s="2" t="n">
        <f>HYPERLINK("https://worldwide.espacenet.com/patent/search?q=US11291717","Espacenet")</f>
        <v>0.0</v>
      </c>
      <c r="I4358" s="2" t="n">
        <f>HYPERLINK("https://ppubs.uspto.gov/pubwebapp/external.html?q=11291717.pn.","USPTO")</f>
        <v>0.0</v>
      </c>
      <c r="J4358" s="2" t="n">
        <f>HYPERLINK("https://image-ppubs.uspto.gov/dirsearch-public/print/downloadPdf/11291717","USPTO PDF")</f>
        <v>0.0</v>
      </c>
      <c r="K4358" s="2" t="n">
        <f>HYPERLINK("https://sectors.patentforecast.com/pmd/US11291717","PMD")</f>
        <v>0.0</v>
      </c>
      <c r="L4358" s="2" t="n">
        <f>HYPERLINK("https://globaldossier.uspto.gov/result/patent/US/11291717/1","US11291717")</f>
        <v>0.0</v>
      </c>
      <c r="M4358" t="s">
        <v>26481</v>
      </c>
      <c r="N4358" t="s">
        <v>26482</v>
      </c>
      <c r="O4358" t="s">
        <v>26483</v>
      </c>
      <c r="P4358" t="s">
        <v>26484</v>
      </c>
      <c r="Q4358" s="3" t="n">
        <v>44501.0</v>
      </c>
      <c r="R4358" s="3" t="n">
        <v>44656.0</v>
      </c>
      <c r="S4358" s="3" t="n">
        <v>44666.23004243056</v>
      </c>
      <c r="T4358" s="3" t="n">
        <v>44672.4087947338</v>
      </c>
      <c r="U4358" t="s">
        <v>26485</v>
      </c>
      <c r="V4358" t="s">
        <v>26486</v>
      </c>
    </row>
    <row r="4359">
      <c r="A4359" t="s">
        <v>23557</v>
      </c>
      <c r="B4359" t="s">
        <v>26487</v>
      </c>
      <c r="C4359" t="s">
        <v>24</v>
      </c>
      <c r="D4359" t="s">
        <v>25</v>
      </c>
      <c r="E4359" t="s">
        <v>7716</v>
      </c>
      <c r="F4359" s="2" t="n">
        <f>HYPERLINK("https://patents.google.com/patent/US11291408","Google")</f>
        <v>0.0</v>
      </c>
      <c r="G4359" s="2" t="n">
        <f>HYPERLINK("https://patentcenter.uspto.gov/applications/17381058","Patent Center")</f>
        <v>0.0</v>
      </c>
      <c r="H4359" s="2" t="n">
        <f>HYPERLINK("https://worldwide.espacenet.com/patent/search?q=US11291408","Espacenet")</f>
        <v>0.0</v>
      </c>
      <c r="I4359" s="2" t="n">
        <f>HYPERLINK("https://ppubs.uspto.gov/pubwebapp/external.html?q=11291408.pn.","USPTO")</f>
        <v>0.0</v>
      </c>
      <c r="J4359" s="2" t="n">
        <f>HYPERLINK("https://image-ppubs.uspto.gov/dirsearch-public/print/downloadPdf/11291408","USPTO PDF")</f>
        <v>0.0</v>
      </c>
      <c r="K4359" s="2" t="n">
        <f>HYPERLINK("https://sectors.patentforecast.com/pmd/US11291408","PMD")</f>
        <v>0.0</v>
      </c>
      <c r="L4359" s="2" t="n">
        <f>HYPERLINK("https://globaldossier.uspto.gov/result/patent/US/11291408/1","US11291408")</f>
        <v>0.0</v>
      </c>
      <c r="M4359" t="s">
        <v>7717</v>
      </c>
      <c r="N4359" t="s">
        <v>7718</v>
      </c>
      <c r="O4359" t="s">
        <v>7719</v>
      </c>
      <c r="P4359" t="s">
        <v>26488</v>
      </c>
      <c r="Q4359" s="3" t="n">
        <v>44397.0</v>
      </c>
      <c r="R4359" s="3" t="n">
        <v>44656.0</v>
      </c>
      <c r="S4359" s="3" t="n">
        <v>44657.230089386576</v>
      </c>
      <c r="T4359" s="3" t="n">
        <v>44658.63616040509</v>
      </c>
      <c r="U4359" t="s">
        <v>26489</v>
      </c>
      <c r="V4359" t="s">
        <v>26490</v>
      </c>
    </row>
    <row r="4360">
      <c r="A4360" t="s">
        <v>23557</v>
      </c>
      <c r="B4360" t="s">
        <v>26491</v>
      </c>
      <c r="C4360" t="s">
        <v>24</v>
      </c>
      <c r="D4360" t="s">
        <v>100</v>
      </c>
      <c r="E4360" t="s">
        <v>26492</v>
      </c>
      <c r="F4360" s="2" t="n">
        <f>HYPERLINK("https://patents.google.com/patent/US11291299","Google")</f>
        <v>0.0</v>
      </c>
      <c r="G4360" s="2" t="n">
        <f>HYPERLINK("https://patentcenter.uspto.gov/applications/17201861","Patent Center")</f>
        <v>0.0</v>
      </c>
      <c r="H4360" s="2" t="n">
        <f>HYPERLINK("https://worldwide.espacenet.com/patent/search?q=US11291299","Espacenet")</f>
        <v>0.0</v>
      </c>
      <c r="I4360" s="2" t="n">
        <f>HYPERLINK("https://ppubs.uspto.gov/pubwebapp/external.html?q=11291299.pn.","USPTO")</f>
        <v>0.0</v>
      </c>
      <c r="J4360" s="2" t="n">
        <f>HYPERLINK("https://image-ppubs.uspto.gov/dirsearch-public/print/downloadPdf/11291299","USPTO PDF")</f>
        <v>0.0</v>
      </c>
      <c r="K4360" s="2" t="n">
        <f>HYPERLINK("https://sectors.patentforecast.com/pmd/US11291299","PMD")</f>
        <v>0.0</v>
      </c>
      <c r="L4360" s="2" t="n">
        <f>HYPERLINK("https://globaldossier.uspto.gov/result/patent/US/11291299/1","US11291299")</f>
        <v>0.0</v>
      </c>
      <c r="M4360" t="s">
        <v>10798</v>
      </c>
      <c r="N4360" t="s">
        <v>10799</v>
      </c>
      <c r="O4360" t="s">
        <v>10799</v>
      </c>
      <c r="P4360" t="s">
        <v>26493</v>
      </c>
      <c r="Q4360" s="3" t="n">
        <v>44270.0</v>
      </c>
      <c r="R4360" s="3" t="n">
        <v>44656.0</v>
      </c>
      <c r="S4360" s="3" t="n">
        <v>44657.230089386576</v>
      </c>
      <c r="T4360" s="3" t="n">
        <v>44672.33546137731</v>
      </c>
      <c r="U4360" t="s">
        <v>26494</v>
      </c>
      <c r="V4360" t="s">
        <v>26495</v>
      </c>
    </row>
    <row r="4361">
      <c r="A4361" t="s">
        <v>23557</v>
      </c>
      <c r="B4361" t="s">
        <v>26496</v>
      </c>
      <c r="C4361" t="s">
        <v>24</v>
      </c>
      <c r="D4361" t="s">
        <v>204</v>
      </c>
      <c r="E4361" t="s">
        <v>26497</v>
      </c>
      <c r="F4361" s="2" t="n">
        <f>HYPERLINK("https://patents.google.com/patent/US11290725","Google")</f>
        <v>0.0</v>
      </c>
      <c r="G4361" s="2" t="n">
        <f>HYPERLINK("https://patentcenter.uspto.gov/applications/17154560","Patent Center")</f>
        <v>0.0</v>
      </c>
      <c r="H4361" s="2" t="n">
        <f>HYPERLINK("https://worldwide.espacenet.com/patent/search?q=US11290725","Espacenet")</f>
        <v>0.0</v>
      </c>
      <c r="I4361" s="2" t="n">
        <f>HYPERLINK("https://ppubs.uspto.gov/pubwebapp/external.html?q=11290725.pn.","USPTO")</f>
        <v>0.0</v>
      </c>
      <c r="J4361" s="2" t="n">
        <f>HYPERLINK("https://image-ppubs.uspto.gov/dirsearch-public/print/downloadPdf/11290725","USPTO PDF")</f>
        <v>0.0</v>
      </c>
      <c r="K4361" s="2" t="n">
        <f>HYPERLINK("https://sectors.patentforecast.com/pmd/US11290725","PMD")</f>
        <v>0.0</v>
      </c>
      <c r="L4361" s="2" t="n">
        <f>HYPERLINK("https://globaldossier.uspto.gov/result/patent/US/11290725/1","US11290725")</f>
        <v>0.0</v>
      </c>
      <c r="M4361" t="s">
        <v>26498</v>
      </c>
      <c r="N4361" t="s">
        <v>26499</v>
      </c>
      <c r="O4361" t="s">
        <v>26500</v>
      </c>
      <c r="P4361" t="s">
        <v>26501</v>
      </c>
      <c r="Q4361" s="3" t="n">
        <v>44217.0</v>
      </c>
      <c r="R4361" s="3" t="n">
        <v>44649.0</v>
      </c>
      <c r="S4361" s="3" t="n">
        <v>44657.230089386576</v>
      </c>
      <c r="T4361" s="3" t="n">
        <v>44719.60436091435</v>
      </c>
      <c r="U4361" t="s">
        <v>26502</v>
      </c>
      <c r="V4361" t="s">
        <v>26503</v>
      </c>
    </row>
    <row r="4362">
      <c r="A4362" t="s">
        <v>23557</v>
      </c>
      <c r="B4362" t="s">
        <v>26504</v>
      </c>
      <c r="C4362" t="s">
        <v>24</v>
      </c>
      <c r="D4362" t="s">
        <v>204</v>
      </c>
      <c r="E4362" t="s">
        <v>26505</v>
      </c>
      <c r="F4362" s="2" t="n">
        <f>HYPERLINK("https://patents.google.com/patent/US11290688","Google")</f>
        <v>0.0</v>
      </c>
      <c r="G4362" s="2" t="n">
        <f>HYPERLINK("https://patentcenter.uspto.gov/applications/17198323","Patent Center")</f>
        <v>0.0</v>
      </c>
      <c r="H4362" s="2" t="n">
        <f>HYPERLINK("https://worldwide.espacenet.com/patent/search?q=US11290688","Espacenet")</f>
        <v>0.0</v>
      </c>
      <c r="I4362" s="2" t="n">
        <f>HYPERLINK("https://ppubs.uspto.gov/pubwebapp/external.html?q=11290688.pn.","USPTO")</f>
        <v>0.0</v>
      </c>
      <c r="J4362" s="2" t="n">
        <f>HYPERLINK("https://image-ppubs.uspto.gov/dirsearch-public/print/downloadPdf/11290688","USPTO PDF")</f>
        <v>0.0</v>
      </c>
      <c r="K4362" s="2" t="n">
        <f>HYPERLINK("https://sectors.patentforecast.com/pmd/US11290688","PMD")</f>
        <v>0.0</v>
      </c>
      <c r="L4362" s="2" t="n">
        <f>HYPERLINK("https://globaldossier.uspto.gov/result/patent/US/11290688/1","US11290688")</f>
        <v>0.0</v>
      </c>
      <c r="M4362" t="s">
        <v>1885</v>
      </c>
      <c r="N4362" t="s">
        <v>1886</v>
      </c>
      <c r="O4362" t="s">
        <v>1887</v>
      </c>
      <c r="P4362" t="s">
        <v>26506</v>
      </c>
      <c r="Q4362" s="3" t="n">
        <v>44266.0</v>
      </c>
      <c r="R4362" s="3" t="n">
        <v>44649.0</v>
      </c>
      <c r="S4362" s="3" t="n">
        <v>44657.230089386576</v>
      </c>
      <c r="T4362" s="3" t="n">
        <v>44719.60446663194</v>
      </c>
      <c r="U4362" t="s">
        <v>26507</v>
      </c>
      <c r="V4362" t="s">
        <v>26508</v>
      </c>
    </row>
    <row r="4363">
      <c r="A4363" t="s">
        <v>23557</v>
      </c>
      <c r="B4363" t="s">
        <v>26509</v>
      </c>
      <c r="C4363" t="s">
        <v>24</v>
      </c>
      <c r="D4363" t="s">
        <v>51</v>
      </c>
      <c r="E4363" t="s">
        <v>26510</v>
      </c>
      <c r="F4363" s="2" t="n">
        <f>HYPERLINK("https://patents.google.com/patent/US11289196","Google")</f>
        <v>0.0</v>
      </c>
      <c r="G4363" s="2" t="n">
        <f>HYPERLINK("https://patentcenter.uspto.gov/applications/17452746","Patent Center")</f>
        <v>0.0</v>
      </c>
      <c r="H4363" s="2" t="n">
        <f>HYPERLINK("https://worldwide.espacenet.com/patent/search?q=US11289196","Espacenet")</f>
        <v>0.0</v>
      </c>
      <c r="I4363" s="2" t="n">
        <f>HYPERLINK("https://ppubs.uspto.gov/pubwebapp/external.html?q=11289196.pn.","USPTO")</f>
        <v>0.0</v>
      </c>
      <c r="J4363" s="2" t="n">
        <f>HYPERLINK("https://image-ppubs.uspto.gov/dirsearch-public/print/downloadPdf/11289196","USPTO PDF")</f>
        <v>0.0</v>
      </c>
      <c r="K4363" s="2" t="n">
        <f>HYPERLINK("https://sectors.patentforecast.com/pmd/US11289196","PMD")</f>
        <v>0.0</v>
      </c>
      <c r="L4363" s="2" t="n">
        <f>HYPERLINK("https://globaldossier.uspto.gov/result/patent/US/11289196/1","US11289196")</f>
        <v>0.0</v>
      </c>
      <c r="M4363" t="s">
        <v>26511</v>
      </c>
      <c r="N4363" t="s">
        <v>26512</v>
      </c>
      <c r="O4363" t="s">
        <v>26513</v>
      </c>
      <c r="P4363" t="s">
        <v>26514</v>
      </c>
      <c r="Q4363" s="3" t="n">
        <v>44497.0</v>
      </c>
      <c r="R4363" s="3" t="n">
        <v>44649.0</v>
      </c>
      <c r="S4363" s="3" t="n">
        <v>44657.230089386576</v>
      </c>
      <c r="T4363" s="3" t="n">
        <v>44672.46265579861</v>
      </c>
      <c r="U4363" t="s">
        <v>26515</v>
      </c>
      <c r="V4363" t="s">
        <v>26516</v>
      </c>
    </row>
    <row r="4364">
      <c r="A4364" t="s">
        <v>23557</v>
      </c>
      <c r="B4364" t="s">
        <v>26517</v>
      </c>
      <c r="C4364" t="s">
        <v>24</v>
      </c>
      <c r="D4364" t="s">
        <v>204</v>
      </c>
      <c r="E4364" t="s">
        <v>26518</v>
      </c>
      <c r="F4364" s="2" t="n">
        <f>HYPERLINK("https://patents.google.com/patent/US11287971","Google")</f>
        <v>0.0</v>
      </c>
      <c r="G4364" s="2" t="n">
        <f>HYPERLINK("https://patentcenter.uspto.gov/applications/17387219","Patent Center")</f>
        <v>0.0</v>
      </c>
      <c r="H4364" s="2" t="n">
        <f>HYPERLINK("https://worldwide.espacenet.com/patent/search?q=US11287971","Espacenet")</f>
        <v>0.0</v>
      </c>
      <c r="I4364" s="2" t="n">
        <f>HYPERLINK("https://ppubs.uspto.gov/pubwebapp/external.html?q=11287971.pn.","USPTO")</f>
        <v>0.0</v>
      </c>
      <c r="J4364" s="2" t="n">
        <f>HYPERLINK("https://image-ppubs.uspto.gov/dirsearch-public/print/downloadPdf/11287971","USPTO PDF")</f>
        <v>0.0</v>
      </c>
      <c r="K4364" s="2" t="n">
        <f>HYPERLINK("https://sectors.patentforecast.com/pmd/US11287971","PMD")</f>
        <v>0.0</v>
      </c>
      <c r="L4364" s="2" t="n">
        <f>HYPERLINK("https://globaldossier.uspto.gov/result/patent/US/11287971/1","US11287971")</f>
        <v>0.0</v>
      </c>
      <c r="M4364" t="s">
        <v>26519</v>
      </c>
      <c r="N4364" t="s">
        <v>6551</v>
      </c>
      <c r="O4364" t="s">
        <v>6552</v>
      </c>
      <c r="P4364" t="s">
        <v>26520</v>
      </c>
      <c r="Q4364" s="3" t="n">
        <v>44405.0</v>
      </c>
      <c r="R4364" s="3" t="n">
        <v>44649.0</v>
      </c>
      <c r="S4364" s="3" t="n">
        <v>44657.230089386576</v>
      </c>
      <c r="T4364" s="3" t="n">
        <v>44719.60451027778</v>
      </c>
      <c r="U4364" t="s">
        <v>26521</v>
      </c>
      <c r="V4364" t="s">
        <v>26522</v>
      </c>
    </row>
    <row r="4365">
      <c r="A4365" t="s">
        <v>23557</v>
      </c>
      <c r="B4365" t="s">
        <v>26523</v>
      </c>
      <c r="C4365" t="s">
        <v>24</v>
      </c>
      <c r="D4365" t="s">
        <v>187</v>
      </c>
      <c r="E4365" t="s">
        <v>26524</v>
      </c>
      <c r="F4365" s="2" t="n">
        <f>HYPERLINK("https://patents.google.com/patent/US11287396","Google")</f>
        <v>0.0</v>
      </c>
      <c r="G4365" s="2" t="n">
        <f>HYPERLINK("https://patentcenter.uspto.gov/applications/16894316","Patent Center")</f>
        <v>0.0</v>
      </c>
      <c r="H4365" s="2" t="n">
        <f>HYPERLINK("https://worldwide.espacenet.com/patent/search?q=US11287396","Espacenet")</f>
        <v>0.0</v>
      </c>
      <c r="I4365" s="2" t="n">
        <f>HYPERLINK("https://ppubs.uspto.gov/pubwebapp/external.html?q=11287396.pn.","USPTO")</f>
        <v>0.0</v>
      </c>
      <c r="J4365" s="2" t="n">
        <f>HYPERLINK("https://image-ppubs.uspto.gov/dirsearch-public/print/downloadPdf/11287396","USPTO PDF")</f>
        <v>0.0</v>
      </c>
      <c r="K4365" s="2" t="n">
        <f>HYPERLINK("https://sectors.patentforecast.com/pmd/US11287396","PMD")</f>
        <v>0.0</v>
      </c>
      <c r="L4365" s="2" t="n">
        <f>HYPERLINK("https://globaldossier.uspto.gov/result/patent/US/11287396/1","US11287396")</f>
        <v>0.0</v>
      </c>
      <c r="M4365" t="s">
        <v>8952</v>
      </c>
      <c r="N4365" t="s">
        <v>190</v>
      </c>
      <c r="O4365" t="s">
        <v>191</v>
      </c>
      <c r="P4365" t="s">
        <v>26525</v>
      </c>
      <c r="Q4365" s="3" t="n">
        <v>43987.0</v>
      </c>
      <c r="R4365" s="3" t="n">
        <v>44649.0</v>
      </c>
      <c r="S4365" s="3" t="n">
        <v>44652.22999814815</v>
      </c>
      <c r="T4365" s="3" t="n">
        <v>44672.31800709491</v>
      </c>
      <c r="U4365" t="s">
        <v>26526</v>
      </c>
      <c r="V4365" t="s">
        <v>26527</v>
      </c>
    </row>
    <row r="4366">
      <c r="A4366" t="s">
        <v>23557</v>
      </c>
      <c r="B4366" t="s">
        <v>26528</v>
      </c>
      <c r="C4366" t="s">
        <v>60</v>
      </c>
      <c r="D4366" t="s">
        <v>61</v>
      </c>
      <c r="E4366" t="s">
        <v>26529</v>
      </c>
      <c r="F4366" s="2" t="n">
        <f>HYPERLINK("https://patents.google.com/patent/US11286260","Google")</f>
        <v>0.0</v>
      </c>
      <c r="G4366" s="2" t="n">
        <f>HYPERLINK("https://patentcenter.uspto.gov/applications/17320874","Patent Center")</f>
        <v>0.0</v>
      </c>
      <c r="H4366" s="2" t="n">
        <f>HYPERLINK("https://worldwide.espacenet.com/patent/search?q=US11286260","Espacenet")</f>
        <v>0.0</v>
      </c>
      <c r="I4366" s="2" t="n">
        <f>HYPERLINK("https://ppubs.uspto.gov/pubwebapp/external.html?q=11286260.pn.","USPTO")</f>
        <v>0.0</v>
      </c>
      <c r="J4366" s="2" t="n">
        <f>HYPERLINK("https://image-ppubs.uspto.gov/dirsearch-public/print/downloadPdf/11286260","USPTO PDF")</f>
        <v>0.0</v>
      </c>
      <c r="K4366" s="2" t="n">
        <f>HYPERLINK("https://sectors.patentforecast.com/pmd/US11286260","PMD")</f>
        <v>0.0</v>
      </c>
      <c r="L4366" s="2" t="n">
        <f>HYPERLINK("https://globaldossier.uspto.gov/result/patent/US/11286260/1","US11286260")</f>
        <v>0.0</v>
      </c>
      <c r="M4366" t="s">
        <v>26530</v>
      </c>
      <c r="N4366" t="s">
        <v>1129</v>
      </c>
      <c r="O4366" t="s">
        <v>1130</v>
      </c>
      <c r="P4366" t="s">
        <v>26531</v>
      </c>
      <c r="Q4366" s="3" t="n">
        <v>44330.0</v>
      </c>
      <c r="R4366" s="3" t="n">
        <v>44649.0</v>
      </c>
      <c r="S4366" s="3" t="n">
        <v>44652.22999814815</v>
      </c>
      <c r="T4366" s="3" t="n">
        <v>44719.60459086805</v>
      </c>
      <c r="U4366" t="s">
        <v>26532</v>
      </c>
      <c r="V4366" t="s">
        <v>26533</v>
      </c>
    </row>
    <row r="4367">
      <c r="A4367" t="s">
        <v>23557</v>
      </c>
      <c r="B4367" t="s">
        <v>26534</v>
      </c>
      <c r="C4367" t="s">
        <v>24</v>
      </c>
      <c r="D4367" t="s">
        <v>51</v>
      </c>
      <c r="E4367" t="s">
        <v>26535</v>
      </c>
      <c r="F4367" s="2" t="n">
        <f>HYPERLINK("https://patents.google.com/patent/US11285485","Google")</f>
        <v>0.0</v>
      </c>
      <c r="G4367" s="2" t="n">
        <f>HYPERLINK("https://patentcenter.uspto.gov/applications/17229887","Patent Center")</f>
        <v>0.0</v>
      </c>
      <c r="H4367" s="2" t="n">
        <f>HYPERLINK("https://worldwide.espacenet.com/patent/search?q=US11285485","Espacenet")</f>
        <v>0.0</v>
      </c>
      <c r="I4367" s="2" t="n">
        <f>HYPERLINK("https://ppubs.uspto.gov/pubwebapp/external.html?q=11285485.pn.","USPTO")</f>
        <v>0.0</v>
      </c>
      <c r="J4367" s="2" t="n">
        <f>HYPERLINK("https://image-ppubs.uspto.gov/dirsearch-public/print/downloadPdf/11285485","USPTO PDF")</f>
        <v>0.0</v>
      </c>
      <c r="K4367" s="2" t="n">
        <f>HYPERLINK("https://sectors.patentforecast.com/pmd/US11285485","PMD")</f>
        <v>0.0</v>
      </c>
      <c r="L4367" s="2" t="n">
        <f>HYPERLINK("https://globaldossier.uspto.gov/result/patent/US/11285485/1","US11285485")</f>
        <v>0.0</v>
      </c>
      <c r="M4367" t="s">
        <v>26536</v>
      </c>
      <c r="N4367" t="s">
        <v>26537</v>
      </c>
      <c r="O4367" t="s">
        <v>26538</v>
      </c>
      <c r="P4367" t="s">
        <v>26539</v>
      </c>
      <c r="Q4367" s="3" t="n">
        <v>44300.0</v>
      </c>
      <c r="R4367" s="3" t="n">
        <v>44649.0</v>
      </c>
      <c r="S4367" s="3" t="n">
        <v>44657.230089386576</v>
      </c>
      <c r="T4367" s="3" t="n">
        <v>44719.60491631945</v>
      </c>
      <c r="U4367" t="s">
        <v>26540</v>
      </c>
      <c r="V4367" t="s">
        <v>26541</v>
      </c>
    </row>
    <row r="4368">
      <c r="A4368" t="s">
        <v>23557</v>
      </c>
      <c r="B4368" t="s">
        <v>26542</v>
      </c>
      <c r="C4368" t="s">
        <v>60</v>
      </c>
      <c r="D4368" t="s">
        <v>715</v>
      </c>
      <c r="E4368" t="s">
        <v>26543</v>
      </c>
      <c r="F4368" s="2" t="n">
        <f>HYPERLINK("https://patents.google.com/patent/US11285286","Google")</f>
        <v>0.0</v>
      </c>
      <c r="G4368" s="2" t="n">
        <f>HYPERLINK("https://patentcenter.uspto.gov/applications/17345994","Patent Center")</f>
        <v>0.0</v>
      </c>
      <c r="H4368" s="2" t="n">
        <f>HYPERLINK("https://worldwide.espacenet.com/patent/search?q=US11285286","Espacenet")</f>
        <v>0.0</v>
      </c>
      <c r="I4368" s="2" t="n">
        <f>HYPERLINK("https://ppubs.uspto.gov/pubwebapp/external.html?q=11285286.pn.","USPTO")</f>
        <v>0.0</v>
      </c>
      <c r="J4368" s="2" t="n">
        <f>HYPERLINK("https://image-ppubs.uspto.gov/dirsearch-public/print/downloadPdf/11285286","USPTO PDF")</f>
        <v>0.0</v>
      </c>
      <c r="K4368" s="2" t="n">
        <f>HYPERLINK("https://sectors.patentforecast.com/pmd/US11285286","PMD")</f>
        <v>0.0</v>
      </c>
      <c r="L4368" s="2" t="n">
        <f>HYPERLINK("https://globaldossier.uspto.gov/result/patent/US/11285286/1","US11285286")</f>
        <v>0.0</v>
      </c>
      <c r="M4368" t="s">
        <v>4853</v>
      </c>
      <c r="N4368" t="s">
        <v>4854</v>
      </c>
      <c r="O4368" t="s">
        <v>4855</v>
      </c>
      <c r="P4368" t="s">
        <v>26544</v>
      </c>
      <c r="Q4368" s="3" t="n">
        <v>44358.0</v>
      </c>
      <c r="R4368" s="3" t="n">
        <v>44649.0</v>
      </c>
      <c r="S4368" s="3" t="n">
        <v>44657.230089386576</v>
      </c>
      <c r="T4368" s="3" t="n">
        <v>44658.61409540509</v>
      </c>
      <c r="U4368" t="s">
        <v>26545</v>
      </c>
      <c r="V4368" t="s">
        <v>26546</v>
      </c>
    </row>
    <row r="4369">
      <c r="A4369" t="s">
        <v>23557</v>
      </c>
      <c r="B4369" t="s">
        <v>26547</v>
      </c>
      <c r="C4369" t="s">
        <v>60</v>
      </c>
      <c r="D4369" t="s">
        <v>61</v>
      </c>
      <c r="E4369" t="s">
        <v>26548</v>
      </c>
      <c r="F4369" s="2" t="n">
        <f>HYPERLINK("https://patents.google.com/patent/US11285209","Google")</f>
        <v>0.0</v>
      </c>
      <c r="G4369" s="2" t="n">
        <f>HYPERLINK("https://patentcenter.uspto.gov/applications/16845809","Patent Center")</f>
        <v>0.0</v>
      </c>
      <c r="H4369" s="2" t="n">
        <f>HYPERLINK("https://worldwide.espacenet.com/patent/search?q=US11285209","Espacenet")</f>
        <v>0.0</v>
      </c>
      <c r="I4369" s="2" t="n">
        <f>HYPERLINK("https://ppubs.uspto.gov/pubwebapp/external.html?q=11285209.pn.","USPTO")</f>
        <v>0.0</v>
      </c>
      <c r="J4369" s="2" t="n">
        <f>HYPERLINK("https://image-ppubs.uspto.gov/dirsearch-public/print/downloadPdf/11285209","USPTO PDF")</f>
        <v>0.0</v>
      </c>
      <c r="K4369" s="2" t="n">
        <f>HYPERLINK("https://sectors.patentforecast.com/pmd/US11285209","PMD")</f>
        <v>0.0</v>
      </c>
      <c r="L4369" s="2" t="n">
        <f>HYPERLINK("https://globaldossier.uspto.gov/result/patent/US/11285209/1","US11285209")</f>
        <v>0.0</v>
      </c>
      <c r="M4369" t="s">
        <v>26549</v>
      </c>
      <c r="N4369" t="s">
        <v>26550</v>
      </c>
      <c r="O4369" t="s">
        <v>26550</v>
      </c>
      <c r="P4369" t="s">
        <v>26551</v>
      </c>
      <c r="Q4369" s="3" t="n">
        <v>43931.0</v>
      </c>
      <c r="R4369" s="3" t="n">
        <v>44649.0</v>
      </c>
      <c r="S4369" s="3" t="n">
        <v>44652.23254428241</v>
      </c>
      <c r="T4369" s="3" t="n">
        <v>44719.60500053241</v>
      </c>
      <c r="U4369" t="s">
        <v>26552</v>
      </c>
      <c r="V4369" t="s">
        <v>26553</v>
      </c>
    </row>
    <row r="4370">
      <c r="A4370" t="s">
        <v>23557</v>
      </c>
      <c r="B4370" t="s">
        <v>26554</v>
      </c>
      <c r="C4370" t="s">
        <v>60</v>
      </c>
      <c r="D4370" t="s">
        <v>61</v>
      </c>
      <c r="E4370" t="s">
        <v>26555</v>
      </c>
      <c r="F4370" s="2" t="n">
        <f>HYPERLINK("https://patents.google.com/patent/US11285192","Google")</f>
        <v>0.0</v>
      </c>
      <c r="G4370" s="2" t="n">
        <f>HYPERLINK("https://patentcenter.uspto.gov/applications/17008202","Patent Center")</f>
        <v>0.0</v>
      </c>
      <c r="H4370" s="2" t="n">
        <f>HYPERLINK("https://worldwide.espacenet.com/patent/search?q=US11285192","Espacenet")</f>
        <v>0.0</v>
      </c>
      <c r="I4370" s="2" t="n">
        <f>HYPERLINK("https://ppubs.uspto.gov/pubwebapp/external.html?q=11285192.pn.","USPTO")</f>
        <v>0.0</v>
      </c>
      <c r="J4370" s="2" t="n">
        <f>HYPERLINK("https://image-ppubs.uspto.gov/dirsearch-public/print/downloadPdf/11285192","USPTO PDF")</f>
        <v>0.0</v>
      </c>
      <c r="K4370" s="2" t="n">
        <f>HYPERLINK("https://sectors.patentforecast.com/pmd/US11285192","PMD")</f>
        <v>0.0</v>
      </c>
      <c r="L4370" s="2" t="n">
        <f>HYPERLINK("https://globaldossier.uspto.gov/result/patent/US/11285192/1","US11285192")</f>
        <v>0.0</v>
      </c>
      <c r="M4370" t="s">
        <v>15413</v>
      </c>
      <c r="N4370" t="s">
        <v>15414</v>
      </c>
      <c r="O4370" t="s">
        <v>15415</v>
      </c>
      <c r="P4370" t="s">
        <v>26556</v>
      </c>
      <c r="Q4370" s="3" t="n">
        <v>44074.0</v>
      </c>
      <c r="R4370" s="3" t="n">
        <v>44649.0</v>
      </c>
      <c r="S4370" s="3" t="n">
        <v>44652.22999814815</v>
      </c>
      <c r="T4370" s="3" t="n">
        <v>44672.32605082176</v>
      </c>
      <c r="U4370" t="s">
        <v>26557</v>
      </c>
      <c r="V4370" t="s">
        <v>26558</v>
      </c>
    </row>
    <row r="4371">
      <c r="A4371" t="s">
        <v>23557</v>
      </c>
      <c r="B4371" t="s">
        <v>26559</v>
      </c>
      <c r="C4371" t="s">
        <v>24</v>
      </c>
      <c r="D4371" t="s">
        <v>69</v>
      </c>
      <c r="E4371" t="s">
        <v>26560</v>
      </c>
      <c r="F4371" s="2" t="n">
        <f>HYPERLINK("https://patents.google.com/patent/US11284654","Google")</f>
        <v>0.0</v>
      </c>
      <c r="G4371" s="2" t="n">
        <f>HYPERLINK("https://patentcenter.uspto.gov/applications/17087866","Patent Center")</f>
        <v>0.0</v>
      </c>
      <c r="H4371" s="2" t="n">
        <f>HYPERLINK("https://worldwide.espacenet.com/patent/search?q=US11284654","Espacenet")</f>
        <v>0.0</v>
      </c>
      <c r="I4371" s="2" t="n">
        <f>HYPERLINK("https://ppubs.uspto.gov/pubwebapp/external.html?q=11284654.pn.","USPTO")</f>
        <v>0.0</v>
      </c>
      <c r="J4371" s="2" t="n">
        <f>HYPERLINK("https://image-ppubs.uspto.gov/dirsearch-public/print/downloadPdf/11284654","USPTO PDF")</f>
        <v>0.0</v>
      </c>
      <c r="K4371" s="2" t="n">
        <f>HYPERLINK("https://sectors.patentforecast.com/pmd/US11284654","PMD")</f>
        <v>0.0</v>
      </c>
      <c r="L4371" s="2" t="n">
        <f>HYPERLINK("https://globaldossier.uspto.gov/result/patent/US/11284654/1","US11284654")</f>
        <v>0.0</v>
      </c>
      <c r="M4371" t="s">
        <v>8904</v>
      </c>
      <c r="N4371" t="s">
        <v>810</v>
      </c>
      <c r="O4371" t="s">
        <v>811</v>
      </c>
      <c r="P4371" t="s">
        <v>26561</v>
      </c>
      <c r="Q4371" s="3" t="n">
        <v>44138.0</v>
      </c>
      <c r="R4371" s="3" t="n">
        <v>44649.0</v>
      </c>
      <c r="S4371" s="3" t="n">
        <v>44652.22999814815</v>
      </c>
      <c r="T4371" s="3" t="n">
        <v>44658.61965958333</v>
      </c>
      <c r="U4371" t="s">
        <v>26562</v>
      </c>
      <c r="V4371" t="s">
        <v>26563</v>
      </c>
    </row>
    <row r="4372">
      <c r="A4372" t="s">
        <v>23557</v>
      </c>
      <c r="B4372" t="s">
        <v>26564</v>
      </c>
      <c r="C4372" t="s">
        <v>24</v>
      </c>
      <c r="D4372" t="s">
        <v>204</v>
      </c>
      <c r="E4372" t="s">
        <v>26565</v>
      </c>
      <c r="F4372" s="2" t="n">
        <f>HYPERLINK("https://patents.google.com/patent/US11282532","Google")</f>
        <v>0.0</v>
      </c>
      <c r="G4372" s="2" t="n">
        <f>HYPERLINK("https://patentcenter.uspto.gov/applications/17459250","Patent Center")</f>
        <v>0.0</v>
      </c>
      <c r="H4372" s="2" t="n">
        <f>HYPERLINK("https://worldwide.espacenet.com/patent/search?q=US11282532","Espacenet")</f>
        <v>0.0</v>
      </c>
      <c r="I4372" s="2" t="n">
        <f>HYPERLINK("https://ppubs.uspto.gov/pubwebapp/external.html?q=11282532.pn.","USPTO")</f>
        <v>0.0</v>
      </c>
      <c r="J4372" s="2" t="n">
        <f>HYPERLINK("https://image-ppubs.uspto.gov/dirsearch-public/print/downloadPdf/11282532","USPTO PDF")</f>
        <v>0.0</v>
      </c>
      <c r="K4372" s="2" t="n">
        <f>HYPERLINK("https://sectors.patentforecast.com/pmd/US11282532","PMD")</f>
        <v>0.0</v>
      </c>
      <c r="L4372" s="2" t="n">
        <f>HYPERLINK("https://globaldossier.uspto.gov/result/patent/US/11282532/1","US11282532")</f>
        <v>0.0</v>
      </c>
      <c r="M4372" t="s">
        <v>26566</v>
      </c>
      <c r="N4372" t="s">
        <v>26567</v>
      </c>
      <c r="O4372" t="s">
        <v>26568</v>
      </c>
      <c r="P4372" t="s">
        <v>26569</v>
      </c>
      <c r="Q4372" s="3" t="n">
        <v>44435.0</v>
      </c>
      <c r="R4372" s="3" t="n">
        <v>44642.0</v>
      </c>
      <c r="S4372" s="3" t="n">
        <v>44650.230089467594</v>
      </c>
      <c r="T4372" s="3" t="n">
        <v>44719.60505505787</v>
      </c>
      <c r="U4372" t="s">
        <v>26570</v>
      </c>
      <c r="V4372" t="s">
        <v>26571</v>
      </c>
    </row>
    <row r="4373">
      <c r="A4373" t="s">
        <v>23557</v>
      </c>
      <c r="B4373" t="s">
        <v>26572</v>
      </c>
      <c r="C4373" t="s">
        <v>60</v>
      </c>
      <c r="D4373" t="s">
        <v>845</v>
      </c>
      <c r="E4373" t="s">
        <v>26573</v>
      </c>
      <c r="F4373" s="2" t="n">
        <f>HYPERLINK("https://patents.google.com/patent/US11281194","Google")</f>
        <v>0.0</v>
      </c>
      <c r="G4373" s="2" t="n">
        <f>HYPERLINK("https://patentcenter.uspto.gov/applications/17329771","Patent Center")</f>
        <v>0.0</v>
      </c>
      <c r="H4373" s="2" t="n">
        <f>HYPERLINK("https://worldwide.espacenet.com/patent/search?q=US11281194","Espacenet")</f>
        <v>0.0</v>
      </c>
      <c r="I4373" s="2" t="n">
        <f>HYPERLINK("https://ppubs.uspto.gov/pubwebapp/external.html?q=11281194.pn.","USPTO")</f>
        <v>0.0</v>
      </c>
      <c r="J4373" s="2" t="n">
        <f>HYPERLINK("https://image-ppubs.uspto.gov/dirsearch-public/print/downloadPdf/11281194","USPTO PDF")</f>
        <v>0.0</v>
      </c>
      <c r="K4373" s="2" t="n">
        <f>HYPERLINK("https://sectors.patentforecast.com/pmd/US11281194","PMD")</f>
        <v>0.0</v>
      </c>
      <c r="L4373" s="2" t="n">
        <f>HYPERLINK("https://globaldossier.uspto.gov/result/patent/US/11281194/1","US11281194")</f>
        <v>0.0</v>
      </c>
      <c r="M4373" t="s">
        <v>26574</v>
      </c>
      <c r="N4373" t="s">
        <v>26575</v>
      </c>
      <c r="O4373" t="s">
        <v>26576</v>
      </c>
      <c r="P4373" t="s">
        <v>26577</v>
      </c>
      <c r="Q4373" s="3" t="n">
        <v>44341.0</v>
      </c>
      <c r="R4373" s="3" t="n">
        <v>44642.0</v>
      </c>
      <c r="S4373" s="3" t="n">
        <v>44650.22951074074</v>
      </c>
      <c r="T4373" s="3" t="n">
        <v>44672.47305446759</v>
      </c>
      <c r="U4373" t="s">
        <v>26578</v>
      </c>
      <c r="V4373" t="s">
        <v>26579</v>
      </c>
    </row>
    <row r="4374">
      <c r="A4374" t="s">
        <v>23557</v>
      </c>
      <c r="B4374" t="s">
        <v>26580</v>
      </c>
      <c r="C4374" t="s">
        <v>24</v>
      </c>
      <c r="D4374" t="s">
        <v>69</v>
      </c>
      <c r="E4374" t="s">
        <v>26581</v>
      </c>
      <c r="F4374" s="2" t="n">
        <f>HYPERLINK("https://patents.google.com/patent/US11280504","Google")</f>
        <v>0.0</v>
      </c>
      <c r="G4374" s="2" t="n">
        <f>HYPERLINK("https://patentcenter.uspto.gov/applications/17324428","Patent Center")</f>
        <v>0.0</v>
      </c>
      <c r="H4374" s="2" t="n">
        <f>HYPERLINK("https://worldwide.espacenet.com/patent/search?q=US11280504","Espacenet")</f>
        <v>0.0</v>
      </c>
      <c r="I4374" s="2" t="n">
        <f>HYPERLINK("https://ppubs.uspto.gov/pubwebapp/external.html?q=11280504.pn.","USPTO")</f>
        <v>0.0</v>
      </c>
      <c r="J4374" s="2" t="n">
        <f>HYPERLINK("https://image-ppubs.uspto.gov/dirsearch-public/print/downloadPdf/11280504","USPTO PDF")</f>
        <v>0.0</v>
      </c>
      <c r="K4374" s="2" t="n">
        <f>HYPERLINK("https://sectors.patentforecast.com/pmd/US11280504","PMD")</f>
        <v>0.0</v>
      </c>
      <c r="L4374" s="2" t="n">
        <f>HYPERLINK("https://globaldossier.uspto.gov/result/patent/US/11280504/1","US11280504")</f>
        <v>0.0</v>
      </c>
      <c r="M4374" t="s">
        <v>26582</v>
      </c>
      <c r="N4374" t="s">
        <v>26583</v>
      </c>
      <c r="O4374" t="s">
        <v>26584</v>
      </c>
      <c r="P4374" t="s">
        <v>26585</v>
      </c>
      <c r="Q4374" s="3" t="n">
        <v>44335.0</v>
      </c>
      <c r="R4374" s="3" t="n">
        <v>44642.0</v>
      </c>
      <c r="S4374" s="3" t="n">
        <v>44643.229972106485</v>
      </c>
      <c r="T4374" s="3" t="n">
        <v>44658.61675035879</v>
      </c>
      <c r="U4374" t="s">
        <v>26586</v>
      </c>
      <c r="V4374" t="s">
        <v>26587</v>
      </c>
    </row>
    <row r="4375">
      <c r="A4375" t="s">
        <v>23557</v>
      </c>
      <c r="B4375" t="s">
        <v>26588</v>
      </c>
      <c r="C4375" t="s">
        <v>60</v>
      </c>
      <c r="D4375" t="s">
        <v>61</v>
      </c>
      <c r="E4375" t="s">
        <v>26589</v>
      </c>
      <c r="F4375" s="2" t="n">
        <f>HYPERLINK("https://patents.google.com/patent/US11279727","Google")</f>
        <v>0.0</v>
      </c>
      <c r="G4375" s="2" t="n">
        <f>HYPERLINK("https://patentcenter.uspto.gov/applications/17399445","Patent Center")</f>
        <v>0.0</v>
      </c>
      <c r="H4375" s="2" t="n">
        <f>HYPERLINK("https://worldwide.espacenet.com/patent/search?q=US11279727","Espacenet")</f>
        <v>0.0</v>
      </c>
      <c r="I4375" s="2" t="n">
        <f>HYPERLINK("https://ppubs.uspto.gov/pubwebapp/external.html?q=11279727.pn.","USPTO")</f>
        <v>0.0</v>
      </c>
      <c r="J4375" s="2" t="n">
        <f>HYPERLINK("https://image-ppubs.uspto.gov/dirsearch-public/print/downloadPdf/11279727","USPTO PDF")</f>
        <v>0.0</v>
      </c>
      <c r="K4375" s="2" t="n">
        <f>HYPERLINK("https://sectors.patentforecast.com/pmd/US11279727","PMD")</f>
        <v>0.0</v>
      </c>
      <c r="L4375" s="2" t="n">
        <f>HYPERLINK("https://globaldossier.uspto.gov/result/patent/US/11279727/1","US11279727")</f>
        <v>0.0</v>
      </c>
      <c r="M4375" t="s">
        <v>8769</v>
      </c>
      <c r="N4375" t="s">
        <v>8770</v>
      </c>
      <c r="O4375" t="s">
        <v>8771</v>
      </c>
      <c r="P4375" t="s">
        <v>26590</v>
      </c>
      <c r="Q4375" s="3" t="n">
        <v>44419.0</v>
      </c>
      <c r="R4375" s="3" t="n">
        <v>44642.0</v>
      </c>
      <c r="S4375" s="3" t="n">
        <v>44643.229972106485</v>
      </c>
      <c r="T4375" s="3" t="n">
        <v>44658.60012068287</v>
      </c>
      <c r="U4375" t="s">
        <v>26591</v>
      </c>
      <c r="V4375" t="s">
        <v>26592</v>
      </c>
    </row>
    <row r="4376">
      <c r="A4376" t="s">
        <v>23557</v>
      </c>
      <c r="B4376" t="s">
        <v>26593</v>
      </c>
      <c r="C4376" t="s">
        <v>24</v>
      </c>
      <c r="D4376" t="s">
        <v>69</v>
      </c>
      <c r="E4376" t="s">
        <v>26594</v>
      </c>
      <c r="F4376" s="2" t="n">
        <f>HYPERLINK("https://patents.google.com/patent/US11278750","Google")</f>
        <v>0.0</v>
      </c>
      <c r="G4376" s="2" t="n">
        <f>HYPERLINK("https://patentcenter.uspto.gov/applications/17379054","Patent Center")</f>
        <v>0.0</v>
      </c>
      <c r="H4376" s="2" t="n">
        <f>HYPERLINK("https://worldwide.espacenet.com/patent/search?q=US11278750","Espacenet")</f>
        <v>0.0</v>
      </c>
      <c r="I4376" s="2" t="n">
        <f>HYPERLINK("https://ppubs.uspto.gov/pubwebapp/external.html?q=11278750.pn.","USPTO")</f>
        <v>0.0</v>
      </c>
      <c r="J4376" s="2" t="n">
        <f>HYPERLINK("https://image-ppubs.uspto.gov/dirsearch-public/print/downloadPdf/11278750","USPTO PDF")</f>
        <v>0.0</v>
      </c>
      <c r="K4376" s="2" t="n">
        <f>HYPERLINK("https://sectors.patentforecast.com/pmd/US11278750","PMD")</f>
        <v>0.0</v>
      </c>
      <c r="L4376" s="2" t="n">
        <f>HYPERLINK("https://globaldossier.uspto.gov/result/patent/US/11278750/1","US11278750")</f>
        <v>0.0</v>
      </c>
      <c r="M4376" t="s">
        <v>26595</v>
      </c>
      <c r="N4376" t="s">
        <v>26596</v>
      </c>
      <c r="O4376" t="s">
        <v>26596</v>
      </c>
      <c r="P4376" t="s">
        <v>26597</v>
      </c>
      <c r="Q4376" s="3" t="n">
        <v>44396.0</v>
      </c>
      <c r="R4376" s="3" t="n">
        <v>44642.0</v>
      </c>
      <c r="S4376" s="3" t="n">
        <v>44650.230089467594</v>
      </c>
      <c r="T4376" s="3" t="n">
        <v>44719.60524210648</v>
      </c>
      <c r="U4376" t="s">
        <v>26598</v>
      </c>
      <c r="V4376" t="s">
        <v>26599</v>
      </c>
    </row>
    <row r="4377">
      <c r="A4377" t="s">
        <v>23557</v>
      </c>
      <c r="B4377" t="s">
        <v>26600</v>
      </c>
      <c r="C4377" t="s">
        <v>24</v>
      </c>
      <c r="D4377" t="s">
        <v>100</v>
      </c>
      <c r="E4377" t="s">
        <v>26601</v>
      </c>
      <c r="F4377" s="2" t="n">
        <f>HYPERLINK("https://patents.google.com/patent/US11278636","Google")</f>
        <v>0.0</v>
      </c>
      <c r="G4377" s="2" t="n">
        <f>HYPERLINK("https://patentcenter.uspto.gov/applications/17137867","Patent Center")</f>
        <v>0.0</v>
      </c>
      <c r="H4377" s="2" t="n">
        <f>HYPERLINK("https://worldwide.espacenet.com/patent/search?q=US11278636","Espacenet")</f>
        <v>0.0</v>
      </c>
      <c r="I4377" s="2" t="n">
        <f>HYPERLINK("https://ppubs.uspto.gov/pubwebapp/external.html?q=11278636.pn.","USPTO")</f>
        <v>0.0</v>
      </c>
      <c r="J4377" s="2" t="n">
        <f>HYPERLINK("https://image-ppubs.uspto.gov/dirsearch-public/print/downloadPdf/11278636","USPTO PDF")</f>
        <v>0.0</v>
      </c>
      <c r="K4377" s="2" t="n">
        <f>HYPERLINK("https://sectors.patentforecast.com/pmd/US11278636","PMD")</f>
        <v>0.0</v>
      </c>
      <c r="L4377" s="2" t="n">
        <f>HYPERLINK("https://globaldossier.uspto.gov/result/patent/US/11278636/1","US11278636")</f>
        <v>0.0</v>
      </c>
      <c r="M4377" t="s">
        <v>7466</v>
      </c>
      <c r="N4377" t="s">
        <v>7467</v>
      </c>
      <c r="O4377" t="s">
        <v>7468</v>
      </c>
      <c r="P4377" t="s">
        <v>26602</v>
      </c>
      <c r="Q4377" s="3" t="n">
        <v>44195.0</v>
      </c>
      <c r="R4377" s="3" t="n">
        <v>44642.0</v>
      </c>
      <c r="S4377" s="3" t="n">
        <v>44643.229972106485</v>
      </c>
      <c r="T4377" s="3" t="n">
        <v>44658.62137291667</v>
      </c>
      <c r="U4377" t="s">
        <v>26603</v>
      </c>
      <c r="V4377" t="s">
        <v>26604</v>
      </c>
    </row>
    <row r="4378">
      <c r="A4378" t="s">
        <v>23557</v>
      </c>
      <c r="B4378" t="s">
        <v>26605</v>
      </c>
      <c r="C4378" t="s">
        <v>60</v>
      </c>
      <c r="D4378" t="s">
        <v>77</v>
      </c>
      <c r="E4378" t="s">
        <v>26606</v>
      </c>
      <c r="F4378" s="2" t="n">
        <f>HYPERLINK("https://patents.google.com/patent/US11278619","Google")</f>
        <v>0.0</v>
      </c>
      <c r="G4378" s="2" t="n">
        <f>HYPERLINK("https://patentcenter.uspto.gov/applications/15532162","Patent Center")</f>
        <v>0.0</v>
      </c>
      <c r="H4378" s="2" t="n">
        <f>HYPERLINK("https://worldwide.espacenet.com/patent/search?q=US11278619","Espacenet")</f>
        <v>0.0</v>
      </c>
      <c r="I4378" s="2" t="n">
        <f>HYPERLINK("https://ppubs.uspto.gov/pubwebapp/external.html?q=11278619.pn.","USPTO")</f>
        <v>0.0</v>
      </c>
      <c r="J4378" s="2" t="n">
        <f>HYPERLINK("https://image-ppubs.uspto.gov/dirsearch-public/print/downloadPdf/11278619","USPTO PDF")</f>
        <v>0.0</v>
      </c>
      <c r="K4378" s="2" t="n">
        <f>HYPERLINK("https://sectors.patentforecast.com/pmd/US11278619","PMD")</f>
        <v>0.0</v>
      </c>
      <c r="L4378" s="2" t="n">
        <f>HYPERLINK("https://globaldossier.uspto.gov/result/patent/US/11278619/1","US11278619")</f>
        <v>0.0</v>
      </c>
      <c r="M4378" t="s">
        <v>19043</v>
      </c>
      <c r="N4378" t="s">
        <v>10151</v>
      </c>
      <c r="O4378" t="s">
        <v>10152</v>
      </c>
      <c r="P4378" t="s">
        <v>26607</v>
      </c>
      <c r="Q4378" s="3" t="n">
        <v>42339.0</v>
      </c>
      <c r="R4378" s="3" t="n">
        <v>44642.0</v>
      </c>
      <c r="S4378" s="3" t="n">
        <v>44643.23205560185</v>
      </c>
      <c r="T4378" s="3" t="n">
        <v>44658.62351804398</v>
      </c>
      <c r="U4378" t="s">
        <v>26608</v>
      </c>
      <c r="V4378" t="s">
        <v>26609</v>
      </c>
    </row>
    <row r="4379">
      <c r="A4379" t="s">
        <v>23557</v>
      </c>
      <c r="B4379" t="s">
        <v>26610</v>
      </c>
      <c r="C4379" t="s">
        <v>132</v>
      </c>
      <c r="D4379" t="s">
        <v>1265</v>
      </c>
      <c r="E4379" t="s">
        <v>26611</v>
      </c>
      <c r="F4379" s="2" t="n">
        <f>HYPERLINK("https://patents.google.com/patent/US11278612","Google")</f>
        <v>0.0</v>
      </c>
      <c r="G4379" s="2" t="n">
        <f>HYPERLINK("https://patentcenter.uspto.gov/applications/16357876","Patent Center")</f>
        <v>0.0</v>
      </c>
      <c r="H4379" s="2" t="n">
        <f>HYPERLINK("https://worldwide.espacenet.com/patent/search?q=US11278612","Espacenet")</f>
        <v>0.0</v>
      </c>
      <c r="I4379" s="2" t="n">
        <f>HYPERLINK("https://ppubs.uspto.gov/pubwebapp/external.html?q=11278612.pn.","USPTO")</f>
        <v>0.0</v>
      </c>
      <c r="J4379" s="2" t="n">
        <f>HYPERLINK("https://image-ppubs.uspto.gov/dirsearch-public/print/downloadPdf/11278612","USPTO PDF")</f>
        <v>0.0</v>
      </c>
      <c r="K4379" s="2" t="n">
        <f>HYPERLINK("https://sectors.patentforecast.com/pmd/US11278612","PMD")</f>
        <v>0.0</v>
      </c>
      <c r="L4379" s="2" t="n">
        <f>HYPERLINK("https://globaldossier.uspto.gov/result/patent/US/11278612/1","US11278612")</f>
        <v>0.0</v>
      </c>
      <c r="M4379" t="s">
        <v>17395</v>
      </c>
      <c r="N4379" t="s">
        <v>1275</v>
      </c>
      <c r="O4379" t="s">
        <v>1275</v>
      </c>
      <c r="P4379" t="s">
        <v>26612</v>
      </c>
      <c r="Q4379" s="3" t="n">
        <v>43543.0</v>
      </c>
      <c r="R4379" s="3" t="n">
        <v>44642.0</v>
      </c>
      <c r="S4379" s="3" t="n">
        <v>44643.23506467592</v>
      </c>
      <c r="T4379" s="3" t="n">
        <v>44658.63265351852</v>
      </c>
      <c r="U4379" t="s">
        <v>26613</v>
      </c>
      <c r="V4379" t="s">
        <v>26614</v>
      </c>
    </row>
    <row r="4380">
      <c r="A4380" t="s">
        <v>23557</v>
      </c>
      <c r="B4380" t="s">
        <v>26615</v>
      </c>
      <c r="C4380" t="s">
        <v>60</v>
      </c>
      <c r="D4380" t="s">
        <v>61</v>
      </c>
      <c r="E4380" t="s">
        <v>26616</v>
      </c>
      <c r="F4380" s="2" t="n">
        <f>HYPERLINK("https://patents.google.com/patent/US11278602","Google")</f>
        <v>0.0</v>
      </c>
      <c r="G4380" s="2" t="n">
        <f>HYPERLINK("https://patentcenter.uspto.gov/applications/17208827","Patent Center")</f>
        <v>0.0</v>
      </c>
      <c r="H4380" s="2" t="n">
        <f>HYPERLINK("https://worldwide.espacenet.com/patent/search?q=US11278602","Espacenet")</f>
        <v>0.0</v>
      </c>
      <c r="I4380" s="2" t="n">
        <f>HYPERLINK("https://ppubs.uspto.gov/pubwebapp/external.html?q=11278602.pn.","USPTO")</f>
        <v>0.0</v>
      </c>
      <c r="J4380" s="2" t="n">
        <f>HYPERLINK("https://image-ppubs.uspto.gov/dirsearch-public/print/downloadPdf/11278602","USPTO PDF")</f>
        <v>0.0</v>
      </c>
      <c r="K4380" s="2" t="n">
        <f>HYPERLINK("https://sectors.patentforecast.com/pmd/US11278602","PMD")</f>
        <v>0.0</v>
      </c>
      <c r="L4380" s="2" t="n">
        <f>HYPERLINK("https://globaldossier.uspto.gov/result/patent/US/11278602/1","US11278602")</f>
        <v>0.0</v>
      </c>
      <c r="M4380" t="s">
        <v>13478</v>
      </c>
      <c r="N4380" t="s">
        <v>1319</v>
      </c>
      <c r="O4380" t="s">
        <v>1320</v>
      </c>
      <c r="P4380" t="s">
        <v>26617</v>
      </c>
      <c r="Q4380" s="3" t="n">
        <v>44277.0</v>
      </c>
      <c r="R4380" s="3" t="n">
        <v>44642.0</v>
      </c>
      <c r="S4380" s="3" t="n">
        <v>44643.229972106485</v>
      </c>
      <c r="T4380" s="3" t="n">
        <v>44658.64205490741</v>
      </c>
      <c r="U4380" t="s">
        <v>26618</v>
      </c>
      <c r="V4380" t="s">
        <v>26619</v>
      </c>
    </row>
    <row r="4381">
      <c r="A4381" t="s">
        <v>23557</v>
      </c>
      <c r="B4381" t="s">
        <v>26620</v>
      </c>
      <c r="C4381" t="s">
        <v>60</v>
      </c>
      <c r="D4381" t="s">
        <v>61</v>
      </c>
      <c r="E4381" t="s">
        <v>26621</v>
      </c>
      <c r="F4381" s="2" t="n">
        <f>HYPERLINK("https://patents.google.com/patent/US11278598","Google")</f>
        <v>0.0</v>
      </c>
      <c r="G4381" s="2" t="n">
        <f>HYPERLINK("https://patentcenter.uspto.gov/applications/17482144","Patent Center")</f>
        <v>0.0</v>
      </c>
      <c r="H4381" s="2" t="n">
        <f>HYPERLINK("https://worldwide.espacenet.com/patent/search?q=US11278598","Espacenet")</f>
        <v>0.0</v>
      </c>
      <c r="I4381" s="2" t="n">
        <f>HYPERLINK("https://ppubs.uspto.gov/pubwebapp/external.html?q=11278598.pn.","USPTO")</f>
        <v>0.0</v>
      </c>
      <c r="J4381" s="2" t="n">
        <f>HYPERLINK("https://image-ppubs.uspto.gov/dirsearch-public/print/downloadPdf/11278598","USPTO PDF")</f>
        <v>0.0</v>
      </c>
      <c r="K4381" s="2" t="n">
        <f>HYPERLINK("https://sectors.patentforecast.com/pmd/US11278598","PMD")</f>
        <v>0.0</v>
      </c>
      <c r="L4381" s="2" t="n">
        <f>HYPERLINK("https://globaldossier.uspto.gov/result/patent/US/11278598/1","US11278598")</f>
        <v>0.0</v>
      </c>
      <c r="M4381" t="s">
        <v>7971</v>
      </c>
      <c r="N4381" t="s">
        <v>7972</v>
      </c>
      <c r="O4381" t="s">
        <v>7973</v>
      </c>
      <c r="P4381" t="s">
        <v>26622</v>
      </c>
      <c r="Q4381" s="3" t="n">
        <v>44461.0</v>
      </c>
      <c r="R4381" s="3" t="n">
        <v>44642.0</v>
      </c>
      <c r="S4381" s="3" t="n">
        <v>44643.229972106485</v>
      </c>
      <c r="T4381" s="3" t="n">
        <v>44658.641250555556</v>
      </c>
      <c r="U4381" t="s">
        <v>26623</v>
      </c>
      <c r="V4381" t="s">
        <v>26624</v>
      </c>
    </row>
    <row r="4382">
      <c r="A4382" t="s">
        <v>23557</v>
      </c>
      <c r="B4382" t="s">
        <v>26625</v>
      </c>
      <c r="C4382" t="s">
        <v>60</v>
      </c>
      <c r="D4382" t="s">
        <v>4942</v>
      </c>
      <c r="E4382" t="s">
        <v>26626</v>
      </c>
      <c r="F4382" s="2" t="n">
        <f>HYPERLINK("https://patents.google.com/patent/US11278520","Google")</f>
        <v>0.0</v>
      </c>
      <c r="G4382" s="2" t="n">
        <f>HYPERLINK("https://patentcenter.uspto.gov/applications/17114271","Patent Center")</f>
        <v>0.0</v>
      </c>
      <c r="H4382" s="2" t="n">
        <f>HYPERLINK("https://worldwide.espacenet.com/patent/search?q=US11278520","Espacenet")</f>
        <v>0.0</v>
      </c>
      <c r="I4382" s="2" t="n">
        <f>HYPERLINK("https://ppubs.uspto.gov/pubwebapp/external.html?q=11278520.pn.","USPTO")</f>
        <v>0.0</v>
      </c>
      <c r="J4382" s="2" t="n">
        <f>HYPERLINK("https://image-ppubs.uspto.gov/dirsearch-public/print/downloadPdf/11278520","USPTO PDF")</f>
        <v>0.0</v>
      </c>
      <c r="K4382" s="2" t="n">
        <f>HYPERLINK("https://sectors.patentforecast.com/pmd/US11278520","PMD")</f>
        <v>0.0</v>
      </c>
      <c r="L4382" s="2" t="n">
        <f>HYPERLINK("https://globaldossier.uspto.gov/result/patent/US/11278520/1","US11278520")</f>
        <v>0.0</v>
      </c>
      <c r="M4382" t="s">
        <v>13545</v>
      </c>
      <c r="N4382" t="s">
        <v>13546</v>
      </c>
      <c r="O4382" t="s">
        <v>13547</v>
      </c>
      <c r="P4382" t="s">
        <v>26627</v>
      </c>
      <c r="Q4382" s="3" t="n">
        <v>44172.0</v>
      </c>
      <c r="R4382" s="3" t="n">
        <v>44642.0</v>
      </c>
      <c r="S4382" s="3" t="n">
        <v>44643.229972106485</v>
      </c>
      <c r="T4382" s="3" t="n">
        <v>44658.60861751157</v>
      </c>
      <c r="U4382" t="s">
        <v>26628</v>
      </c>
      <c r="V4382" t="s">
        <v>26629</v>
      </c>
    </row>
    <row r="4383">
      <c r="A4383" t="s">
        <v>23557</v>
      </c>
      <c r="B4383" t="s">
        <v>26630</v>
      </c>
      <c r="C4383" t="s">
        <v>24</v>
      </c>
      <c r="D4383" t="s">
        <v>51</v>
      </c>
      <c r="E4383" t="s">
        <v>26631</v>
      </c>
      <c r="F4383" s="2" t="n">
        <f>HYPERLINK("https://patents.google.com/patent/US11278264","Google")</f>
        <v>0.0</v>
      </c>
      <c r="G4383" s="2" t="n">
        <f>HYPERLINK("https://patentcenter.uspto.gov/applications/17226980","Patent Center")</f>
        <v>0.0</v>
      </c>
      <c r="H4383" s="2" t="n">
        <f>HYPERLINK("https://worldwide.espacenet.com/patent/search?q=US11278264","Espacenet")</f>
        <v>0.0</v>
      </c>
      <c r="I4383" s="2" t="n">
        <f>HYPERLINK("https://ppubs.uspto.gov/pubwebapp/external.html?q=11278264.pn.","USPTO")</f>
        <v>0.0</v>
      </c>
      <c r="J4383" s="2" t="n">
        <f>HYPERLINK("https://image-ppubs.uspto.gov/dirsearch-public/print/downloadPdf/11278264","USPTO PDF")</f>
        <v>0.0</v>
      </c>
      <c r="K4383" s="2" t="n">
        <f>HYPERLINK("https://sectors.patentforecast.com/pmd/US11278264","PMD")</f>
        <v>0.0</v>
      </c>
      <c r="L4383" s="2" t="n">
        <f>HYPERLINK("https://globaldossier.uspto.gov/result/patent/US/11278264/1","US11278264")</f>
        <v>0.0</v>
      </c>
      <c r="M4383" t="s">
        <v>26632</v>
      </c>
      <c r="N4383" t="s">
        <v>26633</v>
      </c>
      <c r="O4383" t="s">
        <v>26634</v>
      </c>
      <c r="P4383" t="s">
        <v>26635</v>
      </c>
      <c r="Q4383" s="3" t="n">
        <v>44295.0</v>
      </c>
      <c r="R4383" s="3" t="n">
        <v>44642.0</v>
      </c>
      <c r="S4383" s="3" t="n">
        <v>44650.230089467594</v>
      </c>
      <c r="T4383" s="3" t="n">
        <v>44719.605136909726</v>
      </c>
      <c r="U4383" t="s">
        <v>26636</v>
      </c>
      <c r="V4383" t="s">
        <v>26637</v>
      </c>
    </row>
    <row r="4384">
      <c r="A4384" t="s">
        <v>23557</v>
      </c>
      <c r="B4384" t="s">
        <v>26638</v>
      </c>
      <c r="C4384" t="s">
        <v>24</v>
      </c>
      <c r="D4384" t="s">
        <v>69</v>
      </c>
      <c r="E4384" t="s">
        <v>26639</v>
      </c>
      <c r="F4384" s="2" t="n">
        <f>HYPERLINK("https://patents.google.com/patent/US11278067","Google")</f>
        <v>0.0</v>
      </c>
      <c r="G4384" s="2" t="n">
        <f>HYPERLINK("https://patentcenter.uspto.gov/applications/16935160","Patent Center")</f>
        <v>0.0</v>
      </c>
      <c r="H4384" s="2" t="n">
        <f>HYPERLINK("https://worldwide.espacenet.com/patent/search?q=US11278067","Espacenet")</f>
        <v>0.0</v>
      </c>
      <c r="I4384" s="2" t="n">
        <f>HYPERLINK("https://ppubs.uspto.gov/pubwebapp/external.html?q=11278067.pn.","USPTO")</f>
        <v>0.0</v>
      </c>
      <c r="J4384" s="2" t="n">
        <f>HYPERLINK("https://image-ppubs.uspto.gov/dirsearch-public/print/downloadPdf/11278067","USPTO PDF")</f>
        <v>0.0</v>
      </c>
      <c r="K4384" s="2" t="n">
        <f>HYPERLINK("https://sectors.patentforecast.com/pmd/US11278067","PMD")</f>
        <v>0.0</v>
      </c>
      <c r="L4384" s="2" t="n">
        <f>HYPERLINK("https://globaldossier.uspto.gov/result/patent/US/11278067/1","US11278067")</f>
        <v>0.0</v>
      </c>
      <c r="M4384" t="s">
        <v>13642</v>
      </c>
      <c r="N4384" t="s">
        <v>13643</v>
      </c>
      <c r="O4384" t="s">
        <v>13644</v>
      </c>
      <c r="P4384" t="s">
        <v>26640</v>
      </c>
      <c r="Q4384" s="3" t="n">
        <v>44033.0</v>
      </c>
      <c r="R4384" s="3" t="n">
        <v>44642.0</v>
      </c>
      <c r="S4384" s="3" t="n">
        <v>44643.229972106485</v>
      </c>
      <c r="T4384" s="3" t="n">
        <v>44658.622448449074</v>
      </c>
      <c r="U4384" t="s">
        <v>26641</v>
      </c>
      <c r="V4384" t="s">
        <v>26642</v>
      </c>
    </row>
    <row r="4385">
      <c r="A4385" t="s">
        <v>23557</v>
      </c>
      <c r="B4385" t="s">
        <v>26643</v>
      </c>
      <c r="C4385" t="s">
        <v>24</v>
      </c>
      <c r="D4385" t="s">
        <v>69</v>
      </c>
      <c r="E4385" t="s">
        <v>26644</v>
      </c>
      <c r="F4385" s="2" t="n">
        <f>HYPERLINK("https://patents.google.com/patent/US11277405","Google")</f>
        <v>0.0</v>
      </c>
      <c r="G4385" s="2" t="n">
        <f>HYPERLINK("https://patentcenter.uspto.gov/applications/16953087","Patent Center")</f>
        <v>0.0</v>
      </c>
      <c r="H4385" s="2" t="n">
        <f>HYPERLINK("https://worldwide.espacenet.com/patent/search?q=US11277405","Espacenet")</f>
        <v>0.0</v>
      </c>
      <c r="I4385" s="2" t="n">
        <f>HYPERLINK("https://ppubs.uspto.gov/pubwebapp/external.html?q=11277405.pn.","USPTO")</f>
        <v>0.0</v>
      </c>
      <c r="J4385" s="2" t="n">
        <f>HYPERLINK("https://image-ppubs.uspto.gov/dirsearch-public/print/downloadPdf/11277405","USPTO PDF")</f>
        <v>0.0</v>
      </c>
      <c r="K4385" s="2" t="n">
        <f>HYPERLINK("https://sectors.patentforecast.com/pmd/US11277405","PMD")</f>
        <v>0.0</v>
      </c>
      <c r="L4385" s="2" t="n">
        <f>HYPERLINK("https://globaldossier.uspto.gov/result/patent/US/11277405/1","US11277405")</f>
        <v>0.0</v>
      </c>
      <c r="M4385" t="s">
        <v>15433</v>
      </c>
      <c r="N4385" t="s">
        <v>15434</v>
      </c>
      <c r="O4385" t="s">
        <v>15435</v>
      </c>
      <c r="P4385" t="s">
        <v>26645</v>
      </c>
      <c r="Q4385" s="3" t="n">
        <v>44154.0</v>
      </c>
      <c r="R4385" s="3" t="n">
        <v>44635.0</v>
      </c>
      <c r="S4385" s="3" t="n">
        <v>44638.23001398148</v>
      </c>
      <c r="T4385" s="3" t="n">
        <v>44672.32488355324</v>
      </c>
      <c r="U4385" t="s">
        <v>26646</v>
      </c>
      <c r="V4385" t="s">
        <v>26647</v>
      </c>
    </row>
    <row r="4386">
      <c r="A4386" t="s">
        <v>23557</v>
      </c>
      <c r="B4386" t="s">
        <v>26648</v>
      </c>
      <c r="C4386" t="s">
        <v>24</v>
      </c>
      <c r="D4386" t="s">
        <v>25</v>
      </c>
      <c r="E4386" t="s">
        <v>26649</v>
      </c>
      <c r="F4386" s="2" t="n">
        <f>HYPERLINK("https://patents.google.com/patent/US11275595","Google")</f>
        <v>0.0</v>
      </c>
      <c r="G4386" s="2" t="n">
        <f>HYPERLINK("https://patentcenter.uspto.gov/applications/17062769","Patent Center")</f>
        <v>0.0</v>
      </c>
      <c r="H4386" s="2" t="n">
        <f>HYPERLINK("https://worldwide.espacenet.com/patent/search?q=US11275595","Espacenet")</f>
        <v>0.0</v>
      </c>
      <c r="I4386" s="2" t="n">
        <f>HYPERLINK("https://ppubs.uspto.gov/pubwebapp/external.html?q=11275595.pn.","USPTO")</f>
        <v>0.0</v>
      </c>
      <c r="J4386" s="2" t="n">
        <f>HYPERLINK("https://image-ppubs.uspto.gov/dirsearch-public/print/downloadPdf/11275595","USPTO PDF")</f>
        <v>0.0</v>
      </c>
      <c r="K4386" s="2" t="n">
        <f>HYPERLINK("https://sectors.patentforecast.com/pmd/US11275595","PMD")</f>
        <v>0.0</v>
      </c>
      <c r="L4386" s="2" t="n">
        <f>HYPERLINK("https://globaldossier.uspto.gov/result/patent/US/11275595/1","US11275595")</f>
        <v>0.0</v>
      </c>
      <c r="M4386" t="s">
        <v>2870</v>
      </c>
      <c r="N4386" t="s">
        <v>880</v>
      </c>
      <c r="O4386" t="s">
        <v>881</v>
      </c>
      <c r="P4386" t="s">
        <v>26650</v>
      </c>
      <c r="Q4386" s="3" t="n">
        <v>44109.0</v>
      </c>
      <c r="R4386" s="3" t="n">
        <v>44635.0</v>
      </c>
      <c r="S4386" s="3" t="n">
        <v>44643.229972106485</v>
      </c>
      <c r="T4386" s="3" t="n">
        <v>44672.329960358795</v>
      </c>
      <c r="U4386" t="s">
        <v>26651</v>
      </c>
      <c r="V4386" t="s">
        <v>26652</v>
      </c>
    </row>
    <row r="4387">
      <c r="A4387" t="s">
        <v>23557</v>
      </c>
      <c r="B4387" t="s">
        <v>26653</v>
      </c>
      <c r="C4387" t="s">
        <v>1492</v>
      </c>
      <c r="D4387" t="s">
        <v>26654</v>
      </c>
      <c r="E4387" t="s">
        <v>26655</v>
      </c>
      <c r="F4387" s="2" t="n">
        <f>HYPERLINK("https://patents.google.com/patent/US11275407","Google")</f>
        <v>0.0</v>
      </c>
      <c r="G4387" s="2" t="n">
        <f>HYPERLINK("https://patentcenter.uspto.gov/applications/17477441","Patent Center")</f>
        <v>0.0</v>
      </c>
      <c r="H4387" s="2" t="n">
        <f>HYPERLINK("https://worldwide.espacenet.com/patent/search?q=US11275407","Espacenet")</f>
        <v>0.0</v>
      </c>
      <c r="I4387" s="2" t="n">
        <f>HYPERLINK("https://ppubs.uspto.gov/pubwebapp/external.html?q=11275407.pn.","USPTO")</f>
        <v>0.0</v>
      </c>
      <c r="J4387" s="2" t="n">
        <f>HYPERLINK("https://image-ppubs.uspto.gov/dirsearch-public/print/downloadPdf/11275407","USPTO PDF")</f>
        <v>0.0</v>
      </c>
      <c r="K4387" s="2" t="n">
        <f>HYPERLINK("https://sectors.patentforecast.com/pmd/US11275407","PMD")</f>
        <v>0.0</v>
      </c>
      <c r="L4387" s="2" t="n">
        <f>HYPERLINK("https://globaldossier.uspto.gov/result/patent/US/11275407/1","US11275407")</f>
        <v>0.0</v>
      </c>
      <c r="M4387" t="s">
        <v>26656</v>
      </c>
      <c r="N4387" t="s">
        <v>14371</v>
      </c>
      <c r="O4387" t="s">
        <v>14372</v>
      </c>
      <c r="P4387" t="s">
        <v>26657</v>
      </c>
      <c r="Q4387" s="3" t="n">
        <v>44455.0</v>
      </c>
      <c r="R4387" s="3" t="n">
        <v>44635.0</v>
      </c>
      <c r="S4387" s="3" t="n">
        <v>44638.23001398148</v>
      </c>
      <c r="T4387" s="3" t="n">
        <v>44719.60544601852</v>
      </c>
      <c r="U4387" t="s">
        <v>26658</v>
      </c>
      <c r="V4387" t="s">
        <v>26659</v>
      </c>
    </row>
    <row r="4388">
      <c r="A4388" t="s">
        <v>23557</v>
      </c>
      <c r="B4388" t="s">
        <v>26660</v>
      </c>
      <c r="C4388" t="s">
        <v>60</v>
      </c>
      <c r="D4388" t="s">
        <v>1257</v>
      </c>
      <c r="E4388" t="s">
        <v>26661</v>
      </c>
      <c r="F4388" s="2" t="n">
        <f>HYPERLINK("https://patents.google.com/patent/US11275091","Google")</f>
        <v>0.0</v>
      </c>
      <c r="G4388" s="2" t="n">
        <f>HYPERLINK("https://patentcenter.uspto.gov/applications/17131871","Patent Center")</f>
        <v>0.0</v>
      </c>
      <c r="H4388" s="2" t="n">
        <f>HYPERLINK("https://worldwide.espacenet.com/patent/search?q=US11275091","Espacenet")</f>
        <v>0.0</v>
      </c>
      <c r="I4388" s="2" t="n">
        <f>HYPERLINK("https://ppubs.uspto.gov/pubwebapp/external.html?q=11275091.pn.","USPTO")</f>
        <v>0.0</v>
      </c>
      <c r="J4388" s="2" t="n">
        <f>HYPERLINK("https://image-ppubs.uspto.gov/dirsearch-public/print/downloadPdf/11275091","USPTO PDF")</f>
        <v>0.0</v>
      </c>
      <c r="K4388" s="2" t="n">
        <f>HYPERLINK("https://sectors.patentforecast.com/pmd/US11275091","PMD")</f>
        <v>0.0</v>
      </c>
      <c r="L4388" s="2" t="n">
        <f>HYPERLINK("https://globaldossier.uspto.gov/result/patent/US/11275091/1","US11275091")</f>
        <v>0.0</v>
      </c>
      <c r="M4388" t="s">
        <v>11844</v>
      </c>
      <c r="N4388" t="s">
        <v>11116</v>
      </c>
      <c r="O4388" t="s">
        <v>11117</v>
      </c>
      <c r="P4388" t="s">
        <v>26088</v>
      </c>
      <c r="Q4388" s="3" t="n">
        <v>44188.0</v>
      </c>
      <c r="R4388" s="3" t="n">
        <v>44635.0</v>
      </c>
      <c r="S4388" s="3" t="n">
        <v>44638.23001398148</v>
      </c>
      <c r="T4388" s="3" t="n">
        <v>44694.5661403125</v>
      </c>
      <c r="U4388" t="s">
        <v>26662</v>
      </c>
      <c r="V4388" t="s">
        <v>26663</v>
      </c>
    </row>
    <row r="4389">
      <c r="A4389" t="s">
        <v>23557</v>
      </c>
      <c r="B4389" t="s">
        <v>26664</v>
      </c>
      <c r="C4389" t="s">
        <v>24</v>
      </c>
      <c r="D4389" t="s">
        <v>51</v>
      </c>
      <c r="E4389" t="s">
        <v>26665</v>
      </c>
      <c r="F4389" s="2" t="n">
        <f>HYPERLINK("https://patents.google.com/patent/US11274352","Google")</f>
        <v>0.0</v>
      </c>
      <c r="G4389" s="2" t="n">
        <f>HYPERLINK("https://patentcenter.uspto.gov/applications/17466906","Patent Center")</f>
        <v>0.0</v>
      </c>
      <c r="H4389" s="2" t="n">
        <f>HYPERLINK("https://worldwide.espacenet.com/patent/search?q=US11274352","Espacenet")</f>
        <v>0.0</v>
      </c>
      <c r="I4389" s="2" t="n">
        <f>HYPERLINK("https://ppubs.uspto.gov/pubwebapp/external.html?q=11274352.pn.","USPTO")</f>
        <v>0.0</v>
      </c>
      <c r="J4389" s="2" t="n">
        <f>HYPERLINK("https://image-ppubs.uspto.gov/dirsearch-public/print/downloadPdf/11274352","USPTO PDF")</f>
        <v>0.0</v>
      </c>
      <c r="K4389" s="2" t="n">
        <f>HYPERLINK("https://sectors.patentforecast.com/pmd/US11274352","PMD")</f>
        <v>0.0</v>
      </c>
      <c r="L4389" s="2" t="n">
        <f>HYPERLINK("https://globaldossier.uspto.gov/result/patent/US/11274352/1","US11274352")</f>
        <v>0.0</v>
      </c>
      <c r="M4389" t="s">
        <v>8089</v>
      </c>
      <c r="N4389" t="s">
        <v>8090</v>
      </c>
      <c r="O4389" t="s">
        <v>8091</v>
      </c>
      <c r="P4389" t="s">
        <v>26666</v>
      </c>
      <c r="Q4389" s="3" t="n">
        <v>44442.0</v>
      </c>
      <c r="R4389" s="3" t="n">
        <v>44635.0</v>
      </c>
      <c r="S4389" s="3" t="n">
        <v>44638.23001398148</v>
      </c>
      <c r="T4389" s="3" t="n">
        <v>44672.47536334491</v>
      </c>
      <c r="U4389" t="s">
        <v>26667</v>
      </c>
      <c r="V4389" t="s">
        <v>26668</v>
      </c>
    </row>
    <row r="4390">
      <c r="A4390" t="s">
        <v>23557</v>
      </c>
      <c r="B4390" t="s">
        <v>26669</v>
      </c>
      <c r="C4390" t="s">
        <v>60</v>
      </c>
      <c r="D4390" t="s">
        <v>715</v>
      </c>
      <c r="E4390" t="s">
        <v>26670</v>
      </c>
      <c r="F4390" s="2" t="n">
        <f>HYPERLINK("https://patents.google.com/patent/US11273330","Google")</f>
        <v>0.0</v>
      </c>
      <c r="G4390" s="2" t="n">
        <f>HYPERLINK("https://patentcenter.uspto.gov/applications/17242557","Patent Center")</f>
        <v>0.0</v>
      </c>
      <c r="H4390" s="2" t="n">
        <f>HYPERLINK("https://worldwide.espacenet.com/patent/search?q=US11273330","Espacenet")</f>
        <v>0.0</v>
      </c>
      <c r="I4390" s="2" t="n">
        <f>HYPERLINK("https://ppubs.uspto.gov/pubwebapp/external.html?q=11273330.pn.","USPTO")</f>
        <v>0.0</v>
      </c>
      <c r="J4390" s="2" t="n">
        <f>HYPERLINK("https://image-ppubs.uspto.gov/dirsearch-public/print/downloadPdf/11273330","USPTO PDF")</f>
        <v>0.0</v>
      </c>
      <c r="K4390" s="2" t="n">
        <f>HYPERLINK("https://sectors.patentforecast.com/pmd/US11273330","PMD")</f>
        <v>0.0</v>
      </c>
      <c r="L4390" s="2" t="n">
        <f>HYPERLINK("https://globaldossier.uspto.gov/result/patent/US/11273330/1","US11273330")</f>
        <v>0.0</v>
      </c>
      <c r="M4390" t="s">
        <v>8350</v>
      </c>
      <c r="N4390" t="s">
        <v>8351</v>
      </c>
      <c r="O4390" t="s">
        <v>8352</v>
      </c>
      <c r="P4390" t="s">
        <v>26671</v>
      </c>
      <c r="Q4390" s="3" t="n">
        <v>44314.0</v>
      </c>
      <c r="R4390" s="3" t="n">
        <v>44635.0</v>
      </c>
      <c r="S4390" s="3" t="n">
        <v>44638.23001398148</v>
      </c>
      <c r="T4390" s="3" t="n">
        <v>44658.64259178241</v>
      </c>
      <c r="U4390" t="s">
        <v>26672</v>
      </c>
      <c r="V4390" t="s">
        <v>26673</v>
      </c>
    </row>
    <row r="4391">
      <c r="A4391" t="s">
        <v>23557</v>
      </c>
      <c r="B4391" t="s">
        <v>26674</v>
      </c>
      <c r="C4391" t="s">
        <v>1292</v>
      </c>
      <c r="D4391" t="s">
        <v>1316</v>
      </c>
      <c r="E4391" t="s">
        <v>26675</v>
      </c>
      <c r="F4391" s="2" t="n">
        <f>HYPERLINK("https://patents.google.com/patent/US11273163","Google")</f>
        <v>0.0</v>
      </c>
      <c r="G4391" s="2" t="n">
        <f>HYPERLINK("https://patentcenter.uspto.gov/applications/17333857","Patent Center")</f>
        <v>0.0</v>
      </c>
      <c r="H4391" s="2" t="n">
        <f>HYPERLINK("https://worldwide.espacenet.com/patent/search?q=US11273163","Espacenet")</f>
        <v>0.0</v>
      </c>
      <c r="I4391" s="2" t="n">
        <f>HYPERLINK("https://ppubs.uspto.gov/pubwebapp/external.html?q=11273163.pn.","USPTO")</f>
        <v>0.0</v>
      </c>
      <c r="J4391" s="2" t="n">
        <f>HYPERLINK("https://image-ppubs.uspto.gov/dirsearch-public/print/downloadPdf/11273163","USPTO PDF")</f>
        <v>0.0</v>
      </c>
      <c r="K4391" s="2" t="n">
        <f>HYPERLINK("https://sectors.patentforecast.com/pmd/US11273163","PMD")</f>
        <v>0.0</v>
      </c>
      <c r="L4391" s="2" t="n">
        <f>HYPERLINK("https://globaldossier.uspto.gov/result/patent/US/11273163/1","US11273163")</f>
        <v>0.0</v>
      </c>
      <c r="M4391" t="s">
        <v>9440</v>
      </c>
      <c r="N4391" t="s">
        <v>672</v>
      </c>
      <c r="O4391" t="s">
        <v>673</v>
      </c>
      <c r="P4391" t="s">
        <v>26676</v>
      </c>
      <c r="Q4391" s="3" t="n">
        <v>44344.0</v>
      </c>
      <c r="R4391" s="3" t="n">
        <v>44635.0</v>
      </c>
      <c r="S4391" s="3" t="n">
        <v>44638.22944672454</v>
      </c>
      <c r="T4391" s="3" t="n">
        <v>44694.566140601855</v>
      </c>
      <c r="U4391" t="s">
        <v>26677</v>
      </c>
      <c r="V4391" t="s">
        <v>26678</v>
      </c>
    </row>
    <row r="4392">
      <c r="A4392" t="s">
        <v>23557</v>
      </c>
      <c r="B4392" t="s">
        <v>26679</v>
      </c>
      <c r="C4392" t="s">
        <v>24</v>
      </c>
      <c r="D4392" t="s">
        <v>25</v>
      </c>
      <c r="E4392" t="s">
        <v>26680</v>
      </c>
      <c r="F4392" s="2" t="n">
        <f>HYPERLINK("https://patents.google.com/patent/US11272859","Google")</f>
        <v>0.0</v>
      </c>
      <c r="G4392" s="2" t="n">
        <f>HYPERLINK("https://patentcenter.uspto.gov/applications/17321812","Patent Center")</f>
        <v>0.0</v>
      </c>
      <c r="H4392" s="2" t="n">
        <f>HYPERLINK("https://worldwide.espacenet.com/patent/search?q=US11272859","Espacenet")</f>
        <v>0.0</v>
      </c>
      <c r="I4392" s="2" t="n">
        <f>HYPERLINK("https://ppubs.uspto.gov/pubwebapp/external.html?q=11272859.pn.","USPTO")</f>
        <v>0.0</v>
      </c>
      <c r="J4392" s="2" t="n">
        <f>HYPERLINK("https://image-ppubs.uspto.gov/dirsearch-public/print/downloadPdf/11272859","USPTO PDF")</f>
        <v>0.0</v>
      </c>
      <c r="K4392" s="2" t="n">
        <f>HYPERLINK("https://sectors.patentforecast.com/pmd/US11272859","PMD")</f>
        <v>0.0</v>
      </c>
      <c r="L4392" s="2" t="n">
        <f>HYPERLINK("https://globaldossier.uspto.gov/result/patent/US/11272859/1","US11272859")</f>
        <v>0.0</v>
      </c>
      <c r="M4392" t="s">
        <v>26681</v>
      </c>
      <c r="N4392" t="s">
        <v>26682</v>
      </c>
      <c r="O4392" t="s">
        <v>26683</v>
      </c>
      <c r="P4392" t="s">
        <v>26684</v>
      </c>
      <c r="Q4392" s="3" t="n">
        <v>44333.0</v>
      </c>
      <c r="R4392" s="3" t="n">
        <v>44635.0</v>
      </c>
      <c r="S4392" s="3" t="n">
        <v>44643.229972106485</v>
      </c>
      <c r="T4392" s="3" t="n">
        <v>44719.60548702547</v>
      </c>
      <c r="U4392" t="s">
        <v>26685</v>
      </c>
      <c r="V4392" t="s">
        <v>26686</v>
      </c>
    </row>
    <row r="4393">
      <c r="A4393" t="s">
        <v>23557</v>
      </c>
      <c r="B4393" t="s">
        <v>26687</v>
      </c>
      <c r="C4393" t="s">
        <v>24</v>
      </c>
      <c r="D4393" t="s">
        <v>69</v>
      </c>
      <c r="E4393" t="s">
        <v>26688</v>
      </c>
      <c r="F4393" s="2" t="n">
        <f>HYPERLINK("https://patents.google.com/patent/US11272749","Google")</f>
        <v>0.0</v>
      </c>
      <c r="G4393" s="2" t="n">
        <f>HYPERLINK("https://patentcenter.uspto.gov/applications/16840889","Patent Center")</f>
        <v>0.0</v>
      </c>
      <c r="H4393" s="2" t="n">
        <f>HYPERLINK("https://worldwide.espacenet.com/patent/search?q=US11272749","Espacenet")</f>
        <v>0.0</v>
      </c>
      <c r="I4393" s="2" t="n">
        <f>HYPERLINK("https://ppubs.uspto.gov/pubwebapp/external.html?q=11272749.pn.","USPTO")</f>
        <v>0.0</v>
      </c>
      <c r="J4393" s="2" t="n">
        <f>HYPERLINK("https://image-ppubs.uspto.gov/dirsearch-public/print/downloadPdf/11272749","USPTO PDF")</f>
        <v>0.0</v>
      </c>
      <c r="K4393" s="2" t="n">
        <f>HYPERLINK("https://sectors.patentforecast.com/pmd/US11272749","PMD")</f>
        <v>0.0</v>
      </c>
      <c r="L4393" s="2" t="n">
        <f>HYPERLINK("https://globaldossier.uspto.gov/result/patent/US/11272749/1","US11272749")</f>
        <v>0.0</v>
      </c>
      <c r="M4393" t="s">
        <v>14527</v>
      </c>
      <c r="N4393" t="s">
        <v>14521</v>
      </c>
      <c r="O4393" t="s">
        <v>14521</v>
      </c>
      <c r="P4393" t="s">
        <v>26689</v>
      </c>
      <c r="Q4393" s="3" t="n">
        <v>43927.0</v>
      </c>
      <c r="R4393" s="3" t="n">
        <v>44635.0</v>
      </c>
      <c r="S4393" s="3" t="n">
        <v>44638.23001398148</v>
      </c>
      <c r="T4393" s="3" t="n">
        <v>44658.61965958333</v>
      </c>
      <c r="U4393" t="s">
        <v>26690</v>
      </c>
      <c r="V4393" t="s">
        <v>26691</v>
      </c>
    </row>
    <row r="4394">
      <c r="A4394" t="s">
        <v>23557</v>
      </c>
      <c r="B4394" t="s">
        <v>26692</v>
      </c>
      <c r="C4394" t="s">
        <v>24</v>
      </c>
      <c r="D4394" t="s">
        <v>25</v>
      </c>
      <c r="E4394" t="s">
        <v>26693</v>
      </c>
      <c r="F4394" s="2" t="n">
        <f>HYPERLINK("https://patents.google.com/patent/US11270566","Google")</f>
        <v>0.0</v>
      </c>
      <c r="G4394" s="2" t="n">
        <f>HYPERLINK("https://patentcenter.uspto.gov/applications/17307799","Patent Center")</f>
        <v>0.0</v>
      </c>
      <c r="H4394" s="2" t="n">
        <f>HYPERLINK("https://worldwide.espacenet.com/patent/search?q=US11270566","Espacenet")</f>
        <v>0.0</v>
      </c>
      <c r="I4394" s="2" t="n">
        <f>HYPERLINK("https://ppubs.uspto.gov/pubwebapp/external.html?q=11270566.pn.","USPTO")</f>
        <v>0.0</v>
      </c>
      <c r="J4394" s="2" t="n">
        <f>HYPERLINK("https://image-ppubs.uspto.gov/dirsearch-public/print/downloadPdf/11270566","USPTO PDF")</f>
        <v>0.0</v>
      </c>
      <c r="K4394" s="2" t="n">
        <f>HYPERLINK("https://sectors.patentforecast.com/pmd/US11270566","PMD")</f>
        <v>0.0</v>
      </c>
      <c r="L4394" s="2" t="n">
        <f>HYPERLINK("https://globaldossier.uspto.gov/result/patent/US/11270566/1","US11270566")</f>
        <v>0.0</v>
      </c>
      <c r="M4394" t="s">
        <v>26694</v>
      </c>
      <c r="N4394" t="s">
        <v>26695</v>
      </c>
      <c r="O4394" t="s">
        <v>26695</v>
      </c>
      <c r="P4394" t="s">
        <v>26696</v>
      </c>
      <c r="Q4394" s="3" t="n">
        <v>44320.0</v>
      </c>
      <c r="R4394" s="3" t="n">
        <v>44628.0</v>
      </c>
      <c r="S4394" s="3" t="n">
        <v>44636.229969293985</v>
      </c>
      <c r="T4394" s="3" t="n">
        <v>44719.60556568287</v>
      </c>
      <c r="U4394" t="s">
        <v>26697</v>
      </c>
      <c r="V4394" t="s">
        <v>26698</v>
      </c>
    </row>
    <row r="4395">
      <c r="A4395" t="s">
        <v>23557</v>
      </c>
      <c r="B4395" t="s">
        <v>26699</v>
      </c>
      <c r="C4395" t="s">
        <v>24</v>
      </c>
      <c r="D4395" t="s">
        <v>69</v>
      </c>
      <c r="E4395" t="s">
        <v>26700</v>
      </c>
      <c r="F4395" s="2" t="n">
        <f>HYPERLINK("https://patents.google.com/patent/US11269306","Google")</f>
        <v>0.0</v>
      </c>
      <c r="G4395" s="2" t="n">
        <f>HYPERLINK("https://patentcenter.uspto.gov/applications/16927759","Patent Center")</f>
        <v>0.0</v>
      </c>
      <c r="H4395" s="2" t="n">
        <f>HYPERLINK("https://worldwide.espacenet.com/patent/search?q=US11269306","Espacenet")</f>
        <v>0.0</v>
      </c>
      <c r="I4395" s="2" t="n">
        <f>HYPERLINK("https://ppubs.uspto.gov/pubwebapp/external.html?q=11269306.pn.","USPTO")</f>
        <v>0.0</v>
      </c>
      <c r="J4395" s="2" t="n">
        <f>HYPERLINK("https://image-ppubs.uspto.gov/dirsearch-public/print/downloadPdf/11269306","USPTO PDF")</f>
        <v>0.0</v>
      </c>
      <c r="K4395" s="2" t="n">
        <f>HYPERLINK("https://sectors.patentforecast.com/pmd/US11269306","PMD")</f>
        <v>0.0</v>
      </c>
      <c r="L4395" s="2" t="n">
        <f>HYPERLINK("https://globaldossier.uspto.gov/result/patent/US/11269306/1","US11269306")</f>
        <v>0.0</v>
      </c>
      <c r="M4395" t="s">
        <v>15775</v>
      </c>
      <c r="N4395" t="s">
        <v>1520</v>
      </c>
      <c r="O4395" t="s">
        <v>1521</v>
      </c>
      <c r="P4395" t="s">
        <v>26701</v>
      </c>
      <c r="Q4395" s="3" t="n">
        <v>44025.0</v>
      </c>
      <c r="R4395" s="3" t="n">
        <v>44628.0</v>
      </c>
      <c r="S4395" s="3" t="n">
        <v>44631.18823559028</v>
      </c>
      <c r="T4395" s="3" t="n">
        <v>44672.32287177083</v>
      </c>
      <c r="U4395" t="s">
        <v>26702</v>
      </c>
      <c r="V4395" t="s">
        <v>26703</v>
      </c>
    </row>
    <row r="4396">
      <c r="A4396" t="s">
        <v>23557</v>
      </c>
      <c r="B4396" t="s">
        <v>26704</v>
      </c>
      <c r="C4396" t="s">
        <v>24</v>
      </c>
      <c r="D4396" t="s">
        <v>69</v>
      </c>
      <c r="E4396" t="s">
        <v>26705</v>
      </c>
      <c r="F4396" s="2" t="n">
        <f>HYPERLINK("https://patents.google.com/patent/US11268224","Google")</f>
        <v>0.0</v>
      </c>
      <c r="G4396" s="2" t="n">
        <f>HYPERLINK("https://patentcenter.uspto.gov/applications/17363044","Patent Center")</f>
        <v>0.0</v>
      </c>
      <c r="H4396" s="2" t="n">
        <f>HYPERLINK("https://worldwide.espacenet.com/patent/search?q=US11268224","Espacenet")</f>
        <v>0.0</v>
      </c>
      <c r="I4396" s="2" t="n">
        <f>HYPERLINK("https://ppubs.uspto.gov/pubwebapp/external.html?q=11268224.pn.","USPTO")</f>
        <v>0.0</v>
      </c>
      <c r="J4396" s="2" t="n">
        <f>HYPERLINK("https://image-ppubs.uspto.gov/dirsearch-public/print/downloadPdf/11268224","USPTO PDF")</f>
        <v>0.0</v>
      </c>
      <c r="K4396" s="2" t="n">
        <f>HYPERLINK("https://sectors.patentforecast.com/pmd/US11268224","PMD")</f>
        <v>0.0</v>
      </c>
      <c r="L4396" s="2" t="n">
        <f>HYPERLINK("https://globaldossier.uspto.gov/result/patent/US/11268224/1","US11268224")</f>
        <v>0.0</v>
      </c>
      <c r="M4396" t="s">
        <v>26706</v>
      </c>
      <c r="N4396" t="s">
        <v>26707</v>
      </c>
      <c r="O4396" t="s">
        <v>26708</v>
      </c>
      <c r="P4396" t="s">
        <v>26709</v>
      </c>
      <c r="Q4396" s="3" t="n">
        <v>44377.0</v>
      </c>
      <c r="R4396" s="3" t="n">
        <v>44628.0</v>
      </c>
      <c r="S4396" s="3" t="n">
        <v>44636.229969293985</v>
      </c>
      <c r="T4396" s="3" t="n">
        <v>44658.61965958333</v>
      </c>
      <c r="U4396" t="s">
        <v>26710</v>
      </c>
      <c r="V4396" t="s">
        <v>26711</v>
      </c>
    </row>
    <row r="4397">
      <c r="A4397" t="s">
        <v>23557</v>
      </c>
      <c r="B4397" t="s">
        <v>26712</v>
      </c>
      <c r="C4397" t="s">
        <v>24</v>
      </c>
      <c r="D4397" t="s">
        <v>100</v>
      </c>
      <c r="E4397" t="s">
        <v>26713</v>
      </c>
      <c r="F4397" s="2" t="n">
        <f>HYPERLINK("https://patents.google.com/patent/US11266855","Google")</f>
        <v>0.0</v>
      </c>
      <c r="G4397" s="2" t="n">
        <f>HYPERLINK("https://patentcenter.uspto.gov/applications/16826229","Patent Center")</f>
        <v>0.0</v>
      </c>
      <c r="H4397" s="2" t="n">
        <f>HYPERLINK("https://worldwide.espacenet.com/patent/search?q=US11266855","Espacenet")</f>
        <v>0.0</v>
      </c>
      <c r="I4397" s="2" t="n">
        <f>HYPERLINK("https://ppubs.uspto.gov/pubwebapp/external.html?q=11266855.pn.","USPTO")</f>
        <v>0.0</v>
      </c>
      <c r="J4397" s="2" t="n">
        <f>HYPERLINK("https://image-ppubs.uspto.gov/dirsearch-public/print/downloadPdf/11266855","USPTO PDF")</f>
        <v>0.0</v>
      </c>
      <c r="K4397" s="2" t="n">
        <f>HYPERLINK("https://sectors.patentforecast.com/pmd/US11266855","PMD")</f>
        <v>0.0</v>
      </c>
      <c r="L4397" s="2" t="n">
        <f>HYPERLINK("https://globaldossier.uspto.gov/result/patent/US/11266855/1","US11266855")</f>
        <v>0.0</v>
      </c>
      <c r="M4397" t="s">
        <v>16626</v>
      </c>
      <c r="N4397" t="s">
        <v>16627</v>
      </c>
      <c r="O4397" t="s">
        <v>16628</v>
      </c>
      <c r="P4397" t="s">
        <v>26714</v>
      </c>
      <c r="Q4397" s="3" t="n">
        <v>43911.0</v>
      </c>
      <c r="R4397" s="3" t="n">
        <v>44628.0</v>
      </c>
      <c r="S4397" s="3" t="n">
        <v>44629.188425532404</v>
      </c>
      <c r="T4397" s="3" t="n">
        <v>44672.31393363426</v>
      </c>
      <c r="U4397" t="s">
        <v>26715</v>
      </c>
      <c r="V4397" t="s">
        <v>26716</v>
      </c>
    </row>
    <row r="4398">
      <c r="A4398" t="s">
        <v>23557</v>
      </c>
      <c r="B4398" t="s">
        <v>26717</v>
      </c>
      <c r="C4398" t="s">
        <v>60</v>
      </c>
      <c r="D4398" t="s">
        <v>61</v>
      </c>
      <c r="E4398" t="s">
        <v>26718</v>
      </c>
      <c r="F4398" s="2" t="n">
        <f>HYPERLINK("https://patents.google.com/patent/US11266723","Google")</f>
        <v>0.0</v>
      </c>
      <c r="G4398" s="2" t="n">
        <f>HYPERLINK("https://patentcenter.uspto.gov/applications/17342897","Patent Center")</f>
        <v>0.0</v>
      </c>
      <c r="H4398" s="2" t="n">
        <f>HYPERLINK("https://worldwide.espacenet.com/patent/search?q=US11266723","Espacenet")</f>
        <v>0.0</v>
      </c>
      <c r="I4398" s="2" t="n">
        <f>HYPERLINK("https://ppubs.uspto.gov/pubwebapp/external.html?q=11266723.pn.","USPTO")</f>
        <v>0.0</v>
      </c>
      <c r="J4398" s="2" t="n">
        <f>HYPERLINK("https://image-ppubs.uspto.gov/dirsearch-public/print/downloadPdf/11266723","USPTO PDF")</f>
        <v>0.0</v>
      </c>
      <c r="K4398" s="2" t="n">
        <f>HYPERLINK("https://sectors.patentforecast.com/pmd/US11266723","PMD")</f>
        <v>0.0</v>
      </c>
      <c r="L4398" s="2" t="n">
        <f>HYPERLINK("https://globaldossier.uspto.gov/result/patent/US/11266723/1","US11266723")</f>
        <v>0.0</v>
      </c>
      <c r="M4398" t="s">
        <v>5975</v>
      </c>
      <c r="N4398" t="s">
        <v>5976</v>
      </c>
      <c r="O4398" t="s">
        <v>5977</v>
      </c>
      <c r="P4398" t="s">
        <v>26719</v>
      </c>
      <c r="Q4398" s="3" t="n">
        <v>44356.0</v>
      </c>
      <c r="R4398" s="3" t="n">
        <v>44628.0</v>
      </c>
      <c r="S4398" s="3" t="n">
        <v>44636.229969293985</v>
      </c>
      <c r="T4398" s="3" t="n">
        <v>44638.70735418981</v>
      </c>
      <c r="U4398" t="s">
        <v>26720</v>
      </c>
      <c r="V4398" t="s">
        <v>26721</v>
      </c>
    </row>
    <row r="4399">
      <c r="A4399" t="s">
        <v>23557</v>
      </c>
      <c r="B4399" t="s">
        <v>26722</v>
      </c>
      <c r="C4399" t="s">
        <v>60</v>
      </c>
      <c r="D4399" t="s">
        <v>4942</v>
      </c>
      <c r="E4399" t="s">
        <v>26723</v>
      </c>
      <c r="F4399" s="2" t="n">
        <f>HYPERLINK("https://patents.google.com/patent/US11266707","Google")</f>
        <v>0.0</v>
      </c>
      <c r="G4399" s="2" t="n">
        <f>HYPERLINK("https://patentcenter.uspto.gov/applications/16866430","Patent Center")</f>
        <v>0.0</v>
      </c>
      <c r="H4399" s="2" t="n">
        <f>HYPERLINK("https://worldwide.espacenet.com/patent/search?q=US11266707","Espacenet")</f>
        <v>0.0</v>
      </c>
      <c r="I4399" s="2" t="n">
        <f>HYPERLINK("https://ppubs.uspto.gov/pubwebapp/external.html?q=11266707.pn.","USPTO")</f>
        <v>0.0</v>
      </c>
      <c r="J4399" s="2" t="n">
        <f>HYPERLINK("https://image-ppubs.uspto.gov/dirsearch-public/print/downloadPdf/11266707","USPTO PDF")</f>
        <v>0.0</v>
      </c>
      <c r="K4399" s="2" t="n">
        <f>HYPERLINK("https://sectors.patentforecast.com/pmd/US11266707","PMD")</f>
        <v>0.0</v>
      </c>
      <c r="L4399" s="2" t="n">
        <f>HYPERLINK("https://globaldossier.uspto.gov/result/patent/US/11266707/1","US11266707")</f>
        <v>0.0</v>
      </c>
      <c r="M4399" t="s">
        <v>11131</v>
      </c>
      <c r="N4399" t="s">
        <v>619</v>
      </c>
      <c r="O4399" t="s">
        <v>620</v>
      </c>
      <c r="P4399" t="s">
        <v>26724</v>
      </c>
      <c r="Q4399" s="3" t="n">
        <v>43955.0</v>
      </c>
      <c r="R4399" s="3" t="n">
        <v>44628.0</v>
      </c>
      <c r="S4399" s="3" t="n">
        <v>44629.18784540509</v>
      </c>
      <c r="T4399" s="3" t="n">
        <v>44658.60866859954</v>
      </c>
      <c r="U4399" t="s">
        <v>26725</v>
      </c>
      <c r="V4399" t="s">
        <v>26726</v>
      </c>
    </row>
    <row r="4400">
      <c r="A4400" t="s">
        <v>23557</v>
      </c>
      <c r="B4400" t="s">
        <v>26727</v>
      </c>
      <c r="C4400" t="s">
        <v>60</v>
      </c>
      <c r="D4400" t="s">
        <v>61</v>
      </c>
      <c r="E4400" t="s">
        <v>26728</v>
      </c>
      <c r="F4400" s="2" t="n">
        <f>HYPERLINK("https://patents.google.com/patent/US11266681","Google")</f>
        <v>0.0</v>
      </c>
      <c r="G4400" s="2" t="n">
        <f>HYPERLINK("https://patentcenter.uspto.gov/applications/16865209","Patent Center")</f>
        <v>0.0</v>
      </c>
      <c r="H4400" s="2" t="n">
        <f>HYPERLINK("https://worldwide.espacenet.com/patent/search?q=US11266681","Espacenet")</f>
        <v>0.0</v>
      </c>
      <c r="I4400" s="2" t="n">
        <f>HYPERLINK("https://ppubs.uspto.gov/pubwebapp/external.html?q=11266681.pn.","USPTO")</f>
        <v>0.0</v>
      </c>
      <c r="J4400" s="2" t="n">
        <f>HYPERLINK("https://image-ppubs.uspto.gov/dirsearch-public/print/downloadPdf/11266681","USPTO PDF")</f>
        <v>0.0</v>
      </c>
      <c r="K4400" s="2" t="n">
        <f>HYPERLINK("https://sectors.patentforecast.com/pmd/US11266681","PMD")</f>
        <v>0.0</v>
      </c>
      <c r="L4400" s="2" t="n">
        <f>HYPERLINK("https://globaldossier.uspto.gov/result/patent/US/11266681/1","US11266681")</f>
        <v>0.0</v>
      </c>
      <c r="M4400" t="s">
        <v>26729</v>
      </c>
      <c r="N4400" t="s">
        <v>664</v>
      </c>
      <c r="O4400" t="s">
        <v>665</v>
      </c>
      <c r="P4400" t="s">
        <v>26730</v>
      </c>
      <c r="Q4400" s="3" t="n">
        <v>43952.0</v>
      </c>
      <c r="R4400" s="3" t="n">
        <v>44628.0</v>
      </c>
      <c r="S4400" s="3" t="n">
        <v>44643.23240263889</v>
      </c>
      <c r="T4400" s="3" t="n">
        <v>44658.63826554398</v>
      </c>
      <c r="U4400" t="s">
        <v>26731</v>
      </c>
      <c r="V4400" t="s">
        <v>26732</v>
      </c>
    </row>
    <row r="4401">
      <c r="A4401" t="s">
        <v>23557</v>
      </c>
      <c r="B4401" t="s">
        <v>26733</v>
      </c>
      <c r="C4401" t="s">
        <v>60</v>
      </c>
      <c r="D4401" t="s">
        <v>61</v>
      </c>
      <c r="E4401" t="s">
        <v>23658</v>
      </c>
      <c r="F4401" s="2" t="n">
        <f>HYPERLINK("https://patents.google.com/patent/US11266666","Google")</f>
        <v>0.0</v>
      </c>
      <c r="G4401" s="2" t="n">
        <f>HYPERLINK("https://patentcenter.uspto.gov/applications/16881419","Patent Center")</f>
        <v>0.0</v>
      </c>
      <c r="H4401" s="2" t="n">
        <f>HYPERLINK("https://worldwide.espacenet.com/patent/search?q=US11266666","Espacenet")</f>
        <v>0.0</v>
      </c>
      <c r="I4401" s="2" t="n">
        <f>HYPERLINK("https://ppubs.uspto.gov/pubwebapp/external.html?q=11266666.pn.","USPTO")</f>
        <v>0.0</v>
      </c>
      <c r="J4401" s="2" t="n">
        <f>HYPERLINK("https://image-ppubs.uspto.gov/dirsearch-public/print/downloadPdf/11266666","USPTO PDF")</f>
        <v>0.0</v>
      </c>
      <c r="K4401" s="2" t="n">
        <f>HYPERLINK("https://sectors.patentforecast.com/pmd/US11266666","PMD")</f>
        <v>0.0</v>
      </c>
      <c r="L4401" s="2" t="n">
        <f>HYPERLINK("https://globaldossier.uspto.gov/result/patent/US/11266666/1","US11266666")</f>
        <v>0.0</v>
      </c>
      <c r="M4401" t="s">
        <v>26734</v>
      </c>
      <c r="N4401" t="s">
        <v>664</v>
      </c>
      <c r="O4401" t="s">
        <v>665</v>
      </c>
      <c r="P4401" t="s">
        <v>26735</v>
      </c>
      <c r="Q4401" s="3" t="n">
        <v>43973.0</v>
      </c>
      <c r="R4401" s="3" t="n">
        <v>44628.0</v>
      </c>
      <c r="S4401" s="3" t="n">
        <v>44643.23240263889</v>
      </c>
      <c r="T4401" s="3" t="n">
        <v>44658.641172916665</v>
      </c>
      <c r="U4401" t="s">
        <v>26736</v>
      </c>
      <c r="V4401" t="s">
        <v>26737</v>
      </c>
    </row>
    <row r="4402">
      <c r="A4402" t="s">
        <v>23557</v>
      </c>
      <c r="B4402" t="s">
        <v>26738</v>
      </c>
      <c r="C4402" t="s">
        <v>60</v>
      </c>
      <c r="D4402" t="s">
        <v>61</v>
      </c>
      <c r="E4402" t="s">
        <v>26739</v>
      </c>
      <c r="F4402" s="2" t="n">
        <f>HYPERLINK("https://patents.google.com/patent/US11266632","Google")</f>
        <v>0.0</v>
      </c>
      <c r="G4402" s="2" t="n">
        <f>HYPERLINK("https://patentcenter.uspto.gov/applications/17380325","Patent Center")</f>
        <v>0.0</v>
      </c>
      <c r="H4402" s="2" t="n">
        <f>HYPERLINK("https://worldwide.espacenet.com/patent/search?q=US11266632","Espacenet")</f>
        <v>0.0</v>
      </c>
      <c r="I4402" s="2" t="n">
        <f>HYPERLINK("https://ppubs.uspto.gov/pubwebapp/external.html?q=11266632.pn.","USPTO")</f>
        <v>0.0</v>
      </c>
      <c r="J4402" s="2" t="n">
        <f>HYPERLINK("https://image-ppubs.uspto.gov/dirsearch-public/print/downloadPdf/11266632","USPTO PDF")</f>
        <v>0.0</v>
      </c>
      <c r="K4402" s="2" t="n">
        <f>HYPERLINK("https://sectors.patentforecast.com/pmd/US11266632","PMD")</f>
        <v>0.0</v>
      </c>
      <c r="L4402" s="2" t="n">
        <f>HYPERLINK("https://globaldossier.uspto.gov/result/patent/US/11266632/1","US11266632")</f>
        <v>0.0</v>
      </c>
      <c r="M4402" t="s">
        <v>26740</v>
      </c>
      <c r="N4402" t="s">
        <v>5964</v>
      </c>
      <c r="O4402" t="s">
        <v>5964</v>
      </c>
      <c r="P4402" t="s">
        <v>26741</v>
      </c>
      <c r="Q4402" s="3" t="n">
        <v>44397.0</v>
      </c>
      <c r="R4402" s="3" t="n">
        <v>44628.0</v>
      </c>
      <c r="S4402" s="3" t="n">
        <v>44636.229969293985</v>
      </c>
      <c r="T4402" s="3" t="n">
        <v>44638.71068800926</v>
      </c>
      <c r="U4402" t="s">
        <v>26742</v>
      </c>
      <c r="V4402" t="s">
        <v>26743</v>
      </c>
    </row>
    <row r="4403">
      <c r="A4403" t="s">
        <v>23557</v>
      </c>
      <c r="B4403" t="s">
        <v>26744</v>
      </c>
      <c r="C4403" t="s">
        <v>60</v>
      </c>
      <c r="D4403" t="s">
        <v>715</v>
      </c>
      <c r="E4403" t="s">
        <v>26745</v>
      </c>
      <c r="F4403" s="2" t="n">
        <f>HYPERLINK("https://patents.google.com/patent/US11266371","Google")</f>
        <v>0.0</v>
      </c>
      <c r="G4403" s="2" t="n">
        <f>HYPERLINK("https://patentcenter.uspto.gov/applications/17313966","Patent Center")</f>
        <v>0.0</v>
      </c>
      <c r="H4403" s="2" t="n">
        <f>HYPERLINK("https://worldwide.espacenet.com/patent/search?q=US11266371","Espacenet")</f>
        <v>0.0</v>
      </c>
      <c r="I4403" s="2" t="n">
        <f>HYPERLINK("https://ppubs.uspto.gov/pubwebapp/external.html?q=11266371.pn.","USPTO")</f>
        <v>0.0</v>
      </c>
      <c r="J4403" s="2" t="n">
        <f>HYPERLINK("https://image-ppubs.uspto.gov/dirsearch-public/print/downloadPdf/11266371","USPTO PDF")</f>
        <v>0.0</v>
      </c>
      <c r="K4403" s="2" t="n">
        <f>HYPERLINK("https://sectors.patentforecast.com/pmd/US11266371","PMD")</f>
        <v>0.0</v>
      </c>
      <c r="L4403" s="2" t="n">
        <f>HYPERLINK("https://globaldossier.uspto.gov/result/patent/US/11266371/1","US11266371")</f>
        <v>0.0</v>
      </c>
      <c r="M4403" t="s">
        <v>26746</v>
      </c>
      <c r="N4403" t="s">
        <v>26747</v>
      </c>
      <c r="O4403" t="s">
        <v>26747</v>
      </c>
      <c r="P4403" t="s">
        <v>26748</v>
      </c>
      <c r="Q4403" s="3" t="n">
        <v>44322.0</v>
      </c>
      <c r="R4403" s="3" t="n">
        <v>44628.0</v>
      </c>
      <c r="S4403" s="3" t="n">
        <v>44629.188425532404</v>
      </c>
      <c r="T4403" s="3" t="n">
        <v>44719.6057125</v>
      </c>
      <c r="U4403" t="s">
        <v>26749</v>
      </c>
      <c r="V4403" t="s">
        <v>26750</v>
      </c>
    </row>
    <row r="4404">
      <c r="A4404" t="s">
        <v>23557</v>
      </c>
      <c r="B4404" t="s">
        <v>26751</v>
      </c>
      <c r="C4404" t="s">
        <v>24</v>
      </c>
      <c r="D4404" t="s">
        <v>25</v>
      </c>
      <c r="E4404" t="s">
        <v>26752</v>
      </c>
      <c r="F4404" s="2" t="n">
        <f>HYPERLINK("https://patents.google.com/patent/US11266316","Google")</f>
        <v>0.0</v>
      </c>
      <c r="G4404" s="2" t="n">
        <f>HYPERLINK("https://patentcenter.uspto.gov/applications/17245157","Patent Center")</f>
        <v>0.0</v>
      </c>
      <c r="H4404" s="2" t="n">
        <f>HYPERLINK("https://worldwide.espacenet.com/patent/search?q=US11266316","Espacenet")</f>
        <v>0.0</v>
      </c>
      <c r="I4404" s="2" t="n">
        <f>HYPERLINK("https://ppubs.uspto.gov/pubwebapp/external.html?q=11266316.pn.","USPTO")</f>
        <v>0.0</v>
      </c>
      <c r="J4404" s="2" t="n">
        <f>HYPERLINK("https://image-ppubs.uspto.gov/dirsearch-public/print/downloadPdf/11266316","USPTO PDF")</f>
        <v>0.0</v>
      </c>
      <c r="K4404" s="2" t="n">
        <f>HYPERLINK("https://sectors.patentforecast.com/pmd/US11266316","PMD")</f>
        <v>0.0</v>
      </c>
      <c r="L4404" s="2" t="n">
        <f>HYPERLINK("https://globaldossier.uspto.gov/result/patent/US/11266316/1","US11266316")</f>
        <v>0.0</v>
      </c>
      <c r="M4404" t="s">
        <v>26753</v>
      </c>
      <c r="N4404" t="s">
        <v>28</v>
      </c>
      <c r="O4404" t="s">
        <v>29</v>
      </c>
      <c r="P4404" t="s">
        <v>26321</v>
      </c>
      <c r="Q4404" s="3" t="n">
        <v>44316.0</v>
      </c>
      <c r="R4404" s="3" t="n">
        <v>44628.0</v>
      </c>
      <c r="S4404" s="3" t="n">
        <v>44629.188425532404</v>
      </c>
      <c r="T4404" s="3" t="n">
        <v>44719.60585429398</v>
      </c>
      <c r="U4404" t="s">
        <v>26754</v>
      </c>
      <c r="V4404" t="s">
        <v>26755</v>
      </c>
    </row>
    <row r="4405">
      <c r="A4405" t="s">
        <v>23557</v>
      </c>
      <c r="B4405" t="s">
        <v>26756</v>
      </c>
      <c r="C4405" t="s">
        <v>24</v>
      </c>
      <c r="D4405" t="s">
        <v>69</v>
      </c>
      <c r="E4405" t="s">
        <v>26757</v>
      </c>
      <c r="F4405" s="2" t="n">
        <f>HYPERLINK("https://patents.google.com/patent/US11266189","Google")</f>
        <v>0.0</v>
      </c>
      <c r="G4405" s="2" t="n">
        <f>HYPERLINK("https://patentcenter.uspto.gov/applications/17169253","Patent Center")</f>
        <v>0.0</v>
      </c>
      <c r="H4405" s="2" t="n">
        <f>HYPERLINK("https://worldwide.espacenet.com/patent/search?q=US11266189","Espacenet")</f>
        <v>0.0</v>
      </c>
      <c r="I4405" s="2" t="n">
        <f>HYPERLINK("https://ppubs.uspto.gov/pubwebapp/external.html?q=11266189.pn.","USPTO")</f>
        <v>0.0</v>
      </c>
      <c r="J4405" s="2" t="n">
        <f>HYPERLINK("https://image-ppubs.uspto.gov/dirsearch-public/print/downloadPdf/11266189","USPTO PDF")</f>
        <v>0.0</v>
      </c>
      <c r="K4405" s="2" t="n">
        <f>HYPERLINK("https://sectors.patentforecast.com/pmd/US11266189","PMD")</f>
        <v>0.0</v>
      </c>
      <c r="L4405" s="2" t="n">
        <f>HYPERLINK("https://globaldossier.uspto.gov/result/patent/US/11266189/1","US11266189")</f>
        <v>0.0</v>
      </c>
      <c r="M4405" t="s">
        <v>13631</v>
      </c>
      <c r="N4405" t="s">
        <v>7351</v>
      </c>
      <c r="O4405" t="s">
        <v>7352</v>
      </c>
      <c r="P4405" t="s">
        <v>26758</v>
      </c>
      <c r="Q4405" s="3" t="n">
        <v>44232.0</v>
      </c>
      <c r="R4405" s="3" t="n">
        <v>44628.0</v>
      </c>
      <c r="S4405" s="3" t="n">
        <v>44629.188425532404</v>
      </c>
      <c r="T4405" s="3" t="n">
        <v>44658.59623119213</v>
      </c>
      <c r="U4405" t="s">
        <v>26759</v>
      </c>
      <c r="V4405" t="s">
        <v>26760</v>
      </c>
    </row>
    <row r="4406">
      <c r="A4406" t="s">
        <v>23557</v>
      </c>
      <c r="B4406" t="s">
        <v>26761</v>
      </c>
      <c r="C4406" t="s">
        <v>561</v>
      </c>
      <c r="D4406" t="s">
        <v>26762</v>
      </c>
      <c r="E4406" t="s">
        <v>26763</v>
      </c>
      <c r="F4406" s="2" t="n">
        <f>HYPERLINK("https://patents.google.com/patent/US11266145","Google")</f>
        <v>0.0</v>
      </c>
      <c r="G4406" s="2" t="n">
        <f>HYPERLINK("https://patentcenter.uspto.gov/applications/16947256","Patent Center")</f>
        <v>0.0</v>
      </c>
      <c r="H4406" s="2" t="n">
        <f>HYPERLINK("https://worldwide.espacenet.com/patent/search?q=US11266145","Espacenet")</f>
        <v>0.0</v>
      </c>
      <c r="I4406" s="2" t="n">
        <f>HYPERLINK("https://ppubs.uspto.gov/pubwebapp/external.html?q=11266145.pn.","USPTO")</f>
        <v>0.0</v>
      </c>
      <c r="J4406" s="2" t="n">
        <f>HYPERLINK("https://image-ppubs.uspto.gov/dirsearch-public/print/downloadPdf/11266145","USPTO PDF")</f>
        <v>0.0</v>
      </c>
      <c r="K4406" s="2" t="n">
        <f>HYPERLINK("https://sectors.patentforecast.com/pmd/US11266145","PMD")</f>
        <v>0.0</v>
      </c>
      <c r="L4406" s="2" t="n">
        <f>HYPERLINK("https://globaldossier.uspto.gov/result/patent/US/11266145/1","US11266145")</f>
        <v>0.0</v>
      </c>
      <c r="M4406" t="s">
        <v>7565</v>
      </c>
      <c r="N4406" t="s">
        <v>6058</v>
      </c>
      <c r="O4406" t="s">
        <v>6058</v>
      </c>
      <c r="P4406" t="s">
        <v>26764</v>
      </c>
      <c r="Q4406" s="3" t="n">
        <v>44036.0</v>
      </c>
      <c r="R4406" s="3" t="n">
        <v>44628.0</v>
      </c>
      <c r="S4406" s="3" t="n">
        <v>44629.18784540509</v>
      </c>
      <c r="T4406" s="3" t="n">
        <v>44694.566140104165</v>
      </c>
      <c r="U4406" t="s">
        <v>26765</v>
      </c>
      <c r="V4406" t="s">
        <v>26766</v>
      </c>
    </row>
    <row r="4407">
      <c r="A4407" t="s">
        <v>23557</v>
      </c>
      <c r="B4407" t="s">
        <v>26767</v>
      </c>
      <c r="C4407" t="s">
        <v>24</v>
      </c>
      <c r="D4407" t="s">
        <v>25</v>
      </c>
      <c r="E4407" t="s">
        <v>26768</v>
      </c>
      <c r="F4407" s="2" t="n">
        <f>HYPERLINK("https://patents.google.com/patent/US11264140","Google")</f>
        <v>0.0</v>
      </c>
      <c r="G4407" s="2" t="n">
        <f>HYPERLINK("https://patentcenter.uspto.gov/applications/17387859","Patent Center")</f>
        <v>0.0</v>
      </c>
      <c r="H4407" s="2" t="n">
        <f>HYPERLINK("https://worldwide.espacenet.com/patent/search?q=US11264140","Espacenet")</f>
        <v>0.0</v>
      </c>
      <c r="I4407" s="2" t="n">
        <f>HYPERLINK("https://ppubs.uspto.gov/pubwebapp/external.html?q=11264140.pn.","USPTO")</f>
        <v>0.0</v>
      </c>
      <c r="J4407" s="2" t="n">
        <f>HYPERLINK("https://image-ppubs.uspto.gov/dirsearch-public/print/downloadPdf/11264140","USPTO PDF")</f>
        <v>0.0</v>
      </c>
      <c r="K4407" s="2" t="n">
        <f>HYPERLINK("https://sectors.patentforecast.com/pmd/US11264140","PMD")</f>
        <v>0.0</v>
      </c>
      <c r="L4407" s="2" t="n">
        <f>HYPERLINK("https://globaldossier.uspto.gov/result/patent/US/11264140/1","US11264140")</f>
        <v>0.0</v>
      </c>
      <c r="M4407" t="s">
        <v>26769</v>
      </c>
      <c r="N4407" t="s">
        <v>26770</v>
      </c>
      <c r="O4407" t="s">
        <v>26771</v>
      </c>
      <c r="P4407" t="s">
        <v>26772</v>
      </c>
      <c r="Q4407" s="3" t="n">
        <v>44405.0</v>
      </c>
      <c r="R4407" s="3" t="n">
        <v>44621.0</v>
      </c>
      <c r="S4407" s="3" t="n">
        <v>44629.188425532404</v>
      </c>
      <c r="T4407" s="3" t="n">
        <v>44719.60589597222</v>
      </c>
      <c r="U4407" t="s">
        <v>26773</v>
      </c>
      <c r="V4407" t="s">
        <v>26774</v>
      </c>
    </row>
    <row r="4408">
      <c r="A4408" t="s">
        <v>23557</v>
      </c>
      <c r="B4408" t="s">
        <v>26775</v>
      </c>
      <c r="C4408" t="s">
        <v>1492</v>
      </c>
      <c r="D4408" t="s">
        <v>26654</v>
      </c>
      <c r="E4408" t="s">
        <v>26776</v>
      </c>
      <c r="F4408" s="2" t="n">
        <f>HYPERLINK("https://patents.google.com/patent/US11264134","Google")</f>
        <v>0.0</v>
      </c>
      <c r="G4408" s="2" t="n">
        <f>HYPERLINK("https://patentcenter.uspto.gov/applications/17316786","Patent Center")</f>
        <v>0.0</v>
      </c>
      <c r="H4408" s="2" t="n">
        <f>HYPERLINK("https://worldwide.espacenet.com/patent/search?q=US11264134","Espacenet")</f>
        <v>0.0</v>
      </c>
      <c r="I4408" s="2" t="n">
        <f>HYPERLINK("https://ppubs.uspto.gov/pubwebapp/external.html?q=11264134.pn.","USPTO")</f>
        <v>0.0</v>
      </c>
      <c r="J4408" s="2" t="n">
        <f>HYPERLINK("https://image-ppubs.uspto.gov/dirsearch-public/print/downloadPdf/11264134","USPTO PDF")</f>
        <v>0.0</v>
      </c>
      <c r="K4408" s="2" t="n">
        <f>HYPERLINK("https://sectors.patentforecast.com/pmd/US11264134","PMD")</f>
        <v>0.0</v>
      </c>
      <c r="L4408" s="2" t="n">
        <f>HYPERLINK("https://globaldossier.uspto.gov/result/patent/US/11264134/1","US11264134")</f>
        <v>0.0</v>
      </c>
      <c r="M4408" t="s">
        <v>26777</v>
      </c>
      <c r="N4408" t="s">
        <v>26778</v>
      </c>
      <c r="O4408" t="s">
        <v>26778</v>
      </c>
      <c r="P4408" t="s">
        <v>26779</v>
      </c>
      <c r="Q4408" s="3" t="n">
        <v>44327.0</v>
      </c>
      <c r="R4408" s="3" t="n">
        <v>44621.0</v>
      </c>
      <c r="S4408" s="3" t="n">
        <v>44629.188425532404</v>
      </c>
      <c r="T4408" s="3" t="n">
        <v>44719.60602962963</v>
      </c>
      <c r="U4408" t="s">
        <v>26780</v>
      </c>
      <c r="V4408" t="s">
        <v>26781</v>
      </c>
    </row>
    <row r="4409">
      <c r="A4409" t="s">
        <v>23557</v>
      </c>
      <c r="B4409" t="s">
        <v>26782</v>
      </c>
      <c r="C4409" t="s">
        <v>24</v>
      </c>
      <c r="D4409" t="s">
        <v>1450</v>
      </c>
      <c r="E4409" t="s">
        <v>26783</v>
      </c>
      <c r="F4409" s="2" t="n">
        <f>HYPERLINK("https://patents.google.com/patent/US11263887","Google")</f>
        <v>0.0</v>
      </c>
      <c r="G4409" s="2" t="n">
        <f>HYPERLINK("https://patentcenter.uspto.gov/applications/17097467","Patent Center")</f>
        <v>0.0</v>
      </c>
      <c r="H4409" s="2" t="n">
        <f>HYPERLINK("https://worldwide.espacenet.com/patent/search?q=US11263887","Espacenet")</f>
        <v>0.0</v>
      </c>
      <c r="I4409" s="2" t="n">
        <f>HYPERLINK("https://ppubs.uspto.gov/pubwebapp/external.html?q=11263887.pn.","USPTO")</f>
        <v>0.0</v>
      </c>
      <c r="J4409" s="2" t="n">
        <f>HYPERLINK("https://image-ppubs.uspto.gov/dirsearch-public/print/downloadPdf/11263887","USPTO PDF")</f>
        <v>0.0</v>
      </c>
      <c r="K4409" s="2" t="n">
        <f>HYPERLINK("https://sectors.patentforecast.com/pmd/US11263887","PMD")</f>
        <v>0.0</v>
      </c>
      <c r="L4409" s="2" t="n">
        <f>HYPERLINK("https://globaldossier.uspto.gov/result/patent/US/11263887/1","US11263887")</f>
        <v>0.0</v>
      </c>
      <c r="M4409" t="s">
        <v>26784</v>
      </c>
      <c r="N4409" t="s">
        <v>26785</v>
      </c>
      <c r="O4409" t="s">
        <v>26786</v>
      </c>
      <c r="P4409" t="s">
        <v>26787</v>
      </c>
      <c r="Q4409" s="3" t="n">
        <v>44148.0</v>
      </c>
      <c r="R4409" s="3" t="n">
        <v>44621.0</v>
      </c>
      <c r="S4409" s="3" t="n">
        <v>44629.188425532404</v>
      </c>
      <c r="T4409" s="3" t="n">
        <v>44672.46175394676</v>
      </c>
      <c r="U4409" t="s">
        <v>26788</v>
      </c>
      <c r="V4409" t="s">
        <v>26789</v>
      </c>
    </row>
    <row r="4410">
      <c r="A4410" t="s">
        <v>23557</v>
      </c>
      <c r="B4410" t="s">
        <v>26790</v>
      </c>
      <c r="C4410" t="s">
        <v>24</v>
      </c>
      <c r="D4410" t="s">
        <v>204</v>
      </c>
      <c r="E4410" t="s">
        <v>26791</v>
      </c>
      <c r="F4410" s="2" t="n">
        <f>HYPERLINK("https://patents.google.com/patent/US11263850","Google")</f>
        <v>0.0</v>
      </c>
      <c r="G4410" s="2" t="n">
        <f>HYPERLINK("https://patentcenter.uspto.gov/applications/17320481","Patent Center")</f>
        <v>0.0</v>
      </c>
      <c r="H4410" s="2" t="n">
        <f>HYPERLINK("https://worldwide.espacenet.com/patent/search?q=US11263850","Espacenet")</f>
        <v>0.0</v>
      </c>
      <c r="I4410" s="2" t="n">
        <f>HYPERLINK("https://ppubs.uspto.gov/pubwebapp/external.html?q=11263850.pn.","USPTO")</f>
        <v>0.0</v>
      </c>
      <c r="J4410" s="2" t="n">
        <f>HYPERLINK("https://image-ppubs.uspto.gov/dirsearch-public/print/downloadPdf/11263850","USPTO PDF")</f>
        <v>0.0</v>
      </c>
      <c r="K4410" s="2" t="n">
        <f>HYPERLINK("https://sectors.patentforecast.com/pmd/US11263850","PMD")</f>
        <v>0.0</v>
      </c>
      <c r="L4410" s="2" t="n">
        <f>HYPERLINK("https://globaldossier.uspto.gov/result/patent/US/11263850/1","US11263850")</f>
        <v>0.0</v>
      </c>
      <c r="M4410" t="s">
        <v>10327</v>
      </c>
      <c r="N4410" t="s">
        <v>26792</v>
      </c>
      <c r="O4410" t="s">
        <v>26793</v>
      </c>
      <c r="P4410" t="s">
        <v>26794</v>
      </c>
      <c r="Q4410" s="3" t="n">
        <v>44330.0</v>
      </c>
      <c r="R4410" s="3" t="n">
        <v>44621.0</v>
      </c>
      <c r="S4410" s="3" t="n">
        <v>44629.188425532404</v>
      </c>
      <c r="T4410" s="3" t="n">
        <v>44694.56614054398</v>
      </c>
      <c r="U4410" t="s">
        <v>26795</v>
      </c>
      <c r="V4410" t="s">
        <v>26796</v>
      </c>
    </row>
    <row r="4411">
      <c r="A4411" t="s">
        <v>23557</v>
      </c>
      <c r="B4411" t="s">
        <v>26797</v>
      </c>
      <c r="C4411" t="s">
        <v>60</v>
      </c>
      <c r="D4411" t="s">
        <v>715</v>
      </c>
      <c r="E4411" t="s">
        <v>26798</v>
      </c>
      <c r="F4411" s="2" t="n">
        <f>HYPERLINK("https://patents.google.com/patent/US11260190","Google")</f>
        <v>0.0</v>
      </c>
      <c r="G4411" s="2" t="n">
        <f>HYPERLINK("https://patentcenter.uspto.gov/applications/17373370","Patent Center")</f>
        <v>0.0</v>
      </c>
      <c r="H4411" s="2" t="n">
        <f>HYPERLINK("https://worldwide.espacenet.com/patent/search?q=US11260190","Espacenet")</f>
        <v>0.0</v>
      </c>
      <c r="I4411" s="2" t="n">
        <f>HYPERLINK("https://ppubs.uspto.gov/pubwebapp/external.html?q=11260190.pn.","USPTO")</f>
        <v>0.0</v>
      </c>
      <c r="J4411" s="2" t="n">
        <f>HYPERLINK("https://image-ppubs.uspto.gov/dirsearch-public/print/downloadPdf/11260190","USPTO PDF")</f>
        <v>0.0</v>
      </c>
      <c r="K4411" s="2" t="n">
        <f>HYPERLINK("https://sectors.patentforecast.com/pmd/US11260190","PMD")</f>
        <v>0.0</v>
      </c>
      <c r="L4411" s="2" t="n">
        <f>HYPERLINK("https://globaldossier.uspto.gov/result/patent/US/11260190/1","US11260190")</f>
        <v>0.0</v>
      </c>
      <c r="M4411" t="s">
        <v>26799</v>
      </c>
      <c r="N4411" t="s">
        <v>26800</v>
      </c>
      <c r="O4411" t="s">
        <v>26800</v>
      </c>
      <c r="P4411" t="s">
        <v>26801</v>
      </c>
      <c r="Q4411" s="3" t="n">
        <v>44389.0</v>
      </c>
      <c r="R4411" s="3" t="n">
        <v>44621.0</v>
      </c>
      <c r="S4411" s="3" t="n">
        <v>44629.188425532404</v>
      </c>
      <c r="T4411" s="3" t="n">
        <v>44658.61018069444</v>
      </c>
      <c r="U4411" t="s">
        <v>26802</v>
      </c>
      <c r="V4411" t="s">
        <v>26803</v>
      </c>
    </row>
    <row r="4412">
      <c r="A4412" t="s">
        <v>23557</v>
      </c>
      <c r="B4412" t="s">
        <v>26804</v>
      </c>
      <c r="C4412" t="s">
        <v>60</v>
      </c>
      <c r="D4412" t="s">
        <v>26805</v>
      </c>
      <c r="E4412" t="s">
        <v>26806</v>
      </c>
      <c r="F4412" s="2" t="n">
        <f>HYPERLINK("https://patents.google.com/patent/US11260097","Google")</f>
        <v>0.0</v>
      </c>
      <c r="G4412" s="2" t="n">
        <f>HYPERLINK("https://patentcenter.uspto.gov/applications/16920961","Patent Center")</f>
        <v>0.0</v>
      </c>
      <c r="H4412" s="2" t="n">
        <f>HYPERLINK("https://worldwide.espacenet.com/patent/search?q=US11260097","Espacenet")</f>
        <v>0.0</v>
      </c>
      <c r="I4412" s="2" t="n">
        <f>HYPERLINK("https://ppubs.uspto.gov/pubwebapp/external.html?q=11260097.pn.","USPTO")</f>
        <v>0.0</v>
      </c>
      <c r="J4412" s="2" t="n">
        <f>HYPERLINK("https://image-ppubs.uspto.gov/dirsearch-public/print/downloadPdf/11260097","USPTO PDF")</f>
        <v>0.0</v>
      </c>
      <c r="K4412" s="2" t="n">
        <f>HYPERLINK("https://sectors.patentforecast.com/pmd/US11260097","PMD")</f>
        <v>0.0</v>
      </c>
      <c r="L4412" s="2" t="n">
        <f>HYPERLINK("https://globaldossier.uspto.gov/result/patent/US/11260097/1","US11260097")</f>
        <v>0.0</v>
      </c>
      <c r="M4412" t="s">
        <v>8175</v>
      </c>
      <c r="N4412" t="s">
        <v>8176</v>
      </c>
      <c r="O4412" t="s">
        <v>8177</v>
      </c>
      <c r="P4412" t="s">
        <v>26807</v>
      </c>
      <c r="Q4412" s="3" t="n">
        <v>44018.0</v>
      </c>
      <c r="R4412" s="3" t="n">
        <v>44621.0</v>
      </c>
      <c r="S4412" s="3" t="n">
        <v>44629.188425532404</v>
      </c>
      <c r="T4412" s="3" t="n">
        <v>44694.56614003472</v>
      </c>
      <c r="U4412" t="s">
        <v>26808</v>
      </c>
      <c r="V4412" t="s">
        <v>26809</v>
      </c>
    </row>
    <row r="4413">
      <c r="A4413" t="s">
        <v>23557</v>
      </c>
      <c r="B4413" t="s">
        <v>26810</v>
      </c>
      <c r="C4413" t="s">
        <v>60</v>
      </c>
      <c r="D4413" t="s">
        <v>61</v>
      </c>
      <c r="E4413" t="s">
        <v>26811</v>
      </c>
      <c r="F4413" s="2" t="n">
        <f>HYPERLINK("https://patents.google.com/patent/US11260070","Google")</f>
        <v>0.0</v>
      </c>
      <c r="G4413" s="2" t="n">
        <f>HYPERLINK("https://patentcenter.uspto.gov/applications/16852102","Patent Center")</f>
        <v>0.0</v>
      </c>
      <c r="H4413" s="2" t="n">
        <f>HYPERLINK("https://worldwide.espacenet.com/patent/search?q=US11260070","Espacenet")</f>
        <v>0.0</v>
      </c>
      <c r="I4413" s="2" t="n">
        <f>HYPERLINK("https://ppubs.uspto.gov/pubwebapp/external.html?q=11260070.pn.","USPTO")</f>
        <v>0.0</v>
      </c>
      <c r="J4413" s="2" t="n">
        <f>HYPERLINK("https://image-ppubs.uspto.gov/dirsearch-public/print/downloadPdf/11260070","USPTO PDF")</f>
        <v>0.0</v>
      </c>
      <c r="K4413" s="2" t="n">
        <f>HYPERLINK("https://sectors.patentforecast.com/pmd/US11260070","PMD")</f>
        <v>0.0</v>
      </c>
      <c r="L4413" s="2" t="n">
        <f>HYPERLINK("https://globaldossier.uspto.gov/result/patent/US/11260070/1","US11260070")</f>
        <v>0.0</v>
      </c>
      <c r="M4413" t="s">
        <v>16068</v>
      </c>
      <c r="N4413" t="s">
        <v>2354</v>
      </c>
      <c r="O4413" t="s">
        <v>2355</v>
      </c>
      <c r="P4413" t="s">
        <v>26812</v>
      </c>
      <c r="Q4413" s="3" t="n">
        <v>43938.0</v>
      </c>
      <c r="R4413" s="3" t="n">
        <v>44621.0</v>
      </c>
      <c r="S4413" s="3" t="n">
        <v>44629.191668402775</v>
      </c>
      <c r="T4413" s="3" t="n">
        <v>44638.66550261574</v>
      </c>
      <c r="U4413" t="s">
        <v>26813</v>
      </c>
      <c r="V4413" t="s">
        <v>26814</v>
      </c>
    </row>
    <row r="4414">
      <c r="A4414" t="s">
        <v>23557</v>
      </c>
      <c r="B4414" t="s">
        <v>26815</v>
      </c>
      <c r="C4414" t="s">
        <v>24</v>
      </c>
      <c r="D4414" t="s">
        <v>69</v>
      </c>
      <c r="E4414" t="s">
        <v>26816</v>
      </c>
      <c r="F4414" s="2" t="n">
        <f>HYPERLINK("https://patents.google.com/patent/US11259579","Google")</f>
        <v>0.0</v>
      </c>
      <c r="G4414" s="2" t="n">
        <f>HYPERLINK("https://patentcenter.uspto.gov/applications/17061107","Patent Center")</f>
        <v>0.0</v>
      </c>
      <c r="H4414" s="2" t="n">
        <f>HYPERLINK("https://worldwide.espacenet.com/patent/search?q=US11259579","Espacenet")</f>
        <v>0.0</v>
      </c>
      <c r="I4414" s="2" t="n">
        <f>HYPERLINK("https://ppubs.uspto.gov/pubwebapp/external.html?q=11259579.pn.","USPTO")</f>
        <v>0.0</v>
      </c>
      <c r="J4414" s="2" t="n">
        <f>HYPERLINK("https://image-ppubs.uspto.gov/dirsearch-public/print/downloadPdf/11259579","USPTO PDF")</f>
        <v>0.0</v>
      </c>
      <c r="K4414" s="2" t="n">
        <f>HYPERLINK("https://sectors.patentforecast.com/pmd/US11259579","PMD")</f>
        <v>0.0</v>
      </c>
      <c r="L4414" s="2" t="n">
        <f>HYPERLINK("https://globaldossier.uspto.gov/result/patent/US/11259579/1","US11259579")</f>
        <v>0.0</v>
      </c>
      <c r="M4414" t="s">
        <v>8051</v>
      </c>
      <c r="N4414" t="s">
        <v>1407</v>
      </c>
      <c r="O4414" t="s">
        <v>1407</v>
      </c>
      <c r="P4414" t="s">
        <v>26817</v>
      </c>
      <c r="Q4414" s="3" t="n">
        <v>44105.0</v>
      </c>
      <c r="R4414" s="3" t="n">
        <v>44621.0</v>
      </c>
      <c r="S4414" s="3" t="n">
        <v>44629.188425532404</v>
      </c>
      <c r="T4414" s="3" t="n">
        <v>44658.622448449074</v>
      </c>
      <c r="U4414" t="s">
        <v>26818</v>
      </c>
      <c r="V4414" t="s">
        <v>26819</v>
      </c>
    </row>
    <row r="4415">
      <c r="A4415" t="s">
        <v>23557</v>
      </c>
      <c r="B4415" t="s">
        <v>26820</v>
      </c>
      <c r="C4415" t="s">
        <v>24</v>
      </c>
      <c r="D4415" t="s">
        <v>69</v>
      </c>
      <c r="E4415" t="s">
        <v>26821</v>
      </c>
      <c r="F4415" s="2" t="n">
        <f>HYPERLINK("https://patents.google.com/patent/US11259578","Google")</f>
        <v>0.0</v>
      </c>
      <c r="G4415" s="2" t="n">
        <f>HYPERLINK("https://patentcenter.uspto.gov/applications/17352340","Patent Center")</f>
        <v>0.0</v>
      </c>
      <c r="H4415" s="2" t="n">
        <f>HYPERLINK("https://worldwide.espacenet.com/patent/search?q=US11259578","Espacenet")</f>
        <v>0.0</v>
      </c>
      <c r="I4415" s="2" t="n">
        <f>HYPERLINK("https://ppubs.uspto.gov/pubwebapp/external.html?q=11259578.pn.","USPTO")</f>
        <v>0.0</v>
      </c>
      <c r="J4415" s="2" t="n">
        <f>HYPERLINK("https://image-ppubs.uspto.gov/dirsearch-public/print/downloadPdf/11259578","USPTO PDF")</f>
        <v>0.0</v>
      </c>
      <c r="K4415" s="2" t="n">
        <f>HYPERLINK("https://sectors.patentforecast.com/pmd/US11259578","PMD")</f>
        <v>0.0</v>
      </c>
      <c r="L4415" s="2" t="n">
        <f>HYPERLINK("https://globaldossier.uspto.gov/result/patent/US/11259578/1","US11259578")</f>
        <v>0.0</v>
      </c>
      <c r="M4415" t="s">
        <v>13217</v>
      </c>
      <c r="N4415" t="s">
        <v>1174</v>
      </c>
      <c r="O4415" t="s">
        <v>1175</v>
      </c>
      <c r="P4415" t="s">
        <v>26822</v>
      </c>
      <c r="Q4415" s="3" t="n">
        <v>44367.0</v>
      </c>
      <c r="R4415" s="3" t="n">
        <v>44621.0</v>
      </c>
      <c r="S4415" s="3" t="n">
        <v>44629.188425532404</v>
      </c>
      <c r="T4415" s="3" t="n">
        <v>44678.64243962963</v>
      </c>
      <c r="U4415" t="s">
        <v>26823</v>
      </c>
      <c r="V4415" t="s">
        <v>26824</v>
      </c>
    </row>
    <row r="4416">
      <c r="A4416" t="s">
        <v>23557</v>
      </c>
      <c r="B4416" t="s">
        <v>26825</v>
      </c>
      <c r="C4416" t="s">
        <v>24</v>
      </c>
      <c r="D4416" t="s">
        <v>204</v>
      </c>
      <c r="E4416" t="s">
        <v>26826</v>
      </c>
      <c r="F4416" s="2" t="n">
        <f>HYPERLINK("https://patents.google.com/patent/US11258416","Google")</f>
        <v>0.0</v>
      </c>
      <c r="G4416" s="2" t="n">
        <f>HYPERLINK("https://patentcenter.uspto.gov/applications/17187773","Patent Center")</f>
        <v>0.0</v>
      </c>
      <c r="H4416" s="2" t="n">
        <f>HYPERLINK("https://worldwide.espacenet.com/patent/search?q=US11258416","Espacenet")</f>
        <v>0.0</v>
      </c>
      <c r="I4416" s="2" t="n">
        <f>HYPERLINK("https://ppubs.uspto.gov/pubwebapp/external.html?q=11258416.pn.","USPTO")</f>
        <v>0.0</v>
      </c>
      <c r="J4416" s="2" t="n">
        <f>HYPERLINK("https://image-ppubs.uspto.gov/dirsearch-public/print/downloadPdf/11258416","USPTO PDF")</f>
        <v>0.0</v>
      </c>
      <c r="K4416" s="2" t="n">
        <f>HYPERLINK("https://sectors.patentforecast.com/pmd/US11258416","PMD")</f>
        <v>0.0</v>
      </c>
      <c r="L4416" s="2" t="n">
        <f>HYPERLINK("https://globaldossier.uspto.gov/result/patent/US/11258416/1","US11258416")</f>
        <v>0.0</v>
      </c>
      <c r="M4416" t="s">
        <v>26827</v>
      </c>
      <c r="N4416" t="s">
        <v>26828</v>
      </c>
      <c r="O4416" t="s">
        <v>26829</v>
      </c>
      <c r="P4416" t="s">
        <v>26830</v>
      </c>
      <c r="Q4416" s="3" t="n">
        <v>44254.0</v>
      </c>
      <c r="R4416" s="3" t="n">
        <v>44614.0</v>
      </c>
      <c r="S4416" s="3" t="n">
        <v>44622.18853395833</v>
      </c>
      <c r="T4416" s="3" t="n">
        <v>44698.647103020834</v>
      </c>
      <c r="U4416" t="s">
        <v>26831</v>
      </c>
      <c r="V4416" t="s">
        <v>26832</v>
      </c>
    </row>
    <row r="4417">
      <c r="A4417" t="s">
        <v>23557</v>
      </c>
      <c r="B4417" t="s">
        <v>26833</v>
      </c>
      <c r="C4417" t="s">
        <v>561</v>
      </c>
      <c r="D4417" t="s">
        <v>1340</v>
      </c>
      <c r="E4417" t="s">
        <v>26834</v>
      </c>
      <c r="F4417" s="2" t="n">
        <f>HYPERLINK("https://patents.google.com/patent/US11257659","Google")</f>
        <v>0.0</v>
      </c>
      <c r="G4417" s="2" t="n">
        <f>HYPERLINK("https://patentcenter.uspto.gov/applications/17302820","Patent Center")</f>
        <v>0.0</v>
      </c>
      <c r="H4417" s="2" t="n">
        <f>HYPERLINK("https://worldwide.espacenet.com/patent/search?q=US11257659","Espacenet")</f>
        <v>0.0</v>
      </c>
      <c r="I4417" s="2" t="n">
        <f>HYPERLINK("https://ppubs.uspto.gov/pubwebapp/external.html?q=11257659.pn.","USPTO")</f>
        <v>0.0</v>
      </c>
      <c r="J4417" s="2" t="n">
        <f>HYPERLINK("https://image-ppubs.uspto.gov/dirsearch-public/print/downloadPdf/11257659","USPTO PDF")</f>
        <v>0.0</v>
      </c>
      <c r="K4417" s="2" t="n">
        <f>HYPERLINK("https://sectors.patentforecast.com/pmd/US11257659","PMD")</f>
        <v>0.0</v>
      </c>
      <c r="L4417" s="2" t="n">
        <f>HYPERLINK("https://globaldossier.uspto.gov/result/patent/US/11257659/1","US11257659")</f>
        <v>0.0</v>
      </c>
      <c r="M4417" t="s">
        <v>26835</v>
      </c>
      <c r="N4417" t="s">
        <v>2818</v>
      </c>
      <c r="O4417" t="s">
        <v>2819</v>
      </c>
      <c r="P4417" t="s">
        <v>26836</v>
      </c>
      <c r="Q4417" s="3" t="n">
        <v>44328.0</v>
      </c>
      <c r="R4417" s="3" t="n">
        <v>44614.0</v>
      </c>
      <c r="S4417" s="3" t="n">
        <v>44622.18853395833</v>
      </c>
      <c r="T4417" s="3" t="n">
        <v>44698.64745399306</v>
      </c>
      <c r="U4417" t="s">
        <v>26837</v>
      </c>
      <c r="V4417" t="s">
        <v>26838</v>
      </c>
    </row>
    <row r="4418">
      <c r="A4418" t="s">
        <v>23557</v>
      </c>
      <c r="B4418" t="s">
        <v>26839</v>
      </c>
      <c r="C4418" t="s">
        <v>24</v>
      </c>
      <c r="D4418" t="s">
        <v>69</v>
      </c>
      <c r="E4418" t="s">
        <v>26840</v>
      </c>
      <c r="F4418" s="2" t="n">
        <f>HYPERLINK("https://patents.google.com/patent/US11257569","Google")</f>
        <v>0.0</v>
      </c>
      <c r="G4418" s="2" t="n">
        <f>HYPERLINK("https://patentcenter.uspto.gov/applications/17368471","Patent Center")</f>
        <v>0.0</v>
      </c>
      <c r="H4418" s="2" t="n">
        <f>HYPERLINK("https://worldwide.espacenet.com/patent/search?q=US11257569","Espacenet")</f>
        <v>0.0</v>
      </c>
      <c r="I4418" s="2" t="n">
        <f>HYPERLINK("https://ppubs.uspto.gov/pubwebapp/external.html?q=11257569.pn.","USPTO")</f>
        <v>0.0</v>
      </c>
      <c r="J4418" s="2" t="n">
        <f>HYPERLINK("https://image-ppubs.uspto.gov/dirsearch-public/print/downloadPdf/11257569","USPTO PDF")</f>
        <v>0.0</v>
      </c>
      <c r="K4418" s="2" t="n">
        <f>HYPERLINK("https://sectors.patentforecast.com/pmd/US11257569","PMD")</f>
        <v>0.0</v>
      </c>
      <c r="L4418" s="2" t="n">
        <f>HYPERLINK("https://globaldossier.uspto.gov/result/patent/US/11257569/1","US11257569")</f>
        <v>0.0</v>
      </c>
      <c r="M4418" t="s">
        <v>26841</v>
      </c>
      <c r="N4418" t="s">
        <v>26842</v>
      </c>
      <c r="O4418" t="s">
        <v>26843</v>
      </c>
      <c r="P4418" t="s">
        <v>26844</v>
      </c>
      <c r="Q4418" s="3" t="n">
        <v>44383.0</v>
      </c>
      <c r="R4418" s="3" t="n">
        <v>44614.0</v>
      </c>
      <c r="S4418" s="3" t="n">
        <v>44622.18853395833</v>
      </c>
      <c r="T4418" s="3" t="n">
        <v>44638.70563082176</v>
      </c>
      <c r="U4418" t="s">
        <v>26845</v>
      </c>
      <c r="V4418" t="s">
        <v>26846</v>
      </c>
    </row>
    <row r="4419">
      <c r="A4419" t="s">
        <v>23557</v>
      </c>
      <c r="B4419" t="s">
        <v>26847</v>
      </c>
      <c r="C4419" t="s">
        <v>24</v>
      </c>
      <c r="D4419" t="s">
        <v>51</v>
      </c>
      <c r="E4419" t="s">
        <v>26848</v>
      </c>
      <c r="F4419" s="2" t="n">
        <f>HYPERLINK("https://patents.google.com/patent/US11255855","Google")</f>
        <v>0.0</v>
      </c>
      <c r="G4419" s="2" t="n">
        <f>HYPERLINK("https://patentcenter.uspto.gov/applications/17411390","Patent Center")</f>
        <v>0.0</v>
      </c>
      <c r="H4419" s="2" t="n">
        <f>HYPERLINK("https://worldwide.espacenet.com/patent/search?q=US11255855","Espacenet")</f>
        <v>0.0</v>
      </c>
      <c r="I4419" s="2" t="n">
        <f>HYPERLINK("https://ppubs.uspto.gov/pubwebapp/external.html?q=11255855.pn.","USPTO")</f>
        <v>0.0</v>
      </c>
      <c r="J4419" s="2" t="n">
        <f>HYPERLINK("https://image-ppubs.uspto.gov/dirsearch-public/print/downloadPdf/11255855","USPTO PDF")</f>
        <v>0.0</v>
      </c>
      <c r="K4419" s="2" t="n">
        <f>HYPERLINK("https://sectors.patentforecast.com/pmd/US11255855","PMD")</f>
        <v>0.0</v>
      </c>
      <c r="L4419" s="2" t="n">
        <f>HYPERLINK("https://globaldossier.uspto.gov/result/patent/US/11255855/1","US11255855")</f>
        <v>0.0</v>
      </c>
      <c r="M4419" t="s">
        <v>26849</v>
      </c>
      <c r="N4419" t="s">
        <v>2024</v>
      </c>
      <c r="O4419" t="s">
        <v>2024</v>
      </c>
      <c r="P4419" t="s">
        <v>26850</v>
      </c>
      <c r="Q4419" s="3" t="n">
        <v>44433.0</v>
      </c>
      <c r="R4419" s="3" t="n">
        <v>44614.0</v>
      </c>
      <c r="S4419" s="3" t="n">
        <v>44622.18784506944</v>
      </c>
      <c r="T4419" s="3" t="n">
        <v>44678.41293219908</v>
      </c>
      <c r="U4419" t="s">
        <v>26851</v>
      </c>
      <c r="V4419" t="s">
        <v>26852</v>
      </c>
    </row>
    <row r="4420">
      <c r="A4420" t="s">
        <v>23557</v>
      </c>
      <c r="B4420" t="s">
        <v>26853</v>
      </c>
      <c r="C4420" t="s">
        <v>24</v>
      </c>
      <c r="D4420" t="s">
        <v>34</v>
      </c>
      <c r="E4420" t="s">
        <v>26854</v>
      </c>
      <c r="F4420" s="2" t="n">
        <f>HYPERLINK("https://patents.google.com/patent/US11255815","Google")</f>
        <v>0.0</v>
      </c>
      <c r="G4420" s="2" t="n">
        <f>HYPERLINK("https://patentcenter.uspto.gov/applications/17232130","Patent Center")</f>
        <v>0.0</v>
      </c>
      <c r="H4420" s="2" t="n">
        <f>HYPERLINK("https://worldwide.espacenet.com/patent/search?q=US11255815","Espacenet")</f>
        <v>0.0</v>
      </c>
      <c r="I4420" s="2" t="n">
        <f>HYPERLINK("https://ppubs.uspto.gov/pubwebapp/external.html?q=11255815.pn.","USPTO")</f>
        <v>0.0</v>
      </c>
      <c r="J4420" s="2" t="n">
        <f>HYPERLINK("https://image-ppubs.uspto.gov/dirsearch-public/print/downloadPdf/11255815","USPTO PDF")</f>
        <v>0.0</v>
      </c>
      <c r="K4420" s="2" t="n">
        <f>HYPERLINK("https://sectors.patentforecast.com/pmd/US11255815","PMD")</f>
        <v>0.0</v>
      </c>
      <c r="L4420" s="2" t="n">
        <f>HYPERLINK("https://globaldossier.uspto.gov/result/patent/US/11255815/1","US11255815")</f>
        <v>0.0</v>
      </c>
      <c r="M4420" t="s">
        <v>11896</v>
      </c>
      <c r="N4420" t="s">
        <v>6884</v>
      </c>
      <c r="O4420" t="s">
        <v>6885</v>
      </c>
      <c r="P4420" t="s">
        <v>26855</v>
      </c>
      <c r="Q4420" s="3" t="n">
        <v>44301.0</v>
      </c>
      <c r="R4420" s="3" t="n">
        <v>44614.0</v>
      </c>
      <c r="S4420" s="3" t="n">
        <v>44617.18859106481</v>
      </c>
      <c r="T4420" s="3" t="n">
        <v>44694.56368199074</v>
      </c>
      <c r="U4420" t="s">
        <v>26856</v>
      </c>
      <c r="V4420" t="s">
        <v>26857</v>
      </c>
    </row>
    <row r="4421">
      <c r="A4421" t="s">
        <v>23557</v>
      </c>
      <c r="B4421" t="s">
        <v>26858</v>
      </c>
      <c r="C4421" t="s">
        <v>24</v>
      </c>
      <c r="D4421" t="s">
        <v>51</v>
      </c>
      <c r="E4421" t="s">
        <v>26859</v>
      </c>
      <c r="F4421" s="2" t="n">
        <f>HYPERLINK("https://patents.google.com/patent/US11255762","Google")</f>
        <v>0.0</v>
      </c>
      <c r="G4421" s="2" t="n">
        <f>HYPERLINK("https://patentcenter.uspto.gov/applications/16990366","Patent Center")</f>
        <v>0.0</v>
      </c>
      <c r="H4421" s="2" t="n">
        <f>HYPERLINK("https://worldwide.espacenet.com/patent/search?q=US11255762","Espacenet")</f>
        <v>0.0</v>
      </c>
      <c r="I4421" s="2" t="n">
        <f>HYPERLINK("https://ppubs.uspto.gov/pubwebapp/external.html?q=11255762.pn.","USPTO")</f>
        <v>0.0</v>
      </c>
      <c r="J4421" s="2" t="n">
        <f>HYPERLINK("https://image-ppubs.uspto.gov/dirsearch-public/print/downloadPdf/11255762","USPTO PDF")</f>
        <v>0.0</v>
      </c>
      <c r="K4421" s="2" t="n">
        <f>HYPERLINK("https://sectors.patentforecast.com/pmd/US11255762","PMD")</f>
        <v>0.0</v>
      </c>
      <c r="L4421" s="2" t="n">
        <f>HYPERLINK("https://globaldossier.uspto.gov/result/patent/US/11255762/1","US11255762")</f>
        <v>0.0</v>
      </c>
      <c r="M4421" t="s">
        <v>6352</v>
      </c>
      <c r="N4421" t="s">
        <v>1957</v>
      </c>
      <c r="O4421" t="s">
        <v>1958</v>
      </c>
      <c r="P4421" t="s">
        <v>26860</v>
      </c>
      <c r="Q4421" s="3" t="n">
        <v>44054.0</v>
      </c>
      <c r="R4421" s="3" t="n">
        <v>44614.0</v>
      </c>
      <c r="S4421" s="3" t="n">
        <v>44622.18853395833</v>
      </c>
      <c r="T4421" s="3" t="n">
        <v>44698.64788640046</v>
      </c>
      <c r="U4421" t="s">
        <v>26861</v>
      </c>
      <c r="V4421" t="s">
        <v>26862</v>
      </c>
    </row>
    <row r="4422">
      <c r="A4422" t="s">
        <v>23557</v>
      </c>
      <c r="B4422" t="s">
        <v>26863</v>
      </c>
      <c r="C4422" t="s">
        <v>24</v>
      </c>
      <c r="D4422" t="s">
        <v>100</v>
      </c>
      <c r="E4422" t="s">
        <v>26864</v>
      </c>
      <c r="F4422" s="2" t="n">
        <f>HYPERLINK("https://patents.google.com/patent/US11255555","Google")</f>
        <v>0.0</v>
      </c>
      <c r="G4422" s="2" t="n">
        <f>HYPERLINK("https://patentcenter.uspto.gov/applications/17394586","Patent Center")</f>
        <v>0.0</v>
      </c>
      <c r="H4422" s="2" t="n">
        <f>HYPERLINK("https://worldwide.espacenet.com/patent/search?q=US11255555","Espacenet")</f>
        <v>0.0</v>
      </c>
      <c r="I4422" s="2" t="n">
        <f>HYPERLINK("https://ppubs.uspto.gov/pubwebapp/external.html?q=11255555.pn.","USPTO")</f>
        <v>0.0</v>
      </c>
      <c r="J4422" s="2" t="n">
        <f>HYPERLINK("https://image-ppubs.uspto.gov/dirsearch-public/print/downloadPdf/11255555","USPTO PDF")</f>
        <v>0.0</v>
      </c>
      <c r="K4422" s="2" t="n">
        <f>HYPERLINK("https://sectors.patentforecast.com/pmd/US11255555","PMD")</f>
        <v>0.0</v>
      </c>
      <c r="L4422" s="2" t="n">
        <f>HYPERLINK("https://globaldossier.uspto.gov/result/patent/US/11255555/1","US11255555")</f>
        <v>0.0</v>
      </c>
      <c r="M4422" t="s">
        <v>26865</v>
      </c>
      <c r="N4422" t="s">
        <v>1724</v>
      </c>
      <c r="O4422" t="s">
        <v>1725</v>
      </c>
      <c r="P4422" t="s">
        <v>26866</v>
      </c>
      <c r="Q4422" s="3" t="n">
        <v>44413.0</v>
      </c>
      <c r="R4422" s="3" t="n">
        <v>44614.0</v>
      </c>
      <c r="S4422" s="3" t="n">
        <v>44622.18853395833</v>
      </c>
      <c r="T4422" s="3" t="n">
        <v>44698.64794164352</v>
      </c>
      <c r="U4422" t="s">
        <v>26867</v>
      </c>
      <c r="V4422" t="s">
        <v>26868</v>
      </c>
    </row>
    <row r="4423">
      <c r="A4423" t="s">
        <v>23557</v>
      </c>
      <c r="B4423" t="s">
        <v>26869</v>
      </c>
      <c r="C4423" t="s">
        <v>24</v>
      </c>
      <c r="D4423" t="s">
        <v>51</v>
      </c>
      <c r="E4423" t="s">
        <v>26870</v>
      </c>
      <c r="F4423" s="2" t="n">
        <f>HYPERLINK("https://patents.google.com/patent/US11254979","Google")</f>
        <v>0.0</v>
      </c>
      <c r="G4423" s="2" t="n">
        <f>HYPERLINK("https://patentcenter.uspto.gov/applications/16889667","Patent Center")</f>
        <v>0.0</v>
      </c>
      <c r="H4423" s="2" t="n">
        <f>HYPERLINK("https://worldwide.espacenet.com/patent/search?q=US11254979","Espacenet")</f>
        <v>0.0</v>
      </c>
      <c r="I4423" s="2" t="n">
        <f>HYPERLINK("https://ppubs.uspto.gov/pubwebapp/external.html?q=11254979.pn.","USPTO")</f>
        <v>0.0</v>
      </c>
      <c r="J4423" s="2" t="n">
        <f>HYPERLINK("https://image-ppubs.uspto.gov/dirsearch-public/print/downloadPdf/11254979","USPTO PDF")</f>
        <v>0.0</v>
      </c>
      <c r="K4423" s="2" t="n">
        <f>HYPERLINK("https://sectors.patentforecast.com/pmd/US11254979","PMD")</f>
        <v>0.0</v>
      </c>
      <c r="L4423" s="2" t="n">
        <f>HYPERLINK("https://globaldossier.uspto.gov/result/patent/US/11254979/1","US11254979")</f>
        <v>0.0</v>
      </c>
      <c r="M4423" t="s">
        <v>9318</v>
      </c>
      <c r="N4423" t="s">
        <v>8090</v>
      </c>
      <c r="O4423" t="s">
        <v>8091</v>
      </c>
      <c r="P4423" t="s">
        <v>26871</v>
      </c>
      <c r="Q4423" s="3" t="n">
        <v>43983.0</v>
      </c>
      <c r="R4423" s="3" t="n">
        <v>44614.0</v>
      </c>
      <c r="S4423" s="3" t="n">
        <v>44617.18859106481</v>
      </c>
      <c r="T4423" s="3" t="n">
        <v>44692.44962449074</v>
      </c>
      <c r="U4423" t="s">
        <v>26872</v>
      </c>
      <c r="V4423" t="s">
        <v>26873</v>
      </c>
    </row>
    <row r="4424">
      <c r="A4424" t="s">
        <v>23557</v>
      </c>
      <c r="B4424" t="s">
        <v>26874</v>
      </c>
      <c r="C4424" t="s">
        <v>132</v>
      </c>
      <c r="D4424" t="s">
        <v>142</v>
      </c>
      <c r="E4424" t="s">
        <v>26875</v>
      </c>
      <c r="F4424" s="2" t="n">
        <f>HYPERLINK("https://patents.google.com/patent/US11254712","Google")</f>
        <v>0.0</v>
      </c>
      <c r="G4424" s="2" t="n">
        <f>HYPERLINK("https://patentcenter.uspto.gov/applications/16498865","Patent Center")</f>
        <v>0.0</v>
      </c>
      <c r="H4424" s="2" t="n">
        <f>HYPERLINK("https://worldwide.espacenet.com/patent/search?q=US11254712","Espacenet")</f>
        <v>0.0</v>
      </c>
      <c r="I4424" s="2" t="n">
        <f>HYPERLINK("https://ppubs.uspto.gov/pubwebapp/external.html?q=11254712.pn.","USPTO")</f>
        <v>0.0</v>
      </c>
      <c r="J4424" s="2" t="n">
        <f>HYPERLINK("https://image-ppubs.uspto.gov/dirsearch-public/print/downloadPdf/11254712","USPTO PDF")</f>
        <v>0.0</v>
      </c>
      <c r="K4424" s="2" t="n">
        <f>HYPERLINK("https://sectors.patentforecast.com/pmd/US11254712","PMD")</f>
        <v>0.0</v>
      </c>
      <c r="L4424" s="2" t="n">
        <f>HYPERLINK("https://globaldossier.uspto.gov/result/patent/US/11254712/1","US11254712")</f>
        <v>0.0</v>
      </c>
      <c r="M4424" t="s">
        <v>17106</v>
      </c>
      <c r="N4424" t="s">
        <v>1663</v>
      </c>
      <c r="O4424" t="s">
        <v>1664</v>
      </c>
      <c r="P4424" t="s">
        <v>26876</v>
      </c>
      <c r="Q4424" s="3" t="n">
        <v>43188.0</v>
      </c>
      <c r="R4424" s="3" t="n">
        <v>44614.0</v>
      </c>
      <c r="S4424" s="3" t="n">
        <v>44643.232755474535</v>
      </c>
      <c r="T4424" s="3" t="n">
        <v>44672.3118962963</v>
      </c>
      <c r="U4424" t="s">
        <v>26877</v>
      </c>
      <c r="V4424" t="s">
        <v>26878</v>
      </c>
    </row>
    <row r="4425">
      <c r="A4425" t="s">
        <v>23557</v>
      </c>
      <c r="B4425" t="s">
        <v>26879</v>
      </c>
      <c r="C4425" t="s">
        <v>24</v>
      </c>
      <c r="D4425" t="s">
        <v>528</v>
      </c>
      <c r="E4425" t="s">
        <v>26880</v>
      </c>
      <c r="F4425" s="2" t="n">
        <f>HYPERLINK("https://patents.google.com/patent/US11253805","Google")</f>
        <v>0.0</v>
      </c>
      <c r="G4425" s="2" t="n">
        <f>HYPERLINK("https://patentcenter.uspto.gov/applications/17357971","Patent Center")</f>
        <v>0.0</v>
      </c>
      <c r="H4425" s="2" t="n">
        <f>HYPERLINK("https://worldwide.espacenet.com/patent/search?q=US11253805","Espacenet")</f>
        <v>0.0</v>
      </c>
      <c r="I4425" s="2" t="n">
        <f>HYPERLINK("https://ppubs.uspto.gov/pubwebapp/external.html?q=11253805.pn.","USPTO")</f>
        <v>0.0</v>
      </c>
      <c r="J4425" s="2" t="n">
        <f>HYPERLINK("https://image-ppubs.uspto.gov/dirsearch-public/print/downloadPdf/11253805","USPTO PDF")</f>
        <v>0.0</v>
      </c>
      <c r="K4425" s="2" t="n">
        <f>HYPERLINK("https://sectors.patentforecast.com/pmd/US11253805","PMD")</f>
        <v>0.0</v>
      </c>
      <c r="L4425" s="2" t="n">
        <f>HYPERLINK("https://globaldossier.uspto.gov/result/patent/US/11253805/1","US11253805")</f>
        <v>0.0</v>
      </c>
      <c r="M4425" t="s">
        <v>26881</v>
      </c>
      <c r="N4425" t="s">
        <v>26882</v>
      </c>
      <c r="O4425" t="s">
        <v>26883</v>
      </c>
      <c r="P4425" t="s">
        <v>26884</v>
      </c>
      <c r="Q4425" s="3" t="n">
        <v>44371.0</v>
      </c>
      <c r="R4425" s="3" t="n">
        <v>44614.0</v>
      </c>
      <c r="S4425" s="3" t="n">
        <v>44622.18853395833</v>
      </c>
      <c r="T4425" s="3" t="n">
        <v>44698.648097847225</v>
      </c>
      <c r="U4425" t="s">
        <v>26885</v>
      </c>
      <c r="V4425" t="s">
        <v>26886</v>
      </c>
    </row>
    <row r="4426">
      <c r="A4426" t="s">
        <v>23557</v>
      </c>
      <c r="B4426" t="s">
        <v>26887</v>
      </c>
      <c r="C4426" t="s">
        <v>24</v>
      </c>
      <c r="D4426" t="s">
        <v>69</v>
      </c>
      <c r="E4426" t="s">
        <v>26888</v>
      </c>
      <c r="F4426" s="2" t="n">
        <f>HYPERLINK("https://patents.google.com/patent/US11253670","Google")</f>
        <v>0.0</v>
      </c>
      <c r="G4426" s="2" t="n">
        <f>HYPERLINK("https://patentcenter.uspto.gov/applications/17116468","Patent Center")</f>
        <v>0.0</v>
      </c>
      <c r="H4426" s="2" t="n">
        <f>HYPERLINK("https://worldwide.espacenet.com/patent/search?q=US11253670","Espacenet")</f>
        <v>0.0</v>
      </c>
      <c r="I4426" s="2" t="n">
        <f>HYPERLINK("https://ppubs.uspto.gov/pubwebapp/external.html?q=11253670.pn.","USPTO")</f>
        <v>0.0</v>
      </c>
      <c r="J4426" s="2" t="n">
        <f>HYPERLINK("https://image-ppubs.uspto.gov/dirsearch-public/print/downloadPdf/11253670","USPTO PDF")</f>
        <v>0.0</v>
      </c>
      <c r="K4426" s="2" t="n">
        <f>HYPERLINK("https://sectors.patentforecast.com/pmd/US11253670","PMD")</f>
        <v>0.0</v>
      </c>
      <c r="L4426" s="2" t="n">
        <f>HYPERLINK("https://globaldossier.uspto.gov/result/patent/US/11253670/1","US11253670")</f>
        <v>0.0</v>
      </c>
      <c r="M4426" t="s">
        <v>26889</v>
      </c>
      <c r="N4426" t="s">
        <v>26890</v>
      </c>
      <c r="O4426" t="s">
        <v>26890</v>
      </c>
      <c r="P4426" t="s">
        <v>26891</v>
      </c>
      <c r="Q4426" s="3" t="n">
        <v>44174.0</v>
      </c>
      <c r="R4426" s="3" t="n">
        <v>44614.0</v>
      </c>
      <c r="S4426" s="3" t="n">
        <v>44622.18853395833</v>
      </c>
      <c r="T4426" s="3" t="n">
        <v>44678.63862428241</v>
      </c>
      <c r="U4426" t="s">
        <v>26892</v>
      </c>
      <c r="V4426" t="s">
        <v>26893</v>
      </c>
    </row>
    <row r="4427">
      <c r="A4427" t="s">
        <v>23557</v>
      </c>
      <c r="B4427" t="s">
        <v>26894</v>
      </c>
      <c r="C4427" t="s">
        <v>24</v>
      </c>
      <c r="D4427" t="s">
        <v>69</v>
      </c>
      <c r="E4427" t="s">
        <v>26895</v>
      </c>
      <c r="F4427" s="2" t="n">
        <f>HYPERLINK("https://patents.google.com/patent/US11253623","Google")</f>
        <v>0.0</v>
      </c>
      <c r="G4427" s="2" t="n">
        <f>HYPERLINK("https://patentcenter.uspto.gov/applications/17141961","Patent Center")</f>
        <v>0.0</v>
      </c>
      <c r="H4427" s="2" t="n">
        <f>HYPERLINK("https://worldwide.espacenet.com/patent/search?q=US11253623","Espacenet")</f>
        <v>0.0</v>
      </c>
      <c r="I4427" s="2" t="n">
        <f>HYPERLINK("https://ppubs.uspto.gov/pubwebapp/external.html?q=11253623.pn.","USPTO")</f>
        <v>0.0</v>
      </c>
      <c r="J4427" s="2" t="n">
        <f>HYPERLINK("https://image-ppubs.uspto.gov/dirsearch-public/print/downloadPdf/11253623","USPTO PDF")</f>
        <v>0.0</v>
      </c>
      <c r="K4427" s="2" t="n">
        <f>HYPERLINK("https://sectors.patentforecast.com/pmd/US11253623","PMD")</f>
        <v>0.0</v>
      </c>
      <c r="L4427" s="2" t="n">
        <f>HYPERLINK("https://globaldossier.uspto.gov/result/patent/US/11253623/1","US11253623")</f>
        <v>0.0</v>
      </c>
      <c r="M4427" t="s">
        <v>26896</v>
      </c>
      <c r="N4427" t="s">
        <v>15961</v>
      </c>
      <c r="O4427" t="s">
        <v>15962</v>
      </c>
      <c r="P4427" t="s">
        <v>26897</v>
      </c>
      <c r="Q4427" s="3" t="n">
        <v>44201.0</v>
      </c>
      <c r="R4427" s="3" t="n">
        <v>44614.0</v>
      </c>
      <c r="S4427" s="3" t="n">
        <v>44617.18859106481</v>
      </c>
      <c r="T4427" s="3" t="n">
        <v>44678.636131770836</v>
      </c>
      <c r="U4427" t="s">
        <v>26898</v>
      </c>
      <c r="V4427" t="s">
        <v>26899</v>
      </c>
    </row>
    <row r="4428">
      <c r="A4428" t="s">
        <v>23557</v>
      </c>
      <c r="B4428" t="s">
        <v>26900</v>
      </c>
      <c r="C4428" t="s">
        <v>132</v>
      </c>
      <c r="D4428" t="s">
        <v>133</v>
      </c>
      <c r="E4428" t="s">
        <v>26901</v>
      </c>
      <c r="F4428" s="2" t="n">
        <f>HYPERLINK("https://patents.google.com/patent/US11253587","Google")</f>
        <v>0.0</v>
      </c>
      <c r="G4428" s="2" t="n">
        <f>HYPERLINK("https://patentcenter.uspto.gov/applications/17218148","Patent Center")</f>
        <v>0.0</v>
      </c>
      <c r="H4428" s="2" t="n">
        <f>HYPERLINK("https://worldwide.espacenet.com/patent/search?q=US11253587","Espacenet")</f>
        <v>0.0</v>
      </c>
      <c r="I4428" s="2" t="n">
        <f>HYPERLINK("https://ppubs.uspto.gov/pubwebapp/external.html?q=11253587.pn.","USPTO")</f>
        <v>0.0</v>
      </c>
      <c r="J4428" s="2" t="n">
        <f>HYPERLINK("https://image-ppubs.uspto.gov/dirsearch-public/print/downloadPdf/11253587","USPTO PDF")</f>
        <v>0.0</v>
      </c>
      <c r="K4428" s="2" t="n">
        <f>HYPERLINK("https://sectors.patentforecast.com/pmd/US11253587","PMD")</f>
        <v>0.0</v>
      </c>
      <c r="L4428" s="2" t="n">
        <f>HYPERLINK("https://globaldossier.uspto.gov/result/patent/US/11253587/1","US11253587")</f>
        <v>0.0</v>
      </c>
      <c r="M4428" t="s">
        <v>10142</v>
      </c>
      <c r="N4428" t="s">
        <v>10143</v>
      </c>
      <c r="O4428" t="s">
        <v>10144</v>
      </c>
      <c r="P4428" t="s">
        <v>26902</v>
      </c>
      <c r="Q4428" s="3" t="n">
        <v>44285.0</v>
      </c>
      <c r="R4428" s="3" t="n">
        <v>44614.0</v>
      </c>
      <c r="S4428" s="3" t="n">
        <v>44617.18859106481</v>
      </c>
      <c r="T4428" s="3" t="n">
        <v>44638.68962553241</v>
      </c>
      <c r="U4428" t="s">
        <v>26903</v>
      </c>
      <c r="V4428" t="s">
        <v>26904</v>
      </c>
    </row>
    <row r="4429">
      <c r="A4429" t="s">
        <v>23557</v>
      </c>
      <c r="B4429" t="s">
        <v>26905</v>
      </c>
      <c r="C4429" t="s">
        <v>132</v>
      </c>
      <c r="D4429" t="s">
        <v>133</v>
      </c>
      <c r="E4429" t="s">
        <v>26906</v>
      </c>
      <c r="F4429" s="2" t="n">
        <f>HYPERLINK("https://patents.google.com/patent/US11253586","Google")</f>
        <v>0.0</v>
      </c>
      <c r="G4429" s="2" t="n">
        <f>HYPERLINK("https://patentcenter.uspto.gov/applications/17205990","Patent Center")</f>
        <v>0.0</v>
      </c>
      <c r="H4429" s="2" t="n">
        <f>HYPERLINK("https://worldwide.espacenet.com/patent/search?q=US11253586","Espacenet")</f>
        <v>0.0</v>
      </c>
      <c r="I4429" s="2" t="n">
        <f>HYPERLINK("https://ppubs.uspto.gov/pubwebapp/external.html?q=11253586.pn.","USPTO")</f>
        <v>0.0</v>
      </c>
      <c r="J4429" s="2" t="n">
        <f>HYPERLINK("https://image-ppubs.uspto.gov/dirsearch-public/print/downloadPdf/11253586","USPTO PDF")</f>
        <v>0.0</v>
      </c>
      <c r="K4429" s="2" t="n">
        <f>HYPERLINK("https://sectors.patentforecast.com/pmd/US11253586","PMD")</f>
        <v>0.0</v>
      </c>
      <c r="L4429" s="2" t="n">
        <f>HYPERLINK("https://globaldossier.uspto.gov/result/patent/US/11253586/1","US11253586")</f>
        <v>0.0</v>
      </c>
      <c r="M4429" t="s">
        <v>14816</v>
      </c>
      <c r="N4429" t="s">
        <v>1275</v>
      </c>
      <c r="O4429" t="s">
        <v>1275</v>
      </c>
      <c r="P4429" t="s">
        <v>26907</v>
      </c>
      <c r="Q4429" s="3" t="n">
        <v>44273.0</v>
      </c>
      <c r="R4429" s="3" t="n">
        <v>44614.0</v>
      </c>
      <c r="S4429" s="3" t="n">
        <v>44617.18859106481</v>
      </c>
      <c r="T4429" s="3" t="n">
        <v>44638.68962553241</v>
      </c>
      <c r="U4429" t="s">
        <v>26908</v>
      </c>
      <c r="V4429" t="s">
        <v>26909</v>
      </c>
    </row>
    <row r="4430">
      <c r="A4430" t="s">
        <v>23557</v>
      </c>
      <c r="B4430" t="s">
        <v>26910</v>
      </c>
      <c r="C4430" t="s">
        <v>132</v>
      </c>
      <c r="D4430" t="s">
        <v>142</v>
      </c>
      <c r="E4430" t="s">
        <v>26911</v>
      </c>
      <c r="F4430" s="2" t="n">
        <f>HYPERLINK("https://patents.google.com/patent/US11253585","Google")</f>
        <v>0.0</v>
      </c>
      <c r="G4430" s="2" t="n">
        <f>HYPERLINK("https://patentcenter.uspto.gov/applications/16545424","Patent Center")</f>
        <v>0.0</v>
      </c>
      <c r="H4430" s="2" t="n">
        <f>HYPERLINK("https://worldwide.espacenet.com/patent/search?q=US11253585","Espacenet")</f>
        <v>0.0</v>
      </c>
      <c r="I4430" s="2" t="n">
        <f>HYPERLINK("https://ppubs.uspto.gov/pubwebapp/external.html?q=11253585.pn.","USPTO")</f>
        <v>0.0</v>
      </c>
      <c r="J4430" s="2" t="n">
        <f>HYPERLINK("https://image-ppubs.uspto.gov/dirsearch-public/print/downloadPdf/11253585","USPTO PDF")</f>
        <v>0.0</v>
      </c>
      <c r="K4430" s="2" t="n">
        <f>HYPERLINK("https://sectors.patentforecast.com/pmd/US11253585","PMD")</f>
        <v>0.0</v>
      </c>
      <c r="L4430" s="2" t="n">
        <f>HYPERLINK("https://globaldossier.uspto.gov/result/patent/US/11253585/1","US11253585")</f>
        <v>0.0</v>
      </c>
      <c r="M4430" t="s">
        <v>26912</v>
      </c>
      <c r="N4430" t="s">
        <v>1275</v>
      </c>
      <c r="O4430" t="s">
        <v>1275</v>
      </c>
      <c r="P4430" t="s">
        <v>26913</v>
      </c>
      <c r="Q4430" s="3" t="n">
        <v>43697.0</v>
      </c>
      <c r="R4430" s="3" t="n">
        <v>44614.0</v>
      </c>
      <c r="S4430" s="3" t="n">
        <v>44643.23506467592</v>
      </c>
      <c r="T4430" s="3" t="n">
        <v>44658.635663877314</v>
      </c>
      <c r="U4430" t="s">
        <v>26914</v>
      </c>
      <c r="V4430" t="s">
        <v>26915</v>
      </c>
    </row>
    <row r="4431">
      <c r="A4431" t="s">
        <v>23557</v>
      </c>
      <c r="B4431" t="s">
        <v>26916</v>
      </c>
      <c r="C4431" t="s">
        <v>60</v>
      </c>
      <c r="D4431" t="s">
        <v>61</v>
      </c>
      <c r="E4431" t="s">
        <v>26917</v>
      </c>
      <c r="F4431" s="2" t="n">
        <f>HYPERLINK("https://patents.google.com/patent/US11253560","Google")</f>
        <v>0.0</v>
      </c>
      <c r="G4431" s="2" t="n">
        <f>HYPERLINK("https://patentcenter.uspto.gov/applications/16741634","Patent Center")</f>
        <v>0.0</v>
      </c>
      <c r="H4431" s="2" t="n">
        <f>HYPERLINK("https://worldwide.espacenet.com/patent/search?q=US11253560","Espacenet")</f>
        <v>0.0</v>
      </c>
      <c r="I4431" s="2" t="n">
        <f>HYPERLINK("https://ppubs.uspto.gov/pubwebapp/external.html?q=11253560.pn.","USPTO")</f>
        <v>0.0</v>
      </c>
      <c r="J4431" s="2" t="n">
        <f>HYPERLINK("https://image-ppubs.uspto.gov/dirsearch-public/print/downloadPdf/11253560","USPTO PDF")</f>
        <v>0.0</v>
      </c>
      <c r="K4431" s="2" t="n">
        <f>HYPERLINK("https://sectors.patentforecast.com/pmd/US11253560","PMD")</f>
        <v>0.0</v>
      </c>
      <c r="L4431" s="2" t="n">
        <f>HYPERLINK("https://globaldossier.uspto.gov/result/patent/US/11253560/1","US11253560")</f>
        <v>0.0</v>
      </c>
      <c r="M4431" t="s">
        <v>26918</v>
      </c>
      <c r="N4431" t="s">
        <v>26550</v>
      </c>
      <c r="O4431" t="s">
        <v>26550</v>
      </c>
      <c r="P4431" t="s">
        <v>26919</v>
      </c>
      <c r="Q4431" s="3" t="n">
        <v>43843.0</v>
      </c>
      <c r="R4431" s="3" t="n">
        <v>44614.0</v>
      </c>
      <c r="S4431" s="3" t="n">
        <v>44643.232755474535</v>
      </c>
      <c r="T4431" s="3" t="n">
        <v>44719.60615432871</v>
      </c>
      <c r="U4431" t="s">
        <v>26920</v>
      </c>
      <c r="V4431" t="s">
        <v>26921</v>
      </c>
    </row>
    <row r="4432">
      <c r="A4432" t="s">
        <v>23557</v>
      </c>
      <c r="B4432" t="s">
        <v>26922</v>
      </c>
      <c r="C4432" t="s">
        <v>60</v>
      </c>
      <c r="D4432" t="s">
        <v>715</v>
      </c>
      <c r="E4432" t="s">
        <v>26923</v>
      </c>
      <c r="F4432" s="2" t="n">
        <f>HYPERLINK("https://patents.google.com/patent/US11253542","Google")</f>
        <v>0.0</v>
      </c>
      <c r="G4432" s="2" t="n">
        <f>HYPERLINK("https://patentcenter.uspto.gov/applications/16848055","Patent Center")</f>
        <v>0.0</v>
      </c>
      <c r="H4432" s="2" t="n">
        <f>HYPERLINK("https://worldwide.espacenet.com/patent/search?q=US11253542","Espacenet")</f>
        <v>0.0</v>
      </c>
      <c r="I4432" s="2" t="n">
        <f>HYPERLINK("https://ppubs.uspto.gov/pubwebapp/external.html?q=11253542.pn.","USPTO")</f>
        <v>0.0</v>
      </c>
      <c r="J4432" s="2" t="n">
        <f>HYPERLINK("https://image-ppubs.uspto.gov/dirsearch-public/print/downloadPdf/11253542","USPTO PDF")</f>
        <v>0.0</v>
      </c>
      <c r="K4432" s="2" t="n">
        <f>HYPERLINK("https://sectors.patentforecast.com/pmd/US11253542","PMD")</f>
        <v>0.0</v>
      </c>
      <c r="L4432" s="2" t="n">
        <f>HYPERLINK("https://globaldossier.uspto.gov/result/patent/US/11253542/1","US11253542")</f>
        <v>0.0</v>
      </c>
      <c r="M4432" t="s">
        <v>12582</v>
      </c>
      <c r="N4432" t="s">
        <v>12583</v>
      </c>
      <c r="O4432" t="s">
        <v>12583</v>
      </c>
      <c r="P4432" t="s">
        <v>26924</v>
      </c>
      <c r="Q4432" s="3" t="n">
        <v>43935.0</v>
      </c>
      <c r="R4432" s="3" t="n">
        <v>44614.0</v>
      </c>
      <c r="S4432" s="3" t="n">
        <v>44617.18859106481</v>
      </c>
      <c r="T4432" s="3" t="n">
        <v>44694.56368196759</v>
      </c>
      <c r="U4432" t="s">
        <v>26925</v>
      </c>
      <c r="V4432" t="s">
        <v>26926</v>
      </c>
    </row>
    <row r="4433">
      <c r="A4433" t="s">
        <v>23557</v>
      </c>
      <c r="B4433" t="s">
        <v>26927</v>
      </c>
      <c r="C4433" t="s">
        <v>496</v>
      </c>
      <c r="D4433" t="s">
        <v>26928</v>
      </c>
      <c r="E4433" t="s">
        <v>26626</v>
      </c>
      <c r="F4433" s="2" t="n">
        <f>HYPERLINK("https://patents.google.com/patent/US11253534","Google")</f>
        <v>0.0</v>
      </c>
      <c r="G4433" s="2" t="n">
        <f>HYPERLINK("https://patentcenter.uspto.gov/applications/17026051","Patent Center")</f>
        <v>0.0</v>
      </c>
      <c r="H4433" s="2" t="n">
        <f>HYPERLINK("https://worldwide.espacenet.com/patent/search?q=US11253534","Espacenet")</f>
        <v>0.0</v>
      </c>
      <c r="I4433" s="2" t="n">
        <f>HYPERLINK("https://ppubs.uspto.gov/pubwebapp/external.html?q=11253534.pn.","USPTO")</f>
        <v>0.0</v>
      </c>
      <c r="J4433" s="2" t="n">
        <f>HYPERLINK("https://image-ppubs.uspto.gov/dirsearch-public/print/downloadPdf/11253534","USPTO PDF")</f>
        <v>0.0</v>
      </c>
      <c r="K4433" s="2" t="n">
        <f>HYPERLINK("https://sectors.patentforecast.com/pmd/US11253534","PMD")</f>
        <v>0.0</v>
      </c>
      <c r="L4433" s="2" t="n">
        <f>HYPERLINK("https://globaldossier.uspto.gov/result/patent/US/11253534/1","US11253534")</f>
        <v>0.0</v>
      </c>
      <c r="M4433" t="s">
        <v>13963</v>
      </c>
      <c r="N4433" t="s">
        <v>1806</v>
      </c>
      <c r="O4433" t="s">
        <v>1806</v>
      </c>
      <c r="P4433" t="s">
        <v>26627</v>
      </c>
      <c r="Q4433" s="3" t="n">
        <v>44092.0</v>
      </c>
      <c r="R4433" s="3" t="n">
        <v>44614.0</v>
      </c>
      <c r="S4433" s="3" t="n">
        <v>44617.18859106481</v>
      </c>
      <c r="T4433" s="3" t="n">
        <v>44694.56614019676</v>
      </c>
      <c r="U4433" t="s">
        <v>26929</v>
      </c>
      <c r="V4433" t="s">
        <v>26930</v>
      </c>
    </row>
    <row r="4434">
      <c r="A4434" t="s">
        <v>23557</v>
      </c>
      <c r="B4434" t="s">
        <v>26931</v>
      </c>
      <c r="C4434" t="s">
        <v>60</v>
      </c>
      <c r="D4434" t="s">
        <v>61</v>
      </c>
      <c r="E4434" t="s">
        <v>26932</v>
      </c>
      <c r="F4434" s="2" t="n">
        <f>HYPERLINK("https://patents.google.com/patent/US11253533","Google")</f>
        <v>0.0</v>
      </c>
      <c r="G4434" s="2" t="n">
        <f>HYPERLINK("https://patentcenter.uspto.gov/applications/17363375","Patent Center")</f>
        <v>0.0</v>
      </c>
      <c r="H4434" s="2" t="n">
        <f>HYPERLINK("https://worldwide.espacenet.com/patent/search?q=US11253533","Espacenet")</f>
        <v>0.0</v>
      </c>
      <c r="I4434" s="2" t="n">
        <f>HYPERLINK("https://ppubs.uspto.gov/pubwebapp/external.html?q=11253533.pn.","USPTO")</f>
        <v>0.0</v>
      </c>
      <c r="J4434" s="2" t="n">
        <f>HYPERLINK("https://image-ppubs.uspto.gov/dirsearch-public/print/downloadPdf/11253533","USPTO PDF")</f>
        <v>0.0</v>
      </c>
      <c r="K4434" s="2" t="n">
        <f>HYPERLINK("https://sectors.patentforecast.com/pmd/US11253533","PMD")</f>
        <v>0.0</v>
      </c>
      <c r="L4434" s="2" t="n">
        <f>HYPERLINK("https://globaldossier.uspto.gov/result/patent/US/11253533/1","US11253533")</f>
        <v>0.0</v>
      </c>
      <c r="M4434" t="s">
        <v>26933</v>
      </c>
      <c r="N4434" t="s">
        <v>657</v>
      </c>
      <c r="O4434" t="s">
        <v>658</v>
      </c>
      <c r="P4434" t="s">
        <v>26934</v>
      </c>
      <c r="Q4434" s="3" t="n">
        <v>44377.0</v>
      </c>
      <c r="R4434" s="3" t="n">
        <v>44614.0</v>
      </c>
      <c r="S4434" s="3" t="n">
        <v>44622.18853395833</v>
      </c>
      <c r="T4434" s="3" t="n">
        <v>44698.648759710646</v>
      </c>
      <c r="U4434" t="s">
        <v>26935</v>
      </c>
      <c r="V4434" t="s">
        <v>26936</v>
      </c>
    </row>
    <row r="4435">
      <c r="A4435" t="s">
        <v>23557</v>
      </c>
      <c r="B4435" t="s">
        <v>26937</v>
      </c>
      <c r="C4435" t="s">
        <v>60</v>
      </c>
      <c r="D4435" t="s">
        <v>61</v>
      </c>
      <c r="E4435" t="s">
        <v>26938</v>
      </c>
      <c r="F4435" s="2" t="n">
        <f>HYPERLINK("https://patents.google.com/patent/US11253524","Google")</f>
        <v>0.0</v>
      </c>
      <c r="G4435" s="2" t="n">
        <f>HYPERLINK("https://patentcenter.uspto.gov/applications/16251454","Patent Center")</f>
        <v>0.0</v>
      </c>
      <c r="H4435" s="2" t="n">
        <f>HYPERLINK("https://worldwide.espacenet.com/patent/search?q=US11253524","Espacenet")</f>
        <v>0.0</v>
      </c>
      <c r="I4435" s="2" t="n">
        <f>HYPERLINK("https://ppubs.uspto.gov/pubwebapp/external.html?q=11253524.pn.","USPTO")</f>
        <v>0.0</v>
      </c>
      <c r="J4435" s="2" t="n">
        <f>HYPERLINK("https://image-ppubs.uspto.gov/dirsearch-public/print/downloadPdf/11253524","USPTO PDF")</f>
        <v>0.0</v>
      </c>
      <c r="K4435" s="2" t="n">
        <f>HYPERLINK("https://sectors.patentforecast.com/pmd/US11253524","PMD")</f>
        <v>0.0</v>
      </c>
      <c r="L4435" s="2" t="n">
        <f>HYPERLINK("https://globaldossier.uspto.gov/result/patent/US/11253524/1","US11253524")</f>
        <v>0.0</v>
      </c>
      <c r="M4435" t="s">
        <v>17599</v>
      </c>
      <c r="N4435" t="s">
        <v>664</v>
      </c>
      <c r="O4435" t="s">
        <v>665</v>
      </c>
      <c r="P4435" t="s">
        <v>26939</v>
      </c>
      <c r="Q4435" s="3" t="n">
        <v>43483.0</v>
      </c>
      <c r="R4435" s="3" t="n">
        <v>44614.0</v>
      </c>
      <c r="S4435" s="3" t="n">
        <v>44643.235874756945</v>
      </c>
      <c r="T4435" s="3" t="n">
        <v>44672.30894195602</v>
      </c>
      <c r="U4435" t="s">
        <v>26940</v>
      </c>
      <c r="V4435" t="s">
        <v>26941</v>
      </c>
    </row>
    <row r="4436">
      <c r="A4436" t="s">
        <v>23557</v>
      </c>
      <c r="B4436" t="s">
        <v>26942</v>
      </c>
      <c r="C4436" t="s">
        <v>60</v>
      </c>
      <c r="D4436" t="s">
        <v>61</v>
      </c>
      <c r="E4436" t="s">
        <v>26943</v>
      </c>
      <c r="F4436" s="2" t="n">
        <f>HYPERLINK("https://patents.google.com/patent/US11253490","Google")</f>
        <v>0.0</v>
      </c>
      <c r="G4436" s="2" t="n">
        <f>HYPERLINK("https://patentcenter.uspto.gov/applications/17322316","Patent Center")</f>
        <v>0.0</v>
      </c>
      <c r="H4436" s="2" t="n">
        <f>HYPERLINK("https://worldwide.espacenet.com/patent/search?q=US11253490","Espacenet")</f>
        <v>0.0</v>
      </c>
      <c r="I4436" s="2" t="n">
        <f>HYPERLINK("https://ppubs.uspto.gov/pubwebapp/external.html?q=11253490.pn.","USPTO")</f>
        <v>0.0</v>
      </c>
      <c r="J4436" s="2" t="n">
        <f>HYPERLINK("https://image-ppubs.uspto.gov/dirsearch-public/print/downloadPdf/11253490","USPTO PDF")</f>
        <v>0.0</v>
      </c>
      <c r="K4436" s="2" t="n">
        <f>HYPERLINK("https://sectors.patentforecast.com/pmd/US11253490","PMD")</f>
        <v>0.0</v>
      </c>
      <c r="L4436" s="2" t="n">
        <f>HYPERLINK("https://globaldossier.uspto.gov/result/patent/US/11253490/1","US11253490")</f>
        <v>0.0</v>
      </c>
      <c r="M4436" t="s">
        <v>26944</v>
      </c>
      <c r="N4436" t="s">
        <v>26945</v>
      </c>
      <c r="O4436" t="s">
        <v>26946</v>
      </c>
      <c r="P4436" t="s">
        <v>26947</v>
      </c>
      <c r="Q4436" s="3" t="n">
        <v>44333.0</v>
      </c>
      <c r="R4436" s="3" t="n">
        <v>44614.0</v>
      </c>
      <c r="S4436" s="3" t="n">
        <v>44622.18853395833</v>
      </c>
      <c r="T4436" s="3" t="n">
        <v>44698.64882193287</v>
      </c>
      <c r="U4436" t="s">
        <v>26948</v>
      </c>
      <c r="V4436" t="s">
        <v>26949</v>
      </c>
    </row>
    <row r="4437">
      <c r="A4437" t="s">
        <v>23557</v>
      </c>
      <c r="B4437" t="s">
        <v>26950</v>
      </c>
      <c r="C4437" t="s">
        <v>24</v>
      </c>
      <c r="D4437" t="s">
        <v>51</v>
      </c>
      <c r="E4437" t="s">
        <v>26951</v>
      </c>
      <c r="F4437" s="2" t="n">
        <f>HYPERLINK("https://patents.google.com/patent/US11253235","Google")</f>
        <v>0.0</v>
      </c>
      <c r="G4437" s="2" t="n">
        <f>HYPERLINK("https://patentcenter.uspto.gov/applications/17067792","Patent Center")</f>
        <v>0.0</v>
      </c>
      <c r="H4437" s="2" t="n">
        <f>HYPERLINK("https://worldwide.espacenet.com/patent/search?q=US11253235","Espacenet")</f>
        <v>0.0</v>
      </c>
      <c r="I4437" s="2" t="n">
        <f>HYPERLINK("https://ppubs.uspto.gov/pubwebapp/external.html?q=11253235.pn.","USPTO")</f>
        <v>0.0</v>
      </c>
      <c r="J4437" s="2" t="n">
        <f>HYPERLINK("https://image-ppubs.uspto.gov/dirsearch-public/print/downloadPdf/11253235","USPTO PDF")</f>
        <v>0.0</v>
      </c>
      <c r="K4437" s="2" t="n">
        <f>HYPERLINK("https://sectors.patentforecast.com/pmd/US11253235","PMD")</f>
        <v>0.0</v>
      </c>
      <c r="L4437" s="2" t="n">
        <f>HYPERLINK("https://globaldossier.uspto.gov/result/patent/US/11253235/1","US11253235")</f>
        <v>0.0</v>
      </c>
      <c r="M4437" t="s">
        <v>26952</v>
      </c>
      <c r="N4437" t="s">
        <v>26953</v>
      </c>
      <c r="O4437" t="s">
        <v>26954</v>
      </c>
      <c r="P4437" t="s">
        <v>26955</v>
      </c>
      <c r="Q4437" s="3" t="n">
        <v>44116.0</v>
      </c>
      <c r="R4437" s="3" t="n">
        <v>44614.0</v>
      </c>
      <c r="S4437" s="3" t="n">
        <v>44622.18853395833</v>
      </c>
      <c r="T4437" s="3" t="n">
        <v>44698.648871666664</v>
      </c>
      <c r="U4437" t="s">
        <v>26956</v>
      </c>
      <c r="V4437" t="s">
        <v>26957</v>
      </c>
    </row>
    <row r="4438">
      <c r="A4438" t="s">
        <v>23557</v>
      </c>
      <c r="B4438" t="s">
        <v>26958</v>
      </c>
      <c r="C4438" t="s">
        <v>24</v>
      </c>
      <c r="D4438" t="s">
        <v>100</v>
      </c>
      <c r="E4438" t="s">
        <v>26959</v>
      </c>
      <c r="F4438" s="2" t="n">
        <f>HYPERLINK("https://patents.google.com/patent/US11253092","Google")</f>
        <v>0.0</v>
      </c>
      <c r="G4438" s="2" t="n">
        <f>HYPERLINK("https://patentcenter.uspto.gov/applications/17076483","Patent Center")</f>
        <v>0.0</v>
      </c>
      <c r="H4438" s="2" t="n">
        <f>HYPERLINK("https://worldwide.espacenet.com/patent/search?q=US11253092","Espacenet")</f>
        <v>0.0</v>
      </c>
      <c r="I4438" s="2" t="n">
        <f>HYPERLINK("https://ppubs.uspto.gov/pubwebapp/external.html?q=11253092.pn.","USPTO")</f>
        <v>0.0</v>
      </c>
      <c r="J4438" s="2" t="n">
        <f>HYPERLINK("https://image-ppubs.uspto.gov/dirsearch-public/print/downloadPdf/11253092","USPTO PDF")</f>
        <v>0.0</v>
      </c>
      <c r="K4438" s="2" t="n">
        <f>HYPERLINK("https://sectors.patentforecast.com/pmd/US11253092","PMD")</f>
        <v>0.0</v>
      </c>
      <c r="L4438" s="2" t="n">
        <f>HYPERLINK("https://globaldossier.uspto.gov/result/patent/US/11253092/1","US11253092")</f>
        <v>0.0</v>
      </c>
      <c r="M4438" t="s">
        <v>26960</v>
      </c>
      <c r="N4438" t="s">
        <v>26961</v>
      </c>
      <c r="O4438" t="s">
        <v>26962</v>
      </c>
      <c r="P4438" t="s">
        <v>26963</v>
      </c>
      <c r="Q4438" s="3" t="n">
        <v>44125.0</v>
      </c>
      <c r="R4438" s="3" t="n">
        <v>44614.0</v>
      </c>
      <c r="S4438" s="3" t="n">
        <v>44622.18853395833</v>
      </c>
      <c r="T4438" s="3" t="n">
        <v>44698.648945</v>
      </c>
      <c r="U4438" t="s">
        <v>26964</v>
      </c>
      <c r="V4438" t="s">
        <v>26965</v>
      </c>
    </row>
    <row r="4439">
      <c r="A4439" t="s">
        <v>23557</v>
      </c>
      <c r="B4439" t="s">
        <v>26966</v>
      </c>
      <c r="C4439" t="s">
        <v>24</v>
      </c>
      <c r="D4439" t="s">
        <v>8459</v>
      </c>
      <c r="E4439" t="s">
        <v>26967</v>
      </c>
      <c r="F4439" s="2" t="n">
        <f>HYPERLINK("https://patents.google.com/patent/US11253015","Google")</f>
        <v>0.0</v>
      </c>
      <c r="G4439" s="2" t="n">
        <f>HYPERLINK("https://patentcenter.uspto.gov/applications/16921619","Patent Center")</f>
        <v>0.0</v>
      </c>
      <c r="H4439" s="2" t="n">
        <f>HYPERLINK("https://worldwide.espacenet.com/patent/search?q=US11253015","Espacenet")</f>
        <v>0.0</v>
      </c>
      <c r="I4439" s="2" t="n">
        <f>HYPERLINK("https://ppubs.uspto.gov/pubwebapp/external.html?q=11253015.pn.","USPTO")</f>
        <v>0.0</v>
      </c>
      <c r="J4439" s="2" t="n">
        <f>HYPERLINK("https://image-ppubs.uspto.gov/dirsearch-public/print/downloadPdf/11253015","USPTO PDF")</f>
        <v>0.0</v>
      </c>
      <c r="K4439" s="2" t="n">
        <f>HYPERLINK("https://sectors.patentforecast.com/pmd/US11253015","PMD")</f>
        <v>0.0</v>
      </c>
      <c r="L4439" s="2" t="n">
        <f>HYPERLINK("https://globaldossier.uspto.gov/result/patent/US/11253015/1","US11253015")</f>
        <v>0.0</v>
      </c>
      <c r="M4439" t="s">
        <v>14243</v>
      </c>
      <c r="N4439" t="s">
        <v>14237</v>
      </c>
      <c r="O4439" t="s">
        <v>14238</v>
      </c>
      <c r="P4439" t="s">
        <v>26968</v>
      </c>
      <c r="Q4439" s="3" t="n">
        <v>44018.0</v>
      </c>
      <c r="R4439" s="3" t="n">
        <v>44614.0</v>
      </c>
      <c r="S4439" s="3" t="n">
        <v>44617.18859106481</v>
      </c>
      <c r="T4439" s="3" t="n">
        <v>44692.449889351854</v>
      </c>
      <c r="U4439" t="s">
        <v>26969</v>
      </c>
      <c r="V4439" t="s">
        <v>26970</v>
      </c>
    </row>
    <row r="4440">
      <c r="A4440" t="s">
        <v>23557</v>
      </c>
      <c r="B4440" t="s">
        <v>26971</v>
      </c>
      <c r="C4440" t="s">
        <v>312</v>
      </c>
      <c r="D4440" t="s">
        <v>313</v>
      </c>
      <c r="E4440" t="s">
        <v>26972</v>
      </c>
      <c r="F4440" s="2" t="n">
        <f>HYPERLINK("https://patents.google.com/patent/US11252209","Google")</f>
        <v>0.0</v>
      </c>
      <c r="G4440" s="2" t="n">
        <f>HYPERLINK("https://patentcenter.uspto.gov/applications/17374964","Patent Center")</f>
        <v>0.0</v>
      </c>
      <c r="H4440" s="2" t="n">
        <f>HYPERLINK("https://worldwide.espacenet.com/patent/search?q=US11252209","Espacenet")</f>
        <v>0.0</v>
      </c>
      <c r="I4440" s="2" t="n">
        <f>HYPERLINK("https://ppubs.uspto.gov/pubwebapp/external.html?q=11252209.pn.","USPTO")</f>
        <v>0.0</v>
      </c>
      <c r="J4440" s="2" t="n">
        <f>HYPERLINK("https://image-ppubs.uspto.gov/dirsearch-public/print/downloadPdf/11252209","USPTO PDF")</f>
        <v>0.0</v>
      </c>
      <c r="K4440" s="2" t="n">
        <f>HYPERLINK("https://sectors.patentforecast.com/pmd/US11252209","PMD")</f>
        <v>0.0</v>
      </c>
      <c r="L4440" s="2" t="n">
        <f>HYPERLINK("https://globaldossier.uspto.gov/result/patent/US/11252209/1","US11252209")</f>
        <v>0.0</v>
      </c>
      <c r="M4440" t="s">
        <v>26973</v>
      </c>
      <c r="N4440" t="s">
        <v>26974</v>
      </c>
      <c r="O4440" t="s">
        <v>26974</v>
      </c>
      <c r="P4440" t="s">
        <v>26975</v>
      </c>
      <c r="Q4440" s="3" t="n">
        <v>44390.0</v>
      </c>
      <c r="R4440" s="3" t="n">
        <v>44607.0</v>
      </c>
      <c r="S4440" s="3" t="n">
        <v>44617.18859106481</v>
      </c>
      <c r="T4440" s="3" t="n">
        <v>44698.64907328704</v>
      </c>
      <c r="U4440" t="s">
        <v>26976</v>
      </c>
      <c r="V4440" t="s">
        <v>26977</v>
      </c>
    </row>
    <row r="4441">
      <c r="A4441" t="s">
        <v>23557</v>
      </c>
      <c r="B4441" t="s">
        <v>26978</v>
      </c>
      <c r="C4441" t="s">
        <v>24</v>
      </c>
      <c r="D4441" t="s">
        <v>892</v>
      </c>
      <c r="E4441" t="s">
        <v>26979</v>
      </c>
      <c r="F4441" s="2" t="n">
        <f>HYPERLINK("https://patents.google.com/patent/US11250655","Google")</f>
        <v>0.0</v>
      </c>
      <c r="G4441" s="2" t="n">
        <f>HYPERLINK("https://patentcenter.uspto.gov/applications/16929296","Patent Center")</f>
        <v>0.0</v>
      </c>
      <c r="H4441" s="2" t="n">
        <f>HYPERLINK("https://worldwide.espacenet.com/patent/search?q=US11250655","Espacenet")</f>
        <v>0.0</v>
      </c>
      <c r="I4441" s="2" t="n">
        <f>HYPERLINK("https://ppubs.uspto.gov/pubwebapp/external.html?q=11250655.pn.","USPTO")</f>
        <v>0.0</v>
      </c>
      <c r="J4441" s="2" t="n">
        <f>HYPERLINK("https://image-ppubs.uspto.gov/dirsearch-public/print/downloadPdf/11250655","USPTO PDF")</f>
        <v>0.0</v>
      </c>
      <c r="K4441" s="2" t="n">
        <f>HYPERLINK("https://sectors.patentforecast.com/pmd/US11250655","PMD")</f>
        <v>0.0</v>
      </c>
      <c r="L4441" s="2" t="n">
        <f>HYPERLINK("https://globaldossier.uspto.gov/result/patent/US/11250655/1","US11250655")</f>
        <v>0.0</v>
      </c>
      <c r="M4441" t="s">
        <v>8063</v>
      </c>
      <c r="N4441" t="s">
        <v>4646</v>
      </c>
      <c r="O4441" t="s">
        <v>4647</v>
      </c>
      <c r="P4441" t="s">
        <v>26980</v>
      </c>
      <c r="Q4441" s="3" t="n">
        <v>44027.0</v>
      </c>
      <c r="R4441" s="3" t="n">
        <v>44607.0</v>
      </c>
      <c r="S4441" s="3" t="n">
        <v>44610.188339849534</v>
      </c>
      <c r="T4441" s="3" t="n">
        <v>44698.649217847225</v>
      </c>
      <c r="U4441" t="s">
        <v>26981</v>
      </c>
      <c r="V4441" t="s">
        <v>26982</v>
      </c>
    </row>
    <row r="4442">
      <c r="A4442" t="s">
        <v>23557</v>
      </c>
      <c r="B4442" t="s">
        <v>26983</v>
      </c>
      <c r="C4442" t="s">
        <v>24</v>
      </c>
      <c r="D4442" t="s">
        <v>25</v>
      </c>
      <c r="E4442" t="s">
        <v>26984</v>
      </c>
      <c r="F4442" s="2" t="n">
        <f>HYPERLINK("https://patents.google.com/patent/US11249560","Google")</f>
        <v>0.0</v>
      </c>
      <c r="G4442" s="2" t="n">
        <f>HYPERLINK("https://patentcenter.uspto.gov/applications/17304386","Patent Center")</f>
        <v>0.0</v>
      </c>
      <c r="H4442" s="2" t="n">
        <f>HYPERLINK("https://worldwide.espacenet.com/patent/search?q=US11249560","Espacenet")</f>
        <v>0.0</v>
      </c>
      <c r="I4442" s="2" t="n">
        <f>HYPERLINK("https://ppubs.uspto.gov/pubwebapp/external.html?q=11249560.pn.","USPTO")</f>
        <v>0.0</v>
      </c>
      <c r="J4442" s="2" t="n">
        <f>HYPERLINK("https://image-ppubs.uspto.gov/dirsearch-public/print/downloadPdf/11249560","USPTO PDF")</f>
        <v>0.0</v>
      </c>
      <c r="K4442" s="2" t="n">
        <f>HYPERLINK("https://sectors.patentforecast.com/pmd/US11249560","PMD")</f>
        <v>0.0</v>
      </c>
      <c r="L4442" s="2" t="n">
        <f>HYPERLINK("https://globaldossier.uspto.gov/result/patent/US/11249560/1","US11249560")</f>
        <v>0.0</v>
      </c>
      <c r="M4442" t="s">
        <v>26985</v>
      </c>
      <c r="N4442" t="s">
        <v>26986</v>
      </c>
      <c r="O4442" t="s">
        <v>26987</v>
      </c>
      <c r="P4442" t="s">
        <v>26988</v>
      </c>
      <c r="Q4442" s="3" t="n">
        <v>44368.0</v>
      </c>
      <c r="R4442" s="3" t="n">
        <v>44607.0</v>
      </c>
      <c r="S4442" s="3" t="n">
        <v>44610.188339849534</v>
      </c>
      <c r="T4442" s="3" t="n">
        <v>44698.64929241898</v>
      </c>
      <c r="U4442" t="s">
        <v>26989</v>
      </c>
      <c r="V4442" t="s">
        <v>26990</v>
      </c>
    </row>
    <row r="4443">
      <c r="A4443" t="s">
        <v>23557</v>
      </c>
      <c r="B4443" t="s">
        <v>26991</v>
      </c>
      <c r="C4443" t="s">
        <v>132</v>
      </c>
      <c r="D4443" t="s">
        <v>1265</v>
      </c>
      <c r="E4443" t="s">
        <v>26992</v>
      </c>
      <c r="F4443" s="2" t="n">
        <f>HYPERLINK("https://patents.google.com/patent/US11249088","Google")</f>
        <v>0.0</v>
      </c>
      <c r="G4443" s="2" t="n">
        <f>HYPERLINK("https://patentcenter.uspto.gov/applications/16524280","Patent Center")</f>
        <v>0.0</v>
      </c>
      <c r="H4443" s="2" t="n">
        <f>HYPERLINK("https://worldwide.espacenet.com/patent/search?q=US11249088","Espacenet")</f>
        <v>0.0</v>
      </c>
      <c r="I4443" s="2" t="n">
        <f>HYPERLINK("https://ppubs.uspto.gov/pubwebapp/external.html?q=11249088.pn.","USPTO")</f>
        <v>0.0</v>
      </c>
      <c r="J4443" s="2" t="n">
        <f>HYPERLINK("https://image-ppubs.uspto.gov/dirsearch-public/print/downloadPdf/11249088","USPTO PDF")</f>
        <v>0.0</v>
      </c>
      <c r="K4443" s="2" t="n">
        <f>HYPERLINK("https://sectors.patentforecast.com/pmd/US11249088","PMD")</f>
        <v>0.0</v>
      </c>
      <c r="L4443" s="2" t="n">
        <f>HYPERLINK("https://globaldossier.uspto.gov/result/patent/US/11249088/1","US11249088")</f>
        <v>0.0</v>
      </c>
      <c r="M4443" t="s">
        <v>16692</v>
      </c>
      <c r="N4443" t="s">
        <v>14996</v>
      </c>
      <c r="O4443" t="s">
        <v>14997</v>
      </c>
      <c r="P4443" t="s">
        <v>26993</v>
      </c>
      <c r="Q4443" s="3" t="n">
        <v>43675.0</v>
      </c>
      <c r="R4443" s="3" t="n">
        <v>44607.0</v>
      </c>
      <c r="S4443" s="3" t="n">
        <v>44643.236221875</v>
      </c>
      <c r="T4443" s="3" t="n">
        <v>44672.312835902776</v>
      </c>
      <c r="U4443" t="s">
        <v>26994</v>
      </c>
      <c r="V4443" t="s">
        <v>26995</v>
      </c>
    </row>
    <row r="4444">
      <c r="A4444" t="s">
        <v>23557</v>
      </c>
      <c r="B4444" t="s">
        <v>26996</v>
      </c>
      <c r="C4444" t="s">
        <v>24</v>
      </c>
      <c r="D4444" t="s">
        <v>51</v>
      </c>
      <c r="E4444" t="s">
        <v>26997</v>
      </c>
      <c r="F4444" s="2" t="n">
        <f>HYPERLINK("https://patents.google.com/patent/US11249083","Google")</f>
        <v>0.0</v>
      </c>
      <c r="G4444" s="2" t="n">
        <f>HYPERLINK("https://patentcenter.uspto.gov/applications/17411369","Patent Center")</f>
        <v>0.0</v>
      </c>
      <c r="H4444" s="2" t="n">
        <f>HYPERLINK("https://worldwide.espacenet.com/patent/search?q=US11249083","Espacenet")</f>
        <v>0.0</v>
      </c>
      <c r="I4444" s="2" t="n">
        <f>HYPERLINK("https://ppubs.uspto.gov/pubwebapp/external.html?q=11249083.pn.","USPTO")</f>
        <v>0.0</v>
      </c>
      <c r="J4444" s="2" t="n">
        <f>HYPERLINK("https://image-ppubs.uspto.gov/dirsearch-public/print/downloadPdf/11249083","USPTO PDF")</f>
        <v>0.0</v>
      </c>
      <c r="K4444" s="2" t="n">
        <f>HYPERLINK("https://sectors.patentforecast.com/pmd/US11249083","PMD")</f>
        <v>0.0</v>
      </c>
      <c r="L4444" s="2" t="n">
        <f>HYPERLINK("https://globaldossier.uspto.gov/result/patent/US/11249083/1","US11249083")</f>
        <v>0.0</v>
      </c>
      <c r="M4444" t="s">
        <v>26998</v>
      </c>
      <c r="N4444" t="s">
        <v>2024</v>
      </c>
      <c r="O4444" t="s">
        <v>2024</v>
      </c>
      <c r="P4444" t="s">
        <v>26850</v>
      </c>
      <c r="Q4444" s="3" t="n">
        <v>44433.0</v>
      </c>
      <c r="R4444" s="3" t="n">
        <v>44607.0</v>
      </c>
      <c r="S4444" s="3" t="n">
        <v>44617.18859106481</v>
      </c>
      <c r="T4444" s="3" t="n">
        <v>44678.41293219908</v>
      </c>
      <c r="U4444" t="s">
        <v>26999</v>
      </c>
      <c r="V4444" t="s">
        <v>26852</v>
      </c>
    </row>
    <row r="4445">
      <c r="A4445" t="s">
        <v>23557</v>
      </c>
      <c r="B4445" t="s">
        <v>27000</v>
      </c>
      <c r="C4445" t="s">
        <v>24</v>
      </c>
      <c r="D4445" t="s">
        <v>51</v>
      </c>
      <c r="E4445" t="s">
        <v>27001</v>
      </c>
      <c r="F4445" s="2" t="n">
        <f>HYPERLINK("https://patents.google.com/patent/US11249074","Google")</f>
        <v>0.0</v>
      </c>
      <c r="G4445" s="2" t="n">
        <f>HYPERLINK("https://patentcenter.uspto.gov/applications/17400389","Patent Center")</f>
        <v>0.0</v>
      </c>
      <c r="H4445" s="2" t="n">
        <f>HYPERLINK("https://worldwide.espacenet.com/patent/search?q=US11249074","Espacenet")</f>
        <v>0.0</v>
      </c>
      <c r="I4445" s="2" t="n">
        <f>HYPERLINK("https://ppubs.uspto.gov/pubwebapp/external.html?q=11249074.pn.","USPTO")</f>
        <v>0.0</v>
      </c>
      <c r="J4445" s="2" t="n">
        <f>HYPERLINK("https://image-ppubs.uspto.gov/dirsearch-public/print/downloadPdf/11249074","USPTO PDF")</f>
        <v>0.0</v>
      </c>
      <c r="K4445" s="2" t="n">
        <f>HYPERLINK("https://sectors.patentforecast.com/pmd/US11249074","PMD")</f>
        <v>0.0</v>
      </c>
      <c r="L4445" s="2" t="n">
        <f>HYPERLINK("https://globaldossier.uspto.gov/result/patent/US/11249074/1","US11249074")</f>
        <v>0.0</v>
      </c>
      <c r="M4445" t="s">
        <v>27002</v>
      </c>
      <c r="N4445" t="s">
        <v>27003</v>
      </c>
      <c r="O4445" t="s">
        <v>27003</v>
      </c>
      <c r="P4445" t="s">
        <v>27004</v>
      </c>
      <c r="Q4445" s="3" t="n">
        <v>44420.0</v>
      </c>
      <c r="R4445" s="3" t="n">
        <v>44607.0</v>
      </c>
      <c r="S4445" s="3" t="n">
        <v>44617.18859106481</v>
      </c>
      <c r="T4445" s="3" t="n">
        <v>44678.55226924769</v>
      </c>
      <c r="U4445" t="s">
        <v>27005</v>
      </c>
      <c r="V4445" t="s">
        <v>27006</v>
      </c>
    </row>
    <row r="4446">
      <c r="A4446" t="s">
        <v>23557</v>
      </c>
      <c r="B4446" t="s">
        <v>27007</v>
      </c>
      <c r="C4446" t="s">
        <v>24</v>
      </c>
      <c r="D4446" t="s">
        <v>25</v>
      </c>
      <c r="E4446" t="s">
        <v>27008</v>
      </c>
      <c r="F4446" s="2" t="n">
        <f>HYPERLINK("https://patents.google.com/patent/US11248265","Google")</f>
        <v>0.0</v>
      </c>
      <c r="G4446" s="2" t="n">
        <f>HYPERLINK("https://patentcenter.uspto.gov/applications/17102407","Patent Center")</f>
        <v>0.0</v>
      </c>
      <c r="H4446" s="2" t="n">
        <f>HYPERLINK("https://worldwide.espacenet.com/patent/search?q=US11248265","Espacenet")</f>
        <v>0.0</v>
      </c>
      <c r="I4446" s="2" t="n">
        <f>HYPERLINK("https://ppubs.uspto.gov/pubwebapp/external.html?q=11248265.pn.","USPTO")</f>
        <v>0.0</v>
      </c>
      <c r="J4446" s="2" t="n">
        <f>HYPERLINK("https://image-ppubs.uspto.gov/dirsearch-public/print/downloadPdf/11248265","USPTO PDF")</f>
        <v>0.0</v>
      </c>
      <c r="K4446" s="2" t="n">
        <f>HYPERLINK("https://sectors.patentforecast.com/pmd/US11248265","PMD")</f>
        <v>0.0</v>
      </c>
      <c r="L4446" s="2" t="n">
        <f>HYPERLINK("https://globaldossier.uspto.gov/result/patent/US/11248265/1","US11248265")</f>
        <v>0.0</v>
      </c>
      <c r="M4446" t="s">
        <v>27009</v>
      </c>
      <c r="N4446" t="s">
        <v>27010</v>
      </c>
      <c r="O4446" t="s">
        <v>27011</v>
      </c>
      <c r="P4446" t="s">
        <v>27012</v>
      </c>
      <c r="Q4446" s="3" t="n">
        <v>44158.0</v>
      </c>
      <c r="R4446" s="3" t="n">
        <v>44607.0</v>
      </c>
      <c r="S4446" s="3" t="n">
        <v>44617.18859106481</v>
      </c>
      <c r="T4446" s="3" t="n">
        <v>44698.64934596065</v>
      </c>
      <c r="U4446" t="s">
        <v>27013</v>
      </c>
      <c r="V4446" t="s">
        <v>27014</v>
      </c>
    </row>
    <row r="4447">
      <c r="A4447" t="s">
        <v>23557</v>
      </c>
      <c r="B4447" t="s">
        <v>27015</v>
      </c>
      <c r="C4447" t="s">
        <v>24</v>
      </c>
      <c r="D4447" t="s">
        <v>69</v>
      </c>
      <c r="E4447" t="s">
        <v>27016</v>
      </c>
      <c r="F4447" s="2" t="n">
        <f>HYPERLINK("https://patents.google.com/patent/US11247163","Google")</f>
        <v>0.0</v>
      </c>
      <c r="G4447" s="2" t="n">
        <f>HYPERLINK("https://patentcenter.uspto.gov/applications/17315800","Patent Center")</f>
        <v>0.0</v>
      </c>
      <c r="H4447" s="2" t="n">
        <f>HYPERLINK("https://worldwide.espacenet.com/patent/search?q=US11247163","Espacenet")</f>
        <v>0.0</v>
      </c>
      <c r="I4447" s="2" t="n">
        <f>HYPERLINK("https://ppubs.uspto.gov/pubwebapp/external.html?q=11247163.pn.","USPTO")</f>
        <v>0.0</v>
      </c>
      <c r="J4447" s="2" t="n">
        <f>HYPERLINK("https://image-ppubs.uspto.gov/dirsearch-public/print/downloadPdf/11247163","USPTO PDF")</f>
        <v>0.0</v>
      </c>
      <c r="K4447" s="2" t="n">
        <f>HYPERLINK("https://sectors.patentforecast.com/pmd/US11247163","PMD")</f>
        <v>0.0</v>
      </c>
      <c r="L4447" s="2" t="n">
        <f>HYPERLINK("https://globaldossier.uspto.gov/result/patent/US/11247163/1","US11247163")</f>
        <v>0.0</v>
      </c>
      <c r="M4447" t="s">
        <v>27017</v>
      </c>
      <c r="N4447" t="s">
        <v>27018</v>
      </c>
      <c r="O4447" t="s">
        <v>27019</v>
      </c>
      <c r="P4447" t="s">
        <v>27020</v>
      </c>
      <c r="Q4447" s="3" t="n">
        <v>44326.0</v>
      </c>
      <c r="R4447" s="3" t="n">
        <v>44607.0</v>
      </c>
      <c r="S4447" s="3" t="n">
        <v>44617.18859106481</v>
      </c>
      <c r="T4447" s="3" t="n">
        <v>44698.64938756944</v>
      </c>
      <c r="U4447" t="s">
        <v>27021</v>
      </c>
      <c r="V4447" t="s">
        <v>27022</v>
      </c>
    </row>
    <row r="4448">
      <c r="A4448" t="s">
        <v>23557</v>
      </c>
      <c r="B4448" t="s">
        <v>27023</v>
      </c>
      <c r="C4448" t="s">
        <v>60</v>
      </c>
      <c r="D4448" t="s">
        <v>715</v>
      </c>
      <c r="E4448" t="s">
        <v>27024</v>
      </c>
      <c r="F4448" s="2" t="n">
        <f>HYPERLINK("https://patents.google.com/patent/US11247051","Google")</f>
        <v>0.0</v>
      </c>
      <c r="G4448" s="2" t="n">
        <f>HYPERLINK("https://patentcenter.uspto.gov/applications/17177650","Patent Center")</f>
        <v>0.0</v>
      </c>
      <c r="H4448" s="2" t="n">
        <f>HYPERLINK("https://worldwide.espacenet.com/patent/search?q=US11247051","Espacenet")</f>
        <v>0.0</v>
      </c>
      <c r="I4448" s="2" t="n">
        <f>HYPERLINK("https://ppubs.uspto.gov/pubwebapp/external.html?q=11247051.pn.","USPTO")</f>
        <v>0.0</v>
      </c>
      <c r="J4448" s="2" t="n">
        <f>HYPERLINK("https://image-ppubs.uspto.gov/dirsearch-public/print/downloadPdf/11247051","USPTO PDF")</f>
        <v>0.0</v>
      </c>
      <c r="K4448" s="2" t="n">
        <f>HYPERLINK("https://sectors.patentforecast.com/pmd/US11247051","PMD")</f>
        <v>0.0</v>
      </c>
      <c r="L4448" s="2" t="n">
        <f>HYPERLINK("https://globaldossier.uspto.gov/result/patent/US/11247051/1","US11247051")</f>
        <v>0.0</v>
      </c>
      <c r="M4448" t="s">
        <v>27025</v>
      </c>
      <c r="N4448" t="s">
        <v>8469</v>
      </c>
      <c r="O4448" t="s">
        <v>8470</v>
      </c>
      <c r="P4448" t="s">
        <v>27026</v>
      </c>
      <c r="Q4448" s="3" t="n">
        <v>44244.0</v>
      </c>
      <c r="R4448" s="3" t="n">
        <v>44607.0</v>
      </c>
      <c r="S4448" s="3" t="n">
        <v>44617.18859106481</v>
      </c>
      <c r="T4448" s="3" t="n">
        <v>44678.472662314816</v>
      </c>
      <c r="U4448" t="s">
        <v>27027</v>
      </c>
      <c r="V4448" t="s">
        <v>27028</v>
      </c>
    </row>
    <row r="4449">
      <c r="A4449" t="s">
        <v>23557</v>
      </c>
      <c r="B4449" t="s">
        <v>27029</v>
      </c>
      <c r="C4449" t="s">
        <v>132</v>
      </c>
      <c r="D4449" t="s">
        <v>133</v>
      </c>
      <c r="E4449" t="s">
        <v>27030</v>
      </c>
      <c r="F4449" s="2" t="n">
        <f>HYPERLINK("https://patents.google.com/patent/US11246922","Google")</f>
        <v>0.0</v>
      </c>
      <c r="G4449" s="2" t="n">
        <f>HYPERLINK("https://patentcenter.uspto.gov/applications/17245535","Patent Center")</f>
        <v>0.0</v>
      </c>
      <c r="H4449" s="2" t="n">
        <f>HYPERLINK("https://worldwide.espacenet.com/patent/search?q=US11246922","Espacenet")</f>
        <v>0.0</v>
      </c>
      <c r="I4449" s="2" t="n">
        <f>HYPERLINK("https://ppubs.uspto.gov/pubwebapp/external.html?q=11246922.pn.","USPTO")</f>
        <v>0.0</v>
      </c>
      <c r="J4449" s="2" t="n">
        <f>HYPERLINK("https://image-ppubs.uspto.gov/dirsearch-public/print/downloadPdf/11246922","USPTO PDF")</f>
        <v>0.0</v>
      </c>
      <c r="K4449" s="2" t="n">
        <f>HYPERLINK("https://sectors.patentforecast.com/pmd/US11246922","PMD")</f>
        <v>0.0</v>
      </c>
      <c r="L4449" s="2" t="n">
        <f>HYPERLINK("https://globaldossier.uspto.gov/result/patent/US/11246922/1","US11246922")</f>
        <v>0.0</v>
      </c>
      <c r="M4449" t="s">
        <v>27031</v>
      </c>
      <c r="N4449" t="s">
        <v>27032</v>
      </c>
      <c r="O4449" t="s">
        <v>27033</v>
      </c>
      <c r="P4449" t="s">
        <v>27034</v>
      </c>
      <c r="Q4449" s="3" t="n">
        <v>44316.0</v>
      </c>
      <c r="R4449" s="3" t="n">
        <v>44607.0</v>
      </c>
      <c r="S4449" s="3" t="n">
        <v>44617.18859106481</v>
      </c>
      <c r="T4449" s="3" t="n">
        <v>44698.64945560185</v>
      </c>
      <c r="U4449" t="s">
        <v>27035</v>
      </c>
      <c r="V4449" t="s">
        <v>27036</v>
      </c>
    </row>
    <row r="4450">
      <c r="A4450" t="s">
        <v>23557</v>
      </c>
      <c r="B4450" t="s">
        <v>27037</v>
      </c>
      <c r="C4450" t="s">
        <v>132</v>
      </c>
      <c r="D4450" t="s">
        <v>27038</v>
      </c>
      <c r="E4450" t="s">
        <v>27039</v>
      </c>
      <c r="F4450" s="2" t="n">
        <f>HYPERLINK("https://patents.google.com/patent/US11246921","Google")</f>
        <v>0.0</v>
      </c>
      <c r="G4450" s="2" t="n">
        <f>HYPERLINK("https://patentcenter.uspto.gov/applications/16452783","Patent Center")</f>
        <v>0.0</v>
      </c>
      <c r="H4450" s="2" t="n">
        <f>HYPERLINK("https://worldwide.espacenet.com/patent/search?q=US11246921","Espacenet")</f>
        <v>0.0</v>
      </c>
      <c r="I4450" s="2" t="n">
        <f>HYPERLINK("https://ppubs.uspto.gov/pubwebapp/external.html?q=11246921.pn.","USPTO")</f>
        <v>0.0</v>
      </c>
      <c r="J4450" s="2" t="n">
        <f>HYPERLINK("https://image-ppubs.uspto.gov/dirsearch-public/print/downloadPdf/11246921","USPTO PDF")</f>
        <v>0.0</v>
      </c>
      <c r="K4450" s="2" t="n">
        <f>HYPERLINK("https://sectors.patentforecast.com/pmd/US11246921","PMD")</f>
        <v>0.0</v>
      </c>
      <c r="L4450" s="2" t="n">
        <f>HYPERLINK("https://globaldossier.uspto.gov/result/patent/US/11246921/1","US11246921")</f>
        <v>0.0</v>
      </c>
      <c r="M4450" t="s">
        <v>16816</v>
      </c>
      <c r="N4450" t="s">
        <v>14996</v>
      </c>
      <c r="O4450" t="s">
        <v>14997</v>
      </c>
      <c r="P4450" t="s">
        <v>27040</v>
      </c>
      <c r="Q4450" s="3" t="n">
        <v>43642.0</v>
      </c>
      <c r="R4450" s="3" t="n">
        <v>44607.0</v>
      </c>
      <c r="S4450" s="3" t="n">
        <v>44643.236221875</v>
      </c>
      <c r="T4450" s="3" t="n">
        <v>44694.566139664355</v>
      </c>
      <c r="U4450" t="s">
        <v>27041</v>
      </c>
      <c r="V4450" t="s">
        <v>27042</v>
      </c>
    </row>
    <row r="4451">
      <c r="A4451" t="s">
        <v>23557</v>
      </c>
      <c r="B4451" t="s">
        <v>27043</v>
      </c>
      <c r="C4451" t="s">
        <v>1292</v>
      </c>
      <c r="D4451" t="s">
        <v>27044</v>
      </c>
      <c r="E4451" t="s">
        <v>27045</v>
      </c>
      <c r="F4451" s="2" t="n">
        <f>HYPERLINK("https://patents.google.com/patent/US11246898","Google")</f>
        <v>0.0</v>
      </c>
      <c r="G4451" s="2" t="n">
        <f>HYPERLINK("https://patentcenter.uspto.gov/applications/16803439","Patent Center")</f>
        <v>0.0</v>
      </c>
      <c r="H4451" s="2" t="n">
        <f>HYPERLINK("https://worldwide.espacenet.com/patent/search?q=US11246898","Espacenet")</f>
        <v>0.0</v>
      </c>
      <c r="I4451" s="2" t="n">
        <f>HYPERLINK("https://ppubs.uspto.gov/pubwebapp/external.html?q=11246898.pn.","USPTO")</f>
        <v>0.0</v>
      </c>
      <c r="J4451" s="2" t="n">
        <f>HYPERLINK("https://image-ppubs.uspto.gov/dirsearch-public/print/downloadPdf/11246898","USPTO PDF")</f>
        <v>0.0</v>
      </c>
      <c r="K4451" s="2" t="n">
        <f>HYPERLINK("https://sectors.patentforecast.com/pmd/US11246898","PMD")</f>
        <v>0.0</v>
      </c>
      <c r="L4451" s="2" t="n">
        <f>HYPERLINK("https://globaldossier.uspto.gov/result/patent/US/11246898/1","US11246898")</f>
        <v>0.0</v>
      </c>
      <c r="M4451" t="s">
        <v>16702</v>
      </c>
      <c r="N4451" t="s">
        <v>16703</v>
      </c>
      <c r="O4451" t="s">
        <v>16704</v>
      </c>
      <c r="P4451" t="s">
        <v>27046</v>
      </c>
      <c r="Q4451" s="3" t="n">
        <v>43888.0</v>
      </c>
      <c r="R4451" s="3" t="n">
        <v>44607.0</v>
      </c>
      <c r="S4451" s="3" t="n">
        <v>44643.2390000463</v>
      </c>
      <c r="T4451" s="3" t="n">
        <v>44694.566139710645</v>
      </c>
      <c r="U4451" t="s">
        <v>27047</v>
      </c>
      <c r="V4451" t="s">
        <v>27048</v>
      </c>
    </row>
    <row r="4452">
      <c r="A4452" t="s">
        <v>23557</v>
      </c>
      <c r="B4452" t="s">
        <v>27049</v>
      </c>
      <c r="C4452" t="s">
        <v>24</v>
      </c>
      <c r="D4452" t="s">
        <v>69</v>
      </c>
      <c r="E4452" t="s">
        <v>27050</v>
      </c>
      <c r="F4452" s="2" t="n">
        <f>HYPERLINK("https://patents.google.com/patent/US11246887","Google")</f>
        <v>0.0</v>
      </c>
      <c r="G4452" s="2" t="n">
        <f>HYPERLINK("https://patentcenter.uspto.gov/applications/16925740","Patent Center")</f>
        <v>0.0</v>
      </c>
      <c r="H4452" s="2" t="n">
        <f>HYPERLINK("https://worldwide.espacenet.com/patent/search?q=US11246887","Espacenet")</f>
        <v>0.0</v>
      </c>
      <c r="I4452" s="2" t="n">
        <f>HYPERLINK("https://ppubs.uspto.gov/pubwebapp/external.html?q=11246887.pn.","USPTO")</f>
        <v>0.0</v>
      </c>
      <c r="J4452" s="2" t="n">
        <f>HYPERLINK("https://image-ppubs.uspto.gov/dirsearch-public/print/downloadPdf/11246887","USPTO PDF")</f>
        <v>0.0</v>
      </c>
      <c r="K4452" s="2" t="n">
        <f>HYPERLINK("https://sectors.patentforecast.com/pmd/US11246887","PMD")</f>
        <v>0.0</v>
      </c>
      <c r="L4452" s="2" t="n">
        <f>HYPERLINK("https://globaldossier.uspto.gov/result/patent/US/11246887/1","US11246887")</f>
        <v>0.0</v>
      </c>
      <c r="M4452" t="s">
        <v>16012</v>
      </c>
      <c r="N4452" t="s">
        <v>4020</v>
      </c>
      <c r="O4452" t="s">
        <v>4021</v>
      </c>
      <c r="P4452" t="s">
        <v>27051</v>
      </c>
      <c r="Q4452" s="3" t="n">
        <v>44022.0</v>
      </c>
      <c r="R4452" s="3" t="n">
        <v>44607.0</v>
      </c>
      <c r="S4452" s="3" t="n">
        <v>44610.187791157405</v>
      </c>
      <c r="T4452" s="3" t="n">
        <v>44692.450159733795</v>
      </c>
      <c r="U4452" t="s">
        <v>27052</v>
      </c>
      <c r="V4452" t="s">
        <v>27053</v>
      </c>
    </row>
    <row r="4453">
      <c r="A4453" t="s">
        <v>23557</v>
      </c>
      <c r="B4453" t="s">
        <v>27054</v>
      </c>
      <c r="C4453" t="s">
        <v>60</v>
      </c>
      <c r="D4453" t="s">
        <v>61</v>
      </c>
      <c r="E4453" t="s">
        <v>27055</v>
      </c>
      <c r="F4453" s="2" t="n">
        <f>HYPERLINK("https://patents.google.com/patent/US11246874","Google")</f>
        <v>0.0</v>
      </c>
      <c r="G4453" s="2" t="n">
        <f>HYPERLINK("https://patentcenter.uspto.gov/applications/17235437","Patent Center")</f>
        <v>0.0</v>
      </c>
      <c r="H4453" s="2" t="n">
        <f>HYPERLINK("https://worldwide.espacenet.com/patent/search?q=US11246874","Espacenet")</f>
        <v>0.0</v>
      </c>
      <c r="I4453" s="2" t="n">
        <f>HYPERLINK("https://ppubs.uspto.gov/pubwebapp/external.html?q=11246874.pn.","USPTO")</f>
        <v>0.0</v>
      </c>
      <c r="J4453" s="2" t="n">
        <f>HYPERLINK("https://image-ppubs.uspto.gov/dirsearch-public/print/downloadPdf/11246874","USPTO PDF")</f>
        <v>0.0</v>
      </c>
      <c r="K4453" s="2" t="n">
        <f>HYPERLINK("https://sectors.patentforecast.com/pmd/US11246874","PMD")</f>
        <v>0.0</v>
      </c>
      <c r="L4453" s="2" t="n">
        <f>HYPERLINK("https://globaldossier.uspto.gov/result/patent/US/11246874/1","US11246874")</f>
        <v>0.0</v>
      </c>
      <c r="M4453" t="s">
        <v>27056</v>
      </c>
      <c r="N4453" t="s">
        <v>27057</v>
      </c>
      <c r="O4453" t="s">
        <v>27058</v>
      </c>
      <c r="P4453" t="s">
        <v>27059</v>
      </c>
      <c r="Q4453" s="3" t="n">
        <v>44306.0</v>
      </c>
      <c r="R4453" s="3" t="n">
        <v>44607.0</v>
      </c>
      <c r="S4453" s="3" t="n">
        <v>44617.18859106481</v>
      </c>
      <c r="T4453" s="3" t="n">
        <v>44678.54098831018</v>
      </c>
      <c r="U4453" t="s">
        <v>27060</v>
      </c>
      <c r="V4453" t="s">
        <v>27061</v>
      </c>
    </row>
    <row r="4454">
      <c r="A4454" t="s">
        <v>23557</v>
      </c>
      <c r="B4454" t="s">
        <v>27062</v>
      </c>
      <c r="C4454" t="s">
        <v>24</v>
      </c>
      <c r="D4454" t="s">
        <v>69</v>
      </c>
      <c r="E4454" t="s">
        <v>27063</v>
      </c>
      <c r="F4454" s="2" t="n">
        <f>HYPERLINK("https://patents.google.com/patent/US11243621","Google")</f>
        <v>0.0</v>
      </c>
      <c r="G4454" s="2" t="n">
        <f>HYPERLINK("https://patentcenter.uspto.gov/applications/17449650","Patent Center")</f>
        <v>0.0</v>
      </c>
      <c r="H4454" s="2" t="n">
        <f>HYPERLINK("https://worldwide.espacenet.com/patent/search?q=US11243621","Espacenet")</f>
        <v>0.0</v>
      </c>
      <c r="I4454" s="2" t="n">
        <f>HYPERLINK("https://ppubs.uspto.gov/pubwebapp/external.html?q=11243621.pn.","USPTO")</f>
        <v>0.0</v>
      </c>
      <c r="J4454" s="2" t="n">
        <f>HYPERLINK("https://image-ppubs.uspto.gov/dirsearch-public/print/downloadPdf/11243621","USPTO PDF")</f>
        <v>0.0</v>
      </c>
      <c r="K4454" s="2" t="n">
        <f>HYPERLINK("https://sectors.patentforecast.com/pmd/US11243621","PMD")</f>
        <v>0.0</v>
      </c>
      <c r="L4454" s="2" t="n">
        <f>HYPERLINK("https://globaldossier.uspto.gov/result/patent/US/11243621/1","US11243621")</f>
        <v>0.0</v>
      </c>
      <c r="M4454" t="s">
        <v>27064</v>
      </c>
      <c r="N4454" t="s">
        <v>27065</v>
      </c>
      <c r="O4454" t="s">
        <v>27066</v>
      </c>
      <c r="P4454" t="s">
        <v>27067</v>
      </c>
      <c r="Q4454" s="3" t="n">
        <v>44469.0</v>
      </c>
      <c r="R4454" s="3" t="n">
        <v>44600.0</v>
      </c>
      <c r="S4454" s="3" t="n">
        <v>44610.188339849534</v>
      </c>
      <c r="T4454" s="3" t="n">
        <v>44698.64961855324</v>
      </c>
      <c r="U4454" t="s">
        <v>27068</v>
      </c>
      <c r="V4454" t="s">
        <v>27069</v>
      </c>
    </row>
    <row r="4455">
      <c r="A4455" t="s">
        <v>23557</v>
      </c>
      <c r="B4455" t="s">
        <v>27070</v>
      </c>
      <c r="C4455" t="s">
        <v>60</v>
      </c>
      <c r="D4455" t="s">
        <v>715</v>
      </c>
      <c r="E4455" t="s">
        <v>27071</v>
      </c>
      <c r="F4455" s="2" t="n">
        <f>HYPERLINK("https://patents.google.com/patent/US11241554","Google")</f>
        <v>0.0</v>
      </c>
      <c r="G4455" s="2" t="n">
        <f>HYPERLINK("https://patentcenter.uspto.gov/applications/17323030","Patent Center")</f>
        <v>0.0</v>
      </c>
      <c r="H4455" s="2" t="n">
        <f>HYPERLINK("https://worldwide.espacenet.com/patent/search?q=US11241554","Espacenet")</f>
        <v>0.0</v>
      </c>
      <c r="I4455" s="2" t="n">
        <f>HYPERLINK("https://ppubs.uspto.gov/pubwebapp/external.html?q=11241554.pn.","USPTO")</f>
        <v>0.0</v>
      </c>
      <c r="J4455" s="2" t="n">
        <f>HYPERLINK("https://image-ppubs.uspto.gov/dirsearch-public/print/downloadPdf/11241554","USPTO PDF")</f>
        <v>0.0</v>
      </c>
      <c r="K4455" s="2" t="n">
        <f>HYPERLINK("https://sectors.patentforecast.com/pmd/US11241554","PMD")</f>
        <v>0.0</v>
      </c>
      <c r="L4455" s="2" t="n">
        <f>HYPERLINK("https://globaldossier.uspto.gov/result/patent/US/11241554/1","US11241554")</f>
        <v>0.0</v>
      </c>
      <c r="M4455" t="s">
        <v>27072</v>
      </c>
      <c r="N4455" t="s">
        <v>27073</v>
      </c>
      <c r="O4455" t="s">
        <v>27074</v>
      </c>
      <c r="P4455" t="s">
        <v>27075</v>
      </c>
      <c r="Q4455" s="3" t="n">
        <v>44334.0</v>
      </c>
      <c r="R4455" s="3" t="n">
        <v>44600.0</v>
      </c>
      <c r="S4455" s="3" t="n">
        <v>44603.18822829861</v>
      </c>
      <c r="T4455" s="3" t="n">
        <v>44678.63381488426</v>
      </c>
      <c r="U4455" t="s">
        <v>27076</v>
      </c>
      <c r="V4455" t="s">
        <v>27077</v>
      </c>
    </row>
    <row r="4456">
      <c r="A4456" t="s">
        <v>23557</v>
      </c>
      <c r="B4456" t="s">
        <v>27078</v>
      </c>
      <c r="C4456" t="s">
        <v>132</v>
      </c>
      <c r="D4456" t="s">
        <v>133</v>
      </c>
      <c r="E4456" t="s">
        <v>27079</v>
      </c>
      <c r="F4456" s="2" t="n">
        <f>HYPERLINK("https://patents.google.com/patent/US11241493","Google")</f>
        <v>0.0</v>
      </c>
      <c r="G4456" s="2" t="n">
        <f>HYPERLINK("https://patentcenter.uspto.gov/applications/17231261","Patent Center")</f>
        <v>0.0</v>
      </c>
      <c r="H4456" s="2" t="n">
        <f>HYPERLINK("https://worldwide.espacenet.com/patent/search?q=US11241493","Espacenet")</f>
        <v>0.0</v>
      </c>
      <c r="I4456" s="2" t="n">
        <f>HYPERLINK("https://ppubs.uspto.gov/pubwebapp/external.html?q=11241493.pn.","USPTO")</f>
        <v>0.0</v>
      </c>
      <c r="J4456" s="2" t="n">
        <f>HYPERLINK("https://image-ppubs.uspto.gov/dirsearch-public/print/downloadPdf/11241493","USPTO PDF")</f>
        <v>0.0</v>
      </c>
      <c r="K4456" s="2" t="n">
        <f>HYPERLINK("https://sectors.patentforecast.com/pmd/US11241493","PMD")</f>
        <v>0.0</v>
      </c>
      <c r="L4456" s="2" t="n">
        <f>HYPERLINK("https://globaldossier.uspto.gov/result/patent/US/11241493/1","US11241493")</f>
        <v>0.0</v>
      </c>
      <c r="M4456" t="s">
        <v>9071</v>
      </c>
      <c r="N4456" t="s">
        <v>136</v>
      </c>
      <c r="O4456" t="s">
        <v>137</v>
      </c>
      <c r="P4456" t="s">
        <v>27080</v>
      </c>
      <c r="Q4456" s="3" t="n">
        <v>44301.0</v>
      </c>
      <c r="R4456" s="3" t="n">
        <v>44600.0</v>
      </c>
      <c r="S4456" s="3" t="n">
        <v>44603.18822829861</v>
      </c>
      <c r="T4456" s="3" t="n">
        <v>44638.68962553241</v>
      </c>
      <c r="U4456" t="s">
        <v>27081</v>
      </c>
      <c r="V4456" t="s">
        <v>27082</v>
      </c>
    </row>
    <row r="4457">
      <c r="A4457" t="s">
        <v>23557</v>
      </c>
      <c r="B4457" t="s">
        <v>27083</v>
      </c>
      <c r="C4457" t="s">
        <v>132</v>
      </c>
      <c r="D4457" t="s">
        <v>142</v>
      </c>
      <c r="E4457" t="s">
        <v>27084</v>
      </c>
      <c r="F4457" s="2" t="n">
        <f>HYPERLINK("https://patents.google.com/patent/US11241485","Google")</f>
        <v>0.0</v>
      </c>
      <c r="G4457" s="2" t="n">
        <f>HYPERLINK("https://patentcenter.uspto.gov/applications/16621593","Patent Center")</f>
        <v>0.0</v>
      </c>
      <c r="H4457" s="2" t="n">
        <f>HYPERLINK("https://worldwide.espacenet.com/patent/search?q=US11241485","Espacenet")</f>
        <v>0.0</v>
      </c>
      <c r="I4457" s="2" t="n">
        <f>HYPERLINK("https://ppubs.uspto.gov/pubwebapp/external.html?q=11241485.pn.","USPTO")</f>
        <v>0.0</v>
      </c>
      <c r="J4457" s="2" t="n">
        <f>HYPERLINK("https://image-ppubs.uspto.gov/dirsearch-public/print/downloadPdf/11241485","USPTO PDF")</f>
        <v>0.0</v>
      </c>
      <c r="K4457" s="2" t="n">
        <f>HYPERLINK("https://sectors.patentforecast.com/pmd/US11241485","PMD")</f>
        <v>0.0</v>
      </c>
      <c r="L4457" s="2" t="n">
        <f>HYPERLINK("https://globaldossier.uspto.gov/result/patent/US/11241485/1","US11241485")</f>
        <v>0.0</v>
      </c>
      <c r="M4457" t="s">
        <v>16942</v>
      </c>
      <c r="N4457" t="s">
        <v>16943</v>
      </c>
      <c r="O4457" t="s">
        <v>16944</v>
      </c>
      <c r="P4457" t="s">
        <v>27085</v>
      </c>
      <c r="Q4457" s="3" t="n">
        <v>43263.0</v>
      </c>
      <c r="R4457" s="3" t="n">
        <v>44600.0</v>
      </c>
      <c r="S4457" s="3" t="n">
        <v>44643.232755474535</v>
      </c>
      <c r="T4457" s="3" t="n">
        <v>44672.31354722222</v>
      </c>
      <c r="U4457" t="s">
        <v>27086</v>
      </c>
      <c r="V4457" t="s">
        <v>27087</v>
      </c>
    </row>
    <row r="4458">
      <c r="A4458" t="s">
        <v>23557</v>
      </c>
      <c r="B4458" t="s">
        <v>27088</v>
      </c>
      <c r="C4458" t="s">
        <v>60</v>
      </c>
      <c r="D4458" t="s">
        <v>2262</v>
      </c>
      <c r="E4458" t="s">
        <v>27089</v>
      </c>
      <c r="F4458" s="2" t="n">
        <f>HYPERLINK("https://patents.google.com/patent/US11241410","Google")</f>
        <v>0.0</v>
      </c>
      <c r="G4458" s="2" t="n">
        <f>HYPERLINK("https://patentcenter.uspto.gov/applications/16945600","Patent Center")</f>
        <v>0.0</v>
      </c>
      <c r="H4458" s="2" t="n">
        <f>HYPERLINK("https://worldwide.espacenet.com/patent/search?q=US11241410","Espacenet")</f>
        <v>0.0</v>
      </c>
      <c r="I4458" s="2" t="n">
        <f>HYPERLINK("https://ppubs.uspto.gov/pubwebapp/external.html?q=11241410.pn.","USPTO")</f>
        <v>0.0</v>
      </c>
      <c r="J4458" s="2" t="n">
        <f>HYPERLINK("https://image-ppubs.uspto.gov/dirsearch-public/print/downloadPdf/11241410","USPTO PDF")</f>
        <v>0.0</v>
      </c>
      <c r="K4458" s="2" t="n">
        <f>HYPERLINK("https://sectors.patentforecast.com/pmd/US11241410","PMD")</f>
        <v>0.0</v>
      </c>
      <c r="L4458" s="2" t="n">
        <f>HYPERLINK("https://globaldossier.uspto.gov/result/patent/US/11241410/1","US11241410")</f>
        <v>0.0</v>
      </c>
      <c r="M4458" t="s">
        <v>10209</v>
      </c>
      <c r="N4458" t="s">
        <v>10210</v>
      </c>
      <c r="O4458" t="s">
        <v>10211</v>
      </c>
      <c r="P4458" t="s">
        <v>27090</v>
      </c>
      <c r="Q4458" s="3" t="n">
        <v>44043.0</v>
      </c>
      <c r="R4458" s="3" t="n">
        <v>44600.0</v>
      </c>
      <c r="S4458" s="3" t="n">
        <v>44603.18822829861</v>
      </c>
      <c r="T4458" s="3" t="n">
        <v>44672.39564113426</v>
      </c>
      <c r="U4458" t="s">
        <v>27091</v>
      </c>
      <c r="V4458" t="s">
        <v>27092</v>
      </c>
    </row>
    <row r="4459">
      <c r="A4459" t="s">
        <v>23557</v>
      </c>
      <c r="B4459" t="s">
        <v>27093</v>
      </c>
      <c r="C4459" t="s">
        <v>60</v>
      </c>
      <c r="D4459" t="s">
        <v>61</v>
      </c>
      <c r="E4459" t="s">
        <v>27094</v>
      </c>
      <c r="F4459" s="2" t="n">
        <f>HYPERLINK("https://patents.google.com/patent/US11241393","Google")</f>
        <v>0.0</v>
      </c>
      <c r="G4459" s="2" t="n">
        <f>HYPERLINK("https://patentcenter.uspto.gov/applications/16871317","Patent Center")</f>
        <v>0.0</v>
      </c>
      <c r="H4459" s="2" t="n">
        <f>HYPERLINK("https://worldwide.espacenet.com/patent/search?q=US11241393","Espacenet")</f>
        <v>0.0</v>
      </c>
      <c r="I4459" s="2" t="n">
        <f>HYPERLINK("https://ppubs.uspto.gov/pubwebapp/external.html?q=11241393.pn.","USPTO")</f>
        <v>0.0</v>
      </c>
      <c r="J4459" s="2" t="n">
        <f>HYPERLINK("https://image-ppubs.uspto.gov/dirsearch-public/print/downloadPdf/11241393","USPTO PDF")</f>
        <v>0.0</v>
      </c>
      <c r="K4459" s="2" t="n">
        <f>HYPERLINK("https://sectors.patentforecast.com/pmd/US11241393","PMD")</f>
        <v>0.0</v>
      </c>
      <c r="L4459" s="2" t="n">
        <f>HYPERLINK("https://globaldossier.uspto.gov/result/patent/US/11241393/1","US11241393")</f>
        <v>0.0</v>
      </c>
      <c r="M4459" t="s">
        <v>10743</v>
      </c>
      <c r="N4459" t="s">
        <v>10744</v>
      </c>
      <c r="O4459" t="s">
        <v>10745</v>
      </c>
      <c r="P4459" t="s">
        <v>27095</v>
      </c>
      <c r="Q4459" s="3" t="n">
        <v>43962.0</v>
      </c>
      <c r="R4459" s="3" t="n">
        <v>44600.0</v>
      </c>
      <c r="S4459" s="3" t="n">
        <v>44603.18822829861</v>
      </c>
      <c r="T4459" s="3" t="n">
        <v>44694.56613988426</v>
      </c>
      <c r="U4459" t="s">
        <v>27096</v>
      </c>
      <c r="V4459" t="s">
        <v>27097</v>
      </c>
    </row>
    <row r="4460">
      <c r="A4460" t="s">
        <v>23557</v>
      </c>
      <c r="B4460" t="s">
        <v>27098</v>
      </c>
      <c r="C4460" t="s">
        <v>24</v>
      </c>
      <c r="D4460" t="s">
        <v>34</v>
      </c>
      <c r="E4460" t="s">
        <v>27099</v>
      </c>
      <c r="F4460" s="2" t="n">
        <f>HYPERLINK("https://patents.google.com/patent/US11240579","Google")</f>
        <v>0.0</v>
      </c>
      <c r="G4460" s="2" t="n">
        <f>HYPERLINK("https://patentcenter.uspto.gov/applications/17096806","Patent Center")</f>
        <v>0.0</v>
      </c>
      <c r="H4460" s="2" t="n">
        <f>HYPERLINK("https://worldwide.espacenet.com/patent/search?q=US11240579","Espacenet")</f>
        <v>0.0</v>
      </c>
      <c r="I4460" s="2" t="n">
        <f>HYPERLINK("https://ppubs.uspto.gov/pubwebapp/external.html?q=11240579.pn.","USPTO")</f>
        <v>0.0</v>
      </c>
      <c r="J4460" s="2" t="n">
        <f>HYPERLINK("https://image-ppubs.uspto.gov/dirsearch-public/print/downloadPdf/11240579","USPTO PDF")</f>
        <v>0.0</v>
      </c>
      <c r="K4460" s="2" t="n">
        <f>HYPERLINK("https://sectors.patentforecast.com/pmd/US11240579","PMD")</f>
        <v>0.0</v>
      </c>
      <c r="L4460" s="2" t="n">
        <f>HYPERLINK("https://globaldossier.uspto.gov/result/patent/US/11240579/1","US11240579")</f>
        <v>0.0</v>
      </c>
      <c r="M4460" t="s">
        <v>10785</v>
      </c>
      <c r="N4460" t="s">
        <v>3172</v>
      </c>
      <c r="O4460" t="s">
        <v>3173</v>
      </c>
      <c r="P4460" t="s">
        <v>27100</v>
      </c>
      <c r="Q4460" s="3" t="n">
        <v>44147.0</v>
      </c>
      <c r="R4460" s="3" t="n">
        <v>44593.0</v>
      </c>
      <c r="S4460" s="3" t="n">
        <v>44596.18839407407</v>
      </c>
      <c r="T4460" s="3" t="n">
        <v>44694.56614027778</v>
      </c>
      <c r="U4460" t="s">
        <v>27101</v>
      </c>
      <c r="V4460" t="s">
        <v>27102</v>
      </c>
    </row>
    <row r="4461">
      <c r="A4461" t="s">
        <v>23557</v>
      </c>
      <c r="B4461" t="s">
        <v>27103</v>
      </c>
      <c r="C4461" t="s">
        <v>24</v>
      </c>
      <c r="D4461" t="s">
        <v>43</v>
      </c>
      <c r="E4461" t="s">
        <v>27104</v>
      </c>
      <c r="F4461" s="2" t="n">
        <f>HYPERLINK("https://patents.google.com/patent/US11238466","Google")</f>
        <v>0.0</v>
      </c>
      <c r="G4461" s="2" t="n">
        <f>HYPERLINK("https://patentcenter.uspto.gov/applications/16858670","Patent Center")</f>
        <v>0.0</v>
      </c>
      <c r="H4461" s="2" t="n">
        <f>HYPERLINK("https://worldwide.espacenet.com/patent/search?q=US11238466","Espacenet")</f>
        <v>0.0</v>
      </c>
      <c r="I4461" s="2" t="n">
        <f>HYPERLINK("https://ppubs.uspto.gov/pubwebapp/external.html?q=11238466.pn.","USPTO")</f>
        <v>0.0</v>
      </c>
      <c r="J4461" s="2" t="n">
        <f>HYPERLINK("https://image-ppubs.uspto.gov/dirsearch-public/print/downloadPdf/11238466","USPTO PDF")</f>
        <v>0.0</v>
      </c>
      <c r="K4461" s="2" t="n">
        <f>HYPERLINK("https://sectors.patentforecast.com/pmd/US11238466","PMD")</f>
        <v>0.0</v>
      </c>
      <c r="L4461" s="2" t="n">
        <f>HYPERLINK("https://globaldossier.uspto.gov/result/patent/US/11238466/1","US11238466")</f>
        <v>0.0</v>
      </c>
      <c r="M4461" t="s">
        <v>16397</v>
      </c>
      <c r="N4461" t="s">
        <v>16398</v>
      </c>
      <c r="O4461" t="s">
        <v>16399</v>
      </c>
      <c r="P4461" t="s">
        <v>27105</v>
      </c>
      <c r="Q4461" s="3" t="n">
        <v>43947.0</v>
      </c>
      <c r="R4461" s="3" t="n">
        <v>44593.0</v>
      </c>
      <c r="S4461" s="3" t="n">
        <v>44608.189119027775</v>
      </c>
      <c r="T4461" s="3" t="n">
        <v>44638.711146875</v>
      </c>
      <c r="U4461" t="s">
        <v>27106</v>
      </c>
      <c r="V4461" t="s">
        <v>27107</v>
      </c>
    </row>
    <row r="4462">
      <c r="A4462" t="s">
        <v>23557</v>
      </c>
      <c r="B4462" t="s">
        <v>27108</v>
      </c>
      <c r="C4462" t="s">
        <v>24</v>
      </c>
      <c r="D4462" t="s">
        <v>69</v>
      </c>
      <c r="E4462" t="s">
        <v>27109</v>
      </c>
      <c r="F4462" s="2" t="n">
        <f>HYPERLINK("https://patents.google.com/patent/US11235120","Google")</f>
        <v>0.0</v>
      </c>
      <c r="G4462" s="2" t="n">
        <f>HYPERLINK("https://patentcenter.uspto.gov/applications/17365544","Patent Center")</f>
        <v>0.0</v>
      </c>
      <c r="H4462" s="2" t="n">
        <f>HYPERLINK("https://worldwide.espacenet.com/patent/search?q=US11235120","Espacenet")</f>
        <v>0.0</v>
      </c>
      <c r="I4462" s="2" t="n">
        <f>HYPERLINK("https://ppubs.uspto.gov/pubwebapp/external.html?q=11235120.pn.","USPTO")</f>
        <v>0.0</v>
      </c>
      <c r="J4462" s="2" t="n">
        <f>HYPERLINK("https://image-ppubs.uspto.gov/dirsearch-public/print/downloadPdf/11235120","USPTO PDF")</f>
        <v>0.0</v>
      </c>
      <c r="K4462" s="2" t="n">
        <f>HYPERLINK("https://sectors.patentforecast.com/pmd/US11235120","PMD")</f>
        <v>0.0</v>
      </c>
      <c r="L4462" s="2" t="n">
        <f>HYPERLINK("https://globaldossier.uspto.gov/result/patent/US/11235120/1","US11235120")</f>
        <v>0.0</v>
      </c>
      <c r="M4462" t="s">
        <v>12083</v>
      </c>
      <c r="N4462" t="s">
        <v>539</v>
      </c>
      <c r="O4462" t="s">
        <v>540</v>
      </c>
      <c r="P4462" t="s">
        <v>27110</v>
      </c>
      <c r="Q4462" s="3" t="n">
        <v>44378.0</v>
      </c>
      <c r="R4462" s="3" t="n">
        <v>44593.0</v>
      </c>
      <c r="S4462" s="3" t="n">
        <v>44596.18839407407</v>
      </c>
      <c r="T4462" s="3" t="n">
        <v>44678.63297445602</v>
      </c>
      <c r="U4462" t="s">
        <v>27111</v>
      </c>
      <c r="V4462" t="s">
        <v>27112</v>
      </c>
    </row>
    <row r="4463">
      <c r="A4463" t="s">
        <v>23557</v>
      </c>
      <c r="B4463" t="s">
        <v>27113</v>
      </c>
      <c r="C4463" t="s">
        <v>24</v>
      </c>
      <c r="D4463" t="s">
        <v>69</v>
      </c>
      <c r="E4463" t="s">
        <v>27114</v>
      </c>
      <c r="F4463" s="2" t="n">
        <f>HYPERLINK("https://patents.google.com/patent/US11234861","Google")</f>
        <v>0.0</v>
      </c>
      <c r="G4463" s="2" t="n">
        <f>HYPERLINK("https://patentcenter.uspto.gov/applications/17337352","Patent Center")</f>
        <v>0.0</v>
      </c>
      <c r="H4463" s="2" t="n">
        <f>HYPERLINK("https://worldwide.espacenet.com/patent/search?q=US11234861","Espacenet")</f>
        <v>0.0</v>
      </c>
      <c r="I4463" s="2" t="n">
        <f>HYPERLINK("https://ppubs.uspto.gov/pubwebapp/external.html?q=11234861.pn.","USPTO")</f>
        <v>0.0</v>
      </c>
      <c r="J4463" s="2" t="n">
        <f>HYPERLINK("https://image-ppubs.uspto.gov/dirsearch-public/print/downloadPdf/11234861","USPTO PDF")</f>
        <v>0.0</v>
      </c>
      <c r="K4463" s="2" t="n">
        <f>HYPERLINK("https://sectors.patentforecast.com/pmd/US11234861","PMD")</f>
        <v>0.0</v>
      </c>
      <c r="L4463" s="2" t="n">
        <f>HYPERLINK("https://globaldossier.uspto.gov/result/patent/US/11234861/1","US11234861")</f>
        <v>0.0</v>
      </c>
      <c r="M4463" t="s">
        <v>14214</v>
      </c>
      <c r="N4463" t="s">
        <v>14215</v>
      </c>
      <c r="O4463" t="s">
        <v>14215</v>
      </c>
      <c r="P4463" t="s">
        <v>27115</v>
      </c>
      <c r="Q4463" s="3" t="n">
        <v>44349.0</v>
      </c>
      <c r="R4463" s="3" t="n">
        <v>44593.0</v>
      </c>
      <c r="S4463" s="3" t="n">
        <v>44596.18839407407</v>
      </c>
      <c r="T4463" s="3" t="n">
        <v>44678.64027574074</v>
      </c>
      <c r="U4463" t="s">
        <v>27116</v>
      </c>
      <c r="V4463" t="s">
        <v>27117</v>
      </c>
    </row>
    <row r="4464">
      <c r="A4464" t="s">
        <v>23557</v>
      </c>
      <c r="B4464" t="s">
        <v>27118</v>
      </c>
      <c r="C4464" t="s">
        <v>24</v>
      </c>
      <c r="D4464" t="s">
        <v>5638</v>
      </c>
      <c r="E4464" t="s">
        <v>27119</v>
      </c>
      <c r="F4464" s="2" t="n">
        <f>HYPERLINK("https://patents.google.com/patent/US11232869","Google")</f>
        <v>0.0</v>
      </c>
      <c r="G4464" s="2" t="n">
        <f>HYPERLINK("https://patentcenter.uspto.gov/applications/16996303","Patent Center")</f>
        <v>0.0</v>
      </c>
      <c r="H4464" s="2" t="n">
        <f>HYPERLINK("https://worldwide.espacenet.com/patent/search?q=US11232869","Espacenet")</f>
        <v>0.0</v>
      </c>
      <c r="I4464" s="2" t="n">
        <f>HYPERLINK("https://ppubs.uspto.gov/pubwebapp/external.html?q=11232869.pn.","USPTO")</f>
        <v>0.0</v>
      </c>
      <c r="J4464" s="2" t="n">
        <f>HYPERLINK("https://image-ppubs.uspto.gov/dirsearch-public/print/downloadPdf/11232869","USPTO PDF")</f>
        <v>0.0</v>
      </c>
      <c r="K4464" s="2" t="n">
        <f>HYPERLINK("https://sectors.patentforecast.com/pmd/US11232869","PMD")</f>
        <v>0.0</v>
      </c>
      <c r="L4464" s="2" t="n">
        <f>HYPERLINK("https://globaldossier.uspto.gov/result/patent/US/11232869/1","US11232869")</f>
        <v>0.0</v>
      </c>
      <c r="M4464" t="s">
        <v>10854</v>
      </c>
      <c r="N4464" t="s">
        <v>8931</v>
      </c>
      <c r="O4464" t="s">
        <v>8931</v>
      </c>
      <c r="P4464" t="s">
        <v>27120</v>
      </c>
      <c r="Q4464" s="3" t="n">
        <v>44061.0</v>
      </c>
      <c r="R4464" s="3" t="n">
        <v>44586.0</v>
      </c>
      <c r="S4464" s="3" t="n">
        <v>44587.188429884256</v>
      </c>
      <c r="T4464" s="3" t="n">
        <v>44694.56614016204</v>
      </c>
      <c r="U4464" t="s">
        <v>27121</v>
      </c>
      <c r="V4464" t="s">
        <v>27122</v>
      </c>
    </row>
    <row r="4465">
      <c r="A4465" t="s">
        <v>23557</v>
      </c>
      <c r="B4465" t="s">
        <v>27123</v>
      </c>
      <c r="C4465" t="s">
        <v>24</v>
      </c>
      <c r="D4465" t="s">
        <v>204</v>
      </c>
      <c r="E4465" t="s">
        <v>27124</v>
      </c>
      <c r="F4465" s="2" t="n">
        <f>HYPERLINK("https://patents.google.com/patent/US11232663","Google")</f>
        <v>0.0</v>
      </c>
      <c r="G4465" s="2" t="n">
        <f>HYPERLINK("https://patentcenter.uspto.gov/applications/16870979","Patent Center")</f>
        <v>0.0</v>
      </c>
      <c r="H4465" s="2" t="n">
        <f>HYPERLINK("https://worldwide.espacenet.com/patent/search?q=US11232663","Espacenet")</f>
        <v>0.0</v>
      </c>
      <c r="I4465" s="2" t="n">
        <f>HYPERLINK("https://ppubs.uspto.gov/pubwebapp/external.html?q=11232663.pn.","USPTO")</f>
        <v>0.0</v>
      </c>
      <c r="J4465" s="2" t="n">
        <f>HYPERLINK("https://image-ppubs.uspto.gov/dirsearch-public/print/downloadPdf/11232663","USPTO PDF")</f>
        <v>0.0</v>
      </c>
      <c r="K4465" s="2" t="n">
        <f>HYPERLINK("https://sectors.patentforecast.com/pmd/US11232663","PMD")</f>
        <v>0.0</v>
      </c>
      <c r="L4465" s="2" t="n">
        <f>HYPERLINK("https://globaldossier.uspto.gov/result/patent/US/11232663/1","US11232663")</f>
        <v>0.0</v>
      </c>
      <c r="M4465" t="s">
        <v>10335</v>
      </c>
      <c r="N4465" t="s">
        <v>10336</v>
      </c>
      <c r="O4465" t="s">
        <v>10336</v>
      </c>
      <c r="P4465" t="s">
        <v>27125</v>
      </c>
      <c r="Q4465" s="3" t="n">
        <v>43961.0</v>
      </c>
      <c r="R4465" s="3" t="n">
        <v>44586.0</v>
      </c>
      <c r="S4465" s="3" t="n">
        <v>44587.188429884256</v>
      </c>
      <c r="T4465" s="3" t="n">
        <v>44694.56613987269</v>
      </c>
      <c r="U4465" t="s">
        <v>27126</v>
      </c>
      <c r="V4465" t="s">
        <v>27127</v>
      </c>
    </row>
    <row r="4466">
      <c r="A4466" t="s">
        <v>23557</v>
      </c>
      <c r="B4466" t="s">
        <v>27128</v>
      </c>
      <c r="C4466" t="s">
        <v>60</v>
      </c>
      <c r="D4466" t="s">
        <v>77</v>
      </c>
      <c r="E4466" t="s">
        <v>27129</v>
      </c>
      <c r="F4466" s="2" t="n">
        <f>HYPERLINK("https://patents.google.com/patent/US11230592","Google")</f>
        <v>0.0</v>
      </c>
      <c r="G4466" s="2" t="n">
        <f>HYPERLINK("https://patentcenter.uspto.gov/applications/16651435","Patent Center")</f>
        <v>0.0</v>
      </c>
      <c r="H4466" s="2" t="n">
        <f>HYPERLINK("https://worldwide.espacenet.com/patent/search?q=US11230592","Espacenet")</f>
        <v>0.0</v>
      </c>
      <c r="I4466" s="2" t="n">
        <f>HYPERLINK("https://ppubs.uspto.gov/pubwebapp/external.html?q=11230592.pn.","USPTO")</f>
        <v>0.0</v>
      </c>
      <c r="J4466" s="2" t="n">
        <f>HYPERLINK("https://image-ppubs.uspto.gov/dirsearch-public/print/downloadPdf/11230592","USPTO PDF")</f>
        <v>0.0</v>
      </c>
      <c r="K4466" s="2" t="n">
        <f>HYPERLINK("https://sectors.patentforecast.com/pmd/US11230592","PMD")</f>
        <v>0.0</v>
      </c>
      <c r="L4466" s="2" t="n">
        <f>HYPERLINK("https://globaldossier.uspto.gov/result/patent/US/11230592/1","US11230592")</f>
        <v>0.0</v>
      </c>
      <c r="M4466" t="s">
        <v>16404</v>
      </c>
      <c r="N4466" t="s">
        <v>2548</v>
      </c>
      <c r="O4466" t="s">
        <v>2549</v>
      </c>
      <c r="P4466" t="s">
        <v>27130</v>
      </c>
      <c r="Q4466" s="3" t="n">
        <v>43370.0</v>
      </c>
      <c r="R4466" s="3" t="n">
        <v>44586.0</v>
      </c>
      <c r="S4466" s="3" t="n">
        <v>44587.19155431713</v>
      </c>
      <c r="T4466" s="3" t="n">
        <v>44694.5661396875</v>
      </c>
      <c r="U4466" t="s">
        <v>27131</v>
      </c>
      <c r="V4466" t="s">
        <v>27132</v>
      </c>
    </row>
    <row r="4467">
      <c r="A4467" t="s">
        <v>23557</v>
      </c>
      <c r="B4467" t="s">
        <v>27133</v>
      </c>
      <c r="C4467" t="s">
        <v>60</v>
      </c>
      <c r="D4467" t="s">
        <v>715</v>
      </c>
      <c r="E4467" t="s">
        <v>27134</v>
      </c>
      <c r="F4467" s="2" t="n">
        <f>HYPERLINK("https://patents.google.com/patent/US11229501","Google")</f>
        <v>0.0</v>
      </c>
      <c r="G4467" s="2" t="n">
        <f>HYPERLINK("https://patentcenter.uspto.gov/applications/17220690","Patent Center")</f>
        <v>0.0</v>
      </c>
      <c r="H4467" s="2" t="n">
        <f>HYPERLINK("https://worldwide.espacenet.com/patent/search?q=US11229501","Espacenet")</f>
        <v>0.0</v>
      </c>
      <c r="I4467" s="2" t="n">
        <f>HYPERLINK("https://ppubs.uspto.gov/pubwebapp/external.html?q=11229501.pn.","USPTO")</f>
        <v>0.0</v>
      </c>
      <c r="J4467" s="2" t="n">
        <f>HYPERLINK("https://image-ppubs.uspto.gov/dirsearch-public/print/downloadPdf/11229501","USPTO PDF")</f>
        <v>0.0</v>
      </c>
      <c r="K4467" s="2" t="n">
        <f>HYPERLINK("https://sectors.patentforecast.com/pmd/US11229501","PMD")</f>
        <v>0.0</v>
      </c>
      <c r="L4467" s="2" t="n">
        <f>HYPERLINK("https://globaldossier.uspto.gov/result/patent/US/11229501/1","US11229501")</f>
        <v>0.0</v>
      </c>
      <c r="M4467" t="s">
        <v>13130</v>
      </c>
      <c r="N4467" t="s">
        <v>13131</v>
      </c>
      <c r="O4467" t="s">
        <v>13132</v>
      </c>
      <c r="P4467" t="s">
        <v>27135</v>
      </c>
      <c r="Q4467" s="3" t="n">
        <v>44287.0</v>
      </c>
      <c r="R4467" s="3" t="n">
        <v>44586.0</v>
      </c>
      <c r="S4467" s="3" t="n">
        <v>44587.188429884256</v>
      </c>
      <c r="T4467" s="3" t="n">
        <v>44694.56614043981</v>
      </c>
      <c r="U4467" t="s">
        <v>27136</v>
      </c>
      <c r="V4467" t="s">
        <v>27137</v>
      </c>
    </row>
    <row r="4468">
      <c r="A4468" t="s">
        <v>23557</v>
      </c>
      <c r="B4468" t="s">
        <v>27138</v>
      </c>
      <c r="C4468" t="s">
        <v>24</v>
      </c>
      <c r="D4468" t="s">
        <v>69</v>
      </c>
      <c r="E4468" t="s">
        <v>27139</v>
      </c>
      <c r="F4468" s="2" t="n">
        <f>HYPERLINK("https://patents.google.com/patent/US11229254","Google")</f>
        <v>0.0</v>
      </c>
      <c r="G4468" s="2" t="n">
        <f>HYPERLINK("https://patentcenter.uspto.gov/applications/17217927","Patent Center")</f>
        <v>0.0</v>
      </c>
      <c r="H4468" s="2" t="n">
        <f>HYPERLINK("https://worldwide.espacenet.com/patent/search?q=US11229254","Espacenet")</f>
        <v>0.0</v>
      </c>
      <c r="I4468" s="2" t="n">
        <f>HYPERLINK("https://ppubs.uspto.gov/pubwebapp/external.html?q=11229254.pn.","USPTO")</f>
        <v>0.0</v>
      </c>
      <c r="J4468" s="2" t="n">
        <f>HYPERLINK("https://image-ppubs.uspto.gov/dirsearch-public/print/downloadPdf/11229254","USPTO PDF")</f>
        <v>0.0</v>
      </c>
      <c r="K4468" s="2" t="n">
        <f>HYPERLINK("https://sectors.patentforecast.com/pmd/US11229254","PMD")</f>
        <v>0.0</v>
      </c>
      <c r="L4468" s="2" t="n">
        <f>HYPERLINK("https://globaldossier.uspto.gov/result/patent/US/11229254/1","US11229254")</f>
        <v>0.0</v>
      </c>
      <c r="M4468" t="s">
        <v>27140</v>
      </c>
      <c r="N4468" t="s">
        <v>27141</v>
      </c>
      <c r="O4468" t="s">
        <v>27142</v>
      </c>
      <c r="P4468" t="s">
        <v>27143</v>
      </c>
      <c r="Q4468" s="3" t="n">
        <v>44285.0</v>
      </c>
      <c r="R4468" s="3" t="n">
        <v>44586.0</v>
      </c>
      <c r="S4468" s="3" t="n">
        <v>44594.18836153935</v>
      </c>
      <c r="T4468" s="3" t="n">
        <v>44678.63190804398</v>
      </c>
      <c r="U4468" t="s">
        <v>27144</v>
      </c>
      <c r="V4468" t="s">
        <v>27145</v>
      </c>
    </row>
    <row r="4469">
      <c r="A4469" t="s">
        <v>23557</v>
      </c>
      <c r="B4469" t="s">
        <v>27146</v>
      </c>
      <c r="C4469" t="s">
        <v>312</v>
      </c>
      <c r="D4469" t="s">
        <v>976</v>
      </c>
      <c r="E4469" t="s">
        <v>27147</v>
      </c>
      <c r="F4469" s="2" t="n">
        <f>HYPERLINK("https://patents.google.com/patent/US11227684","Google")</f>
        <v>0.0</v>
      </c>
      <c r="G4469" s="2" t="n">
        <f>HYPERLINK("https://patentcenter.uspto.gov/applications/17119885","Patent Center")</f>
        <v>0.0</v>
      </c>
      <c r="H4469" s="2" t="n">
        <f>HYPERLINK("https://worldwide.espacenet.com/patent/search?q=US11227684","Espacenet")</f>
        <v>0.0</v>
      </c>
      <c r="I4469" s="2" t="n">
        <f>HYPERLINK("https://ppubs.uspto.gov/pubwebapp/external.html?q=11227684.pn.","USPTO")</f>
        <v>0.0</v>
      </c>
      <c r="J4469" s="2" t="n">
        <f>HYPERLINK("https://image-ppubs.uspto.gov/dirsearch-public/print/downloadPdf/11227684","USPTO PDF")</f>
        <v>0.0</v>
      </c>
      <c r="K4469" s="2" t="n">
        <f>HYPERLINK("https://sectors.patentforecast.com/pmd/US11227684","PMD")</f>
        <v>0.0</v>
      </c>
      <c r="L4469" s="2" t="n">
        <f>HYPERLINK("https://globaldossier.uspto.gov/result/patent/US/11227684/1","US11227684")</f>
        <v>0.0</v>
      </c>
      <c r="M4469" t="s">
        <v>15063</v>
      </c>
      <c r="N4469" t="s">
        <v>15064</v>
      </c>
      <c r="O4469" t="s">
        <v>15065</v>
      </c>
      <c r="P4469" t="s">
        <v>27148</v>
      </c>
      <c r="Q4469" s="3" t="n">
        <v>44176.0</v>
      </c>
      <c r="R4469" s="3" t="n">
        <v>44579.0</v>
      </c>
      <c r="S4469" s="3" t="n">
        <v>44594.18899702546</v>
      </c>
      <c r="T4469" s="3" t="n">
        <v>44694.56614028935</v>
      </c>
      <c r="U4469" t="s">
        <v>27149</v>
      </c>
      <c r="V4469" t="s">
        <v>27150</v>
      </c>
    </row>
    <row r="4470">
      <c r="A4470" t="s">
        <v>23557</v>
      </c>
      <c r="B4470" t="s">
        <v>27151</v>
      </c>
      <c r="C4470" t="s">
        <v>24</v>
      </c>
      <c r="D4470" t="s">
        <v>69</v>
      </c>
      <c r="E4470" t="s">
        <v>27152</v>
      </c>
      <c r="F4470" s="2" t="n">
        <f>HYPERLINK("https://patents.google.com/patent/US11226122","Google")</f>
        <v>0.0</v>
      </c>
      <c r="G4470" s="2" t="n">
        <f>HYPERLINK("https://patentcenter.uspto.gov/applications/16923681","Patent Center")</f>
        <v>0.0</v>
      </c>
      <c r="H4470" s="2" t="n">
        <f>HYPERLINK("https://worldwide.espacenet.com/patent/search?q=US11226122","Espacenet")</f>
        <v>0.0</v>
      </c>
      <c r="I4470" s="2" t="n">
        <f>HYPERLINK("https://ppubs.uspto.gov/pubwebapp/external.html?q=11226122.pn.","USPTO")</f>
        <v>0.0</v>
      </c>
      <c r="J4470" s="2" t="n">
        <f>HYPERLINK("https://image-ppubs.uspto.gov/dirsearch-public/print/downloadPdf/11226122","USPTO PDF")</f>
        <v>0.0</v>
      </c>
      <c r="K4470" s="2" t="n">
        <f>HYPERLINK("https://sectors.patentforecast.com/pmd/US11226122","PMD")</f>
        <v>0.0</v>
      </c>
      <c r="L4470" s="2" t="n">
        <f>HYPERLINK("https://globaldossier.uspto.gov/result/patent/US/11226122/1","US11226122")</f>
        <v>0.0</v>
      </c>
      <c r="M4470" t="s">
        <v>7840</v>
      </c>
      <c r="N4470" t="s">
        <v>7841</v>
      </c>
      <c r="O4470" t="s">
        <v>7842</v>
      </c>
      <c r="P4470" t="s">
        <v>27153</v>
      </c>
      <c r="Q4470" s="3" t="n">
        <v>44020.0</v>
      </c>
      <c r="R4470" s="3" t="n">
        <v>44579.0</v>
      </c>
      <c r="S4470" s="3" t="n">
        <v>44587.188429884256</v>
      </c>
      <c r="T4470" s="3" t="n">
        <v>44678.64069949074</v>
      </c>
      <c r="U4470" t="s">
        <v>27154</v>
      </c>
      <c r="V4470" t="s">
        <v>27155</v>
      </c>
    </row>
    <row r="4471">
      <c r="A4471" t="s">
        <v>23557</v>
      </c>
      <c r="B4471" t="s">
        <v>27156</v>
      </c>
      <c r="C4471" t="s">
        <v>24</v>
      </c>
      <c r="D4471" t="s">
        <v>69</v>
      </c>
      <c r="E4471" t="s">
        <v>27157</v>
      </c>
      <c r="F4471" s="2" t="n">
        <f>HYPERLINK("https://patents.google.com/patent/US11224675","Google")</f>
        <v>0.0</v>
      </c>
      <c r="G4471" s="2" t="n">
        <f>HYPERLINK("https://patentcenter.uspto.gov/applications/17353518","Patent Center")</f>
        <v>0.0</v>
      </c>
      <c r="H4471" s="2" t="n">
        <f>HYPERLINK("https://worldwide.espacenet.com/patent/search?q=US11224675","Espacenet")</f>
        <v>0.0</v>
      </c>
      <c r="I4471" s="2" t="n">
        <f>HYPERLINK("https://ppubs.uspto.gov/pubwebapp/external.html?q=11224675.pn.","USPTO")</f>
        <v>0.0</v>
      </c>
      <c r="J4471" s="2" t="n">
        <f>HYPERLINK("https://image-ppubs.uspto.gov/dirsearch-public/print/downloadPdf/11224675","USPTO PDF")</f>
        <v>0.0</v>
      </c>
      <c r="K4471" s="2" t="n">
        <f>HYPERLINK("https://sectors.patentforecast.com/pmd/US11224675","PMD")</f>
        <v>0.0</v>
      </c>
      <c r="L4471" s="2" t="n">
        <f>HYPERLINK("https://globaldossier.uspto.gov/result/patent/US/11224675/1","US11224675")</f>
        <v>0.0</v>
      </c>
      <c r="M4471" t="s">
        <v>27158</v>
      </c>
      <c r="N4471" t="s">
        <v>27159</v>
      </c>
      <c r="O4471" t="s">
        <v>27160</v>
      </c>
      <c r="P4471" t="s">
        <v>27161</v>
      </c>
      <c r="Q4471" s="3" t="n">
        <v>44368.0</v>
      </c>
      <c r="R4471" s="3" t="n">
        <v>44579.0</v>
      </c>
      <c r="S4471" s="3" t="n">
        <v>44587.188429884256</v>
      </c>
      <c r="T4471" s="3" t="n">
        <v>44678.489443275466</v>
      </c>
      <c r="U4471" t="s">
        <v>27162</v>
      </c>
      <c r="V4471" t="s">
        <v>27163</v>
      </c>
    </row>
    <row r="4472">
      <c r="A4472" t="s">
        <v>23557</v>
      </c>
      <c r="B4472" t="s">
        <v>27164</v>
      </c>
      <c r="C4472" t="s">
        <v>60</v>
      </c>
      <c r="D4472" t="s">
        <v>61</v>
      </c>
      <c r="E4472" t="s">
        <v>27165</v>
      </c>
      <c r="F4472" s="2" t="n">
        <f>HYPERLINK("https://patents.google.com/patent/US11220536","Google")</f>
        <v>0.0</v>
      </c>
      <c r="G4472" s="2" t="n">
        <f>HYPERLINK("https://patentcenter.uspto.gov/applications/17405246","Patent Center")</f>
        <v>0.0</v>
      </c>
      <c r="H4472" s="2" t="n">
        <f>HYPERLINK("https://worldwide.espacenet.com/patent/search?q=US11220536","Espacenet")</f>
        <v>0.0</v>
      </c>
      <c r="I4472" s="2" t="n">
        <f>HYPERLINK("https://ppubs.uspto.gov/pubwebapp/external.html?q=11220536.pn.","USPTO")</f>
        <v>0.0</v>
      </c>
      <c r="J4472" s="2" t="n">
        <f>HYPERLINK("https://image-ppubs.uspto.gov/dirsearch-public/print/downloadPdf/11220536","USPTO PDF")</f>
        <v>0.0</v>
      </c>
      <c r="K4472" s="2" t="n">
        <f>HYPERLINK("https://sectors.patentforecast.com/pmd/US11220536","PMD")</f>
        <v>0.0</v>
      </c>
      <c r="L4472" s="2" t="n">
        <f>HYPERLINK("https://globaldossier.uspto.gov/result/patent/US/11220536/1","US11220536")</f>
        <v>0.0</v>
      </c>
      <c r="M4472" t="s">
        <v>7847</v>
      </c>
      <c r="N4472" t="s">
        <v>7848</v>
      </c>
      <c r="O4472" t="s">
        <v>7849</v>
      </c>
      <c r="P4472" t="s">
        <v>27166</v>
      </c>
      <c r="Q4472" s="3" t="n">
        <v>44426.0</v>
      </c>
      <c r="R4472" s="3" t="n">
        <v>44572.0</v>
      </c>
      <c r="S4472" s="3" t="n">
        <v>44575.18867905092</v>
      </c>
      <c r="T4472" s="3" t="n">
        <v>44638.69112454861</v>
      </c>
      <c r="U4472" t="s">
        <v>27167</v>
      </c>
      <c r="V4472" t="s">
        <v>27168</v>
      </c>
    </row>
    <row r="4473">
      <c r="A4473" t="s">
        <v>23557</v>
      </c>
      <c r="B4473" t="s">
        <v>27169</v>
      </c>
      <c r="C4473" t="s">
        <v>132</v>
      </c>
      <c r="D4473" t="s">
        <v>133</v>
      </c>
      <c r="E4473" t="s">
        <v>27170</v>
      </c>
      <c r="F4473" s="2" t="n">
        <f>HYPERLINK("https://patents.google.com/patent/US11219685","Google")</f>
        <v>0.0</v>
      </c>
      <c r="G4473" s="2" t="n">
        <f>HYPERLINK("https://patentcenter.uspto.gov/applications/17484648","Patent Center")</f>
        <v>0.0</v>
      </c>
      <c r="H4473" s="2" t="n">
        <f>HYPERLINK("https://worldwide.espacenet.com/patent/search?q=US11219685","Espacenet")</f>
        <v>0.0</v>
      </c>
      <c r="I4473" s="2" t="n">
        <f>HYPERLINK("https://ppubs.uspto.gov/pubwebapp/external.html?q=11219685.pn.","USPTO")</f>
        <v>0.0</v>
      </c>
      <c r="J4473" s="2" t="n">
        <f>HYPERLINK("https://image-ppubs.uspto.gov/dirsearch-public/print/downloadPdf/11219685","USPTO PDF")</f>
        <v>0.0</v>
      </c>
      <c r="K4473" s="2" t="n">
        <f>HYPERLINK("https://sectors.patentforecast.com/pmd/US11219685","PMD")</f>
        <v>0.0</v>
      </c>
      <c r="L4473" s="2" t="n">
        <f>HYPERLINK("https://globaldossier.uspto.gov/result/patent/US/11219685/1","US11219685")</f>
        <v>0.0</v>
      </c>
      <c r="M4473" t="s">
        <v>7956</v>
      </c>
      <c r="N4473" t="s">
        <v>5964</v>
      </c>
      <c r="O4473" t="s">
        <v>5964</v>
      </c>
      <c r="P4473" t="s">
        <v>26204</v>
      </c>
      <c r="Q4473" s="3" t="n">
        <v>44463.0</v>
      </c>
      <c r="R4473" s="3" t="n">
        <v>44572.0</v>
      </c>
      <c r="S4473" s="3" t="n">
        <v>44587.19201737268</v>
      </c>
      <c r="T4473" s="3" t="n">
        <v>44678.33916008102</v>
      </c>
      <c r="U4473" t="s">
        <v>26205</v>
      </c>
      <c r="V4473" t="s">
        <v>26206</v>
      </c>
    </row>
    <row r="4474">
      <c r="A4474" t="s">
        <v>23557</v>
      </c>
      <c r="B4474" t="s">
        <v>27171</v>
      </c>
      <c r="C4474" t="s">
        <v>60</v>
      </c>
      <c r="D4474" t="s">
        <v>61</v>
      </c>
      <c r="E4474" t="s">
        <v>27172</v>
      </c>
      <c r="F4474" s="2" t="n">
        <f>HYPERLINK("https://patents.google.com/patent/US11219684","Google")</f>
        <v>0.0</v>
      </c>
      <c r="G4474" s="2" t="n">
        <f>HYPERLINK("https://patentcenter.uspto.gov/applications/17314152","Patent Center")</f>
        <v>0.0</v>
      </c>
      <c r="H4474" s="2" t="n">
        <f>HYPERLINK("https://worldwide.espacenet.com/patent/search?q=US11219684","Espacenet")</f>
        <v>0.0</v>
      </c>
      <c r="I4474" s="2" t="n">
        <f>HYPERLINK("https://ppubs.uspto.gov/pubwebapp/external.html?q=11219684.pn.","USPTO")</f>
        <v>0.0</v>
      </c>
      <c r="J4474" s="2" t="n">
        <f>HYPERLINK("https://image-ppubs.uspto.gov/dirsearch-public/print/downloadPdf/11219684","USPTO PDF")</f>
        <v>0.0</v>
      </c>
      <c r="K4474" s="2" t="n">
        <f>HYPERLINK("https://sectors.patentforecast.com/pmd/US11219684","PMD")</f>
        <v>0.0</v>
      </c>
      <c r="L4474" s="2" t="n">
        <f>HYPERLINK("https://globaldossier.uspto.gov/result/patent/US/11219684/1","US11219684")</f>
        <v>0.0</v>
      </c>
      <c r="M4474" t="s">
        <v>27173</v>
      </c>
      <c r="N4474" t="s">
        <v>27174</v>
      </c>
      <c r="O4474" t="s">
        <v>27175</v>
      </c>
      <c r="P4474" t="s">
        <v>27176</v>
      </c>
      <c r="Q4474" s="3" t="n">
        <v>44323.0</v>
      </c>
      <c r="R4474" s="3" t="n">
        <v>44572.0</v>
      </c>
      <c r="S4474" s="3" t="n">
        <v>44575.18867905092</v>
      </c>
      <c r="T4474" s="3" t="n">
        <v>44678.5431090625</v>
      </c>
      <c r="U4474" t="s">
        <v>27177</v>
      </c>
      <c r="V4474" t="s">
        <v>27178</v>
      </c>
    </row>
    <row r="4475">
      <c r="A4475" t="s">
        <v>23557</v>
      </c>
      <c r="B4475" t="s">
        <v>27179</v>
      </c>
      <c r="C4475" t="s">
        <v>60</v>
      </c>
      <c r="D4475" t="s">
        <v>715</v>
      </c>
      <c r="E4475" t="s">
        <v>27180</v>
      </c>
      <c r="F4475" s="2" t="n">
        <f>HYPERLINK("https://patents.google.com/patent/US11219551","Google")</f>
        <v>0.0</v>
      </c>
      <c r="G4475" s="2" t="n">
        <f>HYPERLINK("https://patentcenter.uspto.gov/applications/17239609","Patent Center")</f>
        <v>0.0</v>
      </c>
      <c r="H4475" s="2" t="n">
        <f>HYPERLINK("https://worldwide.espacenet.com/patent/search?q=US11219551","Espacenet")</f>
        <v>0.0</v>
      </c>
      <c r="I4475" s="2" t="n">
        <f>HYPERLINK("https://ppubs.uspto.gov/pubwebapp/external.html?q=11219551.pn.","USPTO")</f>
        <v>0.0</v>
      </c>
      <c r="J4475" s="2" t="n">
        <f>HYPERLINK("https://image-ppubs.uspto.gov/dirsearch-public/print/downloadPdf/11219551","USPTO PDF")</f>
        <v>0.0</v>
      </c>
      <c r="K4475" s="2" t="n">
        <f>HYPERLINK("https://sectors.patentforecast.com/pmd/US11219551","PMD")</f>
        <v>0.0</v>
      </c>
      <c r="L4475" s="2" t="n">
        <f>HYPERLINK("https://globaldossier.uspto.gov/result/patent/US/11219551/1","US11219551")</f>
        <v>0.0</v>
      </c>
      <c r="M4475" t="s">
        <v>27181</v>
      </c>
      <c r="N4475" t="s">
        <v>7250</v>
      </c>
      <c r="O4475" t="s">
        <v>7251</v>
      </c>
      <c r="P4475" t="s">
        <v>27182</v>
      </c>
      <c r="Q4475" s="3" t="n">
        <v>44311.0</v>
      </c>
      <c r="R4475" s="3" t="n">
        <v>44572.0</v>
      </c>
      <c r="S4475" s="3" t="n">
        <v>44575.18867905092</v>
      </c>
      <c r="T4475" s="3" t="n">
        <v>44678.608055983794</v>
      </c>
      <c r="U4475" t="s">
        <v>27183</v>
      </c>
      <c r="V4475" t="s">
        <v>27184</v>
      </c>
    </row>
    <row r="4476">
      <c r="A4476" t="s">
        <v>23557</v>
      </c>
      <c r="B4476" t="s">
        <v>27185</v>
      </c>
      <c r="C4476" t="s">
        <v>24</v>
      </c>
      <c r="D4476" t="s">
        <v>69</v>
      </c>
      <c r="E4476" t="s">
        <v>27186</v>
      </c>
      <c r="F4476" s="2" t="n">
        <f>HYPERLINK("https://patents.google.com/patent/US11219500","Google")</f>
        <v>0.0</v>
      </c>
      <c r="G4476" s="2" t="n">
        <f>HYPERLINK("https://patentcenter.uspto.gov/applications/17230209","Patent Center")</f>
        <v>0.0</v>
      </c>
      <c r="H4476" s="2" t="n">
        <f>HYPERLINK("https://worldwide.espacenet.com/patent/search?q=US11219500","Espacenet")</f>
        <v>0.0</v>
      </c>
      <c r="I4476" s="2" t="n">
        <f>HYPERLINK("https://ppubs.uspto.gov/pubwebapp/external.html?q=11219500.pn.","USPTO")</f>
        <v>0.0</v>
      </c>
      <c r="J4476" s="2" t="n">
        <f>HYPERLINK("https://image-ppubs.uspto.gov/dirsearch-public/print/downloadPdf/11219500","USPTO PDF")</f>
        <v>0.0</v>
      </c>
      <c r="K4476" s="2" t="n">
        <f>HYPERLINK("https://sectors.patentforecast.com/pmd/US11219500","PMD")</f>
        <v>0.0</v>
      </c>
      <c r="L4476" s="2" t="n">
        <f>HYPERLINK("https://globaldossier.uspto.gov/result/patent/US/11219500/1","US11219500")</f>
        <v>0.0</v>
      </c>
      <c r="M4476" t="s">
        <v>9111</v>
      </c>
      <c r="N4476" t="s">
        <v>9112</v>
      </c>
      <c r="O4476" t="s">
        <v>9113</v>
      </c>
      <c r="P4476" t="s">
        <v>27187</v>
      </c>
      <c r="Q4476" s="3" t="n">
        <v>44300.0</v>
      </c>
      <c r="R4476" s="3" t="n">
        <v>44572.0</v>
      </c>
      <c r="S4476" s="3" t="n">
        <v>44580.188666435184</v>
      </c>
      <c r="T4476" s="3" t="n">
        <v>44694.566140462965</v>
      </c>
      <c r="U4476" t="s">
        <v>27188</v>
      </c>
      <c r="V4476" t="s">
        <v>27189</v>
      </c>
    </row>
    <row r="4477">
      <c r="A4477" t="s">
        <v>23557</v>
      </c>
      <c r="B4477" t="s">
        <v>27190</v>
      </c>
      <c r="C4477" t="s">
        <v>24</v>
      </c>
      <c r="D4477" t="s">
        <v>34</v>
      </c>
      <c r="E4477" t="s">
        <v>27191</v>
      </c>
      <c r="F4477" s="2" t="n">
        <f>HYPERLINK("https://patents.google.com/patent/US11219412","Google")</f>
        <v>0.0</v>
      </c>
      <c r="G4477" s="2" t="n">
        <f>HYPERLINK("https://patentcenter.uspto.gov/applications/15976518","Patent Center")</f>
        <v>0.0</v>
      </c>
      <c r="H4477" s="2" t="n">
        <f>HYPERLINK("https://worldwide.espacenet.com/patent/search?q=US11219412","Espacenet")</f>
        <v>0.0</v>
      </c>
      <c r="I4477" s="2" t="n">
        <f>HYPERLINK("https://ppubs.uspto.gov/pubwebapp/external.html?q=11219412.pn.","USPTO")</f>
        <v>0.0</v>
      </c>
      <c r="J4477" s="2" t="n">
        <f>HYPERLINK("https://image-ppubs.uspto.gov/dirsearch-public/print/downloadPdf/11219412","USPTO PDF")</f>
        <v>0.0</v>
      </c>
      <c r="K4477" s="2" t="n">
        <f>HYPERLINK("https://sectors.patentforecast.com/pmd/US11219412","PMD")</f>
        <v>0.0</v>
      </c>
      <c r="L4477" s="2" t="n">
        <f>HYPERLINK("https://globaldossier.uspto.gov/result/patent/US/11219412/1","US11219412")</f>
        <v>0.0</v>
      </c>
      <c r="M4477" t="s">
        <v>18243</v>
      </c>
      <c r="N4477" t="s">
        <v>17764</v>
      </c>
      <c r="O4477" t="s">
        <v>17765</v>
      </c>
      <c r="P4477" t="s">
        <v>27192</v>
      </c>
      <c r="Q4477" s="3" t="n">
        <v>43230.0</v>
      </c>
      <c r="R4477" s="3" t="n">
        <v>44572.0</v>
      </c>
      <c r="S4477" s="3" t="n">
        <v>44580.189477465276</v>
      </c>
      <c r="T4477" s="3" t="n">
        <v>44694.56613961806</v>
      </c>
      <c r="U4477" t="s">
        <v>27193</v>
      </c>
      <c r="V4477" t="s">
        <v>27194</v>
      </c>
    </row>
    <row r="4478">
      <c r="A4478" t="s">
        <v>23557</v>
      </c>
      <c r="B4478" t="s">
        <v>27195</v>
      </c>
      <c r="C4478" t="s">
        <v>24</v>
      </c>
      <c r="D4478" t="s">
        <v>51</v>
      </c>
      <c r="E4478" t="s">
        <v>27196</v>
      </c>
      <c r="F4478" s="2" t="n">
        <f>HYPERLINK("https://patents.google.com/patent/US11214843","Google")</f>
        <v>0.0</v>
      </c>
      <c r="G4478" s="2" t="n">
        <f>HYPERLINK("https://patentcenter.uspto.gov/applications/17320659","Patent Center")</f>
        <v>0.0</v>
      </c>
      <c r="H4478" s="2" t="n">
        <f>HYPERLINK("https://worldwide.espacenet.com/patent/search?q=US11214843","Espacenet")</f>
        <v>0.0</v>
      </c>
      <c r="I4478" s="2" t="n">
        <f>HYPERLINK("https://ppubs.uspto.gov/pubwebapp/external.html?q=11214843.pn.","USPTO")</f>
        <v>0.0</v>
      </c>
      <c r="J4478" s="2" t="n">
        <f>HYPERLINK("https://image-ppubs.uspto.gov/dirsearch-public/print/downloadPdf/11214843","USPTO PDF")</f>
        <v>0.0</v>
      </c>
      <c r="K4478" s="2" t="n">
        <f>HYPERLINK("https://sectors.patentforecast.com/pmd/US11214843","PMD")</f>
        <v>0.0</v>
      </c>
      <c r="L4478" s="2" t="n">
        <f>HYPERLINK("https://globaldossier.uspto.gov/result/patent/US/11214843/1","US11214843")</f>
        <v>0.0</v>
      </c>
      <c r="M4478" t="s">
        <v>13745</v>
      </c>
      <c r="N4478" t="s">
        <v>13746</v>
      </c>
      <c r="O4478" t="s">
        <v>13747</v>
      </c>
      <c r="P4478" t="s">
        <v>27197</v>
      </c>
      <c r="Q4478" s="3" t="n">
        <v>44330.0</v>
      </c>
      <c r="R4478" s="3" t="n">
        <v>44565.0</v>
      </c>
      <c r="S4478" s="3" t="n">
        <v>44580.188666435184</v>
      </c>
      <c r="T4478" s="3" t="n">
        <v>44694.56614056713</v>
      </c>
      <c r="U4478" t="s">
        <v>27198</v>
      </c>
      <c r="V4478" t="s">
        <v>27199</v>
      </c>
    </row>
    <row r="4479">
      <c r="A4479" t="s">
        <v>23557</v>
      </c>
      <c r="B4479" t="s">
        <v>27200</v>
      </c>
      <c r="C4479" t="s">
        <v>24</v>
      </c>
      <c r="D4479" t="s">
        <v>69</v>
      </c>
      <c r="E4479" t="s">
        <v>27201</v>
      </c>
      <c r="F4479" s="2" t="n">
        <f>HYPERLINK("https://patents.google.com/patent/US11213603","Google")</f>
        <v>0.0</v>
      </c>
      <c r="G4479" s="2" t="n">
        <f>HYPERLINK("https://patentcenter.uspto.gov/applications/17353561","Patent Center")</f>
        <v>0.0</v>
      </c>
      <c r="H4479" s="2" t="n">
        <f>HYPERLINK("https://worldwide.espacenet.com/patent/search?q=US11213603","Espacenet")</f>
        <v>0.0</v>
      </c>
      <c r="I4479" s="2" t="n">
        <f>HYPERLINK("https://ppubs.uspto.gov/pubwebapp/external.html?q=11213603.pn.","USPTO")</f>
        <v>0.0</v>
      </c>
      <c r="J4479" s="2" t="n">
        <f>HYPERLINK("https://image-ppubs.uspto.gov/dirsearch-public/print/downloadPdf/11213603","USPTO PDF")</f>
        <v>0.0</v>
      </c>
      <c r="K4479" s="2" t="n">
        <f>HYPERLINK("https://sectors.patentforecast.com/pmd/US11213603","PMD")</f>
        <v>0.0</v>
      </c>
      <c r="L4479" s="2" t="n">
        <f>HYPERLINK("https://globaldossier.uspto.gov/result/patent/US/11213603/1","US11213603")</f>
        <v>0.0</v>
      </c>
      <c r="M4479" t="s">
        <v>27202</v>
      </c>
      <c r="N4479" t="s">
        <v>27159</v>
      </c>
      <c r="O4479" t="s">
        <v>27160</v>
      </c>
      <c r="P4479" t="s">
        <v>27161</v>
      </c>
      <c r="Q4479" s="3" t="n">
        <v>44368.0</v>
      </c>
      <c r="R4479" s="3" t="n">
        <v>44565.0</v>
      </c>
      <c r="S4479" s="3" t="n">
        <v>44575.18867905092</v>
      </c>
      <c r="T4479" s="3" t="n">
        <v>44678.48938648148</v>
      </c>
      <c r="U4479" t="s">
        <v>27162</v>
      </c>
      <c r="V4479" t="s">
        <v>27163</v>
      </c>
    </row>
    <row r="4480">
      <c r="A4480" t="s">
        <v>23557</v>
      </c>
      <c r="B4480" t="s">
        <v>27203</v>
      </c>
      <c r="C4480" t="s">
        <v>1292</v>
      </c>
      <c r="D4480" t="s">
        <v>27204</v>
      </c>
      <c r="E4480" t="s">
        <v>27205</v>
      </c>
      <c r="F4480" s="2" t="n">
        <f>HYPERLINK("https://patents.google.com/patent/US11213581","Google")</f>
        <v>0.0</v>
      </c>
      <c r="G4480" s="2" t="n">
        <f>HYPERLINK("https://patentcenter.uspto.gov/applications/17226690","Patent Center")</f>
        <v>0.0</v>
      </c>
      <c r="H4480" s="2" t="n">
        <f>HYPERLINK("https://worldwide.espacenet.com/patent/search?q=US11213581","Espacenet")</f>
        <v>0.0</v>
      </c>
      <c r="I4480" s="2" t="n">
        <f>HYPERLINK("https://ppubs.uspto.gov/pubwebapp/external.html?q=11213581.pn.","USPTO")</f>
        <v>0.0</v>
      </c>
      <c r="J4480" s="2" t="n">
        <f>HYPERLINK("https://image-ppubs.uspto.gov/dirsearch-public/print/downloadPdf/11213581","USPTO PDF")</f>
        <v>0.0</v>
      </c>
      <c r="K4480" s="2" t="n">
        <f>HYPERLINK("https://sectors.patentforecast.com/pmd/US11213581","PMD")</f>
        <v>0.0</v>
      </c>
      <c r="L4480" s="2" t="n">
        <f>HYPERLINK("https://globaldossier.uspto.gov/result/patent/US/11213581/1","US11213581")</f>
        <v>0.0</v>
      </c>
      <c r="M4480" t="s">
        <v>10618</v>
      </c>
      <c r="N4480" t="s">
        <v>3975</v>
      </c>
      <c r="O4480" t="s">
        <v>3976</v>
      </c>
      <c r="P4480" t="s">
        <v>27206</v>
      </c>
      <c r="Q4480" s="3" t="n">
        <v>44295.0</v>
      </c>
      <c r="R4480" s="3" t="n">
        <v>44565.0</v>
      </c>
      <c r="S4480" s="3" t="n">
        <v>44580.188666435184</v>
      </c>
      <c r="T4480" s="3" t="n">
        <v>44694.56614043981</v>
      </c>
      <c r="U4480" t="s">
        <v>27207</v>
      </c>
      <c r="V4480" t="s">
        <v>27208</v>
      </c>
    </row>
    <row r="4481">
      <c r="A4481" t="s">
        <v>23557</v>
      </c>
      <c r="B4481" t="s">
        <v>27209</v>
      </c>
      <c r="C4481" t="s">
        <v>132</v>
      </c>
      <c r="D4481" t="s">
        <v>27210</v>
      </c>
      <c r="E4481" t="s">
        <v>27211</v>
      </c>
      <c r="F4481" s="2" t="n">
        <f>HYPERLINK("https://patents.google.com/patent/US11213579","Google")</f>
        <v>0.0</v>
      </c>
      <c r="G4481" s="2" t="n">
        <f>HYPERLINK("https://patentcenter.uspto.gov/applications/16954835","Patent Center")</f>
        <v>0.0</v>
      </c>
      <c r="H4481" s="2" t="n">
        <f>HYPERLINK("https://worldwide.espacenet.com/patent/search?q=US11213579","Espacenet")</f>
        <v>0.0</v>
      </c>
      <c r="I4481" s="2" t="n">
        <f>HYPERLINK("https://ppubs.uspto.gov/pubwebapp/external.html?q=11213579.pn.","USPTO")</f>
        <v>0.0</v>
      </c>
      <c r="J4481" s="2" t="n">
        <f>HYPERLINK("https://image-ppubs.uspto.gov/dirsearch-public/print/downloadPdf/11213579","USPTO PDF")</f>
        <v>0.0</v>
      </c>
      <c r="K4481" s="2" t="n">
        <f>HYPERLINK("https://sectors.patentforecast.com/pmd/US11213579","PMD")</f>
        <v>0.0</v>
      </c>
      <c r="L4481" s="2" t="n">
        <f>HYPERLINK("https://globaldossier.uspto.gov/result/patent/US/11213579/1","US11213579")</f>
        <v>0.0</v>
      </c>
      <c r="M4481" t="s">
        <v>15484</v>
      </c>
      <c r="N4481" t="s">
        <v>15485</v>
      </c>
      <c r="O4481" t="s">
        <v>15486</v>
      </c>
      <c r="P4481" t="s">
        <v>27212</v>
      </c>
      <c r="Q4481" s="3" t="n">
        <v>43224.0</v>
      </c>
      <c r="R4481" s="3" t="n">
        <v>44565.0</v>
      </c>
      <c r="S4481" s="3" t="n">
        <v>44643.24293493055</v>
      </c>
      <c r="T4481" s="3" t="n">
        <v>44694.56614015046</v>
      </c>
      <c r="U4481" t="s">
        <v>27213</v>
      </c>
      <c r="V4481" t="s">
        <v>27214</v>
      </c>
    </row>
    <row r="4482">
      <c r="A4482" t="s">
        <v>23557</v>
      </c>
      <c r="B4482" t="s">
        <v>27215</v>
      </c>
      <c r="C4482" t="s">
        <v>60</v>
      </c>
      <c r="D4482" t="s">
        <v>61</v>
      </c>
      <c r="E4482" t="s">
        <v>14319</v>
      </c>
      <c r="F4482" s="2" t="n">
        <f>HYPERLINK("https://patents.google.com/patent/US11213530","Google")</f>
        <v>0.0</v>
      </c>
      <c r="G4482" s="2" t="n">
        <f>HYPERLINK("https://patentcenter.uspto.gov/applications/16906542","Patent Center")</f>
        <v>0.0</v>
      </c>
      <c r="H4482" s="2" t="n">
        <f>HYPERLINK("https://worldwide.espacenet.com/patent/search?q=US11213530","Espacenet")</f>
        <v>0.0</v>
      </c>
      <c r="I4482" s="2" t="n">
        <f>HYPERLINK("https://ppubs.uspto.gov/pubwebapp/external.html?q=11213530.pn.","USPTO")</f>
        <v>0.0</v>
      </c>
      <c r="J4482" s="2" t="n">
        <f>HYPERLINK("https://image-ppubs.uspto.gov/dirsearch-public/print/downloadPdf/11213530","USPTO PDF")</f>
        <v>0.0</v>
      </c>
      <c r="K4482" s="2" t="n">
        <f>HYPERLINK("https://sectors.patentforecast.com/pmd/US11213530","PMD")</f>
        <v>0.0</v>
      </c>
      <c r="L4482" s="2" t="n">
        <f>HYPERLINK("https://globaldossier.uspto.gov/result/patent/US/11213530/1","US11213530")</f>
        <v>0.0</v>
      </c>
      <c r="M4482" t="s">
        <v>14320</v>
      </c>
      <c r="N4482" t="s">
        <v>14321</v>
      </c>
      <c r="O4482" t="s">
        <v>14322</v>
      </c>
      <c r="P4482" t="s">
        <v>27216</v>
      </c>
      <c r="Q4482" s="3" t="n">
        <v>44001.0</v>
      </c>
      <c r="R4482" s="3" t="n">
        <v>44565.0</v>
      </c>
      <c r="S4482" s="3" t="n">
        <v>44636.22996912037</v>
      </c>
      <c r="T4482" s="3" t="n">
        <v>44638.709359016204</v>
      </c>
      <c r="U4482" t="s">
        <v>27217</v>
      </c>
      <c r="V4482" t="s">
        <v>27218</v>
      </c>
    </row>
    <row r="4483">
      <c r="A4483" t="s">
        <v>23557</v>
      </c>
      <c r="B4483" t="s">
        <v>27219</v>
      </c>
      <c r="C4483" t="s">
        <v>60</v>
      </c>
      <c r="D4483" t="s">
        <v>61</v>
      </c>
      <c r="E4483" t="s">
        <v>27220</v>
      </c>
      <c r="F4483" s="2" t="n">
        <f>HYPERLINK("https://patents.google.com/patent/US11213511","Google")</f>
        <v>0.0</v>
      </c>
      <c r="G4483" s="2" t="n">
        <f>HYPERLINK("https://patentcenter.uspto.gov/applications/17205809","Patent Center")</f>
        <v>0.0</v>
      </c>
      <c r="H4483" s="2" t="n">
        <f>HYPERLINK("https://worldwide.espacenet.com/patent/search?q=US11213511","Espacenet")</f>
        <v>0.0</v>
      </c>
      <c r="I4483" s="2" t="n">
        <f>HYPERLINK("https://ppubs.uspto.gov/pubwebapp/external.html?q=11213511.pn.","USPTO")</f>
        <v>0.0</v>
      </c>
      <c r="J4483" s="2" t="n">
        <f>HYPERLINK("https://image-ppubs.uspto.gov/dirsearch-public/print/downloadPdf/11213511","USPTO PDF")</f>
        <v>0.0</v>
      </c>
      <c r="K4483" s="2" t="n">
        <f>HYPERLINK("https://sectors.patentforecast.com/pmd/US11213511","PMD")</f>
        <v>0.0</v>
      </c>
      <c r="L4483" s="2" t="n">
        <f>HYPERLINK("https://globaldossier.uspto.gov/result/patent/US/11213511/1","US11213511")</f>
        <v>0.0</v>
      </c>
      <c r="M4483" t="s">
        <v>9793</v>
      </c>
      <c r="N4483" t="s">
        <v>9794</v>
      </c>
      <c r="O4483" t="s">
        <v>9795</v>
      </c>
      <c r="P4483" t="s">
        <v>27221</v>
      </c>
      <c r="Q4483" s="3" t="n">
        <v>44273.0</v>
      </c>
      <c r="R4483" s="3" t="n">
        <v>44565.0</v>
      </c>
      <c r="S4483" s="3" t="n">
        <v>44580.188666435184</v>
      </c>
      <c r="T4483" s="3" t="n">
        <v>44638.69489305556</v>
      </c>
      <c r="U4483" t="s">
        <v>27222</v>
      </c>
      <c r="V4483" t="s">
        <v>27223</v>
      </c>
    </row>
    <row r="4484">
      <c r="A4484" t="s">
        <v>23557</v>
      </c>
      <c r="B4484" t="s">
        <v>27224</v>
      </c>
      <c r="C4484" t="s">
        <v>132</v>
      </c>
      <c r="D4484" t="s">
        <v>133</v>
      </c>
      <c r="E4484" t="s">
        <v>27225</v>
      </c>
      <c r="F4484" s="2" t="n">
        <f>HYPERLINK("https://patents.google.com/patent/US11213482","Google")</f>
        <v>0.0</v>
      </c>
      <c r="G4484" s="2" t="n">
        <f>HYPERLINK("https://patentcenter.uspto.gov/applications/17009121","Patent Center")</f>
        <v>0.0</v>
      </c>
      <c r="H4484" s="2" t="n">
        <f>HYPERLINK("https://worldwide.espacenet.com/patent/search?q=US11213482","Espacenet")</f>
        <v>0.0</v>
      </c>
      <c r="I4484" s="2" t="n">
        <f>HYPERLINK("https://ppubs.uspto.gov/pubwebapp/external.html?q=11213482.pn.","USPTO")</f>
        <v>0.0</v>
      </c>
      <c r="J4484" s="2" t="n">
        <f>HYPERLINK("https://image-ppubs.uspto.gov/dirsearch-public/print/downloadPdf/11213482","USPTO PDF")</f>
        <v>0.0</v>
      </c>
      <c r="K4484" s="2" t="n">
        <f>HYPERLINK("https://sectors.patentforecast.com/pmd/US11213482","PMD")</f>
        <v>0.0</v>
      </c>
      <c r="L4484" s="2" t="n">
        <f>HYPERLINK("https://globaldossier.uspto.gov/result/patent/US/11213482/1","US11213482")</f>
        <v>0.0</v>
      </c>
      <c r="M4484" t="s">
        <v>27226</v>
      </c>
      <c r="N4484" t="s">
        <v>4069</v>
      </c>
      <c r="O4484" t="s">
        <v>4070</v>
      </c>
      <c r="P4484" t="s">
        <v>27227</v>
      </c>
      <c r="Q4484" s="3" t="n">
        <v>44075.0</v>
      </c>
      <c r="R4484" s="3" t="n">
        <v>44565.0</v>
      </c>
      <c r="S4484" s="3" t="n">
        <v>44575.18867905092</v>
      </c>
      <c r="T4484" s="3" t="n">
        <v>44638.68962553241</v>
      </c>
      <c r="U4484" t="s">
        <v>27228</v>
      </c>
      <c r="V4484" t="s">
        <v>27229</v>
      </c>
    </row>
    <row r="4485">
      <c r="A4485" t="s">
        <v>23557</v>
      </c>
      <c r="B4485" t="s">
        <v>27230</v>
      </c>
      <c r="C4485" t="s">
        <v>24</v>
      </c>
      <c r="D4485" t="s">
        <v>69</v>
      </c>
      <c r="E4485" t="s">
        <v>27231</v>
      </c>
      <c r="F4485" s="2" t="n">
        <f>HYPERLINK("https://patents.google.com/patent/US11212645","Google")</f>
        <v>0.0</v>
      </c>
      <c r="G4485" s="2" t="n">
        <f>HYPERLINK("https://patentcenter.uspto.gov/applications/17083514","Patent Center")</f>
        <v>0.0</v>
      </c>
      <c r="H4485" s="2" t="n">
        <f>HYPERLINK("https://worldwide.espacenet.com/patent/search?q=US11212645","Espacenet")</f>
        <v>0.0</v>
      </c>
      <c r="I4485" s="2" t="n">
        <f>HYPERLINK("https://ppubs.uspto.gov/pubwebapp/external.html?q=11212645.pn.","USPTO")</f>
        <v>0.0</v>
      </c>
      <c r="J4485" s="2" t="n">
        <f>HYPERLINK("https://image-ppubs.uspto.gov/dirsearch-public/print/downloadPdf/11212645","USPTO PDF")</f>
        <v>0.0</v>
      </c>
      <c r="K4485" s="2" t="n">
        <f>HYPERLINK("https://sectors.patentforecast.com/pmd/US11212645","PMD")</f>
        <v>0.0</v>
      </c>
      <c r="L4485" s="2" t="n">
        <f>HYPERLINK("https://globaldossier.uspto.gov/result/patent/US/11212645/1","US11212645")</f>
        <v>0.0</v>
      </c>
      <c r="M4485" t="s">
        <v>15681</v>
      </c>
      <c r="N4485" t="s">
        <v>8923</v>
      </c>
      <c r="O4485" t="s">
        <v>8924</v>
      </c>
      <c r="P4485" t="s">
        <v>27232</v>
      </c>
      <c r="Q4485" s="3" t="n">
        <v>44133.0</v>
      </c>
      <c r="R4485" s="3" t="n">
        <v>44558.0</v>
      </c>
      <c r="S4485" s="3" t="n">
        <v>44580.188666435184</v>
      </c>
      <c r="T4485" s="3" t="n">
        <v>44694.56614023148</v>
      </c>
      <c r="U4485" t="s">
        <v>27233</v>
      </c>
      <c r="V4485" t="s">
        <v>27234</v>
      </c>
    </row>
    <row r="4486">
      <c r="A4486" t="s">
        <v>23557</v>
      </c>
      <c r="B4486" t="s">
        <v>27235</v>
      </c>
      <c r="C4486" t="s">
        <v>132</v>
      </c>
      <c r="D4486" t="s">
        <v>2629</v>
      </c>
      <c r="E4486" t="s">
        <v>27236</v>
      </c>
      <c r="F4486" s="2" t="n">
        <f>HYPERLINK("https://patents.google.com/patent/US11209428","Google")</f>
        <v>0.0</v>
      </c>
      <c r="G4486" s="2" t="n">
        <f>HYPERLINK("https://patentcenter.uspto.gov/applications/17321194","Patent Center")</f>
        <v>0.0</v>
      </c>
      <c r="H4486" s="2" t="n">
        <f>HYPERLINK("https://worldwide.espacenet.com/patent/search?q=US11209428","Espacenet")</f>
        <v>0.0</v>
      </c>
      <c r="I4486" s="2" t="n">
        <f>HYPERLINK("https://ppubs.uspto.gov/pubwebapp/external.html?q=11209428.pn.","USPTO")</f>
        <v>0.0</v>
      </c>
      <c r="J4486" s="2" t="n">
        <f>HYPERLINK("https://image-ppubs.uspto.gov/dirsearch-public/print/downloadPdf/11209428","USPTO PDF")</f>
        <v>0.0</v>
      </c>
      <c r="K4486" s="2" t="n">
        <f>HYPERLINK("https://sectors.patentforecast.com/pmd/US11209428","PMD")</f>
        <v>0.0</v>
      </c>
      <c r="L4486" s="2" t="n">
        <f>HYPERLINK("https://globaldossier.uspto.gov/result/patent/US/11209428/1","US11209428")</f>
        <v>0.0</v>
      </c>
      <c r="M4486" t="s">
        <v>27237</v>
      </c>
      <c r="N4486" t="s">
        <v>12727</v>
      </c>
      <c r="O4486" t="s">
        <v>12728</v>
      </c>
      <c r="P4486" t="s">
        <v>27238</v>
      </c>
      <c r="Q4486" s="3" t="n">
        <v>44330.0</v>
      </c>
      <c r="R4486" s="3" t="n">
        <v>44558.0</v>
      </c>
      <c r="S4486" s="3" t="n">
        <v>44575.18867905092</v>
      </c>
      <c r="T4486" s="3" t="n">
        <v>44678.55191559028</v>
      </c>
      <c r="U4486" t="s">
        <v>27239</v>
      </c>
      <c r="V4486" t="s">
        <v>27240</v>
      </c>
    </row>
    <row r="4487">
      <c r="A4487" t="s">
        <v>23557</v>
      </c>
      <c r="B4487" t="s">
        <v>27241</v>
      </c>
      <c r="C4487" t="s">
        <v>60</v>
      </c>
      <c r="D4487" t="s">
        <v>61</v>
      </c>
      <c r="E4487" t="s">
        <v>27242</v>
      </c>
      <c r="F4487" s="2" t="n">
        <f>HYPERLINK("https://patents.google.com/patent/US11208660","Google")</f>
        <v>0.0</v>
      </c>
      <c r="G4487" s="2" t="n">
        <f>HYPERLINK("https://patentcenter.uspto.gov/applications/17321561","Patent Center")</f>
        <v>0.0</v>
      </c>
      <c r="H4487" s="2" t="n">
        <f>HYPERLINK("https://worldwide.espacenet.com/patent/search?q=US11208660","Espacenet")</f>
        <v>0.0</v>
      </c>
      <c r="I4487" s="2" t="n">
        <f>HYPERLINK("https://ppubs.uspto.gov/pubwebapp/external.html?q=11208660.pn.","USPTO")</f>
        <v>0.0</v>
      </c>
      <c r="J4487" s="2" t="n">
        <f>HYPERLINK("https://image-ppubs.uspto.gov/dirsearch-public/print/downloadPdf/11208660","USPTO PDF")</f>
        <v>0.0</v>
      </c>
      <c r="K4487" s="2" t="n">
        <f>HYPERLINK("https://sectors.patentforecast.com/pmd/US11208660","PMD")</f>
        <v>0.0</v>
      </c>
      <c r="L4487" s="2" t="n">
        <f>HYPERLINK("https://globaldossier.uspto.gov/result/patent/US/11208660/1","US11208660")</f>
        <v>0.0</v>
      </c>
      <c r="M4487" t="s">
        <v>27243</v>
      </c>
      <c r="N4487" t="s">
        <v>1633</v>
      </c>
      <c r="O4487" t="s">
        <v>1634</v>
      </c>
      <c r="P4487" t="s">
        <v>27244</v>
      </c>
      <c r="Q4487" s="3" t="n">
        <v>44333.0</v>
      </c>
      <c r="R4487" s="3" t="n">
        <v>44558.0</v>
      </c>
      <c r="S4487" s="3" t="n">
        <v>44575.18867905092</v>
      </c>
      <c r="T4487" s="3" t="n">
        <v>44638.70915451389</v>
      </c>
      <c r="U4487" t="s">
        <v>27245</v>
      </c>
      <c r="V4487" t="s">
        <v>27246</v>
      </c>
    </row>
    <row r="4488">
      <c r="A4488" t="s">
        <v>23557</v>
      </c>
      <c r="B4488" t="s">
        <v>27247</v>
      </c>
      <c r="C4488" t="s">
        <v>60</v>
      </c>
      <c r="D4488" t="s">
        <v>77</v>
      </c>
      <c r="E4488" t="s">
        <v>26606</v>
      </c>
      <c r="F4488" s="2" t="n">
        <f>HYPERLINK("https://patents.google.com/patent/US11208470","Google")</f>
        <v>0.0</v>
      </c>
      <c r="G4488" s="2" t="n">
        <f>HYPERLINK("https://patentcenter.uspto.gov/applications/16142457","Patent Center")</f>
        <v>0.0</v>
      </c>
      <c r="H4488" s="2" t="n">
        <f>HYPERLINK("https://worldwide.espacenet.com/patent/search?q=US11208470","Espacenet")</f>
        <v>0.0</v>
      </c>
      <c r="I4488" s="2" t="n">
        <f>HYPERLINK("https://ppubs.uspto.gov/pubwebapp/external.html?q=11208470.pn.","USPTO")</f>
        <v>0.0</v>
      </c>
      <c r="J4488" s="2" t="n">
        <f>HYPERLINK("https://image-ppubs.uspto.gov/dirsearch-public/print/downloadPdf/11208470","USPTO PDF")</f>
        <v>0.0</v>
      </c>
      <c r="K4488" s="2" t="n">
        <f>HYPERLINK("https://sectors.patentforecast.com/pmd/US11208470","PMD")</f>
        <v>0.0</v>
      </c>
      <c r="L4488" s="2" t="n">
        <f>HYPERLINK("https://globaldossier.uspto.gov/result/patent/US/11208470/1","US11208470")</f>
        <v>0.0</v>
      </c>
      <c r="M4488" t="s">
        <v>17864</v>
      </c>
      <c r="N4488" t="s">
        <v>2541</v>
      </c>
      <c r="O4488" t="s">
        <v>2542</v>
      </c>
      <c r="P4488" t="s">
        <v>27248</v>
      </c>
      <c r="Q4488" s="3" t="n">
        <v>43369.0</v>
      </c>
      <c r="R4488" s="3" t="n">
        <v>44558.0</v>
      </c>
      <c r="S4488" s="3" t="n">
        <v>44650.2329828588</v>
      </c>
      <c r="T4488" s="3" t="n">
        <v>44658.62351804398</v>
      </c>
      <c r="U4488" t="s">
        <v>27249</v>
      </c>
      <c r="V4488" t="s">
        <v>26609</v>
      </c>
    </row>
    <row r="4489">
      <c r="A4489" t="s">
        <v>23557</v>
      </c>
      <c r="B4489" t="s">
        <v>27250</v>
      </c>
      <c r="C4489" t="s">
        <v>24</v>
      </c>
      <c r="D4489" t="s">
        <v>69</v>
      </c>
      <c r="E4489" t="s">
        <v>27251</v>
      </c>
      <c r="F4489" s="2" t="n">
        <f>HYPERLINK("https://patents.google.com/patent/US11207630","Google")</f>
        <v>0.0</v>
      </c>
      <c r="G4489" s="2" t="n">
        <f>HYPERLINK("https://patentcenter.uspto.gov/applications/16930600","Patent Center")</f>
        <v>0.0</v>
      </c>
      <c r="H4489" s="2" t="n">
        <f>HYPERLINK("https://worldwide.espacenet.com/patent/search?q=US11207630","Espacenet")</f>
        <v>0.0</v>
      </c>
      <c r="I4489" s="2" t="n">
        <f>HYPERLINK("https://ppubs.uspto.gov/pubwebapp/external.html?q=11207630.pn.","USPTO")</f>
        <v>0.0</v>
      </c>
      <c r="J4489" s="2" t="n">
        <f>HYPERLINK("https://image-ppubs.uspto.gov/dirsearch-public/print/downloadPdf/11207630","USPTO PDF")</f>
        <v>0.0</v>
      </c>
      <c r="K4489" s="2" t="n">
        <f>HYPERLINK("https://sectors.patentforecast.com/pmd/US11207630","PMD")</f>
        <v>0.0</v>
      </c>
      <c r="L4489" s="2" t="n">
        <f>HYPERLINK("https://globaldossier.uspto.gov/result/patent/US/11207630/1","US11207630")</f>
        <v>0.0</v>
      </c>
      <c r="M4489" t="s">
        <v>11454</v>
      </c>
      <c r="N4489" t="s">
        <v>2960</v>
      </c>
      <c r="O4489" t="s">
        <v>2961</v>
      </c>
      <c r="P4489" t="s">
        <v>27252</v>
      </c>
      <c r="Q4489" s="3" t="n">
        <v>44028.0</v>
      </c>
      <c r="R4489" s="3" t="n">
        <v>44558.0</v>
      </c>
      <c r="S4489" s="3" t="n">
        <v>44580.188666435184</v>
      </c>
      <c r="T4489" s="3" t="n">
        <v>44678.6308528588</v>
      </c>
      <c r="U4489" t="s">
        <v>27253</v>
      </c>
      <c r="V4489" t="s">
        <v>27254</v>
      </c>
    </row>
    <row r="4490">
      <c r="A4490" t="s">
        <v>23557</v>
      </c>
      <c r="B4490" t="s">
        <v>27255</v>
      </c>
      <c r="C4490" t="s">
        <v>60</v>
      </c>
      <c r="D4490" t="s">
        <v>61</v>
      </c>
      <c r="E4490" t="s">
        <v>27172</v>
      </c>
      <c r="F4490" s="2" t="n">
        <f>HYPERLINK("https://patents.google.com/patent/US11207401","Google")</f>
        <v>0.0</v>
      </c>
      <c r="G4490" s="2" t="n">
        <f>HYPERLINK("https://patentcenter.uspto.gov/applications/17314154","Patent Center")</f>
        <v>0.0</v>
      </c>
      <c r="H4490" s="2" t="n">
        <f>HYPERLINK("https://worldwide.espacenet.com/patent/search?q=US11207401","Espacenet")</f>
        <v>0.0</v>
      </c>
      <c r="I4490" s="2" t="n">
        <f>HYPERLINK("https://ppubs.uspto.gov/pubwebapp/external.html?q=11207401.pn.","USPTO")</f>
        <v>0.0</v>
      </c>
      <c r="J4490" s="2" t="n">
        <f>HYPERLINK("https://image-ppubs.uspto.gov/dirsearch-public/print/downloadPdf/11207401","USPTO PDF")</f>
        <v>0.0</v>
      </c>
      <c r="K4490" s="2" t="n">
        <f>HYPERLINK("https://sectors.patentforecast.com/pmd/US11207401","PMD")</f>
        <v>0.0</v>
      </c>
      <c r="L4490" s="2" t="n">
        <f>HYPERLINK("https://globaldossier.uspto.gov/result/patent/US/11207401/1","US11207401")</f>
        <v>0.0</v>
      </c>
      <c r="M4490" t="s">
        <v>27256</v>
      </c>
      <c r="N4490" t="s">
        <v>27174</v>
      </c>
      <c r="O4490" t="s">
        <v>27175</v>
      </c>
      <c r="P4490" t="s">
        <v>27176</v>
      </c>
      <c r="Q4490" s="3" t="n">
        <v>44323.0</v>
      </c>
      <c r="R4490" s="3" t="n">
        <v>44558.0</v>
      </c>
      <c r="S4490" s="3" t="n">
        <v>44575.18867905092</v>
      </c>
      <c r="T4490" s="3" t="n">
        <v>44678.5431090625</v>
      </c>
      <c r="U4490" t="s">
        <v>27177</v>
      </c>
      <c r="V4490" t="s">
        <v>27178</v>
      </c>
    </row>
    <row r="4491">
      <c r="A4491" t="s">
        <v>23557</v>
      </c>
      <c r="B4491" t="s">
        <v>27257</v>
      </c>
      <c r="C4491" t="s">
        <v>60</v>
      </c>
      <c r="D4491" t="s">
        <v>61</v>
      </c>
      <c r="E4491" t="s">
        <v>27258</v>
      </c>
      <c r="F4491" s="2" t="n">
        <f>HYPERLINK("https://patents.google.com/patent/US11207370","Google")</f>
        <v>0.0</v>
      </c>
      <c r="G4491" s="2" t="n">
        <f>HYPERLINK("https://patentcenter.uspto.gov/applications/16894407","Patent Center")</f>
        <v>0.0</v>
      </c>
      <c r="H4491" s="2" t="n">
        <f>HYPERLINK("https://worldwide.espacenet.com/patent/search?q=US11207370","Espacenet")</f>
        <v>0.0</v>
      </c>
      <c r="I4491" s="2" t="n">
        <f>HYPERLINK("https://ppubs.uspto.gov/pubwebapp/external.html?q=11207370.pn.","USPTO")</f>
        <v>0.0</v>
      </c>
      <c r="J4491" s="2" t="n">
        <f>HYPERLINK("https://image-ppubs.uspto.gov/dirsearch-public/print/downloadPdf/11207370","USPTO PDF")</f>
        <v>0.0</v>
      </c>
      <c r="K4491" s="2" t="n">
        <f>HYPERLINK("https://sectors.patentforecast.com/pmd/US11207370","PMD")</f>
        <v>0.0</v>
      </c>
      <c r="L4491" s="2" t="n">
        <f>HYPERLINK("https://globaldossier.uspto.gov/result/patent/US/11207370/1","US11207370")</f>
        <v>0.0</v>
      </c>
      <c r="M4491" t="s">
        <v>15801</v>
      </c>
      <c r="N4491" t="s">
        <v>12173</v>
      </c>
      <c r="O4491" t="s">
        <v>12173</v>
      </c>
      <c r="P4491" t="s">
        <v>27259</v>
      </c>
      <c r="Q4491" s="3" t="n">
        <v>43987.0</v>
      </c>
      <c r="R4491" s="3" t="n">
        <v>44558.0</v>
      </c>
      <c r="S4491" s="3" t="n">
        <v>44580.188666435184</v>
      </c>
      <c r="T4491" s="3" t="n">
        <v>44638.692194456016</v>
      </c>
      <c r="U4491" t="s">
        <v>27260</v>
      </c>
      <c r="V4491" t="s">
        <v>27261</v>
      </c>
    </row>
    <row r="4492">
      <c r="A4492" t="s">
        <v>23557</v>
      </c>
      <c r="B4492" t="s">
        <v>27262</v>
      </c>
      <c r="C4492" t="s">
        <v>1292</v>
      </c>
      <c r="D4492" t="s">
        <v>1316</v>
      </c>
      <c r="E4492" t="s">
        <v>27263</v>
      </c>
      <c r="F4492" s="2" t="n">
        <f>HYPERLINK("https://patents.google.com/patent/US11207326","Google")</f>
        <v>0.0</v>
      </c>
      <c r="G4492" s="2" t="n">
        <f>HYPERLINK("https://patentcenter.uspto.gov/applications/16883115","Patent Center")</f>
        <v>0.0</v>
      </c>
      <c r="H4492" s="2" t="n">
        <f>HYPERLINK("https://worldwide.espacenet.com/patent/search?q=US11207326","Espacenet")</f>
        <v>0.0</v>
      </c>
      <c r="I4492" s="2" t="n">
        <f>HYPERLINK("https://ppubs.uspto.gov/pubwebapp/external.html?q=11207326.pn.","USPTO")</f>
        <v>0.0</v>
      </c>
      <c r="J4492" s="2" t="n">
        <f>HYPERLINK("https://image-ppubs.uspto.gov/dirsearch-public/print/downloadPdf/11207326","USPTO PDF")</f>
        <v>0.0</v>
      </c>
      <c r="K4492" s="2" t="n">
        <f>HYPERLINK("https://sectors.patentforecast.com/pmd/US11207326","PMD")</f>
        <v>0.0</v>
      </c>
      <c r="L4492" s="2" t="n">
        <f>HYPERLINK("https://globaldossier.uspto.gov/result/patent/US/11207326/1","US11207326")</f>
        <v>0.0</v>
      </c>
      <c r="M4492" t="s">
        <v>9444</v>
      </c>
      <c r="N4492" t="s">
        <v>9445</v>
      </c>
      <c r="O4492" t="s">
        <v>9446</v>
      </c>
      <c r="P4492" t="s">
        <v>27264</v>
      </c>
      <c r="Q4492" s="3" t="n">
        <v>43977.0</v>
      </c>
      <c r="R4492" s="3" t="n">
        <v>44558.0</v>
      </c>
      <c r="S4492" s="3" t="n">
        <v>44580.18785809028</v>
      </c>
      <c r="T4492" s="3" t="n">
        <v>44694.56613990741</v>
      </c>
      <c r="U4492" t="s">
        <v>27265</v>
      </c>
      <c r="V4492" t="s">
        <v>27266</v>
      </c>
    </row>
    <row r="4493">
      <c r="A4493" t="s">
        <v>23557</v>
      </c>
      <c r="B4493" t="s">
        <v>27267</v>
      </c>
      <c r="C4493" t="s">
        <v>24</v>
      </c>
      <c r="D4493" t="s">
        <v>69</v>
      </c>
      <c r="E4493" t="s">
        <v>27268</v>
      </c>
      <c r="F4493" s="2" t="n">
        <f>HYPERLINK("https://patents.google.com/patent/US11206881","Google")</f>
        <v>0.0</v>
      </c>
      <c r="G4493" s="2" t="n">
        <f>HYPERLINK("https://patentcenter.uspto.gov/applications/17210976","Patent Center")</f>
        <v>0.0</v>
      </c>
      <c r="H4493" s="2" t="n">
        <f>HYPERLINK("https://worldwide.espacenet.com/patent/search?q=US11206881","Espacenet")</f>
        <v>0.0</v>
      </c>
      <c r="I4493" s="2" t="n">
        <f>HYPERLINK("https://ppubs.uspto.gov/pubwebapp/external.html?q=11206881.pn.","USPTO")</f>
        <v>0.0</v>
      </c>
      <c r="J4493" s="2" t="n">
        <f>HYPERLINK("https://image-ppubs.uspto.gov/dirsearch-public/print/downloadPdf/11206881","USPTO PDF")</f>
        <v>0.0</v>
      </c>
      <c r="K4493" s="2" t="n">
        <f>HYPERLINK("https://sectors.patentforecast.com/pmd/US11206881","PMD")</f>
        <v>0.0</v>
      </c>
      <c r="L4493" s="2" t="n">
        <f>HYPERLINK("https://globaldossier.uspto.gov/result/patent/US/11206881/1","US11206881")</f>
        <v>0.0</v>
      </c>
      <c r="M4493" t="s">
        <v>12298</v>
      </c>
      <c r="N4493" t="s">
        <v>12299</v>
      </c>
      <c r="O4493" t="s">
        <v>12299</v>
      </c>
      <c r="P4493" t="s">
        <v>27269</v>
      </c>
      <c r="Q4493" s="3" t="n">
        <v>44279.0</v>
      </c>
      <c r="R4493" s="3" t="n">
        <v>44558.0</v>
      </c>
      <c r="S4493" s="3" t="n">
        <v>44580.188666435184</v>
      </c>
      <c r="T4493" s="3" t="n">
        <v>44694.56614041667</v>
      </c>
      <c r="U4493" t="s">
        <v>27270</v>
      </c>
      <c r="V4493" t="s">
        <v>27271</v>
      </c>
    </row>
    <row r="4494">
      <c r="A4494" t="s">
        <v>23557</v>
      </c>
      <c r="B4494" t="s">
        <v>27272</v>
      </c>
      <c r="C4494" t="s">
        <v>24</v>
      </c>
      <c r="D4494" t="s">
        <v>69</v>
      </c>
      <c r="E4494" t="s">
        <v>27273</v>
      </c>
      <c r="F4494" s="2" t="n">
        <f>HYPERLINK("https://patents.google.com/patent/US11202925","Google")</f>
        <v>0.0</v>
      </c>
      <c r="G4494" s="2" t="n">
        <f>HYPERLINK("https://patentcenter.uspto.gov/applications/17236789","Patent Center")</f>
        <v>0.0</v>
      </c>
      <c r="H4494" s="2" t="n">
        <f>HYPERLINK("https://worldwide.espacenet.com/patent/search?q=US11202925","Espacenet")</f>
        <v>0.0</v>
      </c>
      <c r="I4494" s="2" t="n">
        <f>HYPERLINK("https://ppubs.uspto.gov/pubwebapp/external.html?q=11202925.pn.","USPTO")</f>
        <v>0.0</v>
      </c>
      <c r="J4494" s="2" t="n">
        <f>HYPERLINK("https://image-ppubs.uspto.gov/dirsearch-public/print/downloadPdf/11202925","USPTO PDF")</f>
        <v>0.0</v>
      </c>
      <c r="K4494" s="2" t="n">
        <f>HYPERLINK("https://sectors.patentforecast.com/pmd/US11202925","PMD")</f>
        <v>0.0</v>
      </c>
      <c r="L4494" s="2" t="n">
        <f>HYPERLINK("https://globaldossier.uspto.gov/result/patent/US/11202925/1","US11202925")</f>
        <v>0.0</v>
      </c>
      <c r="M4494" t="s">
        <v>27274</v>
      </c>
      <c r="N4494" t="s">
        <v>27275</v>
      </c>
      <c r="O4494" t="s">
        <v>27276</v>
      </c>
      <c r="P4494" t="s">
        <v>27277</v>
      </c>
      <c r="Q4494" s="3" t="n">
        <v>44307.0</v>
      </c>
      <c r="R4494" s="3" t="n">
        <v>44551.0</v>
      </c>
      <c r="S4494" s="3" t="n">
        <v>44573.18889068287</v>
      </c>
      <c r="T4494" s="3" t="n">
        <v>44678.63326577546</v>
      </c>
      <c r="U4494" t="s">
        <v>27278</v>
      </c>
      <c r="V4494" t="s">
        <v>27279</v>
      </c>
    </row>
    <row r="4495">
      <c r="A4495" t="s">
        <v>23557</v>
      </c>
      <c r="B4495" t="s">
        <v>27280</v>
      </c>
      <c r="C4495" t="s">
        <v>132</v>
      </c>
      <c r="D4495" t="s">
        <v>133</v>
      </c>
      <c r="E4495" t="s">
        <v>27281</v>
      </c>
      <c r="F4495" s="2" t="n">
        <f>HYPERLINK("https://patents.google.com/patent/US11202825","Google")</f>
        <v>0.0</v>
      </c>
      <c r="G4495" s="2" t="n">
        <f>HYPERLINK("https://patentcenter.uspto.gov/applications/16071938","Patent Center")</f>
        <v>0.0</v>
      </c>
      <c r="H4495" s="2" t="n">
        <f>HYPERLINK("https://worldwide.espacenet.com/patent/search?q=US11202825","Espacenet")</f>
        <v>0.0</v>
      </c>
      <c r="I4495" s="2" t="n">
        <f>HYPERLINK("https://ppubs.uspto.gov/pubwebapp/external.html?q=11202825.pn.","USPTO")</f>
        <v>0.0</v>
      </c>
      <c r="J4495" s="2" t="n">
        <f>HYPERLINK("https://image-ppubs.uspto.gov/dirsearch-public/print/downloadPdf/11202825","USPTO PDF")</f>
        <v>0.0</v>
      </c>
      <c r="K4495" s="2" t="n">
        <f>HYPERLINK("https://sectors.patentforecast.com/pmd/US11202825","PMD")</f>
        <v>0.0</v>
      </c>
      <c r="L4495" s="2" t="n">
        <f>HYPERLINK("https://globaldossier.uspto.gov/result/patent/US/11202825/1","US11202825")</f>
        <v>0.0</v>
      </c>
      <c r="M4495" t="s">
        <v>17950</v>
      </c>
      <c r="N4495" t="s">
        <v>17951</v>
      </c>
      <c r="O4495" t="s">
        <v>17951</v>
      </c>
      <c r="P4495" t="s">
        <v>27282</v>
      </c>
      <c r="Q4495" s="3" t="n">
        <v>42761.0</v>
      </c>
      <c r="R4495" s="3" t="n">
        <v>44551.0</v>
      </c>
      <c r="S4495" s="3" t="n">
        <v>44587.19201737268</v>
      </c>
      <c r="T4495" s="3" t="n">
        <v>44638.69434858796</v>
      </c>
      <c r="U4495" t="s">
        <v>27283</v>
      </c>
      <c r="V4495" t="s">
        <v>27284</v>
      </c>
    </row>
    <row r="4496">
      <c r="A4496" t="s">
        <v>23557</v>
      </c>
      <c r="B4496" t="s">
        <v>27285</v>
      </c>
      <c r="C4496" t="s">
        <v>60</v>
      </c>
      <c r="D4496" t="s">
        <v>715</v>
      </c>
      <c r="E4496" t="s">
        <v>27286</v>
      </c>
      <c r="F4496" s="2" t="n">
        <f>HYPERLINK("https://patents.google.com/patent/US11202673","Google")</f>
        <v>0.0</v>
      </c>
      <c r="G4496" s="2" t="n">
        <f>HYPERLINK("https://patentcenter.uspto.gov/applications/17242514","Patent Center")</f>
        <v>0.0</v>
      </c>
      <c r="H4496" s="2" t="n">
        <f>HYPERLINK("https://worldwide.espacenet.com/patent/search?q=US11202673","Espacenet")</f>
        <v>0.0</v>
      </c>
      <c r="I4496" s="2" t="n">
        <f>HYPERLINK("https://ppubs.uspto.gov/pubwebapp/external.html?q=11202673.pn.","USPTO")</f>
        <v>0.0</v>
      </c>
      <c r="J4496" s="2" t="n">
        <f>HYPERLINK("https://image-ppubs.uspto.gov/dirsearch-public/print/downloadPdf/11202673","USPTO PDF")</f>
        <v>0.0</v>
      </c>
      <c r="K4496" s="2" t="n">
        <f>HYPERLINK("https://sectors.patentforecast.com/pmd/US11202673","PMD")</f>
        <v>0.0</v>
      </c>
      <c r="L4496" s="2" t="n">
        <f>HYPERLINK("https://globaldossier.uspto.gov/result/patent/US/11202673/1","US11202673")</f>
        <v>0.0</v>
      </c>
      <c r="M4496" t="s">
        <v>27287</v>
      </c>
      <c r="N4496" t="s">
        <v>27288</v>
      </c>
      <c r="O4496" t="s">
        <v>27289</v>
      </c>
      <c r="P4496" t="s">
        <v>27290</v>
      </c>
      <c r="Q4496" s="3" t="n">
        <v>44314.0</v>
      </c>
      <c r="R4496" s="3" t="n">
        <v>44551.0</v>
      </c>
      <c r="S4496" s="3" t="n">
        <v>44573.18889068287</v>
      </c>
      <c r="T4496" s="3" t="n">
        <v>44678.488654085646</v>
      </c>
      <c r="U4496" t="s">
        <v>27291</v>
      </c>
      <c r="V4496" t="s">
        <v>27292</v>
      </c>
    </row>
    <row r="4497">
      <c r="A4497" t="s">
        <v>23557</v>
      </c>
      <c r="B4497" t="s">
        <v>27293</v>
      </c>
      <c r="C4497" t="s">
        <v>24</v>
      </c>
      <c r="D4497" t="s">
        <v>25</v>
      </c>
      <c r="E4497" t="s">
        <v>27294</v>
      </c>
      <c r="F4497" s="2" t="n">
        <f>HYPERLINK("https://patents.google.com/patent/US11200966","Google")</f>
        <v>0.0</v>
      </c>
      <c r="G4497" s="2" t="n">
        <f>HYPERLINK("https://patentcenter.uspto.gov/applications/15392720","Patent Center")</f>
        <v>0.0</v>
      </c>
      <c r="H4497" s="2" t="n">
        <f>HYPERLINK("https://worldwide.espacenet.com/patent/search?q=US11200966","Espacenet")</f>
        <v>0.0</v>
      </c>
      <c r="I4497" s="2" t="n">
        <f>HYPERLINK("https://ppubs.uspto.gov/pubwebapp/external.html?q=11200966.pn.","USPTO")</f>
        <v>0.0</v>
      </c>
      <c r="J4497" s="2" t="n">
        <f>HYPERLINK("https://image-ppubs.uspto.gov/dirsearch-public/print/downloadPdf/11200966","USPTO PDF")</f>
        <v>0.0</v>
      </c>
      <c r="K4497" s="2" t="n">
        <f>HYPERLINK("https://sectors.patentforecast.com/pmd/US11200966","PMD")</f>
        <v>0.0</v>
      </c>
      <c r="L4497" s="2" t="n">
        <f>HYPERLINK("https://globaldossier.uspto.gov/result/patent/US/11200966/1","US11200966")</f>
        <v>0.0</v>
      </c>
      <c r="M4497" t="s">
        <v>18382</v>
      </c>
      <c r="N4497" t="s">
        <v>6786</v>
      </c>
      <c r="O4497" t="s">
        <v>6787</v>
      </c>
      <c r="P4497" t="s">
        <v>27295</v>
      </c>
      <c r="Q4497" s="3" t="n">
        <v>42732.0</v>
      </c>
      <c r="R4497" s="3" t="n">
        <v>44544.0</v>
      </c>
      <c r="S4497" s="3" t="n">
        <v>44643.23807896991</v>
      </c>
      <c r="T4497" s="3" t="n">
        <v>44672.30535753472</v>
      </c>
      <c r="U4497" t="s">
        <v>27296</v>
      </c>
      <c r="V4497" t="s">
        <v>18384</v>
      </c>
    </row>
    <row r="4498">
      <c r="A4498" t="s">
        <v>23557</v>
      </c>
      <c r="B4498" t="s">
        <v>27297</v>
      </c>
      <c r="C4498" t="s">
        <v>60</v>
      </c>
      <c r="D4498" t="s">
        <v>715</v>
      </c>
      <c r="E4498" t="s">
        <v>27298</v>
      </c>
      <c r="F4498" s="2" t="n">
        <f>HYPERLINK("https://patents.google.com/patent/US11197969","Google")</f>
        <v>0.0</v>
      </c>
      <c r="G4498" s="2" t="n">
        <f>HYPERLINK("https://patentcenter.uspto.gov/applications/17001450","Patent Center")</f>
        <v>0.0</v>
      </c>
      <c r="H4498" s="2" t="n">
        <f>HYPERLINK("https://worldwide.espacenet.com/patent/search?q=US11197969","Espacenet")</f>
        <v>0.0</v>
      </c>
      <c r="I4498" s="2" t="n">
        <f>HYPERLINK("https://ppubs.uspto.gov/pubwebapp/external.html?q=11197969.pn.","USPTO")</f>
        <v>0.0</v>
      </c>
      <c r="J4498" s="2" t="n">
        <f>HYPERLINK("https://image-ppubs.uspto.gov/dirsearch-public/print/downloadPdf/11197969","USPTO PDF")</f>
        <v>0.0</v>
      </c>
      <c r="K4498" s="2" t="n">
        <f>HYPERLINK("https://sectors.patentforecast.com/pmd/US11197969","PMD")</f>
        <v>0.0</v>
      </c>
      <c r="L4498" s="2" t="n">
        <f>HYPERLINK("https://globaldossier.uspto.gov/result/patent/US/11197969/1","US11197969")</f>
        <v>0.0</v>
      </c>
      <c r="M4498" t="s">
        <v>16052</v>
      </c>
      <c r="N4498" t="s">
        <v>16053</v>
      </c>
      <c r="O4498" t="s">
        <v>16054</v>
      </c>
      <c r="P4498" t="s">
        <v>27299</v>
      </c>
      <c r="Q4498" s="3" t="n">
        <v>44067.0</v>
      </c>
      <c r="R4498" s="3" t="n">
        <v>44544.0</v>
      </c>
      <c r="S4498" s="3" t="n">
        <v>44580.18843596065</v>
      </c>
      <c r="T4498" s="3" t="n">
        <v>44694.56614016204</v>
      </c>
      <c r="U4498" t="s">
        <v>27300</v>
      </c>
      <c r="V4498" t="s">
        <v>27301</v>
      </c>
    </row>
    <row r="4499">
      <c r="A4499" t="s">
        <v>23557</v>
      </c>
      <c r="B4499" t="s">
        <v>27302</v>
      </c>
      <c r="C4499" t="s">
        <v>60</v>
      </c>
      <c r="D4499" t="s">
        <v>61</v>
      </c>
      <c r="E4499" t="s">
        <v>27303</v>
      </c>
      <c r="F4499" s="2" t="n">
        <f>HYPERLINK("https://patents.google.com/patent/US11197912","Google")</f>
        <v>0.0</v>
      </c>
      <c r="G4499" s="2" t="n">
        <f>HYPERLINK("https://patentcenter.uspto.gov/applications/17184781","Patent Center")</f>
        <v>0.0</v>
      </c>
      <c r="H4499" s="2" t="n">
        <f>HYPERLINK("https://worldwide.espacenet.com/patent/search?q=US11197912","Espacenet")</f>
        <v>0.0</v>
      </c>
      <c r="I4499" s="2" t="n">
        <f>HYPERLINK("https://ppubs.uspto.gov/pubwebapp/external.html?q=11197912.pn.","USPTO")</f>
        <v>0.0</v>
      </c>
      <c r="J4499" s="2" t="n">
        <f>HYPERLINK("https://image-ppubs.uspto.gov/dirsearch-public/print/downloadPdf/11197912","USPTO PDF")</f>
        <v>0.0</v>
      </c>
      <c r="K4499" s="2" t="n">
        <f>HYPERLINK("https://sectors.patentforecast.com/pmd/US11197912","PMD")</f>
        <v>0.0</v>
      </c>
      <c r="L4499" s="2" t="n">
        <f>HYPERLINK("https://globaldossier.uspto.gov/result/patent/US/11197912/1","US11197912")</f>
        <v>0.0</v>
      </c>
      <c r="M4499" t="s">
        <v>12545</v>
      </c>
      <c r="N4499" t="s">
        <v>12546</v>
      </c>
      <c r="O4499" t="s">
        <v>12546</v>
      </c>
      <c r="P4499" t="s">
        <v>27304</v>
      </c>
      <c r="Q4499" s="3" t="n">
        <v>44252.0</v>
      </c>
      <c r="R4499" s="3" t="n">
        <v>44544.0</v>
      </c>
      <c r="S4499" s="3" t="n">
        <v>44580.18843596065</v>
      </c>
      <c r="T4499" s="3" t="n">
        <v>44678.54398342592</v>
      </c>
      <c r="U4499" t="s">
        <v>27305</v>
      </c>
      <c r="V4499" t="s">
        <v>27306</v>
      </c>
    </row>
    <row r="4500">
      <c r="A4500" t="s">
        <v>23557</v>
      </c>
      <c r="B4500" t="s">
        <v>27307</v>
      </c>
      <c r="C4500" t="s">
        <v>60</v>
      </c>
      <c r="D4500" t="s">
        <v>4942</v>
      </c>
      <c r="E4500" t="s">
        <v>27308</v>
      </c>
      <c r="F4500" s="2" t="n">
        <f>HYPERLINK("https://patents.google.com/patent/US11197824","Google")</f>
        <v>0.0</v>
      </c>
      <c r="G4500" s="2" t="n">
        <f>HYPERLINK("https://patentcenter.uspto.gov/applications/16938753","Patent Center")</f>
        <v>0.0</v>
      </c>
      <c r="H4500" s="2" t="n">
        <f>HYPERLINK("https://worldwide.espacenet.com/patent/search?q=US11197824","Espacenet")</f>
        <v>0.0</v>
      </c>
      <c r="I4500" s="2" t="n">
        <f>HYPERLINK("https://ppubs.uspto.gov/pubwebapp/external.html?q=11197824.pn.","USPTO")</f>
        <v>0.0</v>
      </c>
      <c r="J4500" s="2" t="n">
        <f>HYPERLINK("https://image-ppubs.uspto.gov/dirsearch-public/print/downloadPdf/11197824","USPTO PDF")</f>
        <v>0.0</v>
      </c>
      <c r="K4500" s="2" t="n">
        <f>HYPERLINK("https://sectors.patentforecast.com/pmd/US11197824","PMD")</f>
        <v>0.0</v>
      </c>
      <c r="L4500" s="2" t="n">
        <f>HYPERLINK("https://globaldossier.uspto.gov/result/patent/US/11197824/1","US11197824")</f>
        <v>0.0</v>
      </c>
      <c r="M4500" t="s">
        <v>13584</v>
      </c>
      <c r="N4500" t="s">
        <v>4945</v>
      </c>
      <c r="O4500" t="s">
        <v>4946</v>
      </c>
      <c r="P4500" t="s">
        <v>27309</v>
      </c>
      <c r="Q4500" s="3" t="n">
        <v>44036.0</v>
      </c>
      <c r="R4500" s="3" t="n">
        <v>44544.0</v>
      </c>
      <c r="S4500" s="3" t="n">
        <v>44580.18843596065</v>
      </c>
      <c r="T4500" s="3" t="n">
        <v>44672.32370262731</v>
      </c>
      <c r="U4500" t="s">
        <v>27310</v>
      </c>
      <c r="V4500" t="s">
        <v>27311</v>
      </c>
    </row>
    <row r="4501">
      <c r="A4501" t="s">
        <v>23557</v>
      </c>
      <c r="B4501" t="s">
        <v>27312</v>
      </c>
      <c r="C4501" t="s">
        <v>312</v>
      </c>
      <c r="D4501" t="s">
        <v>313</v>
      </c>
      <c r="E4501" t="s">
        <v>24220</v>
      </c>
      <c r="F4501" s="2" t="n">
        <f>HYPERLINK("https://patents.google.com/patent/US11195624","Google")</f>
        <v>0.0</v>
      </c>
      <c r="G4501" s="2" t="n">
        <f>HYPERLINK("https://patentcenter.uspto.gov/applications/15952983","Patent Center")</f>
        <v>0.0</v>
      </c>
      <c r="H4501" s="2" t="n">
        <f>HYPERLINK("https://worldwide.espacenet.com/patent/search?q=US11195624","Espacenet")</f>
        <v>0.0</v>
      </c>
      <c r="I4501" s="2" t="n">
        <f>HYPERLINK("https://ppubs.uspto.gov/pubwebapp/external.html?q=11195624.pn.","USPTO")</f>
        <v>0.0</v>
      </c>
      <c r="J4501" s="2" t="n">
        <f>HYPERLINK("https://image-ppubs.uspto.gov/dirsearch-public/print/downloadPdf/11195624","USPTO PDF")</f>
        <v>0.0</v>
      </c>
      <c r="K4501" s="2" t="n">
        <f>HYPERLINK("https://sectors.patentforecast.com/pmd/US11195624","PMD")</f>
        <v>0.0</v>
      </c>
      <c r="L4501" s="2" t="n">
        <f>HYPERLINK("https://globaldossier.uspto.gov/result/patent/US/11195624/1","US11195624")</f>
        <v>0.0</v>
      </c>
      <c r="M4501" t="s">
        <v>18020</v>
      </c>
      <c r="N4501" t="s">
        <v>3621</v>
      </c>
      <c r="O4501" t="s">
        <v>3622</v>
      </c>
      <c r="P4501" t="s">
        <v>27313</v>
      </c>
      <c r="Q4501" s="3" t="n">
        <v>43203.0</v>
      </c>
      <c r="R4501" s="3" t="n">
        <v>44537.0</v>
      </c>
      <c r="S4501" s="3" t="n">
        <v>44540.1897127662</v>
      </c>
      <c r="T4501" s="3" t="n">
        <v>44544.622340243055</v>
      </c>
      <c r="U4501" t="s">
        <v>27314</v>
      </c>
      <c r="V4501" t="s">
        <v>18022</v>
      </c>
    </row>
    <row r="4502">
      <c r="A4502" t="s">
        <v>23557</v>
      </c>
      <c r="B4502" t="s">
        <v>27315</v>
      </c>
      <c r="C4502" t="s">
        <v>60</v>
      </c>
      <c r="D4502" t="s">
        <v>77</v>
      </c>
      <c r="E4502" t="s">
        <v>27165</v>
      </c>
      <c r="F4502" s="2" t="n">
        <f>HYPERLINK("https://patents.google.com/patent/US11192940","Google")</f>
        <v>0.0</v>
      </c>
      <c r="G4502" s="2" t="n">
        <f>HYPERLINK("https://patentcenter.uspto.gov/applications/17226153","Patent Center")</f>
        <v>0.0</v>
      </c>
      <c r="H4502" s="2" t="n">
        <f>HYPERLINK("https://worldwide.espacenet.com/patent/search?q=US11192940","Espacenet")</f>
        <v>0.0</v>
      </c>
      <c r="I4502" s="2" t="n">
        <f>HYPERLINK("https://ppubs.uspto.gov/pubwebapp/external.html?q=11192940.pn.","USPTO")</f>
        <v>0.0</v>
      </c>
      <c r="J4502" s="2" t="n">
        <f>HYPERLINK("https://image-ppubs.uspto.gov/dirsearch-public/print/downloadPdf/11192940","USPTO PDF")</f>
        <v>0.0</v>
      </c>
      <c r="K4502" s="2" t="n">
        <f>HYPERLINK("https://sectors.patentforecast.com/pmd/US11192940","PMD")</f>
        <v>0.0</v>
      </c>
      <c r="L4502" s="2" t="n">
        <f>HYPERLINK("https://globaldossier.uspto.gov/result/patent/US/11192940/1","US11192940")</f>
        <v>0.0</v>
      </c>
      <c r="M4502" t="s">
        <v>11962</v>
      </c>
      <c r="N4502" t="s">
        <v>246</v>
      </c>
      <c r="O4502" t="s">
        <v>247</v>
      </c>
      <c r="P4502" t="s">
        <v>27166</v>
      </c>
      <c r="Q4502" s="3" t="n">
        <v>44295.0</v>
      </c>
      <c r="R4502" s="3" t="n">
        <v>44537.0</v>
      </c>
      <c r="S4502" s="3" t="n">
        <v>44540.18855429398</v>
      </c>
      <c r="T4502" s="3" t="n">
        <v>44544.61861903935</v>
      </c>
      <c r="U4502" t="s">
        <v>27167</v>
      </c>
      <c r="V4502" t="s">
        <v>27168</v>
      </c>
    </row>
    <row r="4503">
      <c r="A4503" t="s">
        <v>23557</v>
      </c>
      <c r="B4503" t="s">
        <v>27316</v>
      </c>
      <c r="C4503" t="s">
        <v>60</v>
      </c>
      <c r="D4503" t="s">
        <v>61</v>
      </c>
      <c r="E4503" t="s">
        <v>23758</v>
      </c>
      <c r="F4503" s="2" t="n">
        <f>HYPERLINK("https://patents.google.com/patent/US11192875","Google")</f>
        <v>0.0</v>
      </c>
      <c r="G4503" s="2" t="n">
        <f>HYPERLINK("https://patentcenter.uspto.gov/applications/16744576","Patent Center")</f>
        <v>0.0</v>
      </c>
      <c r="H4503" s="2" t="n">
        <f>HYPERLINK("https://worldwide.espacenet.com/patent/search?q=US11192875","Espacenet")</f>
        <v>0.0</v>
      </c>
      <c r="I4503" s="2" t="n">
        <f>HYPERLINK("https://ppubs.uspto.gov/pubwebapp/external.html?q=11192875.pn.","USPTO")</f>
        <v>0.0</v>
      </c>
      <c r="J4503" s="2" t="n">
        <f>HYPERLINK("https://image-ppubs.uspto.gov/dirsearch-public/print/downloadPdf/11192875","USPTO PDF")</f>
        <v>0.0</v>
      </c>
      <c r="K4503" s="2" t="n">
        <f>HYPERLINK("https://sectors.patentforecast.com/pmd/US11192875","PMD")</f>
        <v>0.0</v>
      </c>
      <c r="L4503" s="2" t="n">
        <f>HYPERLINK("https://globaldossier.uspto.gov/result/patent/US/11192875/1","US11192875")</f>
        <v>0.0</v>
      </c>
      <c r="M4503" t="s">
        <v>27317</v>
      </c>
      <c r="N4503" t="s">
        <v>664</v>
      </c>
      <c r="O4503" t="s">
        <v>665</v>
      </c>
      <c r="P4503" t="s">
        <v>27318</v>
      </c>
      <c r="Q4503" s="3" t="n">
        <v>43846.0</v>
      </c>
      <c r="R4503" s="3" t="n">
        <v>44537.0</v>
      </c>
      <c r="S4503" s="3" t="n">
        <v>44540.19202758102</v>
      </c>
      <c r="T4503" s="3" t="n">
        <v>44638.706339386576</v>
      </c>
      <c r="U4503" t="s">
        <v>27319</v>
      </c>
      <c r="V4503" t="s">
        <v>27320</v>
      </c>
    </row>
    <row r="4504">
      <c r="A4504" t="s">
        <v>23557</v>
      </c>
      <c r="B4504" t="s">
        <v>27321</v>
      </c>
      <c r="C4504" t="s">
        <v>24</v>
      </c>
      <c r="D4504" t="s">
        <v>69</v>
      </c>
      <c r="E4504" t="s">
        <v>27322</v>
      </c>
      <c r="F4504" s="2" t="n">
        <f>HYPERLINK("https://patents.google.com/patent/US11192757","Google")</f>
        <v>0.0</v>
      </c>
      <c r="G4504" s="2" t="n">
        <f>HYPERLINK("https://patentcenter.uspto.gov/applications/17171309","Patent Center")</f>
        <v>0.0</v>
      </c>
      <c r="H4504" s="2" t="n">
        <f>HYPERLINK("https://worldwide.espacenet.com/patent/search?q=US11192757","Espacenet")</f>
        <v>0.0</v>
      </c>
      <c r="I4504" s="2" t="n">
        <f>HYPERLINK("https://ppubs.uspto.gov/pubwebapp/external.html?q=11192757.pn.","USPTO")</f>
        <v>0.0</v>
      </c>
      <c r="J4504" s="2" t="n">
        <f>HYPERLINK("https://image-ppubs.uspto.gov/dirsearch-public/print/downloadPdf/11192757","USPTO PDF")</f>
        <v>0.0</v>
      </c>
      <c r="K4504" s="2" t="n">
        <f>HYPERLINK("https://sectors.patentforecast.com/pmd/US11192757","PMD")</f>
        <v>0.0</v>
      </c>
      <c r="L4504" s="2" t="n">
        <f>HYPERLINK("https://globaldossier.uspto.gov/result/patent/US/11192757/1","US11192757")</f>
        <v>0.0</v>
      </c>
      <c r="M4504" t="s">
        <v>10482</v>
      </c>
      <c r="N4504" t="s">
        <v>10483</v>
      </c>
      <c r="O4504" t="s">
        <v>10484</v>
      </c>
      <c r="P4504" t="s">
        <v>27323</v>
      </c>
      <c r="Q4504" s="3" t="n">
        <v>44236.0</v>
      </c>
      <c r="R4504" s="3" t="n">
        <v>44537.0</v>
      </c>
      <c r="S4504" s="3" t="n">
        <v>44540.187861412036</v>
      </c>
      <c r="T4504" s="3" t="n">
        <v>44544.62271017361</v>
      </c>
      <c r="U4504" t="s">
        <v>27324</v>
      </c>
      <c r="V4504" t="s">
        <v>27325</v>
      </c>
    </row>
    <row r="4505">
      <c r="A4505" t="s">
        <v>23557</v>
      </c>
      <c r="B4505" t="s">
        <v>27326</v>
      </c>
      <c r="C4505" t="s">
        <v>24</v>
      </c>
      <c r="D4505" t="s">
        <v>100</v>
      </c>
      <c r="E4505" t="s">
        <v>27327</v>
      </c>
      <c r="F4505" s="2" t="n">
        <f>HYPERLINK("https://patents.google.com/patent/US11191864","Google")</f>
        <v>0.0</v>
      </c>
      <c r="G4505" s="2" t="n">
        <f>HYPERLINK("https://patentcenter.uspto.gov/applications/17204838","Patent Center")</f>
        <v>0.0</v>
      </c>
      <c r="H4505" s="2" t="n">
        <f>HYPERLINK("https://worldwide.espacenet.com/patent/search?q=US11191864","Espacenet")</f>
        <v>0.0</v>
      </c>
      <c r="I4505" s="2" t="n">
        <f>HYPERLINK("https://ppubs.uspto.gov/pubwebapp/external.html?q=11191864.pn.","USPTO")</f>
        <v>0.0</v>
      </c>
      <c r="J4505" s="2" t="n">
        <f>HYPERLINK("https://image-ppubs.uspto.gov/dirsearch-public/print/downloadPdf/11191864","USPTO PDF")</f>
        <v>0.0</v>
      </c>
      <c r="K4505" s="2" t="n">
        <f>HYPERLINK("https://sectors.patentforecast.com/pmd/US11191864","PMD")</f>
        <v>0.0</v>
      </c>
      <c r="L4505" s="2" t="n">
        <f>HYPERLINK("https://globaldossier.uspto.gov/result/patent/US/11191864/1","US11191864")</f>
        <v>0.0</v>
      </c>
      <c r="M4505" t="s">
        <v>27328</v>
      </c>
      <c r="N4505" t="s">
        <v>27329</v>
      </c>
      <c r="O4505" t="s">
        <v>27330</v>
      </c>
      <c r="P4505" t="s">
        <v>27331</v>
      </c>
      <c r="Q4505" s="3" t="n">
        <v>44272.0</v>
      </c>
      <c r="R4505" s="3" t="n">
        <v>44537.0</v>
      </c>
      <c r="S4505" s="3" t="n">
        <v>44643.24293493055</v>
      </c>
      <c r="T4505" s="3" t="n">
        <v>44658.61049837963</v>
      </c>
      <c r="U4505" t="s">
        <v>27332</v>
      </c>
      <c r="V4505" t="s">
        <v>27333</v>
      </c>
    </row>
    <row r="4506">
      <c r="A4506" t="s">
        <v>23557</v>
      </c>
      <c r="B4506" t="s">
        <v>27334</v>
      </c>
      <c r="C4506" t="s">
        <v>60</v>
      </c>
      <c r="D4506" t="s">
        <v>77</v>
      </c>
      <c r="E4506" t="s">
        <v>27172</v>
      </c>
      <c r="F4506" s="2" t="n">
        <f>HYPERLINK("https://patents.google.com/patent/US11191827","Google")</f>
        <v>0.0</v>
      </c>
      <c r="G4506" s="2" t="n">
        <f>HYPERLINK("https://patentcenter.uspto.gov/applications/17116227","Patent Center")</f>
        <v>0.0</v>
      </c>
      <c r="H4506" s="2" t="n">
        <f>HYPERLINK("https://worldwide.espacenet.com/patent/search?q=US11191827","Espacenet")</f>
        <v>0.0</v>
      </c>
      <c r="I4506" s="2" t="n">
        <f>HYPERLINK("https://ppubs.uspto.gov/pubwebapp/external.html?q=11191827.pn.","USPTO")</f>
        <v>0.0</v>
      </c>
      <c r="J4506" s="2" t="n">
        <f>HYPERLINK("https://image-ppubs.uspto.gov/dirsearch-public/print/downloadPdf/11191827","USPTO PDF")</f>
        <v>0.0</v>
      </c>
      <c r="K4506" s="2" t="n">
        <f>HYPERLINK("https://sectors.patentforecast.com/pmd/US11191827","PMD")</f>
        <v>0.0</v>
      </c>
      <c r="L4506" s="2" t="n">
        <f>HYPERLINK("https://globaldossier.uspto.gov/result/patent/US/11191827/1","US11191827")</f>
        <v>0.0</v>
      </c>
      <c r="M4506" t="s">
        <v>27335</v>
      </c>
      <c r="N4506" t="s">
        <v>27174</v>
      </c>
      <c r="O4506" t="s">
        <v>27175</v>
      </c>
      <c r="P4506" t="s">
        <v>27176</v>
      </c>
      <c r="Q4506" s="3" t="n">
        <v>44174.0</v>
      </c>
      <c r="R4506" s="3" t="n">
        <v>44537.0</v>
      </c>
      <c r="S4506" s="3" t="n">
        <v>44540.18855429398</v>
      </c>
      <c r="T4506" s="3" t="n">
        <v>44544.61909325232</v>
      </c>
      <c r="U4506" t="s">
        <v>27336</v>
      </c>
      <c r="V4506" t="s">
        <v>27178</v>
      </c>
    </row>
    <row r="4507">
      <c r="A4507" t="s">
        <v>23557</v>
      </c>
      <c r="B4507" t="s">
        <v>27337</v>
      </c>
      <c r="C4507" t="s">
        <v>24</v>
      </c>
      <c r="D4507" t="s">
        <v>51</v>
      </c>
      <c r="E4507" t="s">
        <v>27338</v>
      </c>
      <c r="F4507" s="2" t="n">
        <f>HYPERLINK("https://patents.google.com/patent/US11187701","Google")</f>
        <v>0.0</v>
      </c>
      <c r="G4507" s="2" t="n">
        <f>HYPERLINK("https://patentcenter.uspto.gov/applications/17207639","Patent Center")</f>
        <v>0.0</v>
      </c>
      <c r="H4507" s="2" t="n">
        <f>HYPERLINK("https://worldwide.espacenet.com/patent/search?q=US11187701","Espacenet")</f>
        <v>0.0</v>
      </c>
      <c r="I4507" s="2" t="n">
        <f>HYPERLINK("https://ppubs.uspto.gov/pubwebapp/external.html?q=11187701.pn.","USPTO")</f>
        <v>0.0</v>
      </c>
      <c r="J4507" s="2" t="n">
        <f>HYPERLINK("https://image-ppubs.uspto.gov/dirsearch-public/print/downloadPdf/11187701","USPTO PDF")</f>
        <v>0.0</v>
      </c>
      <c r="K4507" s="2" t="n">
        <f>HYPERLINK("https://sectors.patentforecast.com/pmd/US11187701","PMD")</f>
        <v>0.0</v>
      </c>
      <c r="L4507" s="2" t="n">
        <f>HYPERLINK("https://globaldossier.uspto.gov/result/patent/US/11187701/1","US11187701")</f>
        <v>0.0</v>
      </c>
      <c r="M4507" t="s">
        <v>14899</v>
      </c>
      <c r="N4507" t="s">
        <v>14780</v>
      </c>
      <c r="O4507" t="s">
        <v>14780</v>
      </c>
      <c r="P4507" t="s">
        <v>27339</v>
      </c>
      <c r="Q4507" s="3" t="n">
        <v>44275.0</v>
      </c>
      <c r="R4507" s="3" t="n">
        <v>44530.0</v>
      </c>
      <c r="S4507" s="3" t="n">
        <v>44538.18850060185</v>
      </c>
      <c r="T4507" s="3" t="n">
        <v>44543.70916613426</v>
      </c>
      <c r="U4507" t="s">
        <v>27340</v>
      </c>
      <c r="V4507" t="s">
        <v>27341</v>
      </c>
    </row>
    <row r="4508">
      <c r="A4508" t="s">
        <v>23557</v>
      </c>
      <c r="B4508" t="s">
        <v>27342</v>
      </c>
      <c r="C4508" t="s">
        <v>24</v>
      </c>
      <c r="D4508" t="s">
        <v>69</v>
      </c>
      <c r="E4508" t="s">
        <v>27343</v>
      </c>
      <c r="F4508" s="2" t="n">
        <f>HYPERLINK("https://patents.google.com/patent/US11184739","Google")</f>
        <v>0.0</v>
      </c>
      <c r="G4508" s="2" t="n">
        <f>HYPERLINK("https://patentcenter.uspto.gov/applications/16907044","Patent Center")</f>
        <v>0.0</v>
      </c>
      <c r="H4508" s="2" t="n">
        <f>HYPERLINK("https://worldwide.espacenet.com/patent/search?q=US11184739","Espacenet")</f>
        <v>0.0</v>
      </c>
      <c r="I4508" s="2" t="n">
        <f>HYPERLINK("https://ppubs.uspto.gov/pubwebapp/external.html?q=11184739.pn.","USPTO")</f>
        <v>0.0</v>
      </c>
      <c r="J4508" s="2" t="n">
        <f>HYPERLINK("https://image-ppubs.uspto.gov/dirsearch-public/print/downloadPdf/11184739","USPTO PDF")</f>
        <v>0.0</v>
      </c>
      <c r="K4508" s="2" t="n">
        <f>HYPERLINK("https://sectors.patentforecast.com/pmd/US11184739","PMD")</f>
        <v>0.0</v>
      </c>
      <c r="L4508" s="2" t="n">
        <f>HYPERLINK("https://globaldossier.uspto.gov/result/patent/US/11184739/1","US11184739")</f>
        <v>0.0</v>
      </c>
      <c r="M4508" t="s">
        <v>27344</v>
      </c>
      <c r="N4508" t="s">
        <v>2232</v>
      </c>
      <c r="O4508" t="s">
        <v>2232</v>
      </c>
      <c r="P4508" t="s">
        <v>27345</v>
      </c>
      <c r="Q4508" s="3" t="n">
        <v>44001.0</v>
      </c>
      <c r="R4508" s="3" t="n">
        <v>44523.0</v>
      </c>
      <c r="S4508" s="3" t="n">
        <v>44538.19235491898</v>
      </c>
      <c r="T4508" s="3" t="n">
        <v>44678.3859380787</v>
      </c>
      <c r="U4508" t="s">
        <v>27346</v>
      </c>
      <c r="V4508" t="s">
        <v>27347</v>
      </c>
    </row>
    <row r="4509">
      <c r="A4509" t="s">
        <v>23557</v>
      </c>
      <c r="B4509" t="s">
        <v>27348</v>
      </c>
      <c r="C4509" t="s">
        <v>24</v>
      </c>
      <c r="D4509" t="s">
        <v>25</v>
      </c>
      <c r="E4509" t="s">
        <v>27349</v>
      </c>
      <c r="F4509" s="2" t="n">
        <f>HYPERLINK("https://patents.google.com/patent/US11181451","Google")</f>
        <v>0.0</v>
      </c>
      <c r="G4509" s="2" t="n">
        <f>HYPERLINK("https://patentcenter.uspto.gov/applications/17334461","Patent Center")</f>
        <v>0.0</v>
      </c>
      <c r="H4509" s="2" t="n">
        <f>HYPERLINK("https://worldwide.espacenet.com/patent/search?q=US11181451","Espacenet")</f>
        <v>0.0</v>
      </c>
      <c r="I4509" s="2" t="n">
        <f>HYPERLINK("https://ppubs.uspto.gov/pubwebapp/external.html?q=11181451.pn.","USPTO")</f>
        <v>0.0</v>
      </c>
      <c r="J4509" s="2" t="n">
        <f>HYPERLINK("https://image-ppubs.uspto.gov/dirsearch-public/print/downloadPdf/11181451","USPTO PDF")</f>
        <v>0.0</v>
      </c>
      <c r="K4509" s="2" t="n">
        <f>HYPERLINK("https://sectors.patentforecast.com/pmd/US11181451","PMD")</f>
        <v>0.0</v>
      </c>
      <c r="L4509" s="2" t="n">
        <f>HYPERLINK("https://globaldossier.uspto.gov/result/patent/US/11181451/1","US11181451")</f>
        <v>0.0</v>
      </c>
      <c r="M4509" t="s">
        <v>8956</v>
      </c>
      <c r="N4509" t="s">
        <v>8090</v>
      </c>
      <c r="O4509" t="s">
        <v>8091</v>
      </c>
      <c r="P4509" t="s">
        <v>26666</v>
      </c>
      <c r="Q4509" s="3" t="n">
        <v>44344.0</v>
      </c>
      <c r="R4509" s="3" t="n">
        <v>44523.0</v>
      </c>
      <c r="S4509" s="3" t="n">
        <v>44538.18850060185</v>
      </c>
      <c r="T4509" s="3" t="n">
        <v>44543.707221909724</v>
      </c>
      <c r="U4509" t="s">
        <v>27350</v>
      </c>
      <c r="V4509" t="s">
        <v>27351</v>
      </c>
    </row>
    <row r="4510">
      <c r="A4510" t="s">
        <v>23557</v>
      </c>
      <c r="B4510" t="s">
        <v>27352</v>
      </c>
      <c r="C4510" t="s">
        <v>60</v>
      </c>
      <c r="D4510" t="s">
        <v>696</v>
      </c>
      <c r="E4510" t="s">
        <v>27353</v>
      </c>
      <c r="F4510" s="2" t="n">
        <f>HYPERLINK("https://patents.google.com/patent/US11180568","Google")</f>
        <v>0.0</v>
      </c>
      <c r="G4510" s="2" t="n">
        <f>HYPERLINK("https://patentcenter.uspto.gov/applications/16270761","Patent Center")</f>
        <v>0.0</v>
      </c>
      <c r="H4510" s="2" t="n">
        <f>HYPERLINK("https://worldwide.espacenet.com/patent/search?q=US11180568","Espacenet")</f>
        <v>0.0</v>
      </c>
      <c r="I4510" s="2" t="n">
        <f>HYPERLINK("https://ppubs.uspto.gov/pubwebapp/external.html?q=11180568.pn.","USPTO")</f>
        <v>0.0</v>
      </c>
      <c r="J4510" s="2" t="n">
        <f>HYPERLINK("https://image-ppubs.uspto.gov/dirsearch-public/print/downloadPdf/11180568","USPTO PDF")</f>
        <v>0.0</v>
      </c>
      <c r="K4510" s="2" t="n">
        <f>HYPERLINK("https://sectors.patentforecast.com/pmd/US11180568","PMD")</f>
        <v>0.0</v>
      </c>
      <c r="L4510" s="2" t="n">
        <f>HYPERLINK("https://globaldossier.uspto.gov/result/patent/US/11180568/1","US11180568")</f>
        <v>0.0</v>
      </c>
      <c r="M4510" t="s">
        <v>17709</v>
      </c>
      <c r="N4510" t="s">
        <v>385</v>
      </c>
      <c r="O4510" t="s">
        <v>386</v>
      </c>
      <c r="P4510" t="s">
        <v>27354</v>
      </c>
      <c r="Q4510" s="3" t="n">
        <v>43504.0</v>
      </c>
      <c r="R4510" s="3" t="n">
        <v>44523.0</v>
      </c>
      <c r="S4510" s="3" t="n">
        <v>44531.19213280093</v>
      </c>
      <c r="T4510" s="3" t="n">
        <v>44678.623324849534</v>
      </c>
      <c r="U4510" t="s">
        <v>27355</v>
      </c>
      <c r="V4510" t="s">
        <v>27356</v>
      </c>
    </row>
    <row r="4511">
      <c r="A4511" t="s">
        <v>23557</v>
      </c>
      <c r="B4511" t="s">
        <v>27357</v>
      </c>
      <c r="C4511" t="s">
        <v>132</v>
      </c>
      <c r="D4511" t="s">
        <v>133</v>
      </c>
      <c r="E4511" t="s">
        <v>27358</v>
      </c>
      <c r="F4511" s="2" t="n">
        <f>HYPERLINK("https://patents.google.com/patent/US11180534","Google")</f>
        <v>0.0</v>
      </c>
      <c r="G4511" s="2" t="n">
        <f>HYPERLINK("https://patentcenter.uspto.gov/applications/17339197","Patent Center")</f>
        <v>0.0</v>
      </c>
      <c r="H4511" s="2" t="n">
        <f>HYPERLINK("https://worldwide.espacenet.com/patent/search?q=US11180534","Espacenet")</f>
        <v>0.0</v>
      </c>
      <c r="I4511" s="2" t="n">
        <f>HYPERLINK("https://ppubs.uspto.gov/pubwebapp/external.html?q=11180534.pn.","USPTO")</f>
        <v>0.0</v>
      </c>
      <c r="J4511" s="2" t="n">
        <f>HYPERLINK("https://image-ppubs.uspto.gov/dirsearch-public/print/downloadPdf/11180534","USPTO PDF")</f>
        <v>0.0</v>
      </c>
      <c r="K4511" s="2" t="n">
        <f>HYPERLINK("https://sectors.patentforecast.com/pmd/US11180534","PMD")</f>
        <v>0.0</v>
      </c>
      <c r="L4511" s="2" t="n">
        <f>HYPERLINK("https://globaldossier.uspto.gov/result/patent/US/11180534/1","US11180534")</f>
        <v>0.0</v>
      </c>
      <c r="M4511" t="s">
        <v>27359</v>
      </c>
      <c r="N4511" t="s">
        <v>5976</v>
      </c>
      <c r="O4511" t="s">
        <v>5977</v>
      </c>
      <c r="P4511" t="s">
        <v>27360</v>
      </c>
      <c r="Q4511" s="3" t="n">
        <v>44351.0</v>
      </c>
      <c r="R4511" s="3" t="n">
        <v>44523.0</v>
      </c>
      <c r="S4511" s="3" t="n">
        <v>44538.18850060185</v>
      </c>
      <c r="T4511" s="3" t="n">
        <v>44543.70662222222</v>
      </c>
      <c r="U4511" t="s">
        <v>27361</v>
      </c>
      <c r="V4511" t="s">
        <v>27362</v>
      </c>
    </row>
    <row r="4512">
      <c r="A4512" t="s">
        <v>23557</v>
      </c>
      <c r="B4512" t="s">
        <v>27363</v>
      </c>
      <c r="C4512" t="s">
        <v>60</v>
      </c>
      <c r="D4512" t="s">
        <v>61</v>
      </c>
      <c r="E4512" t="s">
        <v>27364</v>
      </c>
      <c r="F4512" s="2" t="n">
        <f>HYPERLINK("https://patents.google.com/patent/US11180491","Google")</f>
        <v>0.0</v>
      </c>
      <c r="G4512" s="2" t="n">
        <f>HYPERLINK("https://patentcenter.uspto.gov/applications/17067191","Patent Center")</f>
        <v>0.0</v>
      </c>
      <c r="H4512" s="2" t="n">
        <f>HYPERLINK("https://worldwide.espacenet.com/patent/search?q=US11180491","Espacenet")</f>
        <v>0.0</v>
      </c>
      <c r="I4512" s="2" t="n">
        <f>HYPERLINK("https://ppubs.uspto.gov/pubwebapp/external.html?q=11180491.pn.","USPTO")</f>
        <v>0.0</v>
      </c>
      <c r="J4512" s="2" t="n">
        <f>HYPERLINK("https://image-ppubs.uspto.gov/dirsearch-public/print/downloadPdf/11180491","USPTO PDF")</f>
        <v>0.0</v>
      </c>
      <c r="K4512" s="2" t="n">
        <f>HYPERLINK("https://sectors.patentforecast.com/pmd/US11180491","PMD")</f>
        <v>0.0</v>
      </c>
      <c r="L4512" s="2" t="n">
        <f>HYPERLINK("https://globaldossier.uspto.gov/result/patent/US/11180491/1","US11180491")</f>
        <v>0.0</v>
      </c>
      <c r="M4512" t="s">
        <v>15711</v>
      </c>
      <c r="N4512" t="s">
        <v>9252</v>
      </c>
      <c r="O4512" t="s">
        <v>9253</v>
      </c>
      <c r="P4512" t="s">
        <v>27365</v>
      </c>
      <c r="Q4512" s="3" t="n">
        <v>44113.0</v>
      </c>
      <c r="R4512" s="3" t="n">
        <v>44523.0</v>
      </c>
      <c r="S4512" s="3" t="n">
        <v>44531.18842917824</v>
      </c>
      <c r="T4512" s="3" t="n">
        <v>44543.711264861115</v>
      </c>
      <c r="U4512" t="s">
        <v>27366</v>
      </c>
      <c r="V4512" t="s">
        <v>27367</v>
      </c>
    </row>
    <row r="4513">
      <c r="A4513" t="s">
        <v>23557</v>
      </c>
      <c r="B4513" t="s">
        <v>27368</v>
      </c>
      <c r="C4513" t="s">
        <v>132</v>
      </c>
      <c r="D4513" t="s">
        <v>133</v>
      </c>
      <c r="E4513" t="s">
        <v>27369</v>
      </c>
      <c r="F4513" s="2" t="n">
        <f>HYPERLINK("https://patents.google.com/patent/US11179459","Google")</f>
        <v>0.0</v>
      </c>
      <c r="G4513" s="2" t="n">
        <f>HYPERLINK("https://patentcenter.uspto.gov/applications/17354470","Patent Center")</f>
        <v>0.0</v>
      </c>
      <c r="H4513" s="2" t="n">
        <f>HYPERLINK("https://worldwide.espacenet.com/patent/search?q=US11179459","Espacenet")</f>
        <v>0.0</v>
      </c>
      <c r="I4513" s="2" t="n">
        <f>HYPERLINK("https://ppubs.uspto.gov/pubwebapp/external.html?q=11179459.pn.","USPTO")</f>
        <v>0.0</v>
      </c>
      <c r="J4513" s="2" t="n">
        <f>HYPERLINK("https://image-ppubs.uspto.gov/dirsearch-public/print/downloadPdf/11179459","USPTO PDF")</f>
        <v>0.0</v>
      </c>
      <c r="K4513" s="2" t="n">
        <f>HYPERLINK("https://sectors.patentforecast.com/pmd/US11179459","PMD")</f>
        <v>0.0</v>
      </c>
      <c r="L4513" s="2" t="n">
        <f>HYPERLINK("https://globaldossier.uspto.gov/result/patent/US/11179459/1","US11179459")</f>
        <v>0.0</v>
      </c>
      <c r="M4513" t="s">
        <v>27370</v>
      </c>
      <c r="N4513" t="s">
        <v>27371</v>
      </c>
      <c r="O4513" t="s">
        <v>27372</v>
      </c>
      <c r="P4513" t="s">
        <v>27373</v>
      </c>
      <c r="Q4513" s="3" t="n">
        <v>44369.0</v>
      </c>
      <c r="R4513" s="3" t="n">
        <v>44523.0</v>
      </c>
      <c r="S4513" s="3" t="n">
        <v>44538.18850060185</v>
      </c>
      <c r="T4513" s="3" t="n">
        <v>44543.71037137732</v>
      </c>
      <c r="U4513" t="s">
        <v>27374</v>
      </c>
      <c r="V4513" t="s">
        <v>27375</v>
      </c>
    </row>
    <row r="4514">
      <c r="A4514" t="s">
        <v>23557</v>
      </c>
      <c r="B4514" t="s">
        <v>27376</v>
      </c>
      <c r="C4514" t="s">
        <v>60</v>
      </c>
      <c r="D4514" t="s">
        <v>61</v>
      </c>
      <c r="E4514" t="s">
        <v>27377</v>
      </c>
      <c r="F4514" s="2" t="n">
        <f>HYPERLINK("https://patents.google.com/patent/US11179415","Google")</f>
        <v>0.0</v>
      </c>
      <c r="G4514" s="2" t="n">
        <f>HYPERLINK("https://patentcenter.uspto.gov/applications/17127655","Patent Center")</f>
        <v>0.0</v>
      </c>
      <c r="H4514" s="2" t="n">
        <f>HYPERLINK("https://worldwide.espacenet.com/patent/search?q=US11179415","Espacenet")</f>
        <v>0.0</v>
      </c>
      <c r="I4514" s="2" t="n">
        <f>HYPERLINK("https://ppubs.uspto.gov/pubwebapp/external.html?q=11179415.pn.","USPTO")</f>
        <v>0.0</v>
      </c>
      <c r="J4514" s="2" t="n">
        <f>HYPERLINK("https://image-ppubs.uspto.gov/dirsearch-public/print/downloadPdf/11179415","USPTO PDF")</f>
        <v>0.0</v>
      </c>
      <c r="K4514" s="2" t="n">
        <f>HYPERLINK("https://sectors.patentforecast.com/pmd/US11179415","PMD")</f>
        <v>0.0</v>
      </c>
      <c r="L4514" s="2" t="n">
        <f>HYPERLINK("https://globaldossier.uspto.gov/result/patent/US/11179415/1","US11179415")</f>
        <v>0.0</v>
      </c>
      <c r="M4514" t="s">
        <v>27378</v>
      </c>
      <c r="N4514" t="s">
        <v>27379</v>
      </c>
      <c r="O4514" t="s">
        <v>27380</v>
      </c>
      <c r="P4514" t="s">
        <v>27381</v>
      </c>
      <c r="Q4514" s="3" t="n">
        <v>44183.0</v>
      </c>
      <c r="R4514" s="3" t="n">
        <v>44523.0</v>
      </c>
      <c r="S4514" s="3" t="n">
        <v>44538.18850060185</v>
      </c>
      <c r="T4514" s="3" t="n">
        <v>44543.708797569445</v>
      </c>
      <c r="U4514" t="s">
        <v>27382</v>
      </c>
      <c r="V4514" t="s">
        <v>27383</v>
      </c>
    </row>
    <row r="4515">
      <c r="A4515" t="s">
        <v>23557</v>
      </c>
      <c r="B4515" t="s">
        <v>27384</v>
      </c>
      <c r="C4515" t="s">
        <v>24</v>
      </c>
      <c r="D4515" t="s">
        <v>25</v>
      </c>
      <c r="E4515" t="s">
        <v>27385</v>
      </c>
      <c r="F4515" s="2" t="n">
        <f>HYPERLINK("https://patents.google.com/patent/US11179061","Google")</f>
        <v>0.0</v>
      </c>
      <c r="G4515" s="2" t="n">
        <f>HYPERLINK("https://patentcenter.uspto.gov/applications/16926701","Patent Center")</f>
        <v>0.0</v>
      </c>
      <c r="H4515" s="2" t="n">
        <f>HYPERLINK("https://worldwide.espacenet.com/patent/search?q=US11179061","Espacenet")</f>
        <v>0.0</v>
      </c>
      <c r="I4515" s="2" t="n">
        <f>HYPERLINK("https://ppubs.uspto.gov/pubwebapp/external.html?q=11179061.pn.","USPTO")</f>
        <v>0.0</v>
      </c>
      <c r="J4515" s="2" t="n">
        <f>HYPERLINK("https://image-ppubs.uspto.gov/dirsearch-public/print/downloadPdf/11179061","USPTO PDF")</f>
        <v>0.0</v>
      </c>
      <c r="K4515" s="2" t="n">
        <f>HYPERLINK("https://sectors.patentforecast.com/pmd/US11179061","PMD")</f>
        <v>0.0</v>
      </c>
      <c r="L4515" s="2" t="n">
        <f>HYPERLINK("https://globaldossier.uspto.gov/result/patent/US/11179061/1","US11179061")</f>
        <v>0.0</v>
      </c>
      <c r="M4515" t="s">
        <v>27386</v>
      </c>
      <c r="N4515" t="s">
        <v>3114</v>
      </c>
      <c r="O4515" t="s">
        <v>3115</v>
      </c>
      <c r="P4515" t="s">
        <v>27387</v>
      </c>
      <c r="Q4515" s="3" t="n">
        <v>44023.0</v>
      </c>
      <c r="R4515" s="3" t="n">
        <v>44523.0</v>
      </c>
      <c r="S4515" s="3" t="n">
        <v>44538.18850060185</v>
      </c>
      <c r="T4515" s="3" t="n">
        <v>44543.70758739583</v>
      </c>
      <c r="U4515" t="s">
        <v>27388</v>
      </c>
      <c r="V4515" t="s">
        <v>27389</v>
      </c>
    </row>
    <row r="4516">
      <c r="A4516" t="s">
        <v>23557</v>
      </c>
      <c r="B4516" t="s">
        <v>27390</v>
      </c>
      <c r="C4516" t="s">
        <v>24</v>
      </c>
      <c r="D4516" t="s">
        <v>69</v>
      </c>
      <c r="E4516" t="s">
        <v>27391</v>
      </c>
      <c r="F4516" s="2" t="n">
        <f>HYPERLINK("https://patents.google.com/patent/US11178923","Google")</f>
        <v>0.0</v>
      </c>
      <c r="G4516" s="2" t="n">
        <f>HYPERLINK("https://patentcenter.uspto.gov/applications/16870204","Patent Center")</f>
        <v>0.0</v>
      </c>
      <c r="H4516" s="2" t="n">
        <f>HYPERLINK("https://worldwide.espacenet.com/patent/search?q=US11178923","Espacenet")</f>
        <v>0.0</v>
      </c>
      <c r="I4516" s="2" t="n">
        <f>HYPERLINK("https://ppubs.uspto.gov/pubwebapp/external.html?q=11178923.pn.","USPTO")</f>
        <v>0.0</v>
      </c>
      <c r="J4516" s="2" t="n">
        <f>HYPERLINK("https://image-ppubs.uspto.gov/dirsearch-public/print/downloadPdf/11178923","USPTO PDF")</f>
        <v>0.0</v>
      </c>
      <c r="K4516" s="2" t="n">
        <f>HYPERLINK("https://sectors.patentforecast.com/pmd/US11178923","PMD")</f>
        <v>0.0</v>
      </c>
      <c r="L4516" s="2" t="n">
        <f>HYPERLINK("https://globaldossier.uspto.gov/result/patent/US/11178923/1","US11178923")</f>
        <v>0.0</v>
      </c>
      <c r="M4516" t="s">
        <v>10813</v>
      </c>
      <c r="N4516" t="s">
        <v>10814</v>
      </c>
      <c r="O4516" t="s">
        <v>10815</v>
      </c>
      <c r="P4516" t="s">
        <v>27392</v>
      </c>
      <c r="Q4516" s="3" t="n">
        <v>43959.0</v>
      </c>
      <c r="R4516" s="3" t="n">
        <v>44523.0</v>
      </c>
      <c r="S4516" s="3" t="n">
        <v>44538.18850060185</v>
      </c>
      <c r="T4516" s="3" t="n">
        <v>44672.317085648145</v>
      </c>
      <c r="U4516" t="s">
        <v>27393</v>
      </c>
      <c r="V4516" t="s">
        <v>27394</v>
      </c>
    </row>
    <row r="4517">
      <c r="A4517" t="s">
        <v>23557</v>
      </c>
      <c r="B4517" t="s">
        <v>27395</v>
      </c>
      <c r="C4517" t="s">
        <v>24</v>
      </c>
      <c r="D4517" t="s">
        <v>51</v>
      </c>
      <c r="E4517" t="s">
        <v>27396</v>
      </c>
      <c r="F4517" s="2" t="n">
        <f>HYPERLINK("https://patents.google.com/patent/US11175293","Google")</f>
        <v>0.0</v>
      </c>
      <c r="G4517" s="2" t="n">
        <f>HYPERLINK("https://patentcenter.uspto.gov/applications/17140321","Patent Center")</f>
        <v>0.0</v>
      </c>
      <c r="H4517" s="2" t="n">
        <f>HYPERLINK("https://worldwide.espacenet.com/patent/search?q=US11175293","Espacenet")</f>
        <v>0.0</v>
      </c>
      <c r="I4517" s="2" t="n">
        <f>HYPERLINK("https://ppubs.uspto.gov/pubwebapp/external.html?q=11175293.pn.","USPTO")</f>
        <v>0.0</v>
      </c>
      <c r="J4517" s="2" t="n">
        <f>HYPERLINK("https://image-ppubs.uspto.gov/dirsearch-public/print/downloadPdf/11175293","USPTO PDF")</f>
        <v>0.0</v>
      </c>
      <c r="K4517" s="2" t="n">
        <f>HYPERLINK("https://sectors.patentforecast.com/pmd/US11175293","PMD")</f>
        <v>0.0</v>
      </c>
      <c r="L4517" s="2" t="n">
        <f>HYPERLINK("https://globaldossier.uspto.gov/result/patent/US/11175293/1","US11175293")</f>
        <v>0.0</v>
      </c>
      <c r="M4517" t="s">
        <v>27397</v>
      </c>
      <c r="N4517" t="s">
        <v>54</v>
      </c>
      <c r="O4517" t="s">
        <v>55</v>
      </c>
      <c r="P4517" t="s">
        <v>27398</v>
      </c>
      <c r="Q4517" s="3" t="n">
        <v>44200.0</v>
      </c>
      <c r="R4517" s="3" t="n">
        <v>44516.0</v>
      </c>
      <c r="S4517" s="3" t="n">
        <v>44524.187857627316</v>
      </c>
      <c r="T4517" s="3" t="n">
        <v>44524.3652218287</v>
      </c>
      <c r="U4517" t="s">
        <v>27399</v>
      </c>
      <c r="V4517" t="s">
        <v>27400</v>
      </c>
    </row>
    <row r="4518">
      <c r="A4518" t="s">
        <v>23557</v>
      </c>
      <c r="B4518" t="s">
        <v>27401</v>
      </c>
      <c r="C4518" t="s">
        <v>24</v>
      </c>
      <c r="D4518" t="s">
        <v>34</v>
      </c>
      <c r="E4518" t="s">
        <v>27338</v>
      </c>
      <c r="F4518" s="2" t="n">
        <f>HYPERLINK("https://patents.google.com/patent/US11175255","Google")</f>
        <v>0.0</v>
      </c>
      <c r="G4518" s="2" t="n">
        <f>HYPERLINK("https://patentcenter.uspto.gov/applications/17207649","Patent Center")</f>
        <v>0.0</v>
      </c>
      <c r="H4518" s="2" t="n">
        <f>HYPERLINK("https://worldwide.espacenet.com/patent/search?q=US11175255","Espacenet")</f>
        <v>0.0</v>
      </c>
      <c r="I4518" s="2" t="n">
        <f>HYPERLINK("https://ppubs.uspto.gov/pubwebapp/external.html?q=11175255.pn.","USPTO")</f>
        <v>0.0</v>
      </c>
      <c r="J4518" s="2" t="n">
        <f>HYPERLINK("https://image-ppubs.uspto.gov/dirsearch-public/print/downloadPdf/11175255","USPTO PDF")</f>
        <v>0.0</v>
      </c>
      <c r="K4518" s="2" t="n">
        <f>HYPERLINK("https://sectors.patentforecast.com/pmd/US11175255","PMD")</f>
        <v>0.0</v>
      </c>
      <c r="L4518" s="2" t="n">
        <f>HYPERLINK("https://globaldossier.uspto.gov/result/patent/US/11175255/1","US11175255")</f>
        <v>0.0</v>
      </c>
      <c r="M4518" t="s">
        <v>14904</v>
      </c>
      <c r="N4518" t="s">
        <v>14905</v>
      </c>
      <c r="O4518" t="s">
        <v>14906</v>
      </c>
      <c r="P4518" t="s">
        <v>27402</v>
      </c>
      <c r="Q4518" s="3" t="n">
        <v>44275.0</v>
      </c>
      <c r="R4518" s="3" t="n">
        <v>44516.0</v>
      </c>
      <c r="S4518" s="3" t="n">
        <v>44517.18842318287</v>
      </c>
      <c r="T4518" s="3" t="n">
        <v>44518.424092395835</v>
      </c>
      <c r="U4518" t="s">
        <v>27340</v>
      </c>
      <c r="V4518" t="s">
        <v>27403</v>
      </c>
    </row>
    <row r="4519">
      <c r="A4519" t="s">
        <v>23557</v>
      </c>
      <c r="B4519" t="s">
        <v>27404</v>
      </c>
      <c r="C4519" t="s">
        <v>60</v>
      </c>
      <c r="D4519" t="s">
        <v>77</v>
      </c>
      <c r="E4519" t="s">
        <v>27405</v>
      </c>
      <c r="F4519" s="2" t="n">
        <f>HYPERLINK("https://patents.google.com/patent/US11174307","Google")</f>
        <v>0.0</v>
      </c>
      <c r="G4519" s="2" t="n">
        <f>HYPERLINK("https://patentcenter.uspto.gov/applications/16856407","Patent Center")</f>
        <v>0.0</v>
      </c>
      <c r="H4519" s="2" t="n">
        <f>HYPERLINK("https://worldwide.espacenet.com/patent/search?q=US11174307","Espacenet")</f>
        <v>0.0</v>
      </c>
      <c r="I4519" s="2" t="n">
        <f>HYPERLINK("https://ppubs.uspto.gov/pubwebapp/external.html?q=11174307.pn.","USPTO")</f>
        <v>0.0</v>
      </c>
      <c r="J4519" s="2" t="n">
        <f>HYPERLINK("https://image-ppubs.uspto.gov/dirsearch-public/print/downloadPdf/11174307","USPTO PDF")</f>
        <v>0.0</v>
      </c>
      <c r="K4519" s="2" t="n">
        <f>HYPERLINK("https://sectors.patentforecast.com/pmd/US11174307","PMD")</f>
        <v>0.0</v>
      </c>
      <c r="L4519" s="2" t="n">
        <f>HYPERLINK("https://globaldossier.uspto.gov/result/patent/US/11174307/1","US11174307")</f>
        <v>0.0</v>
      </c>
      <c r="M4519" t="s">
        <v>16355</v>
      </c>
      <c r="N4519" t="s">
        <v>238</v>
      </c>
      <c r="O4519" t="s">
        <v>239</v>
      </c>
      <c r="P4519" t="s">
        <v>27406</v>
      </c>
      <c r="Q4519" s="3" t="n">
        <v>43944.0</v>
      </c>
      <c r="R4519" s="3" t="n">
        <v>44516.0</v>
      </c>
      <c r="S4519" s="3" t="n">
        <v>44517.18842318287</v>
      </c>
      <c r="T4519" s="3" t="n">
        <v>44518.426607581016</v>
      </c>
      <c r="U4519" t="s">
        <v>27407</v>
      </c>
      <c r="V4519" t="s">
        <v>27408</v>
      </c>
    </row>
    <row r="4520">
      <c r="A4520" t="s">
        <v>23557</v>
      </c>
      <c r="B4520" t="s">
        <v>27409</v>
      </c>
      <c r="C4520" t="s">
        <v>60</v>
      </c>
      <c r="D4520" t="s">
        <v>61</v>
      </c>
      <c r="E4520" t="s">
        <v>26289</v>
      </c>
      <c r="F4520" s="2" t="n">
        <f>HYPERLINK("https://patents.google.com/patent/US11174231","Google")</f>
        <v>0.0</v>
      </c>
      <c r="G4520" s="2" t="n">
        <f>HYPERLINK("https://patentcenter.uspto.gov/applications/17322221","Patent Center")</f>
        <v>0.0</v>
      </c>
      <c r="H4520" s="2" t="n">
        <f>HYPERLINK("https://worldwide.espacenet.com/patent/search?q=US11174231","Espacenet")</f>
        <v>0.0</v>
      </c>
      <c r="I4520" s="2" t="n">
        <f>HYPERLINK("https://ppubs.uspto.gov/pubwebapp/external.html?q=11174231.pn.","USPTO")</f>
        <v>0.0</v>
      </c>
      <c r="J4520" s="2" t="n">
        <f>HYPERLINK("https://image-ppubs.uspto.gov/dirsearch-public/print/downloadPdf/11174231","USPTO PDF")</f>
        <v>0.0</v>
      </c>
      <c r="K4520" s="2" t="n">
        <f>HYPERLINK("https://sectors.patentforecast.com/pmd/US11174231","PMD")</f>
        <v>0.0</v>
      </c>
      <c r="L4520" s="2" t="n">
        <f>HYPERLINK("https://globaldossier.uspto.gov/result/patent/US/11174231/1","US11174231")</f>
        <v>0.0</v>
      </c>
      <c r="M4520" t="s">
        <v>27410</v>
      </c>
      <c r="N4520" t="s">
        <v>223</v>
      </c>
      <c r="O4520" t="s">
        <v>224</v>
      </c>
      <c r="P4520" t="s">
        <v>26290</v>
      </c>
      <c r="Q4520" s="3" t="n">
        <v>44333.0</v>
      </c>
      <c r="R4520" s="3" t="n">
        <v>44516.0</v>
      </c>
      <c r="S4520" s="3" t="n">
        <v>44524.187857627316</v>
      </c>
      <c r="T4520" s="3" t="n">
        <v>44524.37792912037</v>
      </c>
      <c r="U4520" t="s">
        <v>27411</v>
      </c>
      <c r="V4520" t="s">
        <v>27412</v>
      </c>
    </row>
    <row r="4521">
      <c r="A4521" t="s">
        <v>23557</v>
      </c>
      <c r="B4521" t="s">
        <v>27413</v>
      </c>
      <c r="C4521" t="s">
        <v>24</v>
      </c>
      <c r="D4521" t="s">
        <v>25</v>
      </c>
      <c r="E4521" t="s">
        <v>27414</v>
      </c>
      <c r="F4521" s="2" t="n">
        <f>HYPERLINK("https://patents.google.com/patent/US11172339","Google")</f>
        <v>0.0</v>
      </c>
      <c r="G4521" s="2" t="n">
        <f>HYPERLINK("https://patentcenter.uspto.gov/applications/16926702","Patent Center")</f>
        <v>0.0</v>
      </c>
      <c r="H4521" s="2" t="n">
        <f>HYPERLINK("https://worldwide.espacenet.com/patent/search?q=US11172339","Espacenet")</f>
        <v>0.0</v>
      </c>
      <c r="I4521" s="2" t="n">
        <f>HYPERLINK("https://ppubs.uspto.gov/pubwebapp/external.html?q=11172339.pn.","USPTO")</f>
        <v>0.0</v>
      </c>
      <c r="J4521" s="2" t="n">
        <f>HYPERLINK("https://image-ppubs.uspto.gov/dirsearch-public/print/downloadPdf/11172339","USPTO PDF")</f>
        <v>0.0</v>
      </c>
      <c r="K4521" s="2" t="n">
        <f>HYPERLINK("https://sectors.patentforecast.com/pmd/US11172339","PMD")</f>
        <v>0.0</v>
      </c>
      <c r="L4521" s="2" t="n">
        <f>HYPERLINK("https://globaldossier.uspto.gov/result/patent/US/11172339/1","US11172339")</f>
        <v>0.0</v>
      </c>
      <c r="M4521" t="s">
        <v>27415</v>
      </c>
      <c r="N4521" t="s">
        <v>3114</v>
      </c>
      <c r="O4521" t="s">
        <v>3115</v>
      </c>
      <c r="P4521" t="s">
        <v>27387</v>
      </c>
      <c r="Q4521" s="3" t="n">
        <v>44023.0</v>
      </c>
      <c r="R4521" s="3" t="n">
        <v>44509.0</v>
      </c>
      <c r="S4521" s="3" t="n">
        <v>44517.18842318287</v>
      </c>
      <c r="T4521" s="3" t="n">
        <v>44518.42266956018</v>
      </c>
      <c r="U4521" t="s">
        <v>27416</v>
      </c>
      <c r="V4521" t="s">
        <v>27417</v>
      </c>
    </row>
    <row r="4522">
      <c r="A4522" t="s">
        <v>23557</v>
      </c>
      <c r="B4522" t="s">
        <v>27418</v>
      </c>
      <c r="C4522" t="s">
        <v>24</v>
      </c>
      <c r="D4522" t="s">
        <v>204</v>
      </c>
      <c r="E4522" t="s">
        <v>27419</v>
      </c>
      <c r="F4522" s="2" t="n">
        <f>HYPERLINK("https://patents.google.com/patent/US11170894","Google")</f>
        <v>0.0</v>
      </c>
      <c r="G4522" s="2" t="n">
        <f>HYPERLINK("https://patentcenter.uspto.gov/applications/16838156","Patent Center")</f>
        <v>0.0</v>
      </c>
      <c r="H4522" s="2" t="n">
        <f>HYPERLINK("https://worldwide.espacenet.com/patent/search?q=US11170894","Espacenet")</f>
        <v>0.0</v>
      </c>
      <c r="I4522" s="2" t="n">
        <f>HYPERLINK("https://ppubs.uspto.gov/pubwebapp/external.html?q=11170894.pn.","USPTO")</f>
        <v>0.0</v>
      </c>
      <c r="J4522" s="2" t="n">
        <f>HYPERLINK("https://image-ppubs.uspto.gov/dirsearch-public/print/downloadPdf/11170894","USPTO PDF")</f>
        <v>0.0</v>
      </c>
      <c r="K4522" s="2" t="n">
        <f>HYPERLINK("https://sectors.patentforecast.com/pmd/US11170894","PMD")</f>
        <v>0.0</v>
      </c>
      <c r="L4522" s="2" t="n">
        <f>HYPERLINK("https://globaldossier.uspto.gov/result/patent/US/11170894/1","US11170894")</f>
        <v>0.0</v>
      </c>
      <c r="M4522" t="s">
        <v>27420</v>
      </c>
      <c r="N4522" t="s">
        <v>27421</v>
      </c>
      <c r="O4522" t="s">
        <v>27422</v>
      </c>
      <c r="P4522" t="s">
        <v>27423</v>
      </c>
      <c r="Q4522" s="3" t="n">
        <v>43923.0</v>
      </c>
      <c r="R4522" s="3" t="n">
        <v>44509.0</v>
      </c>
      <c r="S4522" s="3" t="n">
        <v>44517.18842318287</v>
      </c>
      <c r="T4522" s="3" t="n">
        <v>44518.42358862268</v>
      </c>
      <c r="U4522" t="s">
        <v>27424</v>
      </c>
      <c r="V4522" t="s">
        <v>27425</v>
      </c>
    </row>
    <row r="4523">
      <c r="A4523" t="s">
        <v>23557</v>
      </c>
      <c r="B4523" t="s">
        <v>27426</v>
      </c>
      <c r="C4523" t="s">
        <v>60</v>
      </c>
      <c r="D4523" t="s">
        <v>77</v>
      </c>
      <c r="E4523" t="s">
        <v>27427</v>
      </c>
      <c r="F4523" s="2" t="n">
        <f>HYPERLINK("https://patents.google.com/patent/US11168128","Google")</f>
        <v>0.0</v>
      </c>
      <c r="G4523" s="2" t="n">
        <f>HYPERLINK("https://patentcenter.uspto.gov/applications/17185340","Patent Center")</f>
        <v>0.0</v>
      </c>
      <c r="H4523" s="2" t="n">
        <f>HYPERLINK("https://worldwide.espacenet.com/patent/search?q=US11168128","Espacenet")</f>
        <v>0.0</v>
      </c>
      <c r="I4523" s="2" t="n">
        <f>HYPERLINK("https://ppubs.uspto.gov/pubwebapp/external.html?q=11168128.pn.","USPTO")</f>
        <v>0.0</v>
      </c>
      <c r="J4523" s="2" t="n">
        <f>HYPERLINK("https://image-ppubs.uspto.gov/dirsearch-public/print/downloadPdf/11168128","USPTO PDF")</f>
        <v>0.0</v>
      </c>
      <c r="K4523" s="2" t="n">
        <f>HYPERLINK("https://sectors.patentforecast.com/pmd/US11168128","PMD")</f>
        <v>0.0</v>
      </c>
      <c r="L4523" s="2" t="n">
        <f>HYPERLINK("https://globaldossier.uspto.gov/result/patent/US/11168128/1","US11168128")</f>
        <v>0.0</v>
      </c>
      <c r="M4523" t="s">
        <v>14437</v>
      </c>
      <c r="N4523" t="s">
        <v>1633</v>
      </c>
      <c r="O4523" t="s">
        <v>1634</v>
      </c>
      <c r="P4523" t="s">
        <v>27428</v>
      </c>
      <c r="Q4523" s="3" t="n">
        <v>44252.0</v>
      </c>
      <c r="R4523" s="3" t="n">
        <v>44509.0</v>
      </c>
      <c r="S4523" s="3" t="n">
        <v>44510.18900076389</v>
      </c>
      <c r="T4523" s="3" t="n">
        <v>44518.358903402775</v>
      </c>
      <c r="U4523" t="s">
        <v>27429</v>
      </c>
      <c r="V4523" t="s">
        <v>27430</v>
      </c>
    </row>
    <row r="4524">
      <c r="A4524" t="s">
        <v>23557</v>
      </c>
      <c r="B4524" t="s">
        <v>27431</v>
      </c>
      <c r="C4524" t="s">
        <v>60</v>
      </c>
      <c r="D4524" t="s">
        <v>2262</v>
      </c>
      <c r="E4524" t="s">
        <v>27432</v>
      </c>
      <c r="F4524" s="2" t="n">
        <f>HYPERLINK("https://patents.google.com/patent/US11166999","Google")</f>
        <v>0.0</v>
      </c>
      <c r="G4524" s="2" t="n">
        <f>HYPERLINK("https://patentcenter.uspto.gov/applications/16996153","Patent Center")</f>
        <v>0.0</v>
      </c>
      <c r="H4524" s="2" t="n">
        <f>HYPERLINK("https://worldwide.espacenet.com/patent/search?q=US11166999","Espacenet")</f>
        <v>0.0</v>
      </c>
      <c r="I4524" s="2" t="n">
        <f>HYPERLINK("https://ppubs.uspto.gov/pubwebapp/external.html?q=11166999.pn.","USPTO")</f>
        <v>0.0</v>
      </c>
      <c r="J4524" s="2" t="n">
        <f>HYPERLINK("https://image-ppubs.uspto.gov/dirsearch-public/print/downloadPdf/11166999","USPTO PDF")</f>
        <v>0.0</v>
      </c>
      <c r="K4524" s="2" t="n">
        <f>HYPERLINK("https://sectors.patentforecast.com/pmd/US11166999","PMD")</f>
        <v>0.0</v>
      </c>
      <c r="L4524" s="2" t="n">
        <f>HYPERLINK("https://globaldossier.uspto.gov/result/patent/US/11166999/1","US11166999")</f>
        <v>0.0</v>
      </c>
      <c r="M4524" t="s">
        <v>27433</v>
      </c>
      <c r="N4524" t="s">
        <v>5976</v>
      </c>
      <c r="O4524" t="s">
        <v>5977</v>
      </c>
      <c r="P4524" t="s">
        <v>27434</v>
      </c>
      <c r="Q4524" s="3" t="n">
        <v>44061.0</v>
      </c>
      <c r="R4524" s="3" t="n">
        <v>44509.0</v>
      </c>
      <c r="S4524" s="3" t="n">
        <v>44517.18842318287</v>
      </c>
      <c r="T4524" s="3" t="n">
        <v>44518.38979642361</v>
      </c>
      <c r="U4524" t="s">
        <v>27435</v>
      </c>
      <c r="V4524" t="s">
        <v>27436</v>
      </c>
    </row>
    <row r="4525">
      <c r="A4525" t="s">
        <v>23557</v>
      </c>
      <c r="B4525" t="s">
        <v>27437</v>
      </c>
      <c r="C4525" t="s">
        <v>60</v>
      </c>
      <c r="D4525" t="s">
        <v>61</v>
      </c>
      <c r="E4525" t="s">
        <v>27438</v>
      </c>
      <c r="F4525" s="2" t="n">
        <f>HYPERLINK("https://patents.google.com/patent/US11166971","Google")</f>
        <v>0.0</v>
      </c>
      <c r="G4525" s="2" t="n">
        <f>HYPERLINK("https://patentcenter.uspto.gov/applications/17126715","Patent Center")</f>
        <v>0.0</v>
      </c>
      <c r="H4525" s="2" t="n">
        <f>HYPERLINK("https://worldwide.espacenet.com/patent/search?q=US11166971","Espacenet")</f>
        <v>0.0</v>
      </c>
      <c r="I4525" s="2" t="n">
        <f>HYPERLINK("https://ppubs.uspto.gov/pubwebapp/external.html?q=11166971.pn.","USPTO")</f>
        <v>0.0</v>
      </c>
      <c r="J4525" s="2" t="n">
        <f>HYPERLINK("https://image-ppubs.uspto.gov/dirsearch-public/print/downloadPdf/11166971","USPTO PDF")</f>
        <v>0.0</v>
      </c>
      <c r="K4525" s="2" t="n">
        <f>HYPERLINK("https://sectors.patentforecast.com/pmd/US11166971","PMD")</f>
        <v>0.0</v>
      </c>
      <c r="L4525" s="2" t="n">
        <f>HYPERLINK("https://globaldossier.uspto.gov/result/patent/US/11166971/1","US11166971")</f>
        <v>0.0</v>
      </c>
      <c r="M4525" t="s">
        <v>13958</v>
      </c>
      <c r="N4525" t="s">
        <v>1806</v>
      </c>
      <c r="O4525" t="s">
        <v>1806</v>
      </c>
      <c r="P4525" t="s">
        <v>26627</v>
      </c>
      <c r="Q4525" s="3" t="n">
        <v>44183.0</v>
      </c>
      <c r="R4525" s="3" t="n">
        <v>44509.0</v>
      </c>
      <c r="S4525" s="3" t="n">
        <v>44510.18900076389</v>
      </c>
      <c r="T4525" s="3" t="n">
        <v>44518.36211976852</v>
      </c>
      <c r="U4525" t="s">
        <v>26929</v>
      </c>
      <c r="V4525" t="s">
        <v>27439</v>
      </c>
    </row>
    <row r="4526">
      <c r="A4526" t="s">
        <v>23557</v>
      </c>
      <c r="B4526" t="s">
        <v>27440</v>
      </c>
      <c r="C4526" t="s">
        <v>60</v>
      </c>
      <c r="D4526" t="s">
        <v>845</v>
      </c>
      <c r="E4526" t="s">
        <v>27441</v>
      </c>
      <c r="F4526" s="2" t="n">
        <f>HYPERLINK("https://patents.google.com/patent/US11164669","Google")</f>
        <v>0.0</v>
      </c>
      <c r="G4526" s="2" t="n">
        <f>HYPERLINK("https://patentcenter.uspto.gov/applications/17136102","Patent Center")</f>
        <v>0.0</v>
      </c>
      <c r="H4526" s="2" t="n">
        <f>HYPERLINK("https://worldwide.espacenet.com/patent/search?q=US11164669","Espacenet")</f>
        <v>0.0</v>
      </c>
      <c r="I4526" s="2" t="n">
        <f>HYPERLINK("https://ppubs.uspto.gov/pubwebapp/external.html?q=11164669.pn.","USPTO")</f>
        <v>0.0</v>
      </c>
      <c r="J4526" s="2" t="n">
        <f>HYPERLINK("https://image-ppubs.uspto.gov/dirsearch-public/print/downloadPdf/11164669","USPTO PDF")</f>
        <v>0.0</v>
      </c>
      <c r="K4526" s="2" t="n">
        <f>HYPERLINK("https://sectors.patentforecast.com/pmd/US11164669","PMD")</f>
        <v>0.0</v>
      </c>
      <c r="L4526" s="2" t="n">
        <f>HYPERLINK("https://globaldossier.uspto.gov/result/patent/US/11164669/1","US11164669")</f>
        <v>0.0</v>
      </c>
      <c r="M4526" t="s">
        <v>27442</v>
      </c>
      <c r="N4526" t="s">
        <v>880</v>
      </c>
      <c r="O4526" t="s">
        <v>881</v>
      </c>
      <c r="P4526" t="s">
        <v>26650</v>
      </c>
      <c r="Q4526" s="3" t="n">
        <v>44194.0</v>
      </c>
      <c r="R4526" s="3" t="n">
        <v>44502.0</v>
      </c>
      <c r="S4526" s="3" t="n">
        <v>44510.18900076389</v>
      </c>
      <c r="T4526" s="3" t="n">
        <v>44518.36565519676</v>
      </c>
      <c r="U4526" t="s">
        <v>27443</v>
      </c>
      <c r="V4526" t="s">
        <v>27444</v>
      </c>
    </row>
    <row r="4527">
      <c r="A4527" t="s">
        <v>23557</v>
      </c>
      <c r="B4527" t="s">
        <v>27445</v>
      </c>
      <c r="C4527" t="s">
        <v>24</v>
      </c>
      <c r="D4527" t="s">
        <v>204</v>
      </c>
      <c r="E4527" t="s">
        <v>27446</v>
      </c>
      <c r="F4527" s="2" t="n">
        <f>HYPERLINK("https://patents.google.com/patent/US11164441","Google")</f>
        <v>0.0</v>
      </c>
      <c r="G4527" s="2" t="n">
        <f>HYPERLINK("https://patentcenter.uspto.gov/applications/17301528","Patent Center")</f>
        <v>0.0</v>
      </c>
      <c r="H4527" s="2" t="n">
        <f>HYPERLINK("https://worldwide.espacenet.com/patent/search?q=US11164441","Espacenet")</f>
        <v>0.0</v>
      </c>
      <c r="I4527" s="2" t="n">
        <f>HYPERLINK("https://ppubs.uspto.gov/pubwebapp/external.html?q=11164441.pn.","USPTO")</f>
        <v>0.0</v>
      </c>
      <c r="J4527" s="2" t="n">
        <f>HYPERLINK("https://image-ppubs.uspto.gov/dirsearch-public/print/downloadPdf/11164441","USPTO PDF")</f>
        <v>0.0</v>
      </c>
      <c r="K4527" s="2" t="n">
        <f>HYPERLINK("https://sectors.patentforecast.com/pmd/US11164441","PMD")</f>
        <v>0.0</v>
      </c>
      <c r="L4527" s="2" t="n">
        <f>HYPERLINK("https://globaldossier.uspto.gov/result/patent/US/11164441/1","US11164441")</f>
        <v>0.0</v>
      </c>
      <c r="M4527" t="s">
        <v>27447</v>
      </c>
      <c r="N4527" t="s">
        <v>27448</v>
      </c>
      <c r="O4527" t="s">
        <v>27449</v>
      </c>
      <c r="P4527" t="s">
        <v>27450</v>
      </c>
      <c r="Q4527" s="3" t="n">
        <v>44292.0</v>
      </c>
      <c r="R4527" s="3" t="n">
        <v>44502.0</v>
      </c>
      <c r="S4527" s="3" t="n">
        <v>44510.18900076389</v>
      </c>
      <c r="T4527" s="3" t="n">
        <v>44518.35690327546</v>
      </c>
      <c r="U4527" t="s">
        <v>27451</v>
      </c>
      <c r="V4527" t="s">
        <v>27452</v>
      </c>
    </row>
    <row r="4528">
      <c r="A4528" t="s">
        <v>23557</v>
      </c>
      <c r="B4528" t="s">
        <v>27453</v>
      </c>
      <c r="C4528" t="s">
        <v>132</v>
      </c>
      <c r="D4528" t="s">
        <v>1265</v>
      </c>
      <c r="E4528" t="s">
        <v>27454</v>
      </c>
      <c r="F4528" s="2" t="n">
        <f>HYPERLINK("https://patents.google.com/patent/US11160858","Google")</f>
        <v>0.0</v>
      </c>
      <c r="G4528" s="2" t="n">
        <f>HYPERLINK("https://patentcenter.uspto.gov/applications/15580764","Patent Center")</f>
        <v>0.0</v>
      </c>
      <c r="H4528" s="2" t="n">
        <f>HYPERLINK("https://worldwide.espacenet.com/patent/search?q=US11160858","Espacenet")</f>
        <v>0.0</v>
      </c>
      <c r="I4528" s="2" t="n">
        <f>HYPERLINK("https://ppubs.uspto.gov/pubwebapp/external.html?q=11160858.pn.","USPTO")</f>
        <v>0.0</v>
      </c>
      <c r="J4528" s="2" t="n">
        <f>HYPERLINK("https://image-ppubs.uspto.gov/dirsearch-public/print/downloadPdf/11160858","USPTO PDF")</f>
        <v>0.0</v>
      </c>
      <c r="K4528" s="2" t="n">
        <f>HYPERLINK("https://sectors.patentforecast.com/pmd/US11160858","PMD")</f>
        <v>0.0</v>
      </c>
      <c r="L4528" s="2" t="n">
        <f>HYPERLINK("https://globaldossier.uspto.gov/result/patent/US/11160858/1","US11160858")</f>
        <v>0.0</v>
      </c>
      <c r="M4528" t="s">
        <v>18281</v>
      </c>
      <c r="N4528" t="s">
        <v>6864</v>
      </c>
      <c r="O4528" t="s">
        <v>6864</v>
      </c>
      <c r="P4528" t="s">
        <v>27455</v>
      </c>
      <c r="Q4528" s="3" t="n">
        <v>42531.0</v>
      </c>
      <c r="R4528" s="3" t="n">
        <v>44502.0</v>
      </c>
      <c r="S4528" s="3" t="n">
        <v>44503.24270481482</v>
      </c>
      <c r="T4528" s="3" t="n">
        <v>44508.73680209491</v>
      </c>
      <c r="U4528" t="s">
        <v>27456</v>
      </c>
      <c r="V4528" t="s">
        <v>18284</v>
      </c>
    </row>
    <row r="4529">
      <c r="A4529" t="s">
        <v>23557</v>
      </c>
      <c r="B4529" t="s">
        <v>27457</v>
      </c>
      <c r="C4529" t="s">
        <v>60</v>
      </c>
      <c r="D4529" t="s">
        <v>61</v>
      </c>
      <c r="E4529" t="s">
        <v>27458</v>
      </c>
      <c r="F4529" s="2" t="n">
        <f>HYPERLINK("https://patents.google.com/patent/US11160814","Google")</f>
        <v>0.0</v>
      </c>
      <c r="G4529" s="2" t="n">
        <f>HYPERLINK("https://patentcenter.uspto.gov/applications/17194931","Patent Center")</f>
        <v>0.0</v>
      </c>
      <c r="H4529" s="2" t="n">
        <f>HYPERLINK("https://worldwide.espacenet.com/patent/search?q=US11160814","Espacenet")</f>
        <v>0.0</v>
      </c>
      <c r="I4529" s="2" t="n">
        <f>HYPERLINK("https://ppubs.uspto.gov/pubwebapp/external.html?q=11160814.pn.","USPTO")</f>
        <v>0.0</v>
      </c>
      <c r="J4529" s="2" t="n">
        <f>HYPERLINK("https://image-ppubs.uspto.gov/dirsearch-public/print/downloadPdf/11160814","USPTO PDF")</f>
        <v>0.0</v>
      </c>
      <c r="K4529" s="2" t="n">
        <f>HYPERLINK("https://sectors.patentforecast.com/pmd/US11160814","PMD")</f>
        <v>0.0</v>
      </c>
      <c r="L4529" s="2" t="n">
        <f>HYPERLINK("https://globaldossier.uspto.gov/result/patent/US/11160814/1","US11160814")</f>
        <v>0.0</v>
      </c>
      <c r="M4529" t="s">
        <v>10703</v>
      </c>
      <c r="N4529" t="s">
        <v>6038</v>
      </c>
      <c r="O4529" t="s">
        <v>6039</v>
      </c>
      <c r="P4529" t="s">
        <v>27459</v>
      </c>
      <c r="Q4529" s="3" t="n">
        <v>44263.0</v>
      </c>
      <c r="R4529" s="3" t="n">
        <v>44502.0</v>
      </c>
      <c r="S4529" s="3" t="n">
        <v>44510.18900076389</v>
      </c>
      <c r="T4529" s="3" t="n">
        <v>44518.36443105324</v>
      </c>
      <c r="U4529" t="s">
        <v>27460</v>
      </c>
      <c r="V4529" t="s">
        <v>27461</v>
      </c>
    </row>
    <row r="4530">
      <c r="A4530" t="s">
        <v>23557</v>
      </c>
      <c r="B4530" t="s">
        <v>27462</v>
      </c>
      <c r="C4530" t="s">
        <v>312</v>
      </c>
      <c r="D4530" t="s">
        <v>3202</v>
      </c>
      <c r="E4530" t="s">
        <v>24220</v>
      </c>
      <c r="F4530" s="2" t="n">
        <f>HYPERLINK("https://patents.google.com/patent/US11158429","Google")</f>
        <v>0.0</v>
      </c>
      <c r="G4530" s="2" t="n">
        <f>HYPERLINK("https://patentcenter.uspto.gov/applications/15952957","Patent Center")</f>
        <v>0.0</v>
      </c>
      <c r="H4530" s="2" t="n">
        <f>HYPERLINK("https://worldwide.espacenet.com/patent/search?q=US11158429","Espacenet")</f>
        <v>0.0</v>
      </c>
      <c r="I4530" s="2" t="n">
        <f>HYPERLINK("https://ppubs.uspto.gov/pubwebapp/external.html?q=11158429.pn.","USPTO")</f>
        <v>0.0</v>
      </c>
      <c r="J4530" s="2" t="n">
        <f>HYPERLINK("https://image-ppubs.uspto.gov/dirsearch-public/print/downloadPdf/11158429","USPTO PDF")</f>
        <v>0.0</v>
      </c>
      <c r="K4530" s="2" t="n">
        <f>HYPERLINK("https://sectors.patentforecast.com/pmd/US11158429","PMD")</f>
        <v>0.0</v>
      </c>
      <c r="L4530" s="2" t="n">
        <f>HYPERLINK("https://globaldossier.uspto.gov/result/patent/US/11158429/1","US11158429")</f>
        <v>0.0</v>
      </c>
      <c r="M4530" t="s">
        <v>18170</v>
      </c>
      <c r="N4530" t="s">
        <v>3621</v>
      </c>
      <c r="O4530" t="s">
        <v>3622</v>
      </c>
      <c r="P4530" t="s">
        <v>27463</v>
      </c>
      <c r="Q4530" s="3" t="n">
        <v>43203.0</v>
      </c>
      <c r="R4530" s="3" t="n">
        <v>44495.0</v>
      </c>
      <c r="S4530" s="3" t="n">
        <v>44510.18992665509</v>
      </c>
      <c r="T4530" s="3" t="n">
        <v>44518.367720243055</v>
      </c>
      <c r="U4530" t="s">
        <v>27314</v>
      </c>
      <c r="V4530" t="s">
        <v>18022</v>
      </c>
    </row>
    <row r="4531">
      <c r="A4531" t="s">
        <v>23557</v>
      </c>
      <c r="B4531" t="s">
        <v>27464</v>
      </c>
      <c r="C4531" t="s">
        <v>24</v>
      </c>
      <c r="D4531" t="s">
        <v>43</v>
      </c>
      <c r="E4531" t="s">
        <v>27465</v>
      </c>
      <c r="F4531" s="2" t="n">
        <f>HYPERLINK("https://patents.google.com/patent/US11158426","Google")</f>
        <v>0.0</v>
      </c>
      <c r="G4531" s="2" t="n">
        <f>HYPERLINK("https://patentcenter.uspto.gov/applications/16884043","Patent Center")</f>
        <v>0.0</v>
      </c>
      <c r="H4531" s="2" t="n">
        <f>HYPERLINK("https://worldwide.espacenet.com/patent/search?q=US11158426","Espacenet")</f>
        <v>0.0</v>
      </c>
      <c r="I4531" s="2" t="n">
        <f>HYPERLINK("https://ppubs.uspto.gov/pubwebapp/external.html?q=11158426.pn.","USPTO")</f>
        <v>0.0</v>
      </c>
      <c r="J4531" s="2" t="n">
        <f>HYPERLINK("https://image-ppubs.uspto.gov/dirsearch-public/print/downloadPdf/11158426","USPTO PDF")</f>
        <v>0.0</v>
      </c>
      <c r="K4531" s="2" t="n">
        <f>HYPERLINK("https://sectors.patentforecast.com/pmd/US11158426","PMD")</f>
        <v>0.0</v>
      </c>
      <c r="L4531" s="2" t="n">
        <f>HYPERLINK("https://globaldossier.uspto.gov/result/patent/US/11158426/1","US11158426")</f>
        <v>0.0</v>
      </c>
      <c r="M4531" t="s">
        <v>27466</v>
      </c>
      <c r="N4531" t="s">
        <v>7785</v>
      </c>
      <c r="O4531" t="s">
        <v>7786</v>
      </c>
      <c r="P4531" t="s">
        <v>27467</v>
      </c>
      <c r="Q4531" s="3" t="n">
        <v>43978.0</v>
      </c>
      <c r="R4531" s="3" t="n">
        <v>44495.0</v>
      </c>
      <c r="S4531" s="3" t="n">
        <v>44503.23773241898</v>
      </c>
      <c r="T4531" s="3" t="n">
        <v>44508.736571215275</v>
      </c>
      <c r="U4531" t="s">
        <v>27468</v>
      </c>
      <c r="V4531" t="s">
        <v>27469</v>
      </c>
    </row>
    <row r="4532">
      <c r="A4532" t="s">
        <v>23557</v>
      </c>
      <c r="B4532" t="s">
        <v>27470</v>
      </c>
      <c r="C4532" t="s">
        <v>24</v>
      </c>
      <c r="D4532" t="s">
        <v>51</v>
      </c>
      <c r="E4532" t="s">
        <v>27471</v>
      </c>
      <c r="F4532" s="2" t="n">
        <f>HYPERLINK("https://patents.google.com/patent/US11155887","Google")</f>
        <v>0.0</v>
      </c>
      <c r="G4532" s="2" t="n">
        <f>HYPERLINK("https://patentcenter.uspto.gov/applications/17221451","Patent Center")</f>
        <v>0.0</v>
      </c>
      <c r="H4532" s="2" t="n">
        <f>HYPERLINK("https://worldwide.espacenet.com/patent/search?q=US11155887","Espacenet")</f>
        <v>0.0</v>
      </c>
      <c r="I4532" s="2" t="n">
        <f>HYPERLINK("https://ppubs.uspto.gov/pubwebapp/external.html?q=11155887.pn.","USPTO")</f>
        <v>0.0</v>
      </c>
      <c r="J4532" s="2" t="n">
        <f>HYPERLINK("https://image-ppubs.uspto.gov/dirsearch-public/print/downloadPdf/11155887","USPTO PDF")</f>
        <v>0.0</v>
      </c>
      <c r="K4532" s="2" t="n">
        <f>HYPERLINK("https://sectors.patentforecast.com/pmd/US11155887","PMD")</f>
        <v>0.0</v>
      </c>
      <c r="L4532" s="2" t="n">
        <f>HYPERLINK("https://globaldossier.uspto.gov/result/patent/US/11155887/1","US11155887")</f>
        <v>0.0</v>
      </c>
      <c r="M4532" t="s">
        <v>14064</v>
      </c>
      <c r="N4532" t="s">
        <v>14065</v>
      </c>
      <c r="O4532" t="s">
        <v>14066</v>
      </c>
      <c r="P4532" t="s">
        <v>27472</v>
      </c>
      <c r="Q4532" s="3" t="n">
        <v>44288.0</v>
      </c>
      <c r="R4532" s="3" t="n">
        <v>44495.0</v>
      </c>
      <c r="S4532" s="3" t="n">
        <v>44503.23773241898</v>
      </c>
      <c r="T4532" s="3" t="n">
        <v>44508.73535084491</v>
      </c>
      <c r="U4532" t="s">
        <v>27473</v>
      </c>
      <c r="V4532" t="s">
        <v>27474</v>
      </c>
    </row>
    <row r="4533">
      <c r="A4533" t="s">
        <v>23557</v>
      </c>
      <c r="B4533" t="s">
        <v>27475</v>
      </c>
      <c r="C4533" t="s">
        <v>24</v>
      </c>
      <c r="D4533" t="s">
        <v>100</v>
      </c>
      <c r="E4533" t="s">
        <v>27476</v>
      </c>
      <c r="F4533" s="2" t="n">
        <f>HYPERLINK("https://patents.google.com/patent/US11154634","Google")</f>
        <v>0.0</v>
      </c>
      <c r="G4533" s="2" t="n">
        <f>HYPERLINK("https://patentcenter.uspto.gov/applications/17140060","Patent Center")</f>
        <v>0.0</v>
      </c>
      <c r="H4533" s="2" t="n">
        <f>HYPERLINK("https://worldwide.espacenet.com/patent/search?q=US11154634","Espacenet")</f>
        <v>0.0</v>
      </c>
      <c r="I4533" s="2" t="n">
        <f>HYPERLINK("https://ppubs.uspto.gov/pubwebapp/external.html?q=11154634.pn.","USPTO")</f>
        <v>0.0</v>
      </c>
      <c r="J4533" s="2" t="n">
        <f>HYPERLINK("https://image-ppubs.uspto.gov/dirsearch-public/print/downloadPdf/11154634","USPTO PDF")</f>
        <v>0.0</v>
      </c>
      <c r="K4533" s="2" t="n">
        <f>HYPERLINK("https://sectors.patentforecast.com/pmd/US11154634","PMD")</f>
        <v>0.0</v>
      </c>
      <c r="L4533" s="2" t="n">
        <f>HYPERLINK("https://globaldossier.uspto.gov/result/patent/US/11154634/1","US11154634")</f>
        <v>0.0</v>
      </c>
      <c r="M4533" t="s">
        <v>27477</v>
      </c>
      <c r="N4533" t="s">
        <v>27478</v>
      </c>
      <c r="O4533" t="s">
        <v>27479</v>
      </c>
      <c r="P4533" t="s">
        <v>27480</v>
      </c>
      <c r="Q4533" s="3" t="n">
        <v>44198.0</v>
      </c>
      <c r="R4533" s="3" t="n">
        <v>44495.0</v>
      </c>
      <c r="S4533" s="3" t="n">
        <v>44503.22951034722</v>
      </c>
      <c r="T4533" s="3" t="n">
        <v>44508.735868993055</v>
      </c>
      <c r="U4533" t="s">
        <v>27481</v>
      </c>
      <c r="V4533" t="s">
        <v>27482</v>
      </c>
    </row>
    <row r="4534">
      <c r="A4534" t="s">
        <v>23557</v>
      </c>
      <c r="B4534" t="s">
        <v>27483</v>
      </c>
      <c r="C4534" t="s">
        <v>132</v>
      </c>
      <c r="D4534" t="s">
        <v>133</v>
      </c>
      <c r="E4534" t="s">
        <v>27484</v>
      </c>
      <c r="F4534" s="2" t="n">
        <f>HYPERLINK("https://patents.google.com/patent/US11154612","Google")</f>
        <v>0.0</v>
      </c>
      <c r="G4534" s="2" t="n">
        <f>HYPERLINK("https://patentcenter.uspto.gov/applications/17230309","Patent Center")</f>
        <v>0.0</v>
      </c>
      <c r="H4534" s="2" t="n">
        <f>HYPERLINK("https://worldwide.espacenet.com/patent/search?q=US11154612","Espacenet")</f>
        <v>0.0</v>
      </c>
      <c r="I4534" s="2" t="n">
        <f>HYPERLINK("https://ppubs.uspto.gov/pubwebapp/external.html?q=11154612.pn.","USPTO")</f>
        <v>0.0</v>
      </c>
      <c r="J4534" s="2" t="n">
        <f>HYPERLINK("https://image-ppubs.uspto.gov/dirsearch-public/print/downloadPdf/11154612","USPTO PDF")</f>
        <v>0.0</v>
      </c>
      <c r="K4534" s="2" t="n">
        <f>HYPERLINK("https://sectors.patentforecast.com/pmd/US11154612","PMD")</f>
        <v>0.0</v>
      </c>
      <c r="L4534" s="2" t="n">
        <f>HYPERLINK("https://globaldossier.uspto.gov/result/patent/US/11154612/1","US11154612")</f>
        <v>0.0</v>
      </c>
      <c r="M4534" t="s">
        <v>14814</v>
      </c>
      <c r="N4534" t="s">
        <v>5964</v>
      </c>
      <c r="O4534" t="s">
        <v>5964</v>
      </c>
      <c r="P4534" t="s">
        <v>26204</v>
      </c>
      <c r="Q4534" s="3" t="n">
        <v>44300.0</v>
      </c>
      <c r="R4534" s="3" t="n">
        <v>44495.0</v>
      </c>
      <c r="S4534" s="3" t="n">
        <v>44503.239005474534</v>
      </c>
      <c r="T4534" s="3" t="n">
        <v>44508.73596164352</v>
      </c>
      <c r="U4534" t="s">
        <v>26205</v>
      </c>
      <c r="V4534" t="s">
        <v>26206</v>
      </c>
    </row>
    <row r="4535">
      <c r="A4535" t="s">
        <v>23557</v>
      </c>
      <c r="B4535" t="s">
        <v>27485</v>
      </c>
      <c r="C4535" t="s">
        <v>132</v>
      </c>
      <c r="D4535" t="s">
        <v>11423</v>
      </c>
      <c r="E4535" t="s">
        <v>27486</v>
      </c>
      <c r="F4535" s="2" t="n">
        <f>HYPERLINK("https://patents.google.com/patent/US11154604","Google")</f>
        <v>0.0</v>
      </c>
      <c r="G4535" s="2" t="n">
        <f>HYPERLINK("https://patentcenter.uspto.gov/applications/16267273","Patent Center")</f>
        <v>0.0</v>
      </c>
      <c r="H4535" s="2" t="n">
        <f>HYPERLINK("https://worldwide.espacenet.com/patent/search?q=US11154604","Espacenet")</f>
        <v>0.0</v>
      </c>
      <c r="I4535" s="2" t="n">
        <f>HYPERLINK("https://ppubs.uspto.gov/pubwebapp/external.html?q=11154604.pn.","USPTO")</f>
        <v>0.0</v>
      </c>
      <c r="J4535" s="2" t="n">
        <f>HYPERLINK("https://image-ppubs.uspto.gov/dirsearch-public/print/downloadPdf/11154604","USPTO PDF")</f>
        <v>0.0</v>
      </c>
      <c r="K4535" s="2" t="n">
        <f>HYPERLINK("https://sectors.patentforecast.com/pmd/US11154604","PMD")</f>
        <v>0.0</v>
      </c>
      <c r="L4535" s="2" t="n">
        <f>HYPERLINK("https://globaldossier.uspto.gov/result/patent/US/11154604/1","US11154604")</f>
        <v>0.0</v>
      </c>
      <c r="M4535" t="s">
        <v>27487</v>
      </c>
      <c r="N4535" t="s">
        <v>27488</v>
      </c>
      <c r="O4535" t="s">
        <v>27489</v>
      </c>
      <c r="P4535" t="s">
        <v>27490</v>
      </c>
      <c r="Q4535" s="3" t="n">
        <v>43500.0</v>
      </c>
      <c r="R4535" s="3" t="n">
        <v>44495.0</v>
      </c>
      <c r="S4535" s="3" t="n">
        <v>44503.241436041666</v>
      </c>
      <c r="T4535" s="3" t="n">
        <v>44508.737409375</v>
      </c>
      <c r="U4535" t="s">
        <v>27491</v>
      </c>
      <c r="V4535" t="s">
        <v>27492</v>
      </c>
    </row>
    <row r="4536">
      <c r="A4536" t="s">
        <v>23557</v>
      </c>
      <c r="B4536" t="s">
        <v>27493</v>
      </c>
      <c r="C4536" t="s">
        <v>60</v>
      </c>
      <c r="D4536" t="s">
        <v>61</v>
      </c>
      <c r="E4536" t="s">
        <v>27494</v>
      </c>
      <c r="F4536" s="2" t="n">
        <f>HYPERLINK("https://patents.google.com/patent/US11154531","Google")</f>
        <v>0.0</v>
      </c>
      <c r="G4536" s="2" t="n">
        <f>HYPERLINK("https://patentcenter.uspto.gov/applications/17014774","Patent Center")</f>
        <v>0.0</v>
      </c>
      <c r="H4536" s="2" t="n">
        <f>HYPERLINK("https://worldwide.espacenet.com/patent/search?q=US11154531","Espacenet")</f>
        <v>0.0</v>
      </c>
      <c r="I4536" s="2" t="n">
        <f>HYPERLINK("https://ppubs.uspto.gov/pubwebapp/external.html?q=11154531.pn.","USPTO")</f>
        <v>0.0</v>
      </c>
      <c r="J4536" s="2" t="n">
        <f>HYPERLINK("https://image-ppubs.uspto.gov/dirsearch-public/print/downloadPdf/11154531","USPTO PDF")</f>
        <v>0.0</v>
      </c>
      <c r="K4536" s="2" t="n">
        <f>HYPERLINK("https://sectors.patentforecast.com/pmd/US11154531","PMD")</f>
        <v>0.0</v>
      </c>
      <c r="L4536" s="2" t="n">
        <f>HYPERLINK("https://globaldossier.uspto.gov/result/patent/US/11154531/1","US11154531")</f>
        <v>0.0</v>
      </c>
      <c r="M4536" t="s">
        <v>14597</v>
      </c>
      <c r="N4536" t="s">
        <v>6022</v>
      </c>
      <c r="O4536" t="s">
        <v>6023</v>
      </c>
      <c r="P4536" t="s">
        <v>27495</v>
      </c>
      <c r="Q4536" s="3" t="n">
        <v>44082.0</v>
      </c>
      <c r="R4536" s="3" t="n">
        <v>44495.0</v>
      </c>
      <c r="S4536" s="3" t="n">
        <v>44503.23773241898</v>
      </c>
      <c r="T4536" s="3" t="n">
        <v>44508.7381294213</v>
      </c>
      <c r="U4536" t="s">
        <v>27496</v>
      </c>
      <c r="V4536" t="s">
        <v>27497</v>
      </c>
    </row>
    <row r="4537">
      <c r="A4537" t="s">
        <v>23557</v>
      </c>
      <c r="B4537" t="s">
        <v>27498</v>
      </c>
      <c r="C4537" t="s">
        <v>24</v>
      </c>
      <c r="D4537" t="s">
        <v>34</v>
      </c>
      <c r="E4537" t="s">
        <v>27499</v>
      </c>
      <c r="F4537" s="2" t="n">
        <f>HYPERLINK("https://patents.google.com/patent/US11154203","Google")</f>
        <v>0.0</v>
      </c>
      <c r="G4537" s="2" t="n">
        <f>HYPERLINK("https://patentcenter.uspto.gov/applications/17009655","Patent Center")</f>
        <v>0.0</v>
      </c>
      <c r="H4537" s="2" t="n">
        <f>HYPERLINK("https://worldwide.espacenet.com/patent/search?q=US11154203","Espacenet")</f>
        <v>0.0</v>
      </c>
      <c r="I4537" s="2" t="n">
        <f>HYPERLINK("https://ppubs.uspto.gov/pubwebapp/external.html?q=11154203.pn.","USPTO")</f>
        <v>0.0</v>
      </c>
      <c r="J4537" s="2" t="n">
        <f>HYPERLINK("https://image-ppubs.uspto.gov/dirsearch-public/print/downloadPdf/11154203","USPTO PDF")</f>
        <v>0.0</v>
      </c>
      <c r="K4537" s="2" t="n">
        <f>HYPERLINK("https://sectors.patentforecast.com/pmd/US11154203","PMD")</f>
        <v>0.0</v>
      </c>
      <c r="L4537" s="2" t="n">
        <f>HYPERLINK("https://globaldossier.uspto.gov/result/patent/US/11154203/1","US11154203")</f>
        <v>0.0</v>
      </c>
      <c r="M4537" t="s">
        <v>15941</v>
      </c>
      <c r="N4537" t="s">
        <v>14251</v>
      </c>
      <c r="O4537" t="s">
        <v>14252</v>
      </c>
      <c r="P4537" t="s">
        <v>27500</v>
      </c>
      <c r="Q4537" s="3" t="n">
        <v>44075.0</v>
      </c>
      <c r="R4537" s="3" t="n">
        <v>44495.0</v>
      </c>
      <c r="S4537" s="3" t="n">
        <v>44503.23773241898</v>
      </c>
      <c r="T4537" s="3" t="n">
        <v>44508.73627340278</v>
      </c>
      <c r="U4537" t="s">
        <v>27501</v>
      </c>
      <c r="V4537" t="s">
        <v>27502</v>
      </c>
    </row>
    <row r="4538">
      <c r="A4538" t="s">
        <v>23557</v>
      </c>
      <c r="B4538" t="s">
        <v>27503</v>
      </c>
      <c r="C4538" t="s">
        <v>24</v>
      </c>
      <c r="D4538" t="s">
        <v>43</v>
      </c>
      <c r="E4538" t="s">
        <v>27504</v>
      </c>
      <c r="F4538" s="2" t="n">
        <f>HYPERLINK("https://patents.google.com/patent/US11152124","Google")</f>
        <v>0.0</v>
      </c>
      <c r="G4538" s="2" t="n">
        <f>HYPERLINK("https://patentcenter.uspto.gov/applications/17195489","Patent Center")</f>
        <v>0.0</v>
      </c>
      <c r="H4538" s="2" t="n">
        <f>HYPERLINK("https://worldwide.espacenet.com/patent/search?q=US11152124","Espacenet")</f>
        <v>0.0</v>
      </c>
      <c r="I4538" s="2" t="n">
        <f>HYPERLINK("https://ppubs.uspto.gov/pubwebapp/external.html?q=11152124.pn.","USPTO")</f>
        <v>0.0</v>
      </c>
      <c r="J4538" s="2" t="n">
        <f>HYPERLINK("https://image-ppubs.uspto.gov/dirsearch-public/print/downloadPdf/11152124","USPTO PDF")</f>
        <v>0.0</v>
      </c>
      <c r="K4538" s="2" t="n">
        <f>HYPERLINK("https://sectors.patentforecast.com/pmd/US11152124","PMD")</f>
        <v>0.0</v>
      </c>
      <c r="L4538" s="2" t="n">
        <f>HYPERLINK("https://globaldossier.uspto.gov/result/patent/US/11152124/1","US11152124")</f>
        <v>0.0</v>
      </c>
      <c r="M4538" t="s">
        <v>14257</v>
      </c>
      <c r="N4538" t="s">
        <v>46</v>
      </c>
      <c r="O4538" t="s">
        <v>47</v>
      </c>
      <c r="P4538" t="s">
        <v>27505</v>
      </c>
      <c r="Q4538" s="3" t="n">
        <v>44263.0</v>
      </c>
      <c r="R4538" s="3" t="n">
        <v>44488.0</v>
      </c>
      <c r="S4538" s="3" t="n">
        <v>44489.25138356481</v>
      </c>
      <c r="T4538" s="3" t="n">
        <v>44489.414939201386</v>
      </c>
      <c r="U4538" t="s">
        <v>27506</v>
      </c>
      <c r="V4538" t="s">
        <v>27507</v>
      </c>
    </row>
    <row r="4539">
      <c r="A4539" t="s">
        <v>23557</v>
      </c>
      <c r="B4539" t="s">
        <v>27508</v>
      </c>
      <c r="C4539" t="s">
        <v>24</v>
      </c>
      <c r="D4539" t="s">
        <v>69</v>
      </c>
      <c r="E4539" t="s">
        <v>27509</v>
      </c>
      <c r="F4539" s="2" t="n">
        <f>HYPERLINK("https://patents.google.com/patent/US11151858","Google")</f>
        <v>0.0</v>
      </c>
      <c r="G4539" s="2" t="n">
        <f>HYPERLINK("https://patentcenter.uspto.gov/applications/16945893","Patent Center")</f>
        <v>0.0</v>
      </c>
      <c r="H4539" s="2" t="n">
        <f>HYPERLINK("https://worldwide.espacenet.com/patent/search?q=US11151858","Espacenet")</f>
        <v>0.0</v>
      </c>
      <c r="I4539" s="2" t="n">
        <f>HYPERLINK("https://ppubs.uspto.gov/pubwebapp/external.html?q=11151858.pn.","USPTO")</f>
        <v>0.0</v>
      </c>
      <c r="J4539" s="2" t="n">
        <f>HYPERLINK("https://image-ppubs.uspto.gov/dirsearch-public/print/downloadPdf/11151858","USPTO PDF")</f>
        <v>0.0</v>
      </c>
      <c r="K4539" s="2" t="n">
        <f>HYPERLINK("https://sectors.patentforecast.com/pmd/US11151858","PMD")</f>
        <v>0.0</v>
      </c>
      <c r="L4539" s="2" t="n">
        <f>HYPERLINK("https://globaldossier.uspto.gov/result/patent/US/11151858/1","US11151858")</f>
        <v>0.0</v>
      </c>
      <c r="M4539" t="s">
        <v>16126</v>
      </c>
      <c r="N4539" t="s">
        <v>16127</v>
      </c>
      <c r="O4539" t="s">
        <v>16128</v>
      </c>
      <c r="P4539" t="s">
        <v>27510</v>
      </c>
      <c r="Q4539" s="3" t="n">
        <v>44045.0</v>
      </c>
      <c r="R4539" s="3" t="n">
        <v>44488.0</v>
      </c>
      <c r="S4539" s="3" t="n">
        <v>44489.25138356481</v>
      </c>
      <c r="T4539" s="3" t="n">
        <v>44489.415678969905</v>
      </c>
      <c r="U4539" t="s">
        <v>27511</v>
      </c>
      <c r="V4539" t="s">
        <v>27512</v>
      </c>
    </row>
    <row r="4540">
      <c r="A4540" t="s">
        <v>23557</v>
      </c>
      <c r="B4540" t="s">
        <v>27513</v>
      </c>
      <c r="C4540" t="s">
        <v>24</v>
      </c>
      <c r="D4540" t="s">
        <v>43</v>
      </c>
      <c r="E4540" t="s">
        <v>27514</v>
      </c>
      <c r="F4540" s="2" t="n">
        <f>HYPERLINK("https://patents.google.com/patent/US11151820","Google")</f>
        <v>0.0</v>
      </c>
      <c r="G4540" s="2" t="n">
        <f>HYPERLINK("https://patentcenter.uspto.gov/applications/17235449","Patent Center")</f>
        <v>0.0</v>
      </c>
      <c r="H4540" s="2" t="n">
        <f>HYPERLINK("https://worldwide.espacenet.com/patent/search?q=US11151820","Espacenet")</f>
        <v>0.0</v>
      </c>
      <c r="I4540" s="2" t="n">
        <f>HYPERLINK("https://ppubs.uspto.gov/pubwebapp/external.html?q=11151820.pn.","USPTO")</f>
        <v>0.0</v>
      </c>
      <c r="J4540" s="2" t="n">
        <f>HYPERLINK("https://image-ppubs.uspto.gov/dirsearch-public/print/downloadPdf/11151820","USPTO PDF")</f>
        <v>0.0</v>
      </c>
      <c r="K4540" s="2" t="n">
        <f>HYPERLINK("https://sectors.patentforecast.com/pmd/US11151820","PMD")</f>
        <v>0.0</v>
      </c>
      <c r="L4540" s="2" t="n">
        <f>HYPERLINK("https://globaldossier.uspto.gov/result/patent/US/11151820/1","US11151820")</f>
        <v>0.0</v>
      </c>
      <c r="M4540" t="s">
        <v>11802</v>
      </c>
      <c r="N4540" t="s">
        <v>911</v>
      </c>
      <c r="O4540" t="s">
        <v>912</v>
      </c>
      <c r="P4540" t="s">
        <v>27515</v>
      </c>
      <c r="Q4540" s="3" t="n">
        <v>44306.0</v>
      </c>
      <c r="R4540" s="3" t="n">
        <v>44488.0</v>
      </c>
      <c r="S4540" s="3" t="n">
        <v>44496.230093101854</v>
      </c>
      <c r="T4540" s="3" t="n">
        <v>44501.598471840276</v>
      </c>
      <c r="U4540" t="s">
        <v>27516</v>
      </c>
      <c r="V4540" t="s">
        <v>27517</v>
      </c>
    </row>
    <row r="4541">
      <c r="A4541" t="s">
        <v>23557</v>
      </c>
      <c r="B4541" t="s">
        <v>27518</v>
      </c>
      <c r="C4541" t="s">
        <v>24</v>
      </c>
      <c r="D4541" t="s">
        <v>34</v>
      </c>
      <c r="E4541" t="s">
        <v>27519</v>
      </c>
      <c r="F4541" s="2" t="n">
        <f>HYPERLINK("https://patents.google.com/patent/US11149320","Google")</f>
        <v>0.0</v>
      </c>
      <c r="G4541" s="2" t="n">
        <f>HYPERLINK("https://patentcenter.uspto.gov/applications/17078249","Patent Center")</f>
        <v>0.0</v>
      </c>
      <c r="H4541" s="2" t="n">
        <f>HYPERLINK("https://worldwide.espacenet.com/patent/search?q=US11149320","Espacenet")</f>
        <v>0.0</v>
      </c>
      <c r="I4541" s="2" t="n">
        <f>HYPERLINK("https://ppubs.uspto.gov/pubwebapp/external.html?q=11149320.pn.","USPTO")</f>
        <v>0.0</v>
      </c>
      <c r="J4541" s="2" t="n">
        <f>HYPERLINK("https://image-ppubs.uspto.gov/dirsearch-public/print/downloadPdf/11149320","USPTO PDF")</f>
        <v>0.0</v>
      </c>
      <c r="K4541" s="2" t="n">
        <f>HYPERLINK("https://sectors.patentforecast.com/pmd/US11149320","PMD")</f>
        <v>0.0</v>
      </c>
      <c r="L4541" s="2" t="n">
        <f>HYPERLINK("https://globaldossier.uspto.gov/result/patent/US/11149320/1","US11149320")</f>
        <v>0.0</v>
      </c>
      <c r="M4541" t="s">
        <v>11936</v>
      </c>
      <c r="N4541" t="s">
        <v>10933</v>
      </c>
      <c r="O4541" t="s">
        <v>10934</v>
      </c>
      <c r="P4541" t="s">
        <v>27520</v>
      </c>
      <c r="Q4541" s="3" t="n">
        <v>44127.0</v>
      </c>
      <c r="R4541" s="3" t="n">
        <v>44488.0</v>
      </c>
      <c r="S4541" s="3" t="n">
        <v>44496.230093101854</v>
      </c>
      <c r="T4541" s="3" t="n">
        <v>44501.59735900463</v>
      </c>
      <c r="U4541" t="s">
        <v>27521</v>
      </c>
      <c r="V4541" t="s">
        <v>27522</v>
      </c>
    </row>
    <row r="4542">
      <c r="A4542" t="s">
        <v>23557</v>
      </c>
      <c r="B4542" t="s">
        <v>27523</v>
      </c>
      <c r="C4542" t="s">
        <v>60</v>
      </c>
      <c r="D4542" t="s">
        <v>61</v>
      </c>
      <c r="E4542" t="s">
        <v>27524</v>
      </c>
      <c r="F4542" s="2" t="n">
        <f>HYPERLINK("https://patents.google.com/patent/US11149049","Google")</f>
        <v>0.0</v>
      </c>
      <c r="G4542" s="2" t="n">
        <f>HYPERLINK("https://patentcenter.uspto.gov/applications/16648405","Patent Center")</f>
        <v>0.0</v>
      </c>
      <c r="H4542" s="2" t="n">
        <f>HYPERLINK("https://worldwide.espacenet.com/patent/search?q=US11149049","Espacenet")</f>
        <v>0.0</v>
      </c>
      <c r="I4542" s="2" t="n">
        <f>HYPERLINK("https://ppubs.uspto.gov/pubwebapp/external.html?q=11149049.pn.","USPTO")</f>
        <v>0.0</v>
      </c>
      <c r="J4542" s="2" t="n">
        <f>HYPERLINK("https://image-ppubs.uspto.gov/dirsearch-public/print/downloadPdf/11149049","USPTO PDF")</f>
        <v>0.0</v>
      </c>
      <c r="K4542" s="2" t="n">
        <f>HYPERLINK("https://sectors.patentforecast.com/pmd/US11149049","PMD")</f>
        <v>0.0</v>
      </c>
      <c r="L4542" s="2" t="n">
        <f>HYPERLINK("https://globaldossier.uspto.gov/result/patent/US/11149049/1","US11149049")</f>
        <v>0.0</v>
      </c>
      <c r="M4542" t="s">
        <v>16496</v>
      </c>
      <c r="N4542" t="s">
        <v>6947</v>
      </c>
      <c r="O4542" t="s">
        <v>6948</v>
      </c>
      <c r="P4542" t="s">
        <v>27525</v>
      </c>
      <c r="Q4542" s="3" t="n">
        <v>43361.0</v>
      </c>
      <c r="R4542" s="3" t="n">
        <v>44488.0</v>
      </c>
      <c r="S4542" s="3" t="n">
        <v>44491.233727314815</v>
      </c>
      <c r="T4542" s="3" t="n">
        <v>44501.55761967593</v>
      </c>
      <c r="U4542" t="s">
        <v>27526</v>
      </c>
      <c r="V4542" t="s">
        <v>27527</v>
      </c>
    </row>
    <row r="4543">
      <c r="A4543" t="s">
        <v>23557</v>
      </c>
      <c r="B4543" t="s">
        <v>27528</v>
      </c>
      <c r="C4543" t="s">
        <v>60</v>
      </c>
      <c r="D4543" t="s">
        <v>715</v>
      </c>
      <c r="E4543" t="s">
        <v>27529</v>
      </c>
      <c r="F4543" s="2" t="n">
        <f>HYPERLINK("https://patents.google.com/patent/US11147984","Google")</f>
        <v>0.0</v>
      </c>
      <c r="G4543" s="2" t="n">
        <f>HYPERLINK("https://patentcenter.uspto.gov/applications/17117889","Patent Center")</f>
        <v>0.0</v>
      </c>
      <c r="H4543" s="2" t="n">
        <f>HYPERLINK("https://worldwide.espacenet.com/patent/search?q=US11147984","Espacenet")</f>
        <v>0.0</v>
      </c>
      <c r="I4543" s="2" t="n">
        <f>HYPERLINK("https://ppubs.uspto.gov/pubwebapp/external.html?q=11147984.pn.","USPTO")</f>
        <v>0.0</v>
      </c>
      <c r="J4543" s="2" t="n">
        <f>HYPERLINK("https://image-ppubs.uspto.gov/dirsearch-public/print/downloadPdf/11147984","USPTO PDF")</f>
        <v>0.0</v>
      </c>
      <c r="K4543" s="2" t="n">
        <f>HYPERLINK("https://sectors.patentforecast.com/pmd/US11147984","PMD")</f>
        <v>0.0</v>
      </c>
      <c r="L4543" s="2" t="n">
        <f>HYPERLINK("https://globaldossier.uspto.gov/result/patent/US/11147984/1","US11147984")</f>
        <v>0.0</v>
      </c>
      <c r="M4543" t="s">
        <v>27530</v>
      </c>
      <c r="N4543" t="s">
        <v>15287</v>
      </c>
      <c r="O4543" t="s">
        <v>15288</v>
      </c>
      <c r="P4543" t="s">
        <v>27531</v>
      </c>
      <c r="Q4543" s="3" t="n">
        <v>44175.0</v>
      </c>
      <c r="R4543" s="3" t="n">
        <v>44488.0</v>
      </c>
      <c r="S4543" s="3" t="n">
        <v>44489.25138356481</v>
      </c>
      <c r="T4543" s="3" t="n">
        <v>44489.41644076389</v>
      </c>
      <c r="U4543" t="s">
        <v>27532</v>
      </c>
      <c r="V4543" t="s">
        <v>27533</v>
      </c>
    </row>
    <row r="4544">
      <c r="A4544" t="s">
        <v>23557</v>
      </c>
      <c r="B4544" t="s">
        <v>27534</v>
      </c>
      <c r="C4544" t="s">
        <v>60</v>
      </c>
      <c r="D4544" t="s">
        <v>4942</v>
      </c>
      <c r="E4544" t="s">
        <v>27535</v>
      </c>
      <c r="F4544" s="2" t="n">
        <f>HYPERLINK("https://patents.google.com/patent/US11147785","Google")</f>
        <v>0.0</v>
      </c>
      <c r="G4544" s="2" t="n">
        <f>HYPERLINK("https://patentcenter.uspto.gov/applications/17209786","Patent Center")</f>
        <v>0.0</v>
      </c>
      <c r="H4544" s="2" t="n">
        <f>HYPERLINK("https://worldwide.espacenet.com/patent/search?q=US11147785","Espacenet")</f>
        <v>0.0</v>
      </c>
      <c r="I4544" s="2" t="n">
        <f>HYPERLINK("https://ppubs.uspto.gov/pubwebapp/external.html?q=11147785.pn.","USPTO")</f>
        <v>0.0</v>
      </c>
      <c r="J4544" s="2" t="n">
        <f>HYPERLINK("https://image-ppubs.uspto.gov/dirsearch-public/print/downloadPdf/11147785","USPTO PDF")</f>
        <v>0.0</v>
      </c>
      <c r="K4544" s="2" t="n">
        <f>HYPERLINK("https://sectors.patentforecast.com/pmd/US11147785","PMD")</f>
        <v>0.0</v>
      </c>
      <c r="L4544" s="2" t="n">
        <f>HYPERLINK("https://globaldossier.uspto.gov/result/patent/US/11147785/1","US11147785")</f>
        <v>0.0</v>
      </c>
      <c r="M4544" t="s">
        <v>27536</v>
      </c>
      <c r="N4544" t="s">
        <v>27537</v>
      </c>
      <c r="O4544" t="s">
        <v>27538</v>
      </c>
      <c r="P4544" t="s">
        <v>27539</v>
      </c>
      <c r="Q4544" s="3" t="n">
        <v>44278.0</v>
      </c>
      <c r="R4544" s="3" t="n">
        <v>44488.0</v>
      </c>
      <c r="S4544" s="3" t="n">
        <v>44489.25138356481</v>
      </c>
      <c r="T4544" s="3" t="n">
        <v>44489.41732179398</v>
      </c>
      <c r="U4544" t="s">
        <v>27540</v>
      </c>
      <c r="V4544" t="s">
        <v>27541</v>
      </c>
    </row>
    <row r="4545">
      <c r="A4545" t="s">
        <v>23557</v>
      </c>
      <c r="B4545" t="s">
        <v>27542</v>
      </c>
      <c r="C4545" t="s">
        <v>24</v>
      </c>
      <c r="D4545" t="s">
        <v>34</v>
      </c>
      <c r="E4545" t="s">
        <v>27543</v>
      </c>
      <c r="F4545" s="2" t="n">
        <f>HYPERLINK("https://patents.google.com/patent/US11147467","Google")</f>
        <v>0.0</v>
      </c>
      <c r="G4545" s="2" t="n">
        <f>HYPERLINK("https://patentcenter.uspto.gov/applications/17220769","Patent Center")</f>
        <v>0.0</v>
      </c>
      <c r="H4545" s="2" t="n">
        <f>HYPERLINK("https://worldwide.espacenet.com/patent/search?q=US11147467","Espacenet")</f>
        <v>0.0</v>
      </c>
      <c r="I4545" s="2" t="n">
        <f>HYPERLINK("https://ppubs.uspto.gov/pubwebapp/external.html?q=11147467.pn.","USPTO")</f>
        <v>0.0</v>
      </c>
      <c r="J4545" s="2" t="n">
        <f>HYPERLINK("https://image-ppubs.uspto.gov/dirsearch-public/print/downloadPdf/11147467","USPTO PDF")</f>
        <v>0.0</v>
      </c>
      <c r="K4545" s="2" t="n">
        <f>HYPERLINK("https://sectors.patentforecast.com/pmd/US11147467","PMD")</f>
        <v>0.0</v>
      </c>
      <c r="L4545" s="2" t="n">
        <f>HYPERLINK("https://globaldossier.uspto.gov/result/patent/US/11147467/1","US11147467")</f>
        <v>0.0</v>
      </c>
      <c r="M4545" t="s">
        <v>13154</v>
      </c>
      <c r="N4545" t="s">
        <v>13155</v>
      </c>
      <c r="O4545" t="s">
        <v>13156</v>
      </c>
      <c r="P4545" t="s">
        <v>27544</v>
      </c>
      <c r="Q4545" s="3" t="n">
        <v>44287.0</v>
      </c>
      <c r="R4545" s="3" t="n">
        <v>44488.0</v>
      </c>
      <c r="S4545" s="3" t="n">
        <v>44496.230093101854</v>
      </c>
      <c r="T4545" s="3" t="n">
        <v>44501.59748613426</v>
      </c>
      <c r="U4545" t="s">
        <v>27545</v>
      </c>
      <c r="V4545" t="s">
        <v>27546</v>
      </c>
    </row>
    <row r="4546">
      <c r="A4546" t="s">
        <v>23557</v>
      </c>
      <c r="B4546" t="s">
        <v>27547</v>
      </c>
      <c r="C4546" t="s">
        <v>24</v>
      </c>
      <c r="D4546" t="s">
        <v>69</v>
      </c>
      <c r="E4546" t="s">
        <v>27548</v>
      </c>
      <c r="F4546" s="2" t="n">
        <f>HYPERLINK("https://patents.google.com/patent/US11147323","Google")</f>
        <v>0.0</v>
      </c>
      <c r="G4546" s="2" t="n">
        <f>HYPERLINK("https://patentcenter.uspto.gov/applications/16874609","Patent Center")</f>
        <v>0.0</v>
      </c>
      <c r="H4546" s="2" t="n">
        <f>HYPERLINK("https://worldwide.espacenet.com/patent/search?q=US11147323","Espacenet")</f>
        <v>0.0</v>
      </c>
      <c r="I4546" s="2" t="n">
        <f>HYPERLINK("https://ppubs.uspto.gov/pubwebapp/external.html?q=11147323.pn.","USPTO")</f>
        <v>0.0</v>
      </c>
      <c r="J4546" s="2" t="n">
        <f>HYPERLINK("https://image-ppubs.uspto.gov/dirsearch-public/print/downloadPdf/11147323","USPTO PDF")</f>
        <v>0.0</v>
      </c>
      <c r="K4546" s="2" t="n">
        <f>HYPERLINK("https://sectors.patentforecast.com/pmd/US11147323","PMD")</f>
        <v>0.0</v>
      </c>
      <c r="L4546" s="2" t="n">
        <f>HYPERLINK("https://globaldossier.uspto.gov/result/patent/US/11147323/1","US11147323")</f>
        <v>0.0</v>
      </c>
      <c r="M4546" t="s">
        <v>12292</v>
      </c>
      <c r="N4546" t="s">
        <v>12287</v>
      </c>
      <c r="O4546" t="s">
        <v>12287</v>
      </c>
      <c r="P4546" t="s">
        <v>27549</v>
      </c>
      <c r="Q4546" s="3" t="n">
        <v>43965.0</v>
      </c>
      <c r="R4546" s="3" t="n">
        <v>44488.0</v>
      </c>
      <c r="S4546" s="3" t="n">
        <v>44496.230093101854</v>
      </c>
      <c r="T4546" s="3" t="n">
        <v>44501.59853771991</v>
      </c>
      <c r="U4546" t="s">
        <v>27550</v>
      </c>
      <c r="V4546" t="s">
        <v>27551</v>
      </c>
    </row>
    <row r="4547">
      <c r="A4547" t="s">
        <v>23557</v>
      </c>
      <c r="B4547" t="s">
        <v>27552</v>
      </c>
      <c r="C4547" t="s">
        <v>24</v>
      </c>
      <c r="D4547" t="s">
        <v>25</v>
      </c>
      <c r="E4547" t="s">
        <v>27553</v>
      </c>
      <c r="F4547" s="2" t="n">
        <f>HYPERLINK("https://patents.google.com/patent/US11147256","Google")</f>
        <v>0.0</v>
      </c>
      <c r="G4547" s="2" t="n">
        <f>HYPERLINK("https://patentcenter.uspto.gov/applications/16207223","Patent Center")</f>
        <v>0.0</v>
      </c>
      <c r="H4547" s="2" t="n">
        <f>HYPERLINK("https://worldwide.espacenet.com/patent/search?q=US11147256","Espacenet")</f>
        <v>0.0</v>
      </c>
      <c r="I4547" s="2" t="n">
        <f>HYPERLINK("https://ppubs.uspto.gov/pubwebapp/external.html?q=11147256.pn.","USPTO")</f>
        <v>0.0</v>
      </c>
      <c r="J4547" s="2" t="n">
        <f>HYPERLINK("https://image-ppubs.uspto.gov/dirsearch-public/print/downloadPdf/11147256","USPTO PDF")</f>
        <v>0.0</v>
      </c>
      <c r="K4547" s="2" t="n">
        <f>HYPERLINK("https://sectors.patentforecast.com/pmd/US11147256","PMD")</f>
        <v>0.0</v>
      </c>
      <c r="L4547" s="2" t="n">
        <f>HYPERLINK("https://globaldossier.uspto.gov/result/patent/US/11147256/1","US11147256")</f>
        <v>0.0</v>
      </c>
      <c r="M4547" t="s">
        <v>16786</v>
      </c>
      <c r="N4547" t="s">
        <v>947</v>
      </c>
      <c r="O4547" t="s">
        <v>948</v>
      </c>
      <c r="P4547" t="s">
        <v>27554</v>
      </c>
      <c r="Q4547" s="3" t="n">
        <v>43437.0</v>
      </c>
      <c r="R4547" s="3" t="n">
        <v>44488.0</v>
      </c>
      <c r="S4547" s="3" t="n">
        <v>44491.2328015625</v>
      </c>
      <c r="T4547" s="3" t="n">
        <v>44501.55015329861</v>
      </c>
      <c r="U4547" t="s">
        <v>27555</v>
      </c>
      <c r="V4547" t="s">
        <v>27556</v>
      </c>
    </row>
    <row r="4548">
      <c r="A4548" t="s">
        <v>23557</v>
      </c>
      <c r="B4548" t="s">
        <v>27557</v>
      </c>
      <c r="C4548" t="s">
        <v>60</v>
      </c>
      <c r="D4548" t="s">
        <v>77</v>
      </c>
      <c r="E4548" t="s">
        <v>27558</v>
      </c>
      <c r="F4548" s="2" t="n">
        <f>HYPERLINK("https://patents.google.com/patent/US11142586","Google")</f>
        <v>0.0</v>
      </c>
      <c r="G4548" s="2" t="n">
        <f>HYPERLINK("https://patentcenter.uspto.gov/applications/16988383","Patent Center")</f>
        <v>0.0</v>
      </c>
      <c r="H4548" s="2" t="n">
        <f>HYPERLINK("https://worldwide.espacenet.com/patent/search?q=US11142586","Espacenet")</f>
        <v>0.0</v>
      </c>
      <c r="I4548" s="2" t="n">
        <f>HYPERLINK("https://ppubs.uspto.gov/pubwebapp/external.html?q=11142586.pn.","USPTO")</f>
        <v>0.0</v>
      </c>
      <c r="J4548" s="2" t="n">
        <f>HYPERLINK("https://image-ppubs.uspto.gov/dirsearch-public/print/downloadPdf/11142586","USPTO PDF")</f>
        <v>0.0</v>
      </c>
      <c r="K4548" s="2" t="n">
        <f>HYPERLINK("https://sectors.patentforecast.com/pmd/US11142586","PMD")</f>
        <v>0.0</v>
      </c>
      <c r="L4548" s="2" t="n">
        <f>HYPERLINK("https://globaldossier.uspto.gov/result/patent/US/11142586/1","US11142586")</f>
        <v>0.0</v>
      </c>
      <c r="M4548" t="s">
        <v>15552</v>
      </c>
      <c r="N4548" t="s">
        <v>5849</v>
      </c>
      <c r="O4548" t="s">
        <v>5849</v>
      </c>
      <c r="P4548" t="s">
        <v>27559</v>
      </c>
      <c r="Q4548" s="3" t="n">
        <v>44050.0</v>
      </c>
      <c r="R4548" s="3" t="n">
        <v>44481.0</v>
      </c>
      <c r="S4548" s="3" t="n">
        <v>44482.23957421297</v>
      </c>
      <c r="T4548" s="3" t="n">
        <v>44489.41482773148</v>
      </c>
      <c r="U4548" t="s">
        <v>27560</v>
      </c>
      <c r="V4548" t="s">
        <v>27561</v>
      </c>
    </row>
    <row r="4549">
      <c r="A4549" t="s">
        <v>23557</v>
      </c>
      <c r="B4549" t="s">
        <v>27562</v>
      </c>
      <c r="C4549" t="s">
        <v>132</v>
      </c>
      <c r="D4549" t="s">
        <v>133</v>
      </c>
      <c r="E4549" t="s">
        <v>27563</v>
      </c>
      <c r="F4549" s="2" t="n">
        <f>HYPERLINK("https://patents.google.com/patent/US11141476","Google")</f>
        <v>0.0</v>
      </c>
      <c r="G4549" s="2" t="n">
        <f>HYPERLINK("https://patentcenter.uspto.gov/applications/16471539","Patent Center")</f>
        <v>0.0</v>
      </c>
      <c r="H4549" s="2" t="n">
        <f>HYPERLINK("https://worldwide.espacenet.com/patent/search?q=US11141476","Espacenet")</f>
        <v>0.0</v>
      </c>
      <c r="I4549" s="2" t="n">
        <f>HYPERLINK("https://ppubs.uspto.gov/pubwebapp/external.html?q=11141476.pn.","USPTO")</f>
        <v>0.0</v>
      </c>
      <c r="J4549" s="2" t="n">
        <f>HYPERLINK("https://image-ppubs.uspto.gov/dirsearch-public/print/downloadPdf/11141476","USPTO PDF")</f>
        <v>0.0</v>
      </c>
      <c r="K4549" s="2" t="n">
        <f>HYPERLINK("https://sectors.patentforecast.com/pmd/US11141476","PMD")</f>
        <v>0.0</v>
      </c>
      <c r="L4549" s="2" t="n">
        <f>HYPERLINK("https://globaldossier.uspto.gov/result/patent/US/11141476/1","US11141476")</f>
        <v>0.0</v>
      </c>
      <c r="M4549" t="s">
        <v>17351</v>
      </c>
      <c r="N4549" t="s">
        <v>136</v>
      </c>
      <c r="O4549" t="s">
        <v>137</v>
      </c>
      <c r="P4549" t="s">
        <v>27564</v>
      </c>
      <c r="Q4549" s="3" t="n">
        <v>43091.0</v>
      </c>
      <c r="R4549" s="3" t="n">
        <v>44481.0</v>
      </c>
      <c r="S4549" s="3" t="n">
        <v>44484.26612539352</v>
      </c>
      <c r="T4549" s="3" t="n">
        <v>44489.470170162036</v>
      </c>
      <c r="U4549" t="s">
        <v>27565</v>
      </c>
      <c r="V4549" t="s">
        <v>27566</v>
      </c>
    </row>
    <row r="4550">
      <c r="A4550" t="s">
        <v>23557</v>
      </c>
      <c r="B4550" t="s">
        <v>27567</v>
      </c>
      <c r="C4550" t="s">
        <v>60</v>
      </c>
      <c r="D4550" t="s">
        <v>61</v>
      </c>
      <c r="E4550" t="s">
        <v>27568</v>
      </c>
      <c r="F4550" s="2" t="n">
        <f>HYPERLINK("https://patents.google.com/patent/US11141419","Google")</f>
        <v>0.0</v>
      </c>
      <c r="G4550" s="2" t="n">
        <f>HYPERLINK("https://patentcenter.uspto.gov/applications/17241894","Patent Center")</f>
        <v>0.0</v>
      </c>
      <c r="H4550" s="2" t="n">
        <f>HYPERLINK("https://worldwide.espacenet.com/patent/search?q=US11141419","Espacenet")</f>
        <v>0.0</v>
      </c>
      <c r="I4550" s="2" t="n">
        <f>HYPERLINK("https://ppubs.uspto.gov/pubwebapp/external.html?q=11141419.pn.","USPTO")</f>
        <v>0.0</v>
      </c>
      <c r="J4550" s="2" t="n">
        <f>HYPERLINK("https://image-ppubs.uspto.gov/dirsearch-public/print/downloadPdf/11141419","USPTO PDF")</f>
        <v>0.0</v>
      </c>
      <c r="K4550" s="2" t="n">
        <f>HYPERLINK("https://sectors.patentforecast.com/pmd/US11141419","PMD")</f>
        <v>0.0</v>
      </c>
      <c r="L4550" s="2" t="n">
        <f>HYPERLINK("https://globaldossier.uspto.gov/result/patent/US/11141419/1","US11141419")</f>
        <v>0.0</v>
      </c>
      <c r="M4550" t="s">
        <v>11166</v>
      </c>
      <c r="N4550" t="s">
        <v>11167</v>
      </c>
      <c r="O4550" t="s">
        <v>11168</v>
      </c>
      <c r="P4550" t="s">
        <v>27569</v>
      </c>
      <c r="Q4550" s="3" t="n">
        <v>44313.0</v>
      </c>
      <c r="R4550" s="3" t="n">
        <v>44481.0</v>
      </c>
      <c r="S4550" s="3" t="n">
        <v>44484.23545465278</v>
      </c>
      <c r="T4550" s="3" t="n">
        <v>44489.49172232639</v>
      </c>
      <c r="U4550" t="s">
        <v>27570</v>
      </c>
      <c r="V4550" t="s">
        <v>27571</v>
      </c>
    </row>
    <row r="4551">
      <c r="A4551" t="s">
        <v>23557</v>
      </c>
      <c r="B4551" t="s">
        <v>27572</v>
      </c>
      <c r="C4551" t="s">
        <v>312</v>
      </c>
      <c r="D4551" t="s">
        <v>3202</v>
      </c>
      <c r="E4551" t="s">
        <v>24220</v>
      </c>
      <c r="F4551" s="2" t="n">
        <f>HYPERLINK("https://patents.google.com/patent/US11139084","Google")</f>
        <v>0.0</v>
      </c>
      <c r="G4551" s="2" t="n">
        <f>HYPERLINK("https://patentcenter.uspto.gov/applications/15246401","Patent Center")</f>
        <v>0.0</v>
      </c>
      <c r="H4551" s="2" t="n">
        <f>HYPERLINK("https://worldwide.espacenet.com/patent/search?q=US11139084","Espacenet")</f>
        <v>0.0</v>
      </c>
      <c r="I4551" s="2" t="n">
        <f>HYPERLINK("https://ppubs.uspto.gov/pubwebapp/external.html?q=11139084.pn.","USPTO")</f>
        <v>0.0</v>
      </c>
      <c r="J4551" s="2" t="n">
        <f>HYPERLINK("https://image-ppubs.uspto.gov/dirsearch-public/print/downloadPdf/11139084","USPTO PDF")</f>
        <v>0.0</v>
      </c>
      <c r="K4551" s="2" t="n">
        <f>HYPERLINK("https://sectors.patentforecast.com/pmd/US11139084","PMD")</f>
        <v>0.0</v>
      </c>
      <c r="L4551" s="2" t="n">
        <f>HYPERLINK("https://globaldossier.uspto.gov/result/patent/US/11139084/1","US11139084")</f>
        <v>0.0</v>
      </c>
      <c r="M4551" t="s">
        <v>19382</v>
      </c>
      <c r="N4551" t="s">
        <v>3621</v>
      </c>
      <c r="O4551" t="s">
        <v>3622</v>
      </c>
      <c r="P4551" t="s">
        <v>27313</v>
      </c>
      <c r="Q4551" s="3" t="n">
        <v>42606.0</v>
      </c>
      <c r="R4551" s="3" t="n">
        <v>44474.0</v>
      </c>
      <c r="S4551" s="3" t="n">
        <v>44475.23251674769</v>
      </c>
      <c r="T4551" s="3" t="n">
        <v>44477.70781053241</v>
      </c>
      <c r="U4551" t="s">
        <v>27314</v>
      </c>
      <c r="V4551" t="s">
        <v>18022</v>
      </c>
    </row>
    <row r="4552">
      <c r="A4552" t="s">
        <v>23557</v>
      </c>
      <c r="B4552" t="s">
        <v>27573</v>
      </c>
      <c r="C4552" t="s">
        <v>24</v>
      </c>
      <c r="D4552" t="s">
        <v>25</v>
      </c>
      <c r="E4552" t="s">
        <v>27574</v>
      </c>
      <c r="F4552" s="2" t="n">
        <f>HYPERLINK("https://patents.google.com/patent/US11138734","Google")</f>
        <v>0.0</v>
      </c>
      <c r="G4552" s="2" t="n">
        <f>HYPERLINK("https://patentcenter.uspto.gov/applications/17180681","Patent Center")</f>
        <v>0.0</v>
      </c>
      <c r="H4552" s="2" t="n">
        <f>HYPERLINK("https://worldwide.espacenet.com/patent/search?q=US11138734","Espacenet")</f>
        <v>0.0</v>
      </c>
      <c r="I4552" s="2" t="n">
        <f>HYPERLINK("https://ppubs.uspto.gov/pubwebapp/external.html?q=11138734.pn.","USPTO")</f>
        <v>0.0</v>
      </c>
      <c r="J4552" s="2" t="n">
        <f>HYPERLINK("https://image-ppubs.uspto.gov/dirsearch-public/print/downloadPdf/11138734","USPTO PDF")</f>
        <v>0.0</v>
      </c>
      <c r="K4552" s="2" t="n">
        <f>HYPERLINK("https://sectors.patentforecast.com/pmd/US11138734","PMD")</f>
        <v>0.0</v>
      </c>
      <c r="L4552" s="2" t="n">
        <f>HYPERLINK("https://globaldossier.uspto.gov/result/patent/US/11138734/1","US11138734")</f>
        <v>0.0</v>
      </c>
      <c r="M4552" t="s">
        <v>27575</v>
      </c>
      <c r="N4552" t="s">
        <v>27576</v>
      </c>
      <c r="O4552" t="s">
        <v>27577</v>
      </c>
      <c r="P4552" t="s">
        <v>27578</v>
      </c>
      <c r="Q4552" s="3" t="n">
        <v>44246.0</v>
      </c>
      <c r="R4552" s="3" t="n">
        <v>44474.0</v>
      </c>
      <c r="S4552" s="3" t="n">
        <v>44477.247711331016</v>
      </c>
      <c r="T4552" s="3" t="n">
        <v>44480.39077803241</v>
      </c>
      <c r="U4552" t="s">
        <v>27579</v>
      </c>
      <c r="V4552" t="s">
        <v>27580</v>
      </c>
    </row>
    <row r="4553">
      <c r="A4553" t="s">
        <v>23557</v>
      </c>
      <c r="B4553" t="s">
        <v>27581</v>
      </c>
      <c r="C4553" t="s">
        <v>24</v>
      </c>
      <c r="D4553" t="s">
        <v>51</v>
      </c>
      <c r="E4553" t="s">
        <v>27582</v>
      </c>
      <c r="F4553" s="2" t="n">
        <f>HYPERLINK("https://patents.google.com/patent/US11137395","Google")</f>
        <v>0.0</v>
      </c>
      <c r="G4553" s="2" t="n">
        <f>HYPERLINK("https://patentcenter.uspto.gov/applications/17348153","Patent Center")</f>
        <v>0.0</v>
      </c>
      <c r="H4553" s="2" t="n">
        <f>HYPERLINK("https://worldwide.espacenet.com/patent/search?q=US11137395","Espacenet")</f>
        <v>0.0</v>
      </c>
      <c r="I4553" s="2" t="n">
        <f>HYPERLINK("https://ppubs.uspto.gov/pubwebapp/external.html?q=11137395.pn.","USPTO")</f>
        <v>0.0</v>
      </c>
      <c r="J4553" s="2" t="n">
        <f>HYPERLINK("https://image-ppubs.uspto.gov/dirsearch-public/print/downloadPdf/11137395","USPTO PDF")</f>
        <v>0.0</v>
      </c>
      <c r="K4553" s="2" t="n">
        <f>HYPERLINK("https://sectors.patentforecast.com/pmd/US11137395","PMD")</f>
        <v>0.0</v>
      </c>
      <c r="L4553" s="2" t="n">
        <f>HYPERLINK("https://globaldossier.uspto.gov/result/patent/US/11137395/1","US11137395")</f>
        <v>0.0</v>
      </c>
      <c r="M4553" t="s">
        <v>27583</v>
      </c>
      <c r="N4553" t="s">
        <v>2024</v>
      </c>
      <c r="O4553" t="s">
        <v>2024</v>
      </c>
      <c r="P4553" t="s">
        <v>27584</v>
      </c>
      <c r="Q4553" s="3" t="n">
        <v>44362.0</v>
      </c>
      <c r="R4553" s="3" t="n">
        <v>44474.0</v>
      </c>
      <c r="S4553" s="3" t="n">
        <v>44477.247711331016</v>
      </c>
      <c r="T4553" s="3" t="n">
        <v>44477.716375752316</v>
      </c>
      <c r="U4553" t="s">
        <v>27585</v>
      </c>
      <c r="V4553" t="s">
        <v>27586</v>
      </c>
    </row>
    <row r="4554">
      <c r="A4554" t="s">
        <v>23557</v>
      </c>
      <c r="B4554" t="s">
        <v>27587</v>
      </c>
      <c r="C4554" t="s">
        <v>24</v>
      </c>
      <c r="D4554" t="s">
        <v>69</v>
      </c>
      <c r="E4554" t="s">
        <v>27588</v>
      </c>
      <c r="F4554" s="2" t="n">
        <f>HYPERLINK("https://patents.google.com/patent/US11135459","Google")</f>
        <v>0.0</v>
      </c>
      <c r="G4554" s="2" t="n">
        <f>HYPERLINK("https://patentcenter.uspto.gov/applications/17308982","Patent Center")</f>
        <v>0.0</v>
      </c>
      <c r="H4554" s="2" t="n">
        <f>HYPERLINK("https://worldwide.espacenet.com/patent/search?q=US11135459","Espacenet")</f>
        <v>0.0</v>
      </c>
      <c r="I4554" s="2" t="n">
        <f>HYPERLINK("https://ppubs.uspto.gov/pubwebapp/external.html?q=11135459.pn.","USPTO")</f>
        <v>0.0</v>
      </c>
      <c r="J4554" s="2" t="n">
        <f>HYPERLINK("https://image-ppubs.uspto.gov/dirsearch-public/print/downloadPdf/11135459","USPTO PDF")</f>
        <v>0.0</v>
      </c>
      <c r="K4554" s="2" t="n">
        <f>HYPERLINK("https://sectors.patentforecast.com/pmd/US11135459","PMD")</f>
        <v>0.0</v>
      </c>
      <c r="L4554" s="2" t="n">
        <f>HYPERLINK("https://globaldossier.uspto.gov/result/patent/US/11135459/1","US11135459")</f>
        <v>0.0</v>
      </c>
      <c r="M4554" t="s">
        <v>27589</v>
      </c>
      <c r="N4554" t="s">
        <v>27590</v>
      </c>
      <c r="O4554" t="s">
        <v>27590</v>
      </c>
      <c r="P4554" t="s">
        <v>27591</v>
      </c>
      <c r="Q4554" s="3" t="n">
        <v>44321.0</v>
      </c>
      <c r="R4554" s="3" t="n">
        <v>44474.0</v>
      </c>
      <c r="S4554" s="3" t="n">
        <v>44477.247711331016</v>
      </c>
      <c r="T4554" s="3" t="n">
        <v>44480.376749641204</v>
      </c>
      <c r="U4554" t="s">
        <v>27592</v>
      </c>
      <c r="V4554" t="s">
        <v>27593</v>
      </c>
    </row>
    <row r="4555">
      <c r="A4555" t="s">
        <v>23557</v>
      </c>
      <c r="B4555" t="s">
        <v>27594</v>
      </c>
      <c r="C4555" t="s">
        <v>60</v>
      </c>
      <c r="D4555" t="s">
        <v>715</v>
      </c>
      <c r="E4555" t="s">
        <v>27595</v>
      </c>
      <c r="F4555" s="2" t="n">
        <f>HYPERLINK("https://patents.google.com/patent/US11135392","Google")</f>
        <v>0.0</v>
      </c>
      <c r="G4555" s="2" t="n">
        <f>HYPERLINK("https://patentcenter.uspto.gov/applications/16996057","Patent Center")</f>
        <v>0.0</v>
      </c>
      <c r="H4555" s="2" t="n">
        <f>HYPERLINK("https://worldwide.espacenet.com/patent/search?q=US11135392","Espacenet")</f>
        <v>0.0</v>
      </c>
      <c r="I4555" s="2" t="n">
        <f>HYPERLINK("https://ppubs.uspto.gov/pubwebapp/external.html?q=11135392.pn.","USPTO")</f>
        <v>0.0</v>
      </c>
      <c r="J4555" s="2" t="n">
        <f>HYPERLINK("https://image-ppubs.uspto.gov/dirsearch-public/print/downloadPdf/11135392","USPTO PDF")</f>
        <v>0.0</v>
      </c>
      <c r="K4555" s="2" t="n">
        <f>HYPERLINK("https://sectors.patentforecast.com/pmd/US11135392","PMD")</f>
        <v>0.0</v>
      </c>
      <c r="L4555" s="2" t="n">
        <f>HYPERLINK("https://globaldossier.uspto.gov/result/patent/US/11135392/1","US11135392")</f>
        <v>0.0</v>
      </c>
      <c r="M4555" t="s">
        <v>27596</v>
      </c>
      <c r="N4555" t="s">
        <v>27597</v>
      </c>
      <c r="O4555" t="s">
        <v>27598</v>
      </c>
      <c r="P4555" t="s">
        <v>27599</v>
      </c>
      <c r="Q4555" s="3" t="n">
        <v>44061.0</v>
      </c>
      <c r="R4555" s="3" t="n">
        <v>44474.0</v>
      </c>
      <c r="S4555" s="3" t="n">
        <v>44475.23020239583</v>
      </c>
      <c r="T4555" s="3" t="n">
        <v>44477.7061991088</v>
      </c>
      <c r="U4555" t="s">
        <v>27600</v>
      </c>
      <c r="V4555" t="s">
        <v>27601</v>
      </c>
    </row>
    <row r="4556">
      <c r="A4556" t="s">
        <v>23557</v>
      </c>
      <c r="B4556" t="s">
        <v>27602</v>
      </c>
      <c r="C4556" t="s">
        <v>132</v>
      </c>
      <c r="D4556" t="s">
        <v>133</v>
      </c>
      <c r="E4556" t="s">
        <v>27603</v>
      </c>
      <c r="F4556" s="2" t="n">
        <f>HYPERLINK("https://patents.google.com/patent/US11135284","Google")</f>
        <v>0.0</v>
      </c>
      <c r="G4556" s="2" t="n">
        <f>HYPERLINK("https://patentcenter.uspto.gov/applications/16781433","Patent Center")</f>
        <v>0.0</v>
      </c>
      <c r="H4556" s="2" t="n">
        <f>HYPERLINK("https://worldwide.espacenet.com/patent/search?q=US11135284","Espacenet")</f>
        <v>0.0</v>
      </c>
      <c r="I4556" s="2" t="n">
        <f>HYPERLINK("https://ppubs.uspto.gov/pubwebapp/external.html?q=11135284.pn.","USPTO")</f>
        <v>0.0</v>
      </c>
      <c r="J4556" s="2" t="n">
        <f>HYPERLINK("https://image-ppubs.uspto.gov/dirsearch-public/print/downloadPdf/11135284","USPTO PDF")</f>
        <v>0.0</v>
      </c>
      <c r="K4556" s="2" t="n">
        <f>HYPERLINK("https://sectors.patentforecast.com/pmd/US11135284","PMD")</f>
        <v>0.0</v>
      </c>
      <c r="L4556" s="2" t="n">
        <f>HYPERLINK("https://globaldossier.uspto.gov/result/patent/US/11135284/1","US11135284")</f>
        <v>0.0</v>
      </c>
      <c r="M4556" t="s">
        <v>16633</v>
      </c>
      <c r="N4556" t="s">
        <v>2541</v>
      </c>
      <c r="O4556" t="s">
        <v>2542</v>
      </c>
      <c r="P4556" t="s">
        <v>27604</v>
      </c>
      <c r="Q4556" s="3" t="n">
        <v>43865.0</v>
      </c>
      <c r="R4556" s="3" t="n">
        <v>44474.0</v>
      </c>
      <c r="S4556" s="3" t="n">
        <v>44475.232979699074</v>
      </c>
      <c r="T4556" s="3" t="n">
        <v>44477.69813563657</v>
      </c>
      <c r="U4556" t="s">
        <v>27605</v>
      </c>
      <c r="V4556" t="s">
        <v>27606</v>
      </c>
    </row>
    <row r="4557">
      <c r="A4557" t="s">
        <v>23557</v>
      </c>
      <c r="B4557" t="s">
        <v>27607</v>
      </c>
      <c r="C4557" t="s">
        <v>60</v>
      </c>
      <c r="D4557" t="s">
        <v>61</v>
      </c>
      <c r="E4557" t="s">
        <v>27608</v>
      </c>
      <c r="F4557" s="2" t="n">
        <f>HYPERLINK("https://patents.google.com/patent/US11135220","Google")</f>
        <v>0.0</v>
      </c>
      <c r="G4557" s="2" t="n">
        <f>HYPERLINK("https://patentcenter.uspto.gov/applications/16844981","Patent Center")</f>
        <v>0.0</v>
      </c>
      <c r="H4557" s="2" t="n">
        <f>HYPERLINK("https://worldwide.espacenet.com/patent/search?q=US11135220","Espacenet")</f>
        <v>0.0</v>
      </c>
      <c r="I4557" s="2" t="n">
        <f>HYPERLINK("https://ppubs.uspto.gov/pubwebapp/external.html?q=11135220.pn.","USPTO")</f>
        <v>0.0</v>
      </c>
      <c r="J4557" s="2" t="n">
        <f>HYPERLINK("https://image-ppubs.uspto.gov/dirsearch-public/print/downloadPdf/11135220","USPTO PDF")</f>
        <v>0.0</v>
      </c>
      <c r="K4557" s="2" t="n">
        <f>HYPERLINK("https://sectors.patentforecast.com/pmd/US11135220","PMD")</f>
        <v>0.0</v>
      </c>
      <c r="L4557" s="2" t="n">
        <f>HYPERLINK("https://globaldossier.uspto.gov/result/patent/US/11135220/1","US11135220")</f>
        <v>0.0</v>
      </c>
      <c r="M4557" t="s">
        <v>12597</v>
      </c>
      <c r="N4557" t="s">
        <v>12598</v>
      </c>
      <c r="O4557" t="s">
        <v>12599</v>
      </c>
      <c r="P4557" t="s">
        <v>27609</v>
      </c>
      <c r="Q4557" s="3" t="n">
        <v>43930.0</v>
      </c>
      <c r="R4557" s="3" t="n">
        <v>44474.0</v>
      </c>
      <c r="S4557" s="3" t="n">
        <v>44477.247711331016</v>
      </c>
      <c r="T4557" s="3" t="n">
        <v>44480.36906480324</v>
      </c>
      <c r="U4557" t="s">
        <v>27610</v>
      </c>
      <c r="V4557" t="s">
        <v>27611</v>
      </c>
    </row>
    <row r="4558">
      <c r="A4558" t="s">
        <v>23557</v>
      </c>
      <c r="B4558" t="s">
        <v>27612</v>
      </c>
      <c r="C4558" t="s">
        <v>60</v>
      </c>
      <c r="D4558" t="s">
        <v>61</v>
      </c>
      <c r="E4558" t="s">
        <v>27613</v>
      </c>
      <c r="F4558" s="2" t="n">
        <f>HYPERLINK("https://patents.google.com/patent/US11135196","Google")</f>
        <v>0.0</v>
      </c>
      <c r="G4558" s="2" t="n">
        <f>HYPERLINK("https://patentcenter.uspto.gov/applications/17196121","Patent Center")</f>
        <v>0.0</v>
      </c>
      <c r="H4558" s="2" t="n">
        <f>HYPERLINK("https://worldwide.espacenet.com/patent/search?q=US11135196","Espacenet")</f>
        <v>0.0</v>
      </c>
      <c r="I4558" s="2" t="n">
        <f>HYPERLINK("https://ppubs.uspto.gov/pubwebapp/external.html?q=11135196.pn.","USPTO")</f>
        <v>0.0</v>
      </c>
      <c r="J4558" s="2" t="n">
        <f>HYPERLINK("https://image-ppubs.uspto.gov/dirsearch-public/print/downloadPdf/11135196","USPTO PDF")</f>
        <v>0.0</v>
      </c>
      <c r="K4558" s="2" t="n">
        <f>HYPERLINK("https://sectors.patentforecast.com/pmd/US11135196","PMD")</f>
        <v>0.0</v>
      </c>
      <c r="L4558" s="2" t="n">
        <f>HYPERLINK("https://globaldossier.uspto.gov/result/patent/US/11135196/1","US11135196")</f>
        <v>0.0</v>
      </c>
      <c r="M4558" t="s">
        <v>12619</v>
      </c>
      <c r="N4558" t="s">
        <v>6634</v>
      </c>
      <c r="O4558" t="s">
        <v>6635</v>
      </c>
      <c r="P4558" t="s">
        <v>27614</v>
      </c>
      <c r="Q4558" s="3" t="n">
        <v>44264.0</v>
      </c>
      <c r="R4558" s="3" t="n">
        <v>44474.0</v>
      </c>
      <c r="S4558" s="3" t="n">
        <v>44477.247711331016</v>
      </c>
      <c r="T4558" s="3" t="n">
        <v>44480.40089604167</v>
      </c>
      <c r="U4558" t="s">
        <v>27615</v>
      </c>
      <c r="V4558" t="s">
        <v>27616</v>
      </c>
    </row>
    <row r="4559">
      <c r="A4559" t="s">
        <v>23557</v>
      </c>
      <c r="B4559" t="s">
        <v>27617</v>
      </c>
      <c r="C4559" t="s">
        <v>24</v>
      </c>
      <c r="D4559" t="s">
        <v>69</v>
      </c>
      <c r="E4559" t="s">
        <v>27618</v>
      </c>
      <c r="F4559" s="2" t="n">
        <f>HYPERLINK("https://patents.google.com/patent/US11134728","Google")</f>
        <v>0.0</v>
      </c>
      <c r="G4559" s="2" t="n">
        <f>HYPERLINK("https://patentcenter.uspto.gov/applications/16945623","Patent Center")</f>
        <v>0.0</v>
      </c>
      <c r="H4559" s="2" t="n">
        <f>HYPERLINK("https://worldwide.espacenet.com/patent/search?q=US11134728","Espacenet")</f>
        <v>0.0</v>
      </c>
      <c r="I4559" s="2" t="n">
        <f>HYPERLINK("https://ppubs.uspto.gov/pubwebapp/external.html?q=11134728.pn.","USPTO")</f>
        <v>0.0</v>
      </c>
      <c r="J4559" s="2" t="n">
        <f>HYPERLINK("https://image-ppubs.uspto.gov/dirsearch-public/print/downloadPdf/11134728","USPTO PDF")</f>
        <v>0.0</v>
      </c>
      <c r="K4559" s="2" t="n">
        <f>HYPERLINK("https://sectors.patentforecast.com/pmd/US11134728","PMD")</f>
        <v>0.0</v>
      </c>
      <c r="L4559" s="2" t="n">
        <f>HYPERLINK("https://globaldossier.uspto.gov/result/patent/US/11134728/1","US11134728")</f>
        <v>0.0</v>
      </c>
      <c r="M4559" t="s">
        <v>27619</v>
      </c>
      <c r="N4559" t="s">
        <v>27620</v>
      </c>
      <c r="O4559" t="s">
        <v>27621</v>
      </c>
      <c r="P4559" t="s">
        <v>27622</v>
      </c>
      <c r="Q4559" s="3" t="n">
        <v>44043.0</v>
      </c>
      <c r="R4559" s="3" t="n">
        <v>44474.0</v>
      </c>
      <c r="S4559" s="3" t="n">
        <v>44477.247711331016</v>
      </c>
      <c r="T4559" s="3" t="n">
        <v>44480.39978734954</v>
      </c>
      <c r="U4559" t="s">
        <v>27623</v>
      </c>
      <c r="V4559" t="s">
        <v>27624</v>
      </c>
    </row>
    <row r="4560">
      <c r="A4560" t="s">
        <v>23557</v>
      </c>
      <c r="B4560" t="s">
        <v>27625</v>
      </c>
      <c r="C4560" t="s">
        <v>312</v>
      </c>
      <c r="D4560" t="s">
        <v>715</v>
      </c>
      <c r="E4560" t="s">
        <v>26655</v>
      </c>
      <c r="F4560" s="2" t="n">
        <f>HYPERLINK("https://patents.google.com/patent/US11132022","Google")</f>
        <v>0.0</v>
      </c>
      <c r="G4560" s="2" t="n">
        <f>HYPERLINK("https://patentcenter.uspto.gov/applications/17323932","Patent Center")</f>
        <v>0.0</v>
      </c>
      <c r="H4560" s="2" t="n">
        <f>HYPERLINK("https://worldwide.espacenet.com/patent/search?q=US11132022","Espacenet")</f>
        <v>0.0</v>
      </c>
      <c r="I4560" s="2" t="n">
        <f>HYPERLINK("https://ppubs.uspto.gov/pubwebapp/external.html?q=11132022.pn.","USPTO")</f>
        <v>0.0</v>
      </c>
      <c r="J4560" s="2" t="n">
        <f>HYPERLINK("https://image-ppubs.uspto.gov/dirsearch-public/print/downloadPdf/11132022","USPTO PDF")</f>
        <v>0.0</v>
      </c>
      <c r="K4560" s="2" t="n">
        <f>HYPERLINK("https://sectors.patentforecast.com/pmd/US11132022","PMD")</f>
        <v>0.0</v>
      </c>
      <c r="L4560" s="2" t="n">
        <f>HYPERLINK("https://globaldossier.uspto.gov/result/patent/US/11132022/1","US11132022")</f>
        <v>0.0</v>
      </c>
      <c r="M4560" t="s">
        <v>14370</v>
      </c>
      <c r="N4560" t="s">
        <v>14371</v>
      </c>
      <c r="O4560" t="s">
        <v>14372</v>
      </c>
      <c r="P4560" t="s">
        <v>26657</v>
      </c>
      <c r="Q4560" s="3" t="n">
        <v>44334.0</v>
      </c>
      <c r="R4560" s="3" t="n">
        <v>44467.0</v>
      </c>
      <c r="S4560" s="3" t="n">
        <v>44470.229996875</v>
      </c>
      <c r="T4560" s="3" t="n">
        <v>44474.611397430555</v>
      </c>
      <c r="U4560" t="s">
        <v>26658</v>
      </c>
      <c r="V4560" t="s">
        <v>26659</v>
      </c>
    </row>
    <row r="4561">
      <c r="A4561" t="s">
        <v>23557</v>
      </c>
      <c r="B4561" t="s">
        <v>27626</v>
      </c>
      <c r="C4561" t="s">
        <v>24</v>
      </c>
      <c r="D4561" t="s">
        <v>51</v>
      </c>
      <c r="E4561" t="s">
        <v>27627</v>
      </c>
      <c r="F4561" s="2" t="n">
        <f>HYPERLINK("https://patents.google.com/patent/US11131672","Google")</f>
        <v>0.0</v>
      </c>
      <c r="G4561" s="2" t="n">
        <f>HYPERLINK("https://patentcenter.uspto.gov/applications/17207063","Patent Center")</f>
        <v>0.0</v>
      </c>
      <c r="H4561" s="2" t="n">
        <f>HYPERLINK("https://worldwide.espacenet.com/patent/search?q=US11131672","Espacenet")</f>
        <v>0.0</v>
      </c>
      <c r="I4561" s="2" t="n">
        <f>HYPERLINK("https://ppubs.uspto.gov/pubwebapp/external.html?q=11131672.pn.","USPTO")</f>
        <v>0.0</v>
      </c>
      <c r="J4561" s="2" t="n">
        <f>HYPERLINK("https://image-ppubs.uspto.gov/dirsearch-public/print/downloadPdf/11131672","USPTO PDF")</f>
        <v>0.0</v>
      </c>
      <c r="K4561" s="2" t="n">
        <f>HYPERLINK("https://sectors.patentforecast.com/pmd/US11131672","PMD")</f>
        <v>0.0</v>
      </c>
      <c r="L4561" s="2" t="n">
        <f>HYPERLINK("https://globaldossier.uspto.gov/result/patent/US/11131672/1","US11131672")</f>
        <v>0.0</v>
      </c>
      <c r="M4561" t="s">
        <v>27628</v>
      </c>
      <c r="N4561" t="s">
        <v>5964</v>
      </c>
      <c r="O4561" t="s">
        <v>5964</v>
      </c>
      <c r="P4561" t="s">
        <v>26340</v>
      </c>
      <c r="Q4561" s="3" t="n">
        <v>44274.0</v>
      </c>
      <c r="R4561" s="3" t="n">
        <v>44467.0</v>
      </c>
      <c r="S4561" s="3" t="n">
        <v>44475.23344263889</v>
      </c>
      <c r="T4561" s="3" t="n">
        <v>44477.6983277662</v>
      </c>
      <c r="U4561" t="s">
        <v>27629</v>
      </c>
      <c r="V4561" t="s">
        <v>26342</v>
      </c>
    </row>
    <row r="4562">
      <c r="A4562" t="s">
        <v>23557</v>
      </c>
      <c r="B4562" t="s">
        <v>27630</v>
      </c>
      <c r="C4562" t="s">
        <v>24</v>
      </c>
      <c r="D4562" t="s">
        <v>51</v>
      </c>
      <c r="E4562" t="s">
        <v>26665</v>
      </c>
      <c r="F4562" s="2" t="n">
        <f>HYPERLINK("https://patents.google.com/patent/US11131000","Google")</f>
        <v>0.0</v>
      </c>
      <c r="G4562" s="2" t="n">
        <f>HYPERLINK("https://patentcenter.uspto.gov/applications/17334531","Patent Center")</f>
        <v>0.0</v>
      </c>
      <c r="H4562" s="2" t="n">
        <f>HYPERLINK("https://worldwide.espacenet.com/patent/search?q=US11131000","Espacenet")</f>
        <v>0.0</v>
      </c>
      <c r="I4562" s="2" t="n">
        <f>HYPERLINK("https://ppubs.uspto.gov/pubwebapp/external.html?q=11131000.pn.","USPTO")</f>
        <v>0.0</v>
      </c>
      <c r="J4562" s="2" t="n">
        <f>HYPERLINK("https://image-ppubs.uspto.gov/dirsearch-public/print/downloadPdf/11131000","USPTO PDF")</f>
        <v>0.0</v>
      </c>
      <c r="K4562" s="2" t="n">
        <f>HYPERLINK("https://sectors.patentforecast.com/pmd/US11131000","PMD")</f>
        <v>0.0</v>
      </c>
      <c r="L4562" s="2" t="n">
        <f>HYPERLINK("https://globaldossier.uspto.gov/result/patent/US/11131000/1","US11131000")</f>
        <v>0.0</v>
      </c>
      <c r="M4562" t="s">
        <v>27631</v>
      </c>
      <c r="N4562" t="s">
        <v>8090</v>
      </c>
      <c r="O4562" t="s">
        <v>8091</v>
      </c>
      <c r="P4562" t="s">
        <v>26666</v>
      </c>
      <c r="Q4562" s="3" t="n">
        <v>44344.0</v>
      </c>
      <c r="R4562" s="3" t="n">
        <v>44467.0</v>
      </c>
      <c r="S4562" s="3" t="n">
        <v>44475.23020239583</v>
      </c>
      <c r="T4562" s="3" t="n">
        <v>44477.70661572917</v>
      </c>
      <c r="U4562" t="s">
        <v>27632</v>
      </c>
      <c r="V4562" t="s">
        <v>26668</v>
      </c>
    </row>
    <row r="4563">
      <c r="A4563" t="s">
        <v>23557</v>
      </c>
      <c r="B4563" t="s">
        <v>27633</v>
      </c>
      <c r="C4563" t="s">
        <v>24</v>
      </c>
      <c r="D4563" t="s">
        <v>51</v>
      </c>
      <c r="E4563" t="s">
        <v>27634</v>
      </c>
      <c r="F4563" s="2" t="n">
        <f>HYPERLINK("https://patents.google.com/patent/US11130994","Google")</f>
        <v>0.0</v>
      </c>
      <c r="G4563" s="2" t="n">
        <f>HYPERLINK("https://patentcenter.uspto.gov/applications/16912568","Patent Center")</f>
        <v>0.0</v>
      </c>
      <c r="H4563" s="2" t="n">
        <f>HYPERLINK("https://worldwide.espacenet.com/patent/search?q=US11130994","Espacenet")</f>
        <v>0.0</v>
      </c>
      <c r="I4563" s="2" t="n">
        <f>HYPERLINK("https://ppubs.uspto.gov/pubwebapp/external.html?q=11130994.pn.","USPTO")</f>
        <v>0.0</v>
      </c>
      <c r="J4563" s="2" t="n">
        <f>HYPERLINK("https://image-ppubs.uspto.gov/dirsearch-public/print/downloadPdf/11130994","USPTO PDF")</f>
        <v>0.0</v>
      </c>
      <c r="K4563" s="2" t="n">
        <f>HYPERLINK("https://sectors.patentforecast.com/pmd/US11130994","PMD")</f>
        <v>0.0</v>
      </c>
      <c r="L4563" s="2" t="n">
        <f>HYPERLINK("https://globaldossier.uspto.gov/result/patent/US/11130994/1","US11130994")</f>
        <v>0.0</v>
      </c>
      <c r="M4563" t="s">
        <v>15114</v>
      </c>
      <c r="N4563" t="s">
        <v>8314</v>
      </c>
      <c r="O4563" t="s">
        <v>8315</v>
      </c>
      <c r="P4563" t="s">
        <v>27635</v>
      </c>
      <c r="Q4563" s="3" t="n">
        <v>44007.0</v>
      </c>
      <c r="R4563" s="3" t="n">
        <v>44467.0</v>
      </c>
      <c r="S4563" s="3" t="n">
        <v>44470.229996875</v>
      </c>
      <c r="T4563" s="3" t="n">
        <v>44474.60727386574</v>
      </c>
      <c r="U4563" t="s">
        <v>27636</v>
      </c>
      <c r="V4563" t="s">
        <v>27637</v>
      </c>
    </row>
    <row r="4564">
      <c r="A4564" t="s">
        <v>23557</v>
      </c>
      <c r="B4564" t="s">
        <v>27638</v>
      </c>
      <c r="C4564" t="s">
        <v>132</v>
      </c>
      <c r="D4564" t="s">
        <v>133</v>
      </c>
      <c r="E4564" t="s">
        <v>27639</v>
      </c>
      <c r="F4564" s="2" t="n">
        <f>HYPERLINK("https://patents.google.com/patent/US11129892","Google")</f>
        <v>0.0</v>
      </c>
      <c r="G4564" s="2" t="n">
        <f>HYPERLINK("https://patentcenter.uspto.gov/applications/16876731","Patent Center")</f>
        <v>0.0</v>
      </c>
      <c r="H4564" s="2" t="n">
        <f>HYPERLINK("https://worldwide.espacenet.com/patent/search?q=US11129892","Espacenet")</f>
        <v>0.0</v>
      </c>
      <c r="I4564" s="2" t="n">
        <f>HYPERLINK("https://ppubs.uspto.gov/pubwebapp/external.html?q=11129892.pn.","USPTO")</f>
        <v>0.0</v>
      </c>
      <c r="J4564" s="2" t="n">
        <f>HYPERLINK("https://image-ppubs.uspto.gov/dirsearch-public/print/downloadPdf/11129892","USPTO PDF")</f>
        <v>0.0</v>
      </c>
      <c r="K4564" s="2" t="n">
        <f>HYPERLINK("https://sectors.patentforecast.com/pmd/US11129892","PMD")</f>
        <v>0.0</v>
      </c>
      <c r="L4564" s="2" t="n">
        <f>HYPERLINK("https://globaldossier.uspto.gov/result/patent/US/11129892/1","US11129892")</f>
        <v>0.0</v>
      </c>
      <c r="M4564" t="s">
        <v>27640</v>
      </c>
      <c r="N4564" t="s">
        <v>27641</v>
      </c>
      <c r="O4564" t="s">
        <v>27642</v>
      </c>
      <c r="P4564" t="s">
        <v>27643</v>
      </c>
      <c r="Q4564" s="3" t="n">
        <v>43969.0</v>
      </c>
      <c r="R4564" s="3" t="n">
        <v>44467.0</v>
      </c>
      <c r="S4564" s="3" t="n">
        <v>44475.23020239583</v>
      </c>
      <c r="T4564" s="3" t="n">
        <v>44477.7040453125</v>
      </c>
      <c r="U4564" t="s">
        <v>27644</v>
      </c>
      <c r="V4564" t="s">
        <v>27645</v>
      </c>
    </row>
    <row r="4565">
      <c r="A4565" t="s">
        <v>23557</v>
      </c>
      <c r="B4565" t="s">
        <v>27646</v>
      </c>
      <c r="C4565" t="s">
        <v>132</v>
      </c>
      <c r="D4565" t="s">
        <v>133</v>
      </c>
      <c r="E4565" t="s">
        <v>27647</v>
      </c>
      <c r="F4565" s="2" t="n">
        <f>HYPERLINK("https://patents.google.com/patent/US11129890","Google")</f>
        <v>0.0</v>
      </c>
      <c r="G4565" s="2" t="n">
        <f>HYPERLINK("https://patentcenter.uspto.gov/applications/16877839","Patent Center")</f>
        <v>0.0</v>
      </c>
      <c r="H4565" s="2" t="n">
        <f>HYPERLINK("https://worldwide.espacenet.com/patent/search?q=US11129890","Espacenet")</f>
        <v>0.0</v>
      </c>
      <c r="I4565" s="2" t="n">
        <f>HYPERLINK("https://ppubs.uspto.gov/pubwebapp/external.html?q=11129890.pn.","USPTO")</f>
        <v>0.0</v>
      </c>
      <c r="J4565" s="2" t="n">
        <f>HYPERLINK("https://image-ppubs.uspto.gov/dirsearch-public/print/downloadPdf/11129890","USPTO PDF")</f>
        <v>0.0</v>
      </c>
      <c r="K4565" s="2" t="n">
        <f>HYPERLINK("https://sectors.patentforecast.com/pmd/US11129890","PMD")</f>
        <v>0.0</v>
      </c>
      <c r="L4565" s="2" t="n">
        <f>HYPERLINK("https://globaldossier.uspto.gov/result/patent/US/11129890/1","US11129890")</f>
        <v>0.0</v>
      </c>
      <c r="M4565" t="s">
        <v>27648</v>
      </c>
      <c r="N4565" t="s">
        <v>27649</v>
      </c>
      <c r="O4565" t="s">
        <v>27650</v>
      </c>
      <c r="P4565" t="s">
        <v>27651</v>
      </c>
      <c r="Q4565" s="3" t="n">
        <v>43970.0</v>
      </c>
      <c r="R4565" s="3" t="n">
        <v>44467.0</v>
      </c>
      <c r="S4565" s="3" t="n">
        <v>44475.23020239583</v>
      </c>
      <c r="T4565" s="3" t="n">
        <v>44477.703343009256</v>
      </c>
      <c r="U4565" t="s">
        <v>27652</v>
      </c>
      <c r="V4565" t="s">
        <v>27653</v>
      </c>
    </row>
    <row r="4566">
      <c r="A4566" t="s">
        <v>23557</v>
      </c>
      <c r="B4566" t="s">
        <v>27654</v>
      </c>
      <c r="C4566" t="s">
        <v>60</v>
      </c>
      <c r="D4566" t="s">
        <v>61</v>
      </c>
      <c r="E4566" t="s">
        <v>26621</v>
      </c>
      <c r="F4566" s="2" t="n">
        <f>HYPERLINK("https://patents.google.com/patent/US11129878","Google")</f>
        <v>0.0</v>
      </c>
      <c r="G4566" s="2" t="n">
        <f>HYPERLINK("https://patentcenter.uspto.gov/applications/17211553","Patent Center")</f>
        <v>0.0</v>
      </c>
      <c r="H4566" s="2" t="n">
        <f>HYPERLINK("https://worldwide.espacenet.com/patent/search?q=US11129878","Espacenet")</f>
        <v>0.0</v>
      </c>
      <c r="I4566" s="2" t="n">
        <f>HYPERLINK("https://ppubs.uspto.gov/pubwebapp/external.html?q=11129878.pn.","USPTO")</f>
        <v>0.0</v>
      </c>
      <c r="J4566" s="2" t="n">
        <f>HYPERLINK("https://image-ppubs.uspto.gov/dirsearch-public/print/downloadPdf/11129878","USPTO PDF")</f>
        <v>0.0</v>
      </c>
      <c r="K4566" s="2" t="n">
        <f>HYPERLINK("https://sectors.patentforecast.com/pmd/US11129878","PMD")</f>
        <v>0.0</v>
      </c>
      <c r="L4566" s="2" t="n">
        <f>HYPERLINK("https://globaldossier.uspto.gov/result/patent/US/11129878/1","US11129878")</f>
        <v>0.0</v>
      </c>
      <c r="M4566" t="s">
        <v>12952</v>
      </c>
      <c r="N4566" t="s">
        <v>7972</v>
      </c>
      <c r="O4566" t="s">
        <v>7973</v>
      </c>
      <c r="P4566" t="s">
        <v>26622</v>
      </c>
      <c r="Q4566" s="3" t="n">
        <v>44279.0</v>
      </c>
      <c r="R4566" s="3" t="n">
        <v>44467.0</v>
      </c>
      <c r="S4566" s="3" t="n">
        <v>44475.23020239583</v>
      </c>
      <c r="T4566" s="3" t="n">
        <v>44477.70276908565</v>
      </c>
      <c r="U4566" t="s">
        <v>27655</v>
      </c>
      <c r="V4566" t="s">
        <v>26624</v>
      </c>
    </row>
    <row r="4567">
      <c r="A4567" t="s">
        <v>23557</v>
      </c>
      <c r="B4567" t="s">
        <v>27656</v>
      </c>
      <c r="C4567" t="s">
        <v>24</v>
      </c>
      <c r="D4567" t="s">
        <v>25</v>
      </c>
      <c r="E4567" t="s">
        <v>27657</v>
      </c>
      <c r="F4567" s="2" t="n">
        <f>HYPERLINK("https://patents.google.com/patent/US11128636","Google")</f>
        <v>0.0</v>
      </c>
      <c r="G4567" s="2" t="n">
        <f>HYPERLINK("https://patentcenter.uspto.gov/applications/17320164","Patent Center")</f>
        <v>0.0</v>
      </c>
      <c r="H4567" s="2" t="n">
        <f>HYPERLINK("https://worldwide.espacenet.com/patent/search?q=US11128636","Espacenet")</f>
        <v>0.0</v>
      </c>
      <c r="I4567" s="2" t="n">
        <f>HYPERLINK("https://ppubs.uspto.gov/pubwebapp/external.html?q=11128636.pn.","USPTO")</f>
        <v>0.0</v>
      </c>
      <c r="J4567" s="2" t="n">
        <f>HYPERLINK("https://image-ppubs.uspto.gov/dirsearch-public/print/downloadPdf/11128636","USPTO PDF")</f>
        <v>0.0</v>
      </c>
      <c r="K4567" s="2" t="n">
        <f>HYPERLINK("https://sectors.patentforecast.com/pmd/US11128636","PMD")</f>
        <v>0.0</v>
      </c>
      <c r="L4567" s="2" t="n">
        <f>HYPERLINK("https://globaldossier.uspto.gov/result/patent/US/11128636/1","US11128636")</f>
        <v>0.0</v>
      </c>
      <c r="M4567" t="s">
        <v>27658</v>
      </c>
      <c r="N4567" t="s">
        <v>8057</v>
      </c>
      <c r="O4567" t="s">
        <v>8058</v>
      </c>
      <c r="P4567" t="s">
        <v>27659</v>
      </c>
      <c r="Q4567" s="3" t="n">
        <v>44329.0</v>
      </c>
      <c r="R4567" s="3" t="n">
        <v>44460.0</v>
      </c>
      <c r="S4567" s="3" t="n">
        <v>44643.24119892361</v>
      </c>
      <c r="T4567" s="3" t="n">
        <v>44719.606283796296</v>
      </c>
      <c r="U4567" t="s">
        <v>27660</v>
      </c>
      <c r="V4567" t="s">
        <v>27661</v>
      </c>
    </row>
    <row r="4568">
      <c r="A4568" t="s">
        <v>23557</v>
      </c>
      <c r="B4568" t="s">
        <v>27662</v>
      </c>
      <c r="C4568" t="s">
        <v>312</v>
      </c>
      <c r="D4568" t="s">
        <v>3202</v>
      </c>
      <c r="E4568" t="s">
        <v>27663</v>
      </c>
      <c r="F4568" s="2" t="n">
        <f>HYPERLINK("https://patents.google.com/patent/US11127506","Google")</f>
        <v>0.0</v>
      </c>
      <c r="G4568" s="2" t="n">
        <f>HYPERLINK("https://patentcenter.uspto.gov/applications/16986011","Patent Center")</f>
        <v>0.0</v>
      </c>
      <c r="H4568" s="2" t="n">
        <f>HYPERLINK("https://worldwide.espacenet.com/patent/search?q=US11127506","Espacenet")</f>
        <v>0.0</v>
      </c>
      <c r="I4568" s="2" t="n">
        <f>HYPERLINK("https://ppubs.uspto.gov/pubwebapp/external.html?q=11127506.pn.","USPTO")</f>
        <v>0.0</v>
      </c>
      <c r="J4568" s="2" t="n">
        <f>HYPERLINK("https://image-ppubs.uspto.gov/dirsearch-public/print/downloadPdf/11127506","USPTO PDF")</f>
        <v>0.0</v>
      </c>
      <c r="K4568" s="2" t="n">
        <f>HYPERLINK("https://sectors.patentforecast.com/pmd/US11127506","PMD")</f>
        <v>0.0</v>
      </c>
      <c r="L4568" s="2" t="n">
        <f>HYPERLINK("https://globaldossier.uspto.gov/result/patent/US/11127506/1","US11127506")</f>
        <v>0.0</v>
      </c>
      <c r="M4568" t="s">
        <v>27664</v>
      </c>
      <c r="N4568" t="s">
        <v>26125</v>
      </c>
      <c r="O4568" t="s">
        <v>26126</v>
      </c>
      <c r="P4568" t="s">
        <v>26127</v>
      </c>
      <c r="Q4568" s="3" t="n">
        <v>44048.0</v>
      </c>
      <c r="R4568" s="3" t="n">
        <v>44460.0</v>
      </c>
      <c r="S4568" s="3" t="n">
        <v>44468.23020048611</v>
      </c>
      <c r="T4568" s="3" t="n">
        <v>44474.57377967593</v>
      </c>
      <c r="U4568" t="s">
        <v>27665</v>
      </c>
      <c r="V4568" t="s">
        <v>26129</v>
      </c>
    </row>
    <row r="4569">
      <c r="A4569" t="s">
        <v>23557</v>
      </c>
      <c r="B4569" t="s">
        <v>27666</v>
      </c>
      <c r="C4569" t="s">
        <v>132</v>
      </c>
      <c r="D4569" t="s">
        <v>2629</v>
      </c>
      <c r="E4569" t="s">
        <v>23589</v>
      </c>
      <c r="F4569" s="2" t="n">
        <f>HYPERLINK("https://patents.google.com/patent/US11124545","Google")</f>
        <v>0.0</v>
      </c>
      <c r="G4569" s="2" t="n">
        <f>HYPERLINK("https://patentcenter.uspto.gov/applications/16416663","Patent Center")</f>
        <v>0.0</v>
      </c>
      <c r="H4569" s="2" t="n">
        <f>HYPERLINK("https://worldwide.espacenet.com/patent/search?q=US11124545","Espacenet")</f>
        <v>0.0</v>
      </c>
      <c r="I4569" s="2" t="n">
        <f>HYPERLINK("https://ppubs.uspto.gov/pubwebapp/external.html?q=11124545.pn.","USPTO")</f>
        <v>0.0</v>
      </c>
      <c r="J4569" s="2" t="n">
        <f>HYPERLINK("https://image-ppubs.uspto.gov/dirsearch-public/print/downloadPdf/11124545","USPTO PDF")</f>
        <v>0.0</v>
      </c>
      <c r="K4569" s="2" t="n">
        <f>HYPERLINK("https://sectors.patentforecast.com/pmd/US11124545","PMD")</f>
        <v>0.0</v>
      </c>
      <c r="L4569" s="2" t="n">
        <f>HYPERLINK("https://globaldossier.uspto.gov/result/patent/US/11124545/1","US11124545")</f>
        <v>0.0</v>
      </c>
      <c r="M4569" t="s">
        <v>17180</v>
      </c>
      <c r="N4569" t="s">
        <v>10151</v>
      </c>
      <c r="O4569" t="s">
        <v>10152</v>
      </c>
      <c r="P4569" t="s">
        <v>27667</v>
      </c>
      <c r="Q4569" s="3" t="n">
        <v>43605.0</v>
      </c>
      <c r="R4569" s="3" t="n">
        <v>44460.0</v>
      </c>
      <c r="S4569" s="3" t="n">
        <v>44475.241544502314</v>
      </c>
      <c r="T4569" s="3" t="n">
        <v>44477.70824799768</v>
      </c>
      <c r="U4569" t="s">
        <v>27668</v>
      </c>
      <c r="V4569" t="s">
        <v>27669</v>
      </c>
    </row>
    <row r="4570">
      <c r="A4570" t="s">
        <v>23557</v>
      </c>
      <c r="B4570" t="s">
        <v>27670</v>
      </c>
      <c r="C4570" t="s">
        <v>60</v>
      </c>
      <c r="D4570" t="s">
        <v>61</v>
      </c>
      <c r="E4570" t="s">
        <v>26289</v>
      </c>
      <c r="F4570" s="2" t="n">
        <f>HYPERLINK("https://patents.google.com/patent/US11124497","Google")</f>
        <v>0.0</v>
      </c>
      <c r="G4570" s="2" t="n">
        <f>HYPERLINK("https://patentcenter.uspto.gov/applications/17230727","Patent Center")</f>
        <v>0.0</v>
      </c>
      <c r="H4570" s="2" t="n">
        <f>HYPERLINK("https://worldwide.espacenet.com/patent/search?q=US11124497","Espacenet")</f>
        <v>0.0</v>
      </c>
      <c r="I4570" s="2" t="n">
        <f>HYPERLINK("https://ppubs.uspto.gov/pubwebapp/external.html?q=11124497.pn.","USPTO")</f>
        <v>0.0</v>
      </c>
      <c r="J4570" s="2" t="n">
        <f>HYPERLINK("https://image-ppubs.uspto.gov/dirsearch-public/print/downloadPdf/11124497","USPTO PDF")</f>
        <v>0.0</v>
      </c>
      <c r="K4570" s="2" t="n">
        <f>HYPERLINK("https://sectors.patentforecast.com/pmd/US11124497","PMD")</f>
        <v>0.0</v>
      </c>
      <c r="L4570" s="2" t="n">
        <f>HYPERLINK("https://globaldossier.uspto.gov/result/patent/US/11124497/1","US11124497")</f>
        <v>0.0</v>
      </c>
      <c r="M4570" t="s">
        <v>27671</v>
      </c>
      <c r="N4570" t="s">
        <v>223</v>
      </c>
      <c r="O4570" t="s">
        <v>224</v>
      </c>
      <c r="P4570" t="s">
        <v>26290</v>
      </c>
      <c r="Q4570" s="3" t="n">
        <v>44300.0</v>
      </c>
      <c r="R4570" s="3" t="n">
        <v>44460.0</v>
      </c>
      <c r="S4570" s="3" t="n">
        <v>44468.22950603009</v>
      </c>
      <c r="T4570" s="3" t="n">
        <v>44474.572223055555</v>
      </c>
      <c r="U4570" t="s">
        <v>27672</v>
      </c>
      <c r="V4570" t="s">
        <v>31</v>
      </c>
    </row>
    <row r="4571">
      <c r="A4571" t="s">
        <v>23557</v>
      </c>
      <c r="B4571" t="s">
        <v>27673</v>
      </c>
      <c r="C4571" t="s">
        <v>24</v>
      </c>
      <c r="D4571" t="s">
        <v>69</v>
      </c>
      <c r="E4571" t="s">
        <v>27674</v>
      </c>
      <c r="F4571" s="2" t="n">
        <f>HYPERLINK("https://patents.google.com/patent/US11123584","Google")</f>
        <v>0.0</v>
      </c>
      <c r="G4571" s="2" t="n">
        <f>HYPERLINK("https://patentcenter.uspto.gov/applications/17103501","Patent Center")</f>
        <v>0.0</v>
      </c>
      <c r="H4571" s="2" t="n">
        <f>HYPERLINK("https://worldwide.espacenet.com/patent/search?q=US11123584","Espacenet")</f>
        <v>0.0</v>
      </c>
      <c r="I4571" s="2" t="n">
        <f>HYPERLINK("https://ppubs.uspto.gov/pubwebapp/external.html?q=11123584.pn.","USPTO")</f>
        <v>0.0</v>
      </c>
      <c r="J4571" s="2" t="n">
        <f>HYPERLINK("https://image-ppubs.uspto.gov/dirsearch-public/print/downloadPdf/11123584","USPTO PDF")</f>
        <v>0.0</v>
      </c>
      <c r="K4571" s="2" t="n">
        <f>HYPERLINK("https://sectors.patentforecast.com/pmd/US11123584","PMD")</f>
        <v>0.0</v>
      </c>
      <c r="L4571" s="2" t="n">
        <f>HYPERLINK("https://globaldossier.uspto.gov/result/patent/US/11123584/1","US11123584")</f>
        <v>0.0</v>
      </c>
      <c r="M4571" t="s">
        <v>27675</v>
      </c>
      <c r="N4571" t="s">
        <v>3998</v>
      </c>
      <c r="O4571" t="s">
        <v>3999</v>
      </c>
      <c r="P4571" t="s">
        <v>27676</v>
      </c>
      <c r="Q4571" s="3" t="n">
        <v>44159.0</v>
      </c>
      <c r="R4571" s="3" t="n">
        <v>44460.0</v>
      </c>
      <c r="S4571" s="3" t="n">
        <v>44468.23020048611</v>
      </c>
      <c r="T4571" s="3" t="n">
        <v>44474.561535706016</v>
      </c>
      <c r="U4571" t="s">
        <v>27677</v>
      </c>
      <c r="V4571" t="s">
        <v>27678</v>
      </c>
    </row>
    <row r="4572">
      <c r="A4572" t="s">
        <v>23557</v>
      </c>
      <c r="B4572" t="s">
        <v>27679</v>
      </c>
      <c r="C4572" t="s">
        <v>60</v>
      </c>
      <c r="D4572" t="s">
        <v>715</v>
      </c>
      <c r="E4572" t="s">
        <v>27680</v>
      </c>
      <c r="F4572" s="2" t="n">
        <f>HYPERLINK("https://patents.google.com/patent/US11123560","Google")</f>
        <v>0.0</v>
      </c>
      <c r="G4572" s="2" t="n">
        <f>HYPERLINK("https://patentcenter.uspto.gov/applications/16895376","Patent Center")</f>
        <v>0.0</v>
      </c>
      <c r="H4572" s="2" t="n">
        <f>HYPERLINK("https://worldwide.espacenet.com/patent/search?q=US11123560","Espacenet")</f>
        <v>0.0</v>
      </c>
      <c r="I4572" s="2" t="n">
        <f>HYPERLINK("https://ppubs.uspto.gov/pubwebapp/external.html?q=11123560.pn.","USPTO")</f>
        <v>0.0</v>
      </c>
      <c r="J4572" s="2" t="n">
        <f>HYPERLINK("https://image-ppubs.uspto.gov/dirsearch-public/print/downloadPdf/11123560","USPTO PDF")</f>
        <v>0.0</v>
      </c>
      <c r="K4572" s="2" t="n">
        <f>HYPERLINK("https://sectors.patentforecast.com/pmd/US11123560","PMD")</f>
        <v>0.0</v>
      </c>
      <c r="L4572" s="2" t="n">
        <f>HYPERLINK("https://globaldossier.uspto.gov/result/patent/US/11123560/1","US11123560")</f>
        <v>0.0</v>
      </c>
      <c r="M4572" t="s">
        <v>27681</v>
      </c>
      <c r="N4572" t="s">
        <v>27682</v>
      </c>
      <c r="O4572" t="s">
        <v>27683</v>
      </c>
      <c r="P4572" t="s">
        <v>27684</v>
      </c>
      <c r="Q4572" s="3" t="n">
        <v>43990.0</v>
      </c>
      <c r="R4572" s="3" t="n">
        <v>44460.0</v>
      </c>
      <c r="S4572" s="3" t="n">
        <v>44468.23020048611</v>
      </c>
      <c r="T4572" s="3" t="n">
        <v>44474.561691759256</v>
      </c>
      <c r="U4572" t="s">
        <v>27685</v>
      </c>
      <c r="V4572" t="s">
        <v>27686</v>
      </c>
    </row>
    <row r="4573">
      <c r="A4573" t="s">
        <v>23557</v>
      </c>
      <c r="B4573" t="s">
        <v>27687</v>
      </c>
      <c r="C4573" t="s">
        <v>132</v>
      </c>
      <c r="D4573" t="s">
        <v>142</v>
      </c>
      <c r="E4573" t="s">
        <v>27688</v>
      </c>
      <c r="F4573" s="2" t="n">
        <f>HYPERLINK("https://patents.google.com/patent/US11123554","Google")</f>
        <v>0.0</v>
      </c>
      <c r="G4573" s="2" t="n">
        <f>HYPERLINK("https://patentcenter.uspto.gov/applications/17104833","Patent Center")</f>
        <v>0.0</v>
      </c>
      <c r="H4573" s="2" t="n">
        <f>HYPERLINK("https://worldwide.espacenet.com/patent/search?q=US11123554","Espacenet")</f>
        <v>0.0</v>
      </c>
      <c r="I4573" s="2" t="n">
        <f>HYPERLINK("https://ppubs.uspto.gov/pubwebapp/external.html?q=11123554.pn.","USPTO")</f>
        <v>0.0</v>
      </c>
      <c r="J4573" s="2" t="n">
        <f>HYPERLINK("https://image-ppubs.uspto.gov/dirsearch-public/print/downloadPdf/11123554","USPTO PDF")</f>
        <v>0.0</v>
      </c>
      <c r="K4573" s="2" t="n">
        <f>HYPERLINK("https://sectors.patentforecast.com/pmd/US11123554","PMD")</f>
        <v>0.0</v>
      </c>
      <c r="L4573" s="2" t="n">
        <f>HYPERLINK("https://globaldossier.uspto.gov/result/patent/US/11123554/1","US11123554")</f>
        <v>0.0</v>
      </c>
      <c r="M4573" t="s">
        <v>15407</v>
      </c>
      <c r="N4573" t="s">
        <v>9536</v>
      </c>
      <c r="O4573" t="s">
        <v>9537</v>
      </c>
      <c r="P4573" t="s">
        <v>27689</v>
      </c>
      <c r="Q4573" s="3" t="n">
        <v>44160.0</v>
      </c>
      <c r="R4573" s="3" t="n">
        <v>44460.0</v>
      </c>
      <c r="S4573" s="3" t="n">
        <v>44463.230225520834</v>
      </c>
      <c r="T4573" s="3" t="n">
        <v>44672.332854988425</v>
      </c>
      <c r="U4573" t="s">
        <v>27690</v>
      </c>
      <c r="V4573" t="s">
        <v>27691</v>
      </c>
    </row>
    <row r="4574">
      <c r="A4574" t="s">
        <v>23557</v>
      </c>
      <c r="B4574" t="s">
        <v>27692</v>
      </c>
      <c r="C4574" t="s">
        <v>24</v>
      </c>
      <c r="D4574" t="s">
        <v>69</v>
      </c>
      <c r="E4574" t="s">
        <v>27693</v>
      </c>
      <c r="F4574" s="2" t="n">
        <f>HYPERLINK("https://patents.google.com/patent/US11123510","Google")</f>
        <v>0.0</v>
      </c>
      <c r="G4574" s="2" t="n">
        <f>HYPERLINK("https://patentcenter.uspto.gov/applications/17027566","Patent Center")</f>
        <v>0.0</v>
      </c>
      <c r="H4574" s="2" t="n">
        <f>HYPERLINK("https://worldwide.espacenet.com/patent/search?q=US11123510","Espacenet")</f>
        <v>0.0</v>
      </c>
      <c r="I4574" s="2" t="n">
        <f>HYPERLINK("https://ppubs.uspto.gov/pubwebapp/external.html?q=11123510.pn.","USPTO")</f>
        <v>0.0</v>
      </c>
      <c r="J4574" s="2" t="n">
        <f>HYPERLINK("https://image-ppubs.uspto.gov/dirsearch-public/print/downloadPdf/11123510","USPTO PDF")</f>
        <v>0.0</v>
      </c>
      <c r="K4574" s="2" t="n">
        <f>HYPERLINK("https://sectors.patentforecast.com/pmd/US11123510","PMD")</f>
        <v>0.0</v>
      </c>
      <c r="L4574" s="2" t="n">
        <f>HYPERLINK("https://globaldossier.uspto.gov/result/patent/US/11123510/1","US11123510")</f>
        <v>0.0</v>
      </c>
      <c r="M4574" t="s">
        <v>15516</v>
      </c>
      <c r="N4574" t="s">
        <v>547</v>
      </c>
      <c r="O4574" t="s">
        <v>548</v>
      </c>
      <c r="P4574" t="s">
        <v>27694</v>
      </c>
      <c r="Q4574" s="3" t="n">
        <v>44095.0</v>
      </c>
      <c r="R4574" s="3" t="n">
        <v>44460.0</v>
      </c>
      <c r="S4574" s="3" t="n">
        <v>44463.230225520834</v>
      </c>
      <c r="T4574" s="3" t="n">
        <v>44466.366962037035</v>
      </c>
      <c r="U4574" t="s">
        <v>27695</v>
      </c>
      <c r="V4574" t="s">
        <v>27696</v>
      </c>
    </row>
    <row r="4575">
      <c r="A4575" t="s">
        <v>23557</v>
      </c>
      <c r="B4575" t="s">
        <v>27697</v>
      </c>
      <c r="C4575" t="s">
        <v>132</v>
      </c>
      <c r="D4575" t="s">
        <v>1265</v>
      </c>
      <c r="E4575" t="s">
        <v>27698</v>
      </c>
      <c r="F4575" s="2" t="n">
        <f>HYPERLINK("https://patents.google.com/patent/US11123421","Google")</f>
        <v>0.0</v>
      </c>
      <c r="G4575" s="2" t="n">
        <f>HYPERLINK("https://patentcenter.uspto.gov/applications/16094780","Patent Center")</f>
        <v>0.0</v>
      </c>
      <c r="H4575" s="2" t="n">
        <f>HYPERLINK("https://worldwide.espacenet.com/patent/search?q=US11123421","Espacenet")</f>
        <v>0.0</v>
      </c>
      <c r="I4575" s="2" t="n">
        <f>HYPERLINK("https://ppubs.uspto.gov/pubwebapp/external.html?q=11123421.pn.","USPTO")</f>
        <v>0.0</v>
      </c>
      <c r="J4575" s="2" t="n">
        <f>HYPERLINK("https://image-ppubs.uspto.gov/dirsearch-public/print/downloadPdf/11123421","USPTO PDF")</f>
        <v>0.0</v>
      </c>
      <c r="K4575" s="2" t="n">
        <f>HYPERLINK("https://sectors.patentforecast.com/pmd/US11123421","PMD")</f>
        <v>0.0</v>
      </c>
      <c r="L4575" s="2" t="n">
        <f>HYPERLINK("https://globaldossier.uspto.gov/result/patent/US/11123421/1","US11123421")</f>
        <v>0.0</v>
      </c>
      <c r="M4575" t="s">
        <v>27699</v>
      </c>
      <c r="N4575" t="s">
        <v>14442</v>
      </c>
      <c r="O4575" t="s">
        <v>14443</v>
      </c>
      <c r="P4575" t="s">
        <v>27700</v>
      </c>
      <c r="Q4575" s="3" t="n">
        <v>42843.0</v>
      </c>
      <c r="R4575" s="3" t="n">
        <v>44460.0</v>
      </c>
      <c r="S4575" s="3" t="n">
        <v>44463.232308819446</v>
      </c>
      <c r="T4575" s="3" t="n">
        <v>44466.371642881946</v>
      </c>
      <c r="U4575" t="s">
        <v>27701</v>
      </c>
      <c r="V4575" t="s">
        <v>27702</v>
      </c>
    </row>
    <row r="4576">
      <c r="A4576" t="s">
        <v>23557</v>
      </c>
      <c r="B4576" t="s">
        <v>27703</v>
      </c>
      <c r="C4576" t="s">
        <v>60</v>
      </c>
      <c r="D4576" t="s">
        <v>61</v>
      </c>
      <c r="E4576" t="s">
        <v>27704</v>
      </c>
      <c r="F4576" s="2" t="n">
        <f>HYPERLINK("https://patents.google.com/patent/US11123329","Google")</f>
        <v>0.0</v>
      </c>
      <c r="G4576" s="2" t="n">
        <f>HYPERLINK("https://patentcenter.uspto.gov/applications/17113416","Patent Center")</f>
        <v>0.0</v>
      </c>
      <c r="H4576" s="2" t="n">
        <f>HYPERLINK("https://worldwide.espacenet.com/patent/search?q=US11123329","Espacenet")</f>
        <v>0.0</v>
      </c>
      <c r="I4576" s="2" t="n">
        <f>HYPERLINK("https://ppubs.uspto.gov/pubwebapp/external.html?q=11123329.pn.","USPTO")</f>
        <v>0.0</v>
      </c>
      <c r="J4576" s="2" t="n">
        <f>HYPERLINK("https://image-ppubs.uspto.gov/dirsearch-public/print/downloadPdf/11123329","USPTO PDF")</f>
        <v>0.0</v>
      </c>
      <c r="K4576" s="2" t="n">
        <f>HYPERLINK("https://sectors.patentforecast.com/pmd/US11123329","PMD")</f>
        <v>0.0</v>
      </c>
      <c r="L4576" s="2" t="n">
        <f>HYPERLINK("https://globaldossier.uspto.gov/result/patent/US/11123329/1","US11123329")</f>
        <v>0.0</v>
      </c>
      <c r="M4576" t="s">
        <v>13974</v>
      </c>
      <c r="N4576" t="s">
        <v>8858</v>
      </c>
      <c r="O4576" t="s">
        <v>8859</v>
      </c>
      <c r="P4576" t="s">
        <v>27705</v>
      </c>
      <c r="Q4576" s="3" t="n">
        <v>44172.0</v>
      </c>
      <c r="R4576" s="3" t="n">
        <v>44460.0</v>
      </c>
      <c r="S4576" s="3" t="n">
        <v>44468.23020048611</v>
      </c>
      <c r="T4576" s="3" t="n">
        <v>44474.570611041665</v>
      </c>
      <c r="U4576" t="s">
        <v>27706</v>
      </c>
      <c r="V4576" t="s">
        <v>27707</v>
      </c>
    </row>
    <row r="4577">
      <c r="A4577" t="s">
        <v>23557</v>
      </c>
      <c r="B4577" t="s">
        <v>27708</v>
      </c>
      <c r="C4577" t="s">
        <v>24</v>
      </c>
      <c r="D4577" t="s">
        <v>100</v>
      </c>
      <c r="E4577" t="s">
        <v>27709</v>
      </c>
      <c r="F4577" s="2" t="n">
        <f>HYPERLINK("https://patents.google.com/patent/US11122940","Google")</f>
        <v>0.0</v>
      </c>
      <c r="G4577" s="2" t="n">
        <f>HYPERLINK("https://patentcenter.uspto.gov/applications/17128332","Patent Center")</f>
        <v>0.0</v>
      </c>
      <c r="H4577" s="2" t="n">
        <f>HYPERLINK("https://worldwide.espacenet.com/patent/search?q=US11122940","Espacenet")</f>
        <v>0.0</v>
      </c>
      <c r="I4577" s="2" t="n">
        <f>HYPERLINK("https://ppubs.uspto.gov/pubwebapp/external.html?q=11122940.pn.","USPTO")</f>
        <v>0.0</v>
      </c>
      <c r="J4577" s="2" t="n">
        <f>HYPERLINK("https://image-ppubs.uspto.gov/dirsearch-public/print/downloadPdf/11122940","USPTO PDF")</f>
        <v>0.0</v>
      </c>
      <c r="K4577" s="2" t="n">
        <f>HYPERLINK("https://sectors.patentforecast.com/pmd/US11122940","PMD")</f>
        <v>0.0</v>
      </c>
      <c r="L4577" s="2" t="n">
        <f>HYPERLINK("https://globaldossier.uspto.gov/result/patent/US/11122940/1","US11122940")</f>
        <v>0.0</v>
      </c>
      <c r="M4577" t="s">
        <v>27710</v>
      </c>
      <c r="N4577" t="s">
        <v>7738</v>
      </c>
      <c r="O4577" t="s">
        <v>7739</v>
      </c>
      <c r="P4577" t="s">
        <v>27711</v>
      </c>
      <c r="Q4577" s="3" t="n">
        <v>44186.0</v>
      </c>
      <c r="R4577" s="3" t="n">
        <v>44460.0</v>
      </c>
      <c r="S4577" s="3" t="n">
        <v>44468.23020048611</v>
      </c>
      <c r="T4577" s="3" t="n">
        <v>44474.57039037037</v>
      </c>
      <c r="U4577" t="s">
        <v>27712</v>
      </c>
      <c r="V4577" t="s">
        <v>27713</v>
      </c>
    </row>
    <row r="4578">
      <c r="A4578" t="s">
        <v>23557</v>
      </c>
      <c r="B4578" t="s">
        <v>27714</v>
      </c>
      <c r="C4578" t="s">
        <v>24</v>
      </c>
      <c r="D4578" t="s">
        <v>69</v>
      </c>
      <c r="E4578" t="s">
        <v>27715</v>
      </c>
      <c r="F4578" s="2" t="n">
        <f>HYPERLINK("https://patents.google.com/patent/US11119340","Google")</f>
        <v>0.0</v>
      </c>
      <c r="G4578" s="2" t="n">
        <f>HYPERLINK("https://patentcenter.uspto.gov/applications/17030410","Patent Center")</f>
        <v>0.0</v>
      </c>
      <c r="H4578" s="2" t="n">
        <f>HYPERLINK("https://worldwide.espacenet.com/patent/search?q=US11119340","Espacenet")</f>
        <v>0.0</v>
      </c>
      <c r="I4578" s="2" t="n">
        <f>HYPERLINK("https://ppubs.uspto.gov/pubwebapp/external.html?q=11119340.pn.","USPTO")</f>
        <v>0.0</v>
      </c>
      <c r="J4578" s="2" t="n">
        <f>HYPERLINK("https://image-ppubs.uspto.gov/dirsearch-public/print/downloadPdf/11119340","USPTO PDF")</f>
        <v>0.0</v>
      </c>
      <c r="K4578" s="2" t="n">
        <f>HYPERLINK("https://sectors.patentforecast.com/pmd/US11119340","PMD")</f>
        <v>0.0</v>
      </c>
      <c r="L4578" s="2" t="n">
        <f>HYPERLINK("https://globaldossier.uspto.gov/result/patent/US/11119340/1","US11119340")</f>
        <v>0.0</v>
      </c>
      <c r="M4578" t="s">
        <v>15686</v>
      </c>
      <c r="N4578" t="s">
        <v>15687</v>
      </c>
      <c r="O4578" t="s">
        <v>15687</v>
      </c>
      <c r="P4578" t="s">
        <v>27716</v>
      </c>
      <c r="Q4578" s="3" t="n">
        <v>44098.0</v>
      </c>
      <c r="R4578" s="3" t="n">
        <v>44453.0</v>
      </c>
      <c r="S4578" s="3" t="n">
        <v>44456.229758333335</v>
      </c>
      <c r="T4578" s="3" t="n">
        <v>44459.412589444444</v>
      </c>
      <c r="U4578" t="s">
        <v>27717</v>
      </c>
      <c r="V4578" t="s">
        <v>27718</v>
      </c>
    </row>
    <row r="4579">
      <c r="A4579" t="s">
        <v>23557</v>
      </c>
      <c r="B4579" t="s">
        <v>27719</v>
      </c>
      <c r="C4579" t="s">
        <v>24</v>
      </c>
      <c r="D4579" t="s">
        <v>51</v>
      </c>
      <c r="E4579" t="s">
        <v>27720</v>
      </c>
      <c r="F4579" s="2" t="n">
        <f>HYPERLINK("https://patents.google.com/patent/US11119103","Google")</f>
        <v>0.0</v>
      </c>
      <c r="G4579" s="2" t="n">
        <f>HYPERLINK("https://patentcenter.uspto.gov/applications/16900798","Patent Center")</f>
        <v>0.0</v>
      </c>
      <c r="H4579" s="2" t="n">
        <f>HYPERLINK("https://worldwide.espacenet.com/patent/search?q=US11119103","Espacenet")</f>
        <v>0.0</v>
      </c>
      <c r="I4579" s="2" t="n">
        <f>HYPERLINK("https://ppubs.uspto.gov/pubwebapp/external.html?q=11119103.pn.","USPTO")</f>
        <v>0.0</v>
      </c>
      <c r="J4579" s="2" t="n">
        <f>HYPERLINK("https://image-ppubs.uspto.gov/dirsearch-public/print/downloadPdf/11119103","USPTO PDF")</f>
        <v>0.0</v>
      </c>
      <c r="K4579" s="2" t="n">
        <f>HYPERLINK("https://sectors.patentforecast.com/pmd/US11119103","PMD")</f>
        <v>0.0</v>
      </c>
      <c r="L4579" s="2" t="n">
        <f>HYPERLINK("https://globaldossier.uspto.gov/result/patent/US/11119103/1","US11119103")</f>
        <v>0.0</v>
      </c>
      <c r="M4579" t="s">
        <v>27721</v>
      </c>
      <c r="N4579" t="s">
        <v>3605</v>
      </c>
      <c r="O4579" t="s">
        <v>3606</v>
      </c>
      <c r="P4579" t="s">
        <v>27722</v>
      </c>
      <c r="Q4579" s="3" t="n">
        <v>43994.0</v>
      </c>
      <c r="R4579" s="3" t="n">
        <v>44453.0</v>
      </c>
      <c r="S4579" s="3" t="n">
        <v>44463.230225520834</v>
      </c>
      <c r="T4579" s="3" t="n">
        <v>44463.71467291666</v>
      </c>
      <c r="U4579" t="s">
        <v>27723</v>
      </c>
      <c r="V4579" t="s">
        <v>27724</v>
      </c>
    </row>
    <row r="4580">
      <c r="A4580" t="s">
        <v>23557</v>
      </c>
      <c r="B4580" t="s">
        <v>27725</v>
      </c>
      <c r="C4580" t="s">
        <v>24</v>
      </c>
      <c r="D4580" t="s">
        <v>69</v>
      </c>
      <c r="E4580" t="s">
        <v>27726</v>
      </c>
      <c r="F4580" s="2" t="n">
        <f>HYPERLINK("https://patents.google.com/patent/US11116999","Google")</f>
        <v>0.0</v>
      </c>
      <c r="G4580" s="2" t="n">
        <f>HYPERLINK("https://patentcenter.uspto.gov/applications/16904127","Patent Center")</f>
        <v>0.0</v>
      </c>
      <c r="H4580" s="2" t="n">
        <f>HYPERLINK("https://worldwide.espacenet.com/patent/search?q=US11116999","Espacenet")</f>
        <v>0.0</v>
      </c>
      <c r="I4580" s="2" t="n">
        <f>HYPERLINK("https://ppubs.uspto.gov/pubwebapp/external.html?q=11116999.pn.","USPTO")</f>
        <v>0.0</v>
      </c>
      <c r="J4580" s="2" t="n">
        <f>HYPERLINK("https://image-ppubs.uspto.gov/dirsearch-public/print/downloadPdf/11116999","USPTO PDF")</f>
        <v>0.0</v>
      </c>
      <c r="K4580" s="2" t="n">
        <f>HYPERLINK("https://sectors.patentforecast.com/pmd/US11116999","PMD")</f>
        <v>0.0</v>
      </c>
      <c r="L4580" s="2" t="n">
        <f>HYPERLINK("https://globaldossier.uspto.gov/result/patent/US/11116999/1","US11116999")</f>
        <v>0.0</v>
      </c>
      <c r="M4580" t="s">
        <v>27727</v>
      </c>
      <c r="N4580" t="s">
        <v>27728</v>
      </c>
      <c r="O4580" t="s">
        <v>27728</v>
      </c>
      <c r="P4580" t="s">
        <v>27729</v>
      </c>
      <c r="Q4580" s="3" t="n">
        <v>43999.0</v>
      </c>
      <c r="R4580" s="3" t="n">
        <v>44453.0</v>
      </c>
      <c r="S4580" s="3" t="n">
        <v>44463.230225520834</v>
      </c>
      <c r="T4580" s="3" t="n">
        <v>44463.71461974537</v>
      </c>
      <c r="U4580" t="s">
        <v>27730</v>
      </c>
      <c r="V4580" t="s">
        <v>27731</v>
      </c>
    </row>
    <row r="4581">
      <c r="A4581" t="s">
        <v>23557</v>
      </c>
      <c r="B4581" t="s">
        <v>27732</v>
      </c>
      <c r="C4581" t="s">
        <v>60</v>
      </c>
      <c r="D4581" t="s">
        <v>61</v>
      </c>
      <c r="E4581" t="s">
        <v>27733</v>
      </c>
      <c r="F4581" s="2" t="n">
        <f>HYPERLINK("https://patents.google.com/patent/US11116737","Google")</f>
        <v>0.0</v>
      </c>
      <c r="G4581" s="2" t="n">
        <f>HYPERLINK("https://patentcenter.uspto.gov/applications/16875487","Patent Center")</f>
        <v>0.0</v>
      </c>
      <c r="H4581" s="2" t="n">
        <f>HYPERLINK("https://worldwide.espacenet.com/patent/search?q=US11116737","Espacenet")</f>
        <v>0.0</v>
      </c>
      <c r="I4581" s="2" t="n">
        <f>HYPERLINK("https://ppubs.uspto.gov/pubwebapp/external.html?q=11116737.pn.","USPTO")</f>
        <v>0.0</v>
      </c>
      <c r="J4581" s="2" t="n">
        <f>HYPERLINK("https://image-ppubs.uspto.gov/dirsearch-public/print/downloadPdf/11116737","USPTO PDF")</f>
        <v>0.0</v>
      </c>
      <c r="K4581" s="2" t="n">
        <f>HYPERLINK("https://sectors.patentforecast.com/pmd/US11116737","PMD")</f>
        <v>0.0</v>
      </c>
      <c r="L4581" s="2" t="n">
        <f>HYPERLINK("https://globaldossier.uspto.gov/result/patent/US/11116737/1","US11116737")</f>
        <v>0.0</v>
      </c>
      <c r="M4581" t="s">
        <v>27734</v>
      </c>
      <c r="N4581" t="s">
        <v>1080</v>
      </c>
      <c r="O4581" t="s">
        <v>1081</v>
      </c>
      <c r="P4581" t="s">
        <v>27735</v>
      </c>
      <c r="Q4581" s="3" t="n">
        <v>43966.0</v>
      </c>
      <c r="R4581" s="3" t="n">
        <v>44453.0</v>
      </c>
      <c r="S4581" s="3" t="n">
        <v>44463.230225520834</v>
      </c>
      <c r="T4581" s="3" t="n">
        <v>44466.3710987963</v>
      </c>
      <c r="U4581" t="s">
        <v>27736</v>
      </c>
      <c r="V4581" t="s">
        <v>27737</v>
      </c>
    </row>
    <row r="4582">
      <c r="A4582" t="s">
        <v>23557</v>
      </c>
      <c r="B4582" t="s">
        <v>27738</v>
      </c>
      <c r="C4582" t="s">
        <v>24</v>
      </c>
      <c r="D4582" t="s">
        <v>25</v>
      </c>
      <c r="E4582" t="s">
        <v>27739</v>
      </c>
      <c r="F4582" s="2" t="n">
        <f>HYPERLINK("https://patents.google.com/patent/US11116398","Google")</f>
        <v>0.0</v>
      </c>
      <c r="G4582" s="2" t="n">
        <f>HYPERLINK("https://patentcenter.uspto.gov/applications/15688915","Patent Center")</f>
        <v>0.0</v>
      </c>
      <c r="H4582" s="2" t="n">
        <f>HYPERLINK("https://worldwide.espacenet.com/patent/search?q=US11116398","Espacenet")</f>
        <v>0.0</v>
      </c>
      <c r="I4582" s="2" t="n">
        <f>HYPERLINK("https://ppubs.uspto.gov/pubwebapp/external.html?q=11116398.pn.","USPTO")</f>
        <v>0.0</v>
      </c>
      <c r="J4582" s="2" t="n">
        <f>HYPERLINK("https://image-ppubs.uspto.gov/dirsearch-public/print/downloadPdf/11116398","USPTO PDF")</f>
        <v>0.0</v>
      </c>
      <c r="K4582" s="2" t="n">
        <f>HYPERLINK("https://sectors.patentforecast.com/pmd/US11116398","PMD")</f>
        <v>0.0</v>
      </c>
      <c r="L4582" s="2" t="n">
        <f>HYPERLINK("https://globaldossier.uspto.gov/result/patent/US/11116398/1","US11116398")</f>
        <v>0.0</v>
      </c>
      <c r="M4582" t="s">
        <v>17908</v>
      </c>
      <c r="N4582" t="s">
        <v>17909</v>
      </c>
      <c r="O4582" t="s">
        <v>17910</v>
      </c>
      <c r="P4582" t="s">
        <v>27740</v>
      </c>
      <c r="Q4582" s="3" t="n">
        <v>42976.0</v>
      </c>
      <c r="R4582" s="3" t="n">
        <v>44453.0</v>
      </c>
      <c r="S4582" s="3" t="n">
        <v>44463.23161458333</v>
      </c>
      <c r="T4582" s="3" t="n">
        <v>44463.730042662035</v>
      </c>
      <c r="U4582" t="s">
        <v>27741</v>
      </c>
      <c r="V4582" t="s">
        <v>17913</v>
      </c>
    </row>
    <row r="4583">
      <c r="A4583" t="s">
        <v>23557</v>
      </c>
      <c r="B4583" t="s">
        <v>27742</v>
      </c>
      <c r="C4583" t="s">
        <v>24</v>
      </c>
      <c r="D4583" t="s">
        <v>69</v>
      </c>
      <c r="E4583" t="s">
        <v>27743</v>
      </c>
      <c r="F4583" s="2" t="n">
        <f>HYPERLINK("https://patents.google.com/patent/US11113913","Google")</f>
        <v>0.0</v>
      </c>
      <c r="G4583" s="2" t="n">
        <f>HYPERLINK("https://patentcenter.uspto.gov/applications/16925066","Patent Center")</f>
        <v>0.0</v>
      </c>
      <c r="H4583" s="2" t="n">
        <f>HYPERLINK("https://worldwide.espacenet.com/patent/search?q=US11113913","Espacenet")</f>
        <v>0.0</v>
      </c>
      <c r="I4583" s="2" t="n">
        <f>HYPERLINK("https://ppubs.uspto.gov/pubwebapp/external.html?q=11113913.pn.","USPTO")</f>
        <v>0.0</v>
      </c>
      <c r="J4583" s="2" t="n">
        <f>HYPERLINK("https://image-ppubs.uspto.gov/dirsearch-public/print/downloadPdf/11113913","USPTO PDF")</f>
        <v>0.0</v>
      </c>
      <c r="K4583" s="2" t="n">
        <f>HYPERLINK("https://sectors.patentforecast.com/pmd/US11113913","PMD")</f>
        <v>0.0</v>
      </c>
      <c r="L4583" s="2" t="n">
        <f>HYPERLINK("https://globaldossier.uspto.gov/result/patent/US/11113913/1","US11113913")</f>
        <v>0.0</v>
      </c>
      <c r="M4583" t="s">
        <v>27744</v>
      </c>
      <c r="N4583" t="s">
        <v>27745</v>
      </c>
      <c r="O4583" t="s">
        <v>27746</v>
      </c>
      <c r="P4583" t="s">
        <v>27747</v>
      </c>
      <c r="Q4583" s="3" t="n">
        <v>44021.0</v>
      </c>
      <c r="R4583" s="3" t="n">
        <v>44446.0</v>
      </c>
      <c r="S4583" s="3" t="n">
        <v>44446.23696916667</v>
      </c>
      <c r="T4583" s="3" t="n">
        <v>44448.6778644213</v>
      </c>
      <c r="U4583" t="s">
        <v>27748</v>
      </c>
      <c r="V4583" t="s">
        <v>27749</v>
      </c>
    </row>
    <row r="4584">
      <c r="A4584" t="s">
        <v>23557</v>
      </c>
      <c r="B4584" t="s">
        <v>27750</v>
      </c>
      <c r="C4584" t="s">
        <v>24</v>
      </c>
      <c r="D4584" t="s">
        <v>51</v>
      </c>
      <c r="E4584" t="s">
        <v>27751</v>
      </c>
      <c r="F4584" s="2" t="n">
        <f>HYPERLINK("https://patents.google.com/patent/US11112412","Google")</f>
        <v>0.0</v>
      </c>
      <c r="G4584" s="2" t="n">
        <f>HYPERLINK("https://patentcenter.uspto.gov/applications/16939405","Patent Center")</f>
        <v>0.0</v>
      </c>
      <c r="H4584" s="2" t="n">
        <f>HYPERLINK("https://worldwide.espacenet.com/patent/search?q=US11112412","Espacenet")</f>
        <v>0.0</v>
      </c>
      <c r="I4584" s="2" t="n">
        <f>HYPERLINK("https://ppubs.uspto.gov/pubwebapp/external.html?q=11112412.pn.","USPTO")</f>
        <v>0.0</v>
      </c>
      <c r="J4584" s="2" t="n">
        <f>HYPERLINK("https://image-ppubs.uspto.gov/dirsearch-public/print/downloadPdf/11112412","USPTO PDF")</f>
        <v>0.0</v>
      </c>
      <c r="K4584" s="2" t="n">
        <f>HYPERLINK("https://sectors.patentforecast.com/pmd/US11112412","PMD")</f>
        <v>0.0</v>
      </c>
      <c r="L4584" s="2" t="n">
        <f>HYPERLINK("https://globaldossier.uspto.gov/result/patent/US/11112412/1","US11112412")</f>
        <v>0.0</v>
      </c>
      <c r="M4584" t="s">
        <v>13309</v>
      </c>
      <c r="N4584" t="s">
        <v>7403</v>
      </c>
      <c r="O4584" t="s">
        <v>7404</v>
      </c>
      <c r="P4584" t="s">
        <v>27752</v>
      </c>
      <c r="Q4584" s="3" t="n">
        <v>44039.0</v>
      </c>
      <c r="R4584" s="3" t="n">
        <v>44446.0</v>
      </c>
      <c r="S4584" s="3" t="n">
        <v>44446.23696916667</v>
      </c>
      <c r="T4584" s="3" t="n">
        <v>44448.678199710645</v>
      </c>
      <c r="U4584" t="s">
        <v>27753</v>
      </c>
      <c r="V4584" t="s">
        <v>7406</v>
      </c>
    </row>
    <row r="4585">
      <c r="A4585" t="s">
        <v>23557</v>
      </c>
      <c r="B4585" t="s">
        <v>27754</v>
      </c>
      <c r="C4585" t="s">
        <v>24</v>
      </c>
      <c r="D4585" t="s">
        <v>100</v>
      </c>
      <c r="E4585" t="s">
        <v>27755</v>
      </c>
      <c r="F4585" s="2" t="n">
        <f>HYPERLINK("https://patents.google.com/patent/US11109624","Google")</f>
        <v>0.0</v>
      </c>
      <c r="G4585" s="2" t="n">
        <f>HYPERLINK("https://patentcenter.uspto.gov/applications/16850332","Patent Center")</f>
        <v>0.0</v>
      </c>
      <c r="H4585" s="2" t="n">
        <f>HYPERLINK("https://worldwide.espacenet.com/patent/search?q=US11109624","Espacenet")</f>
        <v>0.0</v>
      </c>
      <c r="I4585" s="2" t="n">
        <f>HYPERLINK("https://ppubs.uspto.gov/pubwebapp/external.html?q=11109624.pn.","USPTO")</f>
        <v>0.0</v>
      </c>
      <c r="J4585" s="2" t="n">
        <f>HYPERLINK("https://image-ppubs.uspto.gov/dirsearch-public/print/downloadPdf/11109624","USPTO PDF")</f>
        <v>0.0</v>
      </c>
      <c r="K4585" s="2" t="n">
        <f>HYPERLINK("https://sectors.patentforecast.com/pmd/US11109624","PMD")</f>
        <v>0.0</v>
      </c>
      <c r="L4585" s="2" t="n">
        <f>HYPERLINK("https://globaldossier.uspto.gov/result/patent/US/11109624/1","US11109624")</f>
        <v>0.0</v>
      </c>
      <c r="M4585" t="s">
        <v>27756</v>
      </c>
      <c r="N4585" t="s">
        <v>7082</v>
      </c>
      <c r="O4585" t="s">
        <v>7083</v>
      </c>
      <c r="P4585" t="s">
        <v>27757</v>
      </c>
      <c r="Q4585" s="3" t="n">
        <v>43937.0</v>
      </c>
      <c r="R4585" s="3" t="n">
        <v>44446.0</v>
      </c>
      <c r="S4585" s="3" t="n">
        <v>44446.23696916667</v>
      </c>
      <c r="T4585" s="3" t="n">
        <v>44448.67912141204</v>
      </c>
      <c r="U4585" t="s">
        <v>27758</v>
      </c>
      <c r="V4585" t="s">
        <v>27759</v>
      </c>
    </row>
    <row r="4586">
      <c r="A4586" t="s">
        <v>23557</v>
      </c>
      <c r="B4586" t="s">
        <v>27760</v>
      </c>
      <c r="C4586" t="s">
        <v>312</v>
      </c>
      <c r="D4586" t="s">
        <v>976</v>
      </c>
      <c r="E4586" t="s">
        <v>27761</v>
      </c>
      <c r="F4586" s="2" t="n">
        <f>HYPERLINK("https://patents.google.com/patent/US11107588","Google")</f>
        <v>0.0</v>
      </c>
      <c r="G4586" s="2" t="n">
        <f>HYPERLINK("https://patentcenter.uspto.gov/applications/17106279","Patent Center")</f>
        <v>0.0</v>
      </c>
      <c r="H4586" s="2" t="n">
        <f>HYPERLINK("https://worldwide.espacenet.com/patent/search?q=US11107588","Espacenet")</f>
        <v>0.0</v>
      </c>
      <c r="I4586" s="2" t="n">
        <f>HYPERLINK("https://ppubs.uspto.gov/pubwebapp/external.html?q=11107588.pn.","USPTO")</f>
        <v>0.0</v>
      </c>
      <c r="J4586" s="2" t="n">
        <f>HYPERLINK("https://image-ppubs.uspto.gov/dirsearch-public/print/downloadPdf/11107588","USPTO PDF")</f>
        <v>0.0</v>
      </c>
      <c r="K4586" s="2" t="n">
        <f>HYPERLINK("https://sectors.patentforecast.com/pmd/US11107588","PMD")</f>
        <v>0.0</v>
      </c>
      <c r="L4586" s="2" t="n">
        <f>HYPERLINK("https://globaldossier.uspto.gov/result/patent/US/11107588/1","US11107588")</f>
        <v>0.0</v>
      </c>
      <c r="M4586" t="s">
        <v>15509</v>
      </c>
      <c r="N4586" t="s">
        <v>15510</v>
      </c>
      <c r="O4586" t="s">
        <v>15511</v>
      </c>
      <c r="P4586" t="s">
        <v>27762</v>
      </c>
      <c r="Q4586" s="3" t="n">
        <v>44165.0</v>
      </c>
      <c r="R4586" s="3" t="n">
        <v>44439.0</v>
      </c>
      <c r="S4586" s="3" t="n">
        <v>44439.23152851852</v>
      </c>
      <c r="T4586" s="3" t="n">
        <v>44448.42163107639</v>
      </c>
      <c r="U4586" t="s">
        <v>27763</v>
      </c>
      <c r="V4586" t="s">
        <v>27764</v>
      </c>
    </row>
    <row r="4587">
      <c r="A4587" t="s">
        <v>23557</v>
      </c>
      <c r="B4587" t="s">
        <v>27765</v>
      </c>
      <c r="C4587" t="s">
        <v>24</v>
      </c>
      <c r="D4587" t="s">
        <v>69</v>
      </c>
      <c r="E4587" t="s">
        <v>27766</v>
      </c>
      <c r="F4587" s="2" t="n">
        <f>HYPERLINK("https://patents.google.com/patent/US11107013","Google")</f>
        <v>0.0</v>
      </c>
      <c r="G4587" s="2" t="n">
        <f>HYPERLINK("https://patentcenter.uspto.gov/applications/17024453","Patent Center")</f>
        <v>0.0</v>
      </c>
      <c r="H4587" s="2" t="n">
        <f>HYPERLINK("https://worldwide.espacenet.com/patent/search?q=US11107013","Espacenet")</f>
        <v>0.0</v>
      </c>
      <c r="I4587" s="2" t="n">
        <f>HYPERLINK("https://ppubs.uspto.gov/pubwebapp/external.html?q=11107013.pn.","USPTO")</f>
        <v>0.0</v>
      </c>
      <c r="J4587" s="2" t="n">
        <f>HYPERLINK("https://image-ppubs.uspto.gov/dirsearch-public/print/downloadPdf/11107013","USPTO PDF")</f>
        <v>0.0</v>
      </c>
      <c r="K4587" s="2" t="n">
        <f>HYPERLINK("https://sectors.patentforecast.com/pmd/US11107013","PMD")</f>
        <v>0.0</v>
      </c>
      <c r="L4587" s="2" t="n">
        <f>HYPERLINK("https://globaldossier.uspto.gov/result/patent/US/11107013/1","US11107013")</f>
        <v>0.0</v>
      </c>
      <c r="M4587" t="s">
        <v>15827</v>
      </c>
      <c r="N4587" t="s">
        <v>15828</v>
      </c>
      <c r="O4587" t="s">
        <v>15828</v>
      </c>
      <c r="P4587" t="s">
        <v>27767</v>
      </c>
      <c r="Q4587" s="3" t="n">
        <v>44091.0</v>
      </c>
      <c r="R4587" s="3" t="n">
        <v>44439.0</v>
      </c>
      <c r="S4587" s="3" t="n">
        <v>44439.23152851852</v>
      </c>
      <c r="T4587" s="3" t="n">
        <v>44448.421991828705</v>
      </c>
      <c r="U4587" t="s">
        <v>27768</v>
      </c>
      <c r="V4587" t="s">
        <v>15830</v>
      </c>
    </row>
    <row r="4588">
      <c r="A4588" t="s">
        <v>23557</v>
      </c>
      <c r="B4588" t="s">
        <v>27769</v>
      </c>
      <c r="C4588" t="s">
        <v>24</v>
      </c>
      <c r="D4588" t="s">
        <v>51</v>
      </c>
      <c r="E4588" t="s">
        <v>26848</v>
      </c>
      <c r="F4588" s="2" t="n">
        <f>HYPERLINK("https://patents.google.com/patent/US11105804","Google")</f>
        <v>0.0</v>
      </c>
      <c r="G4588" s="2" t="n">
        <f>HYPERLINK("https://patentcenter.uspto.gov/applications/17141837","Patent Center")</f>
        <v>0.0</v>
      </c>
      <c r="H4588" s="2" t="n">
        <f>HYPERLINK("https://worldwide.espacenet.com/patent/search?q=US11105804","Espacenet")</f>
        <v>0.0</v>
      </c>
      <c r="I4588" s="2" t="n">
        <f>HYPERLINK("https://ppubs.uspto.gov/pubwebapp/external.html?q=11105804.pn.","USPTO")</f>
        <v>0.0</v>
      </c>
      <c r="J4588" s="2" t="n">
        <f>HYPERLINK("https://image-ppubs.uspto.gov/dirsearch-public/print/downloadPdf/11105804","USPTO PDF")</f>
        <v>0.0</v>
      </c>
      <c r="K4588" s="2" t="n">
        <f>HYPERLINK("https://sectors.patentforecast.com/pmd/US11105804","PMD")</f>
        <v>0.0</v>
      </c>
      <c r="L4588" s="2" t="n">
        <f>HYPERLINK("https://globaldossier.uspto.gov/result/patent/US/11105804/1","US11105804")</f>
        <v>0.0</v>
      </c>
      <c r="M4588" t="s">
        <v>27770</v>
      </c>
      <c r="N4588" t="s">
        <v>2024</v>
      </c>
      <c r="O4588" t="s">
        <v>2024</v>
      </c>
      <c r="P4588" t="s">
        <v>27771</v>
      </c>
      <c r="Q4588" s="3" t="n">
        <v>44201.0</v>
      </c>
      <c r="R4588" s="3" t="n">
        <v>44439.0</v>
      </c>
      <c r="S4588" s="3" t="n">
        <v>44439.22944335648</v>
      </c>
      <c r="T4588" s="3" t="n">
        <v>44440.39352820602</v>
      </c>
      <c r="U4588" t="s">
        <v>27772</v>
      </c>
      <c r="V4588" t="s">
        <v>27773</v>
      </c>
    </row>
    <row r="4589">
      <c r="A4589" t="s">
        <v>23557</v>
      </c>
      <c r="B4589" t="s">
        <v>27774</v>
      </c>
      <c r="C4589" t="s">
        <v>24</v>
      </c>
      <c r="D4589" t="s">
        <v>25</v>
      </c>
      <c r="E4589" t="s">
        <v>27775</v>
      </c>
      <c r="F4589" s="2" t="n">
        <f>HYPERLINK("https://patents.google.com/patent/US11104347","Google")</f>
        <v>0.0</v>
      </c>
      <c r="G4589" s="2" t="n">
        <f>HYPERLINK("https://patentcenter.uspto.gov/applications/16920330","Patent Center")</f>
        <v>0.0</v>
      </c>
      <c r="H4589" s="2" t="n">
        <f>HYPERLINK("https://worldwide.espacenet.com/patent/search?q=US11104347","Espacenet")</f>
        <v>0.0</v>
      </c>
      <c r="I4589" s="2" t="n">
        <f>HYPERLINK("https://ppubs.uspto.gov/pubwebapp/external.html?q=11104347.pn.","USPTO")</f>
        <v>0.0</v>
      </c>
      <c r="J4589" s="2" t="n">
        <f>HYPERLINK("https://image-ppubs.uspto.gov/dirsearch-public/print/downloadPdf/11104347","USPTO PDF")</f>
        <v>0.0</v>
      </c>
      <c r="K4589" s="2" t="n">
        <f>HYPERLINK("https://sectors.patentforecast.com/pmd/US11104347","PMD")</f>
        <v>0.0</v>
      </c>
      <c r="L4589" s="2" t="n">
        <f>HYPERLINK("https://globaldossier.uspto.gov/result/patent/US/11104347/1","US11104347")</f>
        <v>0.0</v>
      </c>
      <c r="M4589" t="s">
        <v>27776</v>
      </c>
      <c r="N4589" t="s">
        <v>27777</v>
      </c>
      <c r="O4589" t="s">
        <v>27777</v>
      </c>
      <c r="P4589" t="s">
        <v>27778</v>
      </c>
      <c r="Q4589" s="3" t="n">
        <v>44014.0</v>
      </c>
      <c r="R4589" s="3" t="n">
        <v>44439.0</v>
      </c>
      <c r="S4589" s="3" t="n">
        <v>44439.23152851852</v>
      </c>
      <c r="T4589" s="3" t="n">
        <v>44448.42256392361</v>
      </c>
      <c r="U4589" t="s">
        <v>27779</v>
      </c>
      <c r="V4589" t="s">
        <v>27780</v>
      </c>
    </row>
    <row r="4590">
      <c r="A4590" t="s">
        <v>23557</v>
      </c>
      <c r="B4590" t="s">
        <v>27781</v>
      </c>
      <c r="C4590" t="s">
        <v>132</v>
      </c>
      <c r="D4590" t="s">
        <v>27782</v>
      </c>
      <c r="E4590" t="s">
        <v>27783</v>
      </c>
      <c r="F4590" s="2" t="n">
        <f>HYPERLINK("https://patents.google.com/patent/US11103576","Google")</f>
        <v>0.0</v>
      </c>
      <c r="G4590" s="2" t="n">
        <f>HYPERLINK("https://patentcenter.uspto.gov/applications/17010591","Patent Center")</f>
        <v>0.0</v>
      </c>
      <c r="H4590" s="2" t="n">
        <f>HYPERLINK("https://worldwide.espacenet.com/patent/search?q=US11103576","Espacenet")</f>
        <v>0.0</v>
      </c>
      <c r="I4590" s="2" t="n">
        <f>HYPERLINK("https://ppubs.uspto.gov/pubwebapp/external.html?q=11103576.pn.","USPTO")</f>
        <v>0.0</v>
      </c>
      <c r="J4590" s="2" t="n">
        <f>HYPERLINK("https://image-ppubs.uspto.gov/dirsearch-public/print/downloadPdf/11103576","USPTO PDF")</f>
        <v>0.0</v>
      </c>
      <c r="K4590" s="2" t="n">
        <f>HYPERLINK("https://sectors.patentforecast.com/pmd/US11103576","PMD")</f>
        <v>0.0</v>
      </c>
      <c r="L4590" s="2" t="n">
        <f>HYPERLINK("https://globaldossier.uspto.gov/result/patent/US/11103576/1","US11103576")</f>
        <v>0.0</v>
      </c>
      <c r="M4590" t="s">
        <v>27784</v>
      </c>
      <c r="N4590" t="s">
        <v>4069</v>
      </c>
      <c r="O4590" t="s">
        <v>4070</v>
      </c>
      <c r="P4590" t="s">
        <v>27785</v>
      </c>
      <c r="Q4590" s="3" t="n">
        <v>44076.0</v>
      </c>
      <c r="R4590" s="3" t="n">
        <v>44439.0</v>
      </c>
      <c r="S4590" s="3" t="n">
        <v>44439.23152851852</v>
      </c>
      <c r="T4590" s="3" t="n">
        <v>44638.68962553241</v>
      </c>
      <c r="U4590" t="s">
        <v>27786</v>
      </c>
      <c r="V4590" t="s">
        <v>8821</v>
      </c>
    </row>
    <row r="4591">
      <c r="A4591" t="s">
        <v>23557</v>
      </c>
      <c r="B4591" t="s">
        <v>27787</v>
      </c>
      <c r="C4591" t="s">
        <v>132</v>
      </c>
      <c r="D4591" t="s">
        <v>133</v>
      </c>
      <c r="E4591" t="s">
        <v>23767</v>
      </c>
      <c r="F4591" s="2" t="n">
        <f>HYPERLINK("https://patents.google.com/patent/US11103575","Google")</f>
        <v>0.0</v>
      </c>
      <c r="G4591" s="2" t="n">
        <f>HYPERLINK("https://patentcenter.uspto.gov/applications/16462125","Patent Center")</f>
        <v>0.0</v>
      </c>
      <c r="H4591" s="2" t="n">
        <f>HYPERLINK("https://worldwide.espacenet.com/patent/search?q=US11103575","Espacenet")</f>
        <v>0.0</v>
      </c>
      <c r="I4591" s="2" t="n">
        <f>HYPERLINK("https://ppubs.uspto.gov/pubwebapp/external.html?q=11103575.pn.","USPTO")</f>
        <v>0.0</v>
      </c>
      <c r="J4591" s="2" t="n">
        <f>HYPERLINK("https://image-ppubs.uspto.gov/dirsearch-public/print/downloadPdf/11103575","USPTO PDF")</f>
        <v>0.0</v>
      </c>
      <c r="K4591" s="2" t="n">
        <f>HYPERLINK("https://sectors.patentforecast.com/pmd/US11103575","PMD")</f>
        <v>0.0</v>
      </c>
      <c r="L4591" s="2" t="n">
        <f>HYPERLINK("https://globaldossier.uspto.gov/result/patent/US/11103575/1","US11103575")</f>
        <v>0.0</v>
      </c>
      <c r="M4591" t="s">
        <v>17379</v>
      </c>
      <c r="N4591" t="s">
        <v>17380</v>
      </c>
      <c r="O4591" t="s">
        <v>17381</v>
      </c>
      <c r="P4591" t="s">
        <v>27788</v>
      </c>
      <c r="Q4591" s="3" t="n">
        <v>43056.0</v>
      </c>
      <c r="R4591" s="3" t="n">
        <v>44439.0</v>
      </c>
      <c r="S4591" s="3" t="n">
        <v>44439.233262546295</v>
      </c>
      <c r="T4591" s="3" t="n">
        <v>44440.39942608796</v>
      </c>
      <c r="U4591" t="s">
        <v>27789</v>
      </c>
      <c r="V4591" t="s">
        <v>17384</v>
      </c>
    </row>
    <row r="4592">
      <c r="A4592" t="s">
        <v>23557</v>
      </c>
      <c r="B4592" t="s">
        <v>27790</v>
      </c>
      <c r="C4592" t="s">
        <v>24</v>
      </c>
      <c r="D4592" t="s">
        <v>69</v>
      </c>
      <c r="E4592" t="s">
        <v>27791</v>
      </c>
      <c r="F4592" s="2" t="n">
        <f>HYPERLINK("https://patents.google.com/patent/US11103406","Google")</f>
        <v>0.0</v>
      </c>
      <c r="G4592" s="2" t="n">
        <f>HYPERLINK("https://patentcenter.uspto.gov/applications/16993188","Patent Center")</f>
        <v>0.0</v>
      </c>
      <c r="H4592" s="2" t="n">
        <f>HYPERLINK("https://worldwide.espacenet.com/patent/search?q=US11103406","Espacenet")</f>
        <v>0.0</v>
      </c>
      <c r="I4592" s="2" t="n">
        <f>HYPERLINK("https://ppubs.uspto.gov/pubwebapp/external.html?q=11103406.pn.","USPTO")</f>
        <v>0.0</v>
      </c>
      <c r="J4592" s="2" t="n">
        <f>HYPERLINK("https://image-ppubs.uspto.gov/dirsearch-public/print/downloadPdf/11103406","USPTO PDF")</f>
        <v>0.0</v>
      </c>
      <c r="K4592" s="2" t="n">
        <f>HYPERLINK("https://sectors.patentforecast.com/pmd/US11103406","PMD")</f>
        <v>0.0</v>
      </c>
      <c r="L4592" s="2" t="n">
        <f>HYPERLINK("https://globaldossier.uspto.gov/result/patent/US/11103406/1","US11103406")</f>
        <v>0.0</v>
      </c>
      <c r="M4592" t="s">
        <v>27792</v>
      </c>
      <c r="N4592" t="s">
        <v>1792</v>
      </c>
      <c r="O4592" t="s">
        <v>1793</v>
      </c>
      <c r="P4592" t="s">
        <v>27793</v>
      </c>
      <c r="Q4592" s="3" t="n">
        <v>44056.0</v>
      </c>
      <c r="R4592" s="3" t="n">
        <v>44439.0</v>
      </c>
      <c r="S4592" s="3" t="n">
        <v>44439.22944335648</v>
      </c>
      <c r="T4592" s="3" t="n">
        <v>44440.393309479165</v>
      </c>
      <c r="U4592" t="s">
        <v>27794</v>
      </c>
      <c r="V4592" t="s">
        <v>27795</v>
      </c>
    </row>
    <row r="4593">
      <c r="A4593" t="s">
        <v>23557</v>
      </c>
      <c r="B4593" t="s">
        <v>27796</v>
      </c>
      <c r="C4593" t="s">
        <v>24</v>
      </c>
      <c r="D4593" t="s">
        <v>34</v>
      </c>
      <c r="E4593" t="s">
        <v>27797</v>
      </c>
      <c r="F4593" s="2" t="n">
        <f>HYPERLINK("https://patents.google.com/patent/US11103178","Google")</f>
        <v>0.0</v>
      </c>
      <c r="G4593" s="2" t="n">
        <f>HYPERLINK("https://patentcenter.uspto.gov/applications/17183948","Patent Center")</f>
        <v>0.0</v>
      </c>
      <c r="H4593" s="2" t="n">
        <f>HYPERLINK("https://worldwide.espacenet.com/patent/search?q=US11103178","Espacenet")</f>
        <v>0.0</v>
      </c>
      <c r="I4593" s="2" t="n">
        <f>HYPERLINK("https://ppubs.uspto.gov/pubwebapp/external.html?q=11103178.pn.","USPTO")</f>
        <v>0.0</v>
      </c>
      <c r="J4593" s="2" t="n">
        <f>HYPERLINK("https://image-ppubs.uspto.gov/dirsearch-public/print/downloadPdf/11103178","USPTO PDF")</f>
        <v>0.0</v>
      </c>
      <c r="K4593" s="2" t="n">
        <f>HYPERLINK("https://sectors.patentforecast.com/pmd/US11103178","PMD")</f>
        <v>0.0</v>
      </c>
      <c r="L4593" s="2" t="n">
        <f>HYPERLINK("https://globaldossier.uspto.gov/result/patent/US/11103178/1","US11103178")</f>
        <v>0.0</v>
      </c>
      <c r="M4593" t="s">
        <v>27798</v>
      </c>
      <c r="N4593" t="s">
        <v>588</v>
      </c>
      <c r="O4593" t="s">
        <v>589</v>
      </c>
      <c r="P4593" t="s">
        <v>27799</v>
      </c>
      <c r="Q4593" s="3" t="n">
        <v>44251.0</v>
      </c>
      <c r="R4593" s="3" t="n">
        <v>44439.0</v>
      </c>
      <c r="S4593" s="3" t="n">
        <v>44439.23152851852</v>
      </c>
      <c r="T4593" s="3" t="n">
        <v>44448.41922715278</v>
      </c>
      <c r="U4593" t="s">
        <v>27800</v>
      </c>
      <c r="V4593" t="s">
        <v>27801</v>
      </c>
    </row>
    <row r="4594">
      <c r="A4594" t="s">
        <v>23557</v>
      </c>
      <c r="B4594" t="s">
        <v>27802</v>
      </c>
      <c r="C4594" t="s">
        <v>24</v>
      </c>
      <c r="D4594" t="s">
        <v>34</v>
      </c>
      <c r="E4594" t="s">
        <v>27803</v>
      </c>
      <c r="F4594" s="2" t="n">
        <f>HYPERLINK("https://patents.google.com/patent/US11103139","Google")</f>
        <v>0.0</v>
      </c>
      <c r="G4594" s="2" t="n">
        <f>HYPERLINK("https://patentcenter.uspto.gov/applications/17005259","Patent Center")</f>
        <v>0.0</v>
      </c>
      <c r="H4594" s="2" t="n">
        <f>HYPERLINK("https://worldwide.espacenet.com/patent/search?q=US11103139","Espacenet")</f>
        <v>0.0</v>
      </c>
      <c r="I4594" s="2" t="n">
        <f>HYPERLINK("https://ppubs.uspto.gov/pubwebapp/external.html?q=11103139.pn.","USPTO")</f>
        <v>0.0</v>
      </c>
      <c r="J4594" s="2" t="n">
        <f>HYPERLINK("https://image-ppubs.uspto.gov/dirsearch-public/print/downloadPdf/11103139","USPTO PDF")</f>
        <v>0.0</v>
      </c>
      <c r="K4594" s="2" t="n">
        <f>HYPERLINK("https://sectors.patentforecast.com/pmd/US11103139","PMD")</f>
        <v>0.0</v>
      </c>
      <c r="L4594" s="2" t="n">
        <f>HYPERLINK("https://globaldossier.uspto.gov/result/patent/US/11103139/1","US11103139")</f>
        <v>0.0</v>
      </c>
      <c r="M4594" t="s">
        <v>15974</v>
      </c>
      <c r="N4594" t="s">
        <v>14251</v>
      </c>
      <c r="O4594" t="s">
        <v>14252</v>
      </c>
      <c r="P4594" t="s">
        <v>27804</v>
      </c>
      <c r="Q4594" s="3" t="n">
        <v>44070.0</v>
      </c>
      <c r="R4594" s="3" t="n">
        <v>44439.0</v>
      </c>
      <c r="S4594" s="3" t="n">
        <v>44439.23152851852</v>
      </c>
      <c r="T4594" s="3" t="n">
        <v>44440.39610513889</v>
      </c>
      <c r="U4594" t="s">
        <v>27805</v>
      </c>
      <c r="V4594" t="s">
        <v>15976</v>
      </c>
    </row>
    <row r="4595">
      <c r="A4595" t="s">
        <v>23557</v>
      </c>
      <c r="B4595" t="s">
        <v>27806</v>
      </c>
      <c r="C4595" t="s">
        <v>60</v>
      </c>
      <c r="D4595" t="s">
        <v>715</v>
      </c>
      <c r="E4595" t="s">
        <v>27807</v>
      </c>
      <c r="F4595" s="2" t="n">
        <f>HYPERLINK("https://patents.google.com/patent/US11102877","Google")</f>
        <v>0.0</v>
      </c>
      <c r="G4595" s="2" t="n">
        <f>HYPERLINK("https://patentcenter.uspto.gov/applications/16896136","Patent Center")</f>
        <v>0.0</v>
      </c>
      <c r="H4595" s="2" t="n">
        <f>HYPERLINK("https://worldwide.espacenet.com/patent/search?q=US11102877","Espacenet")</f>
        <v>0.0</v>
      </c>
      <c r="I4595" s="2" t="n">
        <f>HYPERLINK("https://ppubs.uspto.gov/pubwebapp/external.html?q=11102877.pn.","USPTO")</f>
        <v>0.0</v>
      </c>
      <c r="J4595" s="2" t="n">
        <f>HYPERLINK("https://image-ppubs.uspto.gov/dirsearch-public/print/downloadPdf/11102877","USPTO PDF")</f>
        <v>0.0</v>
      </c>
      <c r="K4595" s="2" t="n">
        <f>HYPERLINK("https://sectors.patentforecast.com/pmd/US11102877","PMD")</f>
        <v>0.0</v>
      </c>
      <c r="L4595" s="2" t="n">
        <f>HYPERLINK("https://globaldossier.uspto.gov/result/patent/US/11102877/1","US11102877")</f>
        <v>0.0</v>
      </c>
      <c r="M4595" t="s">
        <v>27808</v>
      </c>
      <c r="N4595" t="s">
        <v>8915</v>
      </c>
      <c r="O4595" t="s">
        <v>8916</v>
      </c>
      <c r="P4595" t="s">
        <v>27809</v>
      </c>
      <c r="Q4595" s="3" t="n">
        <v>43990.0</v>
      </c>
      <c r="R4595" s="3" t="n">
        <v>44432.0</v>
      </c>
      <c r="S4595" s="3" t="n">
        <v>44432.22968171296</v>
      </c>
      <c r="T4595" s="3" t="n">
        <v>44435.35697994213</v>
      </c>
      <c r="U4595" t="s">
        <v>27810</v>
      </c>
      <c r="V4595" t="s">
        <v>27811</v>
      </c>
    </row>
    <row r="4596">
      <c r="A4596" t="s">
        <v>23557</v>
      </c>
      <c r="B4596" t="s">
        <v>27812</v>
      </c>
      <c r="C4596" t="s">
        <v>24</v>
      </c>
      <c r="D4596" t="s">
        <v>34</v>
      </c>
      <c r="E4596" t="s">
        <v>27813</v>
      </c>
      <c r="F4596" s="2" t="n">
        <f>HYPERLINK("https://patents.google.com/patent/US11101783","Google")</f>
        <v>0.0</v>
      </c>
      <c r="G4596" s="2" t="n">
        <f>HYPERLINK("https://patentcenter.uspto.gov/applications/16940172","Patent Center")</f>
        <v>0.0</v>
      </c>
      <c r="H4596" s="2" t="n">
        <f>HYPERLINK("https://worldwide.espacenet.com/patent/search?q=US11101783","Espacenet")</f>
        <v>0.0</v>
      </c>
      <c r="I4596" s="2" t="n">
        <f>HYPERLINK("https://ppubs.uspto.gov/pubwebapp/external.html?q=11101783.pn.","USPTO")</f>
        <v>0.0</v>
      </c>
      <c r="J4596" s="2" t="n">
        <f>HYPERLINK("https://image-ppubs.uspto.gov/dirsearch-public/print/downloadPdf/11101783","USPTO PDF")</f>
        <v>0.0</v>
      </c>
      <c r="K4596" s="2" t="n">
        <f>HYPERLINK("https://sectors.patentforecast.com/pmd/US11101783","PMD")</f>
        <v>0.0</v>
      </c>
      <c r="L4596" s="2" t="n">
        <f>HYPERLINK("https://globaldossier.uspto.gov/result/patent/US/11101783/1","US11101783")</f>
        <v>0.0</v>
      </c>
      <c r="M4596" t="s">
        <v>15698</v>
      </c>
      <c r="N4596" t="s">
        <v>15699</v>
      </c>
      <c r="O4596" t="s">
        <v>15700</v>
      </c>
      <c r="P4596" t="s">
        <v>27814</v>
      </c>
      <c r="Q4596" s="3" t="n">
        <v>44039.0</v>
      </c>
      <c r="R4596" s="3" t="n">
        <v>44432.0</v>
      </c>
      <c r="S4596" s="3" t="n">
        <v>44432.22968171296</v>
      </c>
      <c r="T4596" s="3" t="n">
        <v>44672.323455729165</v>
      </c>
      <c r="U4596" t="s">
        <v>27815</v>
      </c>
      <c r="V4596" t="s">
        <v>15703</v>
      </c>
    </row>
    <row r="4597">
      <c r="A4597" t="s">
        <v>23557</v>
      </c>
      <c r="B4597" t="s">
        <v>27816</v>
      </c>
      <c r="C4597" t="s">
        <v>24</v>
      </c>
      <c r="D4597" t="s">
        <v>69</v>
      </c>
      <c r="E4597" t="s">
        <v>27817</v>
      </c>
      <c r="F4597" s="2" t="n">
        <f>HYPERLINK("https://patents.google.com/patent/US11098522","Google")</f>
        <v>0.0</v>
      </c>
      <c r="G4597" s="2" t="n">
        <f>HYPERLINK("https://patentcenter.uspto.gov/applications/17015229","Patent Center")</f>
        <v>0.0</v>
      </c>
      <c r="H4597" s="2" t="n">
        <f>HYPERLINK("https://worldwide.espacenet.com/patent/search?q=US11098522","Espacenet")</f>
        <v>0.0</v>
      </c>
      <c r="I4597" s="2" t="n">
        <f>HYPERLINK("https://ppubs.uspto.gov/pubwebapp/external.html?q=11098522.pn.","USPTO")</f>
        <v>0.0</v>
      </c>
      <c r="J4597" s="2" t="n">
        <f>HYPERLINK("https://image-ppubs.uspto.gov/dirsearch-public/print/downloadPdf/11098522","USPTO PDF")</f>
        <v>0.0</v>
      </c>
      <c r="K4597" s="2" t="n">
        <f>HYPERLINK("https://sectors.patentforecast.com/pmd/US11098522","PMD")</f>
        <v>0.0</v>
      </c>
      <c r="L4597" s="2" t="n">
        <f>HYPERLINK("https://globaldossier.uspto.gov/result/patent/US/11098522/1","US11098522")</f>
        <v>0.0</v>
      </c>
      <c r="M4597" t="s">
        <v>27818</v>
      </c>
      <c r="N4597" t="s">
        <v>27819</v>
      </c>
      <c r="O4597" t="s">
        <v>27820</v>
      </c>
      <c r="P4597" t="s">
        <v>27821</v>
      </c>
      <c r="Q4597" s="3" t="n">
        <v>44083.0</v>
      </c>
      <c r="R4597" s="3" t="n">
        <v>44432.0</v>
      </c>
      <c r="S4597" s="3" t="n">
        <v>44432.22968171296</v>
      </c>
      <c r="T4597" s="3" t="n">
        <v>44435.359041689815</v>
      </c>
      <c r="U4597" t="s">
        <v>27822</v>
      </c>
      <c r="V4597" t="s">
        <v>27823</v>
      </c>
    </row>
    <row r="4598">
      <c r="A4598" t="s">
        <v>23557</v>
      </c>
      <c r="B4598" t="s">
        <v>27824</v>
      </c>
      <c r="C4598" t="s">
        <v>24</v>
      </c>
      <c r="D4598" t="s">
        <v>69</v>
      </c>
      <c r="E4598" t="s">
        <v>27825</v>
      </c>
      <c r="F4598" s="2" t="n">
        <f>HYPERLINK("https://patents.google.com/patent/US11096434","Google")</f>
        <v>0.0</v>
      </c>
      <c r="G4598" s="2" t="n">
        <f>HYPERLINK("https://patentcenter.uspto.gov/applications/17247260","Patent Center")</f>
        <v>0.0</v>
      </c>
      <c r="H4598" s="2" t="n">
        <f>HYPERLINK("https://worldwide.espacenet.com/patent/search?q=US11096434","Espacenet")</f>
        <v>0.0</v>
      </c>
      <c r="I4598" s="2" t="n">
        <f>HYPERLINK("https://ppubs.uspto.gov/pubwebapp/external.html?q=11096434.pn.","USPTO")</f>
        <v>0.0</v>
      </c>
      <c r="J4598" s="2" t="n">
        <f>HYPERLINK("https://image-ppubs.uspto.gov/dirsearch-public/print/downloadPdf/11096434","USPTO PDF")</f>
        <v>0.0</v>
      </c>
      <c r="K4598" s="2" t="n">
        <f>HYPERLINK("https://sectors.patentforecast.com/pmd/US11096434","PMD")</f>
        <v>0.0</v>
      </c>
      <c r="L4598" s="2" t="n">
        <f>HYPERLINK("https://globaldossier.uspto.gov/result/patent/US/11096434/1","US11096434")</f>
        <v>0.0</v>
      </c>
      <c r="M4598" t="s">
        <v>27826</v>
      </c>
      <c r="N4598" t="s">
        <v>27827</v>
      </c>
      <c r="O4598" t="s">
        <v>27827</v>
      </c>
      <c r="P4598" t="s">
        <v>27828</v>
      </c>
      <c r="Q4598" s="3" t="n">
        <v>44170.0</v>
      </c>
      <c r="R4598" s="3" t="n">
        <v>44432.0</v>
      </c>
      <c r="S4598" s="3" t="n">
        <v>44432.22968171296</v>
      </c>
      <c r="T4598" s="3" t="n">
        <v>44435.3570309375</v>
      </c>
      <c r="U4598" t="s">
        <v>27829</v>
      </c>
      <c r="V4598" t="s">
        <v>27830</v>
      </c>
    </row>
    <row r="4599">
      <c r="A4599" t="s">
        <v>23557</v>
      </c>
      <c r="B4599" t="s">
        <v>27831</v>
      </c>
      <c r="C4599" t="s">
        <v>24</v>
      </c>
      <c r="D4599" t="s">
        <v>8459</v>
      </c>
      <c r="E4599" t="s">
        <v>27832</v>
      </c>
      <c r="F4599" s="2" t="n">
        <f>HYPERLINK("https://patents.google.com/patent/US11094420","Google")</f>
        <v>0.0</v>
      </c>
      <c r="G4599" s="2" t="n">
        <f>HYPERLINK("https://patentcenter.uspto.gov/applications/17033507","Patent Center")</f>
        <v>0.0</v>
      </c>
      <c r="H4599" s="2" t="n">
        <f>HYPERLINK("https://worldwide.espacenet.com/patent/search?q=US11094420","Espacenet")</f>
        <v>0.0</v>
      </c>
      <c r="I4599" s="2" t="n">
        <f>HYPERLINK("https://ppubs.uspto.gov/pubwebapp/external.html?q=11094420.pn.","USPTO")</f>
        <v>0.0</v>
      </c>
      <c r="J4599" s="2" t="n">
        <f>HYPERLINK("https://image-ppubs.uspto.gov/dirsearch-public/print/downloadPdf/11094420","USPTO PDF")</f>
        <v>0.0</v>
      </c>
      <c r="K4599" s="2" t="n">
        <f>HYPERLINK("https://sectors.patentforecast.com/pmd/US11094420","PMD")</f>
        <v>0.0</v>
      </c>
      <c r="L4599" s="2" t="n">
        <f>HYPERLINK("https://globaldossier.uspto.gov/result/patent/US/11094420/1","US11094420")</f>
        <v>0.0</v>
      </c>
      <c r="M4599" t="s">
        <v>27833</v>
      </c>
      <c r="N4599" t="s">
        <v>27834</v>
      </c>
      <c r="O4599" t="s">
        <v>27835</v>
      </c>
      <c r="P4599" t="s">
        <v>27836</v>
      </c>
      <c r="Q4599" s="3" t="n">
        <v>44099.0</v>
      </c>
      <c r="R4599" s="3" t="n">
        <v>44425.0</v>
      </c>
      <c r="S4599" s="3" t="n">
        <v>44425.22945037037</v>
      </c>
      <c r="T4599" s="3" t="n">
        <v>44425.46014005787</v>
      </c>
      <c r="U4599" t="s">
        <v>27837</v>
      </c>
      <c r="V4599" t="s">
        <v>27838</v>
      </c>
    </row>
    <row r="4600">
      <c r="A4600" t="s">
        <v>23557</v>
      </c>
      <c r="B4600" t="s">
        <v>27839</v>
      </c>
      <c r="C4600" t="s">
        <v>132</v>
      </c>
      <c r="D4600" t="s">
        <v>8747</v>
      </c>
      <c r="E4600" t="s">
        <v>27840</v>
      </c>
      <c r="F4600" s="2" t="n">
        <f>HYPERLINK("https://patents.google.com/patent/US11091518","Google")</f>
        <v>0.0</v>
      </c>
      <c r="G4600" s="2" t="n">
        <f>HYPERLINK("https://patentcenter.uspto.gov/applications/16098912","Patent Center")</f>
        <v>0.0</v>
      </c>
      <c r="H4600" s="2" t="n">
        <f>HYPERLINK("https://worldwide.espacenet.com/patent/search?q=US11091518","Espacenet")</f>
        <v>0.0</v>
      </c>
      <c r="I4600" s="2" t="n">
        <f>HYPERLINK("https://ppubs.uspto.gov/pubwebapp/external.html?q=11091518.pn.","USPTO")</f>
        <v>0.0</v>
      </c>
      <c r="J4600" s="2" t="n">
        <f>HYPERLINK("https://image-ppubs.uspto.gov/dirsearch-public/print/downloadPdf/11091518","USPTO PDF")</f>
        <v>0.0</v>
      </c>
      <c r="K4600" s="2" t="n">
        <f>HYPERLINK("https://sectors.patentforecast.com/pmd/US11091518","PMD")</f>
        <v>0.0</v>
      </c>
      <c r="L4600" s="2" t="n">
        <f>HYPERLINK("https://globaldossier.uspto.gov/result/patent/US/11091518/1","US11091518")</f>
        <v>0.0</v>
      </c>
      <c r="M4600" t="s">
        <v>17727</v>
      </c>
      <c r="N4600" t="s">
        <v>7854</v>
      </c>
      <c r="O4600" t="s">
        <v>7855</v>
      </c>
      <c r="P4600" t="s">
        <v>27841</v>
      </c>
      <c r="Q4600" s="3" t="n">
        <v>42860.0</v>
      </c>
      <c r="R4600" s="3" t="n">
        <v>44425.0</v>
      </c>
      <c r="S4600" s="3" t="n">
        <v>44425.237205011574</v>
      </c>
      <c r="T4600" s="3" t="n">
        <v>44425.4557140625</v>
      </c>
      <c r="U4600" t="s">
        <v>27842</v>
      </c>
      <c r="V4600" t="s">
        <v>8752</v>
      </c>
    </row>
    <row r="4601">
      <c r="A4601" t="s">
        <v>23557</v>
      </c>
      <c r="B4601" t="s">
        <v>27843</v>
      </c>
      <c r="C4601" t="s">
        <v>60</v>
      </c>
      <c r="D4601" t="s">
        <v>61</v>
      </c>
      <c r="E4601" t="s">
        <v>27844</v>
      </c>
      <c r="F4601" s="2" t="n">
        <f>HYPERLINK("https://patents.google.com/patent/US11090315","Google")</f>
        <v>0.0</v>
      </c>
      <c r="G4601" s="2" t="n">
        <f>HYPERLINK("https://patentcenter.uspto.gov/applications/16994632","Patent Center")</f>
        <v>0.0</v>
      </c>
      <c r="H4601" s="2" t="n">
        <f>HYPERLINK("https://worldwide.espacenet.com/patent/search?q=US11090315","Espacenet")</f>
        <v>0.0</v>
      </c>
      <c r="I4601" s="2" t="n">
        <f>HYPERLINK("https://ppubs.uspto.gov/pubwebapp/external.html?q=11090315.pn.","USPTO")</f>
        <v>0.0</v>
      </c>
      <c r="J4601" s="2" t="n">
        <f>HYPERLINK("https://image-ppubs.uspto.gov/dirsearch-public/print/downloadPdf/11090315","USPTO PDF")</f>
        <v>0.0</v>
      </c>
      <c r="K4601" s="2" t="n">
        <f>HYPERLINK("https://sectors.patentforecast.com/pmd/US11090315","PMD")</f>
        <v>0.0</v>
      </c>
      <c r="L4601" s="2" t="n">
        <f>HYPERLINK("https://globaldossier.uspto.gov/result/patent/US/11090315/1","US11090315")</f>
        <v>0.0</v>
      </c>
      <c r="M4601" t="s">
        <v>27845</v>
      </c>
      <c r="N4601" t="s">
        <v>16288</v>
      </c>
      <c r="O4601" t="s">
        <v>16289</v>
      </c>
      <c r="P4601" t="s">
        <v>27846</v>
      </c>
      <c r="Q4601" s="3" t="n">
        <v>44059.0</v>
      </c>
      <c r="R4601" s="3" t="n">
        <v>44425.0</v>
      </c>
      <c r="S4601" s="3" t="n">
        <v>44425.235359722225</v>
      </c>
      <c r="T4601" s="3" t="n">
        <v>44425.45955467592</v>
      </c>
      <c r="U4601" t="s">
        <v>27847</v>
      </c>
      <c r="V4601" t="s">
        <v>16292</v>
      </c>
    </row>
    <row r="4602">
      <c r="A4602" t="s">
        <v>23557</v>
      </c>
      <c r="B4602" t="s">
        <v>27848</v>
      </c>
      <c r="C4602" t="s">
        <v>312</v>
      </c>
      <c r="D4602" t="s">
        <v>3202</v>
      </c>
      <c r="E4602" t="s">
        <v>27849</v>
      </c>
      <c r="F4602" s="2" t="n">
        <f>HYPERLINK("https://patents.google.com/patent/US11087888","Google")</f>
        <v>0.0</v>
      </c>
      <c r="G4602" s="2" t="n">
        <f>HYPERLINK("https://patentcenter.uspto.gov/applications/16633039","Patent Center")</f>
        <v>0.0</v>
      </c>
      <c r="H4602" s="2" t="n">
        <f>HYPERLINK("https://worldwide.espacenet.com/patent/search?q=US11087888","Espacenet")</f>
        <v>0.0</v>
      </c>
      <c r="I4602" s="2" t="n">
        <f>HYPERLINK("https://ppubs.uspto.gov/pubwebapp/external.html?q=11087888.pn.","USPTO")</f>
        <v>0.0</v>
      </c>
      <c r="J4602" s="2" t="n">
        <f>HYPERLINK("https://image-ppubs.uspto.gov/dirsearch-public/print/downloadPdf/11087888","USPTO PDF")</f>
        <v>0.0</v>
      </c>
      <c r="K4602" s="2" t="n">
        <f>HYPERLINK("https://sectors.patentforecast.com/pmd/US11087888","PMD")</f>
        <v>0.0</v>
      </c>
      <c r="L4602" s="2" t="n">
        <f>HYPERLINK("https://globaldossier.uspto.gov/result/patent/US/11087888/1","US11087888")</f>
        <v>0.0</v>
      </c>
      <c r="M4602" t="s">
        <v>16774</v>
      </c>
      <c r="N4602" t="s">
        <v>9610</v>
      </c>
      <c r="O4602" t="s">
        <v>9611</v>
      </c>
      <c r="P4602" t="s">
        <v>27850</v>
      </c>
      <c r="Q4602" s="3" t="n">
        <v>43300.0</v>
      </c>
      <c r="R4602" s="3" t="n">
        <v>44418.0</v>
      </c>
      <c r="S4602" s="3" t="n">
        <v>44418.2343059375</v>
      </c>
      <c r="T4602" s="3" t="n">
        <v>44419.38959622685</v>
      </c>
      <c r="U4602" t="s">
        <v>27851</v>
      </c>
      <c r="V4602" t="s">
        <v>16776</v>
      </c>
    </row>
    <row r="4603">
      <c r="A4603" t="s">
        <v>23557</v>
      </c>
      <c r="B4603" t="s">
        <v>27852</v>
      </c>
      <c r="C4603" t="s">
        <v>312</v>
      </c>
      <c r="D4603" t="s">
        <v>976</v>
      </c>
      <c r="E4603" t="s">
        <v>27853</v>
      </c>
      <c r="F4603" s="2" t="n">
        <f>HYPERLINK("https://patents.google.com/patent/US11087887","Google")</f>
        <v>0.0</v>
      </c>
      <c r="G4603" s="2" t="n">
        <f>HYPERLINK("https://patentcenter.uspto.gov/applications/16423232","Patent Center")</f>
        <v>0.0</v>
      </c>
      <c r="H4603" s="2" t="n">
        <f>HYPERLINK("https://worldwide.espacenet.com/patent/search?q=US11087887","Espacenet")</f>
        <v>0.0</v>
      </c>
      <c r="I4603" s="2" t="n">
        <f>HYPERLINK("https://ppubs.uspto.gov/pubwebapp/external.html?q=11087887.pn.","USPTO")</f>
        <v>0.0</v>
      </c>
      <c r="J4603" s="2" t="n">
        <f>HYPERLINK("https://image-ppubs.uspto.gov/dirsearch-public/print/downloadPdf/11087887","USPTO PDF")</f>
        <v>0.0</v>
      </c>
      <c r="K4603" s="2" t="n">
        <f>HYPERLINK("https://sectors.patentforecast.com/pmd/US11087887","PMD")</f>
        <v>0.0</v>
      </c>
      <c r="L4603" s="2" t="n">
        <f>HYPERLINK("https://globaldossier.uspto.gov/result/patent/US/11087887/1","US11087887")</f>
        <v>0.0</v>
      </c>
      <c r="M4603" t="s">
        <v>17333</v>
      </c>
      <c r="N4603" t="s">
        <v>17334</v>
      </c>
      <c r="O4603" t="s">
        <v>17335</v>
      </c>
      <c r="P4603" t="s">
        <v>24952</v>
      </c>
      <c r="Q4603" s="3" t="n">
        <v>43613.0</v>
      </c>
      <c r="R4603" s="3" t="n">
        <v>44418.0</v>
      </c>
      <c r="S4603" s="3" t="n">
        <v>44418.2343059375</v>
      </c>
      <c r="T4603" s="3" t="n">
        <v>44419.38794731481</v>
      </c>
      <c r="U4603" t="s">
        <v>25092</v>
      </c>
      <c r="V4603" t="s">
        <v>17337</v>
      </c>
    </row>
    <row r="4604">
      <c r="A4604" t="s">
        <v>23557</v>
      </c>
      <c r="B4604" t="s">
        <v>27854</v>
      </c>
      <c r="C4604" t="s">
        <v>24</v>
      </c>
      <c r="D4604" t="s">
        <v>1450</v>
      </c>
      <c r="E4604" t="s">
        <v>27855</v>
      </c>
      <c r="F4604" s="2" t="n">
        <f>HYPERLINK("https://patents.google.com/patent/US11087886","Google")</f>
        <v>0.0</v>
      </c>
      <c r="G4604" s="2" t="n">
        <f>HYPERLINK("https://patentcenter.uspto.gov/applications/16192843","Patent Center")</f>
        <v>0.0</v>
      </c>
      <c r="H4604" s="2" t="n">
        <f>HYPERLINK("https://worldwide.espacenet.com/patent/search?q=US11087886","Espacenet")</f>
        <v>0.0</v>
      </c>
      <c r="I4604" s="2" t="n">
        <f>HYPERLINK("https://ppubs.uspto.gov/pubwebapp/external.html?q=11087886.pn.","USPTO")</f>
        <v>0.0</v>
      </c>
      <c r="J4604" s="2" t="n">
        <f>HYPERLINK("https://image-ppubs.uspto.gov/dirsearch-public/print/downloadPdf/11087886","USPTO PDF")</f>
        <v>0.0</v>
      </c>
      <c r="K4604" s="2" t="n">
        <f>HYPERLINK("https://sectors.patentforecast.com/pmd/US11087886","PMD")</f>
        <v>0.0</v>
      </c>
      <c r="L4604" s="2" t="n">
        <f>HYPERLINK("https://globaldossier.uspto.gov/result/patent/US/11087886/1","US11087886")</f>
        <v>0.0</v>
      </c>
      <c r="M4604" t="s">
        <v>27856</v>
      </c>
      <c r="N4604" t="s">
        <v>27857</v>
      </c>
      <c r="O4604" t="s">
        <v>27858</v>
      </c>
      <c r="P4604" t="s">
        <v>27859</v>
      </c>
      <c r="Q4604" s="3" t="n">
        <v>43420.0</v>
      </c>
      <c r="R4604" s="3" t="n">
        <v>44418.0</v>
      </c>
      <c r="S4604" s="3" t="n">
        <v>44418.2343059375</v>
      </c>
      <c r="T4604" s="3" t="n">
        <v>44419.388732708336</v>
      </c>
      <c r="U4604" t="s">
        <v>27860</v>
      </c>
      <c r="V4604" t="s">
        <v>27861</v>
      </c>
    </row>
    <row r="4605">
      <c r="A4605" t="s">
        <v>23557</v>
      </c>
      <c r="B4605" t="s">
        <v>27862</v>
      </c>
      <c r="C4605" t="s">
        <v>24</v>
      </c>
      <c r="D4605" t="s">
        <v>34</v>
      </c>
      <c r="E4605" t="s">
        <v>27863</v>
      </c>
      <c r="F4605" s="2" t="n">
        <f>HYPERLINK("https://patents.google.com/patent/US11087883","Google")</f>
        <v>0.0</v>
      </c>
      <c r="G4605" s="2" t="n">
        <f>HYPERLINK("https://patentcenter.uspto.gov/applications/17218997","Patent Center")</f>
        <v>0.0</v>
      </c>
      <c r="H4605" s="2" t="n">
        <f>HYPERLINK("https://worldwide.espacenet.com/patent/search?q=US11087883","Espacenet")</f>
        <v>0.0</v>
      </c>
      <c r="I4605" s="2" t="n">
        <f>HYPERLINK("https://ppubs.uspto.gov/pubwebapp/external.html?q=11087883.pn.","USPTO")</f>
        <v>0.0</v>
      </c>
      <c r="J4605" s="2" t="n">
        <f>HYPERLINK("https://image-ppubs.uspto.gov/dirsearch-public/print/downloadPdf/11087883","USPTO PDF")</f>
        <v>0.0</v>
      </c>
      <c r="K4605" s="2" t="n">
        <f>HYPERLINK("https://sectors.patentforecast.com/pmd/US11087883","PMD")</f>
        <v>0.0</v>
      </c>
      <c r="L4605" s="2" t="n">
        <f>HYPERLINK("https://globaldossier.uspto.gov/result/patent/US/11087883/1","US11087883")</f>
        <v>0.0</v>
      </c>
      <c r="M4605" t="s">
        <v>27864</v>
      </c>
      <c r="N4605" t="s">
        <v>11773</v>
      </c>
      <c r="O4605" t="s">
        <v>11774</v>
      </c>
      <c r="P4605" t="s">
        <v>27865</v>
      </c>
      <c r="Q4605" s="3" t="n">
        <v>44286.0</v>
      </c>
      <c r="R4605" s="3" t="n">
        <v>44418.0</v>
      </c>
      <c r="S4605" s="3" t="n">
        <v>44418.23349652778</v>
      </c>
      <c r="T4605" s="3" t="n">
        <v>44419.39061170139</v>
      </c>
      <c r="U4605" t="s">
        <v>27866</v>
      </c>
      <c r="V4605" t="s">
        <v>11777</v>
      </c>
    </row>
    <row r="4606">
      <c r="A4606" t="s">
        <v>23557</v>
      </c>
      <c r="B4606" t="s">
        <v>27867</v>
      </c>
      <c r="C4606" t="s">
        <v>24</v>
      </c>
      <c r="D4606" t="s">
        <v>100</v>
      </c>
      <c r="E4606" t="s">
        <v>27868</v>
      </c>
      <c r="F4606" s="2" t="n">
        <f>HYPERLINK("https://patents.google.com/patent/US11083807","Google")</f>
        <v>0.0</v>
      </c>
      <c r="G4606" s="2" t="n">
        <f>HYPERLINK("https://patentcenter.uspto.gov/applications/16925107","Patent Center")</f>
        <v>0.0</v>
      </c>
      <c r="H4606" s="2" t="n">
        <f>HYPERLINK("https://worldwide.espacenet.com/patent/search?q=US11083807","Espacenet")</f>
        <v>0.0</v>
      </c>
      <c r="I4606" s="2" t="n">
        <f>HYPERLINK("https://ppubs.uspto.gov/pubwebapp/external.html?q=11083807.pn.","USPTO")</f>
        <v>0.0</v>
      </c>
      <c r="J4606" s="2" t="n">
        <f>HYPERLINK("https://image-ppubs.uspto.gov/dirsearch-public/print/downloadPdf/11083807","USPTO PDF")</f>
        <v>0.0</v>
      </c>
      <c r="K4606" s="2" t="n">
        <f>HYPERLINK("https://sectors.patentforecast.com/pmd/US11083807","PMD")</f>
        <v>0.0</v>
      </c>
      <c r="L4606" s="2" t="n">
        <f>HYPERLINK("https://globaldossier.uspto.gov/result/patent/US/11083807/1","US11083807")</f>
        <v>0.0</v>
      </c>
      <c r="M4606" t="s">
        <v>16227</v>
      </c>
      <c r="N4606" t="s">
        <v>5946</v>
      </c>
      <c r="O4606" t="s">
        <v>5947</v>
      </c>
      <c r="P4606" t="s">
        <v>27869</v>
      </c>
      <c r="Q4606" s="3" t="n">
        <v>44021.0</v>
      </c>
      <c r="R4606" s="3" t="n">
        <v>44418.0</v>
      </c>
      <c r="S4606" s="3" t="n">
        <v>44418.23349652778</v>
      </c>
      <c r="T4606" s="3" t="n">
        <v>44419.389301145835</v>
      </c>
      <c r="U4606" t="s">
        <v>27870</v>
      </c>
      <c r="V4606" t="s">
        <v>5949</v>
      </c>
    </row>
    <row r="4607">
      <c r="A4607" t="s">
        <v>23557</v>
      </c>
      <c r="B4607" t="s">
        <v>27871</v>
      </c>
      <c r="C4607" t="s">
        <v>24</v>
      </c>
      <c r="D4607" t="s">
        <v>51</v>
      </c>
      <c r="E4607" t="s">
        <v>27872</v>
      </c>
      <c r="F4607" s="2" t="n">
        <f>HYPERLINK("https://patents.google.com/patent/US11083405","Google")</f>
        <v>0.0</v>
      </c>
      <c r="G4607" s="2" t="n">
        <f>HYPERLINK("https://patentcenter.uspto.gov/applications/17167728","Patent Center")</f>
        <v>0.0</v>
      </c>
      <c r="H4607" s="2" t="n">
        <f>HYPERLINK("https://worldwide.espacenet.com/patent/search?q=US11083405","Espacenet")</f>
        <v>0.0</v>
      </c>
      <c r="I4607" s="2" t="n">
        <f>HYPERLINK("https://ppubs.uspto.gov/pubwebapp/external.html?q=11083405.pn.","USPTO")</f>
        <v>0.0</v>
      </c>
      <c r="J4607" s="2" t="n">
        <f>HYPERLINK("https://image-ppubs.uspto.gov/dirsearch-public/print/downloadPdf/11083405","USPTO PDF")</f>
        <v>0.0</v>
      </c>
      <c r="K4607" s="2" t="n">
        <f>HYPERLINK("https://sectors.patentforecast.com/pmd/US11083405","PMD")</f>
        <v>0.0</v>
      </c>
      <c r="L4607" s="2" t="n">
        <f>HYPERLINK("https://globaldossier.uspto.gov/result/patent/US/11083405/1","US11083405")</f>
        <v>0.0</v>
      </c>
      <c r="M4607" t="s">
        <v>27873</v>
      </c>
      <c r="N4607" t="s">
        <v>27874</v>
      </c>
      <c r="O4607" t="s">
        <v>27875</v>
      </c>
      <c r="P4607" t="s">
        <v>27876</v>
      </c>
      <c r="Q4607" s="3" t="n">
        <v>44231.0</v>
      </c>
      <c r="R4607" s="3" t="n">
        <v>44418.0</v>
      </c>
      <c r="S4607" s="3" t="n">
        <v>44418.23349652778</v>
      </c>
      <c r="T4607" s="3" t="n">
        <v>44419.39065601852</v>
      </c>
      <c r="U4607" t="s">
        <v>27877</v>
      </c>
      <c r="V4607" t="s">
        <v>27878</v>
      </c>
    </row>
    <row r="4608">
      <c r="A4608" t="s">
        <v>23557</v>
      </c>
      <c r="B4608" t="s">
        <v>27879</v>
      </c>
      <c r="C4608" t="s">
        <v>24</v>
      </c>
      <c r="D4608" t="s">
        <v>69</v>
      </c>
      <c r="E4608" t="s">
        <v>27880</v>
      </c>
      <c r="F4608" s="2" t="n">
        <f>HYPERLINK("https://patents.google.com/patent/US11083231","Google")</f>
        <v>0.0</v>
      </c>
      <c r="G4608" s="2" t="n">
        <f>HYPERLINK("https://patentcenter.uspto.gov/applications/17115253","Patent Center")</f>
        <v>0.0</v>
      </c>
      <c r="H4608" s="2" t="n">
        <f>HYPERLINK("https://worldwide.espacenet.com/patent/search?q=US11083231","Espacenet")</f>
        <v>0.0</v>
      </c>
      <c r="I4608" s="2" t="n">
        <f>HYPERLINK("https://ppubs.uspto.gov/pubwebapp/external.html?q=11083231.pn.","USPTO")</f>
        <v>0.0</v>
      </c>
      <c r="J4608" s="2" t="n">
        <f>HYPERLINK("https://image-ppubs.uspto.gov/dirsearch-public/print/downloadPdf/11083231","USPTO PDF")</f>
        <v>0.0</v>
      </c>
      <c r="K4608" s="2" t="n">
        <f>HYPERLINK("https://sectors.patentforecast.com/pmd/US11083231","PMD")</f>
        <v>0.0</v>
      </c>
      <c r="L4608" s="2" t="n">
        <f>HYPERLINK("https://globaldossier.uspto.gov/result/patent/US/11083231/1","US11083231")</f>
        <v>0.0</v>
      </c>
      <c r="M4608" t="s">
        <v>27881</v>
      </c>
      <c r="N4608" t="s">
        <v>174</v>
      </c>
      <c r="O4608" t="s">
        <v>175</v>
      </c>
      <c r="P4608" t="s">
        <v>27882</v>
      </c>
      <c r="Q4608" s="3" t="n">
        <v>44173.0</v>
      </c>
      <c r="R4608" s="3" t="n">
        <v>44418.0</v>
      </c>
      <c r="S4608" s="3" t="n">
        <v>44418.23349652778</v>
      </c>
      <c r="T4608" s="3" t="n">
        <v>44419.38966390046</v>
      </c>
      <c r="U4608" t="s">
        <v>27883</v>
      </c>
      <c r="V4608" t="s">
        <v>178</v>
      </c>
    </row>
    <row r="4609">
      <c r="A4609" t="s">
        <v>23557</v>
      </c>
      <c r="B4609" t="s">
        <v>27884</v>
      </c>
      <c r="C4609" t="s">
        <v>24</v>
      </c>
      <c r="D4609" t="s">
        <v>69</v>
      </c>
      <c r="E4609" t="s">
        <v>27885</v>
      </c>
      <c r="F4609" s="2" t="n">
        <f>HYPERLINK("https://patents.google.com/patent/US11080981","Google")</f>
        <v>0.0</v>
      </c>
      <c r="G4609" s="2" t="n">
        <f>HYPERLINK("https://patentcenter.uspto.gov/applications/17117845","Patent Center")</f>
        <v>0.0</v>
      </c>
      <c r="H4609" s="2" t="n">
        <f>HYPERLINK("https://worldwide.espacenet.com/patent/search?q=US11080981","Espacenet")</f>
        <v>0.0</v>
      </c>
      <c r="I4609" s="2" t="n">
        <f>HYPERLINK("https://ppubs.uspto.gov/pubwebapp/external.html?q=11080981.pn.","USPTO")</f>
        <v>0.0</v>
      </c>
      <c r="J4609" s="2" t="n">
        <f>HYPERLINK("https://image-ppubs.uspto.gov/dirsearch-public/print/downloadPdf/11080981","USPTO PDF")</f>
        <v>0.0</v>
      </c>
      <c r="K4609" s="2" t="n">
        <f>HYPERLINK("https://sectors.patentforecast.com/pmd/US11080981","PMD")</f>
        <v>0.0</v>
      </c>
      <c r="L4609" s="2" t="n">
        <f>HYPERLINK("https://globaldossier.uspto.gov/result/patent/US/11080981/1","US11080981")</f>
        <v>0.0</v>
      </c>
      <c r="M4609" t="s">
        <v>27886</v>
      </c>
      <c r="N4609" t="s">
        <v>2045</v>
      </c>
      <c r="O4609" t="s">
        <v>2045</v>
      </c>
      <c r="P4609" t="s">
        <v>27887</v>
      </c>
      <c r="Q4609" s="3" t="n">
        <v>44175.0</v>
      </c>
      <c r="R4609" s="3" t="n">
        <v>44411.0</v>
      </c>
      <c r="S4609" s="3" t="n">
        <v>44411.22967429398</v>
      </c>
      <c r="T4609" s="3" t="n">
        <v>44412.445037314814</v>
      </c>
      <c r="U4609" t="s">
        <v>27888</v>
      </c>
      <c r="V4609" t="s">
        <v>27889</v>
      </c>
    </row>
    <row r="4610">
      <c r="A4610" t="s">
        <v>23557</v>
      </c>
      <c r="B4610" t="s">
        <v>27890</v>
      </c>
      <c r="C4610" t="s">
        <v>24</v>
      </c>
      <c r="D4610" t="s">
        <v>51</v>
      </c>
      <c r="E4610" t="s">
        <v>27891</v>
      </c>
      <c r="F4610" s="2" t="n">
        <f>HYPERLINK("https://patents.google.com/patent/US11079376","Google")</f>
        <v>0.0</v>
      </c>
      <c r="G4610" s="2" t="n">
        <f>HYPERLINK("https://patentcenter.uspto.gov/applications/17096747","Patent Center")</f>
        <v>0.0</v>
      </c>
      <c r="H4610" s="2" t="n">
        <f>HYPERLINK("https://worldwide.espacenet.com/patent/search?q=US11079376","Espacenet")</f>
        <v>0.0</v>
      </c>
      <c r="I4610" s="2" t="n">
        <f>HYPERLINK("https://ppubs.uspto.gov/pubwebapp/external.html?q=11079376.pn.","USPTO")</f>
        <v>0.0</v>
      </c>
      <c r="J4610" s="2" t="n">
        <f>HYPERLINK("https://image-ppubs.uspto.gov/dirsearch-public/print/downloadPdf/11079376","USPTO PDF")</f>
        <v>0.0</v>
      </c>
      <c r="K4610" s="2" t="n">
        <f>HYPERLINK("https://sectors.patentforecast.com/pmd/US11079376","PMD")</f>
        <v>0.0</v>
      </c>
      <c r="L4610" s="2" t="n">
        <f>HYPERLINK("https://globaldossier.uspto.gov/result/patent/US/11079376/1","US11079376")</f>
        <v>0.0</v>
      </c>
      <c r="M4610" t="s">
        <v>27892</v>
      </c>
      <c r="N4610" t="s">
        <v>2045</v>
      </c>
      <c r="O4610" t="s">
        <v>2045</v>
      </c>
      <c r="P4610" t="s">
        <v>27893</v>
      </c>
      <c r="Q4610" s="3" t="n">
        <v>44147.0</v>
      </c>
      <c r="R4610" s="3" t="n">
        <v>44411.0</v>
      </c>
      <c r="S4610" s="3" t="n">
        <v>44411.22967429398</v>
      </c>
      <c r="T4610" s="3" t="n">
        <v>44412.44622515047</v>
      </c>
      <c r="U4610" t="s">
        <v>27894</v>
      </c>
      <c r="V4610" t="s">
        <v>27895</v>
      </c>
    </row>
    <row r="4611">
      <c r="A4611" t="s">
        <v>23557</v>
      </c>
      <c r="B4611" t="s">
        <v>27896</v>
      </c>
      <c r="C4611" t="s">
        <v>132</v>
      </c>
      <c r="D4611" t="s">
        <v>133</v>
      </c>
      <c r="E4611" t="s">
        <v>27897</v>
      </c>
      <c r="F4611" s="2" t="n">
        <f>HYPERLINK("https://patents.google.com/patent/US11078242","Google")</f>
        <v>0.0</v>
      </c>
      <c r="G4611" s="2" t="n">
        <f>HYPERLINK("https://patentcenter.uspto.gov/applications/17065514","Patent Center")</f>
        <v>0.0</v>
      </c>
      <c r="H4611" s="2" t="n">
        <f>HYPERLINK("https://worldwide.espacenet.com/patent/search?q=US11078242","Espacenet")</f>
        <v>0.0</v>
      </c>
      <c r="I4611" s="2" t="n">
        <f>HYPERLINK("https://ppubs.uspto.gov/pubwebapp/external.html?q=11078242.pn.","USPTO")</f>
        <v>0.0</v>
      </c>
      <c r="J4611" s="2" t="n">
        <f>HYPERLINK("https://image-ppubs.uspto.gov/dirsearch-public/print/downloadPdf/11078242","USPTO PDF")</f>
        <v>0.0</v>
      </c>
      <c r="K4611" s="2" t="n">
        <f>HYPERLINK("https://sectors.patentforecast.com/pmd/US11078242","PMD")</f>
        <v>0.0</v>
      </c>
      <c r="L4611" s="2" t="n">
        <f>HYPERLINK("https://globaldossier.uspto.gov/result/patent/US/11078242/1","US11078242")</f>
        <v>0.0</v>
      </c>
      <c r="M4611" t="s">
        <v>27898</v>
      </c>
      <c r="N4611" t="s">
        <v>7439</v>
      </c>
      <c r="O4611" t="s">
        <v>7440</v>
      </c>
      <c r="P4611" t="s">
        <v>27899</v>
      </c>
      <c r="Q4611" s="3" t="n">
        <v>44111.0</v>
      </c>
      <c r="R4611" s="3" t="n">
        <v>44411.0</v>
      </c>
      <c r="S4611" s="3" t="n">
        <v>44411.22967429398</v>
      </c>
      <c r="T4611" s="3" t="n">
        <v>44412.445302719905</v>
      </c>
      <c r="U4611" t="s">
        <v>27900</v>
      </c>
      <c r="V4611" t="s">
        <v>7443</v>
      </c>
    </row>
    <row r="4612">
      <c r="A4612" t="s">
        <v>23557</v>
      </c>
      <c r="B4612" t="s">
        <v>27901</v>
      </c>
      <c r="C4612" t="s">
        <v>24</v>
      </c>
      <c r="D4612" t="s">
        <v>51</v>
      </c>
      <c r="E4612" t="s">
        <v>27902</v>
      </c>
      <c r="F4612" s="2" t="n">
        <f>HYPERLINK("https://patents.google.com/patent/US11077436","Google")</f>
        <v>0.0</v>
      </c>
      <c r="G4612" s="2" t="n">
        <f>HYPERLINK("https://patentcenter.uspto.gov/applications/17037331","Patent Center")</f>
        <v>0.0</v>
      </c>
      <c r="H4612" s="2" t="n">
        <f>HYPERLINK("https://worldwide.espacenet.com/patent/search?q=US11077436","Espacenet")</f>
        <v>0.0</v>
      </c>
      <c r="I4612" s="2" t="n">
        <f>HYPERLINK("https://ppubs.uspto.gov/pubwebapp/external.html?q=11077436.pn.","USPTO")</f>
        <v>0.0</v>
      </c>
      <c r="J4612" s="2" t="n">
        <f>HYPERLINK("https://image-ppubs.uspto.gov/dirsearch-public/print/downloadPdf/11077436","USPTO PDF")</f>
        <v>0.0</v>
      </c>
      <c r="K4612" s="2" t="n">
        <f>HYPERLINK("https://sectors.patentforecast.com/pmd/US11077436","PMD")</f>
        <v>0.0</v>
      </c>
      <c r="L4612" s="2" t="n">
        <f>HYPERLINK("https://globaldossier.uspto.gov/result/patent/US/11077436/1","US11077436")</f>
        <v>0.0</v>
      </c>
      <c r="M4612" t="s">
        <v>27903</v>
      </c>
      <c r="N4612" t="s">
        <v>27904</v>
      </c>
      <c r="O4612" t="s">
        <v>27904</v>
      </c>
      <c r="P4612" t="s">
        <v>27905</v>
      </c>
      <c r="Q4612" s="3" t="n">
        <v>44103.0</v>
      </c>
      <c r="R4612" s="3" t="n">
        <v>44411.0</v>
      </c>
      <c r="S4612" s="3" t="n">
        <v>44411.22967429398</v>
      </c>
      <c r="T4612" s="3" t="n">
        <v>44412.444501770835</v>
      </c>
      <c r="U4612" t="s">
        <v>27906</v>
      </c>
      <c r="V4612" t="s">
        <v>27907</v>
      </c>
    </row>
    <row r="4613">
      <c r="A4613" t="s">
        <v>23557</v>
      </c>
      <c r="B4613" t="s">
        <v>27908</v>
      </c>
      <c r="C4613" t="s">
        <v>60</v>
      </c>
      <c r="D4613" t="s">
        <v>715</v>
      </c>
      <c r="E4613" t="s">
        <v>27909</v>
      </c>
      <c r="F4613" s="2" t="n">
        <f>HYPERLINK("https://patents.google.com/patent/US11077314","Google")</f>
        <v>0.0</v>
      </c>
      <c r="G4613" s="2" t="n">
        <f>HYPERLINK("https://patentcenter.uspto.gov/applications/17141363","Patent Center")</f>
        <v>0.0</v>
      </c>
      <c r="H4613" s="2" t="n">
        <f>HYPERLINK("https://worldwide.espacenet.com/patent/search?q=US11077314","Espacenet")</f>
        <v>0.0</v>
      </c>
      <c r="I4613" s="2" t="n">
        <f>HYPERLINK("https://ppubs.uspto.gov/pubwebapp/external.html?q=11077314.pn.","USPTO")</f>
        <v>0.0</v>
      </c>
      <c r="J4613" s="2" t="n">
        <f>HYPERLINK("https://image-ppubs.uspto.gov/dirsearch-public/print/downloadPdf/11077314","USPTO PDF")</f>
        <v>0.0</v>
      </c>
      <c r="K4613" s="2" t="n">
        <f>HYPERLINK("https://sectors.patentforecast.com/pmd/US11077314","PMD")</f>
        <v>0.0</v>
      </c>
      <c r="L4613" s="2" t="n">
        <f>HYPERLINK("https://globaldossier.uspto.gov/result/patent/US/11077314/1","US11077314")</f>
        <v>0.0</v>
      </c>
      <c r="M4613" t="s">
        <v>27910</v>
      </c>
      <c r="N4613" t="s">
        <v>27911</v>
      </c>
      <c r="O4613" t="s">
        <v>27911</v>
      </c>
      <c r="P4613" t="s">
        <v>27912</v>
      </c>
      <c r="Q4613" s="3" t="n">
        <v>44201.0</v>
      </c>
      <c r="R4613" s="3" t="n">
        <v>44411.0</v>
      </c>
      <c r="S4613" s="3" t="n">
        <v>44411.22967429398</v>
      </c>
      <c r="T4613" s="3" t="n">
        <v>44412.53611429398</v>
      </c>
      <c r="U4613" t="s">
        <v>27913</v>
      </c>
      <c r="V4613" t="s">
        <v>27914</v>
      </c>
    </row>
    <row r="4614">
      <c r="A4614" t="s">
        <v>23557</v>
      </c>
      <c r="B4614" t="s">
        <v>27915</v>
      </c>
      <c r="C4614" t="s">
        <v>60</v>
      </c>
      <c r="D4614" t="s">
        <v>2262</v>
      </c>
      <c r="E4614" t="s">
        <v>27916</v>
      </c>
      <c r="F4614" s="2" t="n">
        <f>HYPERLINK("https://patents.google.com/patent/US11077052","Google")</f>
        <v>0.0</v>
      </c>
      <c r="G4614" s="2" t="n">
        <f>HYPERLINK("https://patentcenter.uspto.gov/applications/17016300","Patent Center")</f>
        <v>0.0</v>
      </c>
      <c r="H4614" s="2" t="n">
        <f>HYPERLINK("https://worldwide.espacenet.com/patent/search?q=US11077052","Espacenet")</f>
        <v>0.0</v>
      </c>
      <c r="I4614" s="2" t="n">
        <f>HYPERLINK("https://ppubs.uspto.gov/pubwebapp/external.html?q=11077052.pn.","USPTO")</f>
        <v>0.0</v>
      </c>
      <c r="J4614" s="2" t="n">
        <f>HYPERLINK("https://image-ppubs.uspto.gov/dirsearch-public/print/downloadPdf/11077052","USPTO PDF")</f>
        <v>0.0</v>
      </c>
      <c r="K4614" s="2" t="n">
        <f>HYPERLINK("https://sectors.patentforecast.com/pmd/US11077052","PMD")</f>
        <v>0.0</v>
      </c>
      <c r="L4614" s="2" t="n">
        <f>HYPERLINK("https://globaldossier.uspto.gov/result/patent/US/11077052/1","US11077052")</f>
        <v>0.0</v>
      </c>
      <c r="M4614" t="s">
        <v>27917</v>
      </c>
      <c r="N4614" t="s">
        <v>27918</v>
      </c>
      <c r="O4614" t="s">
        <v>27919</v>
      </c>
      <c r="P4614" t="s">
        <v>27920</v>
      </c>
      <c r="Q4614" s="3" t="n">
        <v>44083.0</v>
      </c>
      <c r="R4614" s="3" t="n">
        <v>44411.0</v>
      </c>
      <c r="S4614" s="3" t="n">
        <v>44411.22967429398</v>
      </c>
      <c r="T4614" s="3" t="n">
        <v>44412.53390861111</v>
      </c>
      <c r="U4614" t="s">
        <v>27921</v>
      </c>
      <c r="V4614" t="s">
        <v>27922</v>
      </c>
    </row>
    <row r="4615">
      <c r="A4615" t="s">
        <v>23557</v>
      </c>
      <c r="B4615" t="s">
        <v>27923</v>
      </c>
      <c r="C4615" t="s">
        <v>60</v>
      </c>
      <c r="D4615" t="s">
        <v>715</v>
      </c>
      <c r="E4615" t="s">
        <v>27924</v>
      </c>
      <c r="F4615" s="2" t="n">
        <f>HYPERLINK("https://patents.google.com/patent/US11077005","Google")</f>
        <v>0.0</v>
      </c>
      <c r="G4615" s="2" t="n">
        <f>HYPERLINK("https://patentcenter.uspto.gov/applications/17028417","Patent Center")</f>
        <v>0.0</v>
      </c>
      <c r="H4615" s="2" t="n">
        <f>HYPERLINK("https://worldwide.espacenet.com/patent/search?q=US11077005","Espacenet")</f>
        <v>0.0</v>
      </c>
      <c r="I4615" s="2" t="n">
        <f>HYPERLINK("https://ppubs.uspto.gov/pubwebapp/external.html?q=11077005.pn.","USPTO")</f>
        <v>0.0</v>
      </c>
      <c r="J4615" s="2" t="n">
        <f>HYPERLINK("https://image-ppubs.uspto.gov/dirsearch-public/print/downloadPdf/11077005","USPTO PDF")</f>
        <v>0.0</v>
      </c>
      <c r="K4615" s="2" t="n">
        <f>HYPERLINK("https://sectors.patentforecast.com/pmd/US11077005","PMD")</f>
        <v>0.0</v>
      </c>
      <c r="L4615" s="2" t="n">
        <f>HYPERLINK("https://globaldossier.uspto.gov/result/patent/US/11077005/1","US11077005")</f>
        <v>0.0</v>
      </c>
      <c r="M4615" t="s">
        <v>27925</v>
      </c>
      <c r="N4615" t="s">
        <v>3270</v>
      </c>
      <c r="O4615" t="s">
        <v>3271</v>
      </c>
      <c r="P4615" t="s">
        <v>27926</v>
      </c>
      <c r="Q4615" s="3" t="n">
        <v>44096.0</v>
      </c>
      <c r="R4615" s="3" t="n">
        <v>44411.0</v>
      </c>
      <c r="S4615" s="3" t="n">
        <v>44411.22967429398</v>
      </c>
      <c r="T4615" s="3" t="n">
        <v>44412.44578667824</v>
      </c>
      <c r="U4615" t="s">
        <v>27927</v>
      </c>
      <c r="V4615" t="s">
        <v>27928</v>
      </c>
    </row>
    <row r="4616">
      <c r="A4616" t="s">
        <v>23557</v>
      </c>
      <c r="B4616" t="s">
        <v>27929</v>
      </c>
      <c r="C4616" t="s">
        <v>24</v>
      </c>
      <c r="D4616" t="s">
        <v>34</v>
      </c>
      <c r="E4616" t="s">
        <v>27930</v>
      </c>
      <c r="F4616" s="2" t="n">
        <f>HYPERLINK("https://patents.google.com/patent/US11076824","Google")</f>
        <v>0.0</v>
      </c>
      <c r="G4616" s="2" t="n">
        <f>HYPERLINK("https://patentcenter.uspto.gov/applications/17067181","Patent Center")</f>
        <v>0.0</v>
      </c>
      <c r="H4616" s="2" t="n">
        <f>HYPERLINK("https://worldwide.espacenet.com/patent/search?q=US11076824","Espacenet")</f>
        <v>0.0</v>
      </c>
      <c r="I4616" s="2" t="n">
        <f>HYPERLINK("https://ppubs.uspto.gov/pubwebapp/external.html?q=11076824.pn.","USPTO")</f>
        <v>0.0</v>
      </c>
      <c r="J4616" s="2" t="n">
        <f>HYPERLINK("https://image-ppubs.uspto.gov/dirsearch-public/print/downloadPdf/11076824","USPTO PDF")</f>
        <v>0.0</v>
      </c>
      <c r="K4616" s="2" t="n">
        <f>HYPERLINK("https://sectors.patentforecast.com/pmd/US11076824","PMD")</f>
        <v>0.0</v>
      </c>
      <c r="L4616" s="2" t="n">
        <f>HYPERLINK("https://globaldossier.uspto.gov/result/patent/US/11076824/1","US11076824")</f>
        <v>0.0</v>
      </c>
      <c r="M4616" t="s">
        <v>27931</v>
      </c>
      <c r="N4616" t="s">
        <v>27932</v>
      </c>
      <c r="O4616" t="s">
        <v>27933</v>
      </c>
      <c r="P4616" t="s">
        <v>27934</v>
      </c>
      <c r="Q4616" s="3" t="n">
        <v>44113.0</v>
      </c>
      <c r="R4616" s="3" t="n">
        <v>44411.0</v>
      </c>
      <c r="S4616" s="3" t="n">
        <v>44411.22967429398</v>
      </c>
      <c r="T4616" s="3" t="n">
        <v>44412.533654756946</v>
      </c>
      <c r="U4616" t="s">
        <v>27935</v>
      </c>
      <c r="V4616" t="s">
        <v>27936</v>
      </c>
    </row>
    <row r="4617">
      <c r="A4617" t="s">
        <v>23557</v>
      </c>
      <c r="B4617" t="s">
        <v>27937</v>
      </c>
      <c r="C4617" t="s">
        <v>132</v>
      </c>
      <c r="D4617" t="s">
        <v>27938</v>
      </c>
      <c r="E4617" t="s">
        <v>27939</v>
      </c>
      <c r="F4617" s="2" t="n">
        <f>HYPERLINK("https://patents.google.com/patent/US11072649","Google")</f>
        <v>0.0</v>
      </c>
      <c r="G4617" s="2" t="n">
        <f>HYPERLINK("https://patentcenter.uspto.gov/applications/15361279","Patent Center")</f>
        <v>0.0</v>
      </c>
      <c r="H4617" s="2" t="n">
        <f>HYPERLINK("https://worldwide.espacenet.com/patent/search?q=US11072649","Espacenet")</f>
        <v>0.0</v>
      </c>
      <c r="I4617" s="2" t="n">
        <f>HYPERLINK("https://ppubs.uspto.gov/pubwebapp/external.html?q=11072649.pn.","USPTO")</f>
        <v>0.0</v>
      </c>
      <c r="J4617" s="2" t="n">
        <f>HYPERLINK("https://image-ppubs.uspto.gov/dirsearch-public/print/downloadPdf/11072649","USPTO PDF")</f>
        <v>0.0</v>
      </c>
      <c r="K4617" s="2" t="n">
        <f>HYPERLINK("https://sectors.patentforecast.com/pmd/US11072649","PMD")</f>
        <v>0.0</v>
      </c>
      <c r="L4617" s="2" t="n">
        <f>HYPERLINK("https://globaldossier.uspto.gov/result/patent/US/11072649/1","US11072649")</f>
        <v>0.0</v>
      </c>
      <c r="M4617" t="s">
        <v>27940</v>
      </c>
      <c r="N4617" t="s">
        <v>27941</v>
      </c>
      <c r="O4617" t="s">
        <v>27942</v>
      </c>
      <c r="P4617" t="s">
        <v>27943</v>
      </c>
      <c r="Q4617" s="3" t="n">
        <v>42699.0</v>
      </c>
      <c r="R4617" s="3" t="n">
        <v>44404.0</v>
      </c>
      <c r="S4617" s="3" t="n">
        <v>44404.231185219905</v>
      </c>
      <c r="T4617" s="3" t="n">
        <v>44405.38459137732</v>
      </c>
      <c r="U4617" t="s">
        <v>27944</v>
      </c>
      <c r="V4617" t="s">
        <v>27945</v>
      </c>
    </row>
    <row r="4618">
      <c r="A4618" t="s">
        <v>23557</v>
      </c>
      <c r="B4618" t="s">
        <v>27946</v>
      </c>
      <c r="C4618" t="s">
        <v>24</v>
      </c>
      <c r="D4618" t="s">
        <v>100</v>
      </c>
      <c r="E4618" t="s">
        <v>27947</v>
      </c>
      <c r="F4618" s="2" t="n">
        <f>HYPERLINK("https://patents.google.com/patent/US11071975","Google")</f>
        <v>0.0</v>
      </c>
      <c r="G4618" s="2" t="n">
        <f>HYPERLINK("https://patentcenter.uspto.gov/applications/17008341","Patent Center")</f>
        <v>0.0</v>
      </c>
      <c r="H4618" s="2" t="n">
        <f>HYPERLINK("https://worldwide.espacenet.com/patent/search?q=US11071975","Espacenet")</f>
        <v>0.0</v>
      </c>
      <c r="I4618" s="2" t="n">
        <f>HYPERLINK("https://ppubs.uspto.gov/pubwebapp/external.html?q=11071975.pn.","USPTO")</f>
        <v>0.0</v>
      </c>
      <c r="J4618" s="2" t="n">
        <f>HYPERLINK("https://image-ppubs.uspto.gov/dirsearch-public/print/downloadPdf/11071975","USPTO PDF")</f>
        <v>0.0</v>
      </c>
      <c r="K4618" s="2" t="n">
        <f>HYPERLINK("https://sectors.patentforecast.com/pmd/US11071975","PMD")</f>
        <v>0.0</v>
      </c>
      <c r="L4618" s="2" t="n">
        <f>HYPERLINK("https://globaldossier.uspto.gov/result/patent/US/11071975/1","US11071975")</f>
        <v>0.0</v>
      </c>
      <c r="M4618" t="s">
        <v>15960</v>
      </c>
      <c r="N4618" t="s">
        <v>15961</v>
      </c>
      <c r="O4618" t="s">
        <v>15962</v>
      </c>
      <c r="P4618" t="s">
        <v>27948</v>
      </c>
      <c r="Q4618" s="3" t="n">
        <v>44074.0</v>
      </c>
      <c r="R4618" s="3" t="n">
        <v>44404.0</v>
      </c>
      <c r="S4618" s="3" t="n">
        <v>44404.22967571759</v>
      </c>
      <c r="T4618" s="3" t="n">
        <v>44412.410674618055</v>
      </c>
      <c r="U4618" t="s">
        <v>27949</v>
      </c>
      <c r="V4618" t="s">
        <v>15965</v>
      </c>
    </row>
    <row r="4619">
      <c r="A4619" t="s">
        <v>23557</v>
      </c>
      <c r="B4619" t="s">
        <v>27950</v>
      </c>
      <c r="C4619" t="s">
        <v>24</v>
      </c>
      <c r="D4619" t="s">
        <v>69</v>
      </c>
      <c r="E4619" t="s">
        <v>27951</v>
      </c>
      <c r="F4619" s="2" t="n">
        <f>HYPERLINK("https://patents.google.com/patent/US11071671","Google")</f>
        <v>0.0</v>
      </c>
      <c r="G4619" s="2" t="n">
        <f>HYPERLINK("https://patentcenter.uspto.gov/applications/17098586","Patent Center")</f>
        <v>0.0</v>
      </c>
      <c r="H4619" s="2" t="n">
        <f>HYPERLINK("https://worldwide.espacenet.com/patent/search?q=US11071671","Espacenet")</f>
        <v>0.0</v>
      </c>
      <c r="I4619" s="2" t="n">
        <f>HYPERLINK("https://ppubs.uspto.gov/pubwebapp/external.html?q=11071671.pn.","USPTO")</f>
        <v>0.0</v>
      </c>
      <c r="J4619" s="2" t="n">
        <f>HYPERLINK("https://image-ppubs.uspto.gov/dirsearch-public/print/downloadPdf/11071671","USPTO PDF")</f>
        <v>0.0</v>
      </c>
      <c r="K4619" s="2" t="n">
        <f>HYPERLINK("https://sectors.patentforecast.com/pmd/US11071671","PMD")</f>
        <v>0.0</v>
      </c>
      <c r="L4619" s="2" t="n">
        <f>HYPERLINK("https://globaldossier.uspto.gov/result/patent/US/11071671/1","US11071671")</f>
        <v>0.0</v>
      </c>
      <c r="M4619" t="s">
        <v>27952</v>
      </c>
      <c r="N4619" t="s">
        <v>27953</v>
      </c>
      <c r="O4619" t="s">
        <v>27954</v>
      </c>
      <c r="P4619" t="s">
        <v>27955</v>
      </c>
      <c r="Q4619" s="3" t="n">
        <v>44151.0</v>
      </c>
      <c r="R4619" s="3" t="n">
        <v>44404.0</v>
      </c>
      <c r="S4619" s="3" t="n">
        <v>44404.22967571759</v>
      </c>
      <c r="T4619" s="3" t="n">
        <v>44405.38290255787</v>
      </c>
      <c r="U4619" t="s">
        <v>27956</v>
      </c>
      <c r="V4619" t="s">
        <v>27957</v>
      </c>
    </row>
    <row r="4620">
      <c r="A4620" t="s">
        <v>23557</v>
      </c>
      <c r="B4620" t="s">
        <v>27958</v>
      </c>
      <c r="C4620" t="s">
        <v>24</v>
      </c>
      <c r="D4620" t="s">
        <v>69</v>
      </c>
      <c r="E4620" t="s">
        <v>27959</v>
      </c>
      <c r="F4620" s="2" t="n">
        <f>HYPERLINK("https://patents.google.com/patent/US11071337","Google")</f>
        <v>0.0</v>
      </c>
      <c r="G4620" s="2" t="n">
        <f>HYPERLINK("https://patentcenter.uspto.gov/applications/16932065","Patent Center")</f>
        <v>0.0</v>
      </c>
      <c r="H4620" s="2" t="n">
        <f>HYPERLINK("https://worldwide.espacenet.com/patent/search?q=US11071337","Espacenet")</f>
        <v>0.0</v>
      </c>
      <c r="I4620" s="2" t="n">
        <f>HYPERLINK("https://ppubs.uspto.gov/pubwebapp/external.html?q=11071337.pn.","USPTO")</f>
        <v>0.0</v>
      </c>
      <c r="J4620" s="2" t="n">
        <f>HYPERLINK("https://image-ppubs.uspto.gov/dirsearch-public/print/downloadPdf/11071337","USPTO PDF")</f>
        <v>0.0</v>
      </c>
      <c r="K4620" s="2" t="n">
        <f>HYPERLINK("https://sectors.patentforecast.com/pmd/US11071337","PMD")</f>
        <v>0.0</v>
      </c>
      <c r="L4620" s="2" t="n">
        <f>HYPERLINK("https://globaldossier.uspto.gov/result/patent/US/11071337/1","US11071337")</f>
        <v>0.0</v>
      </c>
      <c r="M4620" t="s">
        <v>27960</v>
      </c>
      <c r="N4620" t="s">
        <v>2045</v>
      </c>
      <c r="O4620" t="s">
        <v>2045</v>
      </c>
      <c r="P4620" t="s">
        <v>27961</v>
      </c>
      <c r="Q4620" s="3" t="n">
        <v>44029.0</v>
      </c>
      <c r="R4620" s="3" t="n">
        <v>44404.0</v>
      </c>
      <c r="S4620" s="3" t="n">
        <v>44404.22967571759</v>
      </c>
      <c r="T4620" s="3" t="n">
        <v>44412.410807025466</v>
      </c>
      <c r="U4620" t="s">
        <v>27962</v>
      </c>
      <c r="V4620" t="s">
        <v>27963</v>
      </c>
    </row>
    <row r="4621">
      <c r="A4621" t="s">
        <v>23557</v>
      </c>
      <c r="B4621" t="s">
        <v>27964</v>
      </c>
      <c r="C4621" t="s">
        <v>24</v>
      </c>
      <c r="D4621" t="s">
        <v>100</v>
      </c>
      <c r="E4621" t="s">
        <v>27965</v>
      </c>
      <c r="F4621" s="2" t="n">
        <f>HYPERLINK("https://patents.google.com/patent/US11069070","Google")</f>
        <v>0.0</v>
      </c>
      <c r="G4621" s="2" t="n">
        <f>HYPERLINK("https://patentcenter.uspto.gov/applications/16994538","Patent Center")</f>
        <v>0.0</v>
      </c>
      <c r="H4621" s="2" t="n">
        <f>HYPERLINK("https://worldwide.espacenet.com/patent/search?q=US11069070","Espacenet")</f>
        <v>0.0</v>
      </c>
      <c r="I4621" s="2" t="n">
        <f>HYPERLINK("https://ppubs.uspto.gov/pubwebapp/external.html?q=11069070.pn.","USPTO")</f>
        <v>0.0</v>
      </c>
      <c r="J4621" s="2" t="n">
        <f>HYPERLINK("https://image-ppubs.uspto.gov/dirsearch-public/print/downloadPdf/11069070","USPTO PDF")</f>
        <v>0.0</v>
      </c>
      <c r="K4621" s="2" t="n">
        <f>HYPERLINK("https://sectors.patentforecast.com/pmd/US11069070","PMD")</f>
        <v>0.0</v>
      </c>
      <c r="L4621" s="2" t="n">
        <f>HYPERLINK("https://globaldossier.uspto.gov/result/patent/US/11069070/1","US11069070")</f>
        <v>0.0</v>
      </c>
      <c r="M4621" t="s">
        <v>27966</v>
      </c>
      <c r="N4621" t="s">
        <v>27967</v>
      </c>
      <c r="O4621" t="s">
        <v>27968</v>
      </c>
      <c r="P4621" t="s">
        <v>27969</v>
      </c>
      <c r="Q4621" s="3" t="n">
        <v>44057.0</v>
      </c>
      <c r="R4621" s="3" t="n">
        <v>44397.0</v>
      </c>
      <c r="S4621" s="3" t="n">
        <v>44397.235454560185</v>
      </c>
      <c r="T4621" s="3" t="n">
        <v>44398.53734230324</v>
      </c>
      <c r="U4621" t="s">
        <v>27970</v>
      </c>
      <c r="V4621" t="s">
        <v>27971</v>
      </c>
    </row>
    <row r="4622">
      <c r="A4622" t="s">
        <v>23557</v>
      </c>
      <c r="B4622" t="s">
        <v>27972</v>
      </c>
      <c r="C4622" t="s">
        <v>24</v>
      </c>
      <c r="D4622" t="s">
        <v>34</v>
      </c>
      <c r="E4622" t="s">
        <v>27973</v>
      </c>
      <c r="F4622" s="2" t="n">
        <f>HYPERLINK("https://patents.google.com/patent/US11066712","Google")</f>
        <v>0.0</v>
      </c>
      <c r="G4622" s="2" t="n">
        <f>HYPERLINK("https://patentcenter.uspto.gov/applications/17100842","Patent Center")</f>
        <v>0.0</v>
      </c>
      <c r="H4622" s="2" t="n">
        <f>HYPERLINK("https://worldwide.espacenet.com/patent/search?q=US11066712","Espacenet")</f>
        <v>0.0</v>
      </c>
      <c r="I4622" s="2" t="n">
        <f>HYPERLINK("https://ppubs.uspto.gov/pubwebapp/external.html?q=11066712.pn.","USPTO")</f>
        <v>0.0</v>
      </c>
      <c r="J4622" s="2" t="n">
        <f>HYPERLINK("https://image-ppubs.uspto.gov/dirsearch-public/print/downloadPdf/11066712","USPTO PDF")</f>
        <v>0.0</v>
      </c>
      <c r="K4622" s="2" t="n">
        <f>HYPERLINK("https://sectors.patentforecast.com/pmd/US11066712","PMD")</f>
        <v>0.0</v>
      </c>
      <c r="L4622" s="2" t="n">
        <f>HYPERLINK("https://globaldossier.uspto.gov/result/patent/US/11066712/1","US11066712")</f>
        <v>0.0</v>
      </c>
      <c r="M4622" t="s">
        <v>27974</v>
      </c>
      <c r="N4622" t="s">
        <v>9916</v>
      </c>
      <c r="O4622" t="s">
        <v>9917</v>
      </c>
      <c r="P4622" t="s">
        <v>27975</v>
      </c>
      <c r="Q4622" s="3" t="n">
        <v>44156.0</v>
      </c>
      <c r="R4622" s="3" t="n">
        <v>44397.0</v>
      </c>
      <c r="S4622" s="3" t="n">
        <v>44397.2296681713</v>
      </c>
      <c r="T4622" s="3" t="n">
        <v>44398.538395358795</v>
      </c>
      <c r="U4622" t="s">
        <v>27976</v>
      </c>
      <c r="V4622" t="s">
        <v>27977</v>
      </c>
    </row>
    <row r="4623">
      <c r="A4623" t="s">
        <v>23557</v>
      </c>
      <c r="B4623" t="s">
        <v>27978</v>
      </c>
      <c r="C4623" t="s">
        <v>24</v>
      </c>
      <c r="D4623" t="s">
        <v>34</v>
      </c>
      <c r="E4623" t="s">
        <v>27979</v>
      </c>
      <c r="F4623" s="2" t="n">
        <f>HYPERLINK("https://patents.google.com/patent/US11066697","Google")</f>
        <v>0.0</v>
      </c>
      <c r="G4623" s="2" t="n">
        <f>HYPERLINK("https://patentcenter.uspto.gov/applications/16911280","Patent Center")</f>
        <v>0.0</v>
      </c>
      <c r="H4623" s="2" t="n">
        <f>HYPERLINK("https://worldwide.espacenet.com/patent/search?q=US11066697","Espacenet")</f>
        <v>0.0</v>
      </c>
      <c r="I4623" s="2" t="n">
        <f>HYPERLINK("https://ppubs.uspto.gov/pubwebapp/external.html?q=11066697.pn.","USPTO")</f>
        <v>0.0</v>
      </c>
      <c r="J4623" s="2" t="n">
        <f>HYPERLINK("https://image-ppubs.uspto.gov/dirsearch-public/print/downloadPdf/11066697","USPTO PDF")</f>
        <v>0.0</v>
      </c>
      <c r="K4623" s="2" t="n">
        <f>HYPERLINK("https://sectors.patentforecast.com/pmd/US11066697","PMD")</f>
        <v>0.0</v>
      </c>
      <c r="L4623" s="2" t="n">
        <f>HYPERLINK("https://globaldossier.uspto.gov/result/patent/US/11066697/1","US11066697")</f>
        <v>0.0</v>
      </c>
      <c r="M4623" t="s">
        <v>27980</v>
      </c>
      <c r="N4623" t="s">
        <v>9325</v>
      </c>
      <c r="O4623" t="s">
        <v>9326</v>
      </c>
      <c r="P4623" t="s">
        <v>27981</v>
      </c>
      <c r="Q4623" s="3" t="n">
        <v>44006.0</v>
      </c>
      <c r="R4623" s="3" t="n">
        <v>44397.0</v>
      </c>
      <c r="S4623" s="3" t="n">
        <v>44397.2296681713</v>
      </c>
      <c r="T4623" s="3" t="n">
        <v>44398.49817486111</v>
      </c>
      <c r="U4623" t="s">
        <v>27982</v>
      </c>
      <c r="V4623" t="s">
        <v>27983</v>
      </c>
    </row>
    <row r="4624">
      <c r="A4624" t="s">
        <v>23557</v>
      </c>
      <c r="B4624" t="s">
        <v>27984</v>
      </c>
      <c r="C4624" t="s">
        <v>24</v>
      </c>
      <c r="D4624" t="s">
        <v>69</v>
      </c>
      <c r="E4624" t="s">
        <v>26821</v>
      </c>
      <c r="F4624" s="2" t="n">
        <f>HYPERLINK("https://patents.google.com/patent/US11065480","Google")</f>
        <v>0.0</v>
      </c>
      <c r="G4624" s="2" t="n">
        <f>HYPERLINK("https://patentcenter.uspto.gov/applications/17093213","Patent Center")</f>
        <v>0.0</v>
      </c>
      <c r="H4624" s="2" t="n">
        <f>HYPERLINK("https://worldwide.espacenet.com/patent/search?q=US11065480","Espacenet")</f>
        <v>0.0</v>
      </c>
      <c r="I4624" s="2" t="n">
        <f>HYPERLINK("https://ppubs.uspto.gov/pubwebapp/external.html?q=11065480.pn.","USPTO")</f>
        <v>0.0</v>
      </c>
      <c r="J4624" s="2" t="n">
        <f>HYPERLINK("https://image-ppubs.uspto.gov/dirsearch-public/print/downloadPdf/11065480","USPTO PDF")</f>
        <v>0.0</v>
      </c>
      <c r="K4624" s="2" t="n">
        <f>HYPERLINK("https://sectors.patentforecast.com/pmd/US11065480","PMD")</f>
        <v>0.0</v>
      </c>
      <c r="L4624" s="2" t="n">
        <f>HYPERLINK("https://globaldossier.uspto.gov/result/patent/US/11065480/1","US11065480")</f>
        <v>0.0</v>
      </c>
      <c r="M4624" t="s">
        <v>15639</v>
      </c>
      <c r="N4624" t="s">
        <v>1174</v>
      </c>
      <c r="O4624" t="s">
        <v>1175</v>
      </c>
      <c r="P4624" t="s">
        <v>27985</v>
      </c>
      <c r="Q4624" s="3" t="n">
        <v>44144.0</v>
      </c>
      <c r="R4624" s="3" t="n">
        <v>44397.0</v>
      </c>
      <c r="S4624" s="3" t="n">
        <v>44397.2296681713</v>
      </c>
      <c r="T4624" s="3" t="n">
        <v>44398.53805091435</v>
      </c>
      <c r="U4624" t="s">
        <v>27986</v>
      </c>
      <c r="V4624" t="s">
        <v>27987</v>
      </c>
    </row>
    <row r="4625">
      <c r="A4625" t="s">
        <v>23557</v>
      </c>
      <c r="B4625" t="s">
        <v>27988</v>
      </c>
      <c r="C4625" t="s">
        <v>60</v>
      </c>
      <c r="D4625" t="s">
        <v>715</v>
      </c>
      <c r="E4625" t="s">
        <v>27989</v>
      </c>
      <c r="F4625" s="2" t="n">
        <f>HYPERLINK("https://patents.google.com/patent/US11065479","Google")</f>
        <v>0.0</v>
      </c>
      <c r="G4625" s="2" t="n">
        <f>HYPERLINK("https://patentcenter.uspto.gov/applications/16995887","Patent Center")</f>
        <v>0.0</v>
      </c>
      <c r="H4625" s="2" t="n">
        <f>HYPERLINK("https://worldwide.espacenet.com/patent/search?q=US11065479","Espacenet")</f>
        <v>0.0</v>
      </c>
      <c r="I4625" s="2" t="n">
        <f>HYPERLINK("https://ppubs.uspto.gov/pubwebapp/external.html?q=11065479.pn.","USPTO")</f>
        <v>0.0</v>
      </c>
      <c r="J4625" s="2" t="n">
        <f>HYPERLINK("https://image-ppubs.uspto.gov/dirsearch-public/print/downloadPdf/11065479","USPTO PDF")</f>
        <v>0.0</v>
      </c>
      <c r="K4625" s="2" t="n">
        <f>HYPERLINK("https://sectors.patentforecast.com/pmd/US11065479","PMD")</f>
        <v>0.0</v>
      </c>
      <c r="L4625" s="2" t="n">
        <f>HYPERLINK("https://globaldossier.uspto.gov/result/patent/US/11065479/1","US11065479")</f>
        <v>0.0</v>
      </c>
      <c r="M4625" t="s">
        <v>27990</v>
      </c>
      <c r="N4625" t="s">
        <v>27991</v>
      </c>
      <c r="O4625" t="s">
        <v>27992</v>
      </c>
      <c r="P4625" t="s">
        <v>27993</v>
      </c>
      <c r="Q4625" s="3" t="n">
        <v>44061.0</v>
      </c>
      <c r="R4625" s="3" t="n">
        <v>44397.0</v>
      </c>
      <c r="S4625" s="3" t="n">
        <v>44397.2296681713</v>
      </c>
      <c r="T4625" s="3" t="n">
        <v>44398.53792042824</v>
      </c>
      <c r="U4625" t="s">
        <v>27994</v>
      </c>
      <c r="V4625" t="s">
        <v>27995</v>
      </c>
    </row>
    <row r="4626">
      <c r="A4626" t="s">
        <v>23557</v>
      </c>
      <c r="B4626" t="s">
        <v>27996</v>
      </c>
      <c r="C4626" t="s">
        <v>60</v>
      </c>
      <c r="D4626" t="s">
        <v>715</v>
      </c>
      <c r="E4626" t="s">
        <v>27997</v>
      </c>
      <c r="F4626" s="2" t="n">
        <f>HYPERLINK("https://patents.google.com/patent/US11065410","Google")</f>
        <v>0.0</v>
      </c>
      <c r="G4626" s="2" t="n">
        <f>HYPERLINK("https://patentcenter.uspto.gov/applications/17164661","Patent Center")</f>
        <v>0.0</v>
      </c>
      <c r="H4626" s="2" t="n">
        <f>HYPERLINK("https://worldwide.espacenet.com/patent/search?q=US11065410","Espacenet")</f>
        <v>0.0</v>
      </c>
      <c r="I4626" s="2" t="n">
        <f>HYPERLINK("https://ppubs.uspto.gov/pubwebapp/external.html?q=11065410.pn.","USPTO")</f>
        <v>0.0</v>
      </c>
      <c r="J4626" s="2" t="n">
        <f>HYPERLINK("https://image-ppubs.uspto.gov/dirsearch-public/print/downloadPdf/11065410","USPTO PDF")</f>
        <v>0.0</v>
      </c>
      <c r="K4626" s="2" t="n">
        <f>HYPERLINK("https://sectors.patentforecast.com/pmd/US11065410","PMD")</f>
        <v>0.0</v>
      </c>
      <c r="L4626" s="2" t="n">
        <f>HYPERLINK("https://globaldossier.uspto.gov/result/patent/US/11065410/1","US11065410")</f>
        <v>0.0</v>
      </c>
      <c r="M4626" t="s">
        <v>27998</v>
      </c>
      <c r="N4626" t="s">
        <v>26800</v>
      </c>
      <c r="O4626" t="s">
        <v>26800</v>
      </c>
      <c r="P4626" t="s">
        <v>27999</v>
      </c>
      <c r="Q4626" s="3" t="n">
        <v>44228.0</v>
      </c>
      <c r="R4626" s="3" t="n">
        <v>44397.0</v>
      </c>
      <c r="S4626" s="3" t="n">
        <v>44397.2296681713</v>
      </c>
      <c r="T4626" s="3" t="n">
        <v>44398.5338496412</v>
      </c>
      <c r="U4626" t="s">
        <v>28000</v>
      </c>
      <c r="V4626" t="s">
        <v>28001</v>
      </c>
    </row>
    <row r="4627">
      <c r="A4627" t="s">
        <v>23557</v>
      </c>
      <c r="B4627" t="s">
        <v>28002</v>
      </c>
      <c r="C4627" t="s">
        <v>60</v>
      </c>
      <c r="D4627" t="s">
        <v>715</v>
      </c>
      <c r="E4627" t="s">
        <v>27180</v>
      </c>
      <c r="F4627" s="2" t="n">
        <f>HYPERLINK("https://patents.google.com/patent/US11065379","Google")</f>
        <v>0.0</v>
      </c>
      <c r="G4627" s="2" t="n">
        <f>HYPERLINK("https://patentcenter.uspto.gov/applications/16846291","Patent Center")</f>
        <v>0.0</v>
      </c>
      <c r="H4627" s="2" t="n">
        <f>HYPERLINK("https://worldwide.espacenet.com/patent/search?q=US11065379","Espacenet")</f>
        <v>0.0</v>
      </c>
      <c r="I4627" s="2" t="n">
        <f>HYPERLINK("https://ppubs.uspto.gov/pubwebapp/external.html?q=11065379.pn.","USPTO")</f>
        <v>0.0</v>
      </c>
      <c r="J4627" s="2" t="n">
        <f>HYPERLINK("https://image-ppubs.uspto.gov/dirsearch-public/print/downloadPdf/11065379","USPTO PDF")</f>
        <v>0.0</v>
      </c>
      <c r="K4627" s="2" t="n">
        <f>HYPERLINK("https://sectors.patentforecast.com/pmd/US11065379","PMD")</f>
        <v>0.0</v>
      </c>
      <c r="L4627" s="2" t="n">
        <f>HYPERLINK("https://globaldossier.uspto.gov/result/patent/US/11065379/1","US11065379")</f>
        <v>0.0</v>
      </c>
      <c r="M4627" t="s">
        <v>16222</v>
      </c>
      <c r="N4627" t="s">
        <v>7250</v>
      </c>
      <c r="O4627" t="s">
        <v>7251</v>
      </c>
      <c r="P4627" t="s">
        <v>28003</v>
      </c>
      <c r="Q4627" s="3" t="n">
        <v>43932.0</v>
      </c>
      <c r="R4627" s="3" t="n">
        <v>44397.0</v>
      </c>
      <c r="S4627" s="3" t="n">
        <v>44397.2296681713</v>
      </c>
      <c r="T4627" s="3" t="n">
        <v>44398.536783703705</v>
      </c>
      <c r="U4627" t="s">
        <v>28004</v>
      </c>
      <c r="V4627" t="s">
        <v>16224</v>
      </c>
    </row>
    <row r="4628">
      <c r="A4628" t="s">
        <v>23557</v>
      </c>
      <c r="B4628" t="s">
        <v>28005</v>
      </c>
      <c r="C4628" t="s">
        <v>132</v>
      </c>
      <c r="D4628" t="s">
        <v>1265</v>
      </c>
      <c r="E4628" t="s">
        <v>28006</v>
      </c>
      <c r="F4628" s="2" t="n">
        <f>HYPERLINK("https://patents.google.com/patent/US11065325","Google")</f>
        <v>0.0</v>
      </c>
      <c r="G4628" s="2" t="n">
        <f>HYPERLINK("https://patentcenter.uspto.gov/applications/14650809","Patent Center")</f>
        <v>0.0</v>
      </c>
      <c r="H4628" s="2" t="n">
        <f>HYPERLINK("https://worldwide.espacenet.com/patent/search?q=US11065325","Espacenet")</f>
        <v>0.0</v>
      </c>
      <c r="I4628" s="2" t="n">
        <f>HYPERLINK("https://ppubs.uspto.gov/pubwebapp/external.html?q=11065325.pn.","USPTO")</f>
        <v>0.0</v>
      </c>
      <c r="J4628" s="2" t="n">
        <f>HYPERLINK("https://image-ppubs.uspto.gov/dirsearch-public/print/downloadPdf/11065325","USPTO PDF")</f>
        <v>0.0</v>
      </c>
      <c r="K4628" s="2" t="n">
        <f>HYPERLINK("https://sectors.patentforecast.com/pmd/US11065325","PMD")</f>
        <v>0.0</v>
      </c>
      <c r="L4628" s="2" t="n">
        <f>HYPERLINK("https://globaldossier.uspto.gov/result/patent/US/11065325/1","US11065325")</f>
        <v>0.0</v>
      </c>
      <c r="M4628" t="s">
        <v>20084</v>
      </c>
      <c r="N4628" t="s">
        <v>20085</v>
      </c>
      <c r="O4628" t="s">
        <v>20086</v>
      </c>
      <c r="P4628" t="s">
        <v>28007</v>
      </c>
      <c r="Q4628" s="3" t="n">
        <v>41625.0</v>
      </c>
      <c r="R4628" s="3" t="n">
        <v>44397.0</v>
      </c>
      <c r="S4628" s="3" t="n">
        <v>44397.234181342596</v>
      </c>
      <c r="T4628" s="3" t="n">
        <v>44398.49880347222</v>
      </c>
      <c r="U4628" t="s">
        <v>28008</v>
      </c>
      <c r="V4628" t="s">
        <v>20089</v>
      </c>
    </row>
    <row r="4629">
      <c r="A4629" t="s">
        <v>23557</v>
      </c>
      <c r="B4629" t="s">
        <v>28009</v>
      </c>
      <c r="C4629" t="s">
        <v>60</v>
      </c>
      <c r="D4629" t="s">
        <v>61</v>
      </c>
      <c r="E4629" t="s">
        <v>28010</v>
      </c>
      <c r="F4629" s="2" t="n">
        <f>HYPERLINK("https://patents.google.com/patent/US11065298","Google")</f>
        <v>0.0</v>
      </c>
      <c r="G4629" s="2" t="n">
        <f>HYPERLINK("https://patentcenter.uspto.gov/applications/16896092","Patent Center")</f>
        <v>0.0</v>
      </c>
      <c r="H4629" s="2" t="n">
        <f>HYPERLINK("https://worldwide.espacenet.com/patent/search?q=US11065298","Espacenet")</f>
        <v>0.0</v>
      </c>
      <c r="I4629" s="2" t="n">
        <f>HYPERLINK("https://ppubs.uspto.gov/pubwebapp/external.html?q=11065298.pn.","USPTO")</f>
        <v>0.0</v>
      </c>
      <c r="J4629" s="2" t="n">
        <f>HYPERLINK("https://image-ppubs.uspto.gov/dirsearch-public/print/downloadPdf/11065298","USPTO PDF")</f>
        <v>0.0</v>
      </c>
      <c r="K4629" s="2" t="n">
        <f>HYPERLINK("https://sectors.patentforecast.com/pmd/US11065298","PMD")</f>
        <v>0.0</v>
      </c>
      <c r="L4629" s="2" t="n">
        <f>HYPERLINK("https://globaldossier.uspto.gov/result/patent/US/11065298/1","US11065298")</f>
        <v>0.0</v>
      </c>
      <c r="M4629" t="s">
        <v>28011</v>
      </c>
      <c r="N4629" t="s">
        <v>28012</v>
      </c>
      <c r="O4629" t="s">
        <v>28013</v>
      </c>
      <c r="P4629" t="s">
        <v>28014</v>
      </c>
      <c r="Q4629" s="3" t="n">
        <v>43990.0</v>
      </c>
      <c r="R4629" s="3" t="n">
        <v>44397.0</v>
      </c>
      <c r="S4629" s="3" t="n">
        <v>44397.2296681713</v>
      </c>
      <c r="T4629" s="3" t="n">
        <v>44398.49925202546</v>
      </c>
      <c r="U4629" t="s">
        <v>28015</v>
      </c>
      <c r="V4629" t="s">
        <v>28016</v>
      </c>
    </row>
    <row r="4630">
      <c r="A4630" t="s">
        <v>23557</v>
      </c>
      <c r="B4630" t="s">
        <v>28017</v>
      </c>
      <c r="C4630" t="s">
        <v>60</v>
      </c>
      <c r="D4630" t="s">
        <v>61</v>
      </c>
      <c r="E4630" t="s">
        <v>28018</v>
      </c>
      <c r="F4630" s="2" t="n">
        <f>HYPERLINK("https://patents.google.com/patent/US11065260","Google")</f>
        <v>0.0</v>
      </c>
      <c r="G4630" s="2" t="n">
        <f>HYPERLINK("https://patentcenter.uspto.gov/applications/16847449","Patent Center")</f>
        <v>0.0</v>
      </c>
      <c r="H4630" s="2" t="n">
        <f>HYPERLINK("https://worldwide.espacenet.com/patent/search?q=US11065260","Espacenet")</f>
        <v>0.0</v>
      </c>
      <c r="I4630" s="2" t="n">
        <f>HYPERLINK("https://ppubs.uspto.gov/pubwebapp/external.html?q=11065260.pn.","USPTO")</f>
        <v>0.0</v>
      </c>
      <c r="J4630" s="2" t="n">
        <f>HYPERLINK("https://image-ppubs.uspto.gov/dirsearch-public/print/downloadPdf/11065260","USPTO PDF")</f>
        <v>0.0</v>
      </c>
      <c r="K4630" s="2" t="n">
        <f>HYPERLINK("https://sectors.patentforecast.com/pmd/US11065260","PMD")</f>
        <v>0.0</v>
      </c>
      <c r="L4630" s="2" t="n">
        <f>HYPERLINK("https://globaldossier.uspto.gov/result/patent/US/11065260/1","US11065260")</f>
        <v>0.0</v>
      </c>
      <c r="M4630" t="s">
        <v>28019</v>
      </c>
      <c r="N4630" t="s">
        <v>28020</v>
      </c>
      <c r="O4630" t="s">
        <v>28021</v>
      </c>
      <c r="P4630" t="s">
        <v>28022</v>
      </c>
      <c r="Q4630" s="3" t="n">
        <v>43934.0</v>
      </c>
      <c r="R4630" s="3" t="n">
        <v>44397.0</v>
      </c>
      <c r="S4630" s="3" t="n">
        <v>44397.2296681713</v>
      </c>
      <c r="T4630" s="3" t="n">
        <v>44398.53693769676</v>
      </c>
      <c r="U4630" t="s">
        <v>28023</v>
      </c>
      <c r="V4630" t="s">
        <v>28024</v>
      </c>
    </row>
    <row r="4631">
      <c r="A4631" t="s">
        <v>23557</v>
      </c>
      <c r="B4631" t="s">
        <v>28025</v>
      </c>
      <c r="C4631" t="s">
        <v>312</v>
      </c>
      <c r="D4631" t="s">
        <v>3202</v>
      </c>
      <c r="E4631" t="s">
        <v>28026</v>
      </c>
      <c r="F4631" s="2" t="n">
        <f>HYPERLINK("https://patents.google.com/patent/US11064953","Google")</f>
        <v>0.0</v>
      </c>
      <c r="G4631" s="2" t="n">
        <f>HYPERLINK("https://patentcenter.uspto.gov/applications/17014288","Patent Center")</f>
        <v>0.0</v>
      </c>
      <c r="H4631" s="2" t="n">
        <f>HYPERLINK("https://worldwide.espacenet.com/patent/search?q=US11064953","Espacenet")</f>
        <v>0.0</v>
      </c>
      <c r="I4631" s="2" t="n">
        <f>HYPERLINK("https://ppubs.uspto.gov/pubwebapp/external.html?q=11064953.pn.","USPTO")</f>
        <v>0.0</v>
      </c>
      <c r="J4631" s="2" t="n">
        <f>HYPERLINK("https://image-ppubs.uspto.gov/dirsearch-public/print/downloadPdf/11064953","USPTO PDF")</f>
        <v>0.0</v>
      </c>
      <c r="K4631" s="2" t="n">
        <f>HYPERLINK("https://sectors.patentforecast.com/pmd/US11064953","PMD")</f>
        <v>0.0</v>
      </c>
      <c r="L4631" s="2" t="n">
        <f>HYPERLINK("https://globaldossier.uspto.gov/result/patent/US/11064953/1","US11064953")</f>
        <v>0.0</v>
      </c>
      <c r="M4631" t="s">
        <v>28027</v>
      </c>
      <c r="N4631" t="s">
        <v>4090</v>
      </c>
      <c r="O4631" t="s">
        <v>4090</v>
      </c>
      <c r="P4631" t="s">
        <v>28028</v>
      </c>
      <c r="Q4631" s="3" t="n">
        <v>44082.0</v>
      </c>
      <c r="R4631" s="3" t="n">
        <v>44397.0</v>
      </c>
      <c r="S4631" s="3" t="n">
        <v>44397.23036185185</v>
      </c>
      <c r="T4631" s="3" t="n">
        <v>44398.53604585648</v>
      </c>
      <c r="U4631" t="s">
        <v>28029</v>
      </c>
      <c r="V4631" t="s">
        <v>4093</v>
      </c>
    </row>
    <row r="4632">
      <c r="A4632" t="s">
        <v>23557</v>
      </c>
      <c r="B4632" t="s">
        <v>28030</v>
      </c>
      <c r="C4632" t="s">
        <v>24</v>
      </c>
      <c r="D4632" t="s">
        <v>100</v>
      </c>
      <c r="E4632" t="s">
        <v>28031</v>
      </c>
      <c r="F4632" s="2" t="n">
        <f>HYPERLINK("https://patents.google.com/patent/US11064843","Google")</f>
        <v>0.0</v>
      </c>
      <c r="G4632" s="2" t="n">
        <f>HYPERLINK("https://patentcenter.uspto.gov/applications/17217372","Patent Center")</f>
        <v>0.0</v>
      </c>
      <c r="H4632" s="2" t="n">
        <f>HYPERLINK("https://worldwide.espacenet.com/patent/search?q=US11064843","Espacenet")</f>
        <v>0.0</v>
      </c>
      <c r="I4632" s="2" t="n">
        <f>HYPERLINK("https://ppubs.uspto.gov/pubwebapp/external.html?q=11064843.pn.","USPTO")</f>
        <v>0.0</v>
      </c>
      <c r="J4632" s="2" t="n">
        <f>HYPERLINK("https://image-ppubs.uspto.gov/dirsearch-public/print/downloadPdf/11064843","USPTO PDF")</f>
        <v>0.0</v>
      </c>
      <c r="K4632" s="2" t="n">
        <f>HYPERLINK("https://sectors.patentforecast.com/pmd/US11064843","PMD")</f>
        <v>0.0</v>
      </c>
      <c r="L4632" s="2" t="n">
        <f>HYPERLINK("https://globaldossier.uspto.gov/result/patent/US/11064843/1","US11064843")</f>
        <v>0.0</v>
      </c>
      <c r="M4632" t="s">
        <v>28032</v>
      </c>
      <c r="N4632" t="s">
        <v>28033</v>
      </c>
      <c r="O4632" t="s">
        <v>28034</v>
      </c>
      <c r="P4632" t="s">
        <v>28035</v>
      </c>
      <c r="Q4632" s="3" t="n">
        <v>44285.0</v>
      </c>
      <c r="R4632" s="3" t="n">
        <v>44397.0</v>
      </c>
      <c r="S4632" s="3" t="n">
        <v>44397.2296681713</v>
      </c>
      <c r="T4632" s="3" t="n">
        <v>44398.53819946759</v>
      </c>
      <c r="U4632" t="s">
        <v>28036</v>
      </c>
      <c r="V4632" t="s">
        <v>28037</v>
      </c>
    </row>
    <row r="4633">
      <c r="A4633" t="s">
        <v>23557</v>
      </c>
      <c r="B4633" t="s">
        <v>28038</v>
      </c>
      <c r="C4633" t="s">
        <v>24</v>
      </c>
      <c r="D4633" t="s">
        <v>69</v>
      </c>
      <c r="E4633" t="s">
        <v>28039</v>
      </c>
      <c r="F4633" s="2" t="n">
        <f>HYPERLINK("https://patents.google.com/patent/US11064745","Google")</f>
        <v>0.0</v>
      </c>
      <c r="G4633" s="2" t="n">
        <f>HYPERLINK("https://patentcenter.uspto.gov/applications/17096843","Patent Center")</f>
        <v>0.0</v>
      </c>
      <c r="H4633" s="2" t="n">
        <f>HYPERLINK("https://worldwide.espacenet.com/patent/search?q=US11064745","Espacenet")</f>
        <v>0.0</v>
      </c>
      <c r="I4633" s="2" t="n">
        <f>HYPERLINK("https://ppubs.uspto.gov/pubwebapp/external.html?q=11064745.pn.","USPTO")</f>
        <v>0.0</v>
      </c>
      <c r="J4633" s="2" t="n">
        <f>HYPERLINK("https://image-ppubs.uspto.gov/dirsearch-public/print/downloadPdf/11064745","USPTO PDF")</f>
        <v>0.0</v>
      </c>
      <c r="K4633" s="2" t="n">
        <f>HYPERLINK("https://sectors.patentforecast.com/pmd/US11064745","PMD")</f>
        <v>0.0</v>
      </c>
      <c r="L4633" s="2" t="n">
        <f>HYPERLINK("https://globaldossier.uspto.gov/result/patent/US/11064745/1","US11064745")</f>
        <v>0.0</v>
      </c>
      <c r="M4633" t="s">
        <v>28040</v>
      </c>
      <c r="N4633" t="s">
        <v>2045</v>
      </c>
      <c r="O4633" t="s">
        <v>2045</v>
      </c>
      <c r="P4633" t="s">
        <v>28041</v>
      </c>
      <c r="Q4633" s="3" t="n">
        <v>44147.0</v>
      </c>
      <c r="R4633" s="3" t="n">
        <v>44397.0</v>
      </c>
      <c r="S4633" s="3" t="n">
        <v>44397.2296681713</v>
      </c>
      <c r="T4633" s="3" t="n">
        <v>44398.5358828125</v>
      </c>
      <c r="U4633" t="s">
        <v>28042</v>
      </c>
      <c r="V4633" t="s">
        <v>28043</v>
      </c>
    </row>
    <row r="4634">
      <c r="A4634" t="s">
        <v>23557</v>
      </c>
      <c r="B4634" t="s">
        <v>28044</v>
      </c>
      <c r="C4634" t="s">
        <v>24</v>
      </c>
      <c r="D4634" t="s">
        <v>69</v>
      </c>
      <c r="E4634" t="s">
        <v>26077</v>
      </c>
      <c r="F4634" s="2" t="n">
        <f>HYPERLINK("https://patents.google.com/patent/US11064744","Google")</f>
        <v>0.0</v>
      </c>
      <c r="G4634" s="2" t="n">
        <f>HYPERLINK("https://patentcenter.uspto.gov/applications/17009475","Patent Center")</f>
        <v>0.0</v>
      </c>
      <c r="H4634" s="2" t="n">
        <f>HYPERLINK("https://worldwide.espacenet.com/patent/search?q=US11064744","Espacenet")</f>
        <v>0.0</v>
      </c>
      <c r="I4634" s="2" t="n">
        <f>HYPERLINK("https://ppubs.uspto.gov/pubwebapp/external.html?q=11064744.pn.","USPTO")</f>
        <v>0.0</v>
      </c>
      <c r="J4634" s="2" t="n">
        <f>HYPERLINK("https://image-ppubs.uspto.gov/dirsearch-public/print/downloadPdf/11064744","USPTO PDF")</f>
        <v>0.0</v>
      </c>
      <c r="K4634" s="2" t="n">
        <f>HYPERLINK("https://sectors.patentforecast.com/pmd/US11064744","PMD")</f>
        <v>0.0</v>
      </c>
      <c r="L4634" s="2" t="n">
        <f>HYPERLINK("https://globaldossier.uspto.gov/result/patent/US/11064744/1","US11064744")</f>
        <v>0.0</v>
      </c>
      <c r="M4634" t="s">
        <v>28045</v>
      </c>
      <c r="N4634" t="s">
        <v>28046</v>
      </c>
      <c r="O4634" t="s">
        <v>28047</v>
      </c>
      <c r="P4634" t="s">
        <v>28048</v>
      </c>
      <c r="Q4634" s="3" t="n">
        <v>44075.0</v>
      </c>
      <c r="R4634" s="3" t="n">
        <v>44397.0</v>
      </c>
      <c r="S4634" s="3" t="n">
        <v>44397.2296681713</v>
      </c>
      <c r="T4634" s="3" t="n">
        <v>44398.53563917824</v>
      </c>
      <c r="U4634" t="s">
        <v>28049</v>
      </c>
      <c r="V4634" t="s">
        <v>28050</v>
      </c>
    </row>
    <row r="4635">
      <c r="A4635" t="s">
        <v>23557</v>
      </c>
      <c r="B4635" t="s">
        <v>28051</v>
      </c>
      <c r="C4635" t="s">
        <v>24</v>
      </c>
      <c r="D4635" t="s">
        <v>25</v>
      </c>
      <c r="E4635" t="s">
        <v>28052</v>
      </c>
      <c r="F4635" s="2" t="n">
        <f>HYPERLINK("https://patents.google.com/patent/US11060995","Google")</f>
        <v>0.0</v>
      </c>
      <c r="G4635" s="2" t="n">
        <f>HYPERLINK("https://patentcenter.uspto.gov/applications/16933686","Patent Center")</f>
        <v>0.0</v>
      </c>
      <c r="H4635" s="2" t="n">
        <f>HYPERLINK("https://worldwide.espacenet.com/patent/search?q=US11060995","Espacenet")</f>
        <v>0.0</v>
      </c>
      <c r="I4635" s="2" t="n">
        <f>HYPERLINK("https://ppubs.uspto.gov/pubwebapp/external.html?q=11060995.pn.","USPTO")</f>
        <v>0.0</v>
      </c>
      <c r="J4635" s="2" t="n">
        <f>HYPERLINK("https://image-ppubs.uspto.gov/dirsearch-public/print/downloadPdf/11060995","USPTO PDF")</f>
        <v>0.0</v>
      </c>
      <c r="K4635" s="2" t="n">
        <f>HYPERLINK("https://sectors.patentforecast.com/pmd/US11060995","PMD")</f>
        <v>0.0</v>
      </c>
      <c r="L4635" s="2" t="n">
        <f>HYPERLINK("https://globaldossier.uspto.gov/result/patent/US/11060995/1","US11060995")</f>
        <v>0.0</v>
      </c>
      <c r="M4635" t="s">
        <v>28053</v>
      </c>
      <c r="N4635" t="s">
        <v>7605</v>
      </c>
      <c r="O4635" t="s">
        <v>7605</v>
      </c>
      <c r="P4635" t="s">
        <v>28054</v>
      </c>
      <c r="Q4635" s="3" t="n">
        <v>44032.0</v>
      </c>
      <c r="R4635" s="3" t="n">
        <v>44390.0</v>
      </c>
      <c r="S4635" s="3" t="n">
        <v>44392.22969105324</v>
      </c>
      <c r="T4635" s="3" t="n">
        <v>44398.49582574074</v>
      </c>
      <c r="U4635" t="s">
        <v>28055</v>
      </c>
      <c r="V4635" t="s">
        <v>28056</v>
      </c>
    </row>
    <row r="4636">
      <c r="A4636" t="s">
        <v>23557</v>
      </c>
      <c r="B4636" t="s">
        <v>28057</v>
      </c>
      <c r="C4636" t="s">
        <v>132</v>
      </c>
      <c r="D4636" t="s">
        <v>133</v>
      </c>
      <c r="E4636" t="s">
        <v>28058</v>
      </c>
      <c r="F4636" s="2" t="n">
        <f>HYPERLINK("https://patents.google.com/patent/US11058779","Google")</f>
        <v>0.0</v>
      </c>
      <c r="G4636" s="2" t="n">
        <f>HYPERLINK("https://patentcenter.uspto.gov/applications/15758312","Patent Center")</f>
        <v>0.0</v>
      </c>
      <c r="H4636" s="2" t="n">
        <f>HYPERLINK("https://worldwide.espacenet.com/patent/search?q=US11058779","Espacenet")</f>
        <v>0.0</v>
      </c>
      <c r="I4636" s="2" t="n">
        <f>HYPERLINK("https://ppubs.uspto.gov/pubwebapp/external.html?q=11058779.pn.","USPTO")</f>
        <v>0.0</v>
      </c>
      <c r="J4636" s="2" t="n">
        <f>HYPERLINK("https://image-ppubs.uspto.gov/dirsearch-public/print/downloadPdf/11058779","USPTO PDF")</f>
        <v>0.0</v>
      </c>
      <c r="K4636" s="2" t="n">
        <f>HYPERLINK("https://sectors.patentforecast.com/pmd/US11058779","PMD")</f>
        <v>0.0</v>
      </c>
      <c r="L4636" s="2" t="n">
        <f>HYPERLINK("https://globaldossier.uspto.gov/result/patent/US/11058779/1","US11058779")</f>
        <v>0.0</v>
      </c>
      <c r="M4636" t="s">
        <v>17944</v>
      </c>
      <c r="N4636" t="s">
        <v>403</v>
      </c>
      <c r="O4636" t="s">
        <v>404</v>
      </c>
      <c r="P4636" t="s">
        <v>28059</v>
      </c>
      <c r="Q4636" s="3" t="n">
        <v>42620.0</v>
      </c>
      <c r="R4636" s="3" t="n">
        <v>44390.0</v>
      </c>
      <c r="S4636" s="3" t="n">
        <v>44392.25862569444</v>
      </c>
      <c r="T4636" s="3" t="n">
        <v>44398.496417870374</v>
      </c>
      <c r="U4636" t="s">
        <v>28060</v>
      </c>
      <c r="V4636" t="s">
        <v>17947</v>
      </c>
    </row>
    <row r="4637">
      <c r="A4637" t="s">
        <v>23557</v>
      </c>
      <c r="B4637" t="s">
        <v>28061</v>
      </c>
      <c r="C4637" t="s">
        <v>132</v>
      </c>
      <c r="D4637" t="s">
        <v>133</v>
      </c>
      <c r="E4637" t="s">
        <v>28062</v>
      </c>
      <c r="F4637" s="2" t="n">
        <f>HYPERLINK("https://patents.google.com/patent/US11058764","Google")</f>
        <v>0.0</v>
      </c>
      <c r="G4637" s="2" t="n">
        <f>HYPERLINK("https://patentcenter.uspto.gov/applications/17092164","Patent Center")</f>
        <v>0.0</v>
      </c>
      <c r="H4637" s="2" t="n">
        <f>HYPERLINK("https://worldwide.espacenet.com/patent/search?q=US11058764","Espacenet")</f>
        <v>0.0</v>
      </c>
      <c r="I4637" s="2" t="n">
        <f>HYPERLINK("https://ppubs.uspto.gov/pubwebapp/external.html?q=11058764.pn.","USPTO")</f>
        <v>0.0</v>
      </c>
      <c r="J4637" s="2" t="n">
        <f>HYPERLINK("https://image-ppubs.uspto.gov/dirsearch-public/print/downloadPdf/11058764","USPTO PDF")</f>
        <v>0.0</v>
      </c>
      <c r="K4637" s="2" t="n">
        <f>HYPERLINK("https://sectors.patentforecast.com/pmd/US11058764","PMD")</f>
        <v>0.0</v>
      </c>
      <c r="L4637" s="2" t="n">
        <f>HYPERLINK("https://globaldossier.uspto.gov/result/patent/US/11058764/1","US11058764")</f>
        <v>0.0</v>
      </c>
      <c r="M4637" t="s">
        <v>28063</v>
      </c>
      <c r="N4637" t="s">
        <v>7089</v>
      </c>
      <c r="O4637" t="s">
        <v>7090</v>
      </c>
      <c r="P4637" t="s">
        <v>28064</v>
      </c>
      <c r="Q4637" s="3" t="n">
        <v>44141.0</v>
      </c>
      <c r="R4637" s="3" t="n">
        <v>44390.0</v>
      </c>
      <c r="S4637" s="3" t="n">
        <v>44392.22969105324</v>
      </c>
      <c r="T4637" s="3" t="n">
        <v>44398.49045239583</v>
      </c>
      <c r="U4637" t="s">
        <v>28065</v>
      </c>
      <c r="V4637" t="s">
        <v>7092</v>
      </c>
    </row>
    <row r="4638">
      <c r="A4638" t="s">
        <v>23557</v>
      </c>
      <c r="B4638" t="s">
        <v>28066</v>
      </c>
      <c r="C4638" t="s">
        <v>60</v>
      </c>
      <c r="D4638" t="s">
        <v>61</v>
      </c>
      <c r="E4638" t="s">
        <v>28067</v>
      </c>
      <c r="F4638" s="2" t="n">
        <f>HYPERLINK("https://patents.google.com/patent/US11058647","Google")</f>
        <v>0.0</v>
      </c>
      <c r="G4638" s="2" t="n">
        <f>HYPERLINK("https://patentcenter.uspto.gov/applications/16946875","Patent Center")</f>
        <v>0.0</v>
      </c>
      <c r="H4638" s="2" t="n">
        <f>HYPERLINK("https://worldwide.espacenet.com/patent/search?q=US11058647","Espacenet")</f>
        <v>0.0</v>
      </c>
      <c r="I4638" s="2" t="n">
        <f>HYPERLINK("https://ppubs.uspto.gov/pubwebapp/external.html?q=11058647.pn.","USPTO")</f>
        <v>0.0</v>
      </c>
      <c r="J4638" s="2" t="n">
        <f>HYPERLINK("https://image-ppubs.uspto.gov/dirsearch-public/print/downloadPdf/11058647","USPTO PDF")</f>
        <v>0.0</v>
      </c>
      <c r="K4638" s="2" t="n">
        <f>HYPERLINK("https://sectors.patentforecast.com/pmd/US11058647","PMD")</f>
        <v>0.0</v>
      </c>
      <c r="L4638" s="2" t="n">
        <f>HYPERLINK("https://globaldossier.uspto.gov/result/patent/US/11058647/1","US11058647")</f>
        <v>0.0</v>
      </c>
      <c r="M4638" t="s">
        <v>28068</v>
      </c>
      <c r="N4638" t="s">
        <v>12632</v>
      </c>
      <c r="O4638" t="s">
        <v>12633</v>
      </c>
      <c r="P4638" t="s">
        <v>28069</v>
      </c>
      <c r="Q4638" s="3" t="n">
        <v>44021.0</v>
      </c>
      <c r="R4638" s="3" t="n">
        <v>44390.0</v>
      </c>
      <c r="S4638" s="3" t="n">
        <v>44392.22969105324</v>
      </c>
      <c r="T4638" s="3" t="n">
        <v>44398.497376238425</v>
      </c>
      <c r="U4638" t="s">
        <v>28070</v>
      </c>
      <c r="V4638" t="s">
        <v>12636</v>
      </c>
    </row>
    <row r="4639">
      <c r="A4639" t="s">
        <v>23557</v>
      </c>
      <c r="B4639" t="s">
        <v>28071</v>
      </c>
      <c r="C4639" t="s">
        <v>24</v>
      </c>
      <c r="D4639" t="s">
        <v>1450</v>
      </c>
      <c r="E4639" t="s">
        <v>28072</v>
      </c>
      <c r="F4639" s="2" t="n">
        <f>HYPERLINK("https://patents.google.com/patent/US11056242","Google")</f>
        <v>0.0</v>
      </c>
      <c r="G4639" s="2" t="n">
        <f>HYPERLINK("https://patentcenter.uspto.gov/applications/16985440","Patent Center")</f>
        <v>0.0</v>
      </c>
      <c r="H4639" s="2" t="n">
        <f>HYPERLINK("https://worldwide.espacenet.com/patent/search?q=US11056242","Espacenet")</f>
        <v>0.0</v>
      </c>
      <c r="I4639" s="2" t="n">
        <f>HYPERLINK("https://ppubs.uspto.gov/pubwebapp/external.html?q=11056242.pn.","USPTO")</f>
        <v>0.0</v>
      </c>
      <c r="J4639" s="2" t="n">
        <f>HYPERLINK("https://image-ppubs.uspto.gov/dirsearch-public/print/downloadPdf/11056242","USPTO PDF")</f>
        <v>0.0</v>
      </c>
      <c r="K4639" s="2" t="n">
        <f>HYPERLINK("https://sectors.patentforecast.com/pmd/US11056242","PMD")</f>
        <v>0.0</v>
      </c>
      <c r="L4639" s="2" t="n">
        <f>HYPERLINK("https://globaldossier.uspto.gov/result/patent/US/11056242/1","US11056242")</f>
        <v>0.0</v>
      </c>
      <c r="M4639" t="s">
        <v>28073</v>
      </c>
      <c r="N4639" t="s">
        <v>26125</v>
      </c>
      <c r="O4639" t="s">
        <v>26126</v>
      </c>
      <c r="P4639" t="s">
        <v>28074</v>
      </c>
      <c r="Q4639" s="3" t="n">
        <v>44048.0</v>
      </c>
      <c r="R4639" s="3" t="n">
        <v>44383.0</v>
      </c>
      <c r="S4639" s="3" t="n">
        <v>44383.229905914355</v>
      </c>
      <c r="T4639" s="3" t="n">
        <v>44385.50719415509</v>
      </c>
      <c r="U4639" t="s">
        <v>28075</v>
      </c>
      <c r="V4639" t="s">
        <v>28076</v>
      </c>
    </row>
    <row r="4640">
      <c r="A4640" t="s">
        <v>23557</v>
      </c>
      <c r="B4640" t="s">
        <v>28077</v>
      </c>
      <c r="C4640" t="s">
        <v>24</v>
      </c>
      <c r="D4640" t="s">
        <v>51</v>
      </c>
      <c r="E4640" t="s">
        <v>28078</v>
      </c>
      <c r="F4640" s="2" t="n">
        <f>HYPERLINK("https://patents.google.com/patent/US11054429","Google")</f>
        <v>0.0</v>
      </c>
      <c r="G4640" s="2" t="n">
        <f>HYPERLINK("https://patentcenter.uspto.gov/applications/17220043","Patent Center")</f>
        <v>0.0</v>
      </c>
      <c r="H4640" s="2" t="n">
        <f>HYPERLINK("https://worldwide.espacenet.com/patent/search?q=US11054429","Espacenet")</f>
        <v>0.0</v>
      </c>
      <c r="I4640" s="2" t="n">
        <f>HYPERLINK("https://ppubs.uspto.gov/pubwebapp/external.html?q=11054429.pn.","USPTO")</f>
        <v>0.0</v>
      </c>
      <c r="J4640" s="2" t="n">
        <f>HYPERLINK("https://image-ppubs.uspto.gov/dirsearch-public/print/downloadPdf/11054429","USPTO PDF")</f>
        <v>0.0</v>
      </c>
      <c r="K4640" s="2" t="n">
        <f>HYPERLINK("https://sectors.patentforecast.com/pmd/US11054429","PMD")</f>
        <v>0.0</v>
      </c>
      <c r="L4640" s="2" t="n">
        <f>HYPERLINK("https://globaldossier.uspto.gov/result/patent/US/11054429/1","US11054429")</f>
        <v>0.0</v>
      </c>
      <c r="M4640" t="s">
        <v>28079</v>
      </c>
      <c r="N4640" t="s">
        <v>7403</v>
      </c>
      <c r="O4640" t="s">
        <v>7404</v>
      </c>
      <c r="P4640" t="s">
        <v>27752</v>
      </c>
      <c r="Q4640" s="3" t="n">
        <v>44287.0</v>
      </c>
      <c r="R4640" s="3" t="n">
        <v>44383.0</v>
      </c>
      <c r="S4640" s="3" t="n">
        <v>44383.229905914355</v>
      </c>
      <c r="T4640" s="3" t="n">
        <v>44385.50862417824</v>
      </c>
      <c r="U4640" t="s">
        <v>28080</v>
      </c>
      <c r="V4640" t="s">
        <v>7406</v>
      </c>
    </row>
    <row r="4641">
      <c r="A4641" t="s">
        <v>23557</v>
      </c>
      <c r="B4641" t="s">
        <v>28081</v>
      </c>
      <c r="C4641" t="s">
        <v>24</v>
      </c>
      <c r="D4641" t="s">
        <v>25</v>
      </c>
      <c r="E4641" t="s">
        <v>28082</v>
      </c>
      <c r="F4641" s="2" t="n">
        <f>HYPERLINK("https://patents.google.com/patent/US11053556","Google")</f>
        <v>0.0</v>
      </c>
      <c r="G4641" s="2" t="n">
        <f>HYPERLINK("https://patentcenter.uspto.gov/applications/17182130","Patent Center")</f>
        <v>0.0</v>
      </c>
      <c r="H4641" s="2" t="n">
        <f>HYPERLINK("https://worldwide.espacenet.com/patent/search?q=US11053556","Espacenet")</f>
        <v>0.0</v>
      </c>
      <c r="I4641" s="2" t="n">
        <f>HYPERLINK("https://ppubs.uspto.gov/pubwebapp/external.html?q=11053556.pn.","USPTO")</f>
        <v>0.0</v>
      </c>
      <c r="J4641" s="2" t="n">
        <f>HYPERLINK("https://image-ppubs.uspto.gov/dirsearch-public/print/downloadPdf/11053556","USPTO PDF")</f>
        <v>0.0</v>
      </c>
      <c r="K4641" s="2" t="n">
        <f>HYPERLINK("https://sectors.patentforecast.com/pmd/US11053556","PMD")</f>
        <v>0.0</v>
      </c>
      <c r="L4641" s="2" t="n">
        <f>HYPERLINK("https://globaldossier.uspto.gov/result/patent/US/11053556/1","US11053556")</f>
        <v>0.0</v>
      </c>
      <c r="M4641" t="s">
        <v>28083</v>
      </c>
      <c r="N4641" t="s">
        <v>28084</v>
      </c>
      <c r="O4641" t="s">
        <v>28085</v>
      </c>
      <c r="P4641" t="s">
        <v>28086</v>
      </c>
      <c r="Q4641" s="3" t="n">
        <v>44249.0</v>
      </c>
      <c r="R4641" s="3" t="n">
        <v>44383.0</v>
      </c>
      <c r="S4641" s="3" t="n">
        <v>44383.229905914355</v>
      </c>
      <c r="T4641" s="3" t="n">
        <v>44385.50699229167</v>
      </c>
      <c r="U4641" t="s">
        <v>28087</v>
      </c>
      <c r="V4641" t="s">
        <v>28088</v>
      </c>
    </row>
    <row r="4642">
      <c r="A4642" t="s">
        <v>23557</v>
      </c>
      <c r="B4642" t="s">
        <v>28089</v>
      </c>
      <c r="C4642" t="s">
        <v>24</v>
      </c>
      <c r="D4642" t="s">
        <v>34</v>
      </c>
      <c r="E4642" t="s">
        <v>28090</v>
      </c>
      <c r="F4642" s="2" t="n">
        <f>HYPERLINK("https://patents.google.com/patent/US11053304","Google")</f>
        <v>0.0</v>
      </c>
      <c r="G4642" s="2" t="n">
        <f>HYPERLINK("https://patentcenter.uspto.gov/applications/15931648","Patent Center")</f>
        <v>0.0</v>
      </c>
      <c r="H4642" s="2" t="n">
        <f>HYPERLINK("https://worldwide.espacenet.com/patent/search?q=US11053304","Espacenet")</f>
        <v>0.0</v>
      </c>
      <c r="I4642" s="2" t="n">
        <f>HYPERLINK("https://ppubs.uspto.gov/pubwebapp/external.html?q=11053304.pn.","USPTO")</f>
        <v>0.0</v>
      </c>
      <c r="J4642" s="2" t="n">
        <f>HYPERLINK("https://image-ppubs.uspto.gov/dirsearch-public/print/downloadPdf/11053304","USPTO PDF")</f>
        <v>0.0</v>
      </c>
      <c r="K4642" s="2" t="n">
        <f>HYPERLINK("https://sectors.patentforecast.com/pmd/US11053304","PMD")</f>
        <v>0.0</v>
      </c>
      <c r="L4642" s="2" t="n">
        <f>HYPERLINK("https://globaldossier.uspto.gov/result/patent/US/11053304/1","US11053304")</f>
        <v>0.0</v>
      </c>
      <c r="M4642" t="s">
        <v>28091</v>
      </c>
      <c r="N4642" t="s">
        <v>28092</v>
      </c>
      <c r="O4642" t="s">
        <v>28093</v>
      </c>
      <c r="P4642" t="s">
        <v>28094</v>
      </c>
      <c r="Q4642" s="3" t="n">
        <v>43965.0</v>
      </c>
      <c r="R4642" s="3" t="n">
        <v>44383.0</v>
      </c>
      <c r="S4642" s="3" t="n">
        <v>44383.22944142361</v>
      </c>
      <c r="T4642" s="3" t="n">
        <v>44385.50351322917</v>
      </c>
      <c r="U4642" t="s">
        <v>28095</v>
      </c>
      <c r="V4642" t="s">
        <v>28096</v>
      </c>
    </row>
    <row r="4643">
      <c r="A4643" t="s">
        <v>23557</v>
      </c>
      <c r="B4643" t="s">
        <v>28097</v>
      </c>
      <c r="C4643" t="s">
        <v>24</v>
      </c>
      <c r="D4643" t="s">
        <v>100</v>
      </c>
      <c r="E4643" t="s">
        <v>28098</v>
      </c>
      <c r="F4643" s="2" t="n">
        <f>HYPERLINK("https://patents.google.com/patent/US11052169","Google")</f>
        <v>0.0</v>
      </c>
      <c r="G4643" s="2" t="n">
        <f>HYPERLINK("https://patentcenter.uspto.gov/applications/16987011","Patent Center")</f>
        <v>0.0</v>
      </c>
      <c r="H4643" s="2" t="n">
        <f>HYPERLINK("https://worldwide.espacenet.com/patent/search?q=US11052169","Espacenet")</f>
        <v>0.0</v>
      </c>
      <c r="I4643" s="2" t="n">
        <f>HYPERLINK("https://ppubs.uspto.gov/pubwebapp/external.html?q=11052169.pn.","USPTO")</f>
        <v>0.0</v>
      </c>
      <c r="J4643" s="2" t="n">
        <f>HYPERLINK("https://image-ppubs.uspto.gov/dirsearch-public/print/downloadPdf/11052169","USPTO PDF")</f>
        <v>0.0</v>
      </c>
      <c r="K4643" s="2" t="n">
        <f>HYPERLINK("https://sectors.patentforecast.com/pmd/US11052169","PMD")</f>
        <v>0.0</v>
      </c>
      <c r="L4643" s="2" t="n">
        <f>HYPERLINK("https://globaldossier.uspto.gov/result/patent/US/11052169/1","US11052169")</f>
        <v>0.0</v>
      </c>
      <c r="M4643" t="s">
        <v>28099</v>
      </c>
      <c r="N4643" t="s">
        <v>28100</v>
      </c>
      <c r="O4643" t="s">
        <v>28101</v>
      </c>
      <c r="P4643" t="s">
        <v>28102</v>
      </c>
      <c r="Q4643" s="3" t="n">
        <v>44049.0</v>
      </c>
      <c r="R4643" s="3" t="n">
        <v>44383.0</v>
      </c>
      <c r="S4643" s="3" t="n">
        <v>44383.229905914355</v>
      </c>
      <c r="T4643" s="3" t="n">
        <v>44385.50329835648</v>
      </c>
      <c r="U4643" t="s">
        <v>28103</v>
      </c>
      <c r="V4643" t="s">
        <v>28104</v>
      </c>
    </row>
    <row r="4644">
      <c r="A4644" t="s">
        <v>23557</v>
      </c>
      <c r="B4644" t="s">
        <v>28105</v>
      </c>
      <c r="C4644" t="s">
        <v>24</v>
      </c>
      <c r="D4644" t="s">
        <v>100</v>
      </c>
      <c r="E4644" t="s">
        <v>28106</v>
      </c>
      <c r="F4644" s="2" t="n">
        <f>HYPERLINK("https://patents.google.com/patent/US11052166","Google")</f>
        <v>0.0</v>
      </c>
      <c r="G4644" s="2" t="n">
        <f>HYPERLINK("https://patentcenter.uspto.gov/applications/16927917","Patent Center")</f>
        <v>0.0</v>
      </c>
      <c r="H4644" s="2" t="n">
        <f>HYPERLINK("https://worldwide.espacenet.com/patent/search?q=US11052166","Espacenet")</f>
        <v>0.0</v>
      </c>
      <c r="I4644" s="2" t="n">
        <f>HYPERLINK("https://ppubs.uspto.gov/pubwebapp/external.html?q=11052166.pn.","USPTO")</f>
        <v>0.0</v>
      </c>
      <c r="J4644" s="2" t="n">
        <f>HYPERLINK("https://image-ppubs.uspto.gov/dirsearch-public/print/downloadPdf/11052166","USPTO PDF")</f>
        <v>0.0</v>
      </c>
      <c r="K4644" s="2" t="n">
        <f>HYPERLINK("https://sectors.patentforecast.com/pmd/US11052166","PMD")</f>
        <v>0.0</v>
      </c>
      <c r="L4644" s="2" t="n">
        <f>HYPERLINK("https://globaldossier.uspto.gov/result/patent/US/11052166/1","US11052166")</f>
        <v>0.0</v>
      </c>
      <c r="M4644" t="s">
        <v>28107</v>
      </c>
      <c r="N4644" t="s">
        <v>7950</v>
      </c>
      <c r="O4644" t="s">
        <v>7951</v>
      </c>
      <c r="P4644" t="s">
        <v>28108</v>
      </c>
      <c r="Q4644" s="3" t="n">
        <v>44025.0</v>
      </c>
      <c r="R4644" s="3" t="n">
        <v>44383.0</v>
      </c>
      <c r="S4644" s="3" t="n">
        <v>44383.229905914355</v>
      </c>
      <c r="T4644" s="3" t="n">
        <v>44385.50399818287</v>
      </c>
      <c r="U4644" t="s">
        <v>28109</v>
      </c>
      <c r="V4644" t="s">
        <v>7953</v>
      </c>
    </row>
    <row r="4645">
      <c r="A4645" t="s">
        <v>23557</v>
      </c>
      <c r="B4645" t="s">
        <v>28110</v>
      </c>
      <c r="C4645" t="s">
        <v>132</v>
      </c>
      <c r="D4645" t="s">
        <v>2629</v>
      </c>
      <c r="E4645" t="s">
        <v>23964</v>
      </c>
      <c r="F4645" s="2" t="n">
        <f>HYPERLINK("https://patents.google.com/patent/US11052146","Google")</f>
        <v>0.0</v>
      </c>
      <c r="G4645" s="2" t="n">
        <f>HYPERLINK("https://patentcenter.uspto.gov/applications/16009257","Patent Center")</f>
        <v>0.0</v>
      </c>
      <c r="H4645" s="2" t="n">
        <f>HYPERLINK("https://worldwide.espacenet.com/patent/search?q=US11052146","Espacenet")</f>
        <v>0.0</v>
      </c>
      <c r="I4645" s="2" t="n">
        <f>HYPERLINK("https://ppubs.uspto.gov/pubwebapp/external.html?q=11052146.pn.","USPTO")</f>
        <v>0.0</v>
      </c>
      <c r="J4645" s="2" t="n">
        <f>HYPERLINK("https://image-ppubs.uspto.gov/dirsearch-public/print/downloadPdf/11052146","USPTO PDF")</f>
        <v>0.0</v>
      </c>
      <c r="K4645" s="2" t="n">
        <f>HYPERLINK("https://sectors.patentforecast.com/pmd/US11052146","PMD")</f>
        <v>0.0</v>
      </c>
      <c r="L4645" s="2" t="n">
        <f>HYPERLINK("https://globaldossier.uspto.gov/result/patent/US/11052146/1","US11052146")</f>
        <v>0.0</v>
      </c>
      <c r="M4645" t="s">
        <v>17798</v>
      </c>
      <c r="N4645" t="s">
        <v>1275</v>
      </c>
      <c r="O4645" t="s">
        <v>1275</v>
      </c>
      <c r="P4645" t="s">
        <v>23965</v>
      </c>
      <c r="Q4645" s="3" t="n">
        <v>43266.0</v>
      </c>
      <c r="R4645" s="3" t="n">
        <v>44383.0</v>
      </c>
      <c r="S4645" s="3" t="n">
        <v>44383.23233319444</v>
      </c>
      <c r="T4645" s="3" t="n">
        <v>44385.50559709491</v>
      </c>
      <c r="U4645" t="s">
        <v>28111</v>
      </c>
      <c r="V4645" t="s">
        <v>17136</v>
      </c>
    </row>
    <row r="4646">
      <c r="A4646" t="s">
        <v>23557</v>
      </c>
      <c r="B4646" t="s">
        <v>28112</v>
      </c>
      <c r="C4646" t="s">
        <v>60</v>
      </c>
      <c r="D4646" t="s">
        <v>61</v>
      </c>
      <c r="E4646" t="s">
        <v>28113</v>
      </c>
      <c r="F4646" s="2" t="n">
        <f>HYPERLINK("https://patents.google.com/patent/US11052073","Google")</f>
        <v>0.0</v>
      </c>
      <c r="G4646" s="2" t="n">
        <f>HYPERLINK("https://patentcenter.uspto.gov/applications/17195279","Patent Center")</f>
        <v>0.0</v>
      </c>
      <c r="H4646" s="2" t="n">
        <f>HYPERLINK("https://worldwide.espacenet.com/patent/search?q=US11052073","Espacenet")</f>
        <v>0.0</v>
      </c>
      <c r="I4646" s="2" t="n">
        <f>HYPERLINK("https://ppubs.uspto.gov/pubwebapp/external.html?q=11052073.pn.","USPTO")</f>
        <v>0.0</v>
      </c>
      <c r="J4646" s="2" t="n">
        <f>HYPERLINK("https://image-ppubs.uspto.gov/dirsearch-public/print/downloadPdf/11052073","USPTO PDF")</f>
        <v>0.0</v>
      </c>
      <c r="K4646" s="2" t="n">
        <f>HYPERLINK("https://sectors.patentforecast.com/pmd/US11052073","PMD")</f>
        <v>0.0</v>
      </c>
      <c r="L4646" s="2" t="n">
        <f>HYPERLINK("https://globaldossier.uspto.gov/result/patent/US/11052073/1","US11052073")</f>
        <v>0.0</v>
      </c>
      <c r="M4646" t="s">
        <v>28114</v>
      </c>
      <c r="N4646" t="s">
        <v>160</v>
      </c>
      <c r="O4646" t="s">
        <v>161</v>
      </c>
      <c r="P4646" t="s">
        <v>28115</v>
      </c>
      <c r="Q4646" s="3" t="n">
        <v>44263.0</v>
      </c>
      <c r="R4646" s="3" t="n">
        <v>44383.0</v>
      </c>
      <c r="S4646" s="3" t="n">
        <v>44383.22944142361</v>
      </c>
      <c r="T4646" s="3" t="n">
        <v>44385.50876070602</v>
      </c>
      <c r="U4646" t="s">
        <v>28116</v>
      </c>
      <c r="V4646" t="s">
        <v>163</v>
      </c>
    </row>
    <row r="4647">
      <c r="A4647" t="s">
        <v>23557</v>
      </c>
      <c r="B4647" t="s">
        <v>28117</v>
      </c>
      <c r="C4647" t="s">
        <v>24</v>
      </c>
      <c r="D4647" t="s">
        <v>34</v>
      </c>
      <c r="E4647" t="s">
        <v>28118</v>
      </c>
      <c r="F4647" s="2" t="n">
        <f>HYPERLINK("https://patents.google.com/patent/US11047824","Google")</f>
        <v>0.0</v>
      </c>
      <c r="G4647" s="2" t="n">
        <f>HYPERLINK("https://patentcenter.uspto.gov/applications/17100903","Patent Center")</f>
        <v>0.0</v>
      </c>
      <c r="H4647" s="2" t="n">
        <f>HYPERLINK("https://worldwide.espacenet.com/patent/search?q=US11047824","Espacenet")</f>
        <v>0.0</v>
      </c>
      <c r="I4647" s="2" t="n">
        <f>HYPERLINK("https://ppubs.uspto.gov/pubwebapp/external.html?q=11047824.pn.","USPTO")</f>
        <v>0.0</v>
      </c>
      <c r="J4647" s="2" t="n">
        <f>HYPERLINK("https://image-ppubs.uspto.gov/dirsearch-public/print/downloadPdf/11047824","USPTO PDF")</f>
        <v>0.0</v>
      </c>
      <c r="K4647" s="2" t="n">
        <f>HYPERLINK("https://sectors.patentforecast.com/pmd/US11047824","PMD")</f>
        <v>0.0</v>
      </c>
      <c r="L4647" s="2" t="n">
        <f>HYPERLINK("https://globaldossier.uspto.gov/result/patent/US/11047824/1","US11047824")</f>
        <v>0.0</v>
      </c>
      <c r="M4647" t="s">
        <v>15452</v>
      </c>
      <c r="N4647" t="s">
        <v>14780</v>
      </c>
      <c r="O4647" t="s">
        <v>14780</v>
      </c>
      <c r="P4647" t="s">
        <v>28119</v>
      </c>
      <c r="Q4647" s="3" t="n">
        <v>44157.0</v>
      </c>
      <c r="R4647" s="3" t="n">
        <v>44376.0</v>
      </c>
      <c r="S4647" s="3" t="n">
        <v>44376.229917060184</v>
      </c>
      <c r="T4647" s="3" t="n">
        <v>44376.37224763889</v>
      </c>
      <c r="U4647" t="s">
        <v>28120</v>
      </c>
      <c r="V4647" t="s">
        <v>15455</v>
      </c>
    </row>
    <row r="4648">
      <c r="A4648" t="s">
        <v>23557</v>
      </c>
      <c r="B4648" t="s">
        <v>28121</v>
      </c>
      <c r="C4648" t="s">
        <v>24</v>
      </c>
      <c r="D4648" t="s">
        <v>34</v>
      </c>
      <c r="E4648" t="s">
        <v>28122</v>
      </c>
      <c r="F4648" s="2" t="n">
        <f>HYPERLINK("https://patents.google.com/patent/US11047007","Google")</f>
        <v>0.0</v>
      </c>
      <c r="G4648" s="2" t="n">
        <f>HYPERLINK("https://patentcenter.uspto.gov/applications/16912446","Patent Center")</f>
        <v>0.0</v>
      </c>
      <c r="H4648" s="2" t="n">
        <f>HYPERLINK("https://worldwide.espacenet.com/patent/search?q=US11047007","Espacenet")</f>
        <v>0.0</v>
      </c>
      <c r="I4648" s="2" t="n">
        <f>HYPERLINK("https://ppubs.uspto.gov/pubwebapp/external.html?q=11047007.pn.","USPTO")</f>
        <v>0.0</v>
      </c>
      <c r="J4648" s="2" t="n">
        <f>HYPERLINK("https://image-ppubs.uspto.gov/dirsearch-public/print/downloadPdf/11047007","USPTO PDF")</f>
        <v>0.0</v>
      </c>
      <c r="K4648" s="2" t="n">
        <f>HYPERLINK("https://sectors.patentforecast.com/pmd/US11047007","PMD")</f>
        <v>0.0</v>
      </c>
      <c r="L4648" s="2" t="n">
        <f>HYPERLINK("https://globaldossier.uspto.gov/result/patent/US/11047007/1","US11047007")</f>
        <v>0.0</v>
      </c>
      <c r="M4648" t="s">
        <v>28123</v>
      </c>
      <c r="N4648" t="s">
        <v>10947</v>
      </c>
      <c r="O4648" t="s">
        <v>10948</v>
      </c>
      <c r="P4648" t="s">
        <v>28124</v>
      </c>
      <c r="Q4648" s="3" t="n">
        <v>44007.0</v>
      </c>
      <c r="R4648" s="3" t="n">
        <v>44376.0</v>
      </c>
      <c r="S4648" s="3" t="n">
        <v>44376.229917060184</v>
      </c>
      <c r="T4648" s="3" t="n">
        <v>44376.37354115741</v>
      </c>
      <c r="U4648" t="s">
        <v>28125</v>
      </c>
      <c r="V4648" t="s">
        <v>10951</v>
      </c>
    </row>
    <row r="4649">
      <c r="A4649" t="s">
        <v>23557</v>
      </c>
      <c r="B4649" t="s">
        <v>28126</v>
      </c>
      <c r="C4649" t="s">
        <v>60</v>
      </c>
      <c r="D4649" t="s">
        <v>61</v>
      </c>
      <c r="E4649" t="s">
        <v>28127</v>
      </c>
      <c r="F4649" s="2" t="n">
        <f>HYPERLINK("https://patents.google.com/patent/US11045546","Google")</f>
        <v>0.0</v>
      </c>
      <c r="G4649" s="2" t="n">
        <f>HYPERLINK("https://patentcenter.uspto.gov/applications/16902212","Patent Center")</f>
        <v>0.0</v>
      </c>
      <c r="H4649" s="2" t="n">
        <f>HYPERLINK("https://worldwide.espacenet.com/patent/search?q=US11045546","Espacenet")</f>
        <v>0.0</v>
      </c>
      <c r="I4649" s="2" t="n">
        <f>HYPERLINK("https://ppubs.uspto.gov/pubwebapp/external.html?q=11045546.pn.","USPTO")</f>
        <v>0.0</v>
      </c>
      <c r="J4649" s="2" t="n">
        <f>HYPERLINK("https://image-ppubs.uspto.gov/dirsearch-public/print/downloadPdf/11045546","USPTO PDF")</f>
        <v>0.0</v>
      </c>
      <c r="K4649" s="2" t="n">
        <f>HYPERLINK("https://sectors.patentforecast.com/pmd/US11045546","PMD")</f>
        <v>0.0</v>
      </c>
      <c r="L4649" s="2" t="n">
        <f>HYPERLINK("https://globaldossier.uspto.gov/result/patent/US/11045546/1","US11045546")</f>
        <v>0.0</v>
      </c>
      <c r="M4649" t="s">
        <v>28128</v>
      </c>
      <c r="N4649" t="s">
        <v>9252</v>
      </c>
      <c r="O4649" t="s">
        <v>9253</v>
      </c>
      <c r="P4649" t="s">
        <v>28129</v>
      </c>
      <c r="Q4649" s="3" t="n">
        <v>43997.0</v>
      </c>
      <c r="R4649" s="3" t="n">
        <v>44376.0</v>
      </c>
      <c r="S4649" s="3" t="n">
        <v>44376.229453831016</v>
      </c>
      <c r="T4649" s="3" t="n">
        <v>44376.373392615744</v>
      </c>
      <c r="U4649" t="s">
        <v>28130</v>
      </c>
      <c r="V4649" t="s">
        <v>28131</v>
      </c>
    </row>
    <row r="4650">
      <c r="A4650" t="s">
        <v>23557</v>
      </c>
      <c r="B4650" t="s">
        <v>28132</v>
      </c>
      <c r="C4650" t="s">
        <v>60</v>
      </c>
      <c r="D4650" t="s">
        <v>61</v>
      </c>
      <c r="E4650" t="s">
        <v>28133</v>
      </c>
      <c r="F4650" s="2" t="n">
        <f>HYPERLINK("https://patents.google.com/patent/US11045453","Google")</f>
        <v>0.0</v>
      </c>
      <c r="G4650" s="2" t="n">
        <f>HYPERLINK("https://patentcenter.uspto.gov/applications/17195333","Patent Center")</f>
        <v>0.0</v>
      </c>
      <c r="H4650" s="2" t="n">
        <f>HYPERLINK("https://worldwide.espacenet.com/patent/search?q=US11045453","Espacenet")</f>
        <v>0.0</v>
      </c>
      <c r="I4650" s="2" t="n">
        <f>HYPERLINK("https://ppubs.uspto.gov/pubwebapp/external.html?q=11045453.pn.","USPTO")</f>
        <v>0.0</v>
      </c>
      <c r="J4650" s="2" t="n">
        <f>HYPERLINK("https://image-ppubs.uspto.gov/dirsearch-public/print/downloadPdf/11045453","USPTO PDF")</f>
        <v>0.0</v>
      </c>
      <c r="K4650" s="2" t="n">
        <f>HYPERLINK("https://sectors.patentforecast.com/pmd/US11045453","PMD")</f>
        <v>0.0</v>
      </c>
      <c r="L4650" s="2" t="n">
        <f>HYPERLINK("https://globaldossier.uspto.gov/result/patent/US/11045453/1","US11045453")</f>
        <v>0.0</v>
      </c>
      <c r="M4650" t="s">
        <v>28134</v>
      </c>
      <c r="N4650" t="s">
        <v>160</v>
      </c>
      <c r="O4650" t="s">
        <v>161</v>
      </c>
      <c r="P4650" t="s">
        <v>28115</v>
      </c>
      <c r="Q4650" s="3" t="n">
        <v>44263.0</v>
      </c>
      <c r="R4650" s="3" t="n">
        <v>44376.0</v>
      </c>
      <c r="S4650" s="3" t="n">
        <v>44376.229453831016</v>
      </c>
      <c r="T4650" s="3" t="n">
        <v>44376.375296666665</v>
      </c>
      <c r="U4650" t="s">
        <v>28135</v>
      </c>
      <c r="V4650" t="s">
        <v>13539</v>
      </c>
    </row>
    <row r="4651">
      <c r="A4651" t="s">
        <v>23557</v>
      </c>
      <c r="B4651" t="s">
        <v>28136</v>
      </c>
      <c r="C4651" t="s">
        <v>60</v>
      </c>
      <c r="D4651" t="s">
        <v>61</v>
      </c>
      <c r="E4651" t="s">
        <v>28137</v>
      </c>
      <c r="F4651" s="2" t="n">
        <f>HYPERLINK("https://patents.google.com/patent/US11045434","Google")</f>
        <v>0.0</v>
      </c>
      <c r="G4651" s="2" t="n">
        <f>HYPERLINK("https://patentcenter.uspto.gov/applications/17097898","Patent Center")</f>
        <v>0.0</v>
      </c>
      <c r="H4651" s="2" t="n">
        <f>HYPERLINK("https://worldwide.espacenet.com/patent/search?q=US11045434","Espacenet")</f>
        <v>0.0</v>
      </c>
      <c r="I4651" s="2" t="n">
        <f>HYPERLINK("https://ppubs.uspto.gov/pubwebapp/external.html?q=11045434.pn.","USPTO")</f>
        <v>0.0</v>
      </c>
      <c r="J4651" s="2" t="n">
        <f>HYPERLINK("https://image-ppubs.uspto.gov/dirsearch-public/print/downloadPdf/11045434","USPTO PDF")</f>
        <v>0.0</v>
      </c>
      <c r="K4651" s="2" t="n">
        <f>HYPERLINK("https://sectors.patentforecast.com/pmd/US11045434","PMD")</f>
        <v>0.0</v>
      </c>
      <c r="L4651" s="2" t="n">
        <f>HYPERLINK("https://globaldossier.uspto.gov/result/patent/US/11045434/1","US11045434")</f>
        <v>0.0</v>
      </c>
      <c r="M4651" t="s">
        <v>28138</v>
      </c>
      <c r="N4651" t="s">
        <v>28139</v>
      </c>
      <c r="O4651" t="s">
        <v>28139</v>
      </c>
      <c r="P4651" t="s">
        <v>28140</v>
      </c>
      <c r="Q4651" s="3" t="n">
        <v>44148.0</v>
      </c>
      <c r="R4651" s="3" t="n">
        <v>44376.0</v>
      </c>
      <c r="S4651" s="3" t="n">
        <v>44376.229453831016</v>
      </c>
      <c r="T4651" s="3" t="n">
        <v>44376.37369140046</v>
      </c>
      <c r="U4651" t="s">
        <v>28141</v>
      </c>
      <c r="V4651" t="s">
        <v>28142</v>
      </c>
    </row>
    <row r="4652">
      <c r="A4652" t="s">
        <v>23557</v>
      </c>
      <c r="B4652" t="s">
        <v>28143</v>
      </c>
      <c r="C4652" t="s">
        <v>24</v>
      </c>
      <c r="D4652" t="s">
        <v>69</v>
      </c>
      <c r="E4652" t="s">
        <v>28144</v>
      </c>
      <c r="F4652" s="2" t="n">
        <f>HYPERLINK("https://patents.google.com/patent/US11044958","Google")</f>
        <v>0.0</v>
      </c>
      <c r="G4652" s="2" t="n">
        <f>HYPERLINK("https://patentcenter.uspto.gov/applications/17197190","Patent Center")</f>
        <v>0.0</v>
      </c>
      <c r="H4652" s="2" t="n">
        <f>HYPERLINK("https://worldwide.espacenet.com/patent/search?q=US11044958","Espacenet")</f>
        <v>0.0</v>
      </c>
      <c r="I4652" s="2" t="n">
        <f>HYPERLINK("https://ppubs.uspto.gov/pubwebapp/external.html?q=11044958.pn.","USPTO")</f>
        <v>0.0</v>
      </c>
      <c r="J4652" s="2" t="n">
        <f>HYPERLINK("https://image-ppubs.uspto.gov/dirsearch-public/print/downloadPdf/11044958","USPTO PDF")</f>
        <v>0.0</v>
      </c>
      <c r="K4652" s="2" t="n">
        <f>HYPERLINK("https://sectors.patentforecast.com/pmd/US11044958","PMD")</f>
        <v>0.0</v>
      </c>
      <c r="L4652" s="2" t="n">
        <f>HYPERLINK("https://globaldossier.uspto.gov/result/patent/US/11044958/1","US11044958")</f>
        <v>0.0</v>
      </c>
      <c r="M4652" t="s">
        <v>28145</v>
      </c>
      <c r="N4652" t="s">
        <v>28146</v>
      </c>
      <c r="O4652" t="s">
        <v>28147</v>
      </c>
      <c r="P4652" t="s">
        <v>28148</v>
      </c>
      <c r="Q4652" s="3" t="n">
        <v>44265.0</v>
      </c>
      <c r="R4652" s="3" t="n">
        <v>44376.0</v>
      </c>
      <c r="S4652" s="3" t="n">
        <v>44376.229917060184</v>
      </c>
      <c r="T4652" s="3" t="n">
        <v>44376.3724358912</v>
      </c>
      <c r="U4652" t="s">
        <v>28149</v>
      </c>
      <c r="V4652" t="s">
        <v>28150</v>
      </c>
    </row>
    <row r="4653">
      <c r="A4653" t="s">
        <v>23557</v>
      </c>
      <c r="B4653" t="s">
        <v>28151</v>
      </c>
      <c r="C4653" t="s">
        <v>132</v>
      </c>
      <c r="D4653" t="s">
        <v>133</v>
      </c>
      <c r="E4653" t="s">
        <v>28152</v>
      </c>
      <c r="F4653" s="2" t="n">
        <f>HYPERLINK("https://patents.google.com/patent/US11041170","Google")</f>
        <v>0.0</v>
      </c>
      <c r="G4653" s="2" t="n">
        <f>HYPERLINK("https://patentcenter.uspto.gov/applications/16091005","Patent Center")</f>
        <v>0.0</v>
      </c>
      <c r="H4653" s="2" t="n">
        <f>HYPERLINK("https://worldwide.espacenet.com/patent/search?q=US11041170","Espacenet")</f>
        <v>0.0</v>
      </c>
      <c r="I4653" s="2" t="n">
        <f>HYPERLINK("https://ppubs.uspto.gov/pubwebapp/external.html?q=11041170.pn.","USPTO")</f>
        <v>0.0</v>
      </c>
      <c r="J4653" s="2" t="n">
        <f>HYPERLINK("https://image-ppubs.uspto.gov/dirsearch-public/print/downloadPdf/11041170","USPTO PDF")</f>
        <v>0.0</v>
      </c>
      <c r="K4653" s="2" t="n">
        <f>HYPERLINK("https://sectors.patentforecast.com/pmd/US11041170","PMD")</f>
        <v>0.0</v>
      </c>
      <c r="L4653" s="2" t="n">
        <f>HYPERLINK("https://globaldossier.uspto.gov/result/patent/US/11041170/1","US11041170")</f>
        <v>0.0</v>
      </c>
      <c r="M4653" t="s">
        <v>17891</v>
      </c>
      <c r="N4653" t="s">
        <v>3334</v>
      </c>
      <c r="O4653" t="s">
        <v>3335</v>
      </c>
      <c r="P4653" t="s">
        <v>28153</v>
      </c>
      <c r="Q4653" s="3" t="n">
        <v>42825.0</v>
      </c>
      <c r="R4653" s="3" t="n">
        <v>44369.0</v>
      </c>
      <c r="S4653" s="3" t="n">
        <v>44369.23083148148</v>
      </c>
      <c r="T4653" s="3" t="n">
        <v>44369.37613599537</v>
      </c>
      <c r="U4653" t="s">
        <v>28154</v>
      </c>
      <c r="V4653" t="s">
        <v>4809</v>
      </c>
    </row>
    <row r="4654">
      <c r="A4654" t="s">
        <v>23557</v>
      </c>
      <c r="B4654" t="s">
        <v>28155</v>
      </c>
      <c r="C4654" t="s">
        <v>24</v>
      </c>
      <c r="D4654" t="s">
        <v>100</v>
      </c>
      <c r="E4654" t="s">
        <v>28156</v>
      </c>
      <c r="F4654" s="2" t="n">
        <f>HYPERLINK("https://patents.google.com/patent/US11040353","Google")</f>
        <v>0.0</v>
      </c>
      <c r="G4654" s="2" t="n">
        <f>HYPERLINK("https://patentcenter.uspto.gov/applications/16991503","Patent Center")</f>
        <v>0.0</v>
      </c>
      <c r="H4654" s="2" t="n">
        <f>HYPERLINK("https://worldwide.espacenet.com/patent/search?q=US11040353","Espacenet")</f>
        <v>0.0</v>
      </c>
      <c r="I4654" s="2" t="n">
        <f>HYPERLINK("https://ppubs.uspto.gov/pubwebapp/external.html?q=11040353.pn.","USPTO")</f>
        <v>0.0</v>
      </c>
      <c r="J4654" s="2" t="n">
        <f>HYPERLINK("https://image-ppubs.uspto.gov/dirsearch-public/print/downloadPdf/11040353","USPTO PDF")</f>
        <v>0.0</v>
      </c>
      <c r="K4654" s="2" t="n">
        <f>HYPERLINK("https://sectors.patentforecast.com/pmd/US11040353","PMD")</f>
        <v>0.0</v>
      </c>
      <c r="L4654" s="2" t="n">
        <f>HYPERLINK("https://globaldossier.uspto.gov/result/patent/US/11040353/1","US11040353")</f>
        <v>0.0</v>
      </c>
      <c r="M4654" t="s">
        <v>28157</v>
      </c>
      <c r="N4654" t="s">
        <v>7841</v>
      </c>
      <c r="O4654" t="s">
        <v>7842</v>
      </c>
      <c r="P4654" t="s">
        <v>28158</v>
      </c>
      <c r="Q4654" s="3" t="n">
        <v>44055.0</v>
      </c>
      <c r="R4654" s="3" t="n">
        <v>44369.0</v>
      </c>
      <c r="S4654" s="3" t="n">
        <v>44369.229675358794</v>
      </c>
      <c r="T4654" s="3" t="n">
        <v>44369.37736068287</v>
      </c>
      <c r="U4654" t="s">
        <v>28159</v>
      </c>
      <c r="V4654" t="s">
        <v>28160</v>
      </c>
    </row>
    <row r="4655">
      <c r="A4655" t="s">
        <v>23557</v>
      </c>
      <c r="B4655" t="s">
        <v>28161</v>
      </c>
      <c r="C4655" t="s">
        <v>24</v>
      </c>
      <c r="D4655" t="s">
        <v>34</v>
      </c>
      <c r="E4655" t="s">
        <v>28162</v>
      </c>
      <c r="F4655" s="2" t="n">
        <f>HYPERLINK("https://patents.google.com/patent/US11040340","Google")</f>
        <v>0.0</v>
      </c>
      <c r="G4655" s="2" t="n">
        <f>HYPERLINK("https://patentcenter.uspto.gov/applications/17173149","Patent Center")</f>
        <v>0.0</v>
      </c>
      <c r="H4655" s="2" t="n">
        <f>HYPERLINK("https://worldwide.espacenet.com/patent/search?q=US11040340","Espacenet")</f>
        <v>0.0</v>
      </c>
      <c r="I4655" s="2" t="n">
        <f>HYPERLINK("https://ppubs.uspto.gov/pubwebapp/external.html?q=11040340.pn.","USPTO")</f>
        <v>0.0</v>
      </c>
      <c r="J4655" s="2" t="n">
        <f>HYPERLINK("https://image-ppubs.uspto.gov/dirsearch-public/print/downloadPdf/11040340","USPTO PDF")</f>
        <v>0.0</v>
      </c>
      <c r="K4655" s="2" t="n">
        <f>HYPERLINK("https://sectors.patentforecast.com/pmd/US11040340","PMD")</f>
        <v>0.0</v>
      </c>
      <c r="L4655" s="2" t="n">
        <f>HYPERLINK("https://globaldossier.uspto.gov/result/patent/US/11040340/1","US11040340")</f>
        <v>0.0</v>
      </c>
      <c r="M4655" t="s">
        <v>28163</v>
      </c>
      <c r="N4655" t="s">
        <v>7089</v>
      </c>
      <c r="O4655" t="s">
        <v>7090</v>
      </c>
      <c r="P4655" t="s">
        <v>28064</v>
      </c>
      <c r="Q4655" s="3" t="n">
        <v>44237.0</v>
      </c>
      <c r="R4655" s="3" t="n">
        <v>44369.0</v>
      </c>
      <c r="S4655" s="3" t="n">
        <v>44369.229675358794</v>
      </c>
      <c r="T4655" s="3" t="n">
        <v>44369.376605694444</v>
      </c>
      <c r="U4655" t="s">
        <v>28164</v>
      </c>
      <c r="V4655" t="s">
        <v>28165</v>
      </c>
    </row>
    <row r="4656">
      <c r="A4656" t="s">
        <v>23557</v>
      </c>
      <c r="B4656" t="s">
        <v>28166</v>
      </c>
      <c r="C4656" t="s">
        <v>24</v>
      </c>
      <c r="D4656" t="s">
        <v>69</v>
      </c>
      <c r="E4656" t="s">
        <v>28167</v>
      </c>
      <c r="F4656" s="2" t="n">
        <f>HYPERLINK("https://patents.google.com/patent/US11040161","Google")</f>
        <v>0.0</v>
      </c>
      <c r="G4656" s="2" t="n">
        <f>HYPERLINK("https://patentcenter.uspto.gov/applications/17105937","Patent Center")</f>
        <v>0.0</v>
      </c>
      <c r="H4656" s="2" t="n">
        <f>HYPERLINK("https://worldwide.espacenet.com/patent/search?q=US11040161","Espacenet")</f>
        <v>0.0</v>
      </c>
      <c r="I4656" s="2" t="n">
        <f>HYPERLINK("https://ppubs.uspto.gov/pubwebapp/external.html?q=11040161.pn.","USPTO")</f>
        <v>0.0</v>
      </c>
      <c r="J4656" s="2" t="n">
        <f>HYPERLINK("https://image-ppubs.uspto.gov/dirsearch-public/print/downloadPdf/11040161","USPTO PDF")</f>
        <v>0.0</v>
      </c>
      <c r="K4656" s="2" t="n">
        <f>HYPERLINK("https://sectors.patentforecast.com/pmd/US11040161","PMD")</f>
        <v>0.0</v>
      </c>
      <c r="L4656" s="2" t="n">
        <f>HYPERLINK("https://globaldossier.uspto.gov/result/patent/US/11040161/1","US11040161")</f>
        <v>0.0</v>
      </c>
      <c r="M4656" t="s">
        <v>28168</v>
      </c>
      <c r="N4656" t="s">
        <v>28169</v>
      </c>
      <c r="O4656" t="s">
        <v>28170</v>
      </c>
      <c r="P4656" t="s">
        <v>28171</v>
      </c>
      <c r="Q4656" s="3" t="n">
        <v>44162.0</v>
      </c>
      <c r="R4656" s="3" t="n">
        <v>44369.0</v>
      </c>
      <c r="S4656" s="3" t="n">
        <v>44369.229675358794</v>
      </c>
      <c r="T4656" s="3" t="n">
        <v>44369.37791282407</v>
      </c>
      <c r="U4656" t="s">
        <v>28172</v>
      </c>
      <c r="V4656" t="s">
        <v>28173</v>
      </c>
    </row>
    <row r="4657">
      <c r="A4657" t="s">
        <v>23557</v>
      </c>
      <c r="B4657" t="s">
        <v>28174</v>
      </c>
      <c r="C4657" t="s">
        <v>24</v>
      </c>
      <c r="D4657" t="s">
        <v>34</v>
      </c>
      <c r="E4657" t="s">
        <v>28175</v>
      </c>
      <c r="F4657" s="2" t="n">
        <f>HYPERLINK("https://patents.google.com/patent/US11035817","Google")</f>
        <v>0.0</v>
      </c>
      <c r="G4657" s="2" t="n">
        <f>HYPERLINK("https://patentcenter.uspto.gov/applications/17092460","Patent Center")</f>
        <v>0.0</v>
      </c>
      <c r="H4657" s="2" t="n">
        <f>HYPERLINK("https://worldwide.espacenet.com/patent/search?q=US11035817","Espacenet")</f>
        <v>0.0</v>
      </c>
      <c r="I4657" s="2" t="n">
        <f>HYPERLINK("https://ppubs.uspto.gov/pubwebapp/external.html?q=11035817.pn.","USPTO")</f>
        <v>0.0</v>
      </c>
      <c r="J4657" s="2" t="n">
        <f>HYPERLINK("https://image-ppubs.uspto.gov/dirsearch-public/print/downloadPdf/11035817","USPTO PDF")</f>
        <v>0.0</v>
      </c>
      <c r="K4657" s="2" t="n">
        <f>HYPERLINK("https://sectors.patentforecast.com/pmd/US11035817","PMD")</f>
        <v>0.0</v>
      </c>
      <c r="L4657" s="2" t="n">
        <f>HYPERLINK("https://globaldossier.uspto.gov/result/patent/US/11035817/1","US11035817")</f>
        <v>0.0</v>
      </c>
      <c r="M4657" t="s">
        <v>28176</v>
      </c>
      <c r="N4657" t="s">
        <v>28177</v>
      </c>
      <c r="O4657" t="s">
        <v>28177</v>
      </c>
      <c r="P4657" t="s">
        <v>28178</v>
      </c>
      <c r="Q4657" s="3" t="n">
        <v>44144.0</v>
      </c>
      <c r="R4657" s="3" t="n">
        <v>44362.0</v>
      </c>
      <c r="S4657" s="3" t="n">
        <v>44362.229963541664</v>
      </c>
      <c r="T4657" s="3" t="n">
        <v>44362.405426226855</v>
      </c>
      <c r="U4657" t="s">
        <v>28179</v>
      </c>
      <c r="V4657" t="s">
        <v>28180</v>
      </c>
    </row>
    <row r="4658">
      <c r="A4658" t="s">
        <v>23557</v>
      </c>
      <c r="B4658" t="s">
        <v>28181</v>
      </c>
      <c r="C4658" t="s">
        <v>24</v>
      </c>
      <c r="D4658" t="s">
        <v>34</v>
      </c>
      <c r="E4658" t="s">
        <v>28182</v>
      </c>
      <c r="F4658" s="2" t="n">
        <f>HYPERLINK("https://patents.google.com/patent/US11034762","Google")</f>
        <v>0.0</v>
      </c>
      <c r="G4658" s="2" t="n">
        <f>HYPERLINK("https://patentcenter.uspto.gov/applications/15931649","Patent Center")</f>
        <v>0.0</v>
      </c>
      <c r="H4658" s="2" t="n">
        <f>HYPERLINK("https://worldwide.espacenet.com/patent/search?q=US11034762","Espacenet")</f>
        <v>0.0</v>
      </c>
      <c r="I4658" s="2" t="n">
        <f>HYPERLINK("https://ppubs.uspto.gov/pubwebapp/external.html?q=11034762.pn.","USPTO")</f>
        <v>0.0</v>
      </c>
      <c r="J4658" s="2" t="n">
        <f>HYPERLINK("https://image-ppubs.uspto.gov/dirsearch-public/print/downloadPdf/11034762","USPTO PDF")</f>
        <v>0.0</v>
      </c>
      <c r="K4658" s="2" t="n">
        <f>HYPERLINK("https://sectors.patentforecast.com/pmd/US11034762","PMD")</f>
        <v>0.0</v>
      </c>
      <c r="L4658" s="2" t="n">
        <f>HYPERLINK("https://globaldossier.uspto.gov/result/patent/US/11034762/1","US11034762")</f>
        <v>0.0</v>
      </c>
      <c r="M4658" t="s">
        <v>28183</v>
      </c>
      <c r="N4658" t="s">
        <v>28092</v>
      </c>
      <c r="O4658" t="s">
        <v>28093</v>
      </c>
      <c r="P4658" t="s">
        <v>28184</v>
      </c>
      <c r="Q4658" s="3" t="n">
        <v>43965.0</v>
      </c>
      <c r="R4658" s="3" t="n">
        <v>44362.0</v>
      </c>
      <c r="S4658" s="3" t="n">
        <v>44362.22950113426</v>
      </c>
      <c r="T4658" s="3" t="n">
        <v>44362.399962268515</v>
      </c>
      <c r="U4658" t="s">
        <v>28185</v>
      </c>
      <c r="V4658" t="s">
        <v>28186</v>
      </c>
    </row>
    <row r="4659">
      <c r="A4659" t="s">
        <v>23557</v>
      </c>
      <c r="B4659" t="s">
        <v>28187</v>
      </c>
      <c r="C4659" t="s">
        <v>60</v>
      </c>
      <c r="D4659" t="s">
        <v>61</v>
      </c>
      <c r="E4659" t="s">
        <v>28188</v>
      </c>
      <c r="F4659" s="2" t="n">
        <f>HYPERLINK("https://patents.google.com/patent/US11034655","Google")</f>
        <v>0.0</v>
      </c>
      <c r="G4659" s="2" t="n">
        <f>HYPERLINK("https://patentcenter.uspto.gov/applications/16988692","Patent Center")</f>
        <v>0.0</v>
      </c>
      <c r="H4659" s="2" t="n">
        <f>HYPERLINK("https://worldwide.espacenet.com/patent/search?q=US11034655","Espacenet")</f>
        <v>0.0</v>
      </c>
      <c r="I4659" s="2" t="n">
        <f>HYPERLINK("https://ppubs.uspto.gov/pubwebapp/external.html?q=11034655.pn.","USPTO")</f>
        <v>0.0</v>
      </c>
      <c r="J4659" s="2" t="n">
        <f>HYPERLINK("https://image-ppubs.uspto.gov/dirsearch-public/print/downloadPdf/11034655","USPTO PDF")</f>
        <v>0.0</v>
      </c>
      <c r="K4659" s="2" t="n">
        <f>HYPERLINK("https://sectors.patentforecast.com/pmd/US11034655","PMD")</f>
        <v>0.0</v>
      </c>
      <c r="L4659" s="2" t="n">
        <f>HYPERLINK("https://globaldossier.uspto.gov/result/patent/US/11034655/1","US11034655")</f>
        <v>0.0</v>
      </c>
      <c r="M4659" t="s">
        <v>28189</v>
      </c>
      <c r="N4659" t="s">
        <v>28190</v>
      </c>
      <c r="O4659" t="s">
        <v>28191</v>
      </c>
      <c r="P4659" t="s">
        <v>28192</v>
      </c>
      <c r="Q4659" s="3" t="n">
        <v>44052.0</v>
      </c>
      <c r="R4659" s="3" t="n">
        <v>44362.0</v>
      </c>
      <c r="S4659" s="3" t="n">
        <v>44362.229963541664</v>
      </c>
      <c r="T4659" s="3" t="n">
        <v>44362.40349660879</v>
      </c>
      <c r="U4659" t="s">
        <v>28193</v>
      </c>
      <c r="V4659" t="s">
        <v>28194</v>
      </c>
    </row>
    <row r="4660">
      <c r="A4660" t="s">
        <v>23557</v>
      </c>
      <c r="B4660" t="s">
        <v>28195</v>
      </c>
      <c r="C4660" t="s">
        <v>24</v>
      </c>
      <c r="D4660" t="s">
        <v>69</v>
      </c>
      <c r="E4660" t="s">
        <v>28196</v>
      </c>
      <c r="F4660" s="2" t="n">
        <f>HYPERLINK("https://patents.google.com/patent/US11033060","Google")</f>
        <v>0.0</v>
      </c>
      <c r="G4660" s="2" t="n">
        <f>HYPERLINK("https://patentcenter.uspto.gov/applications/17154874","Patent Center")</f>
        <v>0.0</v>
      </c>
      <c r="H4660" s="2" t="n">
        <f>HYPERLINK("https://worldwide.espacenet.com/patent/search?q=US11033060","Espacenet")</f>
        <v>0.0</v>
      </c>
      <c r="I4660" s="2" t="n">
        <f>HYPERLINK("https://ppubs.uspto.gov/pubwebapp/external.html?q=11033060.pn.","USPTO")</f>
        <v>0.0</v>
      </c>
      <c r="J4660" s="2" t="n">
        <f>HYPERLINK("https://image-ppubs.uspto.gov/dirsearch-public/print/downloadPdf/11033060","USPTO PDF")</f>
        <v>0.0</v>
      </c>
      <c r="K4660" s="2" t="n">
        <f>HYPERLINK("https://sectors.patentforecast.com/pmd/US11033060","PMD")</f>
        <v>0.0</v>
      </c>
      <c r="L4660" s="2" t="n">
        <f>HYPERLINK("https://globaldossier.uspto.gov/result/patent/US/11033060/1","US11033060")</f>
        <v>0.0</v>
      </c>
      <c r="M4660" t="s">
        <v>28197</v>
      </c>
      <c r="N4660" t="s">
        <v>28198</v>
      </c>
      <c r="O4660" t="s">
        <v>28199</v>
      </c>
      <c r="P4660" t="s">
        <v>28200</v>
      </c>
      <c r="Q4660" s="3" t="n">
        <v>44217.0</v>
      </c>
      <c r="R4660" s="3" t="n">
        <v>44362.0</v>
      </c>
      <c r="S4660" s="3" t="n">
        <v>44362.229963541664</v>
      </c>
      <c r="T4660" s="3" t="n">
        <v>44362.40598596065</v>
      </c>
      <c r="U4660" t="s">
        <v>28201</v>
      </c>
      <c r="V4660" t="s">
        <v>28202</v>
      </c>
    </row>
    <row r="4661">
      <c r="A4661" t="s">
        <v>23557</v>
      </c>
      <c r="B4661" t="s">
        <v>28203</v>
      </c>
      <c r="C4661" t="s">
        <v>312</v>
      </c>
      <c r="D4661" t="s">
        <v>715</v>
      </c>
      <c r="E4661" t="s">
        <v>28204</v>
      </c>
      <c r="F4661" s="2" t="n">
        <f>HYPERLINK("https://patents.google.com/patent/US11030708","Google")</f>
        <v>0.0</v>
      </c>
      <c r="G4661" s="2" t="n">
        <f>HYPERLINK("https://patentcenter.uspto.gov/applications/16875013","Patent Center")</f>
        <v>0.0</v>
      </c>
      <c r="H4661" s="2" t="n">
        <f>HYPERLINK("https://worldwide.espacenet.com/patent/search?q=US11030708","Espacenet")</f>
        <v>0.0</v>
      </c>
      <c r="I4661" s="2" t="n">
        <f>HYPERLINK("https://ppubs.uspto.gov/pubwebapp/external.html?q=11030708.pn.","USPTO")</f>
        <v>0.0</v>
      </c>
      <c r="J4661" s="2" t="n">
        <f>HYPERLINK("https://image-ppubs.uspto.gov/dirsearch-public/print/downloadPdf/11030708","USPTO PDF")</f>
        <v>0.0</v>
      </c>
      <c r="K4661" s="2" t="n">
        <f>HYPERLINK("https://sectors.patentforecast.com/pmd/US11030708","PMD")</f>
        <v>0.0</v>
      </c>
      <c r="L4661" s="2" t="n">
        <f>HYPERLINK("https://globaldossier.uspto.gov/result/patent/US/11030708/1","US11030708")</f>
        <v>0.0</v>
      </c>
      <c r="M4661" t="s">
        <v>16492</v>
      </c>
      <c r="N4661" t="s">
        <v>14363</v>
      </c>
      <c r="O4661" t="s">
        <v>14364</v>
      </c>
      <c r="P4661" t="s">
        <v>28205</v>
      </c>
      <c r="Q4661" s="3" t="n">
        <v>43966.0</v>
      </c>
      <c r="R4661" s="3" t="n">
        <v>44355.0</v>
      </c>
      <c r="S4661" s="3" t="n">
        <v>44355.229911296294</v>
      </c>
      <c r="T4661" s="3" t="n">
        <v>44355.499569976855</v>
      </c>
      <c r="U4661" t="s">
        <v>28206</v>
      </c>
      <c r="V4661" t="s">
        <v>14367</v>
      </c>
    </row>
    <row r="4662">
      <c r="A4662" t="s">
        <v>23557</v>
      </c>
      <c r="B4662" t="s">
        <v>28207</v>
      </c>
      <c r="C4662" t="s">
        <v>24</v>
      </c>
      <c r="D4662" t="s">
        <v>34</v>
      </c>
      <c r="E4662" t="s">
        <v>28208</v>
      </c>
      <c r="F4662" s="2" t="n">
        <f>HYPERLINK("https://patents.google.com/patent/US11028167","Google")</f>
        <v>0.0</v>
      </c>
      <c r="G4662" s="2" t="n">
        <f>HYPERLINK("https://patentcenter.uspto.gov/applications/15931652","Patent Center")</f>
        <v>0.0</v>
      </c>
      <c r="H4662" s="2" t="n">
        <f>HYPERLINK("https://worldwide.espacenet.com/patent/search?q=US11028167","Espacenet")</f>
        <v>0.0</v>
      </c>
      <c r="I4662" s="2" t="n">
        <f>HYPERLINK("https://ppubs.uspto.gov/pubwebapp/external.html?q=11028167.pn.","USPTO")</f>
        <v>0.0</v>
      </c>
      <c r="J4662" s="2" t="n">
        <f>HYPERLINK("https://image-ppubs.uspto.gov/dirsearch-public/print/downloadPdf/11028167","USPTO PDF")</f>
        <v>0.0</v>
      </c>
      <c r="K4662" s="2" t="n">
        <f>HYPERLINK("https://sectors.patentforecast.com/pmd/US11028167","PMD")</f>
        <v>0.0</v>
      </c>
      <c r="L4662" s="2" t="n">
        <f>HYPERLINK("https://globaldossier.uspto.gov/result/patent/US/11028167/1","US11028167")</f>
        <v>0.0</v>
      </c>
      <c r="M4662" t="s">
        <v>28209</v>
      </c>
      <c r="N4662" t="s">
        <v>28092</v>
      </c>
      <c r="O4662" t="s">
        <v>28093</v>
      </c>
      <c r="P4662" t="s">
        <v>28184</v>
      </c>
      <c r="Q4662" s="3" t="n">
        <v>43965.0</v>
      </c>
      <c r="R4662" s="3" t="n">
        <v>44355.0</v>
      </c>
      <c r="S4662" s="3" t="n">
        <v>44355.22944481482</v>
      </c>
      <c r="T4662" s="3" t="n">
        <v>44355.49846728009</v>
      </c>
      <c r="U4662" t="s">
        <v>28210</v>
      </c>
      <c r="V4662" t="s">
        <v>28211</v>
      </c>
    </row>
    <row r="4663">
      <c r="A4663" t="s">
        <v>23557</v>
      </c>
      <c r="B4663" t="s">
        <v>28212</v>
      </c>
      <c r="C4663" t="s">
        <v>60</v>
      </c>
      <c r="D4663" t="s">
        <v>77</v>
      </c>
      <c r="E4663" t="s">
        <v>28213</v>
      </c>
      <c r="F4663" s="2" t="n">
        <f>HYPERLINK("https://patents.google.com/patent/US11028150","Google")</f>
        <v>0.0</v>
      </c>
      <c r="G4663" s="2" t="n">
        <f>HYPERLINK("https://patentcenter.uspto.gov/applications/15931642","Patent Center")</f>
        <v>0.0</v>
      </c>
      <c r="H4663" s="2" t="n">
        <f>HYPERLINK("https://worldwide.espacenet.com/patent/search?q=US11028150","Espacenet")</f>
        <v>0.0</v>
      </c>
      <c r="I4663" s="2" t="n">
        <f>HYPERLINK("https://ppubs.uspto.gov/pubwebapp/external.html?q=11028150.pn.","USPTO")</f>
        <v>0.0</v>
      </c>
      <c r="J4663" s="2" t="n">
        <f>HYPERLINK("https://image-ppubs.uspto.gov/dirsearch-public/print/downloadPdf/11028150","USPTO PDF")</f>
        <v>0.0</v>
      </c>
      <c r="K4663" s="2" t="n">
        <f>HYPERLINK("https://sectors.patentforecast.com/pmd/US11028150","PMD")</f>
        <v>0.0</v>
      </c>
      <c r="L4663" s="2" t="n">
        <f>HYPERLINK("https://globaldossier.uspto.gov/result/patent/US/11028150/1","US11028150")</f>
        <v>0.0</v>
      </c>
      <c r="M4663" t="s">
        <v>28214</v>
      </c>
      <c r="N4663" t="s">
        <v>28092</v>
      </c>
      <c r="O4663" t="s">
        <v>28093</v>
      </c>
      <c r="P4663" t="s">
        <v>28184</v>
      </c>
      <c r="Q4663" s="3" t="n">
        <v>43965.0</v>
      </c>
      <c r="R4663" s="3" t="n">
        <v>44355.0</v>
      </c>
      <c r="S4663" s="3" t="n">
        <v>44355.22944481482</v>
      </c>
      <c r="T4663" s="3" t="n">
        <v>44658.5970043287</v>
      </c>
      <c r="U4663" t="s">
        <v>28215</v>
      </c>
      <c r="V4663" t="s">
        <v>28216</v>
      </c>
    </row>
    <row r="4664">
      <c r="A4664" t="s">
        <v>23557</v>
      </c>
      <c r="B4664" t="s">
        <v>28217</v>
      </c>
      <c r="C4664" t="s">
        <v>60</v>
      </c>
      <c r="D4664" t="s">
        <v>77</v>
      </c>
      <c r="E4664" t="s">
        <v>28218</v>
      </c>
      <c r="F4664" s="2" t="n">
        <f>HYPERLINK("https://patents.google.com/patent/US11028132","Google")</f>
        <v>0.0</v>
      </c>
      <c r="G4664" s="2" t="n">
        <f>HYPERLINK("https://patentcenter.uspto.gov/applications/16938707","Patent Center")</f>
        <v>0.0</v>
      </c>
      <c r="H4664" s="2" t="n">
        <f>HYPERLINK("https://worldwide.espacenet.com/patent/search?q=US11028132","Espacenet")</f>
        <v>0.0</v>
      </c>
      <c r="I4664" s="2" t="n">
        <f>HYPERLINK("https://ppubs.uspto.gov/pubwebapp/external.html?q=11028132.pn.","USPTO")</f>
        <v>0.0</v>
      </c>
      <c r="J4664" s="2" t="n">
        <f>HYPERLINK("https://image-ppubs.uspto.gov/dirsearch-public/print/downloadPdf/11028132","USPTO PDF")</f>
        <v>0.0</v>
      </c>
      <c r="K4664" s="2" t="n">
        <f>HYPERLINK("https://sectors.patentforecast.com/pmd/US11028132","PMD")</f>
        <v>0.0</v>
      </c>
      <c r="L4664" s="2" t="n">
        <f>HYPERLINK("https://globaldossier.uspto.gov/result/patent/US/11028132/1","US11028132")</f>
        <v>0.0</v>
      </c>
      <c r="M4664" t="s">
        <v>28219</v>
      </c>
      <c r="N4664" t="s">
        <v>28220</v>
      </c>
      <c r="O4664" t="s">
        <v>28220</v>
      </c>
      <c r="P4664" t="s">
        <v>28221</v>
      </c>
      <c r="Q4664" s="3" t="n">
        <v>44036.0</v>
      </c>
      <c r="R4664" s="3" t="n">
        <v>44355.0</v>
      </c>
      <c r="S4664" s="3" t="n">
        <v>44355.229911296294</v>
      </c>
      <c r="T4664" s="3" t="n">
        <v>44355.502888738425</v>
      </c>
      <c r="U4664" t="s">
        <v>28222</v>
      </c>
      <c r="V4664" t="s">
        <v>28223</v>
      </c>
    </row>
    <row r="4665">
      <c r="A4665" t="s">
        <v>23557</v>
      </c>
      <c r="B4665" t="s">
        <v>28224</v>
      </c>
      <c r="C4665" t="s">
        <v>132</v>
      </c>
      <c r="D4665" t="s">
        <v>17610</v>
      </c>
      <c r="E4665" t="s">
        <v>24049</v>
      </c>
      <c r="F4665" s="2" t="n">
        <f>HYPERLINK("https://patents.google.com/patent/US11027008","Google")</f>
        <v>0.0</v>
      </c>
      <c r="G4665" s="2" t="n">
        <f>HYPERLINK("https://patentcenter.uspto.gov/applications/16352135","Patent Center")</f>
        <v>0.0</v>
      </c>
      <c r="H4665" s="2" t="n">
        <f>HYPERLINK("https://worldwide.espacenet.com/patent/search?q=US11027008","Espacenet")</f>
        <v>0.0</v>
      </c>
      <c r="I4665" s="2" t="n">
        <f>HYPERLINK("https://ppubs.uspto.gov/pubwebapp/external.html?q=11027008.pn.","USPTO")</f>
        <v>0.0</v>
      </c>
      <c r="J4665" s="2" t="n">
        <f>HYPERLINK("https://image-ppubs.uspto.gov/dirsearch-public/print/downloadPdf/11027008","USPTO PDF")</f>
        <v>0.0</v>
      </c>
      <c r="K4665" s="2" t="n">
        <f>HYPERLINK("https://sectors.patentforecast.com/pmd/US11027008","PMD")</f>
        <v>0.0</v>
      </c>
      <c r="L4665" s="2" t="n">
        <f>HYPERLINK("https://globaldossier.uspto.gov/result/patent/US/11027008/1","US11027008")</f>
        <v>0.0</v>
      </c>
      <c r="M4665" t="s">
        <v>17612</v>
      </c>
      <c r="N4665" t="s">
        <v>1792</v>
      </c>
      <c r="O4665" t="s">
        <v>1793</v>
      </c>
      <c r="P4665" t="s">
        <v>28225</v>
      </c>
      <c r="Q4665" s="3" t="n">
        <v>43537.0</v>
      </c>
      <c r="R4665" s="3" t="n">
        <v>44355.0</v>
      </c>
      <c r="S4665" s="3" t="n">
        <v>44355.234538206016</v>
      </c>
      <c r="T4665" s="3" t="n">
        <v>44355.49857642361</v>
      </c>
      <c r="U4665" t="s">
        <v>28226</v>
      </c>
      <c r="V4665" t="s">
        <v>17615</v>
      </c>
    </row>
    <row r="4666">
      <c r="A4666" t="s">
        <v>23557</v>
      </c>
      <c r="B4666" t="s">
        <v>28227</v>
      </c>
      <c r="C4666" t="s">
        <v>60</v>
      </c>
      <c r="D4666" t="s">
        <v>61</v>
      </c>
      <c r="E4666" t="s">
        <v>28228</v>
      </c>
      <c r="F4666" s="2" t="n">
        <f>HYPERLINK("https://patents.google.com/patent/US11026909","Google")</f>
        <v>0.0</v>
      </c>
      <c r="G4666" s="2" t="n">
        <f>HYPERLINK("https://patentcenter.uspto.gov/applications/17132602","Patent Center")</f>
        <v>0.0</v>
      </c>
      <c r="H4666" s="2" t="n">
        <f>HYPERLINK("https://worldwide.espacenet.com/patent/search?q=US11026909","Espacenet")</f>
        <v>0.0</v>
      </c>
      <c r="I4666" s="2" t="n">
        <f>HYPERLINK("https://ppubs.uspto.gov/pubwebapp/external.html?q=11026909.pn.","USPTO")</f>
        <v>0.0</v>
      </c>
      <c r="J4666" s="2" t="n">
        <f>HYPERLINK("https://image-ppubs.uspto.gov/dirsearch-public/print/downloadPdf/11026909","USPTO PDF")</f>
        <v>0.0</v>
      </c>
      <c r="K4666" s="2" t="n">
        <f>HYPERLINK("https://sectors.patentforecast.com/pmd/US11026909","PMD")</f>
        <v>0.0</v>
      </c>
      <c r="L4666" s="2" t="n">
        <f>HYPERLINK("https://globaldossier.uspto.gov/result/patent/US/11026909/1","US11026909")</f>
        <v>0.0</v>
      </c>
      <c r="M4666" t="s">
        <v>28229</v>
      </c>
      <c r="N4666" t="s">
        <v>11657</v>
      </c>
      <c r="O4666" t="s">
        <v>11658</v>
      </c>
      <c r="P4666" t="s">
        <v>28230</v>
      </c>
      <c r="Q4666" s="3" t="n">
        <v>44188.0</v>
      </c>
      <c r="R4666" s="3" t="n">
        <v>44355.0</v>
      </c>
      <c r="S4666" s="3" t="n">
        <v>44355.229911296294</v>
      </c>
      <c r="T4666" s="3" t="n">
        <v>44355.499244976854</v>
      </c>
      <c r="U4666" t="s">
        <v>28231</v>
      </c>
      <c r="V4666" t="s">
        <v>11661</v>
      </c>
    </row>
    <row r="4667">
      <c r="A4667" t="s">
        <v>23557</v>
      </c>
      <c r="B4667" t="s">
        <v>28232</v>
      </c>
      <c r="C4667" t="s">
        <v>60</v>
      </c>
      <c r="D4667" t="s">
        <v>715</v>
      </c>
      <c r="E4667" t="s">
        <v>28233</v>
      </c>
      <c r="F4667" s="2" t="n">
        <f>HYPERLINK("https://patents.google.com/patent/US11026664","Google")</f>
        <v>0.0</v>
      </c>
      <c r="G4667" s="2" t="n">
        <f>HYPERLINK("https://patentcenter.uspto.gov/applications/16855936","Patent Center")</f>
        <v>0.0</v>
      </c>
      <c r="H4667" s="2" t="n">
        <f>HYPERLINK("https://worldwide.espacenet.com/patent/search?q=US11026664","Espacenet")</f>
        <v>0.0</v>
      </c>
      <c r="I4667" s="2" t="n">
        <f>HYPERLINK("https://ppubs.uspto.gov/pubwebapp/external.html?q=11026664.pn.","USPTO")</f>
        <v>0.0</v>
      </c>
      <c r="J4667" s="2" t="n">
        <f>HYPERLINK("https://image-ppubs.uspto.gov/dirsearch-public/print/downloadPdf/11026664","USPTO PDF")</f>
        <v>0.0</v>
      </c>
      <c r="K4667" s="2" t="n">
        <f>HYPERLINK("https://sectors.patentforecast.com/pmd/US11026664","PMD")</f>
        <v>0.0</v>
      </c>
      <c r="L4667" s="2" t="n">
        <f>HYPERLINK("https://globaldossier.uspto.gov/result/patent/US/11026664/1","US11026664")</f>
        <v>0.0</v>
      </c>
      <c r="M4667" t="s">
        <v>28234</v>
      </c>
      <c r="N4667" t="s">
        <v>9375</v>
      </c>
      <c r="O4667" t="s">
        <v>9375</v>
      </c>
      <c r="P4667" t="s">
        <v>28235</v>
      </c>
      <c r="Q4667" s="3" t="n">
        <v>43943.0</v>
      </c>
      <c r="R4667" s="3" t="n">
        <v>44355.0</v>
      </c>
      <c r="S4667" s="3" t="n">
        <v>44355.229911296294</v>
      </c>
      <c r="T4667" s="3" t="n">
        <v>44678.54326989583</v>
      </c>
      <c r="U4667" t="s">
        <v>28236</v>
      </c>
      <c r="V4667" t="s">
        <v>28237</v>
      </c>
    </row>
    <row r="4668">
      <c r="A4668" t="s">
        <v>23557</v>
      </c>
      <c r="B4668" t="s">
        <v>28238</v>
      </c>
      <c r="C4668" t="s">
        <v>312</v>
      </c>
      <c r="D4668" t="s">
        <v>313</v>
      </c>
      <c r="E4668" t="s">
        <v>28239</v>
      </c>
      <c r="F4668" s="2" t="n">
        <f>HYPERLINK("https://patents.google.com/patent/US11024427","Google")</f>
        <v>0.0</v>
      </c>
      <c r="G4668" s="2" t="n">
        <f>HYPERLINK("https://patentcenter.uspto.gov/applications/15656750","Patent Center")</f>
        <v>0.0</v>
      </c>
      <c r="H4668" s="2" t="n">
        <f>HYPERLINK("https://worldwide.espacenet.com/patent/search?q=US11024427","Espacenet")</f>
        <v>0.0</v>
      </c>
      <c r="I4668" s="2" t="n">
        <f>HYPERLINK("https://ppubs.uspto.gov/pubwebapp/external.html?q=11024427.pn.","USPTO")</f>
        <v>0.0</v>
      </c>
      <c r="J4668" s="2" t="n">
        <f>HYPERLINK("https://image-ppubs.uspto.gov/dirsearch-public/print/downloadPdf/11024427","USPTO PDF")</f>
        <v>0.0</v>
      </c>
      <c r="K4668" s="2" t="n">
        <f>HYPERLINK("https://sectors.patentforecast.com/pmd/US11024427","PMD")</f>
        <v>0.0</v>
      </c>
      <c r="L4668" s="2" t="n">
        <f>HYPERLINK("https://globaldossier.uspto.gov/result/patent/US/11024427/1","US11024427")</f>
        <v>0.0</v>
      </c>
      <c r="M4668" t="s">
        <v>28240</v>
      </c>
      <c r="N4668" t="s">
        <v>5695</v>
      </c>
      <c r="O4668" t="s">
        <v>5696</v>
      </c>
      <c r="P4668" t="s">
        <v>28241</v>
      </c>
      <c r="Q4668" s="3" t="n">
        <v>42937.0</v>
      </c>
      <c r="R4668" s="3" t="n">
        <v>44348.0</v>
      </c>
      <c r="S4668" s="3" t="n">
        <v>44348.23047988426</v>
      </c>
      <c r="T4668" s="3" t="n">
        <v>44349.35709618055</v>
      </c>
      <c r="U4668" t="s">
        <v>28242</v>
      </c>
      <c r="V4668" t="s">
        <v>28243</v>
      </c>
    </row>
    <row r="4669">
      <c r="A4669" t="s">
        <v>23557</v>
      </c>
      <c r="B4669" t="s">
        <v>28244</v>
      </c>
      <c r="C4669" t="s">
        <v>24</v>
      </c>
      <c r="D4669" t="s">
        <v>51</v>
      </c>
      <c r="E4669" t="s">
        <v>28245</v>
      </c>
      <c r="F4669" s="2" t="n">
        <f>HYPERLINK("https://patents.google.com/patent/US11024339","Google")</f>
        <v>0.0</v>
      </c>
      <c r="G4669" s="2" t="n">
        <f>HYPERLINK("https://patentcenter.uspto.gov/applications/16876114","Patent Center")</f>
        <v>0.0</v>
      </c>
      <c r="H4669" s="2" t="n">
        <f>HYPERLINK("https://worldwide.espacenet.com/patent/search?q=US11024339","Espacenet")</f>
        <v>0.0</v>
      </c>
      <c r="I4669" s="2" t="n">
        <f>HYPERLINK("https://ppubs.uspto.gov/pubwebapp/external.html?q=11024339.pn.","USPTO")</f>
        <v>0.0</v>
      </c>
      <c r="J4669" s="2" t="n">
        <f>HYPERLINK("https://image-ppubs.uspto.gov/dirsearch-public/print/downloadPdf/11024339","USPTO PDF")</f>
        <v>0.0</v>
      </c>
      <c r="K4669" s="2" t="n">
        <f>HYPERLINK("https://sectors.patentforecast.com/pmd/US11024339","PMD")</f>
        <v>0.0</v>
      </c>
      <c r="L4669" s="2" t="n">
        <f>HYPERLINK("https://globaldossier.uspto.gov/result/patent/US/11024339/1","US11024339")</f>
        <v>0.0</v>
      </c>
      <c r="M4669" t="s">
        <v>16480</v>
      </c>
      <c r="N4669" t="s">
        <v>16481</v>
      </c>
      <c r="O4669" t="s">
        <v>16482</v>
      </c>
      <c r="P4669" t="s">
        <v>28246</v>
      </c>
      <c r="Q4669" s="3" t="n">
        <v>43968.0</v>
      </c>
      <c r="R4669" s="3" t="n">
        <v>44348.0</v>
      </c>
      <c r="S4669" s="3" t="n">
        <v>44348.229908217596</v>
      </c>
      <c r="T4669" s="3" t="n">
        <v>44349.355315486115</v>
      </c>
      <c r="U4669" t="s">
        <v>28247</v>
      </c>
      <c r="V4669" t="s">
        <v>16485</v>
      </c>
    </row>
    <row r="4670">
      <c r="A4670" t="s">
        <v>23557</v>
      </c>
      <c r="B4670" t="s">
        <v>28248</v>
      </c>
      <c r="C4670" t="s">
        <v>312</v>
      </c>
      <c r="D4670" t="s">
        <v>3202</v>
      </c>
      <c r="E4670" t="s">
        <v>28249</v>
      </c>
      <c r="F4670" s="2" t="n">
        <f>HYPERLINK("https://patents.google.com/patent/US11023563","Google")</f>
        <v>0.0</v>
      </c>
      <c r="G4670" s="2" t="n">
        <f>HYPERLINK("https://patentcenter.uspto.gov/applications/16882406","Patent Center")</f>
        <v>0.0</v>
      </c>
      <c r="H4670" s="2" t="n">
        <f>HYPERLINK("https://worldwide.espacenet.com/patent/search?q=US11023563","Espacenet")</f>
        <v>0.0</v>
      </c>
      <c r="I4670" s="2" t="n">
        <f>HYPERLINK("https://ppubs.uspto.gov/pubwebapp/external.html?q=11023563.pn.","USPTO")</f>
        <v>0.0</v>
      </c>
      <c r="J4670" s="2" t="n">
        <f>HYPERLINK("https://image-ppubs.uspto.gov/dirsearch-public/print/downloadPdf/11023563","USPTO PDF")</f>
        <v>0.0</v>
      </c>
      <c r="K4670" s="2" t="n">
        <f>HYPERLINK("https://sectors.patentforecast.com/pmd/US11023563","PMD")</f>
        <v>0.0</v>
      </c>
      <c r="L4670" s="2" t="n">
        <f>HYPERLINK("https://globaldossier.uspto.gov/result/patent/US/11023563/1","US11023563")</f>
        <v>0.0</v>
      </c>
      <c r="M4670" t="s">
        <v>28250</v>
      </c>
      <c r="N4670" t="s">
        <v>14042</v>
      </c>
      <c r="O4670" t="s">
        <v>14043</v>
      </c>
      <c r="P4670" t="s">
        <v>28251</v>
      </c>
      <c r="Q4670" s="3" t="n">
        <v>43973.0</v>
      </c>
      <c r="R4670" s="3" t="n">
        <v>44348.0</v>
      </c>
      <c r="S4670" s="3" t="n">
        <v>44348.23047988426</v>
      </c>
      <c r="T4670" s="3" t="n">
        <v>44349.359839826386</v>
      </c>
      <c r="U4670" t="s">
        <v>28252</v>
      </c>
      <c r="V4670" t="s">
        <v>14046</v>
      </c>
    </row>
    <row r="4671">
      <c r="A4671" t="s">
        <v>23557</v>
      </c>
      <c r="B4671" t="s">
        <v>28253</v>
      </c>
      <c r="C4671" t="s">
        <v>312</v>
      </c>
      <c r="D4671" t="s">
        <v>313</v>
      </c>
      <c r="E4671" t="s">
        <v>28254</v>
      </c>
      <c r="F4671" s="2" t="n">
        <f>HYPERLINK("https://patents.google.com/patent/US11023467","Google")</f>
        <v>0.0</v>
      </c>
      <c r="G4671" s="2" t="n">
        <f>HYPERLINK("https://patentcenter.uspto.gov/applications/16460335","Patent Center")</f>
        <v>0.0</v>
      </c>
      <c r="H4671" s="2" t="n">
        <f>HYPERLINK("https://worldwide.espacenet.com/patent/search?q=US11023467","Espacenet")</f>
        <v>0.0</v>
      </c>
      <c r="I4671" s="2" t="n">
        <f>HYPERLINK("https://ppubs.uspto.gov/pubwebapp/external.html?q=11023467.pn.","USPTO")</f>
        <v>0.0</v>
      </c>
      <c r="J4671" s="2" t="n">
        <f>HYPERLINK("https://image-ppubs.uspto.gov/dirsearch-public/print/downloadPdf/11023467","USPTO PDF")</f>
        <v>0.0</v>
      </c>
      <c r="K4671" s="2" t="n">
        <f>HYPERLINK("https://sectors.patentforecast.com/pmd/US11023467","PMD")</f>
        <v>0.0</v>
      </c>
      <c r="L4671" s="2" t="n">
        <f>HYPERLINK("https://globaldossier.uspto.gov/result/patent/US/11023467/1","US11023467")</f>
        <v>0.0</v>
      </c>
      <c r="M4671" t="s">
        <v>17206</v>
      </c>
      <c r="N4671" t="s">
        <v>13705</v>
      </c>
      <c r="O4671" t="s">
        <v>13706</v>
      </c>
      <c r="P4671" t="s">
        <v>28255</v>
      </c>
      <c r="Q4671" s="3" t="n">
        <v>43648.0</v>
      </c>
      <c r="R4671" s="3" t="n">
        <v>44348.0</v>
      </c>
      <c r="S4671" s="3" t="n">
        <v>44348.23047988426</v>
      </c>
      <c r="T4671" s="3" t="n">
        <v>44349.35935633102</v>
      </c>
      <c r="U4671" t="s">
        <v>28256</v>
      </c>
      <c r="V4671" t="s">
        <v>13709</v>
      </c>
    </row>
    <row r="4672">
      <c r="A4672" t="s">
        <v>23557</v>
      </c>
      <c r="B4672" t="s">
        <v>28257</v>
      </c>
      <c r="C4672" t="s">
        <v>60</v>
      </c>
      <c r="D4672" t="s">
        <v>77</v>
      </c>
      <c r="E4672" t="s">
        <v>28258</v>
      </c>
      <c r="F4672" s="2" t="n">
        <f>HYPERLINK("https://patents.google.com/patent/US11021532","Google")</f>
        <v>0.0</v>
      </c>
      <c r="G4672" s="2" t="n">
        <f>HYPERLINK("https://patentcenter.uspto.gov/applications/15931654","Patent Center")</f>
        <v>0.0</v>
      </c>
      <c r="H4672" s="2" t="n">
        <f>HYPERLINK("https://worldwide.espacenet.com/patent/search?q=US11021532","Espacenet")</f>
        <v>0.0</v>
      </c>
      <c r="I4672" s="2" t="n">
        <f>HYPERLINK("https://ppubs.uspto.gov/pubwebapp/external.html?q=11021532.pn.","USPTO")</f>
        <v>0.0</v>
      </c>
      <c r="J4672" s="2" t="n">
        <f>HYPERLINK("https://image-ppubs.uspto.gov/dirsearch-public/print/downloadPdf/11021532","USPTO PDF")</f>
        <v>0.0</v>
      </c>
      <c r="K4672" s="2" t="n">
        <f>HYPERLINK("https://sectors.patentforecast.com/pmd/US11021532","PMD")</f>
        <v>0.0</v>
      </c>
      <c r="L4672" s="2" t="n">
        <f>HYPERLINK("https://globaldossier.uspto.gov/result/patent/US/11021532/1","US11021532")</f>
        <v>0.0</v>
      </c>
      <c r="M4672" t="s">
        <v>28259</v>
      </c>
      <c r="N4672" t="s">
        <v>28092</v>
      </c>
      <c r="O4672" t="s">
        <v>28093</v>
      </c>
      <c r="P4672" t="s">
        <v>28260</v>
      </c>
      <c r="Q4672" s="3" t="n">
        <v>43965.0</v>
      </c>
      <c r="R4672" s="3" t="n">
        <v>44348.0</v>
      </c>
      <c r="S4672" s="3" t="n">
        <v>44348.22943935185</v>
      </c>
      <c r="T4672" s="3" t="n">
        <v>44349.35517164352</v>
      </c>
      <c r="U4672" t="s">
        <v>28261</v>
      </c>
      <c r="V4672" t="s">
        <v>28262</v>
      </c>
    </row>
    <row r="4673">
      <c r="A4673" t="s">
        <v>23557</v>
      </c>
      <c r="B4673" t="s">
        <v>28263</v>
      </c>
      <c r="C4673" t="s">
        <v>60</v>
      </c>
      <c r="D4673" t="s">
        <v>77</v>
      </c>
      <c r="E4673" t="s">
        <v>28264</v>
      </c>
      <c r="F4673" s="2" t="n">
        <f>HYPERLINK("https://patents.google.com/patent/US11021531","Google")</f>
        <v>0.0</v>
      </c>
      <c r="G4673" s="2" t="n">
        <f>HYPERLINK("https://patentcenter.uspto.gov/applications/15931643","Patent Center")</f>
        <v>0.0</v>
      </c>
      <c r="H4673" s="2" t="n">
        <f>HYPERLINK("https://worldwide.espacenet.com/patent/search?q=US11021531","Espacenet")</f>
        <v>0.0</v>
      </c>
      <c r="I4673" s="2" t="n">
        <f>HYPERLINK("https://ppubs.uspto.gov/pubwebapp/external.html?q=11021531.pn.","USPTO")</f>
        <v>0.0</v>
      </c>
      <c r="J4673" s="2" t="n">
        <f>HYPERLINK("https://image-ppubs.uspto.gov/dirsearch-public/print/downloadPdf/11021531","USPTO PDF")</f>
        <v>0.0</v>
      </c>
      <c r="K4673" s="2" t="n">
        <f>HYPERLINK("https://sectors.patentforecast.com/pmd/US11021531","PMD")</f>
        <v>0.0</v>
      </c>
      <c r="L4673" s="2" t="n">
        <f>HYPERLINK("https://globaldossier.uspto.gov/result/patent/US/11021531/1","US11021531")</f>
        <v>0.0</v>
      </c>
      <c r="M4673" t="s">
        <v>28265</v>
      </c>
      <c r="N4673" t="s">
        <v>28092</v>
      </c>
      <c r="O4673" t="s">
        <v>28093</v>
      </c>
      <c r="P4673" t="s">
        <v>28094</v>
      </c>
      <c r="Q4673" s="3" t="n">
        <v>43965.0</v>
      </c>
      <c r="R4673" s="3" t="n">
        <v>44348.0</v>
      </c>
      <c r="S4673" s="3" t="n">
        <v>44348.22943935185</v>
      </c>
      <c r="T4673" s="3" t="n">
        <v>44658.59689824074</v>
      </c>
      <c r="U4673" t="s">
        <v>28266</v>
      </c>
      <c r="V4673" t="s">
        <v>28267</v>
      </c>
    </row>
    <row r="4674">
      <c r="A4674" t="s">
        <v>23557</v>
      </c>
      <c r="B4674" t="s">
        <v>28268</v>
      </c>
      <c r="C4674" t="s">
        <v>60</v>
      </c>
      <c r="D4674" t="s">
        <v>715</v>
      </c>
      <c r="E4674" t="s">
        <v>28269</v>
      </c>
      <c r="F4674" s="2" t="n">
        <f>HYPERLINK("https://patents.google.com/patent/US11020618","Google")</f>
        <v>0.0</v>
      </c>
      <c r="G4674" s="2" t="n">
        <f>HYPERLINK("https://patentcenter.uspto.gov/applications/16919780","Patent Center")</f>
        <v>0.0</v>
      </c>
      <c r="H4674" s="2" t="n">
        <f>HYPERLINK("https://worldwide.espacenet.com/patent/search?q=US11020618","Espacenet")</f>
        <v>0.0</v>
      </c>
      <c r="I4674" s="2" t="n">
        <f>HYPERLINK("https://ppubs.uspto.gov/pubwebapp/external.html?q=11020618.pn.","USPTO")</f>
        <v>0.0</v>
      </c>
      <c r="J4674" s="2" t="n">
        <f>HYPERLINK("https://image-ppubs.uspto.gov/dirsearch-public/print/downloadPdf/11020618","USPTO PDF")</f>
        <v>0.0</v>
      </c>
      <c r="K4674" s="2" t="n">
        <f>HYPERLINK("https://sectors.patentforecast.com/pmd/US11020618","PMD")</f>
        <v>0.0</v>
      </c>
      <c r="L4674" s="2" t="n">
        <f>HYPERLINK("https://globaldossier.uspto.gov/result/patent/US/11020618/1","US11020618")</f>
        <v>0.0</v>
      </c>
      <c r="M4674" t="s">
        <v>28270</v>
      </c>
      <c r="N4674" t="s">
        <v>8351</v>
      </c>
      <c r="O4674" t="s">
        <v>8352</v>
      </c>
      <c r="P4674" t="s">
        <v>28271</v>
      </c>
      <c r="Q4674" s="3" t="n">
        <v>44014.0</v>
      </c>
      <c r="R4674" s="3" t="n">
        <v>44348.0</v>
      </c>
      <c r="S4674" s="3" t="n">
        <v>44348.229908217596</v>
      </c>
      <c r="T4674" s="3" t="n">
        <v>44349.35871778935</v>
      </c>
      <c r="U4674" t="s">
        <v>28272</v>
      </c>
      <c r="V4674" t="s">
        <v>8355</v>
      </c>
    </row>
    <row r="4675">
      <c r="A4675" t="s">
        <v>23557</v>
      </c>
      <c r="B4675" t="s">
        <v>28273</v>
      </c>
      <c r="C4675" t="s">
        <v>132</v>
      </c>
      <c r="D4675" t="s">
        <v>133</v>
      </c>
      <c r="E4675" t="s">
        <v>28274</v>
      </c>
      <c r="F4675" s="2" t="n">
        <f>HYPERLINK("https://patents.google.com/patent/US11020475","Google")</f>
        <v>0.0</v>
      </c>
      <c r="G4675" s="2" t="n">
        <f>HYPERLINK("https://patentcenter.uspto.gov/applications/17080224","Patent Center")</f>
        <v>0.0</v>
      </c>
      <c r="H4675" s="2" t="n">
        <f>HYPERLINK("https://worldwide.espacenet.com/patent/search?q=US11020475","Espacenet")</f>
        <v>0.0</v>
      </c>
      <c r="I4675" s="2" t="n">
        <f>HYPERLINK("https://ppubs.uspto.gov/pubwebapp/external.html?q=11020475.pn.","USPTO")</f>
        <v>0.0</v>
      </c>
      <c r="J4675" s="2" t="n">
        <f>HYPERLINK("https://image-ppubs.uspto.gov/dirsearch-public/print/downloadPdf/11020475","USPTO PDF")</f>
        <v>0.0</v>
      </c>
      <c r="K4675" s="2" t="n">
        <f>HYPERLINK("https://sectors.patentforecast.com/pmd/US11020475","PMD")</f>
        <v>0.0</v>
      </c>
      <c r="L4675" s="2" t="n">
        <f>HYPERLINK("https://globaldossier.uspto.gov/result/patent/US/11020475/1","US11020475")</f>
        <v>0.0</v>
      </c>
      <c r="M4675" t="s">
        <v>28275</v>
      </c>
      <c r="N4675" t="s">
        <v>28276</v>
      </c>
      <c r="O4675" t="s">
        <v>28277</v>
      </c>
      <c r="P4675" t="s">
        <v>28278</v>
      </c>
      <c r="Q4675" s="3" t="n">
        <v>44130.0</v>
      </c>
      <c r="R4675" s="3" t="n">
        <v>44348.0</v>
      </c>
      <c r="S4675" s="3" t="n">
        <v>44348.229908217596</v>
      </c>
      <c r="T4675" s="3" t="n">
        <v>44349.35674591435</v>
      </c>
      <c r="U4675" t="s">
        <v>28279</v>
      </c>
      <c r="V4675" t="s">
        <v>28280</v>
      </c>
    </row>
    <row r="4676">
      <c r="A4676" t="s">
        <v>23557</v>
      </c>
      <c r="B4676" t="s">
        <v>28281</v>
      </c>
      <c r="C4676" t="s">
        <v>60</v>
      </c>
      <c r="D4676" t="s">
        <v>77</v>
      </c>
      <c r="E4676" t="s">
        <v>28282</v>
      </c>
      <c r="F4676" s="2" t="n">
        <f>HYPERLINK("https://patents.google.com/patent/US11020474","Google")</f>
        <v>0.0</v>
      </c>
      <c r="G4676" s="2" t="n">
        <f>HYPERLINK("https://patentcenter.uspto.gov/applications/17001774","Patent Center")</f>
        <v>0.0</v>
      </c>
      <c r="H4676" s="2" t="n">
        <f>HYPERLINK("https://worldwide.espacenet.com/patent/search?q=US11020474","Espacenet")</f>
        <v>0.0</v>
      </c>
      <c r="I4676" s="2" t="n">
        <f>HYPERLINK("https://ppubs.uspto.gov/pubwebapp/external.html?q=11020474.pn.","USPTO")</f>
        <v>0.0</v>
      </c>
      <c r="J4676" s="2" t="n">
        <f>HYPERLINK("https://image-ppubs.uspto.gov/dirsearch-public/print/downloadPdf/11020474","USPTO PDF")</f>
        <v>0.0</v>
      </c>
      <c r="K4676" s="2" t="n">
        <f>HYPERLINK("https://sectors.patentforecast.com/pmd/US11020474","PMD")</f>
        <v>0.0</v>
      </c>
      <c r="L4676" s="2" t="n">
        <f>HYPERLINK("https://globaldossier.uspto.gov/result/patent/US/11020474/1","US11020474")</f>
        <v>0.0</v>
      </c>
      <c r="M4676" t="s">
        <v>28283</v>
      </c>
      <c r="N4676" t="s">
        <v>5260</v>
      </c>
      <c r="O4676" t="s">
        <v>5261</v>
      </c>
      <c r="P4676" t="s">
        <v>28284</v>
      </c>
      <c r="Q4676" s="3" t="n">
        <v>44068.0</v>
      </c>
      <c r="R4676" s="3" t="n">
        <v>44348.0</v>
      </c>
      <c r="S4676" s="3" t="n">
        <v>44348.229908217596</v>
      </c>
      <c r="T4676" s="3" t="n">
        <v>44349.35573217593</v>
      </c>
      <c r="U4676" t="s">
        <v>28285</v>
      </c>
      <c r="V4676" t="s">
        <v>28286</v>
      </c>
    </row>
    <row r="4677">
      <c r="A4677" t="s">
        <v>23557</v>
      </c>
      <c r="B4677" t="s">
        <v>28287</v>
      </c>
      <c r="C4677" t="s">
        <v>60</v>
      </c>
      <c r="D4677" t="s">
        <v>61</v>
      </c>
      <c r="E4677" t="s">
        <v>28288</v>
      </c>
      <c r="F4677" s="2" t="n">
        <f>HYPERLINK("https://patents.google.com/patent/US11020349","Google")</f>
        <v>0.0</v>
      </c>
      <c r="G4677" s="2" t="n">
        <f>HYPERLINK("https://patentcenter.uspto.gov/applications/16929005","Patent Center")</f>
        <v>0.0</v>
      </c>
      <c r="H4677" s="2" t="n">
        <f>HYPERLINK("https://worldwide.espacenet.com/patent/search?q=US11020349","Espacenet")</f>
        <v>0.0</v>
      </c>
      <c r="I4677" s="2" t="n">
        <f>HYPERLINK("https://ppubs.uspto.gov/pubwebapp/external.html?q=11020349.pn.","USPTO")</f>
        <v>0.0</v>
      </c>
      <c r="J4677" s="2" t="n">
        <f>HYPERLINK("https://image-ppubs.uspto.gov/dirsearch-public/print/downloadPdf/11020349","USPTO PDF")</f>
        <v>0.0</v>
      </c>
      <c r="K4677" s="2" t="n">
        <f>HYPERLINK("https://sectors.patentforecast.com/pmd/US11020349","PMD")</f>
        <v>0.0</v>
      </c>
      <c r="L4677" s="2" t="n">
        <f>HYPERLINK("https://globaldossier.uspto.gov/result/patent/US/11020349/1","US11020349")</f>
        <v>0.0</v>
      </c>
      <c r="M4677" t="s">
        <v>28289</v>
      </c>
      <c r="N4677" t="s">
        <v>9476</v>
      </c>
      <c r="O4677" t="s">
        <v>9477</v>
      </c>
      <c r="P4677" t="s">
        <v>28290</v>
      </c>
      <c r="Q4677" s="3" t="n">
        <v>44026.0</v>
      </c>
      <c r="R4677" s="3" t="n">
        <v>44348.0</v>
      </c>
      <c r="S4677" s="3" t="n">
        <v>44348.229908217596</v>
      </c>
      <c r="T4677" s="3" t="n">
        <v>44349.357603020835</v>
      </c>
      <c r="U4677" t="s">
        <v>28291</v>
      </c>
      <c r="V4677" t="s">
        <v>28292</v>
      </c>
    </row>
    <row r="4678">
      <c r="A4678" t="s">
        <v>23557</v>
      </c>
      <c r="B4678" t="s">
        <v>28293</v>
      </c>
      <c r="C4678" t="s">
        <v>24</v>
      </c>
      <c r="D4678" t="s">
        <v>69</v>
      </c>
      <c r="E4678" t="s">
        <v>28294</v>
      </c>
      <c r="F4678" s="2" t="n">
        <f>HYPERLINK("https://patents.google.com/patent/US11019859","Google")</f>
        <v>0.0</v>
      </c>
      <c r="G4678" s="2" t="n">
        <f>HYPERLINK("https://patentcenter.uspto.gov/applications/16994649","Patent Center")</f>
        <v>0.0</v>
      </c>
      <c r="H4678" s="2" t="n">
        <f>HYPERLINK("https://worldwide.espacenet.com/patent/search?q=US11019859","Espacenet")</f>
        <v>0.0</v>
      </c>
      <c r="I4678" s="2" t="n">
        <f>HYPERLINK("https://ppubs.uspto.gov/pubwebapp/external.html?q=11019859.pn.","USPTO")</f>
        <v>0.0</v>
      </c>
      <c r="J4678" s="2" t="n">
        <f>HYPERLINK("https://image-ppubs.uspto.gov/dirsearch-public/print/downloadPdf/11019859","USPTO PDF")</f>
        <v>0.0</v>
      </c>
      <c r="K4678" s="2" t="n">
        <f>HYPERLINK("https://sectors.patentforecast.com/pmd/US11019859","PMD")</f>
        <v>0.0</v>
      </c>
      <c r="L4678" s="2" t="n">
        <f>HYPERLINK("https://globaldossier.uspto.gov/result/patent/US/11019859/1","US11019859")</f>
        <v>0.0</v>
      </c>
      <c r="M4678" t="s">
        <v>28295</v>
      </c>
      <c r="N4678" t="s">
        <v>28296</v>
      </c>
      <c r="O4678" t="s">
        <v>28297</v>
      </c>
      <c r="P4678" t="s">
        <v>28298</v>
      </c>
      <c r="Q4678" s="3" t="n">
        <v>44059.0</v>
      </c>
      <c r="R4678" s="3" t="n">
        <v>44348.0</v>
      </c>
      <c r="S4678" s="3" t="n">
        <v>44348.229908217596</v>
      </c>
      <c r="T4678" s="3" t="n">
        <v>44349.35604086806</v>
      </c>
      <c r="U4678" t="s">
        <v>28299</v>
      </c>
      <c r="V4678" t="s">
        <v>28300</v>
      </c>
    </row>
    <row r="4679">
      <c r="A4679" t="s">
        <v>23557</v>
      </c>
      <c r="B4679" t="s">
        <v>28301</v>
      </c>
      <c r="C4679" t="s">
        <v>24</v>
      </c>
      <c r="D4679" t="s">
        <v>100</v>
      </c>
      <c r="E4679" t="s">
        <v>28302</v>
      </c>
      <c r="F4679" s="2" t="n">
        <f>HYPERLINK("https://patents.google.com/patent/US11014025","Google")</f>
        <v>0.0</v>
      </c>
      <c r="G4679" s="2" t="n">
        <f>HYPERLINK("https://patentcenter.uspto.gov/applications/16830056","Patent Center")</f>
        <v>0.0</v>
      </c>
      <c r="H4679" s="2" t="n">
        <f>HYPERLINK("https://worldwide.espacenet.com/patent/search?q=US11014025","Espacenet")</f>
        <v>0.0</v>
      </c>
      <c r="I4679" s="2" t="n">
        <f>HYPERLINK("https://ppubs.uspto.gov/pubwebapp/external.html?q=11014025.pn.","USPTO")</f>
        <v>0.0</v>
      </c>
      <c r="J4679" s="2" t="n">
        <f>HYPERLINK("https://image-ppubs.uspto.gov/dirsearch-public/print/downloadPdf/11014025","USPTO PDF")</f>
        <v>0.0</v>
      </c>
      <c r="K4679" s="2" t="n">
        <f>HYPERLINK("https://sectors.patentforecast.com/pmd/US11014025","PMD")</f>
        <v>0.0</v>
      </c>
      <c r="L4679" s="2" t="n">
        <f>HYPERLINK("https://globaldossier.uspto.gov/result/patent/US/11014025/1","US11014025")</f>
        <v>0.0</v>
      </c>
      <c r="M4679" t="s">
        <v>28303</v>
      </c>
      <c r="N4679" t="s">
        <v>28304</v>
      </c>
      <c r="O4679" t="s">
        <v>28305</v>
      </c>
      <c r="P4679" t="s">
        <v>28306</v>
      </c>
      <c r="Q4679" s="3" t="n">
        <v>43915.0</v>
      </c>
      <c r="R4679" s="3" t="n">
        <v>44341.0</v>
      </c>
      <c r="S4679" s="3" t="n">
        <v>44341.2297912037</v>
      </c>
      <c r="T4679" s="3" t="n">
        <v>44341.70411284722</v>
      </c>
      <c r="U4679" t="s">
        <v>28307</v>
      </c>
      <c r="V4679" t="s">
        <v>28308</v>
      </c>
    </row>
    <row r="4680">
      <c r="A4680" t="s">
        <v>23557</v>
      </c>
      <c r="B4680" t="s">
        <v>28309</v>
      </c>
      <c r="C4680" t="s">
        <v>24</v>
      </c>
      <c r="D4680" t="s">
        <v>69</v>
      </c>
      <c r="E4680" t="s">
        <v>28310</v>
      </c>
      <c r="F4680" s="2" t="n">
        <f>HYPERLINK("https://patents.google.com/patent/US11013822","Google")</f>
        <v>0.0</v>
      </c>
      <c r="G4680" s="2" t="n">
        <f>HYPERLINK("https://patentcenter.uspto.gov/applications/15930062","Patent Center")</f>
        <v>0.0</v>
      </c>
      <c r="H4680" s="2" t="n">
        <f>HYPERLINK("https://worldwide.espacenet.com/patent/search?q=US11013822","Espacenet")</f>
        <v>0.0</v>
      </c>
      <c r="I4680" s="2" t="n">
        <f>HYPERLINK("https://ppubs.uspto.gov/pubwebapp/external.html?q=11013822.pn.","USPTO")</f>
        <v>0.0</v>
      </c>
      <c r="J4680" s="2" t="n">
        <f>HYPERLINK("https://image-ppubs.uspto.gov/dirsearch-public/print/downloadPdf/11013822","USPTO PDF")</f>
        <v>0.0</v>
      </c>
      <c r="K4680" s="2" t="n">
        <f>HYPERLINK("https://sectors.patentforecast.com/pmd/US11013822","PMD")</f>
        <v>0.0</v>
      </c>
      <c r="L4680" s="2" t="n">
        <f>HYPERLINK("https://globaldossier.uspto.gov/result/patent/US/11013822/1","US11013822")</f>
        <v>0.0</v>
      </c>
      <c r="M4680" t="s">
        <v>28311</v>
      </c>
      <c r="N4680" t="s">
        <v>28312</v>
      </c>
      <c r="O4680" t="s">
        <v>28313</v>
      </c>
      <c r="P4680" t="s">
        <v>28314</v>
      </c>
      <c r="Q4680" s="3" t="n">
        <v>43963.0</v>
      </c>
      <c r="R4680" s="3" t="n">
        <v>44341.0</v>
      </c>
      <c r="S4680" s="3" t="n">
        <v>44341.23638446759</v>
      </c>
      <c r="T4680" s="3" t="n">
        <v>44341.70432740741</v>
      </c>
      <c r="U4680" t="s">
        <v>28315</v>
      </c>
      <c r="V4680" t="s">
        <v>28316</v>
      </c>
    </row>
    <row r="4681">
      <c r="A4681" t="s">
        <v>23557</v>
      </c>
      <c r="B4681" t="s">
        <v>28317</v>
      </c>
      <c r="C4681" t="s">
        <v>132</v>
      </c>
      <c r="D4681" t="s">
        <v>1265</v>
      </c>
      <c r="E4681" t="s">
        <v>28318</v>
      </c>
      <c r="F4681" s="2" t="n">
        <f>HYPERLINK("https://patents.google.com/patent/US11013795","Google")</f>
        <v>0.0</v>
      </c>
      <c r="G4681" s="2" t="n">
        <f>HYPERLINK("https://patentcenter.uspto.gov/applications/15739222","Patent Center")</f>
        <v>0.0</v>
      </c>
      <c r="H4681" s="2" t="n">
        <f>HYPERLINK("https://worldwide.espacenet.com/patent/search?q=US11013795","Espacenet")</f>
        <v>0.0</v>
      </c>
      <c r="I4681" s="2" t="n">
        <f>HYPERLINK("https://ppubs.uspto.gov/pubwebapp/external.html?q=11013795.pn.","USPTO")</f>
        <v>0.0</v>
      </c>
      <c r="J4681" s="2" t="n">
        <f>HYPERLINK("https://image-ppubs.uspto.gov/dirsearch-public/print/downloadPdf/11013795","USPTO PDF")</f>
        <v>0.0</v>
      </c>
      <c r="K4681" s="2" t="n">
        <f>HYPERLINK("https://sectors.patentforecast.com/pmd/US11013795","PMD")</f>
        <v>0.0</v>
      </c>
      <c r="L4681" s="2" t="n">
        <f>HYPERLINK("https://globaldossier.uspto.gov/result/patent/US/11013795/1","US11013795")</f>
        <v>0.0</v>
      </c>
      <c r="M4681" t="s">
        <v>18403</v>
      </c>
      <c r="N4681" t="s">
        <v>14996</v>
      </c>
      <c r="O4681" t="s">
        <v>14997</v>
      </c>
      <c r="P4681" t="s">
        <v>28319</v>
      </c>
      <c r="Q4681" s="3" t="n">
        <v>42545.0</v>
      </c>
      <c r="R4681" s="3" t="n">
        <v>44341.0</v>
      </c>
      <c r="S4681" s="3" t="n">
        <v>44341.23268097222</v>
      </c>
      <c r="T4681" s="3" t="n">
        <v>44341.70567091435</v>
      </c>
      <c r="U4681" t="s">
        <v>28320</v>
      </c>
      <c r="V4681" t="s">
        <v>28321</v>
      </c>
    </row>
    <row r="4682">
      <c r="A4682" t="s">
        <v>23557</v>
      </c>
      <c r="B4682" t="s">
        <v>28322</v>
      </c>
      <c r="C4682" t="s">
        <v>60</v>
      </c>
      <c r="D4682" t="s">
        <v>61</v>
      </c>
      <c r="E4682" t="s">
        <v>28323</v>
      </c>
      <c r="F4682" s="2" t="n">
        <f>HYPERLINK("https://patents.google.com/patent/US11013779","Google")</f>
        <v>0.0</v>
      </c>
      <c r="G4682" s="2" t="n">
        <f>HYPERLINK("https://patentcenter.uspto.gov/applications/16311108","Patent Center")</f>
        <v>0.0</v>
      </c>
      <c r="H4682" s="2" t="n">
        <f>HYPERLINK("https://worldwide.espacenet.com/patent/search?q=US11013779","Espacenet")</f>
        <v>0.0</v>
      </c>
      <c r="I4682" s="2" t="n">
        <f>HYPERLINK("https://ppubs.uspto.gov/pubwebapp/external.html?q=11013779.pn.","USPTO")</f>
        <v>0.0</v>
      </c>
      <c r="J4682" s="2" t="n">
        <f>HYPERLINK("https://image-ppubs.uspto.gov/dirsearch-public/print/downloadPdf/11013779","USPTO PDF")</f>
        <v>0.0</v>
      </c>
      <c r="K4682" s="2" t="n">
        <f>HYPERLINK("https://sectors.patentforecast.com/pmd/US11013779","PMD")</f>
        <v>0.0</v>
      </c>
      <c r="L4682" s="2" t="n">
        <f>HYPERLINK("https://globaldossier.uspto.gov/result/patent/US/11013779/1","US11013779")</f>
        <v>0.0</v>
      </c>
      <c r="M4682" t="s">
        <v>16619</v>
      </c>
      <c r="N4682" t="s">
        <v>16620</v>
      </c>
      <c r="O4682" t="s">
        <v>16620</v>
      </c>
      <c r="P4682" t="s">
        <v>28324</v>
      </c>
      <c r="Q4682" s="3" t="n">
        <v>42902.0</v>
      </c>
      <c r="R4682" s="3" t="n">
        <v>44341.0</v>
      </c>
      <c r="S4682" s="3" t="n">
        <v>44341.23094465278</v>
      </c>
      <c r="T4682" s="3" t="n">
        <v>44341.71022446759</v>
      </c>
      <c r="U4682" t="s">
        <v>28325</v>
      </c>
      <c r="V4682" t="s">
        <v>16623</v>
      </c>
    </row>
    <row r="4683">
      <c r="A4683" t="s">
        <v>23557</v>
      </c>
      <c r="B4683" t="s">
        <v>28326</v>
      </c>
      <c r="C4683" t="s">
        <v>60</v>
      </c>
      <c r="D4683" t="s">
        <v>61</v>
      </c>
      <c r="E4683" t="s">
        <v>28327</v>
      </c>
      <c r="F4683" s="2" t="n">
        <f>HYPERLINK("https://patents.google.com/patent/US11013688","Google")</f>
        <v>0.0</v>
      </c>
      <c r="G4683" s="2" t="n">
        <f>HYPERLINK("https://patentcenter.uspto.gov/applications/16930340","Patent Center")</f>
        <v>0.0</v>
      </c>
      <c r="H4683" s="2" t="n">
        <f>HYPERLINK("https://worldwide.espacenet.com/patent/search?q=US11013688","Espacenet")</f>
        <v>0.0</v>
      </c>
      <c r="I4683" s="2" t="n">
        <f>HYPERLINK("https://ppubs.uspto.gov/pubwebapp/external.html?q=11013688.pn.","USPTO")</f>
        <v>0.0</v>
      </c>
      <c r="J4683" s="2" t="n">
        <f>HYPERLINK("https://image-ppubs.uspto.gov/dirsearch-public/print/downloadPdf/11013688","USPTO PDF")</f>
        <v>0.0</v>
      </c>
      <c r="K4683" s="2" t="n">
        <f>HYPERLINK("https://sectors.patentforecast.com/pmd/US11013688","PMD")</f>
        <v>0.0</v>
      </c>
      <c r="L4683" s="2" t="n">
        <f>HYPERLINK("https://globaldossier.uspto.gov/result/patent/US/11013688/1","US11013688")</f>
        <v>0.0</v>
      </c>
      <c r="M4683" t="s">
        <v>28328</v>
      </c>
      <c r="N4683" t="s">
        <v>13087</v>
      </c>
      <c r="O4683" t="s">
        <v>13088</v>
      </c>
      <c r="P4683" t="s">
        <v>28329</v>
      </c>
      <c r="Q4683" s="3" t="n">
        <v>44028.0</v>
      </c>
      <c r="R4683" s="3" t="n">
        <v>44341.0</v>
      </c>
      <c r="S4683" s="3" t="n">
        <v>44341.2297912037</v>
      </c>
      <c r="T4683" s="3" t="n">
        <v>44341.70372704861</v>
      </c>
      <c r="U4683" t="s">
        <v>28330</v>
      </c>
      <c r="V4683" t="s">
        <v>28331</v>
      </c>
    </row>
    <row r="4684">
      <c r="A4684" t="s">
        <v>23557</v>
      </c>
      <c r="B4684" t="s">
        <v>28332</v>
      </c>
      <c r="C4684" t="s">
        <v>60</v>
      </c>
      <c r="D4684" t="s">
        <v>61</v>
      </c>
      <c r="E4684" t="s">
        <v>28333</v>
      </c>
      <c r="F4684" s="2" t="n">
        <f>HYPERLINK("https://patents.google.com/patent/US11013687","Google")</f>
        <v>0.0</v>
      </c>
      <c r="G4684" s="2" t="n">
        <f>HYPERLINK("https://patentcenter.uspto.gov/applications/16900488","Patent Center")</f>
        <v>0.0</v>
      </c>
      <c r="H4684" s="2" t="n">
        <f>HYPERLINK("https://worldwide.espacenet.com/patent/search?q=US11013687","Espacenet")</f>
        <v>0.0</v>
      </c>
      <c r="I4684" s="2" t="n">
        <f>HYPERLINK("https://ppubs.uspto.gov/pubwebapp/external.html?q=11013687.pn.","USPTO")</f>
        <v>0.0</v>
      </c>
      <c r="J4684" s="2" t="n">
        <f>HYPERLINK("https://image-ppubs.uspto.gov/dirsearch-public/print/downloadPdf/11013687","USPTO PDF")</f>
        <v>0.0</v>
      </c>
      <c r="K4684" s="2" t="n">
        <f>HYPERLINK("https://sectors.patentforecast.com/pmd/US11013687","PMD")</f>
        <v>0.0</v>
      </c>
      <c r="L4684" s="2" t="n">
        <f>HYPERLINK("https://globaldossier.uspto.gov/result/patent/US/11013687/1","US11013687")</f>
        <v>0.0</v>
      </c>
      <c r="M4684" t="s">
        <v>28334</v>
      </c>
      <c r="N4684" t="s">
        <v>3045</v>
      </c>
      <c r="O4684" t="s">
        <v>3046</v>
      </c>
      <c r="P4684" t="s">
        <v>28335</v>
      </c>
      <c r="Q4684" s="3" t="n">
        <v>43994.0</v>
      </c>
      <c r="R4684" s="3" t="n">
        <v>44341.0</v>
      </c>
      <c r="S4684" s="3" t="n">
        <v>44341.2297912037</v>
      </c>
      <c r="T4684" s="3" t="n">
        <v>44341.702303032405</v>
      </c>
      <c r="U4684" t="s">
        <v>28336</v>
      </c>
      <c r="V4684" t="s">
        <v>8867</v>
      </c>
    </row>
    <row r="4685">
      <c r="A4685" t="s">
        <v>23557</v>
      </c>
      <c r="B4685" t="s">
        <v>28337</v>
      </c>
      <c r="C4685" t="s">
        <v>24</v>
      </c>
      <c r="D4685" t="s">
        <v>3193</v>
      </c>
      <c r="E4685" t="s">
        <v>28338</v>
      </c>
      <c r="F4685" s="2" t="n">
        <f>HYPERLINK("https://patents.google.com/patent/US11013472","Google")</f>
        <v>0.0</v>
      </c>
      <c r="G4685" s="2" t="n">
        <f>HYPERLINK("https://patentcenter.uspto.gov/applications/17130639","Patent Center")</f>
        <v>0.0</v>
      </c>
      <c r="H4685" s="2" t="n">
        <f>HYPERLINK("https://worldwide.espacenet.com/patent/search?q=US11013472","Espacenet")</f>
        <v>0.0</v>
      </c>
      <c r="I4685" s="2" t="n">
        <f>HYPERLINK("https://ppubs.uspto.gov/pubwebapp/external.html?q=11013472.pn.","USPTO")</f>
        <v>0.0</v>
      </c>
      <c r="J4685" s="2" t="n">
        <f>HYPERLINK("https://image-ppubs.uspto.gov/dirsearch-public/print/downloadPdf/11013472","USPTO PDF")</f>
        <v>0.0</v>
      </c>
      <c r="K4685" s="2" t="n">
        <f>HYPERLINK("https://sectors.patentforecast.com/pmd/US11013472","PMD")</f>
        <v>0.0</v>
      </c>
      <c r="L4685" s="2" t="n">
        <f>HYPERLINK("https://globaldossier.uspto.gov/result/patent/US/11013472/1","US11013472")</f>
        <v>0.0</v>
      </c>
      <c r="M4685" t="s">
        <v>28339</v>
      </c>
      <c r="N4685" t="s">
        <v>14505</v>
      </c>
      <c r="O4685" t="s">
        <v>14506</v>
      </c>
      <c r="P4685" t="s">
        <v>28340</v>
      </c>
      <c r="Q4685" s="3" t="n">
        <v>44187.0</v>
      </c>
      <c r="R4685" s="3" t="n">
        <v>44341.0</v>
      </c>
      <c r="S4685" s="3" t="n">
        <v>44341.2297912037</v>
      </c>
      <c r="T4685" s="3" t="n">
        <v>44341.70270252315</v>
      </c>
      <c r="U4685" t="s">
        <v>28341</v>
      </c>
      <c r="V4685" t="s">
        <v>14509</v>
      </c>
    </row>
    <row r="4686">
      <c r="A4686" t="s">
        <v>23557</v>
      </c>
      <c r="B4686" t="s">
        <v>28342</v>
      </c>
      <c r="C4686" t="s">
        <v>24</v>
      </c>
      <c r="D4686" t="s">
        <v>69</v>
      </c>
      <c r="E4686" t="s">
        <v>28343</v>
      </c>
      <c r="F4686" s="2" t="n">
        <f>HYPERLINK("https://patents.google.com/patent/US11013277","Google")</f>
        <v>0.0</v>
      </c>
      <c r="G4686" s="2" t="n">
        <f>HYPERLINK("https://patentcenter.uspto.gov/applications/17086707","Patent Center")</f>
        <v>0.0</v>
      </c>
      <c r="H4686" s="2" t="n">
        <f>HYPERLINK("https://worldwide.espacenet.com/patent/search?q=US11013277","Espacenet")</f>
        <v>0.0</v>
      </c>
      <c r="I4686" s="2" t="n">
        <f>HYPERLINK("https://ppubs.uspto.gov/pubwebapp/external.html?q=11013277.pn.","USPTO")</f>
        <v>0.0</v>
      </c>
      <c r="J4686" s="2" t="n">
        <f>HYPERLINK("https://image-ppubs.uspto.gov/dirsearch-public/print/downloadPdf/11013277","USPTO PDF")</f>
        <v>0.0</v>
      </c>
      <c r="K4686" s="2" t="n">
        <f>HYPERLINK("https://sectors.patentforecast.com/pmd/US11013277","PMD")</f>
        <v>0.0</v>
      </c>
      <c r="L4686" s="2" t="n">
        <f>HYPERLINK("https://globaldossier.uspto.gov/result/patent/US/11013277/1","US11013277")</f>
        <v>0.0</v>
      </c>
      <c r="M4686" t="s">
        <v>28344</v>
      </c>
      <c r="N4686" t="s">
        <v>28345</v>
      </c>
      <c r="O4686" t="s">
        <v>28345</v>
      </c>
      <c r="P4686" t="s">
        <v>28346</v>
      </c>
      <c r="Q4686" s="3" t="n">
        <v>44137.0</v>
      </c>
      <c r="R4686" s="3" t="n">
        <v>44341.0</v>
      </c>
      <c r="S4686" s="3" t="n">
        <v>44341.2297912037</v>
      </c>
      <c r="T4686" s="3" t="n">
        <v>44341.703041030094</v>
      </c>
      <c r="U4686" t="s">
        <v>28347</v>
      </c>
      <c r="V4686" t="s">
        <v>28348</v>
      </c>
    </row>
    <row r="4687">
      <c r="A4687" t="s">
        <v>23557</v>
      </c>
      <c r="B4687" t="s">
        <v>28349</v>
      </c>
      <c r="C4687" t="s">
        <v>24</v>
      </c>
      <c r="D4687" t="s">
        <v>25</v>
      </c>
      <c r="E4687" t="s">
        <v>28350</v>
      </c>
      <c r="F4687" s="2" t="n">
        <f>HYPERLINK("https://patents.google.com/patent/US11011278","Google")</f>
        <v>0.0</v>
      </c>
      <c r="G4687" s="2" t="n">
        <f>HYPERLINK("https://patentcenter.uspto.gov/applications/17026643","Patent Center")</f>
        <v>0.0</v>
      </c>
      <c r="H4687" s="2" t="n">
        <f>HYPERLINK("https://worldwide.espacenet.com/patent/search?q=US11011278","Espacenet")</f>
        <v>0.0</v>
      </c>
      <c r="I4687" s="2" t="n">
        <f>HYPERLINK("https://ppubs.uspto.gov/pubwebapp/external.html?q=11011278.pn.","USPTO")</f>
        <v>0.0</v>
      </c>
      <c r="J4687" s="2" t="n">
        <f>HYPERLINK("https://image-ppubs.uspto.gov/dirsearch-public/print/downloadPdf/11011278","USPTO PDF")</f>
        <v>0.0</v>
      </c>
      <c r="K4687" s="2" t="n">
        <f>HYPERLINK("https://sectors.patentforecast.com/pmd/US11011278","PMD")</f>
        <v>0.0</v>
      </c>
      <c r="L4687" s="2" t="n">
        <f>HYPERLINK("https://globaldossier.uspto.gov/result/patent/US/11011278/1","US11011278")</f>
        <v>0.0</v>
      </c>
      <c r="M4687" t="s">
        <v>28351</v>
      </c>
      <c r="N4687" t="s">
        <v>28352</v>
      </c>
      <c r="O4687" t="s">
        <v>28353</v>
      </c>
      <c r="P4687" t="s">
        <v>28354</v>
      </c>
      <c r="Q4687" s="3" t="n">
        <v>44095.0</v>
      </c>
      <c r="R4687" s="3" t="n">
        <v>44334.0</v>
      </c>
      <c r="S4687" s="3" t="n">
        <v>44334.229702453704</v>
      </c>
      <c r="T4687" s="3" t="n">
        <v>44334.578134247684</v>
      </c>
      <c r="U4687" t="s">
        <v>28355</v>
      </c>
      <c r="V4687" t="s">
        <v>28356</v>
      </c>
    </row>
    <row r="4688">
      <c r="A4688" t="s">
        <v>23557</v>
      </c>
      <c r="B4688" t="s">
        <v>28357</v>
      </c>
      <c r="C4688" t="s">
        <v>312</v>
      </c>
      <c r="D4688" t="s">
        <v>3202</v>
      </c>
      <c r="E4688" t="s">
        <v>28358</v>
      </c>
      <c r="F4688" s="2" t="n">
        <f>HYPERLINK("https://patents.google.com/patent/US11011277","Google")</f>
        <v>0.0</v>
      </c>
      <c r="G4688" s="2" t="n">
        <f>HYPERLINK("https://patentcenter.uspto.gov/applications/16890909","Patent Center")</f>
        <v>0.0</v>
      </c>
      <c r="H4688" s="2" t="n">
        <f>HYPERLINK("https://worldwide.espacenet.com/patent/search?q=US11011277","Espacenet")</f>
        <v>0.0</v>
      </c>
      <c r="I4688" s="2" t="n">
        <f>HYPERLINK("https://ppubs.uspto.gov/pubwebapp/external.html?q=11011277.pn.","USPTO")</f>
        <v>0.0</v>
      </c>
      <c r="J4688" s="2" t="n">
        <f>HYPERLINK("https://image-ppubs.uspto.gov/dirsearch-public/print/downloadPdf/11011277","USPTO PDF")</f>
        <v>0.0</v>
      </c>
      <c r="K4688" s="2" t="n">
        <f>HYPERLINK("https://sectors.patentforecast.com/pmd/US11011277","PMD")</f>
        <v>0.0</v>
      </c>
      <c r="L4688" s="2" t="n">
        <f>HYPERLINK("https://globaldossier.uspto.gov/result/patent/US/11011277/1","US11011277")</f>
        <v>0.0</v>
      </c>
      <c r="M4688" t="s">
        <v>28359</v>
      </c>
      <c r="N4688" t="s">
        <v>9187</v>
      </c>
      <c r="O4688" t="s">
        <v>9188</v>
      </c>
      <c r="P4688" t="s">
        <v>28360</v>
      </c>
      <c r="Q4688" s="3" t="n">
        <v>43984.0</v>
      </c>
      <c r="R4688" s="3" t="n">
        <v>44334.0</v>
      </c>
      <c r="S4688" s="3" t="n">
        <v>44334.229702453704</v>
      </c>
      <c r="T4688" s="3" t="n">
        <v>44334.569280069445</v>
      </c>
      <c r="U4688" t="s">
        <v>28361</v>
      </c>
      <c r="V4688" t="s">
        <v>9191</v>
      </c>
    </row>
    <row r="4689">
      <c r="A4689" t="s">
        <v>23557</v>
      </c>
      <c r="B4689" t="s">
        <v>28362</v>
      </c>
      <c r="C4689" t="s">
        <v>312</v>
      </c>
      <c r="D4689" t="s">
        <v>3202</v>
      </c>
      <c r="E4689" t="s">
        <v>26791</v>
      </c>
      <c r="F4689" s="2" t="n">
        <f>HYPERLINK("https://patents.google.com/patent/US11011003","Google")</f>
        <v>0.0</v>
      </c>
      <c r="G4689" s="2" t="n">
        <f>HYPERLINK("https://patentcenter.uspto.gov/applications/17112386","Patent Center")</f>
        <v>0.0</v>
      </c>
      <c r="H4689" s="2" t="n">
        <f>HYPERLINK("https://worldwide.espacenet.com/patent/search?q=US11011003","Espacenet")</f>
        <v>0.0</v>
      </c>
      <c r="I4689" s="2" t="n">
        <f>HYPERLINK("https://ppubs.uspto.gov/pubwebapp/external.html?q=11011003.pn.","USPTO")</f>
        <v>0.0</v>
      </c>
      <c r="J4689" s="2" t="n">
        <f>HYPERLINK("https://image-ppubs.uspto.gov/dirsearch-public/print/downloadPdf/11011003","USPTO PDF")</f>
        <v>0.0</v>
      </c>
      <c r="K4689" s="2" t="n">
        <f>HYPERLINK("https://sectors.patentforecast.com/pmd/US11011003","PMD")</f>
        <v>0.0</v>
      </c>
      <c r="L4689" s="2" t="n">
        <f>HYPERLINK("https://globaldossier.uspto.gov/result/patent/US/11011003/1","US11011003")</f>
        <v>0.0</v>
      </c>
      <c r="M4689" t="s">
        <v>28363</v>
      </c>
      <c r="N4689" t="s">
        <v>10328</v>
      </c>
      <c r="O4689" t="s">
        <v>10329</v>
      </c>
      <c r="P4689" t="s">
        <v>28364</v>
      </c>
      <c r="Q4689" s="3" t="n">
        <v>44169.0</v>
      </c>
      <c r="R4689" s="3" t="n">
        <v>44334.0</v>
      </c>
      <c r="S4689" s="3" t="n">
        <v>44334.229702453704</v>
      </c>
      <c r="T4689" s="3" t="n">
        <v>44334.5795246875</v>
      </c>
      <c r="U4689" t="s">
        <v>28365</v>
      </c>
      <c r="V4689" t="s">
        <v>28366</v>
      </c>
    </row>
    <row r="4690">
      <c r="A4690" t="s">
        <v>23557</v>
      </c>
      <c r="B4690" t="s">
        <v>28367</v>
      </c>
      <c r="C4690" t="s">
        <v>24</v>
      </c>
      <c r="D4690" t="s">
        <v>25</v>
      </c>
      <c r="E4690" t="s">
        <v>28368</v>
      </c>
      <c r="F4690" s="2" t="n">
        <f>HYPERLINK("https://patents.google.com/patent/US11009482","Google")</f>
        <v>0.0</v>
      </c>
      <c r="G4690" s="2" t="n">
        <f>HYPERLINK("https://patentcenter.uspto.gov/applications/17080517","Patent Center")</f>
        <v>0.0</v>
      </c>
      <c r="H4690" s="2" t="n">
        <f>HYPERLINK("https://worldwide.espacenet.com/patent/search?q=US11009482","Espacenet")</f>
        <v>0.0</v>
      </c>
      <c r="I4690" s="2" t="n">
        <f>HYPERLINK("https://ppubs.uspto.gov/pubwebapp/external.html?q=11009482.pn.","USPTO")</f>
        <v>0.0</v>
      </c>
      <c r="J4690" s="2" t="n">
        <f>HYPERLINK("https://image-ppubs.uspto.gov/dirsearch-public/print/downloadPdf/11009482","USPTO PDF")</f>
        <v>0.0</v>
      </c>
      <c r="K4690" s="2" t="n">
        <f>HYPERLINK("https://sectors.patentforecast.com/pmd/US11009482","PMD")</f>
        <v>0.0</v>
      </c>
      <c r="L4690" s="2" t="n">
        <f>HYPERLINK("https://globaldossier.uspto.gov/result/patent/US/11009482/1","US11009482")</f>
        <v>0.0</v>
      </c>
      <c r="M4690" t="s">
        <v>15348</v>
      </c>
      <c r="N4690" t="s">
        <v>54</v>
      </c>
      <c r="O4690" t="s">
        <v>55</v>
      </c>
      <c r="P4690" t="s">
        <v>28369</v>
      </c>
      <c r="Q4690" s="3" t="n">
        <v>44130.0</v>
      </c>
      <c r="R4690" s="3" t="n">
        <v>44334.0</v>
      </c>
      <c r="S4690" s="3" t="n">
        <v>44334.229702453704</v>
      </c>
      <c r="T4690" s="3" t="n">
        <v>44334.55740585648</v>
      </c>
      <c r="U4690" t="s">
        <v>28370</v>
      </c>
      <c r="V4690" t="s">
        <v>14381</v>
      </c>
    </row>
    <row r="4691">
      <c r="A4691" t="s">
        <v>23557</v>
      </c>
      <c r="B4691" t="s">
        <v>28371</v>
      </c>
      <c r="C4691" t="s">
        <v>24</v>
      </c>
      <c r="D4691" t="s">
        <v>34</v>
      </c>
      <c r="E4691" t="s">
        <v>27471</v>
      </c>
      <c r="F4691" s="2" t="n">
        <f>HYPERLINK("https://patents.google.com/patent/US11008629","Google")</f>
        <v>0.0</v>
      </c>
      <c r="G4691" s="2" t="n">
        <f>HYPERLINK("https://patentcenter.uspto.gov/applications/17122979","Patent Center")</f>
        <v>0.0</v>
      </c>
      <c r="H4691" s="2" t="n">
        <f>HYPERLINK("https://worldwide.espacenet.com/patent/search?q=US11008629","Espacenet")</f>
        <v>0.0</v>
      </c>
      <c r="I4691" s="2" t="n">
        <f>HYPERLINK("https://ppubs.uspto.gov/pubwebapp/external.html?q=11008629.pn.","USPTO")</f>
        <v>0.0</v>
      </c>
      <c r="J4691" s="2" t="n">
        <f>HYPERLINK("https://image-ppubs.uspto.gov/dirsearch-public/print/downloadPdf/11008629","USPTO PDF")</f>
        <v>0.0</v>
      </c>
      <c r="K4691" s="2" t="n">
        <f>HYPERLINK("https://sectors.patentforecast.com/pmd/US11008629","PMD")</f>
        <v>0.0</v>
      </c>
      <c r="L4691" s="2" t="n">
        <f>HYPERLINK("https://globaldossier.uspto.gov/result/patent/US/11008629/1","US11008629")</f>
        <v>0.0</v>
      </c>
      <c r="M4691" t="s">
        <v>28372</v>
      </c>
      <c r="N4691" t="s">
        <v>14065</v>
      </c>
      <c r="O4691" t="s">
        <v>14066</v>
      </c>
      <c r="P4691" t="s">
        <v>28373</v>
      </c>
      <c r="Q4691" s="3" t="n">
        <v>44180.0</v>
      </c>
      <c r="R4691" s="3" t="n">
        <v>44334.0</v>
      </c>
      <c r="S4691" s="3" t="n">
        <v>44334.229702453704</v>
      </c>
      <c r="T4691" s="3" t="n">
        <v>44334.57966363426</v>
      </c>
      <c r="U4691" t="s">
        <v>28374</v>
      </c>
      <c r="V4691" t="s">
        <v>14072</v>
      </c>
    </row>
    <row r="4692">
      <c r="A4692" t="s">
        <v>23557</v>
      </c>
      <c r="B4692" t="s">
        <v>28375</v>
      </c>
      <c r="C4692" t="s">
        <v>60</v>
      </c>
      <c r="D4692" t="s">
        <v>715</v>
      </c>
      <c r="E4692" t="s">
        <v>28376</v>
      </c>
      <c r="F4692" s="2" t="n">
        <f>HYPERLINK("https://patents.google.com/patent/US11007342","Google")</f>
        <v>0.0</v>
      </c>
      <c r="G4692" s="2" t="n">
        <f>HYPERLINK("https://patentcenter.uspto.gov/applications/16888564","Patent Center")</f>
        <v>0.0</v>
      </c>
      <c r="H4692" s="2" t="n">
        <f>HYPERLINK("https://worldwide.espacenet.com/patent/search?q=US11007342","Espacenet")</f>
        <v>0.0</v>
      </c>
      <c r="I4692" s="2" t="n">
        <f>HYPERLINK("https://ppubs.uspto.gov/pubwebapp/external.html?q=11007342.pn.","USPTO")</f>
        <v>0.0</v>
      </c>
      <c r="J4692" s="2" t="n">
        <f>HYPERLINK("https://image-ppubs.uspto.gov/dirsearch-public/print/downloadPdf/11007342","USPTO PDF")</f>
        <v>0.0</v>
      </c>
      <c r="K4692" s="2" t="n">
        <f>HYPERLINK("https://sectors.patentforecast.com/pmd/US11007342","PMD")</f>
        <v>0.0</v>
      </c>
      <c r="L4692" s="2" t="n">
        <f>HYPERLINK("https://globaldossier.uspto.gov/result/patent/US/11007342/1","US11007342")</f>
        <v>0.0</v>
      </c>
      <c r="M4692" t="s">
        <v>28377</v>
      </c>
      <c r="N4692" t="s">
        <v>2211</v>
      </c>
      <c r="O4692" t="s">
        <v>2212</v>
      </c>
      <c r="P4692" t="s">
        <v>28378</v>
      </c>
      <c r="Q4692" s="3" t="n">
        <v>43980.0</v>
      </c>
      <c r="R4692" s="3" t="n">
        <v>44334.0</v>
      </c>
      <c r="S4692" s="3" t="n">
        <v>44334.229702453704</v>
      </c>
      <c r="T4692" s="3" t="n">
        <v>44334.558632719905</v>
      </c>
      <c r="U4692" t="s">
        <v>28379</v>
      </c>
      <c r="V4692" t="s">
        <v>28380</v>
      </c>
    </row>
    <row r="4693">
      <c r="A4693" t="s">
        <v>23557</v>
      </c>
      <c r="B4693" t="s">
        <v>28381</v>
      </c>
      <c r="C4693" t="s">
        <v>132</v>
      </c>
      <c r="D4693" t="s">
        <v>2629</v>
      </c>
      <c r="E4693" t="s">
        <v>28382</v>
      </c>
      <c r="F4693" s="2" t="n">
        <f>HYPERLINK("https://patents.google.com/patent/US11007265","Google")</f>
        <v>0.0</v>
      </c>
      <c r="G4693" s="2" t="n">
        <f>HYPERLINK("https://patentcenter.uspto.gov/applications/16181594","Patent Center")</f>
        <v>0.0</v>
      </c>
      <c r="H4693" s="2" t="n">
        <f>HYPERLINK("https://worldwide.espacenet.com/patent/search?q=US11007265","Espacenet")</f>
        <v>0.0</v>
      </c>
      <c r="I4693" s="2" t="n">
        <f>HYPERLINK("https://ppubs.uspto.gov/pubwebapp/external.html?q=11007265.pn.","USPTO")</f>
        <v>0.0</v>
      </c>
      <c r="J4693" s="2" t="n">
        <f>HYPERLINK("https://image-ppubs.uspto.gov/dirsearch-public/print/downloadPdf/11007265","USPTO PDF")</f>
        <v>0.0</v>
      </c>
      <c r="K4693" s="2" t="n">
        <f>HYPERLINK("https://sectors.patentforecast.com/pmd/US11007265","PMD")</f>
        <v>0.0</v>
      </c>
      <c r="L4693" s="2" t="n">
        <f>HYPERLINK("https://globaldossier.uspto.gov/result/patent/US/11007265/1","US11007265")</f>
        <v>0.0</v>
      </c>
      <c r="M4693" t="s">
        <v>17902</v>
      </c>
      <c r="N4693" t="s">
        <v>2541</v>
      </c>
      <c r="O4693" t="s">
        <v>2542</v>
      </c>
      <c r="P4693" t="s">
        <v>28383</v>
      </c>
      <c r="Q4693" s="3" t="n">
        <v>43410.0</v>
      </c>
      <c r="R4693" s="3" t="n">
        <v>44334.0</v>
      </c>
      <c r="S4693" s="3" t="n">
        <v>44334.23164225694</v>
      </c>
      <c r="T4693" s="3" t="n">
        <v>44334.5570097338</v>
      </c>
      <c r="U4693" t="s">
        <v>28384</v>
      </c>
      <c r="V4693" t="s">
        <v>17905</v>
      </c>
    </row>
    <row r="4694">
      <c r="A4694" t="s">
        <v>23557</v>
      </c>
      <c r="B4694" t="s">
        <v>28385</v>
      </c>
      <c r="C4694" t="s">
        <v>60</v>
      </c>
      <c r="D4694" t="s">
        <v>61</v>
      </c>
      <c r="E4694" t="s">
        <v>28386</v>
      </c>
      <c r="F4694" s="2" t="n">
        <f>HYPERLINK("https://patents.google.com/patent/US11007208","Google")</f>
        <v>0.0</v>
      </c>
      <c r="G4694" s="2" t="n">
        <f>HYPERLINK("https://patentcenter.uspto.gov/applications/16863566","Patent Center")</f>
        <v>0.0</v>
      </c>
      <c r="H4694" s="2" t="n">
        <f>HYPERLINK("https://worldwide.espacenet.com/patent/search?q=US11007208","Espacenet")</f>
        <v>0.0</v>
      </c>
      <c r="I4694" s="2" t="n">
        <f>HYPERLINK("https://ppubs.uspto.gov/pubwebapp/external.html?q=11007208.pn.","USPTO")</f>
        <v>0.0</v>
      </c>
      <c r="J4694" s="2" t="n">
        <f>HYPERLINK("https://image-ppubs.uspto.gov/dirsearch-public/print/downloadPdf/11007208","USPTO PDF")</f>
        <v>0.0</v>
      </c>
      <c r="K4694" s="2" t="n">
        <f>HYPERLINK("https://sectors.patentforecast.com/pmd/US11007208","PMD")</f>
        <v>0.0</v>
      </c>
      <c r="L4694" s="2" t="n">
        <f>HYPERLINK("https://globaldossier.uspto.gov/result/patent/US/11007208/1","US11007208")</f>
        <v>0.0</v>
      </c>
      <c r="M4694" t="s">
        <v>16193</v>
      </c>
      <c r="N4694" t="s">
        <v>664</v>
      </c>
      <c r="O4694" t="s">
        <v>665</v>
      </c>
      <c r="P4694" t="s">
        <v>28387</v>
      </c>
      <c r="Q4694" s="3" t="n">
        <v>43951.0</v>
      </c>
      <c r="R4694" s="3" t="n">
        <v>44334.0</v>
      </c>
      <c r="S4694" s="3" t="n">
        <v>44334.23071644676</v>
      </c>
      <c r="T4694" s="3" t="n">
        <v>44334.57897859954</v>
      </c>
      <c r="U4694" t="s">
        <v>28388</v>
      </c>
      <c r="V4694" t="s">
        <v>28389</v>
      </c>
    </row>
    <row r="4695">
      <c r="A4695" t="s">
        <v>23557</v>
      </c>
      <c r="B4695" t="s">
        <v>28390</v>
      </c>
      <c r="C4695" t="s">
        <v>60</v>
      </c>
      <c r="D4695" t="s">
        <v>61</v>
      </c>
      <c r="E4695" t="s">
        <v>26616</v>
      </c>
      <c r="F4695" s="2" t="n">
        <f>HYPERLINK("https://patents.google.com/patent/US11007187","Google")</f>
        <v>0.0</v>
      </c>
      <c r="G4695" s="2" t="n">
        <f>HYPERLINK("https://patentcenter.uspto.gov/applications/16872108","Patent Center")</f>
        <v>0.0</v>
      </c>
      <c r="H4695" s="2" t="n">
        <f>HYPERLINK("https://worldwide.espacenet.com/patent/search?q=US11007187","Espacenet")</f>
        <v>0.0</v>
      </c>
      <c r="I4695" s="2" t="n">
        <f>HYPERLINK("https://ppubs.uspto.gov/pubwebapp/external.html?q=11007187.pn.","USPTO")</f>
        <v>0.0</v>
      </c>
      <c r="J4695" s="2" t="n">
        <f>HYPERLINK("https://image-ppubs.uspto.gov/dirsearch-public/print/downloadPdf/11007187","USPTO PDF")</f>
        <v>0.0</v>
      </c>
      <c r="K4695" s="2" t="n">
        <f>HYPERLINK("https://sectors.patentforecast.com/pmd/US11007187","PMD")</f>
        <v>0.0</v>
      </c>
      <c r="L4695" s="2" t="n">
        <f>HYPERLINK("https://globaldossier.uspto.gov/result/patent/US/11007187/1","US11007187")</f>
        <v>0.0</v>
      </c>
      <c r="M4695" t="s">
        <v>28391</v>
      </c>
      <c r="N4695" t="s">
        <v>1319</v>
      </c>
      <c r="O4695" t="s">
        <v>1320</v>
      </c>
      <c r="P4695" t="s">
        <v>28392</v>
      </c>
      <c r="Q4695" s="3" t="n">
        <v>43962.0</v>
      </c>
      <c r="R4695" s="3" t="n">
        <v>44334.0</v>
      </c>
      <c r="S4695" s="3" t="n">
        <v>44334.229702453704</v>
      </c>
      <c r="T4695" s="3" t="n">
        <v>44334.5584196412</v>
      </c>
      <c r="U4695" t="s">
        <v>28393</v>
      </c>
      <c r="V4695" t="s">
        <v>1322</v>
      </c>
    </row>
    <row r="4696">
      <c r="A4696" t="s">
        <v>23557</v>
      </c>
      <c r="B4696" t="s">
        <v>28394</v>
      </c>
      <c r="C4696" t="s">
        <v>60</v>
      </c>
      <c r="D4696" t="s">
        <v>715</v>
      </c>
      <c r="E4696" t="s">
        <v>28395</v>
      </c>
      <c r="F4696" s="2" t="n">
        <f>HYPERLINK("https://patents.google.com/patent/US11007001","Google")</f>
        <v>0.0</v>
      </c>
      <c r="G4696" s="2" t="n">
        <f>HYPERLINK("https://patentcenter.uspto.gov/applications/16936443","Patent Center")</f>
        <v>0.0</v>
      </c>
      <c r="H4696" s="2" t="n">
        <f>HYPERLINK("https://worldwide.espacenet.com/patent/search?q=US11007001","Espacenet")</f>
        <v>0.0</v>
      </c>
      <c r="I4696" s="2" t="n">
        <f>HYPERLINK("https://ppubs.uspto.gov/pubwebapp/external.html?q=11007001.pn.","USPTO")</f>
        <v>0.0</v>
      </c>
      <c r="J4696" s="2" t="n">
        <f>HYPERLINK("https://image-ppubs.uspto.gov/dirsearch-public/print/downloadPdf/11007001","USPTO PDF")</f>
        <v>0.0</v>
      </c>
      <c r="K4696" s="2" t="n">
        <f>HYPERLINK("https://sectors.patentforecast.com/pmd/US11007001","PMD")</f>
        <v>0.0</v>
      </c>
      <c r="L4696" s="2" t="n">
        <f>HYPERLINK("https://globaldossier.uspto.gov/result/patent/US/11007001/1","US11007001")</f>
        <v>0.0</v>
      </c>
      <c r="M4696" t="s">
        <v>28396</v>
      </c>
      <c r="N4696" t="s">
        <v>28397</v>
      </c>
      <c r="O4696" t="s">
        <v>28398</v>
      </c>
      <c r="P4696" t="s">
        <v>28399</v>
      </c>
      <c r="Q4696" s="3" t="n">
        <v>44035.0</v>
      </c>
      <c r="R4696" s="3" t="n">
        <v>44334.0</v>
      </c>
      <c r="S4696" s="3" t="n">
        <v>44334.22944412037</v>
      </c>
      <c r="T4696" s="3" t="n">
        <v>44334.57424025463</v>
      </c>
      <c r="U4696" t="s">
        <v>28400</v>
      </c>
      <c r="V4696" t="s">
        <v>28401</v>
      </c>
    </row>
    <row r="4697">
      <c r="A4697" t="s">
        <v>23557</v>
      </c>
      <c r="B4697" t="s">
        <v>28402</v>
      </c>
      <c r="C4697" t="s">
        <v>24</v>
      </c>
      <c r="D4697" t="s">
        <v>1356</v>
      </c>
      <c r="E4697" t="s">
        <v>28403</v>
      </c>
      <c r="F4697" s="2" t="n">
        <f>HYPERLINK("https://patents.google.com/patent/US11003880","Google")</f>
        <v>0.0</v>
      </c>
      <c r="G4697" s="2" t="n">
        <f>HYPERLINK("https://patentcenter.uspto.gov/applications/16985584","Patent Center")</f>
        <v>0.0</v>
      </c>
      <c r="H4697" s="2" t="n">
        <f>HYPERLINK("https://worldwide.espacenet.com/patent/search?q=US11003880","Espacenet")</f>
        <v>0.0</v>
      </c>
      <c r="I4697" s="2" t="n">
        <f>HYPERLINK("https://ppubs.uspto.gov/pubwebapp/external.html?q=11003880.pn.","USPTO")</f>
        <v>0.0</v>
      </c>
      <c r="J4697" s="2" t="n">
        <f>HYPERLINK("https://image-ppubs.uspto.gov/dirsearch-public/print/downloadPdf/11003880","USPTO PDF")</f>
        <v>0.0</v>
      </c>
      <c r="K4697" s="2" t="n">
        <f>HYPERLINK("https://sectors.patentforecast.com/pmd/US11003880","PMD")</f>
        <v>0.0</v>
      </c>
      <c r="L4697" s="2" t="n">
        <f>HYPERLINK("https://globaldossier.uspto.gov/result/patent/US/11003880/1","US11003880")</f>
        <v>0.0</v>
      </c>
      <c r="M4697" t="s">
        <v>28404</v>
      </c>
      <c r="N4697" t="s">
        <v>28405</v>
      </c>
      <c r="O4697" t="s">
        <v>28405</v>
      </c>
      <c r="P4697" t="s">
        <v>28406</v>
      </c>
      <c r="Q4697" s="3" t="n">
        <v>44048.0</v>
      </c>
      <c r="R4697" s="3" t="n">
        <v>44327.0</v>
      </c>
      <c r="S4697" s="3" t="n">
        <v>44327.229564050926</v>
      </c>
      <c r="T4697" s="3" t="n">
        <v>44327.6701499537</v>
      </c>
      <c r="U4697" t="s">
        <v>28407</v>
      </c>
      <c r="V4697" t="s">
        <v>28408</v>
      </c>
    </row>
    <row r="4698">
      <c r="A4698" t="s">
        <v>23557</v>
      </c>
      <c r="B4698" t="s">
        <v>28409</v>
      </c>
      <c r="C4698" t="s">
        <v>24</v>
      </c>
      <c r="D4698" t="s">
        <v>34</v>
      </c>
      <c r="E4698" t="s">
        <v>28410</v>
      </c>
      <c r="F4698" s="2" t="n">
        <f>HYPERLINK("https://patents.google.com/patent/US11001901","Google")</f>
        <v>0.0</v>
      </c>
      <c r="G4698" s="2" t="n">
        <f>HYPERLINK("https://patentcenter.uspto.gov/applications/16809717","Patent Center")</f>
        <v>0.0</v>
      </c>
      <c r="H4698" s="2" t="n">
        <f>HYPERLINK("https://worldwide.espacenet.com/patent/search?q=US11001901","Espacenet")</f>
        <v>0.0</v>
      </c>
      <c r="I4698" s="2" t="n">
        <f>HYPERLINK("https://ppubs.uspto.gov/pubwebapp/external.html?q=11001901.pn.","USPTO")</f>
        <v>0.0</v>
      </c>
      <c r="J4698" s="2" t="n">
        <f>HYPERLINK("https://image-ppubs.uspto.gov/dirsearch-public/print/downloadPdf/11001901","USPTO PDF")</f>
        <v>0.0</v>
      </c>
      <c r="K4698" s="2" t="n">
        <f>HYPERLINK("https://sectors.patentforecast.com/pmd/US11001901","PMD")</f>
        <v>0.0</v>
      </c>
      <c r="L4698" s="2" t="n">
        <f>HYPERLINK("https://globaldossier.uspto.gov/result/patent/US/11001901/1","US11001901")</f>
        <v>0.0</v>
      </c>
      <c r="M4698" t="s">
        <v>28411</v>
      </c>
      <c r="N4698" t="s">
        <v>6864</v>
      </c>
      <c r="O4698" t="s">
        <v>6864</v>
      </c>
      <c r="P4698" t="s">
        <v>28412</v>
      </c>
      <c r="Q4698" s="3" t="n">
        <v>43895.0</v>
      </c>
      <c r="R4698" s="3" t="n">
        <v>44327.0</v>
      </c>
      <c r="S4698" s="3" t="n">
        <v>44327.229564050926</v>
      </c>
      <c r="T4698" s="3" t="n">
        <v>44327.67097368056</v>
      </c>
      <c r="U4698" t="s">
        <v>28413</v>
      </c>
      <c r="V4698" t="s">
        <v>14264</v>
      </c>
    </row>
    <row r="4699">
      <c r="A4699" t="s">
        <v>23557</v>
      </c>
      <c r="B4699" t="s">
        <v>28414</v>
      </c>
      <c r="C4699" t="s">
        <v>24</v>
      </c>
      <c r="D4699" t="s">
        <v>100</v>
      </c>
      <c r="E4699" t="s">
        <v>28415</v>
      </c>
      <c r="F4699" s="2" t="n">
        <f>HYPERLINK("https://patents.google.com/patent/US11000606","Google")</f>
        <v>0.0</v>
      </c>
      <c r="G4699" s="2" t="n">
        <f>HYPERLINK("https://patentcenter.uspto.gov/applications/17148856","Patent Center")</f>
        <v>0.0</v>
      </c>
      <c r="H4699" s="2" t="n">
        <f>HYPERLINK("https://worldwide.espacenet.com/patent/search?q=US11000606","Espacenet")</f>
        <v>0.0</v>
      </c>
      <c r="I4699" s="2" t="n">
        <f>HYPERLINK("https://ppubs.uspto.gov/pubwebapp/external.html?q=11000606.pn.","USPTO")</f>
        <v>0.0</v>
      </c>
      <c r="J4699" s="2" t="n">
        <f>HYPERLINK("https://image-ppubs.uspto.gov/dirsearch-public/print/downloadPdf/11000606","USPTO PDF")</f>
        <v>0.0</v>
      </c>
      <c r="K4699" s="2" t="n">
        <f>HYPERLINK("https://sectors.patentforecast.com/pmd/US11000606","PMD")</f>
        <v>0.0</v>
      </c>
      <c r="L4699" s="2" t="n">
        <f>HYPERLINK("https://globaldossier.uspto.gov/result/patent/US/11000606/1","US11000606")</f>
        <v>0.0</v>
      </c>
      <c r="M4699" t="s">
        <v>28416</v>
      </c>
      <c r="N4699" t="s">
        <v>28417</v>
      </c>
      <c r="O4699" t="s">
        <v>28418</v>
      </c>
      <c r="P4699" t="s">
        <v>28419</v>
      </c>
      <c r="Q4699" s="3" t="n">
        <v>44210.0</v>
      </c>
      <c r="R4699" s="3" t="n">
        <v>44327.0</v>
      </c>
      <c r="S4699" s="3" t="n">
        <v>44327.229564050926</v>
      </c>
      <c r="T4699" s="3" t="n">
        <v>44327.66974547454</v>
      </c>
      <c r="U4699" t="s">
        <v>28420</v>
      </c>
      <c r="V4699" t="s">
        <v>28421</v>
      </c>
    </row>
    <row r="4700">
      <c r="A4700" t="s">
        <v>23557</v>
      </c>
      <c r="B4700" t="s">
        <v>28422</v>
      </c>
      <c r="C4700" t="s">
        <v>132</v>
      </c>
      <c r="D4700" t="s">
        <v>11423</v>
      </c>
      <c r="E4700" t="s">
        <v>28423</v>
      </c>
      <c r="F4700" s="2" t="n">
        <f>HYPERLINK("https://patents.google.com/patent/US11000585","Google")</f>
        <v>0.0</v>
      </c>
      <c r="G4700" s="2" t="n">
        <f>HYPERLINK("https://patentcenter.uspto.gov/applications/16353877","Patent Center")</f>
        <v>0.0</v>
      </c>
      <c r="H4700" s="2" t="n">
        <f>HYPERLINK("https://worldwide.espacenet.com/patent/search?q=US11000585","Espacenet")</f>
        <v>0.0</v>
      </c>
      <c r="I4700" s="2" t="n">
        <f>HYPERLINK("https://ppubs.uspto.gov/pubwebapp/external.html?q=11000585.pn.","USPTO")</f>
        <v>0.0</v>
      </c>
      <c r="J4700" s="2" t="n">
        <f>HYPERLINK("https://image-ppubs.uspto.gov/dirsearch-public/print/downloadPdf/11000585","USPTO PDF")</f>
        <v>0.0</v>
      </c>
      <c r="K4700" s="2" t="n">
        <f>HYPERLINK("https://sectors.patentforecast.com/pmd/US11000585","PMD")</f>
        <v>0.0</v>
      </c>
      <c r="L4700" s="2" t="n">
        <f>HYPERLINK("https://globaldossier.uspto.gov/result/patent/US/11000585/1","US11000585")</f>
        <v>0.0</v>
      </c>
      <c r="M4700" t="s">
        <v>17592</v>
      </c>
      <c r="N4700" t="s">
        <v>17564</v>
      </c>
      <c r="O4700" t="s">
        <v>17565</v>
      </c>
      <c r="P4700" t="s">
        <v>28424</v>
      </c>
      <c r="Q4700" s="3" t="n">
        <v>43538.0</v>
      </c>
      <c r="R4700" s="3" t="n">
        <v>44327.0</v>
      </c>
      <c r="S4700" s="3" t="n">
        <v>44327.23396327547</v>
      </c>
      <c r="T4700" s="3" t="n">
        <v>44643.40171400463</v>
      </c>
      <c r="U4700" t="s">
        <v>28425</v>
      </c>
      <c r="V4700" t="s">
        <v>17568</v>
      </c>
    </row>
    <row r="4701">
      <c r="A4701" t="s">
        <v>23557</v>
      </c>
      <c r="B4701" t="s">
        <v>28426</v>
      </c>
      <c r="C4701" t="s">
        <v>60</v>
      </c>
      <c r="D4701" t="s">
        <v>61</v>
      </c>
      <c r="E4701" t="s">
        <v>28427</v>
      </c>
      <c r="F4701" s="2" t="n">
        <f>HYPERLINK("https://patents.google.com/patent/US11000545","Google")</f>
        <v>0.0</v>
      </c>
      <c r="G4701" s="2" t="n">
        <f>HYPERLINK("https://patentcenter.uspto.gov/applications/16881937","Patent Center")</f>
        <v>0.0</v>
      </c>
      <c r="H4701" s="2" t="n">
        <f>HYPERLINK("https://worldwide.espacenet.com/patent/search?q=US11000545","Espacenet")</f>
        <v>0.0</v>
      </c>
      <c r="I4701" s="2" t="n">
        <f>HYPERLINK("https://ppubs.uspto.gov/pubwebapp/external.html?q=11000545.pn.","USPTO")</f>
        <v>0.0</v>
      </c>
      <c r="J4701" s="2" t="n">
        <f>HYPERLINK("https://image-ppubs.uspto.gov/dirsearch-public/print/downloadPdf/11000545","USPTO PDF")</f>
        <v>0.0</v>
      </c>
      <c r="K4701" s="2" t="n">
        <f>HYPERLINK("https://sectors.patentforecast.com/pmd/US11000545","PMD")</f>
        <v>0.0</v>
      </c>
      <c r="L4701" s="2" t="n">
        <f>HYPERLINK("https://globaldossier.uspto.gov/result/patent/US/11000545/1","US11000545")</f>
        <v>0.0</v>
      </c>
      <c r="M4701" t="s">
        <v>16453</v>
      </c>
      <c r="N4701" t="s">
        <v>14921</v>
      </c>
      <c r="O4701" t="s">
        <v>14922</v>
      </c>
      <c r="P4701" t="s">
        <v>28428</v>
      </c>
      <c r="Q4701" s="3" t="n">
        <v>43973.0</v>
      </c>
      <c r="R4701" s="3" t="n">
        <v>44327.0</v>
      </c>
      <c r="S4701" s="3" t="n">
        <v>44327.229564050926</v>
      </c>
      <c r="T4701" s="3" t="n">
        <v>44327.66667114583</v>
      </c>
      <c r="U4701" t="s">
        <v>28429</v>
      </c>
      <c r="V4701" t="s">
        <v>14925</v>
      </c>
    </row>
    <row r="4702">
      <c r="A4702" t="s">
        <v>23557</v>
      </c>
      <c r="B4702" t="s">
        <v>28430</v>
      </c>
      <c r="C4702" t="s">
        <v>24</v>
      </c>
      <c r="D4702" t="s">
        <v>100</v>
      </c>
      <c r="E4702" t="s">
        <v>28431</v>
      </c>
      <c r="F4702" s="2" t="n">
        <f>HYPERLINK("https://patents.google.com/patent/US10997721","Google")</f>
        <v>0.0</v>
      </c>
      <c r="G4702" s="2" t="n">
        <f>HYPERLINK("https://patentcenter.uspto.gov/applications/16842630","Patent Center")</f>
        <v>0.0</v>
      </c>
      <c r="H4702" s="2" t="n">
        <f>HYPERLINK("https://worldwide.espacenet.com/patent/search?q=US10997721","Espacenet")</f>
        <v>0.0</v>
      </c>
      <c r="I4702" s="2" t="n">
        <f>HYPERLINK("https://ppubs.uspto.gov/pubwebapp/external.html?q=10997721.pn.","USPTO")</f>
        <v>0.0</v>
      </c>
      <c r="J4702" s="2" t="n">
        <f>HYPERLINK("https://image-ppubs.uspto.gov/dirsearch-public/print/downloadPdf/10997721","USPTO PDF")</f>
        <v>0.0</v>
      </c>
      <c r="K4702" s="2" t="n">
        <f>HYPERLINK("https://sectors.patentforecast.com/pmd/US10997721","PMD")</f>
        <v>0.0</v>
      </c>
      <c r="L4702" s="2" t="n">
        <f>HYPERLINK("https://globaldossier.uspto.gov/result/patent/US/10997721/1","US10997721")</f>
        <v>0.0</v>
      </c>
      <c r="M4702" t="s">
        <v>16173</v>
      </c>
      <c r="N4702" t="s">
        <v>14886</v>
      </c>
      <c r="O4702" t="s">
        <v>14887</v>
      </c>
      <c r="P4702" t="s">
        <v>28432</v>
      </c>
      <c r="Q4702" s="3" t="n">
        <v>43928.0</v>
      </c>
      <c r="R4702" s="3" t="n">
        <v>44320.0</v>
      </c>
      <c r="S4702" s="3" t="n">
        <v>44320.229562465276</v>
      </c>
      <c r="T4702" s="3" t="n">
        <v>44320.44166103009</v>
      </c>
      <c r="U4702" t="s">
        <v>28433</v>
      </c>
      <c r="V4702" t="s">
        <v>16175</v>
      </c>
    </row>
    <row r="4703">
      <c r="A4703" t="s">
        <v>23557</v>
      </c>
      <c r="B4703" t="s">
        <v>28434</v>
      </c>
      <c r="C4703" t="s">
        <v>24</v>
      </c>
      <c r="D4703" t="s">
        <v>100</v>
      </c>
      <c r="E4703" t="s">
        <v>28435</v>
      </c>
      <c r="F4703" s="2" t="n">
        <f>HYPERLINK("https://patents.google.com/patent/US10994034","Google")</f>
        <v>0.0</v>
      </c>
      <c r="G4703" s="2" t="n">
        <f>HYPERLINK("https://patentcenter.uspto.gov/applications/16988270","Patent Center")</f>
        <v>0.0</v>
      </c>
      <c r="H4703" s="2" t="n">
        <f>HYPERLINK("https://worldwide.espacenet.com/patent/search?q=US10994034","Espacenet")</f>
        <v>0.0</v>
      </c>
      <c r="I4703" s="2" t="n">
        <f>HYPERLINK("https://ppubs.uspto.gov/pubwebapp/external.html?q=10994034.pn.","USPTO")</f>
        <v>0.0</v>
      </c>
      <c r="J4703" s="2" t="n">
        <f>HYPERLINK("https://image-ppubs.uspto.gov/dirsearch-public/print/downloadPdf/10994034","USPTO PDF")</f>
        <v>0.0</v>
      </c>
      <c r="K4703" s="2" t="n">
        <f>HYPERLINK("https://sectors.patentforecast.com/pmd/US10994034","PMD")</f>
        <v>0.0</v>
      </c>
      <c r="L4703" s="2" t="n">
        <f>HYPERLINK("https://globaldossier.uspto.gov/result/patent/US/10994034/1","US10994034")</f>
        <v>0.0</v>
      </c>
      <c r="M4703" t="s">
        <v>28436</v>
      </c>
      <c r="N4703" t="s">
        <v>28437</v>
      </c>
      <c r="O4703" t="s">
        <v>28438</v>
      </c>
      <c r="P4703" t="s">
        <v>28439</v>
      </c>
      <c r="Q4703" s="3" t="n">
        <v>44050.0</v>
      </c>
      <c r="R4703" s="3" t="n">
        <v>44320.0</v>
      </c>
      <c r="S4703" s="3" t="n">
        <v>44320.229562465276</v>
      </c>
      <c r="T4703" s="3" t="n">
        <v>44320.440727650464</v>
      </c>
      <c r="U4703" t="s">
        <v>28440</v>
      </c>
      <c r="V4703" t="s">
        <v>28441</v>
      </c>
    </row>
    <row r="4704">
      <c r="A4704" t="s">
        <v>23557</v>
      </c>
      <c r="B4704" t="s">
        <v>28442</v>
      </c>
      <c r="C4704" t="s">
        <v>60</v>
      </c>
      <c r="D4704" t="s">
        <v>61</v>
      </c>
      <c r="E4704" t="s">
        <v>28443</v>
      </c>
      <c r="F4704" s="2" t="n">
        <f>HYPERLINK("https://patents.google.com/patent/US10993958","Google")</f>
        <v>0.0</v>
      </c>
      <c r="G4704" s="2" t="n">
        <f>HYPERLINK("https://patentcenter.uspto.gov/applications/16882130","Patent Center")</f>
        <v>0.0</v>
      </c>
      <c r="H4704" s="2" t="n">
        <f>HYPERLINK("https://worldwide.espacenet.com/patent/search?q=US10993958","Espacenet")</f>
        <v>0.0</v>
      </c>
      <c r="I4704" s="2" t="n">
        <f>HYPERLINK("https://ppubs.uspto.gov/pubwebapp/external.html?q=10993958.pn.","USPTO")</f>
        <v>0.0</v>
      </c>
      <c r="J4704" s="2" t="n">
        <f>HYPERLINK("https://image-ppubs.uspto.gov/dirsearch-public/print/downloadPdf/10993958","USPTO PDF")</f>
        <v>0.0</v>
      </c>
      <c r="K4704" s="2" t="n">
        <f>HYPERLINK("https://sectors.patentforecast.com/pmd/US10993958","PMD")</f>
        <v>0.0</v>
      </c>
      <c r="L4704" s="2" t="n">
        <f>HYPERLINK("https://globaldossier.uspto.gov/result/patent/US/10993958/1","US10993958")</f>
        <v>0.0</v>
      </c>
      <c r="M4704" t="s">
        <v>28444</v>
      </c>
      <c r="N4704" t="s">
        <v>14171</v>
      </c>
      <c r="O4704" t="s">
        <v>14172</v>
      </c>
      <c r="P4704" t="s">
        <v>28445</v>
      </c>
      <c r="Q4704" s="3" t="n">
        <v>43973.0</v>
      </c>
      <c r="R4704" s="3" t="n">
        <v>44320.0</v>
      </c>
      <c r="S4704" s="3" t="n">
        <v>44320.229562465276</v>
      </c>
      <c r="T4704" s="3" t="n">
        <v>44320.44037364583</v>
      </c>
      <c r="U4704" t="s">
        <v>28446</v>
      </c>
      <c r="V4704" t="s">
        <v>14175</v>
      </c>
    </row>
    <row r="4705">
      <c r="A4705" t="s">
        <v>23557</v>
      </c>
      <c r="B4705" t="s">
        <v>28447</v>
      </c>
      <c r="C4705" t="s">
        <v>60</v>
      </c>
      <c r="D4705" t="s">
        <v>61</v>
      </c>
      <c r="E4705" t="s">
        <v>28448</v>
      </c>
      <c r="F4705" s="2" t="n">
        <f>HYPERLINK("https://patents.google.com/patent/US10993909","Google")</f>
        <v>0.0</v>
      </c>
      <c r="G4705" s="2" t="n">
        <f>HYPERLINK("https://patentcenter.uspto.gov/applications/16906043","Patent Center")</f>
        <v>0.0</v>
      </c>
      <c r="H4705" s="2" t="n">
        <f>HYPERLINK("https://worldwide.espacenet.com/patent/search?q=US10993909","Espacenet")</f>
        <v>0.0</v>
      </c>
      <c r="I4705" s="2" t="n">
        <f>HYPERLINK("https://ppubs.uspto.gov/pubwebapp/external.html?q=10993909.pn.","USPTO")</f>
        <v>0.0</v>
      </c>
      <c r="J4705" s="2" t="n">
        <f>HYPERLINK("https://image-ppubs.uspto.gov/dirsearch-public/print/downloadPdf/10993909","USPTO PDF")</f>
        <v>0.0</v>
      </c>
      <c r="K4705" s="2" t="n">
        <f>HYPERLINK("https://sectors.patentforecast.com/pmd/US10993909","PMD")</f>
        <v>0.0</v>
      </c>
      <c r="L4705" s="2" t="n">
        <f>HYPERLINK("https://globaldossier.uspto.gov/result/patent/US/10993909/1","US10993909")</f>
        <v>0.0</v>
      </c>
      <c r="M4705" t="s">
        <v>28449</v>
      </c>
      <c r="N4705" t="s">
        <v>10814</v>
      </c>
      <c r="O4705" t="s">
        <v>10815</v>
      </c>
      <c r="P4705" t="s">
        <v>28450</v>
      </c>
      <c r="Q4705" s="3" t="n">
        <v>44001.0</v>
      </c>
      <c r="R4705" s="3" t="n">
        <v>44320.0</v>
      </c>
      <c r="S4705" s="3" t="n">
        <v>44320.229562465276</v>
      </c>
      <c r="T4705" s="3" t="n">
        <v>44320.44139637731</v>
      </c>
      <c r="U4705" t="s">
        <v>28451</v>
      </c>
      <c r="V4705" t="s">
        <v>28452</v>
      </c>
    </row>
    <row r="4706">
      <c r="A4706" t="s">
        <v>23557</v>
      </c>
      <c r="B4706" t="s">
        <v>28453</v>
      </c>
      <c r="C4706" t="s">
        <v>24</v>
      </c>
      <c r="D4706" t="s">
        <v>69</v>
      </c>
      <c r="E4706" t="s">
        <v>28454</v>
      </c>
      <c r="F4706" s="2" t="n">
        <f>HYPERLINK("https://patents.google.com/patent/US10991190","Google")</f>
        <v>0.0</v>
      </c>
      <c r="G4706" s="2" t="n">
        <f>HYPERLINK("https://patentcenter.uspto.gov/applications/17068608","Patent Center")</f>
        <v>0.0</v>
      </c>
      <c r="H4706" s="2" t="n">
        <f>HYPERLINK("https://worldwide.espacenet.com/patent/search?q=US10991190","Espacenet")</f>
        <v>0.0</v>
      </c>
      <c r="I4706" s="2" t="n">
        <f>HYPERLINK("https://ppubs.uspto.gov/pubwebapp/external.html?q=10991190.pn.","USPTO")</f>
        <v>0.0</v>
      </c>
      <c r="J4706" s="2" t="n">
        <f>HYPERLINK("https://image-ppubs.uspto.gov/dirsearch-public/print/downloadPdf/10991190","USPTO PDF")</f>
        <v>0.0</v>
      </c>
      <c r="K4706" s="2" t="n">
        <f>HYPERLINK("https://sectors.patentforecast.com/pmd/US10991190","PMD")</f>
        <v>0.0</v>
      </c>
      <c r="L4706" s="2" t="n">
        <f>HYPERLINK("https://globaldossier.uspto.gov/result/patent/US/10991190/1","US10991190")</f>
        <v>0.0</v>
      </c>
      <c r="M4706" t="s">
        <v>28455</v>
      </c>
      <c r="N4706" t="s">
        <v>6851</v>
      </c>
      <c r="O4706" t="s">
        <v>6852</v>
      </c>
      <c r="P4706" t="s">
        <v>28456</v>
      </c>
      <c r="Q4706" s="3" t="n">
        <v>44116.0</v>
      </c>
      <c r="R4706" s="3" t="n">
        <v>44313.0</v>
      </c>
      <c r="S4706" s="3" t="n">
        <v>44313.229566574075</v>
      </c>
      <c r="T4706" s="3" t="n">
        <v>44313.47390370371</v>
      </c>
      <c r="U4706" t="s">
        <v>28457</v>
      </c>
      <c r="V4706" t="s">
        <v>7580</v>
      </c>
    </row>
    <row r="4707">
      <c r="A4707" t="s">
        <v>23557</v>
      </c>
      <c r="B4707" t="s">
        <v>28458</v>
      </c>
      <c r="C4707" t="s">
        <v>24</v>
      </c>
      <c r="D4707" t="s">
        <v>69</v>
      </c>
      <c r="E4707" t="s">
        <v>28454</v>
      </c>
      <c r="F4707" s="2" t="n">
        <f>HYPERLINK("https://patents.google.com/patent/US10991185","Google")</f>
        <v>0.0</v>
      </c>
      <c r="G4707" s="2" t="n">
        <f>HYPERLINK("https://patentcenter.uspto.gov/applications/17068599","Patent Center")</f>
        <v>0.0</v>
      </c>
      <c r="H4707" s="2" t="n">
        <f>HYPERLINK("https://worldwide.espacenet.com/patent/search?q=US10991185","Espacenet")</f>
        <v>0.0</v>
      </c>
      <c r="I4707" s="2" t="n">
        <f>HYPERLINK("https://ppubs.uspto.gov/pubwebapp/external.html?q=10991185.pn.","USPTO")</f>
        <v>0.0</v>
      </c>
      <c r="J4707" s="2" t="n">
        <f>HYPERLINK("https://image-ppubs.uspto.gov/dirsearch-public/print/downloadPdf/10991185","USPTO PDF")</f>
        <v>0.0</v>
      </c>
      <c r="K4707" s="2" t="n">
        <f>HYPERLINK("https://sectors.patentforecast.com/pmd/US10991185","PMD")</f>
        <v>0.0</v>
      </c>
      <c r="L4707" s="2" t="n">
        <f>HYPERLINK("https://globaldossier.uspto.gov/result/patent/US/10991185/1","US10991185")</f>
        <v>0.0</v>
      </c>
      <c r="M4707" t="s">
        <v>28459</v>
      </c>
      <c r="N4707" t="s">
        <v>6851</v>
      </c>
      <c r="O4707" t="s">
        <v>6852</v>
      </c>
      <c r="P4707" t="s">
        <v>28456</v>
      </c>
      <c r="Q4707" s="3" t="n">
        <v>44116.0</v>
      </c>
      <c r="R4707" s="3" t="n">
        <v>44313.0</v>
      </c>
      <c r="S4707" s="3" t="n">
        <v>44313.229566574075</v>
      </c>
      <c r="T4707" s="3" t="n">
        <v>44313.47390370371</v>
      </c>
      <c r="U4707" t="s">
        <v>28460</v>
      </c>
      <c r="V4707" t="s">
        <v>28461</v>
      </c>
    </row>
    <row r="4708">
      <c r="A4708" t="s">
        <v>23557</v>
      </c>
      <c r="B4708" t="s">
        <v>28462</v>
      </c>
      <c r="C4708" t="s">
        <v>60</v>
      </c>
      <c r="D4708" t="s">
        <v>61</v>
      </c>
      <c r="E4708" t="s">
        <v>28463</v>
      </c>
      <c r="F4708" s="2" t="n">
        <f>HYPERLINK("https://patents.google.com/patent/US10987329","Google")</f>
        <v>0.0</v>
      </c>
      <c r="G4708" s="2" t="n">
        <f>HYPERLINK("https://patentcenter.uspto.gov/applications/16920000","Patent Center")</f>
        <v>0.0</v>
      </c>
      <c r="H4708" s="2" t="n">
        <f>HYPERLINK("https://worldwide.espacenet.com/patent/search?q=US10987329","Espacenet")</f>
        <v>0.0</v>
      </c>
      <c r="I4708" s="2" t="n">
        <f>HYPERLINK("https://ppubs.uspto.gov/pubwebapp/external.html?q=10987329.pn.","USPTO")</f>
        <v>0.0</v>
      </c>
      <c r="J4708" s="2" t="n">
        <f>HYPERLINK("https://image-ppubs.uspto.gov/dirsearch-public/print/downloadPdf/10987329","USPTO PDF")</f>
        <v>0.0</v>
      </c>
      <c r="K4708" s="2" t="n">
        <f>HYPERLINK("https://sectors.patentforecast.com/pmd/US10987329","PMD")</f>
        <v>0.0</v>
      </c>
      <c r="L4708" s="2" t="n">
        <f>HYPERLINK("https://globaldossier.uspto.gov/result/patent/US/10987329/1","US10987329")</f>
        <v>0.0</v>
      </c>
      <c r="M4708" t="s">
        <v>28464</v>
      </c>
      <c r="N4708" t="s">
        <v>11657</v>
      </c>
      <c r="O4708" t="s">
        <v>11658</v>
      </c>
      <c r="P4708" t="s">
        <v>28230</v>
      </c>
      <c r="Q4708" s="3" t="n">
        <v>44014.0</v>
      </c>
      <c r="R4708" s="3" t="n">
        <v>44313.0</v>
      </c>
      <c r="S4708" s="3" t="n">
        <v>44313.229566574075</v>
      </c>
      <c r="T4708" s="3" t="n">
        <v>44313.47298138889</v>
      </c>
      <c r="U4708" t="s">
        <v>28465</v>
      </c>
      <c r="V4708" t="s">
        <v>28466</v>
      </c>
    </row>
    <row r="4709">
      <c r="A4709" t="s">
        <v>23557</v>
      </c>
      <c r="B4709" t="s">
        <v>28467</v>
      </c>
      <c r="C4709" t="s">
        <v>60</v>
      </c>
      <c r="D4709" t="s">
        <v>715</v>
      </c>
      <c r="E4709" t="s">
        <v>28468</v>
      </c>
      <c r="F4709" s="2" t="n">
        <f>HYPERLINK("https://patents.google.com/patent/US10980954","Google")</f>
        <v>0.0</v>
      </c>
      <c r="G4709" s="2" t="n">
        <f>HYPERLINK("https://patentcenter.uspto.gov/applications/16917055","Patent Center")</f>
        <v>0.0</v>
      </c>
      <c r="H4709" s="2" t="n">
        <f>HYPERLINK("https://worldwide.espacenet.com/patent/search?q=US10980954","Espacenet")</f>
        <v>0.0</v>
      </c>
      <c r="I4709" s="2" t="n">
        <f>HYPERLINK("https://ppubs.uspto.gov/pubwebapp/external.html?q=10980954.pn.","USPTO")</f>
        <v>0.0</v>
      </c>
      <c r="J4709" s="2" t="n">
        <f>HYPERLINK("https://image-ppubs.uspto.gov/dirsearch-public/print/downloadPdf/10980954","USPTO PDF")</f>
        <v>0.0</v>
      </c>
      <c r="K4709" s="2" t="n">
        <f>HYPERLINK("https://sectors.patentforecast.com/pmd/US10980954","PMD")</f>
        <v>0.0</v>
      </c>
      <c r="L4709" s="2" t="n">
        <f>HYPERLINK("https://globaldossier.uspto.gov/result/patent/US/10980954/1","US10980954")</f>
        <v>0.0</v>
      </c>
      <c r="M4709" t="s">
        <v>28469</v>
      </c>
      <c r="N4709" t="s">
        <v>28470</v>
      </c>
      <c r="O4709" t="s">
        <v>28471</v>
      </c>
      <c r="P4709" t="s">
        <v>28472</v>
      </c>
      <c r="Q4709" s="3" t="n">
        <v>44012.0</v>
      </c>
      <c r="R4709" s="3" t="n">
        <v>44306.0</v>
      </c>
      <c r="S4709" s="3" t="n">
        <v>44306.22956795139</v>
      </c>
      <c r="T4709" s="3" t="n">
        <v>44306.522809710645</v>
      </c>
      <c r="U4709" t="s">
        <v>28473</v>
      </c>
      <c r="V4709" t="s">
        <v>28474</v>
      </c>
    </row>
    <row r="4710">
      <c r="A4710" t="s">
        <v>23557</v>
      </c>
      <c r="B4710" t="s">
        <v>28475</v>
      </c>
      <c r="C4710" t="s">
        <v>60</v>
      </c>
      <c r="D4710" t="s">
        <v>61</v>
      </c>
      <c r="E4710" t="s">
        <v>28476</v>
      </c>
      <c r="F4710" s="2" t="n">
        <f>HYPERLINK("https://patents.google.com/patent/US10980756","Google")</f>
        <v>0.0</v>
      </c>
      <c r="G4710" s="2" t="n">
        <f>HYPERLINK("https://patentcenter.uspto.gov/applications/16835307","Patent Center")</f>
        <v>0.0</v>
      </c>
      <c r="H4710" s="2" t="n">
        <f>HYPERLINK("https://worldwide.espacenet.com/patent/search?q=US10980756","Espacenet")</f>
        <v>0.0</v>
      </c>
      <c r="I4710" s="2" t="n">
        <f>HYPERLINK("https://ppubs.uspto.gov/pubwebapp/external.html?q=10980756.pn.","USPTO")</f>
        <v>0.0</v>
      </c>
      <c r="J4710" s="2" t="n">
        <f>HYPERLINK("https://image-ppubs.uspto.gov/dirsearch-public/print/downloadPdf/10980756","USPTO PDF")</f>
        <v>0.0</v>
      </c>
      <c r="K4710" s="2" t="n">
        <f>HYPERLINK("https://sectors.patentforecast.com/pmd/US10980756","PMD")</f>
        <v>0.0</v>
      </c>
      <c r="L4710" s="2" t="n">
        <f>HYPERLINK("https://globaldossier.uspto.gov/result/patent/US/10980756/1","US10980756")</f>
        <v>0.0</v>
      </c>
      <c r="M4710" t="s">
        <v>28477</v>
      </c>
      <c r="N4710" t="s">
        <v>3077</v>
      </c>
      <c r="O4710" t="s">
        <v>3078</v>
      </c>
      <c r="P4710" t="s">
        <v>28478</v>
      </c>
      <c r="Q4710" s="3" t="n">
        <v>43921.0</v>
      </c>
      <c r="R4710" s="3" t="n">
        <v>44306.0</v>
      </c>
      <c r="S4710" s="3" t="n">
        <v>44306.22956795139</v>
      </c>
      <c r="T4710" s="3" t="n">
        <v>44306.51904190972</v>
      </c>
      <c r="U4710" t="s">
        <v>28479</v>
      </c>
      <c r="V4710" t="s">
        <v>4464</v>
      </c>
    </row>
    <row r="4711">
      <c r="A4711" t="s">
        <v>23557</v>
      </c>
      <c r="B4711" t="s">
        <v>28480</v>
      </c>
      <c r="C4711" t="s">
        <v>24</v>
      </c>
      <c r="D4711" t="s">
        <v>69</v>
      </c>
      <c r="E4711" t="s">
        <v>28481</v>
      </c>
      <c r="F4711" s="2" t="n">
        <f>HYPERLINK("https://patents.google.com/patent/US10980297","Google")</f>
        <v>0.0</v>
      </c>
      <c r="G4711" s="2" t="n">
        <f>HYPERLINK("https://patentcenter.uspto.gov/applications/16941947","Patent Center")</f>
        <v>0.0</v>
      </c>
      <c r="H4711" s="2" t="n">
        <f>HYPERLINK("https://worldwide.espacenet.com/patent/search?q=US10980297","Espacenet")</f>
        <v>0.0</v>
      </c>
      <c r="I4711" s="2" t="n">
        <f>HYPERLINK("https://ppubs.uspto.gov/pubwebapp/external.html?q=10980297.pn.","USPTO")</f>
        <v>0.0</v>
      </c>
      <c r="J4711" s="2" t="n">
        <f>HYPERLINK("https://image-ppubs.uspto.gov/dirsearch-public/print/downloadPdf/10980297","USPTO PDF")</f>
        <v>0.0</v>
      </c>
      <c r="K4711" s="2" t="n">
        <f>HYPERLINK("https://sectors.patentforecast.com/pmd/US10980297","PMD")</f>
        <v>0.0</v>
      </c>
      <c r="L4711" s="2" t="n">
        <f>HYPERLINK("https://globaldossier.uspto.gov/result/patent/US/10980297/1","US10980297")</f>
        <v>0.0</v>
      </c>
      <c r="M4711" t="s">
        <v>28482</v>
      </c>
      <c r="N4711" t="s">
        <v>7218</v>
      </c>
      <c r="O4711" t="s">
        <v>7219</v>
      </c>
      <c r="P4711" t="s">
        <v>28483</v>
      </c>
      <c r="Q4711" s="3" t="n">
        <v>44041.0</v>
      </c>
      <c r="R4711" s="3" t="n">
        <v>44306.0</v>
      </c>
      <c r="S4711" s="3" t="n">
        <v>44306.22956795139</v>
      </c>
      <c r="T4711" s="3" t="n">
        <v>44306.518903020835</v>
      </c>
      <c r="U4711" t="s">
        <v>28484</v>
      </c>
      <c r="V4711" t="s">
        <v>28485</v>
      </c>
    </row>
    <row r="4712">
      <c r="A4712" t="s">
        <v>23557</v>
      </c>
      <c r="B4712" t="s">
        <v>28486</v>
      </c>
      <c r="C4712" t="s">
        <v>24</v>
      </c>
      <c r="D4712" t="s">
        <v>69</v>
      </c>
      <c r="E4712" t="s">
        <v>28487</v>
      </c>
      <c r="F4712" s="2" t="n">
        <f>HYPERLINK("https://patents.google.com/patent/US10980296","Google")</f>
        <v>0.0</v>
      </c>
      <c r="G4712" s="2" t="n">
        <f>HYPERLINK("https://patentcenter.uspto.gov/applications/16899625","Patent Center")</f>
        <v>0.0</v>
      </c>
      <c r="H4712" s="2" t="n">
        <f>HYPERLINK("https://worldwide.espacenet.com/patent/search?q=US10980296","Espacenet")</f>
        <v>0.0</v>
      </c>
      <c r="I4712" s="2" t="n">
        <f>HYPERLINK("https://ppubs.uspto.gov/pubwebapp/external.html?q=10980296.pn.","USPTO")</f>
        <v>0.0</v>
      </c>
      <c r="J4712" s="2" t="n">
        <f>HYPERLINK("https://image-ppubs.uspto.gov/dirsearch-public/print/downloadPdf/10980296","USPTO PDF")</f>
        <v>0.0</v>
      </c>
      <c r="K4712" s="2" t="n">
        <f>HYPERLINK("https://sectors.patentforecast.com/pmd/US10980296","PMD")</f>
        <v>0.0</v>
      </c>
      <c r="L4712" s="2" t="n">
        <f>HYPERLINK("https://globaldossier.uspto.gov/result/patent/US/10980296/1","US10980296")</f>
        <v>0.0</v>
      </c>
      <c r="M4712" t="s">
        <v>28488</v>
      </c>
      <c r="N4712" t="s">
        <v>28489</v>
      </c>
      <c r="O4712" t="s">
        <v>28489</v>
      </c>
      <c r="P4712" t="s">
        <v>28490</v>
      </c>
      <c r="Q4712" s="3" t="n">
        <v>43994.0</v>
      </c>
      <c r="R4712" s="3" t="n">
        <v>44306.0</v>
      </c>
      <c r="S4712" s="3" t="n">
        <v>44306.22956795139</v>
      </c>
      <c r="T4712" s="3" t="n">
        <v>44306.52238371528</v>
      </c>
      <c r="U4712" t="s">
        <v>28491</v>
      </c>
      <c r="V4712" t="s">
        <v>28492</v>
      </c>
    </row>
    <row r="4713">
      <c r="A4713" t="s">
        <v>23557</v>
      </c>
      <c r="B4713" t="s">
        <v>28493</v>
      </c>
      <c r="C4713" t="s">
        <v>24</v>
      </c>
      <c r="D4713" t="s">
        <v>25</v>
      </c>
      <c r="E4713" t="s">
        <v>28494</v>
      </c>
      <c r="F4713" s="2" t="n">
        <f>HYPERLINK("https://patents.google.com/patent/US10978203","Google")</f>
        <v>0.0</v>
      </c>
      <c r="G4713" s="2" t="n">
        <f>HYPERLINK("https://patentcenter.uspto.gov/applications/15627801","Patent Center")</f>
        <v>0.0</v>
      </c>
      <c r="H4713" s="2" t="n">
        <f>HYPERLINK("https://worldwide.espacenet.com/patent/search?q=US10978203","Espacenet")</f>
        <v>0.0</v>
      </c>
      <c r="I4713" s="2" t="n">
        <f>HYPERLINK("https://ppubs.uspto.gov/pubwebapp/external.html?q=10978203.pn.","USPTO")</f>
        <v>0.0</v>
      </c>
      <c r="J4713" s="2" t="n">
        <f>HYPERLINK("https://image-ppubs.uspto.gov/dirsearch-public/print/downloadPdf/10978203","USPTO PDF")</f>
        <v>0.0</v>
      </c>
      <c r="K4713" s="2" t="n">
        <f>HYPERLINK("https://sectors.patentforecast.com/pmd/US10978203","PMD")</f>
        <v>0.0</v>
      </c>
      <c r="L4713" s="2" t="n">
        <f>HYPERLINK("https://globaldossier.uspto.gov/result/patent/US/10978203/1","US10978203")</f>
        <v>0.0</v>
      </c>
      <c r="M4713" t="s">
        <v>18073</v>
      </c>
      <c r="N4713" t="s">
        <v>947</v>
      </c>
      <c r="O4713" t="s">
        <v>948</v>
      </c>
      <c r="P4713" t="s">
        <v>28495</v>
      </c>
      <c r="Q4713" s="3" t="n">
        <v>42906.0</v>
      </c>
      <c r="R4713" s="3" t="n">
        <v>44299.0</v>
      </c>
      <c r="S4713" s="3" t="n">
        <v>44299.23436238426</v>
      </c>
      <c r="T4713" s="3" t="n">
        <v>44299.40979672454</v>
      </c>
      <c r="U4713" t="s">
        <v>28496</v>
      </c>
      <c r="V4713" t="s">
        <v>18076</v>
      </c>
    </row>
    <row r="4714">
      <c r="A4714" t="s">
        <v>23557</v>
      </c>
      <c r="B4714" t="s">
        <v>28497</v>
      </c>
      <c r="C4714" t="s">
        <v>60</v>
      </c>
      <c r="D4714" t="s">
        <v>61</v>
      </c>
      <c r="E4714" t="s">
        <v>28498</v>
      </c>
      <c r="F4714" s="2" t="n">
        <f>HYPERLINK("https://patents.google.com/patent/US10975139","Google")</f>
        <v>0.0</v>
      </c>
      <c r="G4714" s="2" t="n">
        <f>HYPERLINK("https://patentcenter.uspto.gov/applications/16996297","Patent Center")</f>
        <v>0.0</v>
      </c>
      <c r="H4714" s="2" t="n">
        <f>HYPERLINK("https://worldwide.espacenet.com/patent/search?q=US10975139","Espacenet")</f>
        <v>0.0</v>
      </c>
      <c r="I4714" s="2" t="n">
        <f>HYPERLINK("https://ppubs.uspto.gov/pubwebapp/external.html?q=10975139.pn.","USPTO")</f>
        <v>0.0</v>
      </c>
      <c r="J4714" s="2" t="n">
        <f>HYPERLINK("https://image-ppubs.uspto.gov/dirsearch-public/print/downloadPdf/10975139","USPTO PDF")</f>
        <v>0.0</v>
      </c>
      <c r="K4714" s="2" t="n">
        <f>HYPERLINK("https://sectors.patentforecast.com/pmd/US10975139","PMD")</f>
        <v>0.0</v>
      </c>
      <c r="L4714" s="2" t="n">
        <f>HYPERLINK("https://globaldossier.uspto.gov/result/patent/US/10975139/1","US10975139")</f>
        <v>0.0</v>
      </c>
      <c r="M4714" t="s">
        <v>28499</v>
      </c>
      <c r="N4714" t="s">
        <v>4321</v>
      </c>
      <c r="O4714" t="s">
        <v>4322</v>
      </c>
      <c r="P4714" t="s">
        <v>28500</v>
      </c>
      <c r="Q4714" s="3" t="n">
        <v>44061.0</v>
      </c>
      <c r="R4714" s="3" t="n">
        <v>44299.0</v>
      </c>
      <c r="S4714" s="3" t="n">
        <v>44299.22950284722</v>
      </c>
      <c r="T4714" s="3" t="n">
        <v>44299.406331782404</v>
      </c>
      <c r="U4714" t="s">
        <v>28501</v>
      </c>
      <c r="V4714" t="s">
        <v>28502</v>
      </c>
    </row>
    <row r="4715">
      <c r="A4715" t="s">
        <v>23557</v>
      </c>
      <c r="B4715" t="s">
        <v>28503</v>
      </c>
      <c r="C4715" t="s">
        <v>60</v>
      </c>
      <c r="D4715" t="s">
        <v>61</v>
      </c>
      <c r="E4715" t="s">
        <v>28504</v>
      </c>
      <c r="F4715" s="2" t="n">
        <f>HYPERLINK("https://patents.google.com/patent/US10975126","Google")</f>
        <v>0.0</v>
      </c>
      <c r="G4715" s="2" t="n">
        <f>HYPERLINK("https://patentcenter.uspto.gov/applications/16857136","Patent Center")</f>
        <v>0.0</v>
      </c>
      <c r="H4715" s="2" t="n">
        <f>HYPERLINK("https://worldwide.espacenet.com/patent/search?q=US10975126","Espacenet")</f>
        <v>0.0</v>
      </c>
      <c r="I4715" s="2" t="n">
        <f>HYPERLINK("https://ppubs.uspto.gov/pubwebapp/external.html?q=10975126.pn.","USPTO")</f>
        <v>0.0</v>
      </c>
      <c r="J4715" s="2" t="n">
        <f>HYPERLINK("https://image-ppubs.uspto.gov/dirsearch-public/print/downloadPdf/10975126","USPTO PDF")</f>
        <v>0.0</v>
      </c>
      <c r="K4715" s="2" t="n">
        <f>HYPERLINK("https://sectors.patentforecast.com/pmd/US10975126","PMD")</f>
        <v>0.0</v>
      </c>
      <c r="L4715" s="2" t="n">
        <f>HYPERLINK("https://globaldossier.uspto.gov/result/patent/US/10975126/1","US10975126")</f>
        <v>0.0</v>
      </c>
      <c r="M4715" t="s">
        <v>28505</v>
      </c>
      <c r="N4715" t="s">
        <v>11418</v>
      </c>
      <c r="O4715" t="s">
        <v>11418</v>
      </c>
      <c r="P4715" t="s">
        <v>28506</v>
      </c>
      <c r="Q4715" s="3" t="n">
        <v>43944.0</v>
      </c>
      <c r="R4715" s="3" t="n">
        <v>44299.0</v>
      </c>
      <c r="S4715" s="3" t="n">
        <v>44299.231121666664</v>
      </c>
      <c r="T4715" s="3" t="n">
        <v>44299.407721400465</v>
      </c>
      <c r="U4715" t="s">
        <v>28507</v>
      </c>
      <c r="V4715" t="s">
        <v>11421</v>
      </c>
    </row>
    <row r="4716">
      <c r="A4716" t="s">
        <v>23557</v>
      </c>
      <c r="B4716" t="s">
        <v>28508</v>
      </c>
      <c r="C4716" t="s">
        <v>132</v>
      </c>
      <c r="D4716" t="s">
        <v>133</v>
      </c>
      <c r="E4716" t="s">
        <v>28509</v>
      </c>
      <c r="F4716" s="2" t="n">
        <f>HYPERLINK("https://patents.google.com/patent/US10973910","Google")</f>
        <v>0.0</v>
      </c>
      <c r="G4716" s="2" t="n">
        <f>HYPERLINK("https://patentcenter.uspto.gov/applications/17025978","Patent Center")</f>
        <v>0.0</v>
      </c>
      <c r="H4716" s="2" t="n">
        <f>HYPERLINK("https://worldwide.espacenet.com/patent/search?q=US10973910","Espacenet")</f>
        <v>0.0</v>
      </c>
      <c r="I4716" s="2" t="n">
        <f>HYPERLINK("https://ppubs.uspto.gov/pubwebapp/external.html?q=10973910.pn.","USPTO")</f>
        <v>0.0</v>
      </c>
      <c r="J4716" s="2" t="n">
        <f>HYPERLINK("https://image-ppubs.uspto.gov/dirsearch-public/print/downloadPdf/10973910","USPTO PDF")</f>
        <v>0.0</v>
      </c>
      <c r="K4716" s="2" t="n">
        <f>HYPERLINK("https://sectors.patentforecast.com/pmd/US10973910","PMD")</f>
        <v>0.0</v>
      </c>
      <c r="L4716" s="2" t="n">
        <f>HYPERLINK("https://globaldossier.uspto.gov/result/patent/US/10973910/1","US10973910")</f>
        <v>0.0</v>
      </c>
      <c r="M4716" t="s">
        <v>15471</v>
      </c>
      <c r="N4716" t="s">
        <v>15472</v>
      </c>
      <c r="O4716" t="s">
        <v>15472</v>
      </c>
      <c r="P4716" t="s">
        <v>28510</v>
      </c>
      <c r="Q4716" s="3" t="n">
        <v>44092.0</v>
      </c>
      <c r="R4716" s="3" t="n">
        <v>44299.0</v>
      </c>
      <c r="S4716" s="3" t="n">
        <v>44299.22985050926</v>
      </c>
      <c r="T4716" s="3" t="n">
        <v>44299.40651313657</v>
      </c>
      <c r="U4716" t="s">
        <v>28511</v>
      </c>
      <c r="V4716" t="s">
        <v>15475</v>
      </c>
    </row>
    <row r="4717">
      <c r="A4717" t="s">
        <v>23557</v>
      </c>
      <c r="B4717" t="s">
        <v>28512</v>
      </c>
      <c r="C4717" t="s">
        <v>132</v>
      </c>
      <c r="D4717" t="s">
        <v>133</v>
      </c>
      <c r="E4717" t="s">
        <v>27079</v>
      </c>
      <c r="F4717" s="2" t="n">
        <f>HYPERLINK("https://patents.google.com/patent/US10973909","Google")</f>
        <v>0.0</v>
      </c>
      <c r="G4717" s="2" t="n">
        <f>HYPERLINK("https://patentcenter.uspto.gov/applications/16842669","Patent Center")</f>
        <v>0.0</v>
      </c>
      <c r="H4717" s="2" t="n">
        <f>HYPERLINK("https://worldwide.espacenet.com/patent/search?q=US10973909","Espacenet")</f>
        <v>0.0</v>
      </c>
      <c r="I4717" s="2" t="n">
        <f>HYPERLINK("https://ppubs.uspto.gov/pubwebapp/external.html?q=10973909.pn.","USPTO")</f>
        <v>0.0</v>
      </c>
      <c r="J4717" s="2" t="n">
        <f>HYPERLINK("https://image-ppubs.uspto.gov/dirsearch-public/print/downloadPdf/10973909","USPTO PDF")</f>
        <v>0.0</v>
      </c>
      <c r="K4717" s="2" t="n">
        <f>HYPERLINK("https://sectors.patentforecast.com/pmd/US10973909","PMD")</f>
        <v>0.0</v>
      </c>
      <c r="L4717" s="2" t="n">
        <f>HYPERLINK("https://globaldossier.uspto.gov/result/patent/US/10973909/1","US10973909")</f>
        <v>0.0</v>
      </c>
      <c r="M4717" t="s">
        <v>28513</v>
      </c>
      <c r="N4717" t="s">
        <v>28514</v>
      </c>
      <c r="O4717" t="s">
        <v>28515</v>
      </c>
      <c r="P4717" t="s">
        <v>28516</v>
      </c>
      <c r="Q4717" s="3" t="n">
        <v>43928.0</v>
      </c>
      <c r="R4717" s="3" t="n">
        <v>44299.0</v>
      </c>
      <c r="S4717" s="3" t="n">
        <v>44299.22985050926</v>
      </c>
      <c r="T4717" s="3" t="n">
        <v>44299.40595965278</v>
      </c>
      <c r="U4717" t="s">
        <v>28517</v>
      </c>
      <c r="V4717" t="s">
        <v>28518</v>
      </c>
    </row>
    <row r="4718">
      <c r="A4718" t="s">
        <v>23557</v>
      </c>
      <c r="B4718" t="s">
        <v>28519</v>
      </c>
      <c r="C4718" t="s">
        <v>132</v>
      </c>
      <c r="D4718" t="s">
        <v>133</v>
      </c>
      <c r="E4718" t="s">
        <v>28520</v>
      </c>
      <c r="F4718" s="2" t="n">
        <f>HYPERLINK("https://patents.google.com/patent/US10973908","Google")</f>
        <v>0.0</v>
      </c>
      <c r="G4718" s="2" t="n">
        <f>HYPERLINK("https://patentcenter.uspto.gov/applications/15931669","Patent Center")</f>
        <v>0.0</v>
      </c>
      <c r="H4718" s="2" t="n">
        <f>HYPERLINK("https://worldwide.espacenet.com/patent/search?q=US10973908","Espacenet")</f>
        <v>0.0</v>
      </c>
      <c r="I4718" s="2" t="n">
        <f>HYPERLINK("https://ppubs.uspto.gov/pubwebapp/external.html?q=10973908.pn.","USPTO")</f>
        <v>0.0</v>
      </c>
      <c r="J4718" s="2" t="n">
        <f>HYPERLINK("https://image-ppubs.uspto.gov/dirsearch-public/print/downloadPdf/10973908","USPTO PDF")</f>
        <v>0.0</v>
      </c>
      <c r="K4718" s="2" t="n">
        <f>HYPERLINK("https://sectors.patentforecast.com/pmd/US10973908","PMD")</f>
        <v>0.0</v>
      </c>
      <c r="L4718" s="2" t="n">
        <f>HYPERLINK("https://globaldossier.uspto.gov/result/patent/US/10973908/1","US10973908")</f>
        <v>0.0</v>
      </c>
      <c r="M4718" t="s">
        <v>28521</v>
      </c>
      <c r="N4718" t="s">
        <v>28522</v>
      </c>
      <c r="O4718" t="s">
        <v>28523</v>
      </c>
      <c r="P4718" t="s">
        <v>24293</v>
      </c>
      <c r="Q4718" s="3" t="n">
        <v>43965.0</v>
      </c>
      <c r="R4718" s="3" t="n">
        <v>44299.0</v>
      </c>
      <c r="S4718" s="3" t="n">
        <v>44299.22950284722</v>
      </c>
      <c r="T4718" s="3" t="n">
        <v>44299.40587221065</v>
      </c>
      <c r="U4718" t="s">
        <v>28524</v>
      </c>
      <c r="V4718" t="s">
        <v>28525</v>
      </c>
    </row>
    <row r="4719">
      <c r="A4719" t="s">
        <v>23557</v>
      </c>
      <c r="B4719" t="s">
        <v>28526</v>
      </c>
      <c r="C4719" t="s">
        <v>132</v>
      </c>
      <c r="D4719" t="s">
        <v>2629</v>
      </c>
      <c r="E4719" t="s">
        <v>28527</v>
      </c>
      <c r="F4719" s="2" t="n">
        <f>HYPERLINK("https://patents.google.com/patent/US10973900","Google")</f>
        <v>0.0</v>
      </c>
      <c r="G4719" s="2" t="n">
        <f>HYPERLINK("https://patentcenter.uspto.gov/applications/16613111","Patent Center")</f>
        <v>0.0</v>
      </c>
      <c r="H4719" s="2" t="n">
        <f>HYPERLINK("https://worldwide.espacenet.com/patent/search?q=US10973900","Espacenet")</f>
        <v>0.0</v>
      </c>
      <c r="I4719" s="2" t="n">
        <f>HYPERLINK("https://ppubs.uspto.gov/pubwebapp/external.html?q=10973900.pn.","USPTO")</f>
        <v>0.0</v>
      </c>
      <c r="J4719" s="2" t="n">
        <f>HYPERLINK("https://image-ppubs.uspto.gov/dirsearch-public/print/downloadPdf/10973900","USPTO PDF")</f>
        <v>0.0</v>
      </c>
      <c r="K4719" s="2" t="n">
        <f>HYPERLINK("https://sectors.patentforecast.com/pmd/US10973900","PMD")</f>
        <v>0.0</v>
      </c>
      <c r="L4719" s="2" t="n">
        <f>HYPERLINK("https://globaldossier.uspto.gov/result/patent/US/10973900/1","US10973900")</f>
        <v>0.0</v>
      </c>
      <c r="M4719" t="s">
        <v>16732</v>
      </c>
      <c r="N4719" t="s">
        <v>15147</v>
      </c>
      <c r="O4719" t="s">
        <v>15148</v>
      </c>
      <c r="P4719" t="s">
        <v>28528</v>
      </c>
      <c r="Q4719" s="3" t="n">
        <v>43231.0</v>
      </c>
      <c r="R4719" s="3" t="n">
        <v>44299.0</v>
      </c>
      <c r="S4719" s="3" t="n">
        <v>44299.23355222222</v>
      </c>
      <c r="T4719" s="3" t="n">
        <v>44299.40838237268</v>
      </c>
      <c r="U4719" t="s">
        <v>28529</v>
      </c>
      <c r="V4719" t="s">
        <v>16735</v>
      </c>
    </row>
    <row r="4720">
      <c r="A4720" t="s">
        <v>23557</v>
      </c>
      <c r="B4720" t="s">
        <v>28530</v>
      </c>
      <c r="C4720" t="s">
        <v>24</v>
      </c>
      <c r="D4720" t="s">
        <v>34</v>
      </c>
      <c r="E4720" t="s">
        <v>28531</v>
      </c>
      <c r="F4720" s="2" t="n">
        <f>HYPERLINK("https://patents.google.com/patent/US10973470","Google")</f>
        <v>0.0</v>
      </c>
      <c r="G4720" s="2" t="n">
        <f>HYPERLINK("https://patentcenter.uspto.gov/applications/16848646","Patent Center")</f>
        <v>0.0</v>
      </c>
      <c r="H4720" s="2" t="n">
        <f>HYPERLINK("https://worldwide.espacenet.com/patent/search?q=US10973470","Espacenet")</f>
        <v>0.0</v>
      </c>
      <c r="I4720" s="2" t="n">
        <f>HYPERLINK("https://ppubs.uspto.gov/pubwebapp/external.html?q=10973470.pn.","USPTO")</f>
        <v>0.0</v>
      </c>
      <c r="J4720" s="2" t="n">
        <f>HYPERLINK("https://image-ppubs.uspto.gov/dirsearch-public/print/downloadPdf/10973470","USPTO PDF")</f>
        <v>0.0</v>
      </c>
      <c r="K4720" s="2" t="n">
        <f>HYPERLINK("https://sectors.patentforecast.com/pmd/US10973470","PMD")</f>
        <v>0.0</v>
      </c>
      <c r="L4720" s="2" t="n">
        <f>HYPERLINK("https://globaldossier.uspto.gov/result/patent/US/10973470/1","US10973470")</f>
        <v>0.0</v>
      </c>
      <c r="M4720" t="s">
        <v>16562</v>
      </c>
      <c r="N4720" t="s">
        <v>15092</v>
      </c>
      <c r="O4720" t="s">
        <v>15093</v>
      </c>
      <c r="P4720" t="s">
        <v>28532</v>
      </c>
      <c r="Q4720" s="3" t="n">
        <v>43935.0</v>
      </c>
      <c r="R4720" s="3" t="n">
        <v>44299.0</v>
      </c>
      <c r="S4720" s="3" t="n">
        <v>44299.22985050926</v>
      </c>
      <c r="T4720" s="3" t="n">
        <v>44299.409454699075</v>
      </c>
      <c r="U4720" t="s">
        <v>28533</v>
      </c>
      <c r="V4720" t="s">
        <v>15096</v>
      </c>
    </row>
    <row r="4721">
      <c r="A4721" t="s">
        <v>23557</v>
      </c>
      <c r="B4721" t="s">
        <v>28534</v>
      </c>
      <c r="C4721" t="s">
        <v>24</v>
      </c>
      <c r="D4721" t="s">
        <v>51</v>
      </c>
      <c r="E4721" t="s">
        <v>27471</v>
      </c>
      <c r="F4721" s="2" t="n">
        <f>HYPERLINK("https://patents.google.com/patent/US10968493","Google")</f>
        <v>0.0</v>
      </c>
      <c r="G4721" s="2" t="n">
        <f>HYPERLINK("https://patentcenter.uspto.gov/applications/16938575","Patent Center")</f>
        <v>0.0</v>
      </c>
      <c r="H4721" s="2" t="n">
        <f>HYPERLINK("https://worldwide.espacenet.com/patent/search?q=US10968493","Espacenet")</f>
        <v>0.0</v>
      </c>
      <c r="I4721" s="2" t="n">
        <f>HYPERLINK("https://ppubs.uspto.gov/pubwebapp/external.html?q=10968493.pn.","USPTO")</f>
        <v>0.0</v>
      </c>
      <c r="J4721" s="2" t="n">
        <f>HYPERLINK("https://image-ppubs.uspto.gov/dirsearch-public/print/downloadPdf/10968493","USPTO PDF")</f>
        <v>0.0</v>
      </c>
      <c r="K4721" s="2" t="n">
        <f>HYPERLINK("https://sectors.patentforecast.com/pmd/US10968493","PMD")</f>
        <v>0.0</v>
      </c>
      <c r="L4721" s="2" t="n">
        <f>HYPERLINK("https://globaldossier.uspto.gov/result/patent/US/10968493/1","US10968493")</f>
        <v>0.0</v>
      </c>
      <c r="M4721" t="s">
        <v>28535</v>
      </c>
      <c r="N4721" t="s">
        <v>14065</v>
      </c>
      <c r="O4721" t="s">
        <v>14066</v>
      </c>
      <c r="P4721" t="s">
        <v>28373</v>
      </c>
      <c r="Q4721" s="3" t="n">
        <v>44036.0</v>
      </c>
      <c r="R4721" s="3" t="n">
        <v>44292.0</v>
      </c>
      <c r="S4721" s="3" t="n">
        <v>44292.229560555556</v>
      </c>
      <c r="T4721" s="3" t="n">
        <v>44292.60426115741</v>
      </c>
      <c r="U4721" t="s">
        <v>28374</v>
      </c>
      <c r="V4721" t="s">
        <v>28536</v>
      </c>
    </row>
    <row r="4722">
      <c r="A4722" t="s">
        <v>23557</v>
      </c>
      <c r="B4722" t="s">
        <v>28537</v>
      </c>
      <c r="C4722" t="s">
        <v>24</v>
      </c>
      <c r="D4722" t="s">
        <v>51</v>
      </c>
      <c r="E4722" t="s">
        <v>28538</v>
      </c>
      <c r="F4722" s="2" t="n">
        <f>HYPERLINK("https://patents.google.com/patent/US10967368","Google")</f>
        <v>0.0</v>
      </c>
      <c r="G4722" s="2" t="n">
        <f>HYPERLINK("https://patentcenter.uspto.gov/applications/16997850","Patent Center")</f>
        <v>0.0</v>
      </c>
      <c r="H4722" s="2" t="n">
        <f>HYPERLINK("https://worldwide.espacenet.com/patent/search?q=US10967368","Espacenet")</f>
        <v>0.0</v>
      </c>
      <c r="I4722" s="2" t="n">
        <f>HYPERLINK("https://ppubs.uspto.gov/pubwebapp/external.html?q=10967368.pn.","USPTO")</f>
        <v>0.0</v>
      </c>
      <c r="J4722" s="2" t="n">
        <f>HYPERLINK("https://image-ppubs.uspto.gov/dirsearch-public/print/downloadPdf/10967368","USPTO PDF")</f>
        <v>0.0</v>
      </c>
      <c r="K4722" s="2" t="n">
        <f>HYPERLINK("https://sectors.patentforecast.com/pmd/US10967368","PMD")</f>
        <v>0.0</v>
      </c>
      <c r="L4722" s="2" t="n">
        <f>HYPERLINK("https://globaldossier.uspto.gov/result/patent/US/10967368/1","US10967368")</f>
        <v>0.0</v>
      </c>
      <c r="M4722" t="s">
        <v>28539</v>
      </c>
      <c r="N4722" t="s">
        <v>7089</v>
      </c>
      <c r="O4722" t="s">
        <v>7090</v>
      </c>
      <c r="P4722" t="s">
        <v>28064</v>
      </c>
      <c r="Q4722" s="3" t="n">
        <v>44062.0</v>
      </c>
      <c r="R4722" s="3" t="n">
        <v>44292.0</v>
      </c>
      <c r="S4722" s="3" t="n">
        <v>44292.229560555556</v>
      </c>
      <c r="T4722" s="3" t="n">
        <v>44292.605381643516</v>
      </c>
      <c r="U4722" t="s">
        <v>28540</v>
      </c>
      <c r="V4722" t="s">
        <v>28165</v>
      </c>
    </row>
    <row r="4723">
      <c r="A4723" t="s">
        <v>23557</v>
      </c>
      <c r="B4723" t="s">
        <v>28541</v>
      </c>
      <c r="C4723" t="s">
        <v>60</v>
      </c>
      <c r="D4723" t="s">
        <v>715</v>
      </c>
      <c r="E4723" t="s">
        <v>28542</v>
      </c>
      <c r="F4723" s="2" t="n">
        <f>HYPERLINK("https://patents.google.com/patent/US10967204","Google")</f>
        <v>0.0</v>
      </c>
      <c r="G4723" s="2" t="n">
        <f>HYPERLINK("https://patentcenter.uspto.gov/applications/17024305","Patent Center")</f>
        <v>0.0</v>
      </c>
      <c r="H4723" s="2" t="n">
        <f>HYPERLINK("https://worldwide.espacenet.com/patent/search?q=US10967204","Espacenet")</f>
        <v>0.0</v>
      </c>
      <c r="I4723" s="2" t="n">
        <f>HYPERLINK("https://ppubs.uspto.gov/pubwebapp/external.html?q=10967204.pn.","USPTO")</f>
        <v>0.0</v>
      </c>
      <c r="J4723" s="2" t="n">
        <f>HYPERLINK("https://image-ppubs.uspto.gov/dirsearch-public/print/downloadPdf/10967204","USPTO PDF")</f>
        <v>0.0</v>
      </c>
      <c r="K4723" s="2" t="n">
        <f>HYPERLINK("https://sectors.patentforecast.com/pmd/US10967204","PMD")</f>
        <v>0.0</v>
      </c>
      <c r="L4723" s="2" t="n">
        <f>HYPERLINK("https://globaldossier.uspto.gov/result/patent/US/10967204/1","US10967204")</f>
        <v>0.0</v>
      </c>
      <c r="M4723" t="s">
        <v>28543</v>
      </c>
      <c r="N4723" t="s">
        <v>28544</v>
      </c>
      <c r="O4723" t="s">
        <v>28545</v>
      </c>
      <c r="P4723" t="s">
        <v>28546</v>
      </c>
      <c r="Q4723" s="3" t="n">
        <v>44091.0</v>
      </c>
      <c r="R4723" s="3" t="n">
        <v>44292.0</v>
      </c>
      <c r="S4723" s="3" t="n">
        <v>44292.229560555556</v>
      </c>
      <c r="T4723" s="3" t="n">
        <v>44292.605455509256</v>
      </c>
      <c r="U4723" t="s">
        <v>28547</v>
      </c>
      <c r="V4723" t="s">
        <v>28548</v>
      </c>
    </row>
    <row r="4724">
      <c r="A4724" t="s">
        <v>23557</v>
      </c>
      <c r="B4724" t="s">
        <v>28549</v>
      </c>
      <c r="C4724" t="s">
        <v>60</v>
      </c>
      <c r="D4724" t="s">
        <v>715</v>
      </c>
      <c r="E4724" t="s">
        <v>28550</v>
      </c>
      <c r="F4724" s="2" t="n">
        <f>HYPERLINK("https://patents.google.com/patent/US10967182","Google")</f>
        <v>0.0</v>
      </c>
      <c r="G4724" s="2" t="n">
        <f>HYPERLINK("https://patentcenter.uspto.gov/applications/16846220","Patent Center")</f>
        <v>0.0</v>
      </c>
      <c r="H4724" s="2" t="n">
        <f>HYPERLINK("https://worldwide.espacenet.com/patent/search?q=US10967182","Espacenet")</f>
        <v>0.0</v>
      </c>
      <c r="I4724" s="2" t="n">
        <f>HYPERLINK("https://ppubs.uspto.gov/pubwebapp/external.html?q=10967182.pn.","USPTO")</f>
        <v>0.0</v>
      </c>
      <c r="J4724" s="2" t="n">
        <f>HYPERLINK("https://image-ppubs.uspto.gov/dirsearch-public/print/downloadPdf/10967182","USPTO PDF")</f>
        <v>0.0</v>
      </c>
      <c r="K4724" s="2" t="n">
        <f>HYPERLINK("https://sectors.patentforecast.com/pmd/US10967182","PMD")</f>
        <v>0.0</v>
      </c>
      <c r="L4724" s="2" t="n">
        <f>HYPERLINK("https://globaldossier.uspto.gov/result/patent/US/10967182/1","US10967182")</f>
        <v>0.0</v>
      </c>
      <c r="M4724" t="s">
        <v>28551</v>
      </c>
      <c r="N4724" t="s">
        <v>28552</v>
      </c>
      <c r="O4724" t="s">
        <v>28553</v>
      </c>
      <c r="P4724" t="s">
        <v>28554</v>
      </c>
      <c r="Q4724" s="3" t="n">
        <v>43931.0</v>
      </c>
      <c r="R4724" s="3" t="n">
        <v>44292.0</v>
      </c>
      <c r="S4724" s="3" t="n">
        <v>44292.229560555556</v>
      </c>
      <c r="T4724" s="3" t="n">
        <v>44292.605124953705</v>
      </c>
      <c r="U4724" t="s">
        <v>28555</v>
      </c>
      <c r="V4724" t="s">
        <v>28556</v>
      </c>
    </row>
    <row r="4725">
      <c r="A4725" t="s">
        <v>23557</v>
      </c>
      <c r="B4725" t="s">
        <v>28557</v>
      </c>
      <c r="C4725" t="s">
        <v>24</v>
      </c>
      <c r="D4725" t="s">
        <v>69</v>
      </c>
      <c r="E4725" t="s">
        <v>28558</v>
      </c>
      <c r="F4725" s="2" t="n">
        <f>HYPERLINK("https://patents.google.com/patent/US10966471","Google")</f>
        <v>0.0</v>
      </c>
      <c r="G4725" s="2" t="n">
        <f>HYPERLINK("https://patentcenter.uspto.gov/applications/16880496","Patent Center")</f>
        <v>0.0</v>
      </c>
      <c r="H4725" s="2" t="n">
        <f>HYPERLINK("https://worldwide.espacenet.com/patent/search?q=US10966471","Espacenet")</f>
        <v>0.0</v>
      </c>
      <c r="I4725" s="2" t="n">
        <f>HYPERLINK("https://ppubs.uspto.gov/pubwebapp/external.html?q=10966471.pn.","USPTO")</f>
        <v>0.0</v>
      </c>
      <c r="J4725" s="2" t="n">
        <f>HYPERLINK("https://image-ppubs.uspto.gov/dirsearch-public/print/downloadPdf/10966471","USPTO PDF")</f>
        <v>0.0</v>
      </c>
      <c r="K4725" s="2" t="n">
        <f>HYPERLINK("https://sectors.patentforecast.com/pmd/US10966471","PMD")</f>
        <v>0.0</v>
      </c>
      <c r="L4725" s="2" t="n">
        <f>HYPERLINK("https://globaldossier.uspto.gov/result/patent/US/10966471/1","US10966471")</f>
        <v>0.0</v>
      </c>
      <c r="M4725" t="s">
        <v>28559</v>
      </c>
      <c r="N4725" t="s">
        <v>28198</v>
      </c>
      <c r="O4725" t="s">
        <v>28199</v>
      </c>
      <c r="P4725" t="s">
        <v>28200</v>
      </c>
      <c r="Q4725" s="3" t="n">
        <v>43972.0</v>
      </c>
      <c r="R4725" s="3" t="n">
        <v>44292.0</v>
      </c>
      <c r="S4725" s="3" t="n">
        <v>44292.229560555556</v>
      </c>
      <c r="T4725" s="3" t="n">
        <v>44292.6041303125</v>
      </c>
      <c r="U4725" t="s">
        <v>28560</v>
      </c>
      <c r="V4725" t="s">
        <v>28561</v>
      </c>
    </row>
    <row r="4726">
      <c r="A4726" t="s">
        <v>23557</v>
      </c>
      <c r="B4726" t="s">
        <v>28562</v>
      </c>
      <c r="C4726" t="s">
        <v>312</v>
      </c>
      <c r="D4726" t="s">
        <v>976</v>
      </c>
      <c r="E4726" t="s">
        <v>28563</v>
      </c>
      <c r="F4726" s="2" t="n">
        <f>HYPERLINK("https://patents.google.com/patent/US10964415","Google")</f>
        <v>0.0</v>
      </c>
      <c r="G4726" s="2" t="n">
        <f>HYPERLINK("https://patentcenter.uspto.gov/applications/15657800","Patent Center")</f>
        <v>0.0</v>
      </c>
      <c r="H4726" s="2" t="n">
        <f>HYPERLINK("https://worldwide.espacenet.com/patent/search?q=US10964415","Espacenet")</f>
        <v>0.0</v>
      </c>
      <c r="I4726" s="2" t="n">
        <f>HYPERLINK("https://ppubs.uspto.gov/pubwebapp/external.html?q=10964415.pn.","USPTO")</f>
        <v>0.0</v>
      </c>
      <c r="J4726" s="2" t="n">
        <f>HYPERLINK("https://image-ppubs.uspto.gov/dirsearch-public/print/downloadPdf/10964415","USPTO PDF")</f>
        <v>0.0</v>
      </c>
      <c r="K4726" s="2" t="n">
        <f>HYPERLINK("https://sectors.patentforecast.com/pmd/US10964415","PMD")</f>
        <v>0.0</v>
      </c>
      <c r="L4726" s="2" t="n">
        <f>HYPERLINK("https://globaldossier.uspto.gov/result/patent/US/10964415/1","US10964415")</f>
        <v>0.0</v>
      </c>
      <c r="M4726" t="s">
        <v>18939</v>
      </c>
      <c r="N4726" t="s">
        <v>18940</v>
      </c>
      <c r="O4726" t="s">
        <v>18941</v>
      </c>
      <c r="P4726" t="s">
        <v>28564</v>
      </c>
      <c r="Q4726" s="3" t="n">
        <v>42940.0</v>
      </c>
      <c r="R4726" s="3" t="n">
        <v>44285.0</v>
      </c>
      <c r="S4726" s="3" t="n">
        <v>44299.23042865741</v>
      </c>
      <c r="T4726" s="3" t="n">
        <v>44299.6552056713</v>
      </c>
      <c r="U4726" t="s">
        <v>28565</v>
      </c>
      <c r="V4726" t="s">
        <v>18944</v>
      </c>
    </row>
    <row r="4727">
      <c r="A4727" t="s">
        <v>23557</v>
      </c>
      <c r="B4727" t="s">
        <v>28566</v>
      </c>
      <c r="C4727" t="s">
        <v>312</v>
      </c>
      <c r="D4727" t="s">
        <v>313</v>
      </c>
      <c r="E4727" t="s">
        <v>28567</v>
      </c>
      <c r="F4727" s="2" t="n">
        <f>HYPERLINK("https://patents.google.com/patent/US10964412","Google")</f>
        <v>0.0</v>
      </c>
      <c r="G4727" s="2" t="n">
        <f>HYPERLINK("https://patentcenter.uspto.gov/applications/15299337","Patent Center")</f>
        <v>0.0</v>
      </c>
      <c r="H4727" s="2" t="n">
        <f>HYPERLINK("https://worldwide.espacenet.com/patent/search?q=US10964412","Espacenet")</f>
        <v>0.0</v>
      </c>
      <c r="I4727" s="2" t="n">
        <f>HYPERLINK("https://ppubs.uspto.gov/pubwebapp/external.html?q=10964412.pn.","USPTO")</f>
        <v>0.0</v>
      </c>
      <c r="J4727" s="2" t="n">
        <f>HYPERLINK("https://image-ppubs.uspto.gov/dirsearch-public/print/downloadPdf/10964412","USPTO PDF")</f>
        <v>0.0</v>
      </c>
      <c r="K4727" s="2" t="n">
        <f>HYPERLINK("https://sectors.patentforecast.com/pmd/US10964412","PMD")</f>
        <v>0.0</v>
      </c>
      <c r="L4727" s="2" t="n">
        <f>HYPERLINK("https://globaldossier.uspto.gov/result/patent/US/10964412/1","US10964412")</f>
        <v>0.0</v>
      </c>
      <c r="M4727" t="s">
        <v>28568</v>
      </c>
      <c r="N4727" t="s">
        <v>28569</v>
      </c>
      <c r="O4727" t="s">
        <v>28570</v>
      </c>
      <c r="P4727" t="s">
        <v>28571</v>
      </c>
      <c r="Q4727" s="3" t="n">
        <v>42663.0</v>
      </c>
      <c r="R4727" s="3" t="n">
        <v>44285.0</v>
      </c>
      <c r="S4727" s="3" t="n">
        <v>44299.23042865741</v>
      </c>
      <c r="T4727" s="3" t="n">
        <v>44299.410422106484</v>
      </c>
      <c r="U4727" t="s">
        <v>28572</v>
      </c>
      <c r="V4727" t="s">
        <v>28573</v>
      </c>
    </row>
    <row r="4728">
      <c r="A4728" t="s">
        <v>23557</v>
      </c>
      <c r="B4728" t="s">
        <v>28574</v>
      </c>
      <c r="C4728" t="s">
        <v>24</v>
      </c>
      <c r="D4728" t="s">
        <v>34</v>
      </c>
      <c r="E4728" t="s">
        <v>28575</v>
      </c>
      <c r="F4728" s="2" t="n">
        <f>HYPERLINK("https://patents.google.com/patent/US10962529","Google")</f>
        <v>0.0</v>
      </c>
      <c r="G4728" s="2" t="n">
        <f>HYPERLINK("https://patentcenter.uspto.gov/applications/17108263","Patent Center")</f>
        <v>0.0</v>
      </c>
      <c r="H4728" s="2" t="n">
        <f>HYPERLINK("https://worldwide.espacenet.com/patent/search?q=US10962529","Espacenet")</f>
        <v>0.0</v>
      </c>
      <c r="I4728" s="2" t="n">
        <f>HYPERLINK("https://ppubs.uspto.gov/pubwebapp/external.html?q=10962529.pn.","USPTO")</f>
        <v>0.0</v>
      </c>
      <c r="J4728" s="2" t="n">
        <f>HYPERLINK("https://image-ppubs.uspto.gov/dirsearch-public/print/downloadPdf/10962529","USPTO PDF")</f>
        <v>0.0</v>
      </c>
      <c r="K4728" s="2" t="n">
        <f>HYPERLINK("https://sectors.patentforecast.com/pmd/US10962529","PMD")</f>
        <v>0.0</v>
      </c>
      <c r="L4728" s="2" t="n">
        <f>HYPERLINK("https://globaldossier.uspto.gov/result/patent/US/10962529/1","US10962529")</f>
        <v>0.0</v>
      </c>
      <c r="M4728" t="s">
        <v>28576</v>
      </c>
      <c r="N4728" t="s">
        <v>5964</v>
      </c>
      <c r="O4728" t="s">
        <v>5964</v>
      </c>
      <c r="P4728" t="s">
        <v>28577</v>
      </c>
      <c r="Q4728" s="3" t="n">
        <v>44166.0</v>
      </c>
      <c r="R4728" s="3" t="n">
        <v>44285.0</v>
      </c>
      <c r="S4728" s="3" t="n">
        <v>44285.22979416667</v>
      </c>
      <c r="T4728" s="3" t="n">
        <v>44285.58033217592</v>
      </c>
      <c r="U4728" t="s">
        <v>28578</v>
      </c>
      <c r="V4728" t="s">
        <v>28579</v>
      </c>
    </row>
    <row r="4729">
      <c r="A4729" t="s">
        <v>23557</v>
      </c>
      <c r="B4729" t="s">
        <v>28580</v>
      </c>
      <c r="C4729" t="s">
        <v>132</v>
      </c>
      <c r="D4729" t="s">
        <v>2629</v>
      </c>
      <c r="E4729" t="s">
        <v>28581</v>
      </c>
      <c r="F4729" s="2" t="n">
        <f>HYPERLINK("https://patents.google.com/patent/US10961283","Google")</f>
        <v>0.0</v>
      </c>
      <c r="G4729" s="2" t="n">
        <f>HYPERLINK("https://patentcenter.uspto.gov/applications/16312166","Patent Center")</f>
        <v>0.0</v>
      </c>
      <c r="H4729" s="2" t="n">
        <f>HYPERLINK("https://worldwide.espacenet.com/patent/search?q=US10961283","Espacenet")</f>
        <v>0.0</v>
      </c>
      <c r="I4729" s="2" t="n">
        <f>HYPERLINK("https://ppubs.uspto.gov/pubwebapp/external.html?q=10961283.pn.","USPTO")</f>
        <v>0.0</v>
      </c>
      <c r="J4729" s="2" t="n">
        <f>HYPERLINK("https://image-ppubs.uspto.gov/dirsearch-public/print/downloadPdf/10961283","USPTO PDF")</f>
        <v>0.0</v>
      </c>
      <c r="K4729" s="2" t="n">
        <f>HYPERLINK("https://sectors.patentforecast.com/pmd/US10961283","PMD")</f>
        <v>0.0</v>
      </c>
      <c r="L4729" s="2" t="n">
        <f>HYPERLINK("https://globaldossier.uspto.gov/result/patent/US/10961283/1","US10961283")</f>
        <v>0.0</v>
      </c>
      <c r="M4729" t="s">
        <v>28582</v>
      </c>
      <c r="N4729" t="s">
        <v>1792</v>
      </c>
      <c r="O4729" t="s">
        <v>1793</v>
      </c>
      <c r="P4729" t="s">
        <v>28583</v>
      </c>
      <c r="Q4729" s="3" t="n">
        <v>42913.0</v>
      </c>
      <c r="R4729" s="3" t="n">
        <v>44285.0</v>
      </c>
      <c r="S4729" s="3" t="n">
        <v>44285.23095152778</v>
      </c>
      <c r="T4729" s="3" t="n">
        <v>44285.574499166665</v>
      </c>
      <c r="U4729" t="s">
        <v>28584</v>
      </c>
      <c r="V4729" t="s">
        <v>28585</v>
      </c>
    </row>
    <row r="4730">
      <c r="A4730" t="s">
        <v>23557</v>
      </c>
      <c r="B4730" t="s">
        <v>28586</v>
      </c>
      <c r="C4730" t="s">
        <v>24</v>
      </c>
      <c r="D4730" t="s">
        <v>69</v>
      </c>
      <c r="E4730" t="s">
        <v>26077</v>
      </c>
      <c r="F4730" s="2" t="n">
        <f>HYPERLINK("https://patents.google.com/patent/US10960238","Google")</f>
        <v>0.0</v>
      </c>
      <c r="G4730" s="2" t="n">
        <f>HYPERLINK("https://patentcenter.uspto.gov/applications/17083413","Patent Center")</f>
        <v>0.0</v>
      </c>
      <c r="H4730" s="2" t="n">
        <f>HYPERLINK("https://worldwide.espacenet.com/patent/search?q=US10960238","Espacenet")</f>
        <v>0.0</v>
      </c>
      <c r="I4730" s="2" t="n">
        <f>HYPERLINK("https://ppubs.uspto.gov/pubwebapp/external.html?q=10960238.pn.","USPTO")</f>
        <v>0.0</v>
      </c>
      <c r="J4730" s="2" t="n">
        <f>HYPERLINK("https://image-ppubs.uspto.gov/dirsearch-public/print/downloadPdf/10960238","USPTO PDF")</f>
        <v>0.0</v>
      </c>
      <c r="K4730" s="2" t="n">
        <f>HYPERLINK("https://sectors.patentforecast.com/pmd/US10960238","PMD")</f>
        <v>0.0</v>
      </c>
      <c r="L4730" s="2" t="n">
        <f>HYPERLINK("https://globaldossier.uspto.gov/result/patent/US/10960238/1","US10960238")</f>
        <v>0.0</v>
      </c>
      <c r="M4730" t="s">
        <v>28587</v>
      </c>
      <c r="N4730" t="s">
        <v>28588</v>
      </c>
      <c r="O4730" t="s">
        <v>28589</v>
      </c>
      <c r="P4730" t="s">
        <v>28590</v>
      </c>
      <c r="Q4730" s="3" t="n">
        <v>44133.0</v>
      </c>
      <c r="R4730" s="3" t="n">
        <v>44285.0</v>
      </c>
      <c r="S4730" s="3" t="n">
        <v>44285.22979416667</v>
      </c>
      <c r="T4730" s="3" t="n">
        <v>44285.57336821759</v>
      </c>
      <c r="U4730" t="s">
        <v>28591</v>
      </c>
      <c r="V4730" t="s">
        <v>28592</v>
      </c>
    </row>
    <row r="4731">
      <c r="A4731" t="s">
        <v>23557</v>
      </c>
      <c r="B4731" t="s">
        <v>28593</v>
      </c>
      <c r="C4731" t="s">
        <v>132</v>
      </c>
      <c r="D4731" t="s">
        <v>133</v>
      </c>
      <c r="E4731" t="s">
        <v>28594</v>
      </c>
      <c r="F4731" s="2" t="n">
        <f>HYPERLINK("https://patents.google.com/patent/US10960070","Google")</f>
        <v>0.0</v>
      </c>
      <c r="G4731" s="2" t="n">
        <f>HYPERLINK("https://patentcenter.uspto.gov/applications/16344774","Patent Center")</f>
        <v>0.0</v>
      </c>
      <c r="H4731" s="2" t="n">
        <f>HYPERLINK("https://worldwide.espacenet.com/patent/search?q=US10960070","Espacenet")</f>
        <v>0.0</v>
      </c>
      <c r="I4731" s="2" t="n">
        <f>HYPERLINK("https://ppubs.uspto.gov/pubwebapp/external.html?q=10960070.pn.","USPTO")</f>
        <v>0.0</v>
      </c>
      <c r="J4731" s="2" t="n">
        <f>HYPERLINK("https://image-ppubs.uspto.gov/dirsearch-public/print/downloadPdf/10960070","USPTO PDF")</f>
        <v>0.0</v>
      </c>
      <c r="K4731" s="2" t="n">
        <f>HYPERLINK("https://sectors.patentforecast.com/pmd/US10960070","PMD")</f>
        <v>0.0</v>
      </c>
      <c r="L4731" s="2" t="n">
        <f>HYPERLINK("https://globaldossier.uspto.gov/result/patent/US/10960070/1","US10960070")</f>
        <v>0.0</v>
      </c>
      <c r="M4731" t="s">
        <v>17086</v>
      </c>
      <c r="N4731" t="s">
        <v>7310</v>
      </c>
      <c r="O4731" t="s">
        <v>7311</v>
      </c>
      <c r="P4731" t="s">
        <v>28595</v>
      </c>
      <c r="Q4731" s="3" t="n">
        <v>43033.0</v>
      </c>
      <c r="R4731" s="3" t="n">
        <v>44285.0</v>
      </c>
      <c r="S4731" s="3" t="n">
        <v>44285.23095152778</v>
      </c>
      <c r="T4731" s="3" t="n">
        <v>44285.575063020835</v>
      </c>
      <c r="U4731" t="s">
        <v>28596</v>
      </c>
      <c r="V4731" t="s">
        <v>14309</v>
      </c>
    </row>
    <row r="4732">
      <c r="A4732" t="s">
        <v>23557</v>
      </c>
      <c r="B4732" t="s">
        <v>28597</v>
      </c>
      <c r="C4732" t="s">
        <v>60</v>
      </c>
      <c r="D4732" t="s">
        <v>2262</v>
      </c>
      <c r="E4732" t="s">
        <v>28598</v>
      </c>
      <c r="F4732" s="2" t="n">
        <f>HYPERLINK("https://patents.google.com/patent/US10959969","Google")</f>
        <v>0.0</v>
      </c>
      <c r="G4732" s="2" t="n">
        <f>HYPERLINK("https://patentcenter.uspto.gov/applications/16947759","Patent Center")</f>
        <v>0.0</v>
      </c>
      <c r="H4732" s="2" t="n">
        <f>HYPERLINK("https://worldwide.espacenet.com/patent/search?q=US10959969","Espacenet")</f>
        <v>0.0</v>
      </c>
      <c r="I4732" s="2" t="n">
        <f>HYPERLINK("https://ppubs.uspto.gov/pubwebapp/external.html?q=10959969.pn.","USPTO")</f>
        <v>0.0</v>
      </c>
      <c r="J4732" s="2" t="n">
        <f>HYPERLINK("https://image-ppubs.uspto.gov/dirsearch-public/print/downloadPdf/10959969","USPTO PDF")</f>
        <v>0.0</v>
      </c>
      <c r="K4732" s="2" t="n">
        <f>HYPERLINK("https://sectors.patentforecast.com/pmd/US10959969","PMD")</f>
        <v>0.0</v>
      </c>
      <c r="L4732" s="2" t="n">
        <f>HYPERLINK("https://globaldossier.uspto.gov/result/patent/US/10959969/1","US10959969")</f>
        <v>0.0</v>
      </c>
      <c r="M4732" t="s">
        <v>28599</v>
      </c>
      <c r="N4732" t="s">
        <v>6058</v>
      </c>
      <c r="O4732" t="s">
        <v>6058</v>
      </c>
      <c r="P4732" t="s">
        <v>28600</v>
      </c>
      <c r="Q4732" s="3" t="n">
        <v>44057.0</v>
      </c>
      <c r="R4732" s="3" t="n">
        <v>44285.0</v>
      </c>
      <c r="S4732" s="3" t="n">
        <v>44285.2294424537</v>
      </c>
      <c r="T4732" s="3" t="n">
        <v>44285.57614775463</v>
      </c>
      <c r="U4732" t="s">
        <v>28601</v>
      </c>
      <c r="V4732" t="s">
        <v>28602</v>
      </c>
    </row>
    <row r="4733">
      <c r="A4733" t="s">
        <v>23557</v>
      </c>
      <c r="B4733" t="s">
        <v>28603</v>
      </c>
      <c r="C4733" t="s">
        <v>60</v>
      </c>
      <c r="D4733" t="s">
        <v>77</v>
      </c>
      <c r="E4733" t="s">
        <v>28604</v>
      </c>
      <c r="F4733" s="2" t="n">
        <f>HYPERLINK("https://patents.google.com/patent/US10954289","Google")</f>
        <v>0.0</v>
      </c>
      <c r="G4733" s="2" t="n">
        <f>HYPERLINK("https://patentcenter.uspto.gov/applications/17021286","Patent Center")</f>
        <v>0.0</v>
      </c>
      <c r="H4733" s="2" t="n">
        <f>HYPERLINK("https://worldwide.espacenet.com/patent/search?q=US10954289","Espacenet")</f>
        <v>0.0</v>
      </c>
      <c r="I4733" s="2" t="n">
        <f>HYPERLINK("https://ppubs.uspto.gov/pubwebapp/external.html?q=10954289.pn.","USPTO")</f>
        <v>0.0</v>
      </c>
      <c r="J4733" s="2" t="n">
        <f>HYPERLINK("https://image-ppubs.uspto.gov/dirsearch-public/print/downloadPdf/10954289","USPTO PDF")</f>
        <v>0.0</v>
      </c>
      <c r="K4733" s="2" t="n">
        <f>HYPERLINK("https://sectors.patentforecast.com/pmd/US10954289","PMD")</f>
        <v>0.0</v>
      </c>
      <c r="L4733" s="2" t="n">
        <f>HYPERLINK("https://globaldossier.uspto.gov/result/patent/US/10954289/1","US10954289")</f>
        <v>0.0</v>
      </c>
      <c r="M4733" t="s">
        <v>28605</v>
      </c>
      <c r="N4733" t="s">
        <v>28606</v>
      </c>
      <c r="O4733" t="s">
        <v>28607</v>
      </c>
      <c r="P4733" t="s">
        <v>28500</v>
      </c>
      <c r="Q4733" s="3" t="n">
        <v>44089.0</v>
      </c>
      <c r="R4733" s="3" t="n">
        <v>44278.0</v>
      </c>
      <c r="S4733" s="3" t="n">
        <v>44278.22949722222</v>
      </c>
      <c r="T4733" s="3" t="n">
        <v>44278.66260004629</v>
      </c>
      <c r="U4733" t="s">
        <v>28608</v>
      </c>
      <c r="V4733" t="s">
        <v>28502</v>
      </c>
    </row>
    <row r="4734">
      <c r="A4734" t="s">
        <v>23557</v>
      </c>
      <c r="B4734" t="s">
        <v>28609</v>
      </c>
      <c r="C4734" t="s">
        <v>24</v>
      </c>
      <c r="D4734" t="s">
        <v>69</v>
      </c>
      <c r="E4734" t="s">
        <v>28610</v>
      </c>
      <c r="F4734" s="2" t="n">
        <f>HYPERLINK("https://patents.google.com/patent/US10953126","Google")</f>
        <v>0.0</v>
      </c>
      <c r="G4734" s="2" t="n">
        <f>HYPERLINK("https://patentcenter.uspto.gov/applications/17100907","Patent Center")</f>
        <v>0.0</v>
      </c>
      <c r="H4734" s="2" t="n">
        <f>HYPERLINK("https://worldwide.espacenet.com/patent/search?q=US10953126","Espacenet")</f>
        <v>0.0</v>
      </c>
      <c r="I4734" s="2" t="n">
        <f>HYPERLINK("https://ppubs.uspto.gov/pubwebapp/external.html?q=10953126.pn.","USPTO")</f>
        <v>0.0</v>
      </c>
      <c r="J4734" s="2" t="n">
        <f>HYPERLINK("https://image-ppubs.uspto.gov/dirsearch-public/print/downloadPdf/10953126","USPTO PDF")</f>
        <v>0.0</v>
      </c>
      <c r="K4734" s="2" t="n">
        <f>HYPERLINK("https://sectors.patentforecast.com/pmd/US10953126","PMD")</f>
        <v>0.0</v>
      </c>
      <c r="L4734" s="2" t="n">
        <f>HYPERLINK("https://globaldossier.uspto.gov/result/patent/US/10953126/1","US10953126")</f>
        <v>0.0</v>
      </c>
      <c r="M4734" t="s">
        <v>28611</v>
      </c>
      <c r="N4734" t="s">
        <v>28612</v>
      </c>
      <c r="O4734" t="s">
        <v>28613</v>
      </c>
      <c r="P4734" t="s">
        <v>28614</v>
      </c>
      <c r="Q4734" s="3" t="n">
        <v>44157.0</v>
      </c>
      <c r="R4734" s="3" t="n">
        <v>44278.0</v>
      </c>
      <c r="S4734" s="3" t="n">
        <v>44278.22984532407</v>
      </c>
      <c r="T4734" s="3" t="n">
        <v>44278.663202118056</v>
      </c>
      <c r="U4734" t="s">
        <v>28615</v>
      </c>
      <c r="V4734" t="s">
        <v>28616</v>
      </c>
    </row>
    <row r="4735">
      <c r="A4735" t="s">
        <v>23557</v>
      </c>
      <c r="B4735" t="s">
        <v>28617</v>
      </c>
      <c r="C4735" t="s">
        <v>132</v>
      </c>
      <c r="D4735" t="s">
        <v>133</v>
      </c>
      <c r="E4735" t="s">
        <v>26906</v>
      </c>
      <c r="F4735" s="2" t="n">
        <f>HYPERLINK("https://patents.google.com/patent/US10953089","Google")</f>
        <v>0.0</v>
      </c>
      <c r="G4735" s="2" t="n">
        <f>HYPERLINK("https://patentcenter.uspto.gov/applications/16997001","Patent Center")</f>
        <v>0.0</v>
      </c>
      <c r="H4735" s="2" t="n">
        <f>HYPERLINK("https://worldwide.espacenet.com/patent/search?q=US10953089","Espacenet")</f>
        <v>0.0</v>
      </c>
      <c r="I4735" s="2" t="n">
        <f>HYPERLINK("https://ppubs.uspto.gov/pubwebapp/external.html?q=10953089.pn.","USPTO")</f>
        <v>0.0</v>
      </c>
      <c r="J4735" s="2" t="n">
        <f>HYPERLINK("https://image-ppubs.uspto.gov/dirsearch-public/print/downloadPdf/10953089","USPTO PDF")</f>
        <v>0.0</v>
      </c>
      <c r="K4735" s="2" t="n">
        <f>HYPERLINK("https://sectors.patentforecast.com/pmd/US10953089","PMD")</f>
        <v>0.0</v>
      </c>
      <c r="L4735" s="2" t="n">
        <f>HYPERLINK("https://globaldossier.uspto.gov/result/patent/US/10953089/1","US10953089")</f>
        <v>0.0</v>
      </c>
      <c r="M4735" t="s">
        <v>28618</v>
      </c>
      <c r="N4735" t="s">
        <v>1275</v>
      </c>
      <c r="O4735" t="s">
        <v>1275</v>
      </c>
      <c r="P4735" t="s">
        <v>28619</v>
      </c>
      <c r="Q4735" s="3" t="n">
        <v>44062.0</v>
      </c>
      <c r="R4735" s="3" t="n">
        <v>44278.0</v>
      </c>
      <c r="S4735" s="3" t="n">
        <v>44278.22984532407</v>
      </c>
      <c r="T4735" s="3" t="n">
        <v>44278.66038637731</v>
      </c>
      <c r="U4735" t="s">
        <v>28620</v>
      </c>
      <c r="V4735" t="s">
        <v>1768</v>
      </c>
    </row>
    <row r="4736">
      <c r="A4736" t="s">
        <v>23557</v>
      </c>
      <c r="B4736" t="s">
        <v>28621</v>
      </c>
      <c r="C4736" t="s">
        <v>132</v>
      </c>
      <c r="D4736" t="s">
        <v>133</v>
      </c>
      <c r="E4736" t="s">
        <v>28622</v>
      </c>
      <c r="F4736" s="2" t="n">
        <f>HYPERLINK("https://patents.google.com/patent/US10953088","Google")</f>
        <v>0.0</v>
      </c>
      <c r="G4736" s="2" t="n">
        <f>HYPERLINK("https://patentcenter.uspto.gov/applications/16282953","Patent Center")</f>
        <v>0.0</v>
      </c>
      <c r="H4736" s="2" t="n">
        <f>HYPERLINK("https://worldwide.espacenet.com/patent/search?q=US10953088","Espacenet")</f>
        <v>0.0</v>
      </c>
      <c r="I4736" s="2" t="n">
        <f>HYPERLINK("https://ppubs.uspto.gov/pubwebapp/external.html?q=10953088.pn.","USPTO")</f>
        <v>0.0</v>
      </c>
      <c r="J4736" s="2" t="n">
        <f>HYPERLINK("https://image-ppubs.uspto.gov/dirsearch-public/print/downloadPdf/10953088","USPTO PDF")</f>
        <v>0.0</v>
      </c>
      <c r="K4736" s="2" t="n">
        <f>HYPERLINK("https://sectors.patentforecast.com/pmd/US10953088","PMD")</f>
        <v>0.0</v>
      </c>
      <c r="L4736" s="2" t="n">
        <f>HYPERLINK("https://globaldossier.uspto.gov/result/patent/US/10953088/1","US10953088")</f>
        <v>0.0</v>
      </c>
      <c r="M4736" t="s">
        <v>17605</v>
      </c>
      <c r="N4736" t="s">
        <v>6331</v>
      </c>
      <c r="O4736" t="s">
        <v>6332</v>
      </c>
      <c r="P4736" t="s">
        <v>28623</v>
      </c>
      <c r="Q4736" s="3" t="n">
        <v>43518.0</v>
      </c>
      <c r="R4736" s="3" t="n">
        <v>44278.0</v>
      </c>
      <c r="S4736" s="3" t="n">
        <v>44278.234125787036</v>
      </c>
      <c r="T4736" s="3" t="n">
        <v>44638.68962553241</v>
      </c>
      <c r="U4736" t="s">
        <v>28624</v>
      </c>
      <c r="V4736" t="s">
        <v>17608</v>
      </c>
    </row>
    <row r="4737">
      <c r="A4737" t="s">
        <v>23557</v>
      </c>
      <c r="B4737" t="s">
        <v>28625</v>
      </c>
      <c r="C4737" t="s">
        <v>24</v>
      </c>
      <c r="D4737" t="s">
        <v>69</v>
      </c>
      <c r="E4737" t="s">
        <v>28626</v>
      </c>
      <c r="F4737" s="2" t="n">
        <f>HYPERLINK("https://patents.google.com/patent/US10952812","Google")</f>
        <v>0.0</v>
      </c>
      <c r="G4737" s="2" t="n">
        <f>HYPERLINK("https://patentcenter.uspto.gov/applications/16998580","Patent Center")</f>
        <v>0.0</v>
      </c>
      <c r="H4737" s="2" t="n">
        <f>HYPERLINK("https://worldwide.espacenet.com/patent/search?q=US10952812","Espacenet")</f>
        <v>0.0</v>
      </c>
      <c r="I4737" s="2" t="n">
        <f>HYPERLINK("https://ppubs.uspto.gov/pubwebapp/external.html?q=10952812.pn.","USPTO")</f>
        <v>0.0</v>
      </c>
      <c r="J4737" s="2" t="n">
        <f>HYPERLINK("https://image-ppubs.uspto.gov/dirsearch-public/print/downloadPdf/10952812","USPTO PDF")</f>
        <v>0.0</v>
      </c>
      <c r="K4737" s="2" t="n">
        <f>HYPERLINK("https://sectors.patentforecast.com/pmd/US10952812","PMD")</f>
        <v>0.0</v>
      </c>
      <c r="L4737" s="2" t="n">
        <f>HYPERLINK("https://globaldossier.uspto.gov/result/patent/US/10952812/1","US10952812")</f>
        <v>0.0</v>
      </c>
      <c r="M4737" t="s">
        <v>28627</v>
      </c>
      <c r="N4737" t="s">
        <v>11689</v>
      </c>
      <c r="O4737" t="s">
        <v>11690</v>
      </c>
      <c r="P4737" t="s">
        <v>28628</v>
      </c>
      <c r="Q4737" s="3" t="n">
        <v>44063.0</v>
      </c>
      <c r="R4737" s="3" t="n">
        <v>44278.0</v>
      </c>
      <c r="S4737" s="3" t="n">
        <v>44278.22984532407</v>
      </c>
      <c r="T4737" s="3" t="n">
        <v>44278.66292289352</v>
      </c>
      <c r="U4737" t="s">
        <v>28629</v>
      </c>
      <c r="V4737" t="s">
        <v>11693</v>
      </c>
    </row>
    <row r="4738">
      <c r="A4738" t="s">
        <v>23557</v>
      </c>
      <c r="B4738" t="s">
        <v>28630</v>
      </c>
      <c r="C4738" t="s">
        <v>24</v>
      </c>
      <c r="D4738" t="s">
        <v>34</v>
      </c>
      <c r="E4738" t="s">
        <v>28631</v>
      </c>
      <c r="F4738" s="2" t="n">
        <f>HYPERLINK("https://patents.google.com/patent/US10948490","Google")</f>
        <v>0.0</v>
      </c>
      <c r="G4738" s="2" t="n">
        <f>HYPERLINK("https://patentcenter.uspto.gov/applications/16944649","Patent Center")</f>
        <v>0.0</v>
      </c>
      <c r="H4738" s="2" t="n">
        <f>HYPERLINK("https://worldwide.espacenet.com/patent/search?q=US10948490","Espacenet")</f>
        <v>0.0</v>
      </c>
      <c r="I4738" s="2" t="n">
        <f>HYPERLINK("https://ppubs.uspto.gov/pubwebapp/external.html?q=10948490.pn.","USPTO")</f>
        <v>0.0</v>
      </c>
      <c r="J4738" s="2" t="n">
        <f>HYPERLINK("https://image-ppubs.uspto.gov/dirsearch-public/print/downloadPdf/10948490","USPTO PDF")</f>
        <v>0.0</v>
      </c>
      <c r="K4738" s="2" t="n">
        <f>HYPERLINK("https://sectors.patentforecast.com/pmd/US10948490","PMD")</f>
        <v>0.0</v>
      </c>
      <c r="L4738" s="2" t="n">
        <f>HYPERLINK("https://globaldossier.uspto.gov/result/patent/US/10948490/1","US10948490")</f>
        <v>0.0</v>
      </c>
      <c r="M4738" t="s">
        <v>28632</v>
      </c>
      <c r="N4738" t="s">
        <v>6864</v>
      </c>
      <c r="O4738" t="s">
        <v>6864</v>
      </c>
      <c r="P4738" t="s">
        <v>28633</v>
      </c>
      <c r="Q4738" s="3" t="n">
        <v>44043.0</v>
      </c>
      <c r="R4738" s="3" t="n">
        <v>44271.0</v>
      </c>
      <c r="S4738" s="3" t="n">
        <v>44271.229612650466</v>
      </c>
      <c r="T4738" s="3" t="n">
        <v>44271.5342771875</v>
      </c>
      <c r="U4738" t="s">
        <v>28634</v>
      </c>
      <c r="V4738" t="s">
        <v>6866</v>
      </c>
    </row>
    <row r="4739">
      <c r="A4739" t="s">
        <v>23557</v>
      </c>
      <c r="B4739" t="s">
        <v>28635</v>
      </c>
      <c r="C4739" t="s">
        <v>24</v>
      </c>
      <c r="D4739" t="s">
        <v>69</v>
      </c>
      <c r="E4739" t="s">
        <v>28636</v>
      </c>
      <c r="F4739" s="2" t="n">
        <f>HYPERLINK("https://patents.google.com/patent/US10948170","Google")</f>
        <v>0.0</v>
      </c>
      <c r="G4739" s="2" t="n">
        <f>HYPERLINK("https://patentcenter.uspto.gov/applications/16913674","Patent Center")</f>
        <v>0.0</v>
      </c>
      <c r="H4739" s="2" t="n">
        <f>HYPERLINK("https://worldwide.espacenet.com/patent/search?q=US10948170","Espacenet")</f>
        <v>0.0</v>
      </c>
      <c r="I4739" s="2" t="n">
        <f>HYPERLINK("https://ppubs.uspto.gov/pubwebapp/external.html?q=10948170.pn.","USPTO")</f>
        <v>0.0</v>
      </c>
      <c r="J4739" s="2" t="n">
        <f>HYPERLINK("https://image-ppubs.uspto.gov/dirsearch-public/print/downloadPdf/10948170","USPTO PDF")</f>
        <v>0.0</v>
      </c>
      <c r="K4739" s="2" t="n">
        <f>HYPERLINK("https://sectors.patentforecast.com/pmd/US10948170","PMD")</f>
        <v>0.0</v>
      </c>
      <c r="L4739" s="2" t="n">
        <f>HYPERLINK("https://globaldossier.uspto.gov/result/patent/US/10948170/1","US10948170")</f>
        <v>0.0</v>
      </c>
      <c r="M4739" t="s">
        <v>28637</v>
      </c>
      <c r="N4739" t="s">
        <v>28638</v>
      </c>
      <c r="O4739" t="s">
        <v>28639</v>
      </c>
      <c r="P4739" t="s">
        <v>28640</v>
      </c>
      <c r="Q4739" s="3" t="n">
        <v>44008.0</v>
      </c>
      <c r="R4739" s="3" t="n">
        <v>44271.0</v>
      </c>
      <c r="S4739" s="3" t="n">
        <v>44271.229612650466</v>
      </c>
      <c r="T4739" s="3" t="n">
        <v>44271.53558170139</v>
      </c>
      <c r="U4739" t="s">
        <v>28641</v>
      </c>
      <c r="V4739" t="s">
        <v>28642</v>
      </c>
    </row>
    <row r="4740">
      <c r="A4740" t="s">
        <v>23557</v>
      </c>
      <c r="B4740" t="s">
        <v>28643</v>
      </c>
      <c r="C4740" t="s">
        <v>24</v>
      </c>
      <c r="D4740" t="s">
        <v>100</v>
      </c>
      <c r="E4740" t="s">
        <v>28644</v>
      </c>
      <c r="F4740" s="2" t="n">
        <f>HYPERLINK("https://patents.google.com/patent/US10946110","Google")</f>
        <v>0.0</v>
      </c>
      <c r="G4740" s="2" t="n">
        <f>HYPERLINK("https://patentcenter.uspto.gov/applications/16866517","Patent Center")</f>
        <v>0.0</v>
      </c>
      <c r="H4740" s="2" t="n">
        <f>HYPERLINK("https://worldwide.espacenet.com/patent/search?q=US10946110","Espacenet")</f>
        <v>0.0</v>
      </c>
      <c r="I4740" s="2" t="n">
        <f>HYPERLINK("https://ppubs.uspto.gov/pubwebapp/external.html?q=10946110.pn.","USPTO")</f>
        <v>0.0</v>
      </c>
      <c r="J4740" s="2" t="n">
        <f>HYPERLINK("https://image-ppubs.uspto.gov/dirsearch-public/print/downloadPdf/10946110","USPTO PDF")</f>
        <v>0.0</v>
      </c>
      <c r="K4740" s="2" t="n">
        <f>HYPERLINK("https://sectors.patentforecast.com/pmd/US10946110","PMD")</f>
        <v>0.0</v>
      </c>
      <c r="L4740" s="2" t="n">
        <f>HYPERLINK("https://globaldossier.uspto.gov/result/patent/US/10946110/1","US10946110")</f>
        <v>0.0</v>
      </c>
      <c r="M4740" t="s">
        <v>28645</v>
      </c>
      <c r="N4740" t="s">
        <v>167</v>
      </c>
      <c r="O4740" t="s">
        <v>168</v>
      </c>
      <c r="P4740" t="s">
        <v>28646</v>
      </c>
      <c r="Q4740" s="3" t="n">
        <v>43955.0</v>
      </c>
      <c r="R4740" s="3" t="n">
        <v>44271.0</v>
      </c>
      <c r="S4740" s="3" t="n">
        <v>44271.229612650466</v>
      </c>
      <c r="T4740" s="3" t="n">
        <v>44271.533870625</v>
      </c>
      <c r="U4740" t="s">
        <v>28647</v>
      </c>
      <c r="V4740" t="s">
        <v>28648</v>
      </c>
    </row>
    <row r="4741">
      <c r="A4741" t="s">
        <v>23557</v>
      </c>
      <c r="B4741" t="s">
        <v>28649</v>
      </c>
      <c r="C4741" t="s">
        <v>132</v>
      </c>
      <c r="D4741" t="s">
        <v>1265</v>
      </c>
      <c r="E4741" t="s">
        <v>28650</v>
      </c>
      <c r="F4741" s="2" t="n">
        <f>HYPERLINK("https://patents.google.com/patent/US10946088","Google")</f>
        <v>0.0</v>
      </c>
      <c r="G4741" s="2" t="n">
        <f>HYPERLINK("https://patentcenter.uspto.gov/applications/14961778","Patent Center")</f>
        <v>0.0</v>
      </c>
      <c r="H4741" s="2" t="n">
        <f>HYPERLINK("https://worldwide.espacenet.com/patent/search?q=US10946088","Espacenet")</f>
        <v>0.0</v>
      </c>
      <c r="I4741" s="2" t="n">
        <f>HYPERLINK("https://ppubs.uspto.gov/pubwebapp/external.html?q=10946088.pn.","USPTO")</f>
        <v>0.0</v>
      </c>
      <c r="J4741" s="2" t="n">
        <f>HYPERLINK("https://image-ppubs.uspto.gov/dirsearch-public/print/downloadPdf/10946088","USPTO PDF")</f>
        <v>0.0</v>
      </c>
      <c r="K4741" s="2" t="n">
        <f>HYPERLINK("https://sectors.patentforecast.com/pmd/US10946088","PMD")</f>
        <v>0.0</v>
      </c>
      <c r="L4741" s="2" t="n">
        <f>HYPERLINK("https://globaldossier.uspto.gov/result/patent/US/10946088/1","US10946088")</f>
        <v>0.0</v>
      </c>
      <c r="M4741" t="s">
        <v>28651</v>
      </c>
      <c r="N4741" t="s">
        <v>14996</v>
      </c>
      <c r="O4741" t="s">
        <v>14997</v>
      </c>
      <c r="P4741" t="s">
        <v>28652</v>
      </c>
      <c r="Q4741" s="3" t="n">
        <v>42345.0</v>
      </c>
      <c r="R4741" s="3" t="n">
        <v>44271.0</v>
      </c>
      <c r="S4741" s="3" t="n">
        <v>44271.232388564815</v>
      </c>
      <c r="T4741" s="3" t="n">
        <v>44271.534801967595</v>
      </c>
      <c r="U4741" t="s">
        <v>28653</v>
      </c>
      <c r="V4741" t="s">
        <v>15000</v>
      </c>
    </row>
    <row r="4742">
      <c r="A4742" t="s">
        <v>23557</v>
      </c>
      <c r="B4742" t="s">
        <v>28654</v>
      </c>
      <c r="C4742" t="s">
        <v>24</v>
      </c>
      <c r="D4742" t="s">
        <v>69</v>
      </c>
      <c r="E4742" t="s">
        <v>28655</v>
      </c>
      <c r="F4742" s="2" t="n">
        <f>HYPERLINK("https://patents.google.com/patent/US10945470","Google")</f>
        <v>0.0</v>
      </c>
      <c r="G4742" s="2" t="n">
        <f>HYPERLINK("https://patentcenter.uspto.gov/applications/16914465","Patent Center")</f>
        <v>0.0</v>
      </c>
      <c r="H4742" s="2" t="n">
        <f>HYPERLINK("https://worldwide.espacenet.com/patent/search?q=US10945470","Espacenet")</f>
        <v>0.0</v>
      </c>
      <c r="I4742" s="2" t="n">
        <f>HYPERLINK("https://ppubs.uspto.gov/pubwebapp/external.html?q=10945470.pn.","USPTO")</f>
        <v>0.0</v>
      </c>
      <c r="J4742" s="2" t="n">
        <f>HYPERLINK("https://image-ppubs.uspto.gov/dirsearch-public/print/downloadPdf/10945470","USPTO PDF")</f>
        <v>0.0</v>
      </c>
      <c r="K4742" s="2" t="n">
        <f>HYPERLINK("https://sectors.patentforecast.com/pmd/US10945470","PMD")</f>
        <v>0.0</v>
      </c>
      <c r="L4742" s="2" t="n">
        <f>HYPERLINK("https://globaldossier.uspto.gov/result/patent/US/10945470/1","US10945470")</f>
        <v>0.0</v>
      </c>
      <c r="M4742" t="s">
        <v>28656</v>
      </c>
      <c r="N4742" t="s">
        <v>10757</v>
      </c>
      <c r="O4742" t="s">
        <v>10758</v>
      </c>
      <c r="P4742" t="s">
        <v>28657</v>
      </c>
      <c r="Q4742" s="3" t="n">
        <v>44010.0</v>
      </c>
      <c r="R4742" s="3" t="n">
        <v>44271.0</v>
      </c>
      <c r="S4742" s="3" t="n">
        <v>44271.229612650466</v>
      </c>
      <c r="T4742" s="3" t="n">
        <v>44271.53565039352</v>
      </c>
      <c r="U4742" t="s">
        <v>28658</v>
      </c>
      <c r="V4742" t="s">
        <v>10761</v>
      </c>
    </row>
    <row r="4743">
      <c r="A4743" t="s">
        <v>23557</v>
      </c>
      <c r="B4743" t="s">
        <v>28659</v>
      </c>
      <c r="C4743" t="s">
        <v>24</v>
      </c>
      <c r="D4743" t="s">
        <v>69</v>
      </c>
      <c r="E4743" t="s">
        <v>28660</v>
      </c>
      <c r="F4743" s="2" t="n">
        <f>HYPERLINK("https://patents.google.com/patent/US10945469","Google")</f>
        <v>0.0</v>
      </c>
      <c r="G4743" s="2" t="n">
        <f>HYPERLINK("https://patentcenter.uspto.gov/applications/16918702","Patent Center")</f>
        <v>0.0</v>
      </c>
      <c r="H4743" s="2" t="n">
        <f>HYPERLINK("https://worldwide.espacenet.com/patent/search?q=US10945469","Espacenet")</f>
        <v>0.0</v>
      </c>
      <c r="I4743" s="2" t="n">
        <f>HYPERLINK("https://ppubs.uspto.gov/pubwebapp/external.html?q=10945469.pn.","USPTO")</f>
        <v>0.0</v>
      </c>
      <c r="J4743" s="2" t="n">
        <f>HYPERLINK("https://image-ppubs.uspto.gov/dirsearch-public/print/downloadPdf/10945469","USPTO PDF")</f>
        <v>0.0</v>
      </c>
      <c r="K4743" s="2" t="n">
        <f>HYPERLINK("https://sectors.patentforecast.com/pmd/US10945469","PMD")</f>
        <v>0.0</v>
      </c>
      <c r="L4743" s="2" t="n">
        <f>HYPERLINK("https://globaldossier.uspto.gov/result/patent/US/10945469/1","US10945469")</f>
        <v>0.0</v>
      </c>
      <c r="M4743" t="s">
        <v>28661</v>
      </c>
      <c r="N4743" t="s">
        <v>28662</v>
      </c>
      <c r="O4743" t="s">
        <v>28663</v>
      </c>
      <c r="P4743" t="s">
        <v>28664</v>
      </c>
      <c r="Q4743" s="3" t="n">
        <v>44013.0</v>
      </c>
      <c r="R4743" s="3" t="n">
        <v>44271.0</v>
      </c>
      <c r="S4743" s="3" t="n">
        <v>44271.229612650466</v>
      </c>
      <c r="T4743" s="3" t="n">
        <v>44271.53459105324</v>
      </c>
      <c r="U4743" t="s">
        <v>28665</v>
      </c>
      <c r="V4743" t="s">
        <v>28666</v>
      </c>
    </row>
    <row r="4744">
      <c r="A4744" t="s">
        <v>23557</v>
      </c>
      <c r="B4744" t="s">
        <v>28667</v>
      </c>
      <c r="C4744" t="s">
        <v>60</v>
      </c>
      <c r="D4744" t="s">
        <v>77</v>
      </c>
      <c r="E4744" t="s">
        <v>28668</v>
      </c>
      <c r="F4744" s="2" t="n">
        <f>HYPERLINK("https://patents.google.com/patent/US10941213","Google")</f>
        <v>0.0</v>
      </c>
      <c r="G4744" s="2" t="n">
        <f>HYPERLINK("https://patentcenter.uspto.gov/applications/16256560","Patent Center")</f>
        <v>0.0</v>
      </c>
      <c r="H4744" s="2" t="n">
        <f>HYPERLINK("https://worldwide.espacenet.com/patent/search?q=US10941213","Espacenet")</f>
        <v>0.0</v>
      </c>
      <c r="I4744" s="2" t="n">
        <f>HYPERLINK("https://ppubs.uspto.gov/pubwebapp/external.html?q=10941213.pn.","USPTO")</f>
        <v>0.0</v>
      </c>
      <c r="J4744" s="2" t="n">
        <f>HYPERLINK("https://image-ppubs.uspto.gov/dirsearch-public/print/downloadPdf/10941213","USPTO PDF")</f>
        <v>0.0</v>
      </c>
      <c r="K4744" s="2" t="n">
        <f>HYPERLINK("https://sectors.patentforecast.com/pmd/US10941213","PMD")</f>
        <v>0.0</v>
      </c>
      <c r="L4744" s="2" t="n">
        <f>HYPERLINK("https://globaldossier.uspto.gov/result/patent/US/10941213/1","US10941213")</f>
        <v>0.0</v>
      </c>
      <c r="M4744" t="s">
        <v>17436</v>
      </c>
      <c r="N4744" t="s">
        <v>4321</v>
      </c>
      <c r="O4744" t="s">
        <v>4322</v>
      </c>
      <c r="P4744" t="s">
        <v>28669</v>
      </c>
      <c r="Q4744" s="3" t="n">
        <v>43489.0</v>
      </c>
      <c r="R4744" s="3" t="n">
        <v>44264.0</v>
      </c>
      <c r="S4744" s="3" t="n">
        <v>44264.189148125</v>
      </c>
      <c r="T4744" s="3" t="n">
        <v>44265.37377532407</v>
      </c>
      <c r="U4744" t="s">
        <v>28670</v>
      </c>
      <c r="V4744" t="s">
        <v>4325</v>
      </c>
    </row>
    <row r="4745">
      <c r="A4745" t="s">
        <v>23557</v>
      </c>
      <c r="B4745" t="s">
        <v>28671</v>
      </c>
      <c r="C4745" t="s">
        <v>24</v>
      </c>
      <c r="D4745" t="s">
        <v>100</v>
      </c>
      <c r="E4745" t="s">
        <v>28672</v>
      </c>
      <c r="F4745" s="2" t="n">
        <f>HYPERLINK("https://patents.google.com/patent/US10940220","Google")</f>
        <v>0.0</v>
      </c>
      <c r="G4745" s="2" t="n">
        <f>HYPERLINK("https://patentcenter.uspto.gov/applications/16853081","Patent Center")</f>
        <v>0.0</v>
      </c>
      <c r="H4745" s="2" t="n">
        <f>HYPERLINK("https://worldwide.espacenet.com/patent/search?q=US10940220","Espacenet")</f>
        <v>0.0</v>
      </c>
      <c r="I4745" s="2" t="n">
        <f>HYPERLINK("https://ppubs.uspto.gov/pubwebapp/external.html?q=10940220.pn.","USPTO")</f>
        <v>0.0</v>
      </c>
      <c r="J4745" s="2" t="n">
        <f>HYPERLINK("https://image-ppubs.uspto.gov/dirsearch-public/print/downloadPdf/10940220","USPTO PDF")</f>
        <v>0.0</v>
      </c>
      <c r="K4745" s="2" t="n">
        <f>HYPERLINK("https://sectors.patentforecast.com/pmd/US10940220","PMD")</f>
        <v>0.0</v>
      </c>
      <c r="L4745" s="2" t="n">
        <f>HYPERLINK("https://globaldossier.uspto.gov/result/patent/US/10940220/1","US10940220")</f>
        <v>0.0</v>
      </c>
      <c r="M4745" t="s">
        <v>16540</v>
      </c>
      <c r="N4745" t="s">
        <v>16541</v>
      </c>
      <c r="O4745" t="s">
        <v>16542</v>
      </c>
      <c r="P4745" t="s">
        <v>28673</v>
      </c>
      <c r="Q4745" s="3" t="n">
        <v>43941.0</v>
      </c>
      <c r="R4745" s="3" t="n">
        <v>44264.0</v>
      </c>
      <c r="S4745" s="3" t="n">
        <v>44264.19458762732</v>
      </c>
      <c r="T4745" s="3" t="n">
        <v>44265.37323707176</v>
      </c>
      <c r="U4745" t="s">
        <v>28674</v>
      </c>
      <c r="V4745" t="s">
        <v>16545</v>
      </c>
    </row>
    <row r="4746">
      <c r="A4746" t="s">
        <v>23557</v>
      </c>
      <c r="B4746" t="s">
        <v>28675</v>
      </c>
      <c r="C4746" t="s">
        <v>132</v>
      </c>
      <c r="D4746" t="s">
        <v>11423</v>
      </c>
      <c r="E4746" t="s">
        <v>28676</v>
      </c>
      <c r="F4746" s="2" t="n">
        <f>HYPERLINK("https://patents.google.com/patent/US10940201","Google")</f>
        <v>0.0</v>
      </c>
      <c r="G4746" s="2" t="n">
        <f>HYPERLINK("https://patentcenter.uspto.gov/applications/15907920","Patent Center")</f>
        <v>0.0</v>
      </c>
      <c r="H4746" s="2" t="n">
        <f>HYPERLINK("https://worldwide.espacenet.com/patent/search?q=US10940201","Espacenet")</f>
        <v>0.0</v>
      </c>
      <c r="I4746" s="2" t="n">
        <f>HYPERLINK("https://ppubs.uspto.gov/pubwebapp/external.html?q=10940201.pn.","USPTO")</f>
        <v>0.0</v>
      </c>
      <c r="J4746" s="2" t="n">
        <f>HYPERLINK("https://image-ppubs.uspto.gov/dirsearch-public/print/downloadPdf/10940201","USPTO PDF")</f>
        <v>0.0</v>
      </c>
      <c r="K4746" s="2" t="n">
        <f>HYPERLINK("https://sectors.patentforecast.com/pmd/US10940201","PMD")</f>
        <v>0.0</v>
      </c>
      <c r="L4746" s="2" t="n">
        <f>HYPERLINK("https://globaldossier.uspto.gov/result/patent/US/10940201/1","US10940201")</f>
        <v>0.0</v>
      </c>
      <c r="M4746" t="s">
        <v>28677</v>
      </c>
      <c r="N4746" t="s">
        <v>28678</v>
      </c>
      <c r="O4746" t="s">
        <v>28679</v>
      </c>
      <c r="P4746" t="s">
        <v>28680</v>
      </c>
      <c r="Q4746" s="3" t="n">
        <v>43159.0</v>
      </c>
      <c r="R4746" s="3" t="n">
        <v>44264.0</v>
      </c>
      <c r="S4746" s="3" t="n">
        <v>44264.189148125</v>
      </c>
      <c r="T4746" s="3" t="n">
        <v>44265.37478796297</v>
      </c>
      <c r="U4746" t="s">
        <v>28681</v>
      </c>
      <c r="V4746" t="s">
        <v>28682</v>
      </c>
    </row>
    <row r="4747">
      <c r="A4747" t="s">
        <v>23557</v>
      </c>
      <c r="B4747" t="s">
        <v>28683</v>
      </c>
      <c r="C4747" t="s">
        <v>24</v>
      </c>
      <c r="D4747" t="s">
        <v>43</v>
      </c>
      <c r="E4747" t="s">
        <v>28684</v>
      </c>
      <c r="F4747" s="2" t="n">
        <f>HYPERLINK("https://patents.google.com/patent/US10937296","Google")</f>
        <v>0.0</v>
      </c>
      <c r="G4747" s="2" t="n">
        <f>HYPERLINK("https://patentcenter.uspto.gov/applications/16914961","Patent Center")</f>
        <v>0.0</v>
      </c>
      <c r="H4747" s="2" t="n">
        <f>HYPERLINK("https://worldwide.espacenet.com/patent/search?q=US10937296","Espacenet")</f>
        <v>0.0</v>
      </c>
      <c r="I4747" s="2" t="n">
        <f>HYPERLINK("https://ppubs.uspto.gov/pubwebapp/external.html?q=10937296.pn.","USPTO")</f>
        <v>0.0</v>
      </c>
      <c r="J4747" s="2" t="n">
        <f>HYPERLINK("https://image-ppubs.uspto.gov/dirsearch-public/print/downloadPdf/10937296","USPTO PDF")</f>
        <v>0.0</v>
      </c>
      <c r="K4747" s="2" t="n">
        <f>HYPERLINK("https://sectors.patentforecast.com/pmd/US10937296","PMD")</f>
        <v>0.0</v>
      </c>
      <c r="L4747" s="2" t="n">
        <f>HYPERLINK("https://globaldossier.uspto.gov/result/patent/US/10937296/1","US10937296")</f>
        <v>0.0</v>
      </c>
      <c r="M4747" t="s">
        <v>28685</v>
      </c>
      <c r="N4747" t="s">
        <v>28686</v>
      </c>
      <c r="O4747" t="s">
        <v>28687</v>
      </c>
      <c r="P4747" t="s">
        <v>28688</v>
      </c>
      <c r="Q4747" s="3" t="n">
        <v>44011.0</v>
      </c>
      <c r="R4747" s="3" t="n">
        <v>44257.0</v>
      </c>
      <c r="S4747" s="3" t="n">
        <v>44257.18857363426</v>
      </c>
      <c r="T4747" s="3" t="n">
        <v>44257.46297565972</v>
      </c>
      <c r="U4747" t="s">
        <v>28689</v>
      </c>
      <c r="V4747" t="s">
        <v>28690</v>
      </c>
    </row>
    <row r="4748">
      <c r="A4748" t="s">
        <v>23557</v>
      </c>
      <c r="B4748" t="s">
        <v>28691</v>
      </c>
      <c r="C4748" t="s">
        <v>24</v>
      </c>
      <c r="D4748" t="s">
        <v>69</v>
      </c>
      <c r="E4748" t="s">
        <v>28692</v>
      </c>
      <c r="F4748" s="2" t="n">
        <f>HYPERLINK("https://patents.google.com/patent/US10934067","Google")</f>
        <v>0.0</v>
      </c>
      <c r="G4748" s="2" t="n">
        <f>HYPERLINK("https://patentcenter.uspto.gov/applications/15929838","Patent Center")</f>
        <v>0.0</v>
      </c>
      <c r="H4748" s="2" t="n">
        <f>HYPERLINK("https://worldwide.espacenet.com/patent/search?q=US10934067","Espacenet")</f>
        <v>0.0</v>
      </c>
      <c r="I4748" s="2" t="n">
        <f>HYPERLINK("https://ppubs.uspto.gov/pubwebapp/external.html?q=10934067.pn.","USPTO")</f>
        <v>0.0</v>
      </c>
      <c r="J4748" s="2" t="n">
        <f>HYPERLINK("https://image-ppubs.uspto.gov/dirsearch-public/print/downloadPdf/10934067","USPTO PDF")</f>
        <v>0.0</v>
      </c>
      <c r="K4748" s="2" t="n">
        <f>HYPERLINK("https://sectors.patentforecast.com/pmd/US10934067","PMD")</f>
        <v>0.0</v>
      </c>
      <c r="L4748" s="2" t="n">
        <f>HYPERLINK("https://globaldossier.uspto.gov/result/patent/US/10934067/1","US10934067")</f>
        <v>0.0</v>
      </c>
      <c r="M4748" t="s">
        <v>28693</v>
      </c>
      <c r="N4748" t="s">
        <v>28694</v>
      </c>
      <c r="O4748" t="s">
        <v>28695</v>
      </c>
      <c r="P4748" t="s">
        <v>28696</v>
      </c>
      <c r="Q4748" s="3" t="n">
        <v>43977.0</v>
      </c>
      <c r="R4748" s="3" t="n">
        <v>44257.0</v>
      </c>
      <c r="S4748" s="3" t="n">
        <v>44257.187764027774</v>
      </c>
      <c r="T4748" s="3" t="n">
        <v>44257.35949336806</v>
      </c>
      <c r="U4748" t="s">
        <v>28697</v>
      </c>
      <c r="V4748" t="s">
        <v>28698</v>
      </c>
    </row>
    <row r="4749">
      <c r="A4749" t="s">
        <v>23557</v>
      </c>
      <c r="B4749" t="s">
        <v>28699</v>
      </c>
      <c r="C4749" t="s">
        <v>132</v>
      </c>
      <c r="D4749" t="s">
        <v>11423</v>
      </c>
      <c r="E4749" t="s">
        <v>28700</v>
      </c>
      <c r="F4749" s="2" t="n">
        <f>HYPERLINK("https://patents.google.com/patent/US10933130","Google")</f>
        <v>0.0</v>
      </c>
      <c r="G4749" s="2" t="n">
        <f>HYPERLINK("https://patentcenter.uspto.gov/applications/16117320","Patent Center")</f>
        <v>0.0</v>
      </c>
      <c r="H4749" s="2" t="n">
        <f>HYPERLINK("https://worldwide.espacenet.com/patent/search?q=US10933130","Espacenet")</f>
        <v>0.0</v>
      </c>
      <c r="I4749" s="2" t="n">
        <f>HYPERLINK("https://ppubs.uspto.gov/pubwebapp/external.html?q=10933130.pn.","USPTO")</f>
        <v>0.0</v>
      </c>
      <c r="J4749" s="2" t="n">
        <f>HYPERLINK("https://image-ppubs.uspto.gov/dirsearch-public/print/downloadPdf/10933130","USPTO PDF")</f>
        <v>0.0</v>
      </c>
      <c r="K4749" s="2" t="n">
        <f>HYPERLINK("https://sectors.patentforecast.com/pmd/US10933130","PMD")</f>
        <v>0.0</v>
      </c>
      <c r="L4749" s="2" t="n">
        <f>HYPERLINK("https://globaldossier.uspto.gov/result/patent/US/10933130/1","US10933130")</f>
        <v>0.0</v>
      </c>
      <c r="M4749" t="s">
        <v>18078</v>
      </c>
      <c r="N4749" t="s">
        <v>2541</v>
      </c>
      <c r="O4749" t="s">
        <v>2542</v>
      </c>
      <c r="P4749" t="s">
        <v>28701</v>
      </c>
      <c r="Q4749" s="3" t="n">
        <v>43342.0</v>
      </c>
      <c r="R4749" s="3" t="n">
        <v>44257.0</v>
      </c>
      <c r="S4749" s="3" t="n">
        <v>44257.18984658565</v>
      </c>
      <c r="T4749" s="3" t="n">
        <v>44257.356603402775</v>
      </c>
      <c r="U4749" t="s">
        <v>28702</v>
      </c>
      <c r="V4749" t="s">
        <v>15033</v>
      </c>
    </row>
    <row r="4750">
      <c r="A4750" t="s">
        <v>23557</v>
      </c>
      <c r="B4750" t="s">
        <v>28703</v>
      </c>
      <c r="C4750" t="s">
        <v>132</v>
      </c>
      <c r="D4750" t="s">
        <v>133</v>
      </c>
      <c r="E4750" t="s">
        <v>28704</v>
      </c>
      <c r="F4750" s="2" t="n">
        <f>HYPERLINK("https://patents.google.com/patent/US10933127","Google")</f>
        <v>0.0</v>
      </c>
      <c r="G4750" s="2" t="n">
        <f>HYPERLINK("https://patentcenter.uspto.gov/applications/16880829","Patent Center")</f>
        <v>0.0</v>
      </c>
      <c r="H4750" s="2" t="n">
        <f>HYPERLINK("https://worldwide.espacenet.com/patent/search?q=US10933127","Espacenet")</f>
        <v>0.0</v>
      </c>
      <c r="I4750" s="2" t="n">
        <f>HYPERLINK("https://ppubs.uspto.gov/pubwebapp/external.html?q=10933127.pn.","USPTO")</f>
        <v>0.0</v>
      </c>
      <c r="J4750" s="2" t="n">
        <f>HYPERLINK("https://image-ppubs.uspto.gov/dirsearch-public/print/downloadPdf/10933127","USPTO PDF")</f>
        <v>0.0</v>
      </c>
      <c r="K4750" s="2" t="n">
        <f>HYPERLINK("https://sectors.patentforecast.com/pmd/US10933127","PMD")</f>
        <v>0.0</v>
      </c>
      <c r="L4750" s="2" t="n">
        <f>HYPERLINK("https://globaldossier.uspto.gov/result/patent/US/10933127/1","US10933127")</f>
        <v>0.0</v>
      </c>
      <c r="M4750" t="s">
        <v>16444</v>
      </c>
      <c r="N4750" t="s">
        <v>145</v>
      </c>
      <c r="O4750" t="s">
        <v>146</v>
      </c>
      <c r="P4750" t="s">
        <v>28705</v>
      </c>
      <c r="Q4750" s="3" t="n">
        <v>43972.0</v>
      </c>
      <c r="R4750" s="3" t="n">
        <v>44257.0</v>
      </c>
      <c r="S4750" s="3" t="n">
        <v>44257.18938069444</v>
      </c>
      <c r="T4750" s="3" t="n">
        <v>44257.35555497685</v>
      </c>
      <c r="U4750" t="s">
        <v>28706</v>
      </c>
      <c r="V4750" t="s">
        <v>15867</v>
      </c>
    </row>
    <row r="4751">
      <c r="A4751" t="s">
        <v>23557</v>
      </c>
      <c r="B4751" t="s">
        <v>28707</v>
      </c>
      <c r="C4751" t="s">
        <v>24</v>
      </c>
      <c r="D4751" t="s">
        <v>69</v>
      </c>
      <c r="E4751" t="s">
        <v>28708</v>
      </c>
      <c r="F4751" s="2" t="n">
        <f>HYPERLINK("https://patents.google.com/patent/US10932505","Google")</f>
        <v>0.0</v>
      </c>
      <c r="G4751" s="2" t="n">
        <f>HYPERLINK("https://patentcenter.uspto.gov/applications/17022236","Patent Center")</f>
        <v>0.0</v>
      </c>
      <c r="H4751" s="2" t="n">
        <f>HYPERLINK("https://worldwide.espacenet.com/patent/search?q=US10932505","Espacenet")</f>
        <v>0.0</v>
      </c>
      <c r="I4751" s="2" t="n">
        <f>HYPERLINK("https://ppubs.uspto.gov/pubwebapp/external.html?q=10932505.pn.","USPTO")</f>
        <v>0.0</v>
      </c>
      <c r="J4751" s="2" t="n">
        <f>HYPERLINK("https://image-ppubs.uspto.gov/dirsearch-public/print/downloadPdf/10932505","USPTO PDF")</f>
        <v>0.0</v>
      </c>
      <c r="K4751" s="2" t="n">
        <f>HYPERLINK("https://sectors.patentforecast.com/pmd/US10932505","PMD")</f>
        <v>0.0</v>
      </c>
      <c r="L4751" s="2" t="n">
        <f>HYPERLINK("https://globaldossier.uspto.gov/result/patent/US/10932505/1","US10932505")</f>
        <v>0.0</v>
      </c>
      <c r="M4751" t="s">
        <v>28709</v>
      </c>
      <c r="N4751" t="s">
        <v>5001</v>
      </c>
      <c r="O4751" t="s">
        <v>5001</v>
      </c>
      <c r="P4751" t="s">
        <v>28710</v>
      </c>
      <c r="Q4751" s="3" t="n">
        <v>44090.0</v>
      </c>
      <c r="R4751" s="3" t="n">
        <v>44257.0</v>
      </c>
      <c r="S4751" s="3" t="n">
        <v>44257.187764027774</v>
      </c>
      <c r="T4751" s="3" t="n">
        <v>44257.35736717593</v>
      </c>
      <c r="U4751" t="s">
        <v>28711</v>
      </c>
      <c r="V4751" t="s">
        <v>5003</v>
      </c>
    </row>
    <row r="4752">
      <c r="A4752" t="s">
        <v>23557</v>
      </c>
      <c r="B4752" t="s">
        <v>28712</v>
      </c>
      <c r="C4752" t="s">
        <v>24</v>
      </c>
      <c r="D4752" t="s">
        <v>34</v>
      </c>
      <c r="E4752" t="s">
        <v>28713</v>
      </c>
      <c r="F4752" s="2" t="n">
        <f>HYPERLINK("https://patents.google.com/patent/US10927404","Google")</f>
        <v>0.0</v>
      </c>
      <c r="G4752" s="2" t="n">
        <f>HYPERLINK("https://patentcenter.uspto.gov/applications/17026138","Patent Center")</f>
        <v>0.0</v>
      </c>
      <c r="H4752" s="2" t="n">
        <f>HYPERLINK("https://worldwide.espacenet.com/patent/search?q=US10927404","Espacenet")</f>
        <v>0.0</v>
      </c>
      <c r="I4752" s="2" t="n">
        <f>HYPERLINK("https://ppubs.uspto.gov/pubwebapp/external.html?q=10927404.pn.","USPTO")</f>
        <v>0.0</v>
      </c>
      <c r="J4752" s="2" t="n">
        <f>HYPERLINK("https://image-ppubs.uspto.gov/dirsearch-public/print/downloadPdf/10927404","USPTO PDF")</f>
        <v>0.0</v>
      </c>
      <c r="K4752" s="2" t="n">
        <f>HYPERLINK("https://sectors.patentforecast.com/pmd/US10927404","PMD")</f>
        <v>0.0</v>
      </c>
      <c r="L4752" s="2" t="n">
        <f>HYPERLINK("https://globaldossier.uspto.gov/result/patent/US/10927404/1","US10927404")</f>
        <v>0.0</v>
      </c>
      <c r="M4752" t="s">
        <v>28714</v>
      </c>
      <c r="N4752" t="s">
        <v>28084</v>
      </c>
      <c r="O4752" t="s">
        <v>28085</v>
      </c>
      <c r="P4752" t="s">
        <v>28086</v>
      </c>
      <c r="Q4752" s="3" t="n">
        <v>44092.0</v>
      </c>
      <c r="R4752" s="3" t="n">
        <v>44250.0</v>
      </c>
      <c r="S4752" s="3" t="n">
        <v>44250.18788803241</v>
      </c>
      <c r="T4752" s="3" t="n">
        <v>44250.60669854167</v>
      </c>
      <c r="U4752" t="s">
        <v>28715</v>
      </c>
      <c r="V4752" t="s">
        <v>28088</v>
      </c>
    </row>
    <row r="4753">
      <c r="A4753" t="s">
        <v>23557</v>
      </c>
      <c r="B4753" t="s">
        <v>28716</v>
      </c>
      <c r="C4753" t="s">
        <v>60</v>
      </c>
      <c r="D4753" t="s">
        <v>715</v>
      </c>
      <c r="E4753" t="s">
        <v>28717</v>
      </c>
      <c r="F4753" s="2" t="n">
        <f>HYPERLINK("https://patents.google.com/patent/US10926046","Google")</f>
        <v>0.0</v>
      </c>
      <c r="G4753" s="2" t="n">
        <f>HYPERLINK("https://patentcenter.uspto.gov/applications/16881921","Patent Center")</f>
        <v>0.0</v>
      </c>
      <c r="H4753" s="2" t="n">
        <f>HYPERLINK("https://worldwide.espacenet.com/patent/search?q=US10926046","Espacenet")</f>
        <v>0.0</v>
      </c>
      <c r="I4753" s="2" t="n">
        <f>HYPERLINK("https://ppubs.uspto.gov/pubwebapp/external.html?q=10926046.pn.","USPTO")</f>
        <v>0.0</v>
      </c>
      <c r="J4753" s="2" t="n">
        <f>HYPERLINK("https://image-ppubs.uspto.gov/dirsearch-public/print/downloadPdf/10926046","USPTO PDF")</f>
        <v>0.0</v>
      </c>
      <c r="K4753" s="2" t="n">
        <f>HYPERLINK("https://sectors.patentforecast.com/pmd/US10926046","PMD")</f>
        <v>0.0</v>
      </c>
      <c r="L4753" s="2" t="n">
        <f>HYPERLINK("https://globaldossier.uspto.gov/result/patent/US/10926046/1","US10926046")</f>
        <v>0.0</v>
      </c>
      <c r="M4753" t="s">
        <v>28718</v>
      </c>
      <c r="N4753" t="s">
        <v>28719</v>
      </c>
      <c r="O4753" t="s">
        <v>28720</v>
      </c>
      <c r="P4753" t="s">
        <v>28721</v>
      </c>
      <c r="Q4753" s="3" t="n">
        <v>43973.0</v>
      </c>
      <c r="R4753" s="3" t="n">
        <v>44250.0</v>
      </c>
      <c r="S4753" s="3" t="n">
        <v>44250.18788803241</v>
      </c>
      <c r="T4753" s="3" t="n">
        <v>44250.60710111111</v>
      </c>
      <c r="U4753" t="s">
        <v>28722</v>
      </c>
      <c r="V4753" t="s">
        <v>28723</v>
      </c>
    </row>
    <row r="4754">
      <c r="A4754" t="s">
        <v>23557</v>
      </c>
      <c r="B4754" t="s">
        <v>28724</v>
      </c>
      <c r="C4754" t="s">
        <v>24</v>
      </c>
      <c r="D4754" t="s">
        <v>100</v>
      </c>
      <c r="E4754" t="s">
        <v>28725</v>
      </c>
      <c r="F4754" s="2" t="n">
        <f>HYPERLINK("https://patents.google.com/patent/US10925989","Google")</f>
        <v>0.0</v>
      </c>
      <c r="G4754" s="2" t="n">
        <f>HYPERLINK("https://patentcenter.uspto.gov/applications/16884739","Patent Center")</f>
        <v>0.0</v>
      </c>
      <c r="H4754" s="2" t="n">
        <f>HYPERLINK("https://worldwide.espacenet.com/patent/search?q=US10925989","Espacenet")</f>
        <v>0.0</v>
      </c>
      <c r="I4754" s="2" t="n">
        <f>HYPERLINK("https://ppubs.uspto.gov/pubwebapp/external.html?q=10925989.pn.","USPTO")</f>
        <v>0.0</v>
      </c>
      <c r="J4754" s="2" t="n">
        <f>HYPERLINK("https://image-ppubs.uspto.gov/dirsearch-public/print/downloadPdf/10925989","USPTO PDF")</f>
        <v>0.0</v>
      </c>
      <c r="K4754" s="2" t="n">
        <f>HYPERLINK("https://sectors.patentforecast.com/pmd/US10925989","PMD")</f>
        <v>0.0</v>
      </c>
      <c r="L4754" s="2" t="n">
        <f>HYPERLINK("https://globaldossier.uspto.gov/result/patent/US/10925989/1","US10925989")</f>
        <v>0.0</v>
      </c>
      <c r="M4754" t="s">
        <v>28726</v>
      </c>
      <c r="N4754" t="s">
        <v>12910</v>
      </c>
      <c r="O4754" t="s">
        <v>12911</v>
      </c>
      <c r="P4754" t="s">
        <v>28727</v>
      </c>
      <c r="Q4754" s="3" t="n">
        <v>43978.0</v>
      </c>
      <c r="R4754" s="3" t="n">
        <v>44250.0</v>
      </c>
      <c r="S4754" s="3" t="n">
        <v>44250.18788803241</v>
      </c>
      <c r="T4754" s="3" t="n">
        <v>44250.60609667824</v>
      </c>
      <c r="U4754" t="s">
        <v>28728</v>
      </c>
      <c r="V4754" t="s">
        <v>28729</v>
      </c>
    </row>
    <row r="4755">
      <c r="A4755" t="s">
        <v>23557</v>
      </c>
      <c r="B4755" t="s">
        <v>28730</v>
      </c>
      <c r="C4755" t="s">
        <v>132</v>
      </c>
      <c r="D4755" t="s">
        <v>11423</v>
      </c>
      <c r="E4755" t="s">
        <v>28731</v>
      </c>
      <c r="F4755" s="2" t="n">
        <f>HYPERLINK("https://patents.google.com/patent/US10925961","Google")</f>
        <v>0.0</v>
      </c>
      <c r="G4755" s="2" t="n">
        <f>HYPERLINK("https://patentcenter.uspto.gov/applications/15559432","Patent Center")</f>
        <v>0.0</v>
      </c>
      <c r="H4755" s="2" t="n">
        <f>HYPERLINK("https://worldwide.espacenet.com/patent/search?q=US10925961","Espacenet")</f>
        <v>0.0</v>
      </c>
      <c r="I4755" s="2" t="n">
        <f>HYPERLINK("https://ppubs.uspto.gov/pubwebapp/external.html?q=10925961.pn.","USPTO")</f>
        <v>0.0</v>
      </c>
      <c r="J4755" s="2" t="n">
        <f>HYPERLINK("https://image-ppubs.uspto.gov/dirsearch-public/print/downloadPdf/10925961","USPTO PDF")</f>
        <v>0.0</v>
      </c>
      <c r="K4755" s="2" t="n">
        <f>HYPERLINK("https://sectors.patentforecast.com/pmd/US10925961","PMD")</f>
        <v>0.0</v>
      </c>
      <c r="L4755" s="2" t="n">
        <f>HYPERLINK("https://globaldossier.uspto.gov/result/patent/US/10925961/1","US10925961")</f>
        <v>0.0</v>
      </c>
      <c r="M4755" t="s">
        <v>18632</v>
      </c>
      <c r="N4755" t="s">
        <v>18633</v>
      </c>
      <c r="O4755" t="s">
        <v>18634</v>
      </c>
      <c r="P4755" t="s">
        <v>28732</v>
      </c>
      <c r="Q4755" s="3" t="n">
        <v>42447.0</v>
      </c>
      <c r="R4755" s="3" t="n">
        <v>44250.0</v>
      </c>
      <c r="S4755" s="3" t="n">
        <v>44250.18973469907</v>
      </c>
      <c r="T4755" s="3" t="n">
        <v>44250.6058684375</v>
      </c>
      <c r="U4755" t="s">
        <v>28733</v>
      </c>
      <c r="V4755" t="s">
        <v>28734</v>
      </c>
    </row>
    <row r="4756">
      <c r="A4756" t="s">
        <v>23557</v>
      </c>
      <c r="B4756" t="s">
        <v>28735</v>
      </c>
      <c r="C4756" t="s">
        <v>132</v>
      </c>
      <c r="D4756" t="s">
        <v>1265</v>
      </c>
      <c r="E4756" t="s">
        <v>22970</v>
      </c>
      <c r="F4756" s="2" t="n">
        <f>HYPERLINK("https://patents.google.com/patent/US10925958","Google")</f>
        <v>0.0</v>
      </c>
      <c r="G4756" s="2" t="n">
        <f>HYPERLINK("https://patentcenter.uspto.gov/applications/16348943","Patent Center")</f>
        <v>0.0</v>
      </c>
      <c r="H4756" s="2" t="n">
        <f>HYPERLINK("https://worldwide.espacenet.com/patent/search?q=US10925958","Espacenet")</f>
        <v>0.0</v>
      </c>
      <c r="I4756" s="2" t="n">
        <f>HYPERLINK("https://ppubs.uspto.gov/pubwebapp/external.html?q=10925958.pn.","USPTO")</f>
        <v>0.0</v>
      </c>
      <c r="J4756" s="2" t="n">
        <f>HYPERLINK("https://image-ppubs.uspto.gov/dirsearch-public/print/downloadPdf/10925958","USPTO PDF")</f>
        <v>0.0</v>
      </c>
      <c r="K4756" s="2" t="n">
        <f>HYPERLINK("https://sectors.patentforecast.com/pmd/US10925958","PMD")</f>
        <v>0.0</v>
      </c>
      <c r="L4756" s="2" t="n">
        <f>HYPERLINK("https://globaldossier.uspto.gov/result/patent/US/10925958/1","US10925958")</f>
        <v>0.0</v>
      </c>
      <c r="M4756" t="s">
        <v>28736</v>
      </c>
      <c r="N4756" t="s">
        <v>145</v>
      </c>
      <c r="O4756" t="s">
        <v>146</v>
      </c>
      <c r="P4756" t="s">
        <v>28737</v>
      </c>
      <c r="Q4756" s="3" t="n">
        <v>43049.0</v>
      </c>
      <c r="R4756" s="3" t="n">
        <v>44250.0</v>
      </c>
      <c r="S4756" s="3" t="n">
        <v>44341.73992259259</v>
      </c>
      <c r="T4756" s="3" t="n">
        <v>44341.74256888889</v>
      </c>
      <c r="U4756" t="s">
        <v>28738</v>
      </c>
      <c r="V4756" t="s">
        <v>28739</v>
      </c>
    </row>
    <row r="4757">
      <c r="A4757" t="s">
        <v>23557</v>
      </c>
      <c r="B4757" t="s">
        <v>28740</v>
      </c>
      <c r="C4757" t="s">
        <v>132</v>
      </c>
      <c r="D4757" t="s">
        <v>1265</v>
      </c>
      <c r="E4757" t="s">
        <v>28741</v>
      </c>
      <c r="F4757" s="2" t="n">
        <f>HYPERLINK("https://patents.google.com/patent/US10925957","Google")</f>
        <v>0.0</v>
      </c>
      <c r="G4757" s="2" t="n">
        <f>HYPERLINK("https://patentcenter.uspto.gov/applications/16258094","Patent Center")</f>
        <v>0.0</v>
      </c>
      <c r="H4757" s="2" t="n">
        <f>HYPERLINK("https://worldwide.espacenet.com/patent/search?q=US10925957","Espacenet")</f>
        <v>0.0</v>
      </c>
      <c r="I4757" s="2" t="n">
        <f>HYPERLINK("https://ppubs.uspto.gov/pubwebapp/external.html?q=10925957.pn.","USPTO")</f>
        <v>0.0</v>
      </c>
      <c r="J4757" s="2" t="n">
        <f>HYPERLINK("https://image-ppubs.uspto.gov/dirsearch-public/print/downloadPdf/10925957","USPTO PDF")</f>
        <v>0.0</v>
      </c>
      <c r="K4757" s="2" t="n">
        <f>HYPERLINK("https://sectors.patentforecast.com/pmd/US10925957","PMD")</f>
        <v>0.0</v>
      </c>
      <c r="L4757" s="2" t="n">
        <f>HYPERLINK("https://globaldossier.uspto.gov/result/patent/US/10925957/1","US10925957")</f>
        <v>0.0</v>
      </c>
      <c r="M4757" t="s">
        <v>17692</v>
      </c>
      <c r="N4757" t="s">
        <v>2612</v>
      </c>
      <c r="O4757" t="s">
        <v>2613</v>
      </c>
      <c r="P4757" t="s">
        <v>28742</v>
      </c>
      <c r="Q4757" s="3" t="n">
        <v>43490.0</v>
      </c>
      <c r="R4757" s="3" t="n">
        <v>44250.0</v>
      </c>
      <c r="S4757" s="3" t="n">
        <v>44250.19286238426</v>
      </c>
      <c r="T4757" s="3" t="n">
        <v>44250.606010891206</v>
      </c>
      <c r="U4757" t="s">
        <v>28743</v>
      </c>
      <c r="V4757" t="s">
        <v>28744</v>
      </c>
    </row>
    <row r="4758">
      <c r="A4758" t="s">
        <v>23557</v>
      </c>
      <c r="B4758" t="s">
        <v>28745</v>
      </c>
      <c r="C4758" t="s">
        <v>60</v>
      </c>
      <c r="D4758" t="s">
        <v>77</v>
      </c>
      <c r="E4758" t="s">
        <v>28746</v>
      </c>
      <c r="F4758" s="2" t="n">
        <f>HYPERLINK("https://patents.google.com/patent/US10925950","Google")</f>
        <v>0.0</v>
      </c>
      <c r="G4758" s="2" t="n">
        <f>HYPERLINK("https://patentcenter.uspto.gov/applications/15749928","Patent Center")</f>
        <v>0.0</v>
      </c>
      <c r="H4758" s="2" t="n">
        <f>HYPERLINK("https://worldwide.espacenet.com/patent/search?q=US10925950","Espacenet")</f>
        <v>0.0</v>
      </c>
      <c r="I4758" s="2" t="n">
        <f>HYPERLINK("https://ppubs.uspto.gov/pubwebapp/external.html?q=10925950.pn.","USPTO")</f>
        <v>0.0</v>
      </c>
      <c r="J4758" s="2" t="n">
        <f>HYPERLINK("https://image-ppubs.uspto.gov/dirsearch-public/print/downloadPdf/10925950","USPTO PDF")</f>
        <v>0.0</v>
      </c>
      <c r="K4758" s="2" t="n">
        <f>HYPERLINK("https://sectors.patentforecast.com/pmd/US10925950","PMD")</f>
        <v>0.0</v>
      </c>
      <c r="L4758" s="2" t="n">
        <f>HYPERLINK("https://globaldossier.uspto.gov/result/patent/US/10925950/1","US10925950")</f>
        <v>0.0</v>
      </c>
      <c r="M4758" t="s">
        <v>28747</v>
      </c>
      <c r="N4758" t="s">
        <v>3284</v>
      </c>
      <c r="O4758" t="s">
        <v>3285</v>
      </c>
      <c r="P4758" t="s">
        <v>28748</v>
      </c>
      <c r="Q4758" s="3" t="n">
        <v>42585.0</v>
      </c>
      <c r="R4758" s="3" t="n">
        <v>44250.0</v>
      </c>
      <c r="S4758" s="3" t="n">
        <v>44250.189042638885</v>
      </c>
      <c r="T4758" s="3" t="n">
        <v>44250.61274423611</v>
      </c>
      <c r="U4758" t="s">
        <v>28749</v>
      </c>
      <c r="V4758" t="s">
        <v>28750</v>
      </c>
    </row>
    <row r="4759">
      <c r="A4759" t="s">
        <v>23557</v>
      </c>
      <c r="B4759" t="s">
        <v>28751</v>
      </c>
      <c r="C4759" t="s">
        <v>60</v>
      </c>
      <c r="D4759" t="s">
        <v>61</v>
      </c>
      <c r="E4759" t="s">
        <v>28752</v>
      </c>
      <c r="F4759" s="2" t="n">
        <f>HYPERLINK("https://patents.google.com/patent/US10925889","Google")</f>
        <v>0.0</v>
      </c>
      <c r="G4759" s="2" t="n">
        <f>HYPERLINK("https://patentcenter.uspto.gov/applications/16861128","Patent Center")</f>
        <v>0.0</v>
      </c>
      <c r="H4759" s="2" t="n">
        <f>HYPERLINK("https://worldwide.espacenet.com/patent/search?q=US10925889","Espacenet")</f>
        <v>0.0</v>
      </c>
      <c r="I4759" s="2" t="n">
        <f>HYPERLINK("https://ppubs.uspto.gov/pubwebapp/external.html?q=10925889.pn.","USPTO")</f>
        <v>0.0</v>
      </c>
      <c r="J4759" s="2" t="n">
        <f>HYPERLINK("https://image-ppubs.uspto.gov/dirsearch-public/print/downloadPdf/10925889","USPTO PDF")</f>
        <v>0.0</v>
      </c>
      <c r="K4759" s="2" t="n">
        <f>HYPERLINK("https://sectors.patentforecast.com/pmd/US10925889","PMD")</f>
        <v>0.0</v>
      </c>
      <c r="L4759" s="2" t="n">
        <f>HYPERLINK("https://globaldossier.uspto.gov/result/patent/US/10925889/1","US10925889")</f>
        <v>0.0</v>
      </c>
      <c r="M4759" t="s">
        <v>16423</v>
      </c>
      <c r="N4759" t="s">
        <v>14836</v>
      </c>
      <c r="O4759" t="s">
        <v>14837</v>
      </c>
      <c r="P4759" t="s">
        <v>28753</v>
      </c>
      <c r="Q4759" s="3" t="n">
        <v>43949.0</v>
      </c>
      <c r="R4759" s="3" t="n">
        <v>44250.0</v>
      </c>
      <c r="S4759" s="3" t="n">
        <v>44250.18788803241</v>
      </c>
      <c r="T4759" s="3" t="n">
        <v>44250.61138760416</v>
      </c>
      <c r="U4759" t="s">
        <v>28754</v>
      </c>
      <c r="V4759" t="s">
        <v>16425</v>
      </c>
    </row>
    <row r="4760">
      <c r="A4760" t="s">
        <v>23557</v>
      </c>
      <c r="B4760" t="s">
        <v>28755</v>
      </c>
      <c r="C4760" t="s">
        <v>60</v>
      </c>
      <c r="D4760" t="s">
        <v>715</v>
      </c>
      <c r="E4760" t="s">
        <v>28756</v>
      </c>
      <c r="F4760" s="2" t="n">
        <f>HYPERLINK("https://patents.google.com/patent/US10925806","Google")</f>
        <v>0.0</v>
      </c>
      <c r="G4760" s="2" t="n">
        <f>HYPERLINK("https://patentcenter.uspto.gov/applications/17005074","Patent Center")</f>
        <v>0.0</v>
      </c>
      <c r="H4760" s="2" t="n">
        <f>HYPERLINK("https://worldwide.espacenet.com/patent/search?q=US10925806","Espacenet")</f>
        <v>0.0</v>
      </c>
      <c r="I4760" s="2" t="n">
        <f>HYPERLINK("https://ppubs.uspto.gov/pubwebapp/external.html?q=10925806.pn.","USPTO")</f>
        <v>0.0</v>
      </c>
      <c r="J4760" s="2" t="n">
        <f>HYPERLINK("https://image-ppubs.uspto.gov/dirsearch-public/print/downloadPdf/10925806","USPTO PDF")</f>
        <v>0.0</v>
      </c>
      <c r="K4760" s="2" t="n">
        <f>HYPERLINK("https://sectors.patentforecast.com/pmd/US10925806","PMD")</f>
        <v>0.0</v>
      </c>
      <c r="L4760" s="2" t="n">
        <f>HYPERLINK("https://globaldossier.uspto.gov/result/patent/US/10925806/1","US10925806")</f>
        <v>0.0</v>
      </c>
      <c r="M4760" t="s">
        <v>15970</v>
      </c>
      <c r="N4760" t="s">
        <v>14495</v>
      </c>
      <c r="O4760" t="s">
        <v>14495</v>
      </c>
      <c r="P4760" t="s">
        <v>28757</v>
      </c>
      <c r="Q4760" s="3" t="n">
        <v>44070.0</v>
      </c>
      <c r="R4760" s="3" t="n">
        <v>44250.0</v>
      </c>
      <c r="S4760" s="3" t="n">
        <v>44250.18788803241</v>
      </c>
      <c r="T4760" s="3" t="n">
        <v>44672.32642476852</v>
      </c>
      <c r="U4760" t="s">
        <v>28758</v>
      </c>
      <c r="V4760" t="s">
        <v>28759</v>
      </c>
    </row>
    <row r="4761">
      <c r="A4761" t="s">
        <v>23557</v>
      </c>
      <c r="B4761" t="s">
        <v>28760</v>
      </c>
      <c r="C4761" t="s">
        <v>24</v>
      </c>
      <c r="D4761" t="s">
        <v>69</v>
      </c>
      <c r="E4761" t="s">
        <v>28761</v>
      </c>
      <c r="F4761" s="2" t="n">
        <f>HYPERLINK("https://patents.google.com/patent/US10919020","Google")</f>
        <v>0.0</v>
      </c>
      <c r="G4761" s="2" t="n">
        <f>HYPERLINK("https://patentcenter.uspto.gov/applications/16942974","Patent Center")</f>
        <v>0.0</v>
      </c>
      <c r="H4761" s="2" t="n">
        <f>HYPERLINK("https://worldwide.espacenet.com/patent/search?q=US10919020","Espacenet")</f>
        <v>0.0</v>
      </c>
      <c r="I4761" s="2" t="n">
        <f>HYPERLINK("https://ppubs.uspto.gov/pubwebapp/external.html?q=10919020.pn.","USPTO")</f>
        <v>0.0</v>
      </c>
      <c r="J4761" s="2" t="n">
        <f>HYPERLINK("https://image-ppubs.uspto.gov/dirsearch-public/print/downloadPdf/10919020","USPTO PDF")</f>
        <v>0.0</v>
      </c>
      <c r="K4761" s="2" t="n">
        <f>HYPERLINK("https://sectors.patentforecast.com/pmd/US10919020","PMD")</f>
        <v>0.0</v>
      </c>
      <c r="L4761" s="2" t="n">
        <f>HYPERLINK("https://globaldossier.uspto.gov/result/patent/US/10919020/1","US10919020")</f>
        <v>0.0</v>
      </c>
      <c r="M4761" t="s">
        <v>28762</v>
      </c>
      <c r="N4761" t="s">
        <v>28763</v>
      </c>
      <c r="O4761" t="s">
        <v>28764</v>
      </c>
      <c r="P4761" t="s">
        <v>28765</v>
      </c>
      <c r="Q4761" s="3" t="n">
        <v>44042.0</v>
      </c>
      <c r="R4761" s="3" t="n">
        <v>44243.0</v>
      </c>
      <c r="S4761" s="3" t="n">
        <v>44243.18788800926</v>
      </c>
      <c r="T4761" s="3" t="n">
        <v>44244.575444953705</v>
      </c>
      <c r="U4761" t="s">
        <v>28766</v>
      </c>
      <c r="V4761" t="s">
        <v>28767</v>
      </c>
    </row>
    <row r="4762">
      <c r="A4762" t="s">
        <v>23557</v>
      </c>
      <c r="B4762" t="s">
        <v>28768</v>
      </c>
      <c r="C4762" t="s">
        <v>24</v>
      </c>
      <c r="D4762" t="s">
        <v>69</v>
      </c>
      <c r="E4762" t="s">
        <v>28769</v>
      </c>
      <c r="F4762" s="2" t="n">
        <f>HYPERLINK("https://patents.google.com/patent/US10918993","Google")</f>
        <v>0.0</v>
      </c>
      <c r="G4762" s="2" t="n">
        <f>HYPERLINK("https://patentcenter.uspto.gov/applications/16997478","Patent Center")</f>
        <v>0.0</v>
      </c>
      <c r="H4762" s="2" t="n">
        <f>HYPERLINK("https://worldwide.espacenet.com/patent/search?q=US10918993","Espacenet")</f>
        <v>0.0</v>
      </c>
      <c r="I4762" s="2" t="n">
        <f>HYPERLINK("https://ppubs.uspto.gov/pubwebapp/external.html?q=10918993.pn.","USPTO")</f>
        <v>0.0</v>
      </c>
      <c r="J4762" s="2" t="n">
        <f>HYPERLINK("https://image-ppubs.uspto.gov/dirsearch-public/print/downloadPdf/10918993","USPTO PDF")</f>
        <v>0.0</v>
      </c>
      <c r="K4762" s="2" t="n">
        <f>HYPERLINK("https://sectors.patentforecast.com/pmd/US10918993","PMD")</f>
        <v>0.0</v>
      </c>
      <c r="L4762" s="2" t="n">
        <f>HYPERLINK("https://globaldossier.uspto.gov/result/patent/US/10918993/1","US10918993")</f>
        <v>0.0</v>
      </c>
      <c r="M4762" t="s">
        <v>28770</v>
      </c>
      <c r="N4762" t="s">
        <v>28771</v>
      </c>
      <c r="O4762" t="s">
        <v>28772</v>
      </c>
      <c r="P4762" t="s">
        <v>28773</v>
      </c>
      <c r="Q4762" s="3" t="n">
        <v>44062.0</v>
      </c>
      <c r="R4762" s="3" t="n">
        <v>44243.0</v>
      </c>
      <c r="S4762" s="3" t="n">
        <v>44243.18788800926</v>
      </c>
      <c r="T4762" s="3" t="n">
        <v>44244.575808298614</v>
      </c>
      <c r="U4762" t="s">
        <v>28774</v>
      </c>
      <c r="V4762" t="s">
        <v>28775</v>
      </c>
    </row>
    <row r="4763">
      <c r="A4763" t="s">
        <v>23557</v>
      </c>
      <c r="B4763" t="s">
        <v>28776</v>
      </c>
      <c r="C4763" t="s">
        <v>132</v>
      </c>
      <c r="D4763" t="s">
        <v>11423</v>
      </c>
      <c r="E4763" t="s">
        <v>28423</v>
      </c>
      <c r="F4763" s="2" t="n">
        <f>HYPERLINK("https://patents.google.com/patent/US10918711","Google")</f>
        <v>0.0</v>
      </c>
      <c r="G4763" s="2" t="n">
        <f>HYPERLINK("https://patentcenter.uspto.gov/applications/16386535","Patent Center")</f>
        <v>0.0</v>
      </c>
      <c r="H4763" s="2" t="n">
        <f>HYPERLINK("https://worldwide.espacenet.com/patent/search?q=US10918711","Espacenet")</f>
        <v>0.0</v>
      </c>
      <c r="I4763" s="2" t="n">
        <f>HYPERLINK("https://ppubs.uspto.gov/pubwebapp/external.html?q=10918711.pn.","USPTO")</f>
        <v>0.0</v>
      </c>
      <c r="J4763" s="2" t="n">
        <f>HYPERLINK("https://image-ppubs.uspto.gov/dirsearch-public/print/downloadPdf/10918711","USPTO PDF")</f>
        <v>0.0</v>
      </c>
      <c r="K4763" s="2" t="n">
        <f>HYPERLINK("https://sectors.patentforecast.com/pmd/US10918711","PMD")</f>
        <v>0.0</v>
      </c>
      <c r="L4763" s="2" t="n">
        <f>HYPERLINK("https://globaldossier.uspto.gov/result/patent/US/10918711/1","US10918711")</f>
        <v>0.0</v>
      </c>
      <c r="M4763" t="s">
        <v>17563</v>
      </c>
      <c r="N4763" t="s">
        <v>17564</v>
      </c>
      <c r="O4763" t="s">
        <v>17565</v>
      </c>
      <c r="P4763" t="s">
        <v>28424</v>
      </c>
      <c r="Q4763" s="3" t="n">
        <v>43572.0</v>
      </c>
      <c r="R4763" s="3" t="n">
        <v>44243.0</v>
      </c>
      <c r="S4763" s="3" t="n">
        <v>44243.19262969907</v>
      </c>
      <c r="T4763" s="3" t="n">
        <v>44643.401701331015</v>
      </c>
      <c r="U4763" t="s">
        <v>28777</v>
      </c>
      <c r="V4763" t="s">
        <v>17568</v>
      </c>
    </row>
    <row r="4764">
      <c r="A4764" t="s">
        <v>23557</v>
      </c>
      <c r="B4764" t="s">
        <v>28778</v>
      </c>
      <c r="C4764" t="s">
        <v>132</v>
      </c>
      <c r="D4764" t="s">
        <v>11423</v>
      </c>
      <c r="E4764" t="s">
        <v>28779</v>
      </c>
      <c r="F4764" s="2" t="n">
        <f>HYPERLINK("https://patents.google.com/patent/US10918709","Google")</f>
        <v>0.0</v>
      </c>
      <c r="G4764" s="2" t="n">
        <f>HYPERLINK("https://patentcenter.uspto.gov/applications/16345699","Patent Center")</f>
        <v>0.0</v>
      </c>
      <c r="H4764" s="2" t="n">
        <f>HYPERLINK("https://worldwide.espacenet.com/patent/search?q=US10918709","Espacenet")</f>
        <v>0.0</v>
      </c>
      <c r="I4764" s="2" t="n">
        <f>HYPERLINK("https://ppubs.uspto.gov/pubwebapp/external.html?q=10918709.pn.","USPTO")</f>
        <v>0.0</v>
      </c>
      <c r="J4764" s="2" t="n">
        <f>HYPERLINK("https://image-ppubs.uspto.gov/dirsearch-public/print/downloadPdf/10918709","USPTO PDF")</f>
        <v>0.0</v>
      </c>
      <c r="K4764" s="2" t="n">
        <f>HYPERLINK("https://sectors.patentforecast.com/pmd/US10918709","PMD")</f>
        <v>0.0</v>
      </c>
      <c r="L4764" s="2" t="n">
        <f>HYPERLINK("https://globaldossier.uspto.gov/result/patent/US/10918709/1","US10918709")</f>
        <v>0.0</v>
      </c>
      <c r="M4764" t="s">
        <v>28780</v>
      </c>
      <c r="N4764" t="s">
        <v>28781</v>
      </c>
      <c r="O4764" t="s">
        <v>28782</v>
      </c>
      <c r="P4764" t="s">
        <v>28783</v>
      </c>
      <c r="Q4764" s="3" t="n">
        <v>43038.0</v>
      </c>
      <c r="R4764" s="3" t="n">
        <v>44243.0</v>
      </c>
      <c r="S4764" s="3" t="n">
        <v>44243.18904186343</v>
      </c>
      <c r="T4764" s="3" t="n">
        <v>44244.57857724537</v>
      </c>
      <c r="U4764" t="s">
        <v>28784</v>
      </c>
      <c r="V4764" t="s">
        <v>28785</v>
      </c>
    </row>
    <row r="4765">
      <c r="A4765" t="s">
        <v>23557</v>
      </c>
      <c r="B4765" t="s">
        <v>28786</v>
      </c>
      <c r="C4765" t="s">
        <v>60</v>
      </c>
      <c r="D4765" t="s">
        <v>61</v>
      </c>
      <c r="E4765" t="s">
        <v>28787</v>
      </c>
      <c r="F4765" s="2" t="n">
        <f>HYPERLINK("https://patents.google.com/patent/US10918633","Google")</f>
        <v>0.0</v>
      </c>
      <c r="G4765" s="2" t="n">
        <f>HYPERLINK("https://patentcenter.uspto.gov/applications/16792492","Patent Center")</f>
        <v>0.0</v>
      </c>
      <c r="H4765" s="2" t="n">
        <f>HYPERLINK("https://worldwide.espacenet.com/patent/search?q=US10918633","Espacenet")</f>
        <v>0.0</v>
      </c>
      <c r="I4765" s="2" t="n">
        <f>HYPERLINK("https://ppubs.uspto.gov/pubwebapp/external.html?q=10918633.pn.","USPTO")</f>
        <v>0.0</v>
      </c>
      <c r="J4765" s="2" t="n">
        <f>HYPERLINK("https://image-ppubs.uspto.gov/dirsearch-public/print/downloadPdf/10918633","USPTO PDF")</f>
        <v>0.0</v>
      </c>
      <c r="K4765" s="2" t="n">
        <f>HYPERLINK("https://sectors.patentforecast.com/pmd/US10918633","PMD")</f>
        <v>0.0</v>
      </c>
      <c r="L4765" s="2" t="n">
        <f>HYPERLINK("https://globaldossier.uspto.gov/result/patent/US/10918633/1","US10918633")</f>
        <v>0.0</v>
      </c>
      <c r="M4765" t="s">
        <v>16760</v>
      </c>
      <c r="N4765" t="s">
        <v>16761</v>
      </c>
      <c r="O4765" t="s">
        <v>16762</v>
      </c>
      <c r="P4765" t="s">
        <v>28788</v>
      </c>
      <c r="Q4765" s="3" t="n">
        <v>43878.0</v>
      </c>
      <c r="R4765" s="3" t="n">
        <v>44243.0</v>
      </c>
      <c r="S4765" s="3" t="n">
        <v>44243.18788800926</v>
      </c>
      <c r="T4765" s="3" t="n">
        <v>44244.57569204861</v>
      </c>
      <c r="U4765" t="s">
        <v>28789</v>
      </c>
      <c r="V4765" t="s">
        <v>16765</v>
      </c>
    </row>
    <row r="4766">
      <c r="A4766" t="s">
        <v>23557</v>
      </c>
      <c r="B4766" t="s">
        <v>28790</v>
      </c>
      <c r="C4766" t="s">
        <v>24</v>
      </c>
      <c r="D4766" t="s">
        <v>69</v>
      </c>
      <c r="E4766" t="s">
        <v>28791</v>
      </c>
      <c r="F4766" s="2" t="n">
        <f>HYPERLINK("https://patents.google.com/patent/US10912959","Google")</f>
        <v>0.0</v>
      </c>
      <c r="G4766" s="2" t="n">
        <f>HYPERLINK("https://patentcenter.uspto.gov/applications/16930763","Patent Center")</f>
        <v>0.0</v>
      </c>
      <c r="H4766" s="2" t="n">
        <f>HYPERLINK("https://worldwide.espacenet.com/patent/search?q=US10912959","Espacenet")</f>
        <v>0.0</v>
      </c>
      <c r="I4766" s="2" t="n">
        <f>HYPERLINK("https://ppubs.uspto.gov/pubwebapp/external.html?q=10912959.pn.","USPTO")</f>
        <v>0.0</v>
      </c>
      <c r="J4766" s="2" t="n">
        <f>HYPERLINK("https://image-ppubs.uspto.gov/dirsearch-public/print/downloadPdf/10912959","USPTO PDF")</f>
        <v>0.0</v>
      </c>
      <c r="K4766" s="2" t="n">
        <f>HYPERLINK("https://sectors.patentforecast.com/pmd/US10912959","PMD")</f>
        <v>0.0</v>
      </c>
      <c r="L4766" s="2" t="n">
        <f>HYPERLINK("https://globaldossier.uspto.gov/result/patent/US/10912959/1","US10912959")</f>
        <v>0.0</v>
      </c>
      <c r="M4766" t="s">
        <v>28792</v>
      </c>
      <c r="N4766" t="s">
        <v>28793</v>
      </c>
      <c r="O4766" t="s">
        <v>28793</v>
      </c>
      <c r="P4766" t="s">
        <v>28794</v>
      </c>
      <c r="Q4766" s="3" t="n">
        <v>44028.0</v>
      </c>
      <c r="R4766" s="3" t="n">
        <v>44236.0</v>
      </c>
      <c r="S4766" s="3" t="n">
        <v>44236.18811773148</v>
      </c>
      <c r="T4766" s="3" t="n">
        <v>44237.59809612269</v>
      </c>
      <c r="U4766" t="s">
        <v>28795</v>
      </c>
      <c r="V4766" t="s">
        <v>28796</v>
      </c>
    </row>
    <row r="4767">
      <c r="A4767" t="s">
        <v>23557</v>
      </c>
      <c r="B4767" t="s">
        <v>28797</v>
      </c>
      <c r="C4767" t="s">
        <v>132</v>
      </c>
      <c r="D4767" t="s">
        <v>1265</v>
      </c>
      <c r="E4767" t="s">
        <v>20378</v>
      </c>
      <c r="F4767" s="2" t="n">
        <f>HYPERLINK("https://patents.google.com/patent/US10912825","Google")</f>
        <v>0.0</v>
      </c>
      <c r="G4767" s="2" t="n">
        <f>HYPERLINK("https://patentcenter.uspto.gov/applications/16246876","Patent Center")</f>
        <v>0.0</v>
      </c>
      <c r="H4767" s="2" t="n">
        <f>HYPERLINK("https://worldwide.espacenet.com/patent/search?q=US10912825","Espacenet")</f>
        <v>0.0</v>
      </c>
      <c r="I4767" s="2" t="n">
        <f>HYPERLINK("https://ppubs.uspto.gov/pubwebapp/external.html?q=10912825.pn.","USPTO")</f>
        <v>0.0</v>
      </c>
      <c r="J4767" s="2" t="n">
        <f>HYPERLINK("https://image-ppubs.uspto.gov/dirsearch-public/print/downloadPdf/10912825","USPTO PDF")</f>
        <v>0.0</v>
      </c>
      <c r="K4767" s="2" t="n">
        <f>HYPERLINK("https://sectors.patentforecast.com/pmd/US10912825","PMD")</f>
        <v>0.0</v>
      </c>
      <c r="L4767" s="2" t="n">
        <f>HYPERLINK("https://globaldossier.uspto.gov/result/patent/US/10912825/1","US10912825")</f>
        <v>0.0</v>
      </c>
      <c r="M4767" t="s">
        <v>17771</v>
      </c>
      <c r="N4767" t="s">
        <v>17772</v>
      </c>
      <c r="O4767" t="s">
        <v>17773</v>
      </c>
      <c r="P4767" t="s">
        <v>28798</v>
      </c>
      <c r="Q4767" s="3" t="n">
        <v>43479.0</v>
      </c>
      <c r="R4767" s="3" t="n">
        <v>44236.0</v>
      </c>
      <c r="S4767" s="3" t="n">
        <v>44236.19274259259</v>
      </c>
      <c r="T4767" s="3" t="n">
        <v>44237.59878559028</v>
      </c>
      <c r="U4767" t="s">
        <v>28799</v>
      </c>
      <c r="V4767" t="s">
        <v>17776</v>
      </c>
    </row>
    <row r="4768">
      <c r="A4768" t="s">
        <v>23557</v>
      </c>
      <c r="B4768" t="s">
        <v>28800</v>
      </c>
      <c r="C4768" t="s">
        <v>24</v>
      </c>
      <c r="D4768" t="s">
        <v>43</v>
      </c>
      <c r="E4768" t="s">
        <v>28801</v>
      </c>
      <c r="F4768" s="2" t="n">
        <f>HYPERLINK("https://patents.google.com/patent/US10911893","Google")</f>
        <v>0.0</v>
      </c>
      <c r="G4768" s="2" t="n">
        <f>HYPERLINK("https://patentcenter.uspto.gov/applications/16915417","Patent Center")</f>
        <v>0.0</v>
      </c>
      <c r="H4768" s="2" t="n">
        <f>HYPERLINK("https://worldwide.espacenet.com/patent/search?q=US10911893","Espacenet")</f>
        <v>0.0</v>
      </c>
      <c r="I4768" s="2" t="n">
        <f>HYPERLINK("https://ppubs.uspto.gov/pubwebapp/external.html?q=10911893.pn.","USPTO")</f>
        <v>0.0</v>
      </c>
      <c r="J4768" s="2" t="n">
        <f>HYPERLINK("https://image-ppubs.uspto.gov/dirsearch-public/print/downloadPdf/10911893","USPTO PDF")</f>
        <v>0.0</v>
      </c>
      <c r="K4768" s="2" t="n">
        <f>HYPERLINK("https://sectors.patentforecast.com/pmd/US10911893","PMD")</f>
        <v>0.0</v>
      </c>
      <c r="L4768" s="2" t="n">
        <f>HYPERLINK("https://globaldossier.uspto.gov/result/patent/US/10911893/1","US10911893")</f>
        <v>0.0</v>
      </c>
      <c r="M4768" t="s">
        <v>28802</v>
      </c>
      <c r="N4768" t="s">
        <v>28803</v>
      </c>
      <c r="O4768" t="s">
        <v>28804</v>
      </c>
      <c r="P4768" t="s">
        <v>28805</v>
      </c>
      <c r="Q4768" s="3" t="n">
        <v>44011.0</v>
      </c>
      <c r="R4768" s="3" t="n">
        <v>44229.0</v>
      </c>
      <c r="S4768" s="3" t="n">
        <v>44229.19390070602</v>
      </c>
      <c r="T4768" s="3" t="n">
        <v>44229.48663304398</v>
      </c>
      <c r="U4768" t="s">
        <v>28806</v>
      </c>
      <c r="V4768" t="s">
        <v>28807</v>
      </c>
    </row>
    <row r="4769">
      <c r="A4769" t="s">
        <v>23557</v>
      </c>
      <c r="B4769" t="s">
        <v>28808</v>
      </c>
      <c r="C4769" t="s">
        <v>24</v>
      </c>
      <c r="D4769" t="s">
        <v>25</v>
      </c>
      <c r="E4769" t="s">
        <v>28809</v>
      </c>
      <c r="F4769" s="2" t="n">
        <f>HYPERLINK("https://patents.google.com/patent/US10909835","Google")</f>
        <v>0.0</v>
      </c>
      <c r="G4769" s="2" t="n">
        <f>HYPERLINK("https://patentcenter.uspto.gov/applications/16994174","Patent Center")</f>
        <v>0.0</v>
      </c>
      <c r="H4769" s="2" t="n">
        <f>HYPERLINK("https://worldwide.espacenet.com/patent/search?q=US10909835","Espacenet")</f>
        <v>0.0</v>
      </c>
      <c r="I4769" s="2" t="n">
        <f>HYPERLINK("https://ppubs.uspto.gov/pubwebapp/external.html?q=10909835.pn.","USPTO")</f>
        <v>0.0</v>
      </c>
      <c r="J4769" s="2" t="n">
        <f>HYPERLINK("https://image-ppubs.uspto.gov/dirsearch-public/print/downloadPdf/10909835","USPTO PDF")</f>
        <v>0.0</v>
      </c>
      <c r="K4769" s="2" t="n">
        <f>HYPERLINK("https://sectors.patentforecast.com/pmd/US10909835","PMD")</f>
        <v>0.0</v>
      </c>
      <c r="L4769" s="2" t="n">
        <f>HYPERLINK("https://globaldossier.uspto.gov/result/patent/US/10909835/1","US10909835")</f>
        <v>0.0</v>
      </c>
      <c r="M4769" t="s">
        <v>28810</v>
      </c>
      <c r="N4769" t="s">
        <v>27448</v>
      </c>
      <c r="O4769" t="s">
        <v>27449</v>
      </c>
      <c r="P4769" t="s">
        <v>28811</v>
      </c>
      <c r="Q4769" s="3" t="n">
        <v>44057.0</v>
      </c>
      <c r="R4769" s="3" t="n">
        <v>44229.0</v>
      </c>
      <c r="S4769" s="3" t="n">
        <v>44229.18788146991</v>
      </c>
      <c r="T4769" s="3" t="n">
        <v>44229.50940403935</v>
      </c>
      <c r="U4769" t="s">
        <v>28812</v>
      </c>
      <c r="V4769" t="s">
        <v>28813</v>
      </c>
    </row>
    <row r="4770">
      <c r="A4770" t="s">
        <v>23557</v>
      </c>
      <c r="B4770" t="s">
        <v>28814</v>
      </c>
      <c r="C4770" t="s">
        <v>132</v>
      </c>
      <c r="D4770" t="s">
        <v>28815</v>
      </c>
      <c r="E4770" t="s">
        <v>28816</v>
      </c>
      <c r="F4770" s="2" t="n">
        <f>HYPERLINK("https://patents.google.com/patent/US10906944","Google")</f>
        <v>0.0</v>
      </c>
      <c r="G4770" s="2" t="n">
        <f>HYPERLINK("https://patentcenter.uspto.gov/applications/17019825","Patent Center")</f>
        <v>0.0</v>
      </c>
      <c r="H4770" s="2" t="n">
        <f>HYPERLINK("https://worldwide.espacenet.com/patent/search?q=US10906944","Espacenet")</f>
        <v>0.0</v>
      </c>
      <c r="I4770" s="2" t="n">
        <f>HYPERLINK("https://ppubs.uspto.gov/pubwebapp/external.html?q=10906944.pn.","USPTO")</f>
        <v>0.0</v>
      </c>
      <c r="J4770" s="2" t="n">
        <f>HYPERLINK("https://image-ppubs.uspto.gov/dirsearch-public/print/downloadPdf/10906944","USPTO PDF")</f>
        <v>0.0</v>
      </c>
      <c r="K4770" s="2" t="n">
        <f>HYPERLINK("https://sectors.patentforecast.com/pmd/US10906944","PMD")</f>
        <v>0.0</v>
      </c>
      <c r="L4770" s="2" t="n">
        <f>HYPERLINK("https://globaldossier.uspto.gov/result/patent/US/10906944/1","US10906944")</f>
        <v>0.0</v>
      </c>
      <c r="M4770" t="s">
        <v>15860</v>
      </c>
      <c r="N4770" t="s">
        <v>7310</v>
      </c>
      <c r="O4770" t="s">
        <v>7311</v>
      </c>
      <c r="P4770" t="s">
        <v>28817</v>
      </c>
      <c r="Q4770" s="3" t="n">
        <v>44088.0</v>
      </c>
      <c r="R4770" s="3" t="n">
        <v>44229.0</v>
      </c>
      <c r="S4770" s="3" t="n">
        <v>44229.18788146991</v>
      </c>
      <c r="T4770" s="3" t="n">
        <v>44638.68962553241</v>
      </c>
      <c r="U4770" t="s">
        <v>28818</v>
      </c>
      <c r="V4770" t="s">
        <v>15276</v>
      </c>
    </row>
    <row r="4771">
      <c r="A4771" t="s">
        <v>23557</v>
      </c>
      <c r="B4771" t="s">
        <v>28819</v>
      </c>
      <c r="C4771" t="s">
        <v>24</v>
      </c>
      <c r="D4771" t="s">
        <v>204</v>
      </c>
      <c r="E4771" t="s">
        <v>28820</v>
      </c>
      <c r="F4771" s="2" t="n">
        <f>HYPERLINK("https://patents.google.com/patent/US10906180","Google")</f>
        <v>0.0</v>
      </c>
      <c r="G4771" s="2" t="n">
        <f>HYPERLINK("https://patentcenter.uspto.gov/applications/16880789","Patent Center")</f>
        <v>0.0</v>
      </c>
      <c r="H4771" s="2" t="n">
        <f>HYPERLINK("https://worldwide.espacenet.com/patent/search?q=US10906180","Espacenet")</f>
        <v>0.0</v>
      </c>
      <c r="I4771" s="2" t="n">
        <f>HYPERLINK("https://ppubs.uspto.gov/pubwebapp/external.html?q=10906180.pn.","USPTO")</f>
        <v>0.0</v>
      </c>
      <c r="J4771" s="2" t="n">
        <f>HYPERLINK("https://image-ppubs.uspto.gov/dirsearch-public/print/downloadPdf/10906180","USPTO PDF")</f>
        <v>0.0</v>
      </c>
      <c r="K4771" s="2" t="n">
        <f>HYPERLINK("https://sectors.patentforecast.com/pmd/US10906180","PMD")</f>
        <v>0.0</v>
      </c>
      <c r="L4771" s="2" t="n">
        <f>HYPERLINK("https://globaldossier.uspto.gov/result/patent/US/10906180/1","US10906180")</f>
        <v>0.0</v>
      </c>
      <c r="M4771" t="s">
        <v>28821</v>
      </c>
      <c r="N4771" t="s">
        <v>7718</v>
      </c>
      <c r="O4771" t="s">
        <v>7719</v>
      </c>
      <c r="P4771" t="s">
        <v>28822</v>
      </c>
      <c r="Q4771" s="3" t="n">
        <v>43972.0</v>
      </c>
      <c r="R4771" s="3" t="n">
        <v>44229.0</v>
      </c>
      <c r="S4771" s="3" t="n">
        <v>44229.18788146991</v>
      </c>
      <c r="T4771" s="3" t="n">
        <v>44229.512973784724</v>
      </c>
      <c r="U4771" t="s">
        <v>28823</v>
      </c>
      <c r="V4771" t="s">
        <v>28824</v>
      </c>
    </row>
    <row r="4772">
      <c r="A4772" t="s">
        <v>23557</v>
      </c>
      <c r="B4772" t="s">
        <v>28825</v>
      </c>
      <c r="C4772" t="s">
        <v>60</v>
      </c>
      <c r="D4772" t="s">
        <v>715</v>
      </c>
      <c r="E4772" t="s">
        <v>28826</v>
      </c>
      <c r="F4772" s="2" t="n">
        <f>HYPERLINK("https://patents.google.com/patent/US10905839","Google")</f>
        <v>0.0</v>
      </c>
      <c r="G4772" s="2" t="n">
        <f>HYPERLINK("https://patentcenter.uspto.gov/applications/16899731","Patent Center")</f>
        <v>0.0</v>
      </c>
      <c r="H4772" s="2" t="n">
        <f>HYPERLINK("https://worldwide.espacenet.com/patent/search?q=US10905839","Espacenet")</f>
        <v>0.0</v>
      </c>
      <c r="I4772" s="2" t="n">
        <f>HYPERLINK("https://ppubs.uspto.gov/pubwebapp/external.html?q=10905839.pn.","USPTO")</f>
        <v>0.0</v>
      </c>
      <c r="J4772" s="2" t="n">
        <f>HYPERLINK("https://image-ppubs.uspto.gov/dirsearch-public/print/downloadPdf/10905839","USPTO PDF")</f>
        <v>0.0</v>
      </c>
      <c r="K4772" s="2" t="n">
        <f>HYPERLINK("https://sectors.patentforecast.com/pmd/US10905839","PMD")</f>
        <v>0.0</v>
      </c>
      <c r="L4772" s="2" t="n">
        <f>HYPERLINK("https://globaldossier.uspto.gov/result/patent/US/10905839/1","US10905839")</f>
        <v>0.0</v>
      </c>
      <c r="M4772" t="s">
        <v>28827</v>
      </c>
      <c r="N4772" t="s">
        <v>12640</v>
      </c>
      <c r="O4772" t="s">
        <v>12641</v>
      </c>
      <c r="P4772" t="s">
        <v>28171</v>
      </c>
      <c r="Q4772" s="3" t="n">
        <v>43994.0</v>
      </c>
      <c r="R4772" s="3" t="n">
        <v>44229.0</v>
      </c>
      <c r="S4772" s="3" t="n">
        <v>44229.18788146991</v>
      </c>
      <c r="T4772" s="3" t="n">
        <v>44229.51335296296</v>
      </c>
      <c r="U4772" t="s">
        <v>28828</v>
      </c>
      <c r="V4772" t="s">
        <v>28829</v>
      </c>
    </row>
    <row r="4773">
      <c r="A4773" t="s">
        <v>23557</v>
      </c>
      <c r="B4773" t="s">
        <v>28830</v>
      </c>
      <c r="C4773" t="s">
        <v>24</v>
      </c>
      <c r="D4773" t="s">
        <v>100</v>
      </c>
      <c r="E4773" t="s">
        <v>28831</v>
      </c>
      <c r="F4773" s="2" t="n">
        <f>HYPERLINK("https://patents.google.com/patent/US10905790","Google")</f>
        <v>0.0</v>
      </c>
      <c r="G4773" s="2" t="n">
        <f>HYPERLINK("https://patentcenter.uspto.gov/applications/16935495","Patent Center")</f>
        <v>0.0</v>
      </c>
      <c r="H4773" s="2" t="n">
        <f>HYPERLINK("https://worldwide.espacenet.com/patent/search?q=US10905790","Espacenet")</f>
        <v>0.0</v>
      </c>
      <c r="I4773" s="2" t="n">
        <f>HYPERLINK("https://ppubs.uspto.gov/pubwebapp/external.html?q=10905790.pn.","USPTO")</f>
        <v>0.0</v>
      </c>
      <c r="J4773" s="2" t="n">
        <f>HYPERLINK("https://image-ppubs.uspto.gov/dirsearch-public/print/downloadPdf/10905790","USPTO PDF")</f>
        <v>0.0</v>
      </c>
      <c r="K4773" s="2" t="n">
        <f>HYPERLINK("https://sectors.patentforecast.com/pmd/US10905790","PMD")</f>
        <v>0.0</v>
      </c>
      <c r="L4773" s="2" t="n">
        <f>HYPERLINK("https://globaldossier.uspto.gov/result/patent/US/10905790/1","US10905790")</f>
        <v>0.0</v>
      </c>
      <c r="M4773" t="s">
        <v>28832</v>
      </c>
      <c r="N4773" t="s">
        <v>7455</v>
      </c>
      <c r="O4773" t="s">
        <v>7456</v>
      </c>
      <c r="P4773" t="s">
        <v>28833</v>
      </c>
      <c r="Q4773" s="3" t="n">
        <v>44034.0</v>
      </c>
      <c r="R4773" s="3" t="n">
        <v>44229.0</v>
      </c>
      <c r="S4773" s="3" t="n">
        <v>44229.18788146991</v>
      </c>
      <c r="T4773" s="3" t="n">
        <v>44229.512070729164</v>
      </c>
      <c r="U4773" t="s">
        <v>28834</v>
      </c>
      <c r="V4773" t="s">
        <v>28835</v>
      </c>
    </row>
    <row r="4774">
      <c r="A4774" t="s">
        <v>23557</v>
      </c>
      <c r="B4774" t="s">
        <v>28836</v>
      </c>
      <c r="C4774" t="s">
        <v>132</v>
      </c>
      <c r="D4774" t="s">
        <v>2629</v>
      </c>
      <c r="E4774" t="s">
        <v>28837</v>
      </c>
      <c r="F4774" s="2" t="n">
        <f>HYPERLINK("https://patents.google.com/patent/US10905758","Google")</f>
        <v>0.0</v>
      </c>
      <c r="G4774" s="2" t="n">
        <f>HYPERLINK("https://patentcenter.uspto.gov/applications/16575121","Patent Center")</f>
        <v>0.0</v>
      </c>
      <c r="H4774" s="2" t="n">
        <f>HYPERLINK("https://worldwide.espacenet.com/patent/search?q=US10905758","Espacenet")</f>
        <v>0.0</v>
      </c>
      <c r="I4774" s="2" t="n">
        <f>HYPERLINK("https://ppubs.uspto.gov/pubwebapp/external.html?q=10905758.pn.","USPTO")</f>
        <v>0.0</v>
      </c>
      <c r="J4774" s="2" t="n">
        <f>HYPERLINK("https://image-ppubs.uspto.gov/dirsearch-public/print/downloadPdf/10905758","USPTO PDF")</f>
        <v>0.0</v>
      </c>
      <c r="K4774" s="2" t="n">
        <f>HYPERLINK("https://sectors.patentforecast.com/pmd/US10905758","PMD")</f>
        <v>0.0</v>
      </c>
      <c r="L4774" s="2" t="n">
        <f>HYPERLINK("https://globaldossier.uspto.gov/result/patent/US/10905758/1","US10905758")</f>
        <v>0.0</v>
      </c>
      <c r="M4774" t="s">
        <v>16970</v>
      </c>
      <c r="N4774" t="s">
        <v>16179</v>
      </c>
      <c r="O4774" t="s">
        <v>16180</v>
      </c>
      <c r="P4774" t="s">
        <v>28838</v>
      </c>
      <c r="Q4774" s="3" t="n">
        <v>43726.0</v>
      </c>
      <c r="R4774" s="3" t="n">
        <v>44229.0</v>
      </c>
      <c r="S4774" s="3" t="n">
        <v>44229.19262677083</v>
      </c>
      <c r="T4774" s="3" t="n">
        <v>44229.486855104165</v>
      </c>
      <c r="U4774" t="s">
        <v>28839</v>
      </c>
      <c r="V4774" t="s">
        <v>16972</v>
      </c>
    </row>
    <row r="4775">
      <c r="A4775" t="s">
        <v>23557</v>
      </c>
      <c r="B4775" t="s">
        <v>28840</v>
      </c>
      <c r="C4775" t="s">
        <v>132</v>
      </c>
      <c r="D4775" t="s">
        <v>2629</v>
      </c>
      <c r="E4775" t="s">
        <v>28841</v>
      </c>
      <c r="F4775" s="2" t="n">
        <f>HYPERLINK("https://patents.google.com/patent/US10905755","Google")</f>
        <v>0.0</v>
      </c>
      <c r="G4775" s="2" t="n">
        <f>HYPERLINK("https://patentcenter.uspto.gov/applications/16298006","Patent Center")</f>
        <v>0.0</v>
      </c>
      <c r="H4775" s="2" t="n">
        <f>HYPERLINK("https://worldwide.espacenet.com/patent/search?q=US10905755","Espacenet")</f>
        <v>0.0</v>
      </c>
      <c r="I4775" s="2" t="n">
        <f>HYPERLINK("https://ppubs.uspto.gov/pubwebapp/external.html?q=10905755.pn.","USPTO")</f>
        <v>0.0</v>
      </c>
      <c r="J4775" s="2" t="n">
        <f>HYPERLINK("https://image-ppubs.uspto.gov/dirsearch-public/print/downloadPdf/10905755","USPTO PDF")</f>
        <v>0.0</v>
      </c>
      <c r="K4775" s="2" t="n">
        <f>HYPERLINK("https://sectors.patentforecast.com/pmd/US10905755","PMD")</f>
        <v>0.0</v>
      </c>
      <c r="L4775" s="2" t="n">
        <f>HYPERLINK("https://globaldossier.uspto.gov/result/patent/US/10905755/1","US10905755")</f>
        <v>0.0</v>
      </c>
      <c r="M4775" t="s">
        <v>28842</v>
      </c>
      <c r="N4775" t="s">
        <v>2541</v>
      </c>
      <c r="O4775" t="s">
        <v>2542</v>
      </c>
      <c r="P4775" t="s">
        <v>28843</v>
      </c>
      <c r="Q4775" s="3" t="n">
        <v>43535.0</v>
      </c>
      <c r="R4775" s="3" t="n">
        <v>44229.0</v>
      </c>
      <c r="S4775" s="3" t="n">
        <v>44229.189731782404</v>
      </c>
      <c r="T4775" s="3" t="n">
        <v>44229.487026400464</v>
      </c>
      <c r="U4775" t="s">
        <v>28844</v>
      </c>
      <c r="V4775" t="s">
        <v>15355</v>
      </c>
    </row>
    <row r="4776">
      <c r="A4776" t="s">
        <v>23557</v>
      </c>
      <c r="B4776" t="s">
        <v>28845</v>
      </c>
      <c r="C4776" t="s">
        <v>60</v>
      </c>
      <c r="D4776" t="s">
        <v>61</v>
      </c>
      <c r="E4776" t="s">
        <v>28846</v>
      </c>
      <c r="F4776" s="2" t="n">
        <f>HYPERLINK("https://patents.google.com/patent/US10905698","Google")</f>
        <v>0.0</v>
      </c>
      <c r="G4776" s="2" t="n">
        <f>HYPERLINK("https://patentcenter.uspto.gov/applications/16921071","Patent Center")</f>
        <v>0.0</v>
      </c>
      <c r="H4776" s="2" t="n">
        <f>HYPERLINK("https://worldwide.espacenet.com/patent/search?q=US10905698","Espacenet")</f>
        <v>0.0</v>
      </c>
      <c r="I4776" s="2" t="n">
        <f>HYPERLINK("https://ppubs.uspto.gov/pubwebapp/external.html?q=10905698.pn.","USPTO")</f>
        <v>0.0</v>
      </c>
      <c r="J4776" s="2" t="n">
        <f>HYPERLINK("https://image-ppubs.uspto.gov/dirsearch-public/print/downloadPdf/10905698","USPTO PDF")</f>
        <v>0.0</v>
      </c>
      <c r="K4776" s="2" t="n">
        <f>HYPERLINK("https://sectors.patentforecast.com/pmd/US10905698","PMD")</f>
        <v>0.0</v>
      </c>
      <c r="L4776" s="2" t="n">
        <f>HYPERLINK("https://globaldossier.uspto.gov/result/patent/US/10905698/1","US10905698")</f>
        <v>0.0</v>
      </c>
      <c r="M4776" t="s">
        <v>28847</v>
      </c>
      <c r="N4776" t="s">
        <v>10194</v>
      </c>
      <c r="O4776" t="s">
        <v>10195</v>
      </c>
      <c r="P4776" t="s">
        <v>28848</v>
      </c>
      <c r="Q4776" s="3" t="n">
        <v>44018.0</v>
      </c>
      <c r="R4776" s="3" t="n">
        <v>44229.0</v>
      </c>
      <c r="S4776" s="3" t="n">
        <v>44229.18788146991</v>
      </c>
      <c r="T4776" s="3" t="n">
        <v>44229.485568703705</v>
      </c>
      <c r="U4776" t="s">
        <v>28849</v>
      </c>
      <c r="V4776" t="s">
        <v>10198</v>
      </c>
    </row>
    <row r="4777">
      <c r="A4777" t="s">
        <v>23557</v>
      </c>
      <c r="B4777" t="s">
        <v>28850</v>
      </c>
      <c r="C4777" t="s">
        <v>24</v>
      </c>
      <c r="D4777" t="s">
        <v>69</v>
      </c>
      <c r="E4777" t="s">
        <v>27114</v>
      </c>
      <c r="F4777" s="2" t="n">
        <f>HYPERLINK("https://patents.google.com/patent/US10905585","Google")</f>
        <v>0.0</v>
      </c>
      <c r="G4777" s="2" t="n">
        <f>HYPERLINK("https://patentcenter.uspto.gov/applications/16893212","Patent Center")</f>
        <v>0.0</v>
      </c>
      <c r="H4777" s="2" t="n">
        <f>HYPERLINK("https://worldwide.espacenet.com/patent/search?q=US10905585","Espacenet")</f>
        <v>0.0</v>
      </c>
      <c r="I4777" s="2" t="n">
        <f>HYPERLINK("https://ppubs.uspto.gov/pubwebapp/external.html?q=10905585.pn.","USPTO")</f>
        <v>0.0</v>
      </c>
      <c r="J4777" s="2" t="n">
        <f>HYPERLINK("https://image-ppubs.uspto.gov/dirsearch-public/print/downloadPdf/10905585","USPTO PDF")</f>
        <v>0.0</v>
      </c>
      <c r="K4777" s="2" t="n">
        <f>HYPERLINK("https://sectors.patentforecast.com/pmd/US10905585","PMD")</f>
        <v>0.0</v>
      </c>
      <c r="L4777" s="2" t="n">
        <f>HYPERLINK("https://globaldossier.uspto.gov/result/patent/US/10905585/1","US10905585")</f>
        <v>0.0</v>
      </c>
      <c r="M4777" t="s">
        <v>28851</v>
      </c>
      <c r="N4777" t="s">
        <v>14215</v>
      </c>
      <c r="O4777" t="s">
        <v>14215</v>
      </c>
      <c r="P4777" t="s">
        <v>28852</v>
      </c>
      <c r="Q4777" s="3" t="n">
        <v>43986.0</v>
      </c>
      <c r="R4777" s="3" t="n">
        <v>44229.0</v>
      </c>
      <c r="S4777" s="3" t="n">
        <v>44229.18788146991</v>
      </c>
      <c r="T4777" s="3" t="n">
        <v>44678.64027574074</v>
      </c>
      <c r="U4777" t="s">
        <v>28853</v>
      </c>
      <c r="V4777" t="s">
        <v>14501</v>
      </c>
    </row>
    <row r="4778">
      <c r="A4778" t="s">
        <v>23557</v>
      </c>
      <c r="B4778" t="s">
        <v>28854</v>
      </c>
      <c r="C4778" t="s">
        <v>24</v>
      </c>
      <c r="D4778" t="s">
        <v>25</v>
      </c>
      <c r="E4778" t="s">
        <v>28855</v>
      </c>
      <c r="F4778" s="2" t="n">
        <f>HYPERLINK("https://patents.google.com/patent/US10902955","Google")</f>
        <v>0.0</v>
      </c>
      <c r="G4778" s="2" t="n">
        <f>HYPERLINK("https://patentcenter.uspto.gov/applications/16878433","Patent Center")</f>
        <v>0.0</v>
      </c>
      <c r="H4778" s="2" t="n">
        <f>HYPERLINK("https://worldwide.espacenet.com/patent/search?q=US10902955","Espacenet")</f>
        <v>0.0</v>
      </c>
      <c r="I4778" s="2" t="n">
        <f>HYPERLINK("https://ppubs.uspto.gov/pubwebapp/external.html?q=10902955.pn.","USPTO")</f>
        <v>0.0</v>
      </c>
      <c r="J4778" s="2" t="n">
        <f>HYPERLINK("https://image-ppubs.uspto.gov/dirsearch-public/print/downloadPdf/10902955","USPTO PDF")</f>
        <v>0.0</v>
      </c>
      <c r="K4778" s="2" t="n">
        <f>HYPERLINK("https://sectors.patentforecast.com/pmd/US10902955","PMD")</f>
        <v>0.0</v>
      </c>
      <c r="L4778" s="2" t="n">
        <f>HYPERLINK("https://globaldossier.uspto.gov/result/patent/US/10902955/1","US10902955")</f>
        <v>0.0</v>
      </c>
      <c r="M4778" t="s">
        <v>28856</v>
      </c>
      <c r="N4778" t="s">
        <v>8931</v>
      </c>
      <c r="O4778" t="s">
        <v>8931</v>
      </c>
      <c r="P4778" t="s">
        <v>28857</v>
      </c>
      <c r="Q4778" s="3" t="n">
        <v>43970.0</v>
      </c>
      <c r="R4778" s="3" t="n">
        <v>44222.0</v>
      </c>
      <c r="S4778" s="3" t="n">
        <v>44222.18811086805</v>
      </c>
      <c r="T4778" s="3" t="n">
        <v>44222.392959791665</v>
      </c>
      <c r="U4778" t="s">
        <v>28858</v>
      </c>
      <c r="V4778" t="s">
        <v>8934</v>
      </c>
    </row>
    <row r="4779">
      <c r="A4779" t="s">
        <v>23557</v>
      </c>
      <c r="B4779" t="s">
        <v>28859</v>
      </c>
      <c r="C4779" t="s">
        <v>24</v>
      </c>
      <c r="D4779" t="s">
        <v>187</v>
      </c>
      <c r="E4779" t="s">
        <v>28860</v>
      </c>
      <c r="F4779" s="2" t="n">
        <f>HYPERLINK("https://patents.google.com/patent/US10902954","Google")</f>
        <v>0.0</v>
      </c>
      <c r="G4779" s="2" t="n">
        <f>HYPERLINK("https://patentcenter.uspto.gov/applications/16017323","Patent Center")</f>
        <v>0.0</v>
      </c>
      <c r="H4779" s="2" t="n">
        <f>HYPERLINK("https://worldwide.espacenet.com/patent/search?q=US10902954","Espacenet")</f>
        <v>0.0</v>
      </c>
      <c r="I4779" s="2" t="n">
        <f>HYPERLINK("https://ppubs.uspto.gov/pubwebapp/external.html?q=10902954.pn.","USPTO")</f>
        <v>0.0</v>
      </c>
      <c r="J4779" s="2" t="n">
        <f>HYPERLINK("https://image-ppubs.uspto.gov/dirsearch-public/print/downloadPdf/10902954","USPTO PDF")</f>
        <v>0.0</v>
      </c>
      <c r="K4779" s="2" t="n">
        <f>HYPERLINK("https://sectors.patentforecast.com/pmd/US10902954","PMD")</f>
        <v>0.0</v>
      </c>
      <c r="L4779" s="2" t="n">
        <f>HYPERLINK("https://globaldossier.uspto.gov/result/patent/US/10902954/1","US10902954")</f>
        <v>0.0</v>
      </c>
      <c r="M4779" t="s">
        <v>28861</v>
      </c>
      <c r="N4779" t="s">
        <v>18707</v>
      </c>
      <c r="O4779" t="s">
        <v>18708</v>
      </c>
      <c r="P4779" t="s">
        <v>28862</v>
      </c>
      <c r="Q4779" s="3" t="n">
        <v>43276.0</v>
      </c>
      <c r="R4779" s="3" t="n">
        <v>44222.0</v>
      </c>
      <c r="S4779" s="3" t="n">
        <v>44222.18868895833</v>
      </c>
      <c r="T4779" s="3" t="n">
        <v>44222.39373755787</v>
      </c>
      <c r="U4779" t="s">
        <v>28863</v>
      </c>
      <c r="V4779" t="s">
        <v>28864</v>
      </c>
    </row>
    <row r="4780">
      <c r="A4780" t="s">
        <v>23557</v>
      </c>
      <c r="B4780" t="s">
        <v>28865</v>
      </c>
      <c r="C4780" t="s">
        <v>60</v>
      </c>
      <c r="D4780" t="s">
        <v>715</v>
      </c>
      <c r="E4780" t="s">
        <v>28866</v>
      </c>
      <c r="F4780" s="2" t="n">
        <f>HYPERLINK("https://patents.google.com/patent/US10898724","Google")</f>
        <v>0.0</v>
      </c>
      <c r="G4780" s="2" t="n">
        <f>HYPERLINK("https://patentcenter.uspto.gov/applications/16889799","Patent Center")</f>
        <v>0.0</v>
      </c>
      <c r="H4780" s="2" t="n">
        <f>HYPERLINK("https://worldwide.espacenet.com/patent/search?q=US10898724","Espacenet")</f>
        <v>0.0</v>
      </c>
      <c r="I4780" s="2" t="n">
        <f>HYPERLINK("https://ppubs.uspto.gov/pubwebapp/external.html?q=10898724.pn.","USPTO")</f>
        <v>0.0</v>
      </c>
      <c r="J4780" s="2" t="n">
        <f>HYPERLINK("https://image-ppubs.uspto.gov/dirsearch-public/print/downloadPdf/10898724","USPTO PDF")</f>
        <v>0.0</v>
      </c>
      <c r="K4780" s="2" t="n">
        <f>HYPERLINK("https://sectors.patentforecast.com/pmd/US10898724","PMD")</f>
        <v>0.0</v>
      </c>
      <c r="L4780" s="2" t="n">
        <f>HYPERLINK("https://globaldossier.uspto.gov/result/patent/US/10898724/1","US10898724")</f>
        <v>0.0</v>
      </c>
      <c r="M4780" t="s">
        <v>15967</v>
      </c>
      <c r="N4780" t="s">
        <v>3388</v>
      </c>
      <c r="O4780" t="s">
        <v>3389</v>
      </c>
      <c r="P4780" t="s">
        <v>28867</v>
      </c>
      <c r="Q4780" s="3" t="n">
        <v>43983.0</v>
      </c>
      <c r="R4780" s="3" t="n">
        <v>44222.0</v>
      </c>
      <c r="S4780" s="3" t="n">
        <v>44222.18811086805</v>
      </c>
      <c r="T4780" s="3" t="n">
        <v>44222.39532328703</v>
      </c>
      <c r="U4780" t="s">
        <v>28868</v>
      </c>
      <c r="V4780" t="s">
        <v>3391</v>
      </c>
    </row>
    <row r="4781">
      <c r="A4781" t="s">
        <v>23557</v>
      </c>
      <c r="B4781" t="s">
        <v>28869</v>
      </c>
      <c r="C4781" t="s">
        <v>132</v>
      </c>
      <c r="D4781" t="s">
        <v>12938</v>
      </c>
      <c r="E4781" t="s">
        <v>28870</v>
      </c>
      <c r="F4781" s="2" t="n">
        <f>HYPERLINK("https://patents.google.com/patent/US10898566","Google")</f>
        <v>0.0</v>
      </c>
      <c r="G4781" s="2" t="n">
        <f>HYPERLINK("https://patentcenter.uspto.gov/applications/16334099","Patent Center")</f>
        <v>0.0</v>
      </c>
      <c r="H4781" s="2" t="n">
        <f>HYPERLINK("https://worldwide.espacenet.com/patent/search?q=US10898566","Espacenet")</f>
        <v>0.0</v>
      </c>
      <c r="I4781" s="2" t="n">
        <f>HYPERLINK("https://ppubs.uspto.gov/pubwebapp/external.html?q=10898566.pn.","USPTO")</f>
        <v>0.0</v>
      </c>
      <c r="J4781" s="2" t="n">
        <f>HYPERLINK("https://image-ppubs.uspto.gov/dirsearch-public/print/downloadPdf/10898566","USPTO PDF")</f>
        <v>0.0</v>
      </c>
      <c r="K4781" s="2" t="n">
        <f>HYPERLINK("https://sectors.patentforecast.com/pmd/US10898566","PMD")</f>
        <v>0.0</v>
      </c>
      <c r="L4781" s="2" t="n">
        <f>HYPERLINK("https://globaldossier.uspto.gov/result/patent/US/10898566/1","US10898566")</f>
        <v>0.0</v>
      </c>
      <c r="M4781" t="s">
        <v>28871</v>
      </c>
      <c r="N4781" t="s">
        <v>10252</v>
      </c>
      <c r="O4781" t="s">
        <v>10253</v>
      </c>
      <c r="P4781" t="s">
        <v>28872</v>
      </c>
      <c r="Q4781" s="3" t="n">
        <v>42944.0</v>
      </c>
      <c r="R4781" s="3" t="n">
        <v>44222.0</v>
      </c>
      <c r="S4781" s="3" t="n">
        <v>44222.18938050926</v>
      </c>
      <c r="T4781" s="3" t="n">
        <v>44222.39338594907</v>
      </c>
      <c r="U4781" t="s">
        <v>28873</v>
      </c>
      <c r="V4781" t="s">
        <v>28874</v>
      </c>
    </row>
    <row r="4782">
      <c r="A4782" t="s">
        <v>23557</v>
      </c>
      <c r="B4782" t="s">
        <v>28875</v>
      </c>
      <c r="C4782" t="s">
        <v>24</v>
      </c>
      <c r="D4782" t="s">
        <v>34</v>
      </c>
      <c r="E4782" t="s">
        <v>28876</v>
      </c>
      <c r="F4782" s="2" t="n">
        <f>HYPERLINK("https://patents.google.com/patent/US10898169","Google")</f>
        <v>0.0</v>
      </c>
      <c r="G4782" s="2" t="n">
        <f>HYPERLINK("https://patentcenter.uspto.gov/applications/17069509","Patent Center")</f>
        <v>0.0</v>
      </c>
      <c r="H4782" s="2" t="n">
        <f>HYPERLINK("https://worldwide.espacenet.com/patent/search?q=US10898169","Espacenet")</f>
        <v>0.0</v>
      </c>
      <c r="I4782" s="2" t="n">
        <f>HYPERLINK("https://ppubs.uspto.gov/pubwebapp/external.html?q=10898169.pn.","USPTO")</f>
        <v>0.0</v>
      </c>
      <c r="J4782" s="2" t="n">
        <f>HYPERLINK("https://image-ppubs.uspto.gov/dirsearch-public/print/downloadPdf/10898169","USPTO PDF")</f>
        <v>0.0</v>
      </c>
      <c r="K4782" s="2" t="n">
        <f>HYPERLINK("https://sectors.patentforecast.com/pmd/US10898169","PMD")</f>
        <v>0.0</v>
      </c>
      <c r="L4782" s="2" t="n">
        <f>HYPERLINK("https://globaldossier.uspto.gov/result/patent/US/10898169/1","US10898169")</f>
        <v>0.0</v>
      </c>
      <c r="M4782" t="s">
        <v>28877</v>
      </c>
      <c r="N4782" t="s">
        <v>2709</v>
      </c>
      <c r="O4782" t="s">
        <v>2710</v>
      </c>
      <c r="P4782" t="s">
        <v>28878</v>
      </c>
      <c r="Q4782" s="3" t="n">
        <v>44117.0</v>
      </c>
      <c r="R4782" s="3" t="n">
        <v>44222.0</v>
      </c>
      <c r="S4782" s="3" t="n">
        <v>44222.1877637037</v>
      </c>
      <c r="T4782" s="3" t="n">
        <v>44222.395214606484</v>
      </c>
      <c r="U4782" t="s">
        <v>28879</v>
      </c>
      <c r="V4782" t="s">
        <v>2713</v>
      </c>
    </row>
    <row r="4783">
      <c r="A4783" t="s">
        <v>23557</v>
      </c>
      <c r="B4783" t="s">
        <v>28880</v>
      </c>
      <c r="C4783" t="s">
        <v>24</v>
      </c>
      <c r="D4783" t="s">
        <v>100</v>
      </c>
      <c r="E4783" t="s">
        <v>28881</v>
      </c>
      <c r="F4783" s="2" t="n">
        <f>HYPERLINK("https://patents.google.com/patent/US10893990","Google")</f>
        <v>0.0</v>
      </c>
      <c r="G4783" s="2" t="n">
        <f>HYPERLINK("https://patentcenter.uspto.gov/applications/16852277","Patent Center")</f>
        <v>0.0</v>
      </c>
      <c r="H4783" s="2" t="n">
        <f>HYPERLINK("https://worldwide.espacenet.com/patent/search?q=US10893990","Espacenet")</f>
        <v>0.0</v>
      </c>
      <c r="I4783" s="2" t="n">
        <f>HYPERLINK("https://ppubs.uspto.gov/pubwebapp/external.html?q=10893990.pn.","USPTO")</f>
        <v>0.0</v>
      </c>
      <c r="J4783" s="2" t="n">
        <f>HYPERLINK("https://image-ppubs.uspto.gov/dirsearch-public/print/downloadPdf/10893990","USPTO PDF")</f>
        <v>0.0</v>
      </c>
      <c r="K4783" s="2" t="n">
        <f>HYPERLINK("https://sectors.patentforecast.com/pmd/US10893990","PMD")</f>
        <v>0.0</v>
      </c>
      <c r="L4783" s="2" t="n">
        <f>HYPERLINK("https://globaldossier.uspto.gov/result/patent/US/10893990/1","US10893990")</f>
        <v>0.0</v>
      </c>
      <c r="M4783" t="s">
        <v>28882</v>
      </c>
      <c r="N4783" t="s">
        <v>28883</v>
      </c>
      <c r="O4783" t="s">
        <v>28884</v>
      </c>
      <c r="P4783" t="s">
        <v>28885</v>
      </c>
      <c r="Q4783" s="3" t="n">
        <v>43938.0</v>
      </c>
      <c r="R4783" s="3" t="n">
        <v>44215.0</v>
      </c>
      <c r="S4783" s="3" t="n">
        <v>44215.19436804398</v>
      </c>
      <c r="T4783" s="3" t="n">
        <v>44215.497602766205</v>
      </c>
      <c r="U4783" t="s">
        <v>28886</v>
      </c>
      <c r="V4783" t="s">
        <v>28887</v>
      </c>
    </row>
    <row r="4784">
      <c r="A4784" t="s">
        <v>23557</v>
      </c>
      <c r="B4784" t="s">
        <v>28888</v>
      </c>
      <c r="C4784" t="s">
        <v>24</v>
      </c>
      <c r="D4784" t="s">
        <v>25</v>
      </c>
      <c r="E4784" t="s">
        <v>28889</v>
      </c>
      <c r="F4784" s="2" t="n">
        <f>HYPERLINK("https://patents.google.com/patent/US10888283","Google")</f>
        <v>0.0</v>
      </c>
      <c r="G4784" s="2" t="n">
        <f>HYPERLINK("https://patentcenter.uspto.gov/applications/16917896","Patent Center")</f>
        <v>0.0</v>
      </c>
      <c r="H4784" s="2" t="n">
        <f>HYPERLINK("https://worldwide.espacenet.com/patent/search?q=US10888283","Espacenet")</f>
        <v>0.0</v>
      </c>
      <c r="I4784" s="2" t="n">
        <f>HYPERLINK("https://ppubs.uspto.gov/pubwebapp/external.html?q=10888283.pn.","USPTO")</f>
        <v>0.0</v>
      </c>
      <c r="J4784" s="2" t="n">
        <f>HYPERLINK("https://image-ppubs.uspto.gov/dirsearch-public/print/downloadPdf/10888283","USPTO PDF")</f>
        <v>0.0</v>
      </c>
      <c r="K4784" s="2" t="n">
        <f>HYPERLINK("https://sectors.patentforecast.com/pmd/US10888283","PMD")</f>
        <v>0.0</v>
      </c>
      <c r="L4784" s="2" t="n">
        <f>HYPERLINK("https://globaldossier.uspto.gov/result/patent/US/10888283/1","US10888283")</f>
        <v>0.0</v>
      </c>
      <c r="M4784" t="s">
        <v>28890</v>
      </c>
      <c r="N4784" t="s">
        <v>28891</v>
      </c>
      <c r="O4784" t="s">
        <v>28892</v>
      </c>
      <c r="P4784" t="s">
        <v>28893</v>
      </c>
      <c r="Q4784" s="3" t="n">
        <v>44012.0</v>
      </c>
      <c r="R4784" s="3" t="n">
        <v>44208.0</v>
      </c>
      <c r="S4784" s="3" t="n">
        <v>44208.187878888886</v>
      </c>
      <c r="T4784" s="3" t="n">
        <v>44208.5719980787</v>
      </c>
      <c r="U4784" t="s">
        <v>28894</v>
      </c>
      <c r="V4784" t="s">
        <v>28895</v>
      </c>
    </row>
    <row r="4785">
      <c r="A4785" t="s">
        <v>23557</v>
      </c>
      <c r="B4785" t="s">
        <v>28896</v>
      </c>
      <c r="C4785" t="s">
        <v>132</v>
      </c>
      <c r="D4785" t="s">
        <v>18029</v>
      </c>
      <c r="E4785" t="s">
        <v>18030</v>
      </c>
      <c r="F4785" s="2" t="n">
        <f>HYPERLINK("https://patents.google.com/patent/US10883085","Google")</f>
        <v>0.0</v>
      </c>
      <c r="G4785" s="2" t="n">
        <f>HYPERLINK("https://patentcenter.uspto.gov/applications/14917010","Patent Center")</f>
        <v>0.0</v>
      </c>
      <c r="H4785" s="2" t="n">
        <f>HYPERLINK("https://worldwide.espacenet.com/patent/search?q=US10883085","Espacenet")</f>
        <v>0.0</v>
      </c>
      <c r="I4785" s="2" t="n">
        <f>HYPERLINK("https://ppubs.uspto.gov/pubwebapp/external.html?q=10883085.pn.","USPTO")</f>
        <v>0.0</v>
      </c>
      <c r="J4785" s="2" t="n">
        <f>HYPERLINK("https://image-ppubs.uspto.gov/dirsearch-public/print/downloadPdf/10883085","USPTO PDF")</f>
        <v>0.0</v>
      </c>
      <c r="K4785" s="2" t="n">
        <f>HYPERLINK("https://sectors.patentforecast.com/pmd/US10883085","PMD")</f>
        <v>0.0</v>
      </c>
      <c r="L4785" s="2" t="n">
        <f>HYPERLINK("https://globaldossier.uspto.gov/result/patent/US/10883085/1","US10883085")</f>
        <v>0.0</v>
      </c>
      <c r="M4785" t="s">
        <v>18031</v>
      </c>
      <c r="N4785" t="s">
        <v>18032</v>
      </c>
      <c r="O4785" t="s">
        <v>18033</v>
      </c>
      <c r="P4785" t="s">
        <v>28897</v>
      </c>
      <c r="Q4785" s="3" t="n">
        <v>42033.0</v>
      </c>
      <c r="R4785" s="3" t="n">
        <v>44201.0</v>
      </c>
      <c r="S4785" s="3" t="n">
        <v>44201.19216267361</v>
      </c>
      <c r="T4785" s="3" t="n">
        <v>44643.40066131944</v>
      </c>
      <c r="U4785" t="s">
        <v>28898</v>
      </c>
      <c r="V4785" t="s">
        <v>18036</v>
      </c>
    </row>
    <row r="4786">
      <c r="A4786" t="s">
        <v>23557</v>
      </c>
      <c r="B4786" t="s">
        <v>28899</v>
      </c>
      <c r="C4786" t="s">
        <v>24</v>
      </c>
      <c r="D4786" t="s">
        <v>69</v>
      </c>
      <c r="E4786" t="s">
        <v>28900</v>
      </c>
      <c r="F4786" s="2" t="n">
        <f>HYPERLINK("https://patents.google.com/patent/US10881222","Google")</f>
        <v>0.0</v>
      </c>
      <c r="G4786" s="2" t="n">
        <f>HYPERLINK("https://patentcenter.uspto.gov/applications/16880485","Patent Center")</f>
        <v>0.0</v>
      </c>
      <c r="H4786" s="2" t="n">
        <f>HYPERLINK("https://worldwide.espacenet.com/patent/search?q=US10881222","Espacenet")</f>
        <v>0.0</v>
      </c>
      <c r="I4786" s="2" t="n">
        <f>HYPERLINK("https://ppubs.uspto.gov/pubwebapp/external.html?q=10881222.pn.","USPTO")</f>
        <v>0.0</v>
      </c>
      <c r="J4786" s="2" t="n">
        <f>HYPERLINK("https://image-ppubs.uspto.gov/dirsearch-public/print/downloadPdf/10881222","USPTO PDF")</f>
        <v>0.0</v>
      </c>
      <c r="K4786" s="2" t="n">
        <f>HYPERLINK("https://sectors.patentforecast.com/pmd/US10881222","PMD")</f>
        <v>0.0</v>
      </c>
      <c r="L4786" s="2" t="n">
        <f>HYPERLINK("https://globaldossier.uspto.gov/result/patent/US/10881222/1","US10881222")</f>
        <v>0.0</v>
      </c>
      <c r="M4786" t="s">
        <v>28901</v>
      </c>
      <c r="N4786" t="s">
        <v>9824</v>
      </c>
      <c r="O4786" t="s">
        <v>9825</v>
      </c>
      <c r="P4786" t="s">
        <v>28902</v>
      </c>
      <c r="Q4786" s="3" t="n">
        <v>43972.0</v>
      </c>
      <c r="R4786" s="3" t="n">
        <v>44201.0</v>
      </c>
      <c r="S4786" s="3" t="n">
        <v>44201.18788503472</v>
      </c>
      <c r="T4786" s="3" t="n">
        <v>44201.66437019676</v>
      </c>
      <c r="U4786" t="s">
        <v>28903</v>
      </c>
      <c r="V4786" t="s">
        <v>9828</v>
      </c>
    </row>
    <row r="4787">
      <c r="A4787" t="s">
        <v>23557</v>
      </c>
      <c r="B4787" t="s">
        <v>28904</v>
      </c>
      <c r="C4787" t="s">
        <v>24</v>
      </c>
      <c r="D4787" t="s">
        <v>25</v>
      </c>
      <c r="E4787" t="s">
        <v>28905</v>
      </c>
      <c r="F4787" s="2" t="n">
        <f>HYPERLINK("https://patents.google.com/patent/US10880303","Google")</f>
        <v>0.0</v>
      </c>
      <c r="G4787" s="2" t="n">
        <f>HYPERLINK("https://patentcenter.uspto.gov/applications/16940266","Patent Center")</f>
        <v>0.0</v>
      </c>
      <c r="H4787" s="2" t="n">
        <f>HYPERLINK("https://worldwide.espacenet.com/patent/search?q=US10880303","Espacenet")</f>
        <v>0.0</v>
      </c>
      <c r="I4787" s="2" t="n">
        <f>HYPERLINK("https://ppubs.uspto.gov/pubwebapp/external.html?q=10880303.pn.","USPTO")</f>
        <v>0.0</v>
      </c>
      <c r="J4787" s="2" t="n">
        <f>HYPERLINK("https://image-ppubs.uspto.gov/dirsearch-public/print/downloadPdf/10880303","USPTO PDF")</f>
        <v>0.0</v>
      </c>
      <c r="K4787" s="2" t="n">
        <f>HYPERLINK("https://sectors.patentforecast.com/pmd/US10880303","PMD")</f>
        <v>0.0</v>
      </c>
      <c r="L4787" s="2" t="n">
        <f>HYPERLINK("https://globaldossier.uspto.gov/result/patent/US/10880303/1","US10880303")</f>
        <v>0.0</v>
      </c>
      <c r="M4787" t="s">
        <v>16159</v>
      </c>
      <c r="N4787" t="s">
        <v>15434</v>
      </c>
      <c r="O4787" t="s">
        <v>15435</v>
      </c>
      <c r="P4787" t="s">
        <v>28906</v>
      </c>
      <c r="Q4787" s="3" t="n">
        <v>44039.0</v>
      </c>
      <c r="R4787" s="3" t="n">
        <v>44194.0</v>
      </c>
      <c r="S4787" s="3" t="n">
        <v>44194.18812673611</v>
      </c>
      <c r="T4787" s="3" t="n">
        <v>44195.53992636574</v>
      </c>
      <c r="U4787" t="s">
        <v>28907</v>
      </c>
      <c r="V4787" t="s">
        <v>15438</v>
      </c>
    </row>
    <row r="4788">
      <c r="A4788" t="s">
        <v>23557</v>
      </c>
      <c r="B4788" t="s">
        <v>28908</v>
      </c>
      <c r="C4788" t="s">
        <v>60</v>
      </c>
      <c r="D4788" t="s">
        <v>61</v>
      </c>
      <c r="E4788" t="s">
        <v>28909</v>
      </c>
      <c r="F4788" s="2" t="n">
        <f>HYPERLINK("https://patents.google.com/patent/US10874687","Google")</f>
        <v>0.0</v>
      </c>
      <c r="G4788" s="2" t="n">
        <f>HYPERLINK("https://patentcenter.uspto.gov/applications/17017443","Patent Center")</f>
        <v>0.0</v>
      </c>
      <c r="H4788" s="2" t="n">
        <f>HYPERLINK("https://worldwide.espacenet.com/patent/search?q=US10874687","Espacenet")</f>
        <v>0.0</v>
      </c>
      <c r="I4788" s="2" t="n">
        <f>HYPERLINK("https://ppubs.uspto.gov/pubwebapp/external.html?q=10874687.pn.","USPTO")</f>
        <v>0.0</v>
      </c>
      <c r="J4788" s="2" t="n">
        <f>HYPERLINK("https://image-ppubs.uspto.gov/dirsearch-public/print/downloadPdf/10874687","USPTO PDF")</f>
        <v>0.0</v>
      </c>
      <c r="K4788" s="2" t="n">
        <f>HYPERLINK("https://sectors.patentforecast.com/pmd/US10874687","PMD")</f>
        <v>0.0</v>
      </c>
      <c r="L4788" s="2" t="n">
        <f>HYPERLINK("https://globaldossier.uspto.gov/result/patent/US/10874687/1","US10874687")</f>
        <v>0.0</v>
      </c>
      <c r="M4788" t="s">
        <v>28910</v>
      </c>
      <c r="N4788" t="s">
        <v>14313</v>
      </c>
      <c r="O4788" t="s">
        <v>14314</v>
      </c>
      <c r="P4788" t="s">
        <v>28911</v>
      </c>
      <c r="Q4788" s="3" t="n">
        <v>44084.0</v>
      </c>
      <c r="R4788" s="3" t="n">
        <v>44194.0</v>
      </c>
      <c r="S4788" s="3" t="n">
        <v>44194.18777990741</v>
      </c>
      <c r="T4788" s="3" t="n">
        <v>44195.540667534726</v>
      </c>
      <c r="U4788" t="s">
        <v>28912</v>
      </c>
      <c r="V4788" t="s">
        <v>14317</v>
      </c>
    </row>
    <row r="4789">
      <c r="A4789" t="s">
        <v>23557</v>
      </c>
      <c r="B4789" t="s">
        <v>28913</v>
      </c>
      <c r="C4789" t="s">
        <v>60</v>
      </c>
      <c r="D4789" t="s">
        <v>61</v>
      </c>
      <c r="E4789" t="s">
        <v>28914</v>
      </c>
      <c r="F4789" s="2" t="n">
        <f>HYPERLINK("https://patents.google.com/patent/US10874650","Google")</f>
        <v>0.0</v>
      </c>
      <c r="G4789" s="2" t="n">
        <f>HYPERLINK("https://patentcenter.uspto.gov/applications/16924683","Patent Center")</f>
        <v>0.0</v>
      </c>
      <c r="H4789" s="2" t="n">
        <f>HYPERLINK("https://worldwide.espacenet.com/patent/search?q=US10874650","Espacenet")</f>
        <v>0.0</v>
      </c>
      <c r="I4789" s="2" t="n">
        <f>HYPERLINK("https://ppubs.uspto.gov/pubwebapp/external.html?q=10874650.pn.","USPTO")</f>
        <v>0.0</v>
      </c>
      <c r="J4789" s="2" t="n">
        <f>HYPERLINK("https://image-ppubs.uspto.gov/dirsearch-public/print/downloadPdf/10874650","USPTO PDF")</f>
        <v>0.0</v>
      </c>
      <c r="K4789" s="2" t="n">
        <f>HYPERLINK("https://sectors.patentforecast.com/pmd/US10874650","PMD")</f>
        <v>0.0</v>
      </c>
      <c r="L4789" s="2" t="n">
        <f>HYPERLINK("https://globaldossier.uspto.gov/result/patent/US/10874650/1","US10874650")</f>
        <v>0.0</v>
      </c>
      <c r="M4789" t="s">
        <v>28915</v>
      </c>
      <c r="N4789" t="s">
        <v>28916</v>
      </c>
      <c r="O4789" t="s">
        <v>28917</v>
      </c>
      <c r="P4789" t="s">
        <v>28918</v>
      </c>
      <c r="Q4789" s="3" t="n">
        <v>44021.0</v>
      </c>
      <c r="R4789" s="3" t="n">
        <v>44194.0</v>
      </c>
      <c r="S4789" s="3" t="n">
        <v>44194.18812673611</v>
      </c>
      <c r="T4789" s="3" t="n">
        <v>44195.540139756944</v>
      </c>
      <c r="U4789" t="s">
        <v>28919</v>
      </c>
      <c r="V4789" t="s">
        <v>28920</v>
      </c>
    </row>
    <row r="4790">
      <c r="A4790" t="s">
        <v>23557</v>
      </c>
      <c r="B4790" t="s">
        <v>28921</v>
      </c>
      <c r="C4790" t="s">
        <v>24</v>
      </c>
      <c r="D4790" t="s">
        <v>25</v>
      </c>
      <c r="E4790" t="s">
        <v>23971</v>
      </c>
      <c r="F4790" s="2" t="n">
        <f>HYPERLINK("https://patents.google.com/patent/US10872388","Google")</f>
        <v>0.0</v>
      </c>
      <c r="G4790" s="2" t="n">
        <f>HYPERLINK("https://patentcenter.uspto.gov/applications/15654986","Patent Center")</f>
        <v>0.0</v>
      </c>
      <c r="H4790" s="2" t="n">
        <f>HYPERLINK("https://worldwide.espacenet.com/patent/search?q=US10872388","Espacenet")</f>
        <v>0.0</v>
      </c>
      <c r="I4790" s="2" t="n">
        <f>HYPERLINK("https://ppubs.uspto.gov/pubwebapp/external.html?q=10872388.pn.","USPTO")</f>
        <v>0.0</v>
      </c>
      <c r="J4790" s="2" t="n">
        <f>HYPERLINK("https://image-ppubs.uspto.gov/dirsearch-public/print/downloadPdf/10872388","USPTO PDF")</f>
        <v>0.0</v>
      </c>
      <c r="K4790" s="2" t="n">
        <f>HYPERLINK("https://sectors.patentforecast.com/pmd/US10872388","PMD")</f>
        <v>0.0</v>
      </c>
      <c r="L4790" s="2" t="n">
        <f>HYPERLINK("https://globaldossier.uspto.gov/result/patent/US/10872388/1","US10872388")</f>
        <v>0.0</v>
      </c>
      <c r="M4790" t="s">
        <v>18959</v>
      </c>
      <c r="N4790" t="s">
        <v>18960</v>
      </c>
      <c r="O4790" t="s">
        <v>18961</v>
      </c>
      <c r="P4790" t="s">
        <v>23972</v>
      </c>
      <c r="Q4790" s="3" t="n">
        <v>42936.0</v>
      </c>
      <c r="R4790" s="3" t="n">
        <v>44187.0</v>
      </c>
      <c r="S4790" s="3" t="n">
        <v>44187.18833877315</v>
      </c>
      <c r="T4790" s="3" t="n">
        <v>44188.40174905093</v>
      </c>
      <c r="U4790" t="s">
        <v>28922</v>
      </c>
      <c r="V4790" t="s">
        <v>18964</v>
      </c>
    </row>
    <row r="4791">
      <c r="A4791" t="s">
        <v>23557</v>
      </c>
      <c r="B4791" t="s">
        <v>28923</v>
      </c>
      <c r="C4791" t="s">
        <v>132</v>
      </c>
      <c r="D4791" t="s">
        <v>1265</v>
      </c>
      <c r="E4791" t="s">
        <v>28924</v>
      </c>
      <c r="F4791" s="2" t="n">
        <f>HYPERLINK("https://patents.google.com/patent/US10864264","Google")</f>
        <v>0.0</v>
      </c>
      <c r="G4791" s="2" t="n">
        <f>HYPERLINK("https://patentcenter.uspto.gov/applications/16657082","Patent Center")</f>
        <v>0.0</v>
      </c>
      <c r="H4791" s="2" t="n">
        <f>HYPERLINK("https://worldwide.espacenet.com/patent/search?q=US10864264","Espacenet")</f>
        <v>0.0</v>
      </c>
      <c r="I4791" s="2" t="n">
        <f>HYPERLINK("https://ppubs.uspto.gov/pubwebapp/external.html?q=10864264.pn.","USPTO")</f>
        <v>0.0</v>
      </c>
      <c r="J4791" s="2" t="n">
        <f>HYPERLINK("https://image-ppubs.uspto.gov/dirsearch-public/print/downloadPdf/10864264","USPTO PDF")</f>
        <v>0.0</v>
      </c>
      <c r="K4791" s="2" t="n">
        <f>HYPERLINK("https://sectors.patentforecast.com/pmd/US10864264","PMD")</f>
        <v>0.0</v>
      </c>
      <c r="L4791" s="2" t="n">
        <f>HYPERLINK("https://globaldossier.uspto.gov/result/patent/US/10864264/1","US10864264")</f>
        <v>0.0</v>
      </c>
      <c r="M4791" t="s">
        <v>16649</v>
      </c>
      <c r="N4791" t="s">
        <v>16650</v>
      </c>
      <c r="O4791" t="s">
        <v>16651</v>
      </c>
      <c r="P4791" t="s">
        <v>28925</v>
      </c>
      <c r="Q4791" s="3" t="n">
        <v>43756.0</v>
      </c>
      <c r="R4791" s="3" t="n">
        <v>44180.0</v>
      </c>
      <c r="S4791" s="3" t="n">
        <v>44180.190660706015</v>
      </c>
      <c r="T4791" s="3" t="n">
        <v>44186.36539133102</v>
      </c>
      <c r="U4791" t="s">
        <v>28926</v>
      </c>
      <c r="V4791" t="s">
        <v>16654</v>
      </c>
    </row>
    <row r="4792">
      <c r="A4792" t="s">
        <v>23557</v>
      </c>
      <c r="B4792" t="s">
        <v>28927</v>
      </c>
      <c r="C4792" t="s">
        <v>60</v>
      </c>
      <c r="D4792" t="s">
        <v>77</v>
      </c>
      <c r="E4792" t="s">
        <v>28928</v>
      </c>
      <c r="F4792" s="2" t="n">
        <f>HYPERLINK("https://patents.google.com/patent/US10851155","Google")</f>
        <v>0.0</v>
      </c>
      <c r="G4792" s="2" t="n">
        <f>HYPERLINK("https://patentcenter.uspto.gov/applications/16195116","Patent Center")</f>
        <v>0.0</v>
      </c>
      <c r="H4792" s="2" t="n">
        <f>HYPERLINK("https://worldwide.espacenet.com/patent/search?q=US10851155","Espacenet")</f>
        <v>0.0</v>
      </c>
      <c r="I4792" s="2" t="n">
        <f>HYPERLINK("https://ppubs.uspto.gov/pubwebapp/external.html?q=10851155.pn.","USPTO")</f>
        <v>0.0</v>
      </c>
      <c r="J4792" s="2" t="n">
        <f>HYPERLINK("https://image-ppubs.uspto.gov/dirsearch-public/print/downloadPdf/10851155","USPTO PDF")</f>
        <v>0.0</v>
      </c>
      <c r="K4792" s="2" t="n">
        <f>HYPERLINK("https://sectors.patentforecast.com/pmd/US10851155","PMD")</f>
        <v>0.0</v>
      </c>
      <c r="L4792" s="2" t="n">
        <f>HYPERLINK("https://globaldossier.uspto.gov/result/patent/US/10851155/1","US10851155")</f>
        <v>0.0</v>
      </c>
      <c r="M4792" t="s">
        <v>17668</v>
      </c>
      <c r="N4792" t="s">
        <v>15231</v>
      </c>
      <c r="O4792" t="s">
        <v>15232</v>
      </c>
      <c r="P4792" t="s">
        <v>28929</v>
      </c>
      <c r="Q4792" s="3" t="n">
        <v>43423.0</v>
      </c>
      <c r="R4792" s="3" t="n">
        <v>44166.0</v>
      </c>
      <c r="S4792" s="3" t="n">
        <v>44166.18903465278</v>
      </c>
      <c r="T4792" s="3" t="n">
        <v>44167.641036099536</v>
      </c>
      <c r="U4792" t="s">
        <v>28930</v>
      </c>
      <c r="V4792" t="s">
        <v>15235</v>
      </c>
    </row>
    <row r="4793">
      <c r="A4793" t="s">
        <v>23557</v>
      </c>
      <c r="B4793" t="s">
        <v>28931</v>
      </c>
      <c r="C4793" t="s">
        <v>24</v>
      </c>
      <c r="D4793" t="s">
        <v>100</v>
      </c>
      <c r="E4793" t="s">
        <v>28932</v>
      </c>
      <c r="F4793" s="2" t="n">
        <f>HYPERLINK("https://patents.google.com/patent/US10850184","Google")</f>
        <v>0.0</v>
      </c>
      <c r="G4793" s="2" t="n">
        <f>HYPERLINK("https://patentcenter.uspto.gov/applications/16889575","Patent Center")</f>
        <v>0.0</v>
      </c>
      <c r="H4793" s="2" t="n">
        <f>HYPERLINK("https://worldwide.espacenet.com/patent/search?q=US10850184","Espacenet")</f>
        <v>0.0</v>
      </c>
      <c r="I4793" s="2" t="n">
        <f>HYPERLINK("https://ppubs.uspto.gov/pubwebapp/external.html?q=10850184.pn.","USPTO")</f>
        <v>0.0</v>
      </c>
      <c r="J4793" s="2" t="n">
        <f>HYPERLINK("https://image-ppubs.uspto.gov/dirsearch-public/print/downloadPdf/10850184","USPTO PDF")</f>
        <v>0.0</v>
      </c>
      <c r="K4793" s="2" t="n">
        <f>HYPERLINK("https://sectors.patentforecast.com/pmd/US10850184","PMD")</f>
        <v>0.0</v>
      </c>
      <c r="L4793" s="2" t="n">
        <f>HYPERLINK("https://globaldossier.uspto.gov/result/patent/US/10850184/1","US10850184")</f>
        <v>0.0</v>
      </c>
      <c r="M4793" t="s">
        <v>28933</v>
      </c>
      <c r="N4793" t="s">
        <v>167</v>
      </c>
      <c r="O4793" t="s">
        <v>168</v>
      </c>
      <c r="P4793" t="s">
        <v>28646</v>
      </c>
      <c r="Q4793" s="3" t="n">
        <v>43983.0</v>
      </c>
      <c r="R4793" s="3" t="n">
        <v>44166.0</v>
      </c>
      <c r="S4793" s="3" t="n">
        <v>44166.187877662036</v>
      </c>
      <c r="T4793" s="3" t="n">
        <v>44167.641440451385</v>
      </c>
      <c r="U4793" t="s">
        <v>28934</v>
      </c>
      <c r="V4793" t="s">
        <v>170</v>
      </c>
    </row>
    <row r="4794">
      <c r="A4794" t="s">
        <v>23557</v>
      </c>
      <c r="B4794" t="s">
        <v>28935</v>
      </c>
      <c r="C4794" t="s">
        <v>132</v>
      </c>
      <c r="D4794" t="s">
        <v>133</v>
      </c>
      <c r="E4794" t="s">
        <v>28936</v>
      </c>
      <c r="F4794" s="2" t="n">
        <f>HYPERLINK("https://patents.google.com/patent/US10849972","Google")</f>
        <v>0.0</v>
      </c>
      <c r="G4794" s="2" t="n">
        <f>HYPERLINK("https://patentcenter.uspto.gov/applications/16201409","Patent Center")</f>
        <v>0.0</v>
      </c>
      <c r="H4794" s="2" t="n">
        <f>HYPERLINK("https://worldwide.espacenet.com/patent/search?q=US10849972","Espacenet")</f>
        <v>0.0</v>
      </c>
      <c r="I4794" s="2" t="n">
        <f>HYPERLINK("https://ppubs.uspto.gov/pubwebapp/external.html?q=10849972.pn.","USPTO")</f>
        <v>0.0</v>
      </c>
      <c r="J4794" s="2" t="n">
        <f>HYPERLINK("https://image-ppubs.uspto.gov/dirsearch-public/print/downloadPdf/10849972","USPTO PDF")</f>
        <v>0.0</v>
      </c>
      <c r="K4794" s="2" t="n">
        <f>HYPERLINK("https://sectors.patentforecast.com/pmd/US10849972","PMD")</f>
        <v>0.0</v>
      </c>
      <c r="L4794" s="2" t="n">
        <f>HYPERLINK("https://globaldossier.uspto.gov/result/patent/US/10849972/1","US10849972")</f>
        <v>0.0</v>
      </c>
      <c r="M4794" t="s">
        <v>16795</v>
      </c>
      <c r="N4794" t="s">
        <v>5964</v>
      </c>
      <c r="O4794" t="s">
        <v>5964</v>
      </c>
      <c r="P4794" t="s">
        <v>28937</v>
      </c>
      <c r="Q4794" s="3" t="n">
        <v>43431.0</v>
      </c>
      <c r="R4794" s="3" t="n">
        <v>44166.0</v>
      </c>
      <c r="S4794" s="3" t="n">
        <v>44166.18903465278</v>
      </c>
      <c r="T4794" s="3" t="n">
        <v>44167.641231284724</v>
      </c>
      <c r="U4794" t="s">
        <v>28938</v>
      </c>
      <c r="V4794" t="s">
        <v>5967</v>
      </c>
    </row>
    <row r="4795">
      <c r="A4795" t="s">
        <v>23557</v>
      </c>
      <c r="B4795" t="s">
        <v>28939</v>
      </c>
      <c r="C4795" t="s">
        <v>132</v>
      </c>
      <c r="D4795" t="s">
        <v>12938</v>
      </c>
      <c r="E4795" t="s">
        <v>28940</v>
      </c>
      <c r="F4795" s="2" t="n">
        <f>HYPERLINK("https://patents.google.com/patent/US10849943","Google")</f>
        <v>0.0</v>
      </c>
      <c r="G4795" s="2" t="n">
        <f>HYPERLINK("https://patentcenter.uspto.gov/applications/16307689","Patent Center")</f>
        <v>0.0</v>
      </c>
      <c r="H4795" s="2" t="n">
        <f>HYPERLINK("https://worldwide.espacenet.com/patent/search?q=US10849943","Espacenet")</f>
        <v>0.0</v>
      </c>
      <c r="I4795" s="2" t="n">
        <f>HYPERLINK("https://ppubs.uspto.gov/pubwebapp/external.html?q=10849943.pn.","USPTO")</f>
        <v>0.0</v>
      </c>
      <c r="J4795" s="2" t="n">
        <f>HYPERLINK("https://image-ppubs.uspto.gov/dirsearch-public/print/downloadPdf/10849943","USPTO PDF")</f>
        <v>0.0</v>
      </c>
      <c r="K4795" s="2" t="n">
        <f>HYPERLINK("https://sectors.patentforecast.com/pmd/US10849943","PMD")</f>
        <v>0.0</v>
      </c>
      <c r="L4795" s="2" t="n">
        <f>HYPERLINK("https://globaldossier.uspto.gov/result/patent/US/10849943/1","US10849943")</f>
        <v>0.0</v>
      </c>
      <c r="M4795" t="s">
        <v>17535</v>
      </c>
      <c r="N4795" t="s">
        <v>17536</v>
      </c>
      <c r="O4795" t="s">
        <v>17537</v>
      </c>
      <c r="P4795" t="s">
        <v>28941</v>
      </c>
      <c r="Q4795" s="3" t="n">
        <v>42908.0</v>
      </c>
      <c r="R4795" s="3" t="n">
        <v>44166.0</v>
      </c>
      <c r="S4795" s="3" t="n">
        <v>44166.19169358796</v>
      </c>
      <c r="T4795" s="3" t="n">
        <v>44167.64112392361</v>
      </c>
      <c r="U4795" t="s">
        <v>28942</v>
      </c>
      <c r="V4795" t="s">
        <v>17540</v>
      </c>
    </row>
    <row r="4796">
      <c r="A4796" t="s">
        <v>23557</v>
      </c>
      <c r="B4796" t="s">
        <v>28943</v>
      </c>
      <c r="C4796" t="s">
        <v>24</v>
      </c>
      <c r="D4796" t="s">
        <v>69</v>
      </c>
      <c r="E4796" t="s">
        <v>28944</v>
      </c>
      <c r="F4796" s="2" t="n">
        <f>HYPERLINK("https://patents.google.com/patent/US10847017","Google")</f>
        <v>0.0</v>
      </c>
      <c r="G4796" s="2" t="n">
        <f>HYPERLINK("https://patentcenter.uspto.gov/applications/16877906","Patent Center")</f>
        <v>0.0</v>
      </c>
      <c r="H4796" s="2" t="n">
        <f>HYPERLINK("https://worldwide.espacenet.com/patent/search?q=US10847017","Espacenet")</f>
        <v>0.0</v>
      </c>
      <c r="I4796" s="2" t="n">
        <f>HYPERLINK("https://ppubs.uspto.gov/pubwebapp/external.html?q=10847017.pn.","USPTO")</f>
        <v>0.0</v>
      </c>
      <c r="J4796" s="2" t="n">
        <f>HYPERLINK("https://image-ppubs.uspto.gov/dirsearch-public/print/downloadPdf/10847017","USPTO PDF")</f>
        <v>0.0</v>
      </c>
      <c r="K4796" s="2" t="n">
        <f>HYPERLINK("https://sectors.patentforecast.com/pmd/US10847017","PMD")</f>
        <v>0.0</v>
      </c>
      <c r="L4796" s="2" t="n">
        <f>HYPERLINK("https://globaldossier.uspto.gov/result/patent/US/10847017/1","US10847017")</f>
        <v>0.0</v>
      </c>
      <c r="M4796" t="s">
        <v>28945</v>
      </c>
      <c r="N4796" t="s">
        <v>28946</v>
      </c>
      <c r="O4796" t="s">
        <v>28947</v>
      </c>
      <c r="P4796" t="s">
        <v>28948</v>
      </c>
      <c r="Q4796" s="3" t="n">
        <v>43970.0</v>
      </c>
      <c r="R4796" s="3" t="n">
        <v>44159.0</v>
      </c>
      <c r="S4796" s="3" t="n">
        <v>44159.187770254626</v>
      </c>
      <c r="T4796" s="3" t="n">
        <v>44159.413797905094</v>
      </c>
      <c r="U4796" t="s">
        <v>28949</v>
      </c>
      <c r="V4796" t="s">
        <v>28950</v>
      </c>
    </row>
    <row r="4797">
      <c r="A4797" t="s">
        <v>23557</v>
      </c>
      <c r="B4797" t="s">
        <v>28951</v>
      </c>
      <c r="C4797" t="s">
        <v>24</v>
      </c>
      <c r="D4797" t="s">
        <v>51</v>
      </c>
      <c r="E4797" t="s">
        <v>28118</v>
      </c>
      <c r="F4797" s="2" t="n">
        <f>HYPERLINK("https://patents.google.com/patent/US10845336","Google")</f>
        <v>0.0</v>
      </c>
      <c r="G4797" s="2" t="n">
        <f>HYPERLINK("https://patentcenter.uspto.gov/applications/16924718","Patent Center")</f>
        <v>0.0</v>
      </c>
      <c r="H4797" s="2" t="n">
        <f>HYPERLINK("https://worldwide.espacenet.com/patent/search?q=US10845336","Espacenet")</f>
        <v>0.0</v>
      </c>
      <c r="I4797" s="2" t="n">
        <f>HYPERLINK("https://ppubs.uspto.gov/pubwebapp/external.html?q=10845336.pn.","USPTO")</f>
        <v>0.0</v>
      </c>
      <c r="J4797" s="2" t="n">
        <f>HYPERLINK("https://image-ppubs.uspto.gov/dirsearch-public/print/downloadPdf/10845336","USPTO PDF")</f>
        <v>0.0</v>
      </c>
      <c r="K4797" s="2" t="n">
        <f>HYPERLINK("https://sectors.patentforecast.com/pmd/US10845336","PMD")</f>
        <v>0.0</v>
      </c>
      <c r="L4797" s="2" t="n">
        <f>HYPERLINK("https://globaldossier.uspto.gov/result/patent/US/10845336/1","US10845336")</f>
        <v>0.0</v>
      </c>
      <c r="M4797" t="s">
        <v>16242</v>
      </c>
      <c r="N4797" t="s">
        <v>16243</v>
      </c>
      <c r="O4797" t="s">
        <v>16244</v>
      </c>
      <c r="P4797" t="s">
        <v>28952</v>
      </c>
      <c r="Q4797" s="3" t="n">
        <v>44021.0</v>
      </c>
      <c r="R4797" s="3" t="n">
        <v>44159.0</v>
      </c>
      <c r="S4797" s="3" t="n">
        <v>44159.188118067126</v>
      </c>
      <c r="T4797" s="3" t="n">
        <v>44159.41419394676</v>
      </c>
      <c r="U4797" t="s">
        <v>28953</v>
      </c>
      <c r="V4797" t="s">
        <v>16247</v>
      </c>
    </row>
    <row r="4798">
      <c r="A4798" t="s">
        <v>23557</v>
      </c>
      <c r="B4798" t="s">
        <v>28954</v>
      </c>
      <c r="C4798" t="s">
        <v>24</v>
      </c>
      <c r="D4798" t="s">
        <v>51</v>
      </c>
      <c r="E4798" t="s">
        <v>27973</v>
      </c>
      <c r="F4798" s="2" t="n">
        <f>HYPERLINK("https://patents.google.com/patent/US10844442","Google")</f>
        <v>0.0</v>
      </c>
      <c r="G4798" s="2" t="n">
        <f>HYPERLINK("https://patentcenter.uspto.gov/applications/16876184","Patent Center")</f>
        <v>0.0</v>
      </c>
      <c r="H4798" s="2" t="n">
        <f>HYPERLINK("https://worldwide.espacenet.com/patent/search?q=US10844442","Espacenet")</f>
        <v>0.0</v>
      </c>
      <c r="I4798" s="2" t="n">
        <f>HYPERLINK("https://ppubs.uspto.gov/pubwebapp/external.html?q=10844442.pn.","USPTO")</f>
        <v>0.0</v>
      </c>
      <c r="J4798" s="2" t="n">
        <f>HYPERLINK("https://image-ppubs.uspto.gov/dirsearch-public/print/downloadPdf/10844442","USPTO PDF")</f>
        <v>0.0</v>
      </c>
      <c r="K4798" s="2" t="n">
        <f>HYPERLINK("https://sectors.patentforecast.com/pmd/US10844442","PMD")</f>
        <v>0.0</v>
      </c>
      <c r="L4798" s="2" t="n">
        <f>HYPERLINK("https://globaldossier.uspto.gov/result/patent/US/10844442/1","US10844442")</f>
        <v>0.0</v>
      </c>
      <c r="M4798" t="s">
        <v>28955</v>
      </c>
      <c r="N4798" t="s">
        <v>9916</v>
      </c>
      <c r="O4798" t="s">
        <v>9917</v>
      </c>
      <c r="P4798" t="s">
        <v>27975</v>
      </c>
      <c r="Q4798" s="3" t="n">
        <v>43969.0</v>
      </c>
      <c r="R4798" s="3" t="n">
        <v>44159.0</v>
      </c>
      <c r="S4798" s="3" t="n">
        <v>44159.188118067126</v>
      </c>
      <c r="T4798" s="3" t="n">
        <v>44159.413347361115</v>
      </c>
      <c r="U4798" t="s">
        <v>27976</v>
      </c>
      <c r="V4798" t="s">
        <v>28956</v>
      </c>
    </row>
    <row r="4799">
      <c r="A4799" t="s">
        <v>23557</v>
      </c>
      <c r="B4799" t="s">
        <v>28957</v>
      </c>
      <c r="C4799" t="s">
        <v>24</v>
      </c>
      <c r="D4799" t="s">
        <v>100</v>
      </c>
      <c r="E4799" t="s">
        <v>28958</v>
      </c>
      <c r="F4799" s="2" t="n">
        <f>HYPERLINK("https://patents.google.com/patent/US10842899","Google")</f>
        <v>0.0</v>
      </c>
      <c r="G4799" s="2" t="n">
        <f>HYPERLINK("https://patentcenter.uspto.gov/applications/16997295","Patent Center")</f>
        <v>0.0</v>
      </c>
      <c r="H4799" s="2" t="n">
        <f>HYPERLINK("https://worldwide.espacenet.com/patent/search?q=US10842899","Espacenet")</f>
        <v>0.0</v>
      </c>
      <c r="I4799" s="2" t="n">
        <f>HYPERLINK("https://ppubs.uspto.gov/pubwebapp/external.html?q=10842899.pn.","USPTO")</f>
        <v>0.0</v>
      </c>
      <c r="J4799" s="2" t="n">
        <f>HYPERLINK("https://image-ppubs.uspto.gov/dirsearch-public/print/downloadPdf/10842899","USPTO PDF")</f>
        <v>0.0</v>
      </c>
      <c r="K4799" s="2" t="n">
        <f>HYPERLINK("https://sectors.patentforecast.com/pmd/US10842899","PMD")</f>
        <v>0.0</v>
      </c>
      <c r="L4799" s="2" t="n">
        <f>HYPERLINK("https://globaldossier.uspto.gov/result/patent/US/10842899/1","US10842899")</f>
        <v>0.0</v>
      </c>
      <c r="M4799" t="s">
        <v>28959</v>
      </c>
      <c r="N4799" t="s">
        <v>28960</v>
      </c>
      <c r="O4799" t="s">
        <v>28960</v>
      </c>
      <c r="P4799" t="s">
        <v>28961</v>
      </c>
      <c r="Q4799" s="3" t="n">
        <v>44062.0</v>
      </c>
      <c r="R4799" s="3" t="n">
        <v>44159.0</v>
      </c>
      <c r="S4799" s="3" t="n">
        <v>44159.188118067126</v>
      </c>
      <c r="T4799" s="3" t="n">
        <v>44159.4135734838</v>
      </c>
      <c r="U4799" t="s">
        <v>28962</v>
      </c>
      <c r="V4799" t="s">
        <v>28963</v>
      </c>
    </row>
    <row r="4800">
      <c r="A4800" t="s">
        <v>23557</v>
      </c>
      <c r="B4800" t="s">
        <v>28964</v>
      </c>
      <c r="C4800" t="s">
        <v>24</v>
      </c>
      <c r="D4800" t="s">
        <v>100</v>
      </c>
      <c r="E4800" t="s">
        <v>28965</v>
      </c>
      <c r="F4800" s="2" t="n">
        <f>HYPERLINK("https://patents.google.com/patent/US10842896","Google")</f>
        <v>0.0</v>
      </c>
      <c r="G4800" s="2" t="n">
        <f>HYPERLINK("https://patentcenter.uspto.gov/applications/16884926","Patent Center")</f>
        <v>0.0</v>
      </c>
      <c r="H4800" s="2" t="n">
        <f>HYPERLINK("https://worldwide.espacenet.com/patent/search?q=US10842896","Espacenet")</f>
        <v>0.0</v>
      </c>
      <c r="I4800" s="2" t="n">
        <f>HYPERLINK("https://ppubs.uspto.gov/pubwebapp/external.html?q=10842896.pn.","USPTO")</f>
        <v>0.0</v>
      </c>
      <c r="J4800" s="2" t="n">
        <f>HYPERLINK("https://image-ppubs.uspto.gov/dirsearch-public/print/downloadPdf/10842896","USPTO PDF")</f>
        <v>0.0</v>
      </c>
      <c r="K4800" s="2" t="n">
        <f>HYPERLINK("https://sectors.patentforecast.com/pmd/US10842896","PMD")</f>
        <v>0.0</v>
      </c>
      <c r="L4800" s="2" t="n">
        <f>HYPERLINK("https://globaldossier.uspto.gov/result/patent/US/10842896/1","US10842896")</f>
        <v>0.0</v>
      </c>
      <c r="M4800" t="s">
        <v>28966</v>
      </c>
      <c r="N4800" t="s">
        <v>28967</v>
      </c>
      <c r="O4800" t="s">
        <v>28968</v>
      </c>
      <c r="P4800" t="s">
        <v>28969</v>
      </c>
      <c r="Q4800" s="3" t="n">
        <v>43978.0</v>
      </c>
      <c r="R4800" s="3" t="n">
        <v>44159.0</v>
      </c>
      <c r="S4800" s="3" t="n">
        <v>44159.188118067126</v>
      </c>
      <c r="T4800" s="3" t="n">
        <v>44159.41479043981</v>
      </c>
      <c r="U4800" t="s">
        <v>28970</v>
      </c>
      <c r="V4800" t="s">
        <v>28971</v>
      </c>
    </row>
    <row r="4801">
      <c r="A4801" t="s">
        <v>23557</v>
      </c>
      <c r="B4801" t="s">
        <v>28972</v>
      </c>
      <c r="C4801" t="s">
        <v>24</v>
      </c>
      <c r="D4801" t="s">
        <v>100</v>
      </c>
      <c r="E4801" t="s">
        <v>28973</v>
      </c>
      <c r="F4801" s="2" t="n">
        <f>HYPERLINK("https://patents.google.com/patent/US10842895","Google")</f>
        <v>0.0</v>
      </c>
      <c r="G4801" s="2" t="n">
        <f>HYPERLINK("https://patentcenter.uspto.gov/applications/16883877","Patent Center")</f>
        <v>0.0</v>
      </c>
      <c r="H4801" s="2" t="n">
        <f>HYPERLINK("https://worldwide.espacenet.com/patent/search?q=US10842895","Espacenet")</f>
        <v>0.0</v>
      </c>
      <c r="I4801" s="2" t="n">
        <f>HYPERLINK("https://ppubs.uspto.gov/pubwebapp/external.html?q=10842895.pn.","USPTO")</f>
        <v>0.0</v>
      </c>
      <c r="J4801" s="2" t="n">
        <f>HYPERLINK("https://image-ppubs.uspto.gov/dirsearch-public/print/downloadPdf/10842895","USPTO PDF")</f>
        <v>0.0</v>
      </c>
      <c r="K4801" s="2" t="n">
        <f>HYPERLINK("https://sectors.patentforecast.com/pmd/US10842895","PMD")</f>
        <v>0.0</v>
      </c>
      <c r="L4801" s="2" t="n">
        <f>HYPERLINK("https://globaldossier.uspto.gov/result/patent/US/10842895/1","US10842895")</f>
        <v>0.0</v>
      </c>
      <c r="M4801" t="s">
        <v>28974</v>
      </c>
      <c r="N4801" t="s">
        <v>28975</v>
      </c>
      <c r="O4801" t="s">
        <v>28976</v>
      </c>
      <c r="P4801" t="s">
        <v>28977</v>
      </c>
      <c r="Q4801" s="3" t="n">
        <v>43977.0</v>
      </c>
      <c r="R4801" s="3" t="n">
        <v>44159.0</v>
      </c>
      <c r="S4801" s="3" t="n">
        <v>44159.188118067126</v>
      </c>
      <c r="T4801" s="3" t="n">
        <v>44159.41589266204</v>
      </c>
      <c r="U4801" t="s">
        <v>28978</v>
      </c>
      <c r="V4801" t="s">
        <v>28979</v>
      </c>
    </row>
    <row r="4802">
      <c r="A4802" t="s">
        <v>23557</v>
      </c>
      <c r="B4802" t="s">
        <v>28980</v>
      </c>
      <c r="C4802" t="s">
        <v>132</v>
      </c>
      <c r="D4802" t="s">
        <v>11423</v>
      </c>
      <c r="E4802" t="s">
        <v>28981</v>
      </c>
      <c r="F4802" s="2" t="n">
        <f>HYPERLINK("https://patents.google.com/patent/US10842867","Google")</f>
        <v>0.0</v>
      </c>
      <c r="G4802" s="2" t="n">
        <f>HYPERLINK("https://patentcenter.uspto.gov/applications/12092325","Patent Center")</f>
        <v>0.0</v>
      </c>
      <c r="H4802" s="2" t="n">
        <f>HYPERLINK("https://worldwide.espacenet.com/patent/search?q=US10842867","Espacenet")</f>
        <v>0.0</v>
      </c>
      <c r="I4802" s="2" t="n">
        <f>HYPERLINK("https://ppubs.uspto.gov/pubwebapp/external.html?q=10842867.pn.","USPTO")</f>
        <v>0.0</v>
      </c>
      <c r="J4802" s="2" t="n">
        <f>HYPERLINK("https://image-ppubs.uspto.gov/dirsearch-public/print/downloadPdf/10842867","USPTO PDF")</f>
        <v>0.0</v>
      </c>
      <c r="K4802" s="2" t="n">
        <f>HYPERLINK("https://sectors.patentforecast.com/pmd/US10842867","PMD")</f>
        <v>0.0</v>
      </c>
      <c r="L4802" s="2" t="n">
        <f>HYPERLINK("https://globaldossier.uspto.gov/result/patent/US/10842867/1","US10842867")</f>
        <v>0.0</v>
      </c>
      <c r="M4802" t="s">
        <v>28982</v>
      </c>
      <c r="N4802" t="s">
        <v>14996</v>
      </c>
      <c r="O4802" t="s">
        <v>14997</v>
      </c>
      <c r="P4802" t="s">
        <v>28983</v>
      </c>
      <c r="Q4802" s="3" t="n">
        <v>39027.0</v>
      </c>
      <c r="R4802" s="3" t="n">
        <v>44159.0</v>
      </c>
      <c r="S4802" s="3" t="n">
        <v>44179.59061476852</v>
      </c>
      <c r="T4802" s="3" t="n">
        <v>44179.59107930556</v>
      </c>
      <c r="U4802" t="s">
        <v>28984</v>
      </c>
      <c r="V4802" t="s">
        <v>28985</v>
      </c>
    </row>
    <row r="4803">
      <c r="A4803" t="s">
        <v>23557</v>
      </c>
      <c r="B4803" t="s">
        <v>28986</v>
      </c>
      <c r="C4803" t="s">
        <v>24</v>
      </c>
      <c r="D4803" t="s">
        <v>100</v>
      </c>
      <c r="E4803" t="s">
        <v>28987</v>
      </c>
      <c r="F4803" s="2" t="n">
        <f>HYPERLINK("https://patents.google.com/patent/US10842697","Google")</f>
        <v>0.0</v>
      </c>
      <c r="G4803" s="2" t="n">
        <f>HYPERLINK("https://patentcenter.uspto.gov/applications/16929788","Patent Center")</f>
        <v>0.0</v>
      </c>
      <c r="H4803" s="2" t="n">
        <f>HYPERLINK("https://worldwide.espacenet.com/patent/search?q=US10842697","Espacenet")</f>
        <v>0.0</v>
      </c>
      <c r="I4803" s="2" t="n">
        <f>HYPERLINK("https://ppubs.uspto.gov/pubwebapp/external.html?q=10842697.pn.","USPTO")</f>
        <v>0.0</v>
      </c>
      <c r="J4803" s="2" t="n">
        <f>HYPERLINK("https://image-ppubs.uspto.gov/dirsearch-public/print/downloadPdf/10842697","USPTO PDF")</f>
        <v>0.0</v>
      </c>
      <c r="K4803" s="2" t="n">
        <f>HYPERLINK("https://sectors.patentforecast.com/pmd/US10842697","PMD")</f>
        <v>0.0</v>
      </c>
      <c r="L4803" s="2" t="n">
        <f>HYPERLINK("https://globaldossier.uspto.gov/result/patent/US/10842697/1","US10842697")</f>
        <v>0.0</v>
      </c>
      <c r="M4803" t="s">
        <v>28988</v>
      </c>
      <c r="N4803" t="s">
        <v>28989</v>
      </c>
      <c r="O4803" t="s">
        <v>28990</v>
      </c>
      <c r="P4803" t="s">
        <v>28991</v>
      </c>
      <c r="Q4803" s="3" t="n">
        <v>44027.0</v>
      </c>
      <c r="R4803" s="3" t="n">
        <v>44159.0</v>
      </c>
      <c r="S4803" s="3" t="n">
        <v>44159.188118067126</v>
      </c>
      <c r="T4803" s="3" t="n">
        <v>44159.414513587966</v>
      </c>
      <c r="U4803" t="s">
        <v>28992</v>
      </c>
      <c r="V4803" t="s">
        <v>28993</v>
      </c>
    </row>
    <row r="4804">
      <c r="A4804" t="s">
        <v>23557</v>
      </c>
      <c r="B4804" t="s">
        <v>28994</v>
      </c>
      <c r="C4804" t="s">
        <v>24</v>
      </c>
      <c r="D4804" t="s">
        <v>43</v>
      </c>
      <c r="E4804" t="s">
        <v>28995</v>
      </c>
      <c r="F4804" s="2" t="n">
        <f>HYPERLINK("https://patents.google.com/patent/US10841737","Google")</f>
        <v>0.0</v>
      </c>
      <c r="G4804" s="2" t="n">
        <f>HYPERLINK("https://patentcenter.uspto.gov/applications/16894030","Patent Center")</f>
        <v>0.0</v>
      </c>
      <c r="H4804" s="2" t="n">
        <f>HYPERLINK("https://worldwide.espacenet.com/patent/search?q=US10841737","Espacenet")</f>
        <v>0.0</v>
      </c>
      <c r="I4804" s="2" t="n">
        <f>HYPERLINK("https://ppubs.uspto.gov/pubwebapp/external.html?q=10841737.pn.","USPTO")</f>
        <v>0.0</v>
      </c>
      <c r="J4804" s="2" t="n">
        <f>HYPERLINK("https://image-ppubs.uspto.gov/dirsearch-public/print/downloadPdf/10841737","USPTO PDF")</f>
        <v>0.0</v>
      </c>
      <c r="K4804" s="2" t="n">
        <f>HYPERLINK("https://sectors.patentforecast.com/pmd/US10841737","PMD")</f>
        <v>0.0</v>
      </c>
      <c r="L4804" s="2" t="n">
        <f>HYPERLINK("https://globaldossier.uspto.gov/result/patent/US/10841737/1","US10841737")</f>
        <v>0.0</v>
      </c>
      <c r="M4804" t="s">
        <v>16392</v>
      </c>
      <c r="N4804" t="s">
        <v>8923</v>
      </c>
      <c r="O4804" t="s">
        <v>8924</v>
      </c>
      <c r="P4804" t="s">
        <v>28996</v>
      </c>
      <c r="Q4804" s="3" t="n">
        <v>43987.0</v>
      </c>
      <c r="R4804" s="3" t="n">
        <v>44152.0</v>
      </c>
      <c r="S4804" s="3" t="n">
        <v>44152.18800530092</v>
      </c>
      <c r="T4804" s="3" t="n">
        <v>44152.4945478588</v>
      </c>
      <c r="U4804" t="s">
        <v>28997</v>
      </c>
      <c r="V4804" t="s">
        <v>16394</v>
      </c>
    </row>
    <row r="4805">
      <c r="A4805" t="s">
        <v>23557</v>
      </c>
      <c r="B4805" t="s">
        <v>28998</v>
      </c>
      <c r="C4805" t="s">
        <v>60</v>
      </c>
      <c r="D4805" t="s">
        <v>61</v>
      </c>
      <c r="E4805" t="s">
        <v>28999</v>
      </c>
      <c r="F4805" s="2" t="n">
        <f>HYPERLINK("https://patents.google.com/patent/US10836787","Google")</f>
        <v>0.0</v>
      </c>
      <c r="G4805" s="2" t="n">
        <f>HYPERLINK("https://patentcenter.uspto.gov/applications/15964597","Patent Center")</f>
        <v>0.0</v>
      </c>
      <c r="H4805" s="2" t="n">
        <f>HYPERLINK("https://worldwide.espacenet.com/patent/search?q=US10836787","Espacenet")</f>
        <v>0.0</v>
      </c>
      <c r="I4805" s="2" t="n">
        <f>HYPERLINK("https://ppubs.uspto.gov/pubwebapp/external.html?q=10836787.pn.","USPTO")</f>
        <v>0.0</v>
      </c>
      <c r="J4805" s="2" t="n">
        <f>HYPERLINK("https://image-ppubs.uspto.gov/dirsearch-public/print/downloadPdf/10836787","USPTO PDF")</f>
        <v>0.0</v>
      </c>
      <c r="K4805" s="2" t="n">
        <f>HYPERLINK("https://sectors.patentforecast.com/pmd/US10836787","PMD")</f>
        <v>0.0</v>
      </c>
      <c r="L4805" s="2" t="n">
        <f>HYPERLINK("https://globaldossier.uspto.gov/result/patent/US/10836787/1","US10836787")</f>
        <v>0.0</v>
      </c>
      <c r="M4805" t="s">
        <v>29000</v>
      </c>
      <c r="N4805" t="s">
        <v>664</v>
      </c>
      <c r="O4805" t="s">
        <v>665</v>
      </c>
      <c r="P4805" t="s">
        <v>29001</v>
      </c>
      <c r="Q4805" s="3" t="n">
        <v>43217.0</v>
      </c>
      <c r="R4805" s="3" t="n">
        <v>44152.0</v>
      </c>
      <c r="S4805" s="3" t="n">
        <v>44152.18904626158</v>
      </c>
      <c r="T4805" s="3" t="n">
        <v>44152.49399508102</v>
      </c>
      <c r="U4805" t="s">
        <v>29002</v>
      </c>
      <c r="V4805" t="s">
        <v>29003</v>
      </c>
    </row>
    <row r="4806">
      <c r="A4806" t="s">
        <v>23557</v>
      </c>
      <c r="B4806" t="s">
        <v>29004</v>
      </c>
      <c r="C4806" t="s">
        <v>24</v>
      </c>
      <c r="D4806" t="s">
        <v>100</v>
      </c>
      <c r="E4806" t="s">
        <v>29005</v>
      </c>
      <c r="F4806" s="2" t="n">
        <f>HYPERLINK("https://patents.google.com/patent/US10834978","Google")</f>
        <v>0.0</v>
      </c>
      <c r="G4806" s="2" t="n">
        <f>HYPERLINK("https://patentcenter.uspto.gov/applications/16993578","Patent Center")</f>
        <v>0.0</v>
      </c>
      <c r="H4806" s="2" t="n">
        <f>HYPERLINK("https://worldwide.espacenet.com/patent/search?q=US10834978","Espacenet")</f>
        <v>0.0</v>
      </c>
      <c r="I4806" s="2" t="n">
        <f>HYPERLINK("https://ppubs.uspto.gov/pubwebapp/external.html?q=10834978.pn.","USPTO")</f>
        <v>0.0</v>
      </c>
      <c r="J4806" s="2" t="n">
        <f>HYPERLINK("https://image-ppubs.uspto.gov/dirsearch-public/print/downloadPdf/10834978","USPTO PDF")</f>
        <v>0.0</v>
      </c>
      <c r="K4806" s="2" t="n">
        <f>HYPERLINK("https://sectors.patentforecast.com/pmd/US10834978","PMD")</f>
        <v>0.0</v>
      </c>
      <c r="L4806" s="2" t="n">
        <f>HYPERLINK("https://globaldossier.uspto.gov/result/patent/US/10834978/1","US10834978")</f>
        <v>0.0</v>
      </c>
      <c r="M4806" t="s">
        <v>29006</v>
      </c>
      <c r="N4806" t="s">
        <v>28198</v>
      </c>
      <c r="O4806" t="s">
        <v>28199</v>
      </c>
      <c r="P4806" t="s">
        <v>28200</v>
      </c>
      <c r="Q4806" s="3" t="n">
        <v>44057.0</v>
      </c>
      <c r="R4806" s="3" t="n">
        <v>44152.0</v>
      </c>
      <c r="S4806" s="3" t="n">
        <v>44152.18800530092</v>
      </c>
      <c r="T4806" s="3" t="n">
        <v>44152.49280756945</v>
      </c>
      <c r="U4806" t="s">
        <v>29007</v>
      </c>
      <c r="V4806" t="s">
        <v>28561</v>
      </c>
    </row>
    <row r="4807">
      <c r="A4807" t="s">
        <v>23557</v>
      </c>
      <c r="B4807" t="s">
        <v>29008</v>
      </c>
      <c r="C4807" t="s">
        <v>24</v>
      </c>
      <c r="D4807" t="s">
        <v>100</v>
      </c>
      <c r="E4807" t="s">
        <v>29009</v>
      </c>
      <c r="F4807" s="2" t="n">
        <f>HYPERLINK("https://patents.google.com/patent/US10827659","Google")</f>
        <v>0.0</v>
      </c>
      <c r="G4807" s="2" t="n">
        <f>HYPERLINK("https://patentcenter.uspto.gov/applications/16858502","Patent Center")</f>
        <v>0.0</v>
      </c>
      <c r="H4807" s="2" t="n">
        <f>HYPERLINK("https://worldwide.espacenet.com/patent/search?q=US10827659","Espacenet")</f>
        <v>0.0</v>
      </c>
      <c r="I4807" s="2" t="n">
        <f>HYPERLINK("https://ppubs.uspto.gov/pubwebapp/external.html?q=10827659.pn.","USPTO")</f>
        <v>0.0</v>
      </c>
      <c r="J4807" s="2" t="n">
        <f>HYPERLINK("https://image-ppubs.uspto.gov/dirsearch-public/print/downloadPdf/10827659","USPTO PDF")</f>
        <v>0.0</v>
      </c>
      <c r="K4807" s="2" t="n">
        <f>HYPERLINK("https://sectors.patentforecast.com/pmd/US10827659","PMD")</f>
        <v>0.0</v>
      </c>
      <c r="L4807" s="2" t="n">
        <f>HYPERLINK("https://globaldossier.uspto.gov/result/patent/US/10827659/1","US10827659")</f>
        <v>0.0</v>
      </c>
      <c r="M4807" t="s">
        <v>16518</v>
      </c>
      <c r="N4807" t="s">
        <v>16519</v>
      </c>
      <c r="O4807" t="s">
        <v>16520</v>
      </c>
      <c r="P4807" t="s">
        <v>29010</v>
      </c>
      <c r="Q4807" s="3" t="n">
        <v>43945.0</v>
      </c>
      <c r="R4807" s="3" t="n">
        <v>44138.0</v>
      </c>
      <c r="S4807" s="3" t="n">
        <v>44138.187766759256</v>
      </c>
      <c r="T4807" s="3" t="n">
        <v>44139.42113850694</v>
      </c>
      <c r="U4807" t="s">
        <v>29011</v>
      </c>
      <c r="V4807" t="s">
        <v>16523</v>
      </c>
    </row>
    <row r="4808">
      <c r="A4808" t="s">
        <v>23557</v>
      </c>
      <c r="B4808" t="s">
        <v>29012</v>
      </c>
      <c r="C4808" t="s">
        <v>24</v>
      </c>
      <c r="D4808" t="s">
        <v>34</v>
      </c>
      <c r="E4808" t="s">
        <v>29013</v>
      </c>
      <c r="F4808" s="2" t="n">
        <f>HYPERLINK("https://patents.google.com/patent/US10823746","Google")</f>
        <v>0.0</v>
      </c>
      <c r="G4808" s="2" t="n">
        <f>HYPERLINK("https://patentcenter.uspto.gov/applications/16885436","Patent Center")</f>
        <v>0.0</v>
      </c>
      <c r="H4808" s="2" t="n">
        <f>HYPERLINK("https://worldwide.espacenet.com/patent/search?q=US10823746","Espacenet")</f>
        <v>0.0</v>
      </c>
      <c r="I4808" s="2" t="n">
        <f>HYPERLINK("https://ppubs.uspto.gov/pubwebapp/external.html?q=10823746.pn.","USPTO")</f>
        <v>0.0</v>
      </c>
      <c r="J4808" s="2" t="n">
        <f>HYPERLINK("https://image-ppubs.uspto.gov/dirsearch-public/print/downloadPdf/10823746","USPTO PDF")</f>
        <v>0.0</v>
      </c>
      <c r="K4808" s="2" t="n">
        <f>HYPERLINK("https://sectors.patentforecast.com/pmd/US10823746","PMD")</f>
        <v>0.0</v>
      </c>
      <c r="L4808" s="2" t="n">
        <f>HYPERLINK("https://globaldossier.uspto.gov/result/patent/US/10823746/1","US10823746")</f>
        <v>0.0</v>
      </c>
      <c r="M4808" t="s">
        <v>29014</v>
      </c>
      <c r="N4808" t="s">
        <v>9653</v>
      </c>
      <c r="O4808" t="s">
        <v>9654</v>
      </c>
      <c r="P4808" t="s">
        <v>29015</v>
      </c>
      <c r="Q4808" s="3" t="n">
        <v>43979.0</v>
      </c>
      <c r="R4808" s="3" t="n">
        <v>44138.0</v>
      </c>
      <c r="S4808" s="3" t="n">
        <v>44138.187766759256</v>
      </c>
      <c r="T4808" s="3" t="n">
        <v>44139.421580891205</v>
      </c>
      <c r="U4808" t="s">
        <v>29016</v>
      </c>
      <c r="V4808" t="s">
        <v>9657</v>
      </c>
    </row>
    <row r="4809">
      <c r="A4809" t="s">
        <v>23557</v>
      </c>
      <c r="B4809" t="s">
        <v>29017</v>
      </c>
      <c r="C4809" t="s">
        <v>60</v>
      </c>
      <c r="D4809" t="s">
        <v>77</v>
      </c>
      <c r="E4809" t="s">
        <v>29018</v>
      </c>
      <c r="F4809" s="2" t="n">
        <f>HYPERLINK("https://patents.google.com/patent/US10822379","Google")</f>
        <v>0.0</v>
      </c>
      <c r="G4809" s="2" t="n">
        <f>HYPERLINK("https://patentcenter.uspto.gov/applications/15931939","Patent Center")</f>
        <v>0.0</v>
      </c>
      <c r="H4809" s="2" t="n">
        <f>HYPERLINK("https://worldwide.espacenet.com/patent/search?q=US10822379","Espacenet")</f>
        <v>0.0</v>
      </c>
      <c r="I4809" s="2" t="n">
        <f>HYPERLINK("https://ppubs.uspto.gov/pubwebapp/external.html?q=10822379.pn.","USPTO")</f>
        <v>0.0</v>
      </c>
      <c r="J4809" s="2" t="n">
        <f>HYPERLINK("https://image-ppubs.uspto.gov/dirsearch-public/print/downloadPdf/10822379","USPTO PDF")</f>
        <v>0.0</v>
      </c>
      <c r="K4809" s="2" t="n">
        <f>HYPERLINK("https://sectors.patentforecast.com/pmd/US10822379","PMD")</f>
        <v>0.0</v>
      </c>
      <c r="L4809" s="2" t="n">
        <f>HYPERLINK("https://globaldossier.uspto.gov/result/patent/US/10822379/1","US10822379")</f>
        <v>0.0</v>
      </c>
      <c r="M4809" t="s">
        <v>29019</v>
      </c>
      <c r="N4809" t="s">
        <v>4069</v>
      </c>
      <c r="O4809" t="s">
        <v>4070</v>
      </c>
      <c r="P4809" t="s">
        <v>29020</v>
      </c>
      <c r="Q4809" s="3" t="n">
        <v>43965.0</v>
      </c>
      <c r="R4809" s="3" t="n">
        <v>44138.0</v>
      </c>
      <c r="S4809" s="3" t="n">
        <v>44138.187766759256</v>
      </c>
      <c r="T4809" s="3" t="n">
        <v>44139.42211179398</v>
      </c>
      <c r="U4809" t="s">
        <v>29021</v>
      </c>
      <c r="V4809" t="s">
        <v>29022</v>
      </c>
    </row>
    <row r="4810">
      <c r="A4810" t="s">
        <v>23557</v>
      </c>
      <c r="B4810" t="s">
        <v>29023</v>
      </c>
      <c r="C4810" t="s">
        <v>24</v>
      </c>
      <c r="D4810" t="s">
        <v>51</v>
      </c>
      <c r="E4810" t="s">
        <v>27519</v>
      </c>
      <c r="F4810" s="2" t="n">
        <f>HYPERLINK("https://patents.google.com/patent/US10815539","Google")</f>
        <v>0.0</v>
      </c>
      <c r="G4810" s="2" t="n">
        <f>HYPERLINK("https://patentcenter.uspto.gov/applications/16837364","Patent Center")</f>
        <v>0.0</v>
      </c>
      <c r="H4810" s="2" t="n">
        <f>HYPERLINK("https://worldwide.espacenet.com/patent/search?q=US10815539","Espacenet")</f>
        <v>0.0</v>
      </c>
      <c r="I4810" s="2" t="n">
        <f>HYPERLINK("https://ppubs.uspto.gov/pubwebapp/external.html?q=10815539.pn.","USPTO")</f>
        <v>0.0</v>
      </c>
      <c r="J4810" s="2" t="n">
        <f>HYPERLINK("https://image-ppubs.uspto.gov/dirsearch-public/print/downloadPdf/10815539","USPTO PDF")</f>
        <v>0.0</v>
      </c>
      <c r="K4810" s="2" t="n">
        <f>HYPERLINK("https://sectors.patentforecast.com/pmd/US10815539","PMD")</f>
        <v>0.0</v>
      </c>
      <c r="L4810" s="2" t="n">
        <f>HYPERLINK("https://globaldossier.uspto.gov/result/patent/US/10815539/1","US10815539")</f>
        <v>0.0</v>
      </c>
      <c r="M4810" t="s">
        <v>29024</v>
      </c>
      <c r="N4810" t="s">
        <v>10933</v>
      </c>
      <c r="O4810" t="s">
        <v>10934</v>
      </c>
      <c r="P4810" t="s">
        <v>29025</v>
      </c>
      <c r="Q4810" s="3" t="n">
        <v>43922.0</v>
      </c>
      <c r="R4810" s="3" t="n">
        <v>44131.0</v>
      </c>
      <c r="S4810" s="3" t="n">
        <v>44131.22956196759</v>
      </c>
      <c r="T4810" s="3" t="n">
        <v>44131.370170462964</v>
      </c>
      <c r="U4810" t="s">
        <v>29026</v>
      </c>
      <c r="V4810" t="s">
        <v>29027</v>
      </c>
    </row>
    <row r="4811">
      <c r="A4811" t="s">
        <v>23557</v>
      </c>
      <c r="B4811" t="s">
        <v>29028</v>
      </c>
      <c r="C4811" t="s">
        <v>24</v>
      </c>
      <c r="D4811" t="s">
        <v>13922</v>
      </c>
      <c r="E4811" t="s">
        <v>29029</v>
      </c>
      <c r="F4811" s="2" t="n">
        <f>HYPERLINK("https://patents.google.com/patent/US10815536","Google")</f>
        <v>0.0</v>
      </c>
      <c r="G4811" s="2" t="n">
        <f>HYPERLINK("https://patentcenter.uspto.gov/applications/15759937","Patent Center")</f>
        <v>0.0</v>
      </c>
      <c r="H4811" s="2" t="n">
        <f>HYPERLINK("https://worldwide.espacenet.com/patent/search?q=US10815536","Espacenet")</f>
        <v>0.0</v>
      </c>
      <c r="I4811" s="2" t="n">
        <f>HYPERLINK("https://ppubs.uspto.gov/pubwebapp/external.html?q=10815536.pn.","USPTO")</f>
        <v>0.0</v>
      </c>
      <c r="J4811" s="2" t="n">
        <f>HYPERLINK("https://image-ppubs.uspto.gov/dirsearch-public/print/downloadPdf/10815536","USPTO PDF")</f>
        <v>0.0</v>
      </c>
      <c r="K4811" s="2" t="n">
        <f>HYPERLINK("https://sectors.patentforecast.com/pmd/US10815536","PMD")</f>
        <v>0.0</v>
      </c>
      <c r="L4811" s="2" t="n">
        <f>HYPERLINK("https://globaldossier.uspto.gov/result/patent/US/10815536/1","US10815536")</f>
        <v>0.0</v>
      </c>
      <c r="M4811" t="s">
        <v>29030</v>
      </c>
      <c r="N4811" t="s">
        <v>2928</v>
      </c>
      <c r="O4811" t="s">
        <v>2929</v>
      </c>
      <c r="P4811" t="s">
        <v>29031</v>
      </c>
      <c r="Q4811" s="3" t="n">
        <v>42632.0</v>
      </c>
      <c r="R4811" s="3" t="n">
        <v>44131.0</v>
      </c>
      <c r="S4811" s="3" t="n">
        <v>44131.230833263886</v>
      </c>
      <c r="T4811" s="3" t="n">
        <v>44131.37795890046</v>
      </c>
      <c r="U4811" t="s">
        <v>29032</v>
      </c>
      <c r="V4811" t="s">
        <v>29033</v>
      </c>
    </row>
    <row r="4812">
      <c r="A4812" t="s">
        <v>23557</v>
      </c>
      <c r="B4812" t="s">
        <v>29034</v>
      </c>
      <c r="C4812" t="s">
        <v>132</v>
      </c>
      <c r="D4812" t="s">
        <v>11423</v>
      </c>
      <c r="E4812" t="s">
        <v>24515</v>
      </c>
      <c r="F4812" s="2" t="n">
        <f>HYPERLINK("https://patents.google.com/patent/US10813994","Google")</f>
        <v>0.0</v>
      </c>
      <c r="G4812" s="2" t="n">
        <f>HYPERLINK("https://patentcenter.uspto.gov/applications/15876630","Patent Center")</f>
        <v>0.0</v>
      </c>
      <c r="H4812" s="2" t="n">
        <f>HYPERLINK("https://worldwide.espacenet.com/patent/search?q=US10813994","Espacenet")</f>
        <v>0.0</v>
      </c>
      <c r="I4812" s="2" t="n">
        <f>HYPERLINK("https://ppubs.uspto.gov/pubwebapp/external.html?q=10813994.pn.","USPTO")</f>
        <v>0.0</v>
      </c>
      <c r="J4812" s="2" t="n">
        <f>HYPERLINK("https://image-ppubs.uspto.gov/dirsearch-public/print/downloadPdf/10813994","USPTO PDF")</f>
        <v>0.0</v>
      </c>
      <c r="K4812" s="2" t="n">
        <f>HYPERLINK("https://sectors.patentforecast.com/pmd/US10813994","PMD")</f>
        <v>0.0</v>
      </c>
      <c r="L4812" s="2" t="n">
        <f>HYPERLINK("https://globaldossier.uspto.gov/result/patent/US/10813994/1","US10813994")</f>
        <v>0.0</v>
      </c>
      <c r="M4812" t="s">
        <v>16323</v>
      </c>
      <c r="N4812" t="s">
        <v>1275</v>
      </c>
      <c r="O4812" t="s">
        <v>1275</v>
      </c>
      <c r="P4812" t="s">
        <v>29035</v>
      </c>
      <c r="Q4812" s="3" t="n">
        <v>43122.0</v>
      </c>
      <c r="R4812" s="3" t="n">
        <v>44131.0</v>
      </c>
      <c r="S4812" s="3" t="n">
        <v>44131.23199069445</v>
      </c>
      <c r="T4812" s="3" t="n">
        <v>44131.376632974534</v>
      </c>
      <c r="U4812" t="s">
        <v>29036</v>
      </c>
      <c r="V4812" t="s">
        <v>16326</v>
      </c>
    </row>
    <row r="4813">
      <c r="A4813" t="s">
        <v>23557</v>
      </c>
      <c r="B4813" t="s">
        <v>29037</v>
      </c>
      <c r="C4813" t="s">
        <v>24</v>
      </c>
      <c r="D4813" t="s">
        <v>25</v>
      </c>
      <c r="E4813" t="s">
        <v>16585</v>
      </c>
      <c r="F4813" s="2" t="n">
        <f>HYPERLINK("https://patents.google.com/patent/US10813559","Google")</f>
        <v>0.0</v>
      </c>
      <c r="G4813" s="2" t="n">
        <f>HYPERLINK("https://patentcenter.uspto.gov/applications/16854883","Patent Center")</f>
        <v>0.0</v>
      </c>
      <c r="H4813" s="2" t="n">
        <f>HYPERLINK("https://worldwide.espacenet.com/patent/search?q=US10813559","Espacenet")</f>
        <v>0.0</v>
      </c>
      <c r="I4813" s="2" t="n">
        <f>HYPERLINK("https://ppubs.uspto.gov/pubwebapp/external.html?q=10813559.pn.","USPTO")</f>
        <v>0.0</v>
      </c>
      <c r="J4813" s="2" t="n">
        <f>HYPERLINK("https://image-ppubs.uspto.gov/dirsearch-public/print/downloadPdf/10813559","USPTO PDF")</f>
        <v>0.0</v>
      </c>
      <c r="K4813" s="2" t="n">
        <f>HYPERLINK("https://sectors.patentforecast.com/pmd/US10813559","PMD")</f>
        <v>0.0</v>
      </c>
      <c r="L4813" s="2" t="n">
        <f>HYPERLINK("https://globaldossier.uspto.gov/result/patent/US/10813559/1","US10813559")</f>
        <v>0.0</v>
      </c>
      <c r="M4813" t="s">
        <v>16586</v>
      </c>
      <c r="N4813" t="s">
        <v>14251</v>
      </c>
      <c r="O4813" t="s">
        <v>14252</v>
      </c>
      <c r="P4813" t="s">
        <v>27804</v>
      </c>
      <c r="Q4813" s="3" t="n">
        <v>43942.0</v>
      </c>
      <c r="R4813" s="3" t="n">
        <v>44131.0</v>
      </c>
      <c r="S4813" s="3" t="n">
        <v>44131.22956196759</v>
      </c>
      <c r="T4813" s="3" t="n">
        <v>44131.37165755787</v>
      </c>
      <c r="U4813" t="s">
        <v>29038</v>
      </c>
      <c r="V4813" t="s">
        <v>16588</v>
      </c>
    </row>
    <row r="4814">
      <c r="A4814" t="s">
        <v>23557</v>
      </c>
      <c r="B4814" t="s">
        <v>29039</v>
      </c>
      <c r="C4814" t="s">
        <v>24</v>
      </c>
      <c r="D4814" t="s">
        <v>69</v>
      </c>
      <c r="E4814" t="s">
        <v>29040</v>
      </c>
      <c r="F4814" s="2" t="n">
        <f>HYPERLINK("https://patents.google.com/patent/US10808338","Google")</f>
        <v>0.0</v>
      </c>
      <c r="G4814" s="2" t="n">
        <f>HYPERLINK("https://patentcenter.uspto.gov/applications/16845227","Patent Center")</f>
        <v>0.0</v>
      </c>
      <c r="H4814" s="2" t="n">
        <f>HYPERLINK("https://worldwide.espacenet.com/patent/search?q=US10808338","Espacenet")</f>
        <v>0.0</v>
      </c>
      <c r="I4814" s="2" t="n">
        <f>HYPERLINK("https://ppubs.uspto.gov/pubwebapp/external.html?q=10808338.pn.","USPTO")</f>
        <v>0.0</v>
      </c>
      <c r="J4814" s="2" t="n">
        <f>HYPERLINK("https://image-ppubs.uspto.gov/dirsearch-public/print/downloadPdf/10808338","USPTO PDF")</f>
        <v>0.0</v>
      </c>
      <c r="K4814" s="2" t="n">
        <f>HYPERLINK("https://sectors.patentforecast.com/pmd/US10808338","PMD")</f>
        <v>0.0</v>
      </c>
      <c r="L4814" s="2" t="n">
        <f>HYPERLINK("https://globaldossier.uspto.gov/result/patent/US/10808338/1","US10808338")</f>
        <v>0.0</v>
      </c>
      <c r="M4814" t="s">
        <v>29041</v>
      </c>
      <c r="N4814" t="s">
        <v>29042</v>
      </c>
      <c r="O4814" t="s">
        <v>29043</v>
      </c>
      <c r="P4814" t="s">
        <v>29044</v>
      </c>
      <c r="Q4814" s="3" t="n">
        <v>43931.0</v>
      </c>
      <c r="R4814" s="3" t="n">
        <v>44124.0</v>
      </c>
      <c r="S4814" s="3" t="n">
        <v>44126.22952569444</v>
      </c>
      <c r="T4814" s="3" t="n">
        <v>44126.385918865744</v>
      </c>
      <c r="U4814" t="s">
        <v>29045</v>
      </c>
      <c r="V4814" t="s">
        <v>29046</v>
      </c>
    </row>
    <row r="4815">
      <c r="A4815" t="s">
        <v>23557</v>
      </c>
      <c r="B4815" t="s">
        <v>29047</v>
      </c>
      <c r="C4815" t="s">
        <v>132</v>
      </c>
      <c r="D4815" t="s">
        <v>133</v>
      </c>
      <c r="E4815" t="s">
        <v>29048</v>
      </c>
      <c r="F4815" s="2" t="n">
        <f>HYPERLINK("https://patents.google.com/patent/US10806784","Google")</f>
        <v>0.0</v>
      </c>
      <c r="G4815" s="2" t="n">
        <f>HYPERLINK("https://patentcenter.uspto.gov/applications/16986558","Patent Center")</f>
        <v>0.0</v>
      </c>
      <c r="H4815" s="2" t="n">
        <f>HYPERLINK("https://worldwide.espacenet.com/patent/search?q=US10806784","Espacenet")</f>
        <v>0.0</v>
      </c>
      <c r="I4815" s="2" t="n">
        <f>HYPERLINK("https://ppubs.uspto.gov/pubwebapp/external.html?q=10806784.pn.","USPTO")</f>
        <v>0.0</v>
      </c>
      <c r="J4815" s="2" t="n">
        <f>HYPERLINK("https://image-ppubs.uspto.gov/dirsearch-public/print/downloadPdf/10806784","USPTO PDF")</f>
        <v>0.0</v>
      </c>
      <c r="K4815" s="2" t="n">
        <f>HYPERLINK("https://sectors.patentforecast.com/pmd/US10806784","PMD")</f>
        <v>0.0</v>
      </c>
      <c r="L4815" s="2" t="n">
        <f>HYPERLINK("https://globaldossier.uspto.gov/result/patent/US/10806784/1","US10806784")</f>
        <v>0.0</v>
      </c>
      <c r="M4815" t="s">
        <v>29049</v>
      </c>
      <c r="N4815" t="s">
        <v>5964</v>
      </c>
      <c r="O4815" t="s">
        <v>5964</v>
      </c>
      <c r="P4815" t="s">
        <v>28937</v>
      </c>
      <c r="Q4815" s="3" t="n">
        <v>44049.0</v>
      </c>
      <c r="R4815" s="3" t="n">
        <v>44124.0</v>
      </c>
      <c r="S4815" s="3" t="n">
        <v>44124.23077241898</v>
      </c>
      <c r="T4815" s="3" t="n">
        <v>44125.35520780092</v>
      </c>
      <c r="U4815" t="s">
        <v>28938</v>
      </c>
      <c r="V4815" t="s">
        <v>5967</v>
      </c>
    </row>
    <row r="4816">
      <c r="A4816" t="s">
        <v>23557</v>
      </c>
      <c r="B4816" t="s">
        <v>29050</v>
      </c>
      <c r="C4816" t="s">
        <v>24</v>
      </c>
      <c r="D4816" t="s">
        <v>43</v>
      </c>
      <c r="E4816" t="s">
        <v>29051</v>
      </c>
      <c r="F4816" s="2" t="n">
        <f>HYPERLINK("https://patents.google.com/patent/US10803993","Google")</f>
        <v>0.0</v>
      </c>
      <c r="G4816" s="2" t="n">
        <f>HYPERLINK("https://patentcenter.uspto.gov/applications/15405321","Patent Center")</f>
        <v>0.0</v>
      </c>
      <c r="H4816" s="2" t="n">
        <f>HYPERLINK("https://worldwide.espacenet.com/patent/search?q=US10803993","Espacenet")</f>
        <v>0.0</v>
      </c>
      <c r="I4816" s="2" t="n">
        <f>HYPERLINK("https://ppubs.uspto.gov/pubwebapp/external.html?q=10803993.pn.","USPTO")</f>
        <v>0.0</v>
      </c>
      <c r="J4816" s="2" t="n">
        <f>HYPERLINK("https://image-ppubs.uspto.gov/dirsearch-public/print/downloadPdf/10803993","USPTO PDF")</f>
        <v>0.0</v>
      </c>
      <c r="K4816" s="2" t="n">
        <f>HYPERLINK("https://sectors.patentforecast.com/pmd/US10803993","PMD")</f>
        <v>0.0</v>
      </c>
      <c r="L4816" s="2" t="n">
        <f>HYPERLINK("https://globaldossier.uspto.gov/result/patent/US/10803993/1","US10803993")</f>
        <v>0.0</v>
      </c>
      <c r="M4816" t="s">
        <v>19137</v>
      </c>
      <c r="N4816" t="s">
        <v>15887</v>
      </c>
      <c r="O4816" t="s">
        <v>15888</v>
      </c>
      <c r="P4816" t="s">
        <v>29052</v>
      </c>
      <c r="Q4816" s="3" t="n">
        <v>42748.0</v>
      </c>
      <c r="R4816" s="3" t="n">
        <v>44117.0</v>
      </c>
      <c r="S4816" s="3" t="n">
        <v>44117.23550112268</v>
      </c>
      <c r="T4816" s="3" t="n">
        <v>44117.65412265046</v>
      </c>
      <c r="U4816" t="s">
        <v>29053</v>
      </c>
      <c r="V4816" t="s">
        <v>15891</v>
      </c>
    </row>
    <row r="4817">
      <c r="A4817" t="s">
        <v>23557</v>
      </c>
      <c r="B4817" t="s">
        <v>29054</v>
      </c>
      <c r="C4817" t="s">
        <v>24</v>
      </c>
      <c r="D4817" t="s">
        <v>1356</v>
      </c>
      <c r="E4817" t="s">
        <v>29055</v>
      </c>
      <c r="F4817" s="2" t="n">
        <f>HYPERLINK("https://patents.google.com/patent/US10803714","Google")</f>
        <v>0.0</v>
      </c>
      <c r="G4817" s="2" t="n">
        <f>HYPERLINK("https://patentcenter.uspto.gov/applications/16898283","Patent Center")</f>
        <v>0.0</v>
      </c>
      <c r="H4817" s="2" t="n">
        <f>HYPERLINK("https://worldwide.espacenet.com/patent/search?q=US10803714","Espacenet")</f>
        <v>0.0</v>
      </c>
      <c r="I4817" s="2" t="n">
        <f>HYPERLINK("https://ppubs.uspto.gov/pubwebapp/external.html?q=10803714.pn.","USPTO")</f>
        <v>0.0</v>
      </c>
      <c r="J4817" s="2" t="n">
        <f>HYPERLINK("https://image-ppubs.uspto.gov/dirsearch-public/print/downloadPdf/10803714","USPTO PDF")</f>
        <v>0.0</v>
      </c>
      <c r="K4817" s="2" t="n">
        <f>HYPERLINK("https://sectors.patentforecast.com/pmd/US10803714","PMD")</f>
        <v>0.0</v>
      </c>
      <c r="L4817" s="2" t="n">
        <f>HYPERLINK("https://globaldossier.uspto.gov/result/patent/US/10803714/1","US10803714")</f>
        <v>0.0</v>
      </c>
      <c r="M4817" t="s">
        <v>29056</v>
      </c>
      <c r="N4817" t="s">
        <v>29057</v>
      </c>
      <c r="O4817" t="s">
        <v>29057</v>
      </c>
      <c r="P4817" t="s">
        <v>29058</v>
      </c>
      <c r="Q4817" s="3" t="n">
        <v>43992.0</v>
      </c>
      <c r="R4817" s="3" t="n">
        <v>44117.0</v>
      </c>
      <c r="S4817" s="3" t="n">
        <v>44117.22948324074</v>
      </c>
      <c r="T4817" s="3" t="n">
        <v>44117.65432565972</v>
      </c>
      <c r="U4817" t="s">
        <v>29059</v>
      </c>
      <c r="V4817" t="s">
        <v>29060</v>
      </c>
    </row>
    <row r="4818">
      <c r="A4818" t="s">
        <v>23557</v>
      </c>
      <c r="B4818" t="s">
        <v>29061</v>
      </c>
      <c r="C4818" t="s">
        <v>60</v>
      </c>
      <c r="D4818" t="s">
        <v>61</v>
      </c>
      <c r="E4818" t="s">
        <v>29062</v>
      </c>
      <c r="F4818" s="2" t="n">
        <f>HYPERLINK("https://patents.google.com/patent/US10801076","Google")</f>
        <v>0.0</v>
      </c>
      <c r="G4818" s="2" t="n">
        <f>HYPERLINK("https://patentcenter.uspto.gov/applications/15475237","Patent Center")</f>
        <v>0.0</v>
      </c>
      <c r="H4818" s="2" t="n">
        <f>HYPERLINK("https://worldwide.espacenet.com/patent/search?q=US10801076","Espacenet")</f>
        <v>0.0</v>
      </c>
      <c r="I4818" s="2" t="n">
        <f>HYPERLINK("https://ppubs.uspto.gov/pubwebapp/external.html?q=10801076.pn.","USPTO")</f>
        <v>0.0</v>
      </c>
      <c r="J4818" s="2" t="n">
        <f>HYPERLINK("https://image-ppubs.uspto.gov/dirsearch-public/print/downloadPdf/10801076","USPTO PDF")</f>
        <v>0.0</v>
      </c>
      <c r="K4818" s="2" t="n">
        <f>HYPERLINK("https://sectors.patentforecast.com/pmd/US10801076","PMD")</f>
        <v>0.0</v>
      </c>
      <c r="L4818" s="2" t="n">
        <f>HYPERLINK("https://globaldossier.uspto.gov/result/patent/US/10801076/1","US10801076")</f>
        <v>0.0</v>
      </c>
      <c r="M4818" t="s">
        <v>29063</v>
      </c>
      <c r="N4818" t="s">
        <v>29064</v>
      </c>
      <c r="O4818" t="s">
        <v>29064</v>
      </c>
      <c r="P4818" t="s">
        <v>29065</v>
      </c>
      <c r="Q4818" s="3" t="n">
        <v>42825.0</v>
      </c>
      <c r="R4818" s="3" t="n">
        <v>44117.0</v>
      </c>
      <c r="S4818" s="3" t="n">
        <v>44117.23318188657</v>
      </c>
      <c r="T4818" s="3" t="n">
        <v>44117.6537827662</v>
      </c>
      <c r="U4818" t="s">
        <v>29066</v>
      </c>
      <c r="V4818" t="s">
        <v>29067</v>
      </c>
    </row>
    <row r="4819">
      <c r="A4819" t="s">
        <v>23557</v>
      </c>
      <c r="B4819" t="s">
        <v>29068</v>
      </c>
      <c r="C4819" t="s">
        <v>60</v>
      </c>
      <c r="D4819" t="s">
        <v>77</v>
      </c>
      <c r="E4819" t="s">
        <v>28604</v>
      </c>
      <c r="F4819" s="2" t="n">
        <f>HYPERLINK("https://patents.google.com/patent/US10787501","Google")</f>
        <v>0.0</v>
      </c>
      <c r="G4819" s="2" t="n">
        <f>HYPERLINK("https://patentcenter.uspto.gov/applications/16912678","Patent Center")</f>
        <v>0.0</v>
      </c>
      <c r="H4819" s="2" t="n">
        <f>HYPERLINK("https://worldwide.espacenet.com/patent/search?q=US10787501","Espacenet")</f>
        <v>0.0</v>
      </c>
      <c r="I4819" s="2" t="n">
        <f>HYPERLINK("https://ppubs.uspto.gov/pubwebapp/external.html?q=10787501.pn.","USPTO")</f>
        <v>0.0</v>
      </c>
      <c r="J4819" s="2" t="n">
        <f>HYPERLINK("https://image-ppubs.uspto.gov/dirsearch-public/print/downloadPdf/10787501","USPTO PDF")</f>
        <v>0.0</v>
      </c>
      <c r="K4819" s="2" t="n">
        <f>HYPERLINK("https://sectors.patentforecast.com/pmd/US10787501","PMD")</f>
        <v>0.0</v>
      </c>
      <c r="L4819" s="2" t="n">
        <f>HYPERLINK("https://globaldossier.uspto.gov/result/patent/US/10787501/1","US10787501")</f>
        <v>0.0</v>
      </c>
      <c r="M4819" t="s">
        <v>29069</v>
      </c>
      <c r="N4819" t="s">
        <v>4321</v>
      </c>
      <c r="O4819" t="s">
        <v>4322</v>
      </c>
      <c r="P4819" t="s">
        <v>28500</v>
      </c>
      <c r="Q4819" s="3" t="n">
        <v>44007.0</v>
      </c>
      <c r="R4819" s="3" t="n">
        <v>44103.0</v>
      </c>
      <c r="S4819" s="3" t="n">
        <v>44103.229378738426</v>
      </c>
      <c r="T4819" s="3" t="n">
        <v>44103.56121950231</v>
      </c>
      <c r="U4819" t="s">
        <v>29070</v>
      </c>
      <c r="V4819" t="s">
        <v>28502</v>
      </c>
    </row>
    <row r="4820">
      <c r="A4820" t="s">
        <v>23557</v>
      </c>
      <c r="B4820" t="s">
        <v>29071</v>
      </c>
      <c r="C4820" t="s">
        <v>24</v>
      </c>
      <c r="D4820" t="s">
        <v>51</v>
      </c>
      <c r="E4820" t="s">
        <v>29072</v>
      </c>
      <c r="F4820" s="2" t="n">
        <f>HYPERLINK("https://patents.google.com/patent/US10781426","Google")</f>
        <v>0.0</v>
      </c>
      <c r="G4820" s="2" t="n">
        <f>HYPERLINK("https://patentcenter.uspto.gov/applications/14430010","Patent Center")</f>
        <v>0.0</v>
      </c>
      <c r="H4820" s="2" t="n">
        <f>HYPERLINK("https://worldwide.espacenet.com/patent/search?q=US10781426","Espacenet")</f>
        <v>0.0</v>
      </c>
      <c r="I4820" s="2" t="n">
        <f>HYPERLINK("https://ppubs.uspto.gov/pubwebapp/external.html?q=10781426.pn.","USPTO")</f>
        <v>0.0</v>
      </c>
      <c r="J4820" s="2" t="n">
        <f>HYPERLINK("https://image-ppubs.uspto.gov/dirsearch-public/print/downloadPdf/10781426","USPTO PDF")</f>
        <v>0.0</v>
      </c>
      <c r="K4820" s="2" t="n">
        <f>HYPERLINK("https://sectors.patentforecast.com/pmd/US10781426","PMD")</f>
        <v>0.0</v>
      </c>
      <c r="L4820" s="2" t="n">
        <f>HYPERLINK("https://globaldossier.uspto.gov/result/patent/US/10781426/1","US10781426")</f>
        <v>0.0</v>
      </c>
      <c r="M4820" t="s">
        <v>20130</v>
      </c>
      <c r="N4820" t="s">
        <v>14622</v>
      </c>
      <c r="O4820" t="s">
        <v>14622</v>
      </c>
      <c r="P4820" t="s">
        <v>29073</v>
      </c>
      <c r="Q4820" s="3" t="n">
        <v>41540.0</v>
      </c>
      <c r="R4820" s="3" t="n">
        <v>44096.0</v>
      </c>
      <c r="S4820" s="3" t="n">
        <v>44096.23041984954</v>
      </c>
      <c r="T4820" s="3" t="n">
        <v>44096.49729076389</v>
      </c>
      <c r="U4820" t="s">
        <v>29074</v>
      </c>
      <c r="V4820" t="s">
        <v>14625</v>
      </c>
    </row>
    <row r="4821">
      <c r="A4821" t="s">
        <v>23557</v>
      </c>
      <c r="B4821" t="s">
        <v>29075</v>
      </c>
      <c r="C4821" t="s">
        <v>24</v>
      </c>
      <c r="D4821" t="s">
        <v>43</v>
      </c>
      <c r="E4821" t="s">
        <v>29076</v>
      </c>
      <c r="F4821" s="2" t="n">
        <f>HYPERLINK("https://patents.google.com/patent/US10777325","Google")</f>
        <v>0.0</v>
      </c>
      <c r="G4821" s="2" t="n">
        <f>HYPERLINK("https://patentcenter.uspto.gov/applications/16875179","Patent Center")</f>
        <v>0.0</v>
      </c>
      <c r="H4821" s="2" t="n">
        <f>HYPERLINK("https://worldwide.espacenet.com/patent/search?q=US10777325","Espacenet")</f>
        <v>0.0</v>
      </c>
      <c r="I4821" s="2" t="n">
        <f>HYPERLINK("https://ppubs.uspto.gov/pubwebapp/external.html?q=10777325.pn.","USPTO")</f>
        <v>0.0</v>
      </c>
      <c r="J4821" s="2" t="n">
        <f>HYPERLINK("https://image-ppubs.uspto.gov/dirsearch-public/print/downloadPdf/10777325","USPTO PDF")</f>
        <v>0.0</v>
      </c>
      <c r="K4821" s="2" t="n">
        <f>HYPERLINK("https://sectors.patentforecast.com/pmd/US10777325","PMD")</f>
        <v>0.0</v>
      </c>
      <c r="L4821" s="2" t="n">
        <f>HYPERLINK("https://globaldossier.uspto.gov/result/patent/US/10777325/1","US10777325")</f>
        <v>0.0</v>
      </c>
      <c r="M4821" t="s">
        <v>29077</v>
      </c>
      <c r="N4821" t="s">
        <v>29078</v>
      </c>
      <c r="O4821" t="s">
        <v>29078</v>
      </c>
      <c r="P4821" t="s">
        <v>29079</v>
      </c>
      <c r="Q4821" s="3" t="n">
        <v>43966.0</v>
      </c>
      <c r="R4821" s="3" t="n">
        <v>44089.0</v>
      </c>
      <c r="S4821" s="3" t="n">
        <v>44089.229469212965</v>
      </c>
      <c r="T4821" s="3" t="n">
        <v>44089.43455172454</v>
      </c>
      <c r="U4821" t="s">
        <v>29080</v>
      </c>
      <c r="V4821" t="s">
        <v>29081</v>
      </c>
    </row>
    <row r="4822">
      <c r="A4822" t="s">
        <v>23557</v>
      </c>
      <c r="B4822" t="s">
        <v>29082</v>
      </c>
      <c r="C4822" t="s">
        <v>24</v>
      </c>
      <c r="D4822" t="s">
        <v>100</v>
      </c>
      <c r="E4822" t="s">
        <v>29083</v>
      </c>
      <c r="F4822" s="2" t="n">
        <f>HYPERLINK("https://patents.google.com/patent/US10775560","Google")</f>
        <v>0.0</v>
      </c>
      <c r="G4822" s="2" t="n">
        <f>HYPERLINK("https://patentcenter.uspto.gov/applications/16919549","Patent Center")</f>
        <v>0.0</v>
      </c>
      <c r="H4822" s="2" t="n">
        <f>HYPERLINK("https://worldwide.espacenet.com/patent/search?q=US10775560","Espacenet")</f>
        <v>0.0</v>
      </c>
      <c r="I4822" s="2" t="n">
        <f>HYPERLINK("https://ppubs.uspto.gov/pubwebapp/external.html?q=10775560.pn.","USPTO")</f>
        <v>0.0</v>
      </c>
      <c r="J4822" s="2" t="n">
        <f>HYPERLINK("https://image-ppubs.uspto.gov/dirsearch-public/print/downloadPdf/10775560","USPTO PDF")</f>
        <v>0.0</v>
      </c>
      <c r="K4822" s="2" t="n">
        <f>HYPERLINK("https://sectors.patentforecast.com/pmd/US10775560","PMD")</f>
        <v>0.0</v>
      </c>
      <c r="L4822" s="2" t="n">
        <f>HYPERLINK("https://globaldossier.uspto.gov/result/patent/US/10775560/1","US10775560")</f>
        <v>0.0</v>
      </c>
      <c r="M4822" t="s">
        <v>29084</v>
      </c>
      <c r="N4822" t="s">
        <v>29085</v>
      </c>
      <c r="O4822" t="s">
        <v>29086</v>
      </c>
      <c r="P4822" t="s">
        <v>29087</v>
      </c>
      <c r="Q4822" s="3" t="n">
        <v>44014.0</v>
      </c>
      <c r="R4822" s="3" t="n">
        <v>44089.0</v>
      </c>
      <c r="S4822" s="3" t="n">
        <v>44089.229469212965</v>
      </c>
      <c r="T4822" s="3" t="n">
        <v>44089.433324108795</v>
      </c>
      <c r="U4822" t="s">
        <v>29088</v>
      </c>
      <c r="V4822" t="s">
        <v>29089</v>
      </c>
    </row>
    <row r="4823">
      <c r="A4823" t="s">
        <v>23557</v>
      </c>
      <c r="B4823" t="s">
        <v>29090</v>
      </c>
      <c r="C4823" t="s">
        <v>132</v>
      </c>
      <c r="D4823" t="s">
        <v>133</v>
      </c>
      <c r="E4823" t="s">
        <v>29091</v>
      </c>
      <c r="F4823" s="2" t="n">
        <f>HYPERLINK("https://patents.google.com/patent/US10759846","Google")</f>
        <v>0.0</v>
      </c>
      <c r="G4823" s="2" t="n">
        <f>HYPERLINK("https://patentcenter.uspto.gov/applications/16403211","Patent Center")</f>
        <v>0.0</v>
      </c>
      <c r="H4823" s="2" t="n">
        <f>HYPERLINK("https://worldwide.espacenet.com/patent/search?q=US10759846","Espacenet")</f>
        <v>0.0</v>
      </c>
      <c r="I4823" s="2" t="n">
        <f>HYPERLINK("https://ppubs.uspto.gov/pubwebapp/external.html?q=10759846.pn.","USPTO")</f>
        <v>0.0</v>
      </c>
      <c r="J4823" s="2" t="n">
        <f>HYPERLINK("https://image-ppubs.uspto.gov/dirsearch-public/print/downloadPdf/10759846","USPTO PDF")</f>
        <v>0.0</v>
      </c>
      <c r="K4823" s="2" t="n">
        <f>HYPERLINK("https://sectors.patentforecast.com/pmd/US10759846","PMD")</f>
        <v>0.0</v>
      </c>
      <c r="L4823" s="2" t="n">
        <f>HYPERLINK("https://globaldossier.uspto.gov/result/patent/US/10759846/1","US10759846")</f>
        <v>0.0</v>
      </c>
      <c r="M4823" t="s">
        <v>17529</v>
      </c>
      <c r="N4823" t="s">
        <v>1792</v>
      </c>
      <c r="O4823" t="s">
        <v>1793</v>
      </c>
      <c r="P4823" t="s">
        <v>29092</v>
      </c>
      <c r="Q4823" s="3" t="n">
        <v>43588.0</v>
      </c>
      <c r="R4823" s="3" t="n">
        <v>44075.0</v>
      </c>
      <c r="S4823" s="3" t="n">
        <v>44075.23065138889</v>
      </c>
      <c r="T4823" s="3" t="n">
        <v>44075.57700804398</v>
      </c>
      <c r="U4823" t="s">
        <v>29093</v>
      </c>
      <c r="V4823" t="s">
        <v>17532</v>
      </c>
    </row>
    <row r="4824">
      <c r="A4824" t="s">
        <v>23557</v>
      </c>
      <c r="B4824" t="s">
        <v>29094</v>
      </c>
      <c r="C4824" t="s">
        <v>60</v>
      </c>
      <c r="D4824" t="s">
        <v>4942</v>
      </c>
      <c r="E4824" t="s">
        <v>29095</v>
      </c>
      <c r="F4824" s="2" t="n">
        <f>HYPERLINK("https://patents.google.com/patent/US10758506","Google")</f>
        <v>0.0</v>
      </c>
      <c r="G4824" s="2" t="n">
        <f>HYPERLINK("https://patentcenter.uspto.gov/applications/16000792","Patent Center")</f>
        <v>0.0</v>
      </c>
      <c r="H4824" s="2" t="n">
        <f>HYPERLINK("https://worldwide.espacenet.com/patent/search?q=US10758506","Espacenet")</f>
        <v>0.0</v>
      </c>
      <c r="I4824" s="2" t="n">
        <f>HYPERLINK("https://ppubs.uspto.gov/pubwebapp/external.html?q=10758506.pn.","USPTO")</f>
        <v>0.0</v>
      </c>
      <c r="J4824" s="2" t="n">
        <f>HYPERLINK("https://image-ppubs.uspto.gov/dirsearch-public/print/downloadPdf/10758506","USPTO PDF")</f>
        <v>0.0</v>
      </c>
      <c r="K4824" s="2" t="n">
        <f>HYPERLINK("https://sectors.patentforecast.com/pmd/US10758506","PMD")</f>
        <v>0.0</v>
      </c>
      <c r="L4824" s="2" t="n">
        <f>HYPERLINK("https://globaldossier.uspto.gov/result/patent/US/10758506/1","US10758506")</f>
        <v>0.0</v>
      </c>
      <c r="M4824" t="s">
        <v>18213</v>
      </c>
      <c r="N4824" t="s">
        <v>29096</v>
      </c>
      <c r="O4824" t="s">
        <v>29096</v>
      </c>
      <c r="P4824" t="s">
        <v>29097</v>
      </c>
      <c r="Q4824" s="3" t="n">
        <v>43256.0</v>
      </c>
      <c r="R4824" s="3" t="n">
        <v>44075.0</v>
      </c>
      <c r="S4824" s="3" t="n">
        <v>44075.23366119213</v>
      </c>
      <c r="T4824" s="3" t="n">
        <v>44643.40104430555</v>
      </c>
      <c r="U4824" t="s">
        <v>29098</v>
      </c>
      <c r="V4824" t="s">
        <v>16109</v>
      </c>
    </row>
    <row r="4825">
      <c r="A4825" t="s">
        <v>23557</v>
      </c>
      <c r="B4825" t="s">
        <v>29099</v>
      </c>
      <c r="C4825" t="s">
        <v>24</v>
      </c>
      <c r="D4825" t="s">
        <v>100</v>
      </c>
      <c r="E4825" t="s">
        <v>27947</v>
      </c>
      <c r="F4825" s="2" t="n">
        <f>HYPERLINK("https://patents.google.com/patent/US10758480","Google")</f>
        <v>0.0</v>
      </c>
      <c r="G4825" s="2" t="n">
        <f>HYPERLINK("https://patentcenter.uspto.gov/applications/16844967","Patent Center")</f>
        <v>0.0</v>
      </c>
      <c r="H4825" s="2" t="n">
        <f>HYPERLINK("https://worldwide.espacenet.com/patent/search?q=US10758480","Espacenet")</f>
        <v>0.0</v>
      </c>
      <c r="I4825" s="2" t="n">
        <f>HYPERLINK("https://ppubs.uspto.gov/pubwebapp/external.html?q=10758480.pn.","USPTO")</f>
        <v>0.0</v>
      </c>
      <c r="J4825" s="2" t="n">
        <f>HYPERLINK("https://image-ppubs.uspto.gov/dirsearch-public/print/downloadPdf/10758480","USPTO PDF")</f>
        <v>0.0</v>
      </c>
      <c r="K4825" s="2" t="n">
        <f>HYPERLINK("https://sectors.patentforecast.com/pmd/US10758480","PMD")</f>
        <v>0.0</v>
      </c>
      <c r="L4825" s="2" t="n">
        <f>HYPERLINK("https://globaldossier.uspto.gov/result/patent/US/10758480/1","US10758480")</f>
        <v>0.0</v>
      </c>
      <c r="M4825" t="s">
        <v>29100</v>
      </c>
      <c r="N4825" t="s">
        <v>15961</v>
      </c>
      <c r="O4825" t="s">
        <v>15962</v>
      </c>
      <c r="P4825" t="s">
        <v>29101</v>
      </c>
      <c r="Q4825" s="3" t="n">
        <v>43930.0</v>
      </c>
      <c r="R4825" s="3" t="n">
        <v>44075.0</v>
      </c>
      <c r="S4825" s="3" t="n">
        <v>44075.22949480324</v>
      </c>
      <c r="T4825" s="3" t="n">
        <v>44075.57571179398</v>
      </c>
      <c r="U4825" t="s">
        <v>29102</v>
      </c>
      <c r="V4825" t="s">
        <v>29103</v>
      </c>
    </row>
    <row r="4826">
      <c r="A4826" t="s">
        <v>23557</v>
      </c>
      <c r="B4826" t="s">
        <v>29104</v>
      </c>
      <c r="C4826" t="s">
        <v>24</v>
      </c>
      <c r="D4826" t="s">
        <v>69</v>
      </c>
      <c r="E4826" t="s">
        <v>29105</v>
      </c>
      <c r="F4826" s="2" t="n">
        <f>HYPERLINK("https://patents.google.com/patent/US10757988","Google")</f>
        <v>0.0</v>
      </c>
      <c r="G4826" s="2" t="n">
        <f>HYPERLINK("https://patentcenter.uspto.gov/applications/16871994","Patent Center")</f>
        <v>0.0</v>
      </c>
      <c r="H4826" s="2" t="n">
        <f>HYPERLINK("https://worldwide.espacenet.com/patent/search?q=US10757988","Espacenet")</f>
        <v>0.0</v>
      </c>
      <c r="I4826" s="2" t="n">
        <f>HYPERLINK("https://ppubs.uspto.gov/pubwebapp/external.html?q=10757988.pn.","USPTO")</f>
        <v>0.0</v>
      </c>
      <c r="J4826" s="2" t="n">
        <f>HYPERLINK("https://image-ppubs.uspto.gov/dirsearch-public/print/downloadPdf/10757988","USPTO PDF")</f>
        <v>0.0</v>
      </c>
      <c r="K4826" s="2" t="n">
        <f>HYPERLINK("https://sectors.patentforecast.com/pmd/US10757988","PMD")</f>
        <v>0.0</v>
      </c>
      <c r="L4826" s="2" t="n">
        <f>HYPERLINK("https://globaldossier.uspto.gov/result/patent/US/10757988/1","US10757988")</f>
        <v>0.0</v>
      </c>
      <c r="M4826" t="s">
        <v>29106</v>
      </c>
      <c r="N4826" t="s">
        <v>28763</v>
      </c>
      <c r="O4826" t="s">
        <v>28764</v>
      </c>
      <c r="P4826" t="s">
        <v>28765</v>
      </c>
      <c r="Q4826" s="3" t="n">
        <v>43962.0</v>
      </c>
      <c r="R4826" s="3" t="n">
        <v>44075.0</v>
      </c>
      <c r="S4826" s="3" t="n">
        <v>44075.22949480324</v>
      </c>
      <c r="T4826" s="3" t="n">
        <v>44075.57660728009</v>
      </c>
      <c r="U4826" t="s">
        <v>29107</v>
      </c>
      <c r="V4826" t="s">
        <v>28767</v>
      </c>
    </row>
    <row r="4827">
      <c r="A4827" t="s">
        <v>23557</v>
      </c>
      <c r="B4827" t="s">
        <v>29108</v>
      </c>
      <c r="C4827" t="s">
        <v>132</v>
      </c>
      <c r="D4827" t="s">
        <v>2629</v>
      </c>
      <c r="E4827" t="s">
        <v>29109</v>
      </c>
      <c r="F4827" s="2" t="n">
        <f>HYPERLINK("https://patents.google.com/patent/US10751410","Google")</f>
        <v>0.0</v>
      </c>
      <c r="G4827" s="2" t="n">
        <f>HYPERLINK("https://patentcenter.uspto.gov/applications/15023629","Patent Center")</f>
        <v>0.0</v>
      </c>
      <c r="H4827" s="2" t="n">
        <f>HYPERLINK("https://worldwide.espacenet.com/patent/search?q=US10751410","Espacenet")</f>
        <v>0.0</v>
      </c>
      <c r="I4827" s="2" t="n">
        <f>HYPERLINK("https://ppubs.uspto.gov/pubwebapp/external.html?q=10751410.pn.","USPTO")</f>
        <v>0.0</v>
      </c>
      <c r="J4827" s="2" t="n">
        <f>HYPERLINK("https://image-ppubs.uspto.gov/dirsearch-public/print/downloadPdf/10751410","USPTO PDF")</f>
        <v>0.0</v>
      </c>
      <c r="K4827" s="2" t="n">
        <f>HYPERLINK("https://sectors.patentforecast.com/pmd/US10751410","PMD")</f>
        <v>0.0</v>
      </c>
      <c r="L4827" s="2" t="n">
        <f>HYPERLINK("https://globaldossier.uspto.gov/result/patent/US/10751410/1","US10751410")</f>
        <v>0.0</v>
      </c>
      <c r="M4827" t="s">
        <v>19609</v>
      </c>
      <c r="N4827" t="s">
        <v>1275</v>
      </c>
      <c r="O4827" t="s">
        <v>1275</v>
      </c>
      <c r="P4827" t="s">
        <v>29110</v>
      </c>
      <c r="Q4827" s="3" t="n">
        <v>41901.0</v>
      </c>
      <c r="R4827" s="3" t="n">
        <v>44068.0</v>
      </c>
      <c r="S4827" s="3" t="n">
        <v>44068.23041873843</v>
      </c>
      <c r="T4827" s="3" t="n">
        <v>44068.61250163194</v>
      </c>
      <c r="U4827" t="s">
        <v>29111</v>
      </c>
      <c r="V4827" t="s">
        <v>19612</v>
      </c>
    </row>
    <row r="4828">
      <c r="A4828" t="s">
        <v>23557</v>
      </c>
      <c r="B4828" t="s">
        <v>29112</v>
      </c>
      <c r="C4828" t="s">
        <v>132</v>
      </c>
      <c r="D4828" t="s">
        <v>1265</v>
      </c>
      <c r="E4828" t="s">
        <v>22970</v>
      </c>
      <c r="F4828" s="2" t="n">
        <f>HYPERLINK("https://patents.google.com/patent/US10736958","Google")</f>
        <v>0.0</v>
      </c>
      <c r="G4828" s="2" t="n">
        <f>HYPERLINK("https://patentcenter.uspto.gov/applications/16260557","Patent Center")</f>
        <v>0.0</v>
      </c>
      <c r="H4828" s="2" t="n">
        <f>HYPERLINK("https://worldwide.espacenet.com/patent/search?q=US10736958","Espacenet")</f>
        <v>0.0</v>
      </c>
      <c r="I4828" s="2" t="n">
        <f>HYPERLINK("https://ppubs.uspto.gov/pubwebapp/external.html?q=10736958.pn.","USPTO")</f>
        <v>0.0</v>
      </c>
      <c r="J4828" s="2" t="n">
        <f>HYPERLINK("https://image-ppubs.uspto.gov/dirsearch-public/print/downloadPdf/10736958","USPTO PDF")</f>
        <v>0.0</v>
      </c>
      <c r="K4828" s="2" t="n">
        <f>HYPERLINK("https://sectors.patentforecast.com/pmd/US10736958","PMD")</f>
        <v>0.0</v>
      </c>
      <c r="L4828" s="2" t="n">
        <f>HYPERLINK("https://globaldossier.uspto.gov/result/patent/US/10736958/1","US10736958")</f>
        <v>0.0</v>
      </c>
      <c r="M4828" t="s">
        <v>17238</v>
      </c>
      <c r="N4828" t="s">
        <v>1275</v>
      </c>
      <c r="O4828" t="s">
        <v>1275</v>
      </c>
      <c r="P4828" t="s">
        <v>29113</v>
      </c>
      <c r="Q4828" s="3" t="n">
        <v>43494.0</v>
      </c>
      <c r="R4828" s="3" t="n">
        <v>44054.0</v>
      </c>
      <c r="S4828" s="3" t="n">
        <v>44054.23145663195</v>
      </c>
      <c r="T4828" s="3" t="n">
        <v>44056.63351438657</v>
      </c>
      <c r="U4828" t="s">
        <v>29114</v>
      </c>
      <c r="V4828" t="s">
        <v>29115</v>
      </c>
    </row>
    <row r="4829">
      <c r="A4829" t="s">
        <v>23557</v>
      </c>
      <c r="B4829" t="s">
        <v>29116</v>
      </c>
      <c r="C4829" t="s">
        <v>60</v>
      </c>
      <c r="D4829" t="s">
        <v>61</v>
      </c>
      <c r="E4829" t="s">
        <v>29117</v>
      </c>
      <c r="F4829" s="2" t="n">
        <f>HYPERLINK("https://patents.google.com/patent/US10731161","Google")</f>
        <v>0.0</v>
      </c>
      <c r="G4829" s="2" t="n">
        <f>HYPERLINK("https://patentcenter.uspto.gov/applications/14768465","Patent Center")</f>
        <v>0.0</v>
      </c>
      <c r="H4829" s="2" t="n">
        <f>HYPERLINK("https://worldwide.espacenet.com/patent/search?q=US10731161","Espacenet")</f>
        <v>0.0</v>
      </c>
      <c r="I4829" s="2" t="n">
        <f>HYPERLINK("https://ppubs.uspto.gov/pubwebapp/external.html?q=10731161.pn.","USPTO")</f>
        <v>0.0</v>
      </c>
      <c r="J4829" s="2" t="n">
        <f>HYPERLINK("https://image-ppubs.uspto.gov/dirsearch-public/print/downloadPdf/10731161","USPTO PDF")</f>
        <v>0.0</v>
      </c>
      <c r="K4829" s="2" t="n">
        <f>HYPERLINK("https://sectors.patentforecast.com/pmd/US10731161","PMD")</f>
        <v>0.0</v>
      </c>
      <c r="L4829" s="2" t="n">
        <f>HYPERLINK("https://globaldossier.uspto.gov/result/patent/US/10731161/1","US10731161")</f>
        <v>0.0</v>
      </c>
      <c r="M4829" t="s">
        <v>19969</v>
      </c>
      <c r="N4829" t="s">
        <v>16349</v>
      </c>
      <c r="O4829" t="s">
        <v>16350</v>
      </c>
      <c r="P4829" t="s">
        <v>29118</v>
      </c>
      <c r="Q4829" s="3" t="n">
        <v>41709.0</v>
      </c>
      <c r="R4829" s="3" t="n">
        <v>44047.0</v>
      </c>
      <c r="S4829" s="3" t="n">
        <v>44047.23328288194</v>
      </c>
      <c r="T4829" s="3" t="n">
        <v>44048.423739143516</v>
      </c>
      <c r="U4829" t="s">
        <v>29119</v>
      </c>
      <c r="V4829" t="s">
        <v>16353</v>
      </c>
    </row>
    <row r="4830">
      <c r="A4830" t="s">
        <v>23557</v>
      </c>
      <c r="B4830" t="s">
        <v>29120</v>
      </c>
      <c r="C4830" t="s">
        <v>60</v>
      </c>
      <c r="D4830" t="s">
        <v>61</v>
      </c>
      <c r="E4830" t="s">
        <v>29121</v>
      </c>
      <c r="F4830" s="2" t="n">
        <f>HYPERLINK("https://patents.google.com/patent/US10731154","Google")</f>
        <v>0.0</v>
      </c>
      <c r="G4830" s="2" t="n">
        <f>HYPERLINK("https://patentcenter.uspto.gov/applications/15550884","Patent Center")</f>
        <v>0.0</v>
      </c>
      <c r="H4830" s="2" t="n">
        <f>HYPERLINK("https://worldwide.espacenet.com/patent/search?q=US10731154","Espacenet")</f>
        <v>0.0</v>
      </c>
      <c r="I4830" s="2" t="n">
        <f>HYPERLINK("https://ppubs.uspto.gov/pubwebapp/external.html?q=10731154.pn.","USPTO")</f>
        <v>0.0</v>
      </c>
      <c r="J4830" s="2" t="n">
        <f>HYPERLINK("https://image-ppubs.uspto.gov/dirsearch-public/print/downloadPdf/10731154","USPTO PDF")</f>
        <v>0.0</v>
      </c>
      <c r="K4830" s="2" t="n">
        <f>HYPERLINK("https://sectors.patentforecast.com/pmd/US10731154","PMD")</f>
        <v>0.0</v>
      </c>
      <c r="L4830" s="2" t="n">
        <f>HYPERLINK("https://globaldossier.uspto.gov/result/patent/US/10731154/1","US10731154")</f>
        <v>0.0</v>
      </c>
      <c r="M4830" t="s">
        <v>29122</v>
      </c>
      <c r="N4830" t="s">
        <v>13916</v>
      </c>
      <c r="O4830" t="s">
        <v>13917</v>
      </c>
      <c r="P4830" t="s">
        <v>29123</v>
      </c>
      <c r="Q4830" s="3" t="n">
        <v>42415.0</v>
      </c>
      <c r="R4830" s="3" t="n">
        <v>44047.0</v>
      </c>
      <c r="S4830" s="3" t="n">
        <v>44047.23224143519</v>
      </c>
      <c r="T4830" s="3" t="n">
        <v>44048.44320862269</v>
      </c>
      <c r="U4830" t="s">
        <v>29124</v>
      </c>
      <c r="V4830" t="s">
        <v>29125</v>
      </c>
    </row>
    <row r="4831">
      <c r="A4831" t="s">
        <v>23557</v>
      </c>
      <c r="B4831" t="s">
        <v>29126</v>
      </c>
      <c r="C4831" t="s">
        <v>132</v>
      </c>
      <c r="D4831" t="s">
        <v>11423</v>
      </c>
      <c r="E4831" t="s">
        <v>29127</v>
      </c>
      <c r="F4831" s="2" t="n">
        <f>HYPERLINK("https://patents.google.com/patent/US10729764","Google")</f>
        <v>0.0</v>
      </c>
      <c r="G4831" s="2" t="n">
        <f>HYPERLINK("https://patentcenter.uspto.gov/applications/14587116","Patent Center")</f>
        <v>0.0</v>
      </c>
      <c r="H4831" s="2" t="n">
        <f>HYPERLINK("https://worldwide.espacenet.com/patent/search?q=US10729764","Espacenet")</f>
        <v>0.0</v>
      </c>
      <c r="I4831" s="2" t="n">
        <f>HYPERLINK("https://ppubs.uspto.gov/pubwebapp/external.html?q=10729764.pn.","USPTO")</f>
        <v>0.0</v>
      </c>
      <c r="J4831" s="2" t="n">
        <f>HYPERLINK("https://image-ppubs.uspto.gov/dirsearch-public/print/downloadPdf/10729764","USPTO PDF")</f>
        <v>0.0</v>
      </c>
      <c r="K4831" s="2" t="n">
        <f>HYPERLINK("https://sectors.patentforecast.com/pmd/US10729764","PMD")</f>
        <v>0.0</v>
      </c>
      <c r="L4831" s="2" t="n">
        <f>HYPERLINK("https://globaldossier.uspto.gov/result/patent/US/10729764/1","US10729764")</f>
        <v>0.0</v>
      </c>
      <c r="M4831" t="s">
        <v>20211</v>
      </c>
      <c r="N4831" t="s">
        <v>1275</v>
      </c>
      <c r="O4831" t="s">
        <v>1275</v>
      </c>
      <c r="P4831" t="s">
        <v>23745</v>
      </c>
      <c r="Q4831" s="3" t="n">
        <v>42004.0</v>
      </c>
      <c r="R4831" s="3" t="n">
        <v>44047.0</v>
      </c>
      <c r="S4831" s="3" t="n">
        <v>44047.231310891206</v>
      </c>
      <c r="T4831" s="3" t="n">
        <v>44048.424521608795</v>
      </c>
      <c r="U4831" t="s">
        <v>29128</v>
      </c>
      <c r="V4831" t="s">
        <v>20214</v>
      </c>
    </row>
    <row r="4832">
      <c r="A4832" t="s">
        <v>23557</v>
      </c>
      <c r="B4832" t="s">
        <v>29129</v>
      </c>
      <c r="C4832" t="s">
        <v>132</v>
      </c>
      <c r="D4832" t="s">
        <v>1265</v>
      </c>
      <c r="E4832" t="s">
        <v>22938</v>
      </c>
      <c r="F4832" s="2" t="n">
        <f>HYPERLINK("https://patents.google.com/patent/US10729760","Google")</f>
        <v>0.0</v>
      </c>
      <c r="G4832" s="2" t="n">
        <f>HYPERLINK("https://patentcenter.uspto.gov/applications/16210501","Patent Center")</f>
        <v>0.0</v>
      </c>
      <c r="H4832" s="2" t="n">
        <f>HYPERLINK("https://worldwide.espacenet.com/patent/search?q=US10729760","Espacenet")</f>
        <v>0.0</v>
      </c>
      <c r="I4832" s="2" t="n">
        <f>HYPERLINK("https://ppubs.uspto.gov/pubwebapp/external.html?q=10729760.pn.","USPTO")</f>
        <v>0.0</v>
      </c>
      <c r="J4832" s="2" t="n">
        <f>HYPERLINK("https://image-ppubs.uspto.gov/dirsearch-public/print/downloadPdf/10729760","USPTO PDF")</f>
        <v>0.0</v>
      </c>
      <c r="K4832" s="2" t="n">
        <f>HYPERLINK("https://sectors.patentforecast.com/pmd/US10729760","PMD")</f>
        <v>0.0</v>
      </c>
      <c r="L4832" s="2" t="n">
        <f>HYPERLINK("https://globaldossier.uspto.gov/result/patent/US/10729760/1","US10729760")</f>
        <v>0.0</v>
      </c>
      <c r="M4832" t="s">
        <v>17399</v>
      </c>
      <c r="N4832" t="s">
        <v>1275</v>
      </c>
      <c r="O4832" t="s">
        <v>1275</v>
      </c>
      <c r="P4832" t="s">
        <v>24001</v>
      </c>
      <c r="Q4832" s="3" t="n">
        <v>43439.0</v>
      </c>
      <c r="R4832" s="3" t="n">
        <v>44047.0</v>
      </c>
      <c r="S4832" s="3" t="n">
        <v>44047.231310891206</v>
      </c>
      <c r="T4832" s="3" t="n">
        <v>44048.42345835648</v>
      </c>
      <c r="U4832" t="s">
        <v>29130</v>
      </c>
      <c r="V4832" t="s">
        <v>17402</v>
      </c>
    </row>
    <row r="4833">
      <c r="A4833" t="s">
        <v>23557</v>
      </c>
      <c r="B4833" t="s">
        <v>29131</v>
      </c>
      <c r="C4833" t="s">
        <v>60</v>
      </c>
      <c r="D4833" t="s">
        <v>61</v>
      </c>
      <c r="E4833" t="s">
        <v>29132</v>
      </c>
      <c r="F4833" s="2" t="n">
        <f>HYPERLINK("https://patents.google.com/patent/US10729735","Google")</f>
        <v>0.0</v>
      </c>
      <c r="G4833" s="2" t="n">
        <f>HYPERLINK("https://patentcenter.uspto.gov/applications/16895920","Patent Center")</f>
        <v>0.0</v>
      </c>
      <c r="H4833" s="2" t="n">
        <f>HYPERLINK("https://worldwide.espacenet.com/patent/search?q=US10729735","Espacenet")</f>
        <v>0.0</v>
      </c>
      <c r="I4833" s="2" t="n">
        <f>HYPERLINK("https://ppubs.uspto.gov/pubwebapp/external.html?q=10729735.pn.","USPTO")</f>
        <v>0.0</v>
      </c>
      <c r="J4833" s="2" t="n">
        <f>HYPERLINK("https://image-ppubs.uspto.gov/dirsearch-public/print/downloadPdf/10729735","USPTO PDF")</f>
        <v>0.0</v>
      </c>
      <c r="K4833" s="2" t="n">
        <f>HYPERLINK("https://sectors.patentforecast.com/pmd/US10729735","PMD")</f>
        <v>0.0</v>
      </c>
      <c r="L4833" s="2" t="n">
        <f>HYPERLINK("https://globaldossier.uspto.gov/result/patent/US/10729735/1","US10729735")</f>
        <v>0.0</v>
      </c>
      <c r="M4833" t="s">
        <v>29133</v>
      </c>
      <c r="N4833" t="s">
        <v>6014</v>
      </c>
      <c r="O4833" t="s">
        <v>6015</v>
      </c>
      <c r="P4833" t="s">
        <v>29134</v>
      </c>
      <c r="Q4833" s="3" t="n">
        <v>43990.0</v>
      </c>
      <c r="R4833" s="3" t="n">
        <v>44047.0</v>
      </c>
      <c r="S4833" s="3" t="n">
        <v>44047.229464675926</v>
      </c>
      <c r="T4833" s="3" t="n">
        <v>44048.42391751157</v>
      </c>
      <c r="U4833" t="s">
        <v>29135</v>
      </c>
      <c r="V4833" t="s">
        <v>6018</v>
      </c>
    </row>
    <row r="4834">
      <c r="A4834" t="s">
        <v>23557</v>
      </c>
      <c r="B4834" t="s">
        <v>29136</v>
      </c>
      <c r="C4834" t="s">
        <v>24</v>
      </c>
      <c r="D4834" t="s">
        <v>25</v>
      </c>
      <c r="E4834" t="s">
        <v>29137</v>
      </c>
      <c r="F4834" s="2" t="n">
        <f>HYPERLINK("https://patents.google.com/patent/US10726956","Google")</f>
        <v>0.0</v>
      </c>
      <c r="G4834" s="2" t="n">
        <f>HYPERLINK("https://patentcenter.uspto.gov/applications/15130572","Patent Center")</f>
        <v>0.0</v>
      </c>
      <c r="H4834" s="2" t="n">
        <f>HYPERLINK("https://worldwide.espacenet.com/patent/search?q=US10726956","Espacenet")</f>
        <v>0.0</v>
      </c>
      <c r="I4834" s="2" t="n">
        <f>HYPERLINK("https://ppubs.uspto.gov/pubwebapp/external.html?q=10726956.pn.","USPTO")</f>
        <v>0.0</v>
      </c>
      <c r="J4834" s="2" t="n">
        <f>HYPERLINK("https://image-ppubs.uspto.gov/dirsearch-public/print/downloadPdf/10726956","USPTO PDF")</f>
        <v>0.0</v>
      </c>
      <c r="K4834" s="2" t="n">
        <f>HYPERLINK("https://sectors.patentforecast.com/pmd/US10726956","PMD")</f>
        <v>0.0</v>
      </c>
      <c r="L4834" s="2" t="n">
        <f>HYPERLINK("https://globaldossier.uspto.gov/result/patent/US/10726956/1","US10726956")</f>
        <v>0.0</v>
      </c>
      <c r="M4834" t="s">
        <v>18714</v>
      </c>
      <c r="N4834" t="s">
        <v>18715</v>
      </c>
      <c r="O4834" t="s">
        <v>18716</v>
      </c>
      <c r="P4834" t="s">
        <v>29138</v>
      </c>
      <c r="Q4834" s="3" t="n">
        <v>42475.0</v>
      </c>
      <c r="R4834" s="3" t="n">
        <v>44040.0</v>
      </c>
      <c r="S4834" s="3" t="n">
        <v>44040.23284222222</v>
      </c>
      <c r="T4834" s="3" t="n">
        <v>44040.401707847224</v>
      </c>
      <c r="U4834" t="s">
        <v>29139</v>
      </c>
      <c r="V4834" t="s">
        <v>18719</v>
      </c>
    </row>
    <row r="4835">
      <c r="A4835" t="s">
        <v>23557</v>
      </c>
      <c r="B4835" t="s">
        <v>29140</v>
      </c>
      <c r="C4835" t="s">
        <v>24</v>
      </c>
      <c r="D4835" t="s">
        <v>25</v>
      </c>
      <c r="E4835" t="s">
        <v>26444</v>
      </c>
      <c r="F4835" s="2" t="n">
        <f>HYPERLINK("https://patents.google.com/patent/US10726954","Google")</f>
        <v>0.0</v>
      </c>
      <c r="G4835" s="2" t="n">
        <f>HYPERLINK("https://patentcenter.uspto.gov/applications/15136667","Patent Center")</f>
        <v>0.0</v>
      </c>
      <c r="H4835" s="2" t="n">
        <f>HYPERLINK("https://worldwide.espacenet.com/patent/search?q=US10726954","Espacenet")</f>
        <v>0.0</v>
      </c>
      <c r="I4835" s="2" t="n">
        <f>HYPERLINK("https://ppubs.uspto.gov/pubwebapp/external.html?q=10726954.pn.","USPTO")</f>
        <v>0.0</v>
      </c>
      <c r="J4835" s="2" t="n">
        <f>HYPERLINK("https://image-ppubs.uspto.gov/dirsearch-public/print/downloadPdf/10726954","USPTO PDF")</f>
        <v>0.0</v>
      </c>
      <c r="K4835" s="2" t="n">
        <f>HYPERLINK("https://sectors.patentforecast.com/pmd/US10726954","PMD")</f>
        <v>0.0</v>
      </c>
      <c r="L4835" s="2" t="n">
        <f>HYPERLINK("https://globaldossier.uspto.gov/result/patent/US/10726954/1","US10726954")</f>
        <v>0.0</v>
      </c>
      <c r="M4835" t="s">
        <v>29141</v>
      </c>
      <c r="N4835" t="s">
        <v>16341</v>
      </c>
      <c r="O4835" t="s">
        <v>16342</v>
      </c>
      <c r="P4835" t="s">
        <v>29142</v>
      </c>
      <c r="Q4835" s="3" t="n">
        <v>42482.0</v>
      </c>
      <c r="R4835" s="3" t="n">
        <v>44040.0</v>
      </c>
      <c r="S4835" s="3" t="n">
        <v>44040.23318836805</v>
      </c>
      <c r="T4835" s="3" t="n">
        <v>44040.40498175926</v>
      </c>
      <c r="U4835" t="s">
        <v>29143</v>
      </c>
      <c r="V4835" t="s">
        <v>16345</v>
      </c>
    </row>
    <row r="4836">
      <c r="A4836" t="s">
        <v>23557</v>
      </c>
      <c r="B4836" t="s">
        <v>29144</v>
      </c>
      <c r="C4836" t="s">
        <v>24</v>
      </c>
      <c r="D4836" t="s">
        <v>34</v>
      </c>
      <c r="E4836" t="s">
        <v>23683</v>
      </c>
      <c r="F4836" s="2" t="n">
        <f>HYPERLINK("https://patents.google.com/patent/US10724032","Google")</f>
        <v>0.0</v>
      </c>
      <c r="G4836" s="2" t="n">
        <f>HYPERLINK("https://patentcenter.uspto.gov/applications/15682675","Patent Center")</f>
        <v>0.0</v>
      </c>
      <c r="H4836" s="2" t="n">
        <f>HYPERLINK("https://worldwide.espacenet.com/patent/search?q=US10724032","Espacenet")</f>
        <v>0.0</v>
      </c>
      <c r="I4836" s="2" t="n">
        <f>HYPERLINK("https://ppubs.uspto.gov/pubwebapp/external.html?q=10724032.pn.","USPTO")</f>
        <v>0.0</v>
      </c>
      <c r="J4836" s="2" t="n">
        <f>HYPERLINK("https://image-ppubs.uspto.gov/dirsearch-public/print/downloadPdf/10724032","USPTO PDF")</f>
        <v>0.0</v>
      </c>
      <c r="K4836" s="2" t="n">
        <f>HYPERLINK("https://sectors.patentforecast.com/pmd/US10724032","PMD")</f>
        <v>0.0</v>
      </c>
      <c r="L4836" s="2" t="n">
        <f>HYPERLINK("https://globaldossier.uspto.gov/result/patent/US/10724032/1","US10724032")</f>
        <v>0.0</v>
      </c>
      <c r="M4836" t="s">
        <v>18588</v>
      </c>
      <c r="N4836" t="s">
        <v>4728</v>
      </c>
      <c r="O4836" t="s">
        <v>4729</v>
      </c>
      <c r="P4836" t="s">
        <v>29145</v>
      </c>
      <c r="Q4836" s="3" t="n">
        <v>42969.0</v>
      </c>
      <c r="R4836" s="3" t="n">
        <v>44040.0</v>
      </c>
      <c r="S4836" s="3" t="n">
        <v>44370.45832486111</v>
      </c>
      <c r="T4836" s="3" t="n">
        <v>44372.38111516204</v>
      </c>
      <c r="U4836" t="s">
        <v>29146</v>
      </c>
      <c r="V4836" t="s">
        <v>16093</v>
      </c>
    </row>
    <row r="4837">
      <c r="A4837" t="s">
        <v>23557</v>
      </c>
      <c r="B4837" t="s">
        <v>29147</v>
      </c>
      <c r="C4837" t="s">
        <v>132</v>
      </c>
      <c r="D4837" t="s">
        <v>11423</v>
      </c>
      <c r="E4837" t="s">
        <v>29148</v>
      </c>
      <c r="F4837" s="2" t="n">
        <f>HYPERLINK("https://patents.google.com/patent/US10722591","Google")</f>
        <v>0.0</v>
      </c>
      <c r="G4837" s="2" t="n">
        <f>HYPERLINK("https://patentcenter.uspto.gov/applications/16190010","Patent Center")</f>
        <v>0.0</v>
      </c>
      <c r="H4837" s="2" t="n">
        <f>HYPERLINK("https://worldwide.espacenet.com/patent/search?q=US10722591","Espacenet")</f>
        <v>0.0</v>
      </c>
      <c r="I4837" s="2" t="n">
        <f>HYPERLINK("https://ppubs.uspto.gov/pubwebapp/external.html?q=10722591.pn.","USPTO")</f>
        <v>0.0</v>
      </c>
      <c r="J4837" s="2" t="n">
        <f>HYPERLINK("https://image-ppubs.uspto.gov/dirsearch-public/print/downloadPdf/10722591","USPTO PDF")</f>
        <v>0.0</v>
      </c>
      <c r="K4837" s="2" t="n">
        <f>HYPERLINK("https://sectors.patentforecast.com/pmd/US10722591","PMD")</f>
        <v>0.0</v>
      </c>
      <c r="L4837" s="2" t="n">
        <f>HYPERLINK("https://globaldossier.uspto.gov/result/patent/US/10722591/1","US10722591")</f>
        <v>0.0</v>
      </c>
      <c r="M4837" t="s">
        <v>17744</v>
      </c>
      <c r="N4837" t="s">
        <v>7210</v>
      </c>
      <c r="O4837" t="s">
        <v>7211</v>
      </c>
      <c r="P4837" t="s">
        <v>29149</v>
      </c>
      <c r="Q4837" s="3" t="n">
        <v>43417.0</v>
      </c>
      <c r="R4837" s="3" t="n">
        <v>44040.0</v>
      </c>
      <c r="S4837" s="3" t="n">
        <v>44179.56006638889</v>
      </c>
      <c r="T4837" s="3" t="n">
        <v>44179.57531107639</v>
      </c>
      <c r="U4837" t="s">
        <v>29150</v>
      </c>
      <c r="V4837" t="s">
        <v>17747</v>
      </c>
    </row>
    <row r="4838">
      <c r="A4838" t="s">
        <v>23557</v>
      </c>
      <c r="B4838" t="s">
        <v>29151</v>
      </c>
      <c r="C4838" t="s">
        <v>132</v>
      </c>
      <c r="D4838" t="s">
        <v>1265</v>
      </c>
      <c r="E4838" t="s">
        <v>29152</v>
      </c>
      <c r="F4838" s="2" t="n">
        <f>HYPERLINK("https://patents.google.com/patent/US10716847","Google")</f>
        <v>0.0</v>
      </c>
      <c r="G4838" s="2" t="n">
        <f>HYPERLINK("https://patentcenter.uspto.gov/applications/15940871","Patent Center")</f>
        <v>0.0</v>
      </c>
      <c r="H4838" s="2" t="n">
        <f>HYPERLINK("https://worldwide.espacenet.com/patent/search?q=US10716847","Espacenet")</f>
        <v>0.0</v>
      </c>
      <c r="I4838" s="2" t="n">
        <f>HYPERLINK("https://ppubs.uspto.gov/pubwebapp/external.html?q=10716847.pn.","USPTO")</f>
        <v>0.0</v>
      </c>
      <c r="J4838" s="2" t="n">
        <f>HYPERLINK("https://image-ppubs.uspto.gov/dirsearch-public/print/downloadPdf/10716847","USPTO PDF")</f>
        <v>0.0</v>
      </c>
      <c r="K4838" s="2" t="n">
        <f>HYPERLINK("https://sectors.patentforecast.com/pmd/US10716847","PMD")</f>
        <v>0.0</v>
      </c>
      <c r="L4838" s="2" t="n">
        <f>HYPERLINK("https://globaldossier.uspto.gov/result/patent/US/10716847/1","US10716847")</f>
        <v>0.0</v>
      </c>
      <c r="M4838" t="s">
        <v>29153</v>
      </c>
      <c r="N4838" t="s">
        <v>3968</v>
      </c>
      <c r="O4838" t="s">
        <v>3969</v>
      </c>
      <c r="P4838" t="s">
        <v>29154</v>
      </c>
      <c r="Q4838" s="3" t="n">
        <v>43188.0</v>
      </c>
      <c r="R4838" s="3" t="n">
        <v>44033.0</v>
      </c>
      <c r="S4838" s="3" t="n">
        <v>44033.23227642361</v>
      </c>
      <c r="T4838" s="3" t="n">
        <v>44033.401457685184</v>
      </c>
      <c r="U4838" t="s">
        <v>29155</v>
      </c>
      <c r="V4838" t="s">
        <v>29156</v>
      </c>
    </row>
    <row r="4839">
      <c r="A4839" t="s">
        <v>23557</v>
      </c>
      <c r="B4839" t="s">
        <v>29157</v>
      </c>
      <c r="C4839" t="s">
        <v>132</v>
      </c>
      <c r="D4839" t="s">
        <v>142</v>
      </c>
      <c r="E4839" t="s">
        <v>23810</v>
      </c>
      <c r="F4839" s="2" t="n">
        <f>HYPERLINK("https://patents.google.com/patent/US10709779","Google")</f>
        <v>0.0</v>
      </c>
      <c r="G4839" s="2" t="n">
        <f>HYPERLINK("https://patentcenter.uspto.gov/applications/16048154","Patent Center")</f>
        <v>0.0</v>
      </c>
      <c r="H4839" s="2" t="n">
        <f>HYPERLINK("https://worldwide.espacenet.com/patent/search?q=US10709779","Espacenet")</f>
        <v>0.0</v>
      </c>
      <c r="I4839" s="2" t="n">
        <f>HYPERLINK("https://ppubs.uspto.gov/pubwebapp/external.html?q=10709779.pn.","USPTO")</f>
        <v>0.0</v>
      </c>
      <c r="J4839" s="2" t="n">
        <f>HYPERLINK("https://image-ppubs.uspto.gov/dirsearch-public/print/downloadPdf/10709779","USPTO PDF")</f>
        <v>0.0</v>
      </c>
      <c r="K4839" s="2" t="n">
        <f>HYPERLINK("https://sectors.patentforecast.com/pmd/US10709779","PMD")</f>
        <v>0.0</v>
      </c>
      <c r="L4839" s="2" t="n">
        <f>HYPERLINK("https://globaldossier.uspto.gov/result/patent/US/10709779/1","US10709779")</f>
        <v>0.0</v>
      </c>
      <c r="M4839" t="s">
        <v>18014</v>
      </c>
      <c r="N4839" t="s">
        <v>145</v>
      </c>
      <c r="O4839" t="s">
        <v>146</v>
      </c>
      <c r="P4839" t="s">
        <v>23811</v>
      </c>
      <c r="Q4839" s="3" t="n">
        <v>43308.0</v>
      </c>
      <c r="R4839" s="3" t="n">
        <v>44026.0</v>
      </c>
      <c r="S4839" s="3" t="n">
        <v>44026.23042121528</v>
      </c>
      <c r="T4839" s="3" t="n">
        <v>44026.41752135417</v>
      </c>
      <c r="U4839" t="s">
        <v>29158</v>
      </c>
      <c r="V4839" t="s">
        <v>149</v>
      </c>
    </row>
    <row r="4840">
      <c r="A4840" t="s">
        <v>23557</v>
      </c>
      <c r="B4840" t="s">
        <v>29159</v>
      </c>
      <c r="C4840" t="s">
        <v>132</v>
      </c>
      <c r="D4840" t="s">
        <v>133</v>
      </c>
      <c r="E4840" t="s">
        <v>23654</v>
      </c>
      <c r="F4840" s="2" t="n">
        <f>HYPERLINK("https://patents.google.com/patent/US10702601","Google")</f>
        <v>0.0</v>
      </c>
      <c r="G4840" s="2" t="n">
        <f>HYPERLINK("https://patentcenter.uspto.gov/applications/15920565","Patent Center")</f>
        <v>0.0</v>
      </c>
      <c r="H4840" s="2" t="n">
        <f>HYPERLINK("https://worldwide.espacenet.com/patent/search?q=US10702601","Espacenet")</f>
        <v>0.0</v>
      </c>
      <c r="I4840" s="2" t="n">
        <f>HYPERLINK("https://ppubs.uspto.gov/pubwebapp/external.html?q=10702601.pn.","USPTO")</f>
        <v>0.0</v>
      </c>
      <c r="J4840" s="2" t="n">
        <f>HYPERLINK("https://image-ppubs.uspto.gov/dirsearch-public/print/downloadPdf/10702601","USPTO PDF")</f>
        <v>0.0</v>
      </c>
      <c r="K4840" s="2" t="n">
        <f>HYPERLINK("https://sectors.patentforecast.com/pmd/US10702601","PMD")</f>
        <v>0.0</v>
      </c>
      <c r="L4840" s="2" t="n">
        <f>HYPERLINK("https://globaldossier.uspto.gov/result/patent/US/10702601/1","US10702601")</f>
        <v>0.0</v>
      </c>
      <c r="M4840" t="s">
        <v>18301</v>
      </c>
      <c r="N4840" t="s">
        <v>16179</v>
      </c>
      <c r="O4840" t="s">
        <v>16180</v>
      </c>
      <c r="P4840" t="s">
        <v>23655</v>
      </c>
      <c r="Q4840" s="3" t="n">
        <v>43173.0</v>
      </c>
      <c r="R4840" s="3" t="n">
        <v>44019.0</v>
      </c>
      <c r="S4840" s="3" t="n">
        <v>44019.233056689816</v>
      </c>
      <c r="T4840" s="3" t="n">
        <v>44019.70334417824</v>
      </c>
      <c r="U4840" t="s">
        <v>29160</v>
      </c>
      <c r="V4840" t="s">
        <v>29161</v>
      </c>
    </row>
    <row r="4841">
      <c r="A4841" t="s">
        <v>23557</v>
      </c>
      <c r="B4841" t="s">
        <v>29162</v>
      </c>
      <c r="C4841" t="s">
        <v>132</v>
      </c>
      <c r="D4841" t="s">
        <v>133</v>
      </c>
      <c r="E4841" t="s">
        <v>28704</v>
      </c>
      <c r="F4841" s="2" t="n">
        <f>HYPERLINK("https://patents.google.com/patent/US10702600","Google")</f>
        <v>0.0</v>
      </c>
      <c r="G4841" s="2" t="n">
        <f>HYPERLINK("https://patentcenter.uspto.gov/applications/16805587","Patent Center")</f>
        <v>0.0</v>
      </c>
      <c r="H4841" s="2" t="n">
        <f>HYPERLINK("https://worldwide.espacenet.com/patent/search?q=US10702600","Espacenet")</f>
        <v>0.0</v>
      </c>
      <c r="I4841" s="2" t="n">
        <f>HYPERLINK("https://ppubs.uspto.gov/pubwebapp/external.html?q=10702600.pn.","USPTO")</f>
        <v>0.0</v>
      </c>
      <c r="J4841" s="2" t="n">
        <f>HYPERLINK("https://image-ppubs.uspto.gov/dirsearch-public/print/downloadPdf/10702600","USPTO PDF")</f>
        <v>0.0</v>
      </c>
      <c r="K4841" s="2" t="n">
        <f>HYPERLINK("https://sectors.patentforecast.com/pmd/US10702600","PMD")</f>
        <v>0.0</v>
      </c>
      <c r="L4841" s="2" t="n">
        <f>HYPERLINK("https://globaldossier.uspto.gov/result/patent/US/10702600/1","US10702600")</f>
        <v>0.0</v>
      </c>
      <c r="M4841" t="s">
        <v>16698</v>
      </c>
      <c r="N4841" t="s">
        <v>145</v>
      </c>
      <c r="O4841" t="s">
        <v>146</v>
      </c>
      <c r="P4841" t="s">
        <v>28705</v>
      </c>
      <c r="Q4841" s="3" t="n">
        <v>43889.0</v>
      </c>
      <c r="R4841" s="3" t="n">
        <v>44019.0</v>
      </c>
      <c r="S4841" s="3" t="n">
        <v>44019.230858703704</v>
      </c>
      <c r="T4841" s="3" t="n">
        <v>44019.65495403935</v>
      </c>
      <c r="U4841" t="s">
        <v>29163</v>
      </c>
      <c r="V4841" t="s">
        <v>15867</v>
      </c>
    </row>
    <row r="4842">
      <c r="A4842" t="s">
        <v>23557</v>
      </c>
      <c r="B4842" t="s">
        <v>29164</v>
      </c>
      <c r="C4842" t="s">
        <v>132</v>
      </c>
      <c r="D4842" t="s">
        <v>2629</v>
      </c>
      <c r="E4842" t="s">
        <v>29165</v>
      </c>
      <c r="F4842" s="2" t="n">
        <f>HYPERLINK("https://patents.google.com/patent/US10702599","Google")</f>
        <v>0.0</v>
      </c>
      <c r="G4842" s="2" t="n">
        <f>HYPERLINK("https://patentcenter.uspto.gov/applications/16368270","Patent Center")</f>
        <v>0.0</v>
      </c>
      <c r="H4842" s="2" t="n">
        <f>HYPERLINK("https://worldwide.espacenet.com/patent/search?q=US10702599","Espacenet")</f>
        <v>0.0</v>
      </c>
      <c r="I4842" s="2" t="n">
        <f>HYPERLINK("https://ppubs.uspto.gov/pubwebapp/external.html?q=10702599.pn.","USPTO")</f>
        <v>0.0</v>
      </c>
      <c r="J4842" s="2" t="n">
        <f>HYPERLINK("https://image-ppubs.uspto.gov/dirsearch-public/print/downloadPdf/10702599","USPTO PDF")</f>
        <v>0.0</v>
      </c>
      <c r="K4842" s="2" t="n">
        <f>HYPERLINK("https://sectors.patentforecast.com/pmd/US10702599","PMD")</f>
        <v>0.0</v>
      </c>
      <c r="L4842" s="2" t="n">
        <f>HYPERLINK("https://globaldossier.uspto.gov/result/patent/US/10702599/1","US10702599")</f>
        <v>0.0</v>
      </c>
      <c r="M4842" t="s">
        <v>17571</v>
      </c>
      <c r="N4842" t="s">
        <v>145</v>
      </c>
      <c r="O4842" t="s">
        <v>146</v>
      </c>
      <c r="P4842" t="s">
        <v>28705</v>
      </c>
      <c r="Q4842" s="3" t="n">
        <v>43552.0</v>
      </c>
      <c r="R4842" s="3" t="n">
        <v>44019.0</v>
      </c>
      <c r="S4842" s="3" t="n">
        <v>44019.230858703704</v>
      </c>
      <c r="T4842" s="3" t="n">
        <v>44019.673741342594</v>
      </c>
      <c r="U4842" t="s">
        <v>29166</v>
      </c>
      <c r="V4842" t="s">
        <v>15867</v>
      </c>
    </row>
    <row r="4843">
      <c r="A4843" t="s">
        <v>23557</v>
      </c>
      <c r="B4843" t="s">
        <v>29167</v>
      </c>
      <c r="C4843" t="s">
        <v>60</v>
      </c>
      <c r="D4843" t="s">
        <v>61</v>
      </c>
      <c r="E4843" t="s">
        <v>28386</v>
      </c>
      <c r="F4843" s="2" t="n">
        <f>HYPERLINK("https://patents.google.com/patent/US10695361","Google")</f>
        <v>0.0</v>
      </c>
      <c r="G4843" s="2" t="n">
        <f>HYPERLINK("https://patentcenter.uspto.gov/applications/16265016","Patent Center")</f>
        <v>0.0</v>
      </c>
      <c r="H4843" s="2" t="n">
        <f>HYPERLINK("https://worldwide.espacenet.com/patent/search?q=US10695361","Espacenet")</f>
        <v>0.0</v>
      </c>
      <c r="I4843" s="2" t="n">
        <f>HYPERLINK("https://ppubs.uspto.gov/pubwebapp/external.html?q=10695361.pn.","USPTO")</f>
        <v>0.0</v>
      </c>
      <c r="J4843" s="2" t="n">
        <f>HYPERLINK("https://image-ppubs.uspto.gov/dirsearch-public/print/downloadPdf/10695361","USPTO PDF")</f>
        <v>0.0</v>
      </c>
      <c r="K4843" s="2" t="n">
        <f>HYPERLINK("https://sectors.patentforecast.com/pmd/US10695361","PMD")</f>
        <v>0.0</v>
      </c>
      <c r="L4843" s="2" t="n">
        <f>HYPERLINK("https://globaldossier.uspto.gov/result/patent/US/10695361/1","US10695361")</f>
        <v>0.0</v>
      </c>
      <c r="M4843" t="s">
        <v>17542</v>
      </c>
      <c r="N4843" t="s">
        <v>664</v>
      </c>
      <c r="O4843" t="s">
        <v>665</v>
      </c>
      <c r="P4843" t="s">
        <v>29168</v>
      </c>
      <c r="Q4843" s="3" t="n">
        <v>43497.0</v>
      </c>
      <c r="R4843" s="3" t="n">
        <v>44012.0</v>
      </c>
      <c r="S4843" s="3" t="n">
        <v>44012.23041175926</v>
      </c>
      <c r="T4843" s="3" t="n">
        <v>44013.66975548611</v>
      </c>
      <c r="U4843" t="s">
        <v>28388</v>
      </c>
      <c r="V4843" t="s">
        <v>28389</v>
      </c>
    </row>
    <row r="4844">
      <c r="A4844" t="s">
        <v>23557</v>
      </c>
      <c r="B4844" t="s">
        <v>29169</v>
      </c>
      <c r="C4844" t="s">
        <v>60</v>
      </c>
      <c r="D4844" t="s">
        <v>61</v>
      </c>
      <c r="E4844" t="s">
        <v>29170</v>
      </c>
      <c r="F4844" s="2" t="n">
        <f>HYPERLINK("https://patents.google.com/patent/US10695357","Google")</f>
        <v>0.0</v>
      </c>
      <c r="G4844" s="2" t="n">
        <f>HYPERLINK("https://patentcenter.uspto.gov/applications/16274049","Patent Center")</f>
        <v>0.0</v>
      </c>
      <c r="H4844" s="2" t="n">
        <f>HYPERLINK("https://worldwide.espacenet.com/patent/search?q=US10695357","Espacenet")</f>
        <v>0.0</v>
      </c>
      <c r="I4844" s="2" t="n">
        <f>HYPERLINK("https://ppubs.uspto.gov/pubwebapp/external.html?q=10695357.pn.","USPTO")</f>
        <v>0.0</v>
      </c>
      <c r="J4844" s="2" t="n">
        <f>HYPERLINK("https://image-ppubs.uspto.gov/dirsearch-public/print/downloadPdf/10695357","USPTO PDF")</f>
        <v>0.0</v>
      </c>
      <c r="K4844" s="2" t="n">
        <f>HYPERLINK("https://sectors.patentforecast.com/pmd/US10695357","PMD")</f>
        <v>0.0</v>
      </c>
      <c r="L4844" s="2" t="n">
        <f>HYPERLINK("https://globaldossier.uspto.gov/result/patent/US/10695357/1","US10695357")</f>
        <v>0.0</v>
      </c>
      <c r="M4844" t="s">
        <v>17475</v>
      </c>
      <c r="N4844" t="s">
        <v>664</v>
      </c>
      <c r="O4844" t="s">
        <v>665</v>
      </c>
      <c r="P4844" t="s">
        <v>23659</v>
      </c>
      <c r="Q4844" s="3" t="n">
        <v>43508.0</v>
      </c>
      <c r="R4844" s="3" t="n">
        <v>44012.0</v>
      </c>
      <c r="S4844" s="3" t="n">
        <v>44012.23041175926</v>
      </c>
      <c r="T4844" s="3" t="n">
        <v>44013.67016394676</v>
      </c>
      <c r="U4844" t="s">
        <v>29171</v>
      </c>
      <c r="V4844" t="s">
        <v>23661</v>
      </c>
    </row>
    <row r="4845">
      <c r="A4845" t="s">
        <v>23557</v>
      </c>
      <c r="B4845" t="s">
        <v>29172</v>
      </c>
      <c r="C4845" t="s">
        <v>24</v>
      </c>
      <c r="D4845" t="s">
        <v>25</v>
      </c>
      <c r="E4845" t="s">
        <v>29173</v>
      </c>
      <c r="F4845" s="2" t="n">
        <f>HYPERLINK("https://patents.google.com/patent/US10689716","Google")</f>
        <v>0.0</v>
      </c>
      <c r="G4845" s="2" t="n">
        <f>HYPERLINK("https://patentcenter.uspto.gov/applications/16823522","Patent Center")</f>
        <v>0.0</v>
      </c>
      <c r="H4845" s="2" t="n">
        <f>HYPERLINK("https://worldwide.espacenet.com/patent/search?q=US10689716","Espacenet")</f>
        <v>0.0</v>
      </c>
      <c r="I4845" s="2" t="n">
        <f>HYPERLINK("https://ppubs.uspto.gov/pubwebapp/external.html?q=10689716.pn.","USPTO")</f>
        <v>0.0</v>
      </c>
      <c r="J4845" s="2" t="n">
        <f>HYPERLINK("https://image-ppubs.uspto.gov/dirsearch-public/print/downloadPdf/10689716","USPTO PDF")</f>
        <v>0.0</v>
      </c>
      <c r="K4845" s="2" t="n">
        <f>HYPERLINK("https://sectors.patentforecast.com/pmd/US10689716","PMD")</f>
        <v>0.0</v>
      </c>
      <c r="L4845" s="2" t="n">
        <f>HYPERLINK("https://globaldossier.uspto.gov/result/patent/US/10689716/1","US10689716")</f>
        <v>0.0</v>
      </c>
      <c r="M4845" t="s">
        <v>29174</v>
      </c>
      <c r="N4845" t="s">
        <v>238</v>
      </c>
      <c r="O4845" t="s">
        <v>239</v>
      </c>
      <c r="P4845" t="s">
        <v>29175</v>
      </c>
      <c r="Q4845" s="3" t="n">
        <v>43909.0</v>
      </c>
      <c r="R4845" s="3" t="n">
        <v>44005.0</v>
      </c>
      <c r="S4845" s="3" t="n">
        <v>44005.229586608795</v>
      </c>
      <c r="T4845" s="3" t="n">
        <v>44006.63837439815</v>
      </c>
      <c r="U4845" t="s">
        <v>29176</v>
      </c>
      <c r="V4845" t="s">
        <v>10943</v>
      </c>
    </row>
    <row r="4846">
      <c r="A4846" t="s">
        <v>23557</v>
      </c>
      <c r="B4846" t="s">
        <v>29177</v>
      </c>
      <c r="C4846" t="s">
        <v>60</v>
      </c>
      <c r="D4846" t="s">
        <v>61</v>
      </c>
      <c r="E4846" t="s">
        <v>26811</v>
      </c>
      <c r="F4846" s="2" t="n">
        <f>HYPERLINK("https://patents.google.com/patent/US10682368","Google")</f>
        <v>0.0</v>
      </c>
      <c r="G4846" s="2" t="n">
        <f>HYPERLINK("https://patentcenter.uspto.gov/applications/15919750","Patent Center")</f>
        <v>0.0</v>
      </c>
      <c r="H4846" s="2" t="n">
        <f>HYPERLINK("https://worldwide.espacenet.com/patent/search?q=US10682368","Espacenet")</f>
        <v>0.0</v>
      </c>
      <c r="I4846" s="2" t="n">
        <f>HYPERLINK("https://ppubs.uspto.gov/pubwebapp/external.html?q=10682368.pn.","USPTO")</f>
        <v>0.0</v>
      </c>
      <c r="J4846" s="2" t="n">
        <f>HYPERLINK("https://image-ppubs.uspto.gov/dirsearch-public/print/downloadPdf/10682368","USPTO PDF")</f>
        <v>0.0</v>
      </c>
      <c r="K4846" s="2" t="n">
        <f>HYPERLINK("https://sectors.patentforecast.com/pmd/US10682368","PMD")</f>
        <v>0.0</v>
      </c>
      <c r="L4846" s="2" t="n">
        <f>HYPERLINK("https://globaldossier.uspto.gov/result/patent/US/10682368/1","US10682368")</f>
        <v>0.0</v>
      </c>
      <c r="M4846" t="s">
        <v>18195</v>
      </c>
      <c r="N4846" t="s">
        <v>2354</v>
      </c>
      <c r="O4846" t="s">
        <v>2355</v>
      </c>
      <c r="P4846" t="s">
        <v>29178</v>
      </c>
      <c r="Q4846" s="3" t="n">
        <v>43172.0</v>
      </c>
      <c r="R4846" s="3" t="n">
        <v>43998.0</v>
      </c>
      <c r="S4846" s="3" t="n">
        <v>43998.22965768519</v>
      </c>
      <c r="T4846" s="3" t="n">
        <v>44638.66552328704</v>
      </c>
      <c r="U4846" t="s">
        <v>29179</v>
      </c>
      <c r="V4846" t="s">
        <v>29180</v>
      </c>
    </row>
    <row r="4847">
      <c r="A4847" t="s">
        <v>23557</v>
      </c>
      <c r="B4847" t="s">
        <v>29181</v>
      </c>
      <c r="C4847" t="s">
        <v>60</v>
      </c>
      <c r="D4847" t="s">
        <v>77</v>
      </c>
      <c r="E4847" t="s">
        <v>29182</v>
      </c>
      <c r="F4847" s="2" t="n">
        <f>HYPERLINK("https://patents.google.com/patent/US10676520","Google")</f>
        <v>0.0</v>
      </c>
      <c r="G4847" s="2" t="n">
        <f>HYPERLINK("https://patentcenter.uspto.gov/applications/13163489","Patent Center")</f>
        <v>0.0</v>
      </c>
      <c r="H4847" s="2" t="n">
        <f>HYPERLINK("https://worldwide.espacenet.com/patent/search?q=US10676520","Espacenet")</f>
        <v>0.0</v>
      </c>
      <c r="I4847" s="2" t="n">
        <f>HYPERLINK("https://ppubs.uspto.gov/pubwebapp/external.html?q=10676520.pn.","USPTO")</f>
        <v>0.0</v>
      </c>
      <c r="J4847" s="2" t="n">
        <f>HYPERLINK("https://image-ppubs.uspto.gov/dirsearch-public/print/downloadPdf/10676520","USPTO PDF")</f>
        <v>0.0</v>
      </c>
      <c r="K4847" s="2" t="n">
        <f>HYPERLINK("https://sectors.patentforecast.com/pmd/US10676520","PMD")</f>
        <v>0.0</v>
      </c>
      <c r="L4847" s="2" t="n">
        <f>HYPERLINK("https://globaldossier.uspto.gov/result/patent/US/10676520/1","US10676520")</f>
        <v>0.0</v>
      </c>
      <c r="M4847" t="s">
        <v>21579</v>
      </c>
      <c r="N4847" t="s">
        <v>20527</v>
      </c>
      <c r="O4847" t="s">
        <v>20528</v>
      </c>
      <c r="P4847" t="s">
        <v>29183</v>
      </c>
      <c r="Q4847" s="3" t="n">
        <v>40711.0</v>
      </c>
      <c r="R4847" s="3" t="n">
        <v>43991.0</v>
      </c>
      <c r="S4847" s="3" t="n">
        <v>43992.46518953703</v>
      </c>
      <c r="T4847" s="3" t="n">
        <v>43992.49623599537</v>
      </c>
      <c r="U4847" t="s">
        <v>29184</v>
      </c>
      <c r="V4847" t="s">
        <v>21582</v>
      </c>
    </row>
    <row r="4848">
      <c r="A4848" t="s">
        <v>23557</v>
      </c>
      <c r="B4848" t="s">
        <v>29185</v>
      </c>
      <c r="C4848" t="s">
        <v>132</v>
      </c>
      <c r="D4848" t="s">
        <v>133</v>
      </c>
      <c r="E4848" t="s">
        <v>29186</v>
      </c>
      <c r="F4848" s="2" t="n">
        <f>HYPERLINK("https://patents.google.com/patent/US10676511","Google")</f>
        <v>0.0</v>
      </c>
      <c r="G4848" s="2" t="n">
        <f>HYPERLINK("https://patentcenter.uspto.gov/applications/15760878","Patent Center")</f>
        <v>0.0</v>
      </c>
      <c r="H4848" s="2" t="n">
        <f>HYPERLINK("https://worldwide.espacenet.com/patent/search?q=US10676511","Espacenet")</f>
        <v>0.0</v>
      </c>
      <c r="I4848" s="2" t="n">
        <f>HYPERLINK("https://ppubs.uspto.gov/pubwebapp/external.html?q=10676511.pn.","USPTO")</f>
        <v>0.0</v>
      </c>
      <c r="J4848" s="2" t="n">
        <f>HYPERLINK("https://image-ppubs.uspto.gov/dirsearch-public/print/downloadPdf/10676511","USPTO PDF")</f>
        <v>0.0</v>
      </c>
      <c r="K4848" s="2" t="n">
        <f>HYPERLINK("https://sectors.patentforecast.com/pmd/US10676511","PMD")</f>
        <v>0.0</v>
      </c>
      <c r="L4848" s="2" t="n">
        <f>HYPERLINK("https://globaldossier.uspto.gov/result/patent/US/10676511/1","US10676511")</f>
        <v>0.0</v>
      </c>
      <c r="M4848" t="s">
        <v>18095</v>
      </c>
      <c r="N4848" t="s">
        <v>2038</v>
      </c>
      <c r="O4848" t="s">
        <v>2039</v>
      </c>
      <c r="P4848" t="s">
        <v>29187</v>
      </c>
      <c r="Q4848" s="3" t="n">
        <v>42628.0</v>
      </c>
      <c r="R4848" s="3" t="n">
        <v>43991.0</v>
      </c>
      <c r="S4848" s="3" t="n">
        <v>43992.46333775463</v>
      </c>
      <c r="T4848" s="3" t="n">
        <v>43992.49621006945</v>
      </c>
      <c r="U4848" t="s">
        <v>29188</v>
      </c>
      <c r="V4848" t="s">
        <v>16361</v>
      </c>
    </row>
    <row r="4849">
      <c r="A4849" t="s">
        <v>23557</v>
      </c>
      <c r="B4849" t="s">
        <v>29189</v>
      </c>
      <c r="C4849" t="s">
        <v>60</v>
      </c>
      <c r="D4849" t="s">
        <v>61</v>
      </c>
      <c r="E4849" t="s">
        <v>29190</v>
      </c>
      <c r="F4849" s="2" t="n">
        <f>HYPERLINK("https://patents.google.com/patent/US10675296","Google")</f>
        <v>0.0</v>
      </c>
      <c r="G4849" s="2" t="n">
        <f>HYPERLINK("https://patentcenter.uspto.gov/applications/16031620","Patent Center")</f>
        <v>0.0</v>
      </c>
      <c r="H4849" s="2" t="n">
        <f>HYPERLINK("https://worldwide.espacenet.com/patent/search?q=US10675296","Espacenet")</f>
        <v>0.0</v>
      </c>
      <c r="I4849" s="2" t="n">
        <f>HYPERLINK("https://ppubs.uspto.gov/pubwebapp/external.html?q=10675296.pn.","USPTO")</f>
        <v>0.0</v>
      </c>
      <c r="J4849" s="2" t="n">
        <f>HYPERLINK("https://image-ppubs.uspto.gov/dirsearch-public/print/downloadPdf/10675296","USPTO PDF")</f>
        <v>0.0</v>
      </c>
      <c r="K4849" s="2" t="n">
        <f>HYPERLINK("https://sectors.patentforecast.com/pmd/US10675296","PMD")</f>
        <v>0.0</v>
      </c>
      <c r="L4849" s="2" t="n">
        <f>HYPERLINK("https://globaldossier.uspto.gov/result/patent/US/10675296/1","US10675296")</f>
        <v>0.0</v>
      </c>
      <c r="M4849" t="s">
        <v>17879</v>
      </c>
      <c r="N4849" t="s">
        <v>664</v>
      </c>
      <c r="O4849" t="s">
        <v>665</v>
      </c>
      <c r="P4849" t="s">
        <v>29191</v>
      </c>
      <c r="Q4849" s="3" t="n">
        <v>43291.0</v>
      </c>
      <c r="R4849" s="3" t="n">
        <v>43991.0</v>
      </c>
      <c r="S4849" s="3" t="n">
        <v>43992.4628747338</v>
      </c>
      <c r="T4849" s="3" t="n">
        <v>43992.496690162036</v>
      </c>
      <c r="U4849" t="s">
        <v>29192</v>
      </c>
      <c r="V4849" t="s">
        <v>17882</v>
      </c>
    </row>
    <row r="4850">
      <c r="A4850" t="s">
        <v>23557</v>
      </c>
      <c r="B4850" t="s">
        <v>29193</v>
      </c>
      <c r="C4850" t="s">
        <v>24</v>
      </c>
      <c r="D4850" t="s">
        <v>25</v>
      </c>
      <c r="E4850" t="s">
        <v>29194</v>
      </c>
      <c r="F4850" s="2" t="n">
        <f>HYPERLINK("https://patents.google.com/patent/US10672158","Google")</f>
        <v>0.0</v>
      </c>
      <c r="G4850" s="2" t="n">
        <f>HYPERLINK("https://patentcenter.uspto.gov/applications/15854450","Patent Center")</f>
        <v>0.0</v>
      </c>
      <c r="H4850" s="2" t="n">
        <f>HYPERLINK("https://worldwide.espacenet.com/patent/search?q=US10672158","Espacenet")</f>
        <v>0.0</v>
      </c>
      <c r="I4850" s="2" t="n">
        <f>HYPERLINK("https://ppubs.uspto.gov/pubwebapp/external.html?q=10672158.pn.","USPTO")</f>
        <v>0.0</v>
      </c>
      <c r="J4850" s="2" t="n">
        <f>HYPERLINK("https://image-ppubs.uspto.gov/dirsearch-public/print/downloadPdf/10672158","USPTO PDF")</f>
        <v>0.0</v>
      </c>
      <c r="K4850" s="2" t="n">
        <f>HYPERLINK("https://sectors.patentforecast.com/pmd/US10672158","PMD")</f>
        <v>0.0</v>
      </c>
      <c r="L4850" s="2" t="n">
        <f>HYPERLINK("https://globaldossier.uspto.gov/result/patent/US/10672158/1","US10672158")</f>
        <v>0.0</v>
      </c>
      <c r="M4850" t="s">
        <v>29195</v>
      </c>
      <c r="N4850" t="s">
        <v>26117</v>
      </c>
      <c r="O4850" t="s">
        <v>26118</v>
      </c>
      <c r="P4850" t="s">
        <v>29196</v>
      </c>
      <c r="Q4850" s="3" t="n">
        <v>43095.0</v>
      </c>
      <c r="R4850" s="3" t="n">
        <v>43984.0</v>
      </c>
      <c r="S4850" s="3" t="n">
        <v>43985.458992210646</v>
      </c>
      <c r="T4850" s="3" t="n">
        <v>43985.48485644676</v>
      </c>
      <c r="U4850" t="s">
        <v>29197</v>
      </c>
      <c r="V4850" t="s">
        <v>29198</v>
      </c>
    </row>
    <row r="4851">
      <c r="A4851" t="s">
        <v>23557</v>
      </c>
      <c r="B4851" t="s">
        <v>29199</v>
      </c>
      <c r="C4851" t="s">
        <v>24</v>
      </c>
      <c r="D4851" t="s">
        <v>258</v>
      </c>
      <c r="E4851" t="s">
        <v>29200</v>
      </c>
      <c r="F4851" s="2" t="n">
        <f>HYPERLINK("https://patents.google.com/patent/US10671703","Google")</f>
        <v>0.0</v>
      </c>
      <c r="G4851" s="2" t="n">
        <f>HYPERLINK("https://patentcenter.uspto.gov/applications/15083090","Patent Center")</f>
        <v>0.0</v>
      </c>
      <c r="H4851" s="2" t="n">
        <f>HYPERLINK("https://worldwide.espacenet.com/patent/search?q=US10671703","Espacenet")</f>
        <v>0.0</v>
      </c>
      <c r="I4851" s="2" t="n">
        <f>HYPERLINK("https://ppubs.uspto.gov/pubwebapp/external.html?q=10671703.pn.","USPTO")</f>
        <v>0.0</v>
      </c>
      <c r="J4851" s="2" t="n">
        <f>HYPERLINK("https://image-ppubs.uspto.gov/dirsearch-public/print/downloadPdf/10671703","USPTO PDF")</f>
        <v>0.0</v>
      </c>
      <c r="K4851" s="2" t="n">
        <f>HYPERLINK("https://sectors.patentforecast.com/pmd/US10671703","PMD")</f>
        <v>0.0</v>
      </c>
      <c r="L4851" s="2" t="n">
        <f>HYPERLINK("https://globaldossier.uspto.gov/result/patent/US/10671703/1","US10671703")</f>
        <v>0.0</v>
      </c>
      <c r="M4851" t="s">
        <v>29201</v>
      </c>
      <c r="N4851" t="s">
        <v>6786</v>
      </c>
      <c r="O4851" t="s">
        <v>6787</v>
      </c>
      <c r="P4851" t="s">
        <v>29202</v>
      </c>
      <c r="Q4851" s="3" t="n">
        <v>42457.0</v>
      </c>
      <c r="R4851" s="3" t="n">
        <v>43984.0</v>
      </c>
      <c r="S4851" s="3" t="n">
        <v>43985.458992210646</v>
      </c>
      <c r="T4851" s="3" t="n">
        <v>43985.485948518515</v>
      </c>
      <c r="U4851" t="s">
        <v>29203</v>
      </c>
      <c r="V4851" t="s">
        <v>29204</v>
      </c>
    </row>
    <row r="4852">
      <c r="A4852" t="s">
        <v>23557</v>
      </c>
      <c r="B4852" t="s">
        <v>29205</v>
      </c>
      <c r="C4852" t="s">
        <v>60</v>
      </c>
      <c r="D4852" t="s">
        <v>715</v>
      </c>
      <c r="E4852" t="s">
        <v>29206</v>
      </c>
      <c r="F4852" s="2" t="n">
        <f>HYPERLINK("https://patents.google.com/patent/US10668279","Google")</f>
        <v>0.0</v>
      </c>
      <c r="G4852" s="2" t="n">
        <f>HYPERLINK("https://patentcenter.uspto.gov/applications/15886234","Patent Center")</f>
        <v>0.0</v>
      </c>
      <c r="H4852" s="2" t="n">
        <f>HYPERLINK("https://worldwide.espacenet.com/patent/search?q=US10668279","Espacenet")</f>
        <v>0.0</v>
      </c>
      <c r="I4852" s="2" t="n">
        <f>HYPERLINK("https://ppubs.uspto.gov/pubwebapp/external.html?q=10668279.pn.","USPTO")</f>
        <v>0.0</v>
      </c>
      <c r="J4852" s="2" t="n">
        <f>HYPERLINK("https://image-ppubs.uspto.gov/dirsearch-public/print/downloadPdf/10668279","USPTO PDF")</f>
        <v>0.0</v>
      </c>
      <c r="K4852" s="2" t="n">
        <f>HYPERLINK("https://sectors.patentforecast.com/pmd/US10668279","PMD")</f>
        <v>0.0</v>
      </c>
      <c r="L4852" s="2" t="n">
        <f>HYPERLINK("https://globaldossier.uspto.gov/result/patent/US/10668279/1","US10668279")</f>
        <v>0.0</v>
      </c>
      <c r="M4852" t="s">
        <v>29207</v>
      </c>
      <c r="N4852" t="s">
        <v>10151</v>
      </c>
      <c r="O4852" t="s">
        <v>10152</v>
      </c>
      <c r="P4852" t="s">
        <v>29208</v>
      </c>
      <c r="Q4852" s="3" t="n">
        <v>43132.0</v>
      </c>
      <c r="R4852" s="3" t="n">
        <v>43984.0</v>
      </c>
      <c r="S4852" s="3" t="n">
        <v>43985.46002892361</v>
      </c>
      <c r="T4852" s="3" t="n">
        <v>43985.49166954861</v>
      </c>
      <c r="U4852" t="s">
        <v>29209</v>
      </c>
      <c r="V4852" t="s">
        <v>16569</v>
      </c>
    </row>
    <row r="4853">
      <c r="A4853" t="s">
        <v>23557</v>
      </c>
      <c r="B4853" t="s">
        <v>29210</v>
      </c>
      <c r="C4853" t="s">
        <v>60</v>
      </c>
      <c r="D4853" t="s">
        <v>77</v>
      </c>
      <c r="E4853" t="s">
        <v>29182</v>
      </c>
      <c r="F4853" s="2" t="n">
        <f>HYPERLINK("https://patents.google.com/patent/US10654915","Google")</f>
        <v>0.0</v>
      </c>
      <c r="G4853" s="2" t="n">
        <f>HYPERLINK("https://patentcenter.uspto.gov/applications/14363297","Patent Center")</f>
        <v>0.0</v>
      </c>
      <c r="H4853" s="2" t="n">
        <f>HYPERLINK("https://worldwide.espacenet.com/patent/search?q=US10654915","Espacenet")</f>
        <v>0.0</v>
      </c>
      <c r="I4853" s="2" t="n">
        <f>HYPERLINK("https://ppubs.uspto.gov/pubwebapp/external.html?q=10654915.pn.","USPTO")</f>
        <v>0.0</v>
      </c>
      <c r="J4853" s="2" t="n">
        <f>HYPERLINK("https://image-ppubs.uspto.gov/dirsearch-public/print/downloadPdf/10654915","USPTO PDF")</f>
        <v>0.0</v>
      </c>
      <c r="K4853" s="2" t="n">
        <f>HYPERLINK("https://sectors.patentforecast.com/pmd/US10654915","PMD")</f>
        <v>0.0</v>
      </c>
      <c r="L4853" s="2" t="n">
        <f>HYPERLINK("https://globaldossier.uspto.gov/result/patent/US/10654915/1","US10654915")</f>
        <v>0.0</v>
      </c>
      <c r="M4853" t="s">
        <v>20526</v>
      </c>
      <c r="N4853" t="s">
        <v>20527</v>
      </c>
      <c r="O4853" t="s">
        <v>20528</v>
      </c>
      <c r="P4853" t="s">
        <v>29211</v>
      </c>
      <c r="Q4853" s="3" t="n">
        <v>41248.0</v>
      </c>
      <c r="R4853" s="3" t="n">
        <v>43970.0</v>
      </c>
      <c r="S4853" s="3" t="n">
        <v>43971.47819125</v>
      </c>
      <c r="T4853" s="3" t="n">
        <v>44643.40227449074</v>
      </c>
      <c r="U4853" t="s">
        <v>29212</v>
      </c>
      <c r="V4853" t="s">
        <v>20531</v>
      </c>
    </row>
    <row r="4854">
      <c r="A4854" t="s">
        <v>23557</v>
      </c>
      <c r="B4854" t="s">
        <v>29213</v>
      </c>
      <c r="C4854" t="s">
        <v>60</v>
      </c>
      <c r="D4854" t="s">
        <v>61</v>
      </c>
      <c r="E4854" t="s">
        <v>29214</v>
      </c>
      <c r="F4854" s="2" t="n">
        <f>HYPERLINK("https://patents.google.com/patent/US10646486","Google")</f>
        <v>0.0</v>
      </c>
      <c r="G4854" s="2" t="n">
        <f>HYPERLINK("https://patentcenter.uspto.gov/applications/15704842","Patent Center")</f>
        <v>0.0</v>
      </c>
      <c r="H4854" s="2" t="n">
        <f>HYPERLINK("https://worldwide.espacenet.com/patent/search?q=US10646486","Espacenet")</f>
        <v>0.0</v>
      </c>
      <c r="I4854" s="2" t="n">
        <f>HYPERLINK("https://ppubs.uspto.gov/pubwebapp/external.html?q=10646486.pn.","USPTO")</f>
        <v>0.0</v>
      </c>
      <c r="J4854" s="2" t="n">
        <f>HYPERLINK("https://image-ppubs.uspto.gov/dirsearch-public/print/downloadPdf/10646486","USPTO PDF")</f>
        <v>0.0</v>
      </c>
      <c r="K4854" s="2" t="n">
        <f>HYPERLINK("https://sectors.patentforecast.com/pmd/US10646486","PMD")</f>
        <v>0.0</v>
      </c>
      <c r="L4854" s="2" t="n">
        <f>HYPERLINK("https://globaldossier.uspto.gov/result/patent/US/10646486/1","US10646486")</f>
        <v>0.0</v>
      </c>
      <c r="M4854" t="s">
        <v>29215</v>
      </c>
      <c r="N4854" t="s">
        <v>664</v>
      </c>
      <c r="O4854" t="s">
        <v>665</v>
      </c>
      <c r="P4854" t="s">
        <v>29216</v>
      </c>
      <c r="Q4854" s="3" t="n">
        <v>42992.0</v>
      </c>
      <c r="R4854" s="3" t="n">
        <v>43963.0</v>
      </c>
      <c r="S4854" s="3" t="n">
        <v>43964.459621863425</v>
      </c>
      <c r="T4854" s="3" t="n">
        <v>43985.502251377315</v>
      </c>
      <c r="U4854" t="s">
        <v>29217</v>
      </c>
      <c r="V4854" t="s">
        <v>29218</v>
      </c>
    </row>
    <row r="4855">
      <c r="A4855" t="s">
        <v>23557</v>
      </c>
      <c r="B4855" t="s">
        <v>29219</v>
      </c>
      <c r="C4855" t="s">
        <v>24</v>
      </c>
      <c r="D4855" t="s">
        <v>25</v>
      </c>
      <c r="E4855" t="s">
        <v>29220</v>
      </c>
      <c r="F4855" s="2" t="n">
        <f>HYPERLINK("https://patents.google.com/patent/US10645472","Google")</f>
        <v>0.0</v>
      </c>
      <c r="G4855" s="2" t="n">
        <f>HYPERLINK("https://patentcenter.uspto.gov/applications/16562270","Patent Center")</f>
        <v>0.0</v>
      </c>
      <c r="H4855" s="2" t="n">
        <f>HYPERLINK("https://worldwide.espacenet.com/patent/search?q=US10645472","Espacenet")</f>
        <v>0.0</v>
      </c>
      <c r="I4855" s="2" t="n">
        <f>HYPERLINK("https://ppubs.uspto.gov/pubwebapp/external.html?q=10645472.pn.","USPTO")</f>
        <v>0.0</v>
      </c>
      <c r="J4855" s="2" t="n">
        <f>HYPERLINK("https://image-ppubs.uspto.gov/dirsearch-public/print/downloadPdf/10645472","USPTO PDF")</f>
        <v>0.0</v>
      </c>
      <c r="K4855" s="2" t="n">
        <f>HYPERLINK("https://sectors.patentforecast.com/pmd/US10645472","PMD")</f>
        <v>0.0</v>
      </c>
      <c r="L4855" s="2" t="n">
        <f>HYPERLINK("https://globaldossier.uspto.gov/result/patent/US/10645472/1","US10645472")</f>
        <v>0.0</v>
      </c>
      <c r="M4855" t="s">
        <v>29221</v>
      </c>
      <c r="N4855" t="s">
        <v>23613</v>
      </c>
      <c r="O4855" t="s">
        <v>23614</v>
      </c>
      <c r="P4855" t="s">
        <v>23615</v>
      </c>
      <c r="Q4855" s="3" t="n">
        <v>43713.0</v>
      </c>
      <c r="R4855" s="3" t="n">
        <v>43956.0</v>
      </c>
      <c r="S4855" s="3" t="n">
        <v>43964.45869612269</v>
      </c>
      <c r="T4855" s="3" t="n">
        <v>43979.49182116898</v>
      </c>
      <c r="U4855" t="s">
        <v>29222</v>
      </c>
      <c r="V4855" t="s">
        <v>29223</v>
      </c>
    </row>
    <row r="4856">
      <c r="A4856" t="s">
        <v>23557</v>
      </c>
      <c r="B4856" t="s">
        <v>29224</v>
      </c>
      <c r="C4856" t="s">
        <v>60</v>
      </c>
      <c r="D4856" t="s">
        <v>696</v>
      </c>
      <c r="E4856" t="s">
        <v>29225</v>
      </c>
      <c r="F4856" s="2" t="n">
        <f>HYPERLINK("https://patents.google.com/patent/US10640560","Google")</f>
        <v>0.0</v>
      </c>
      <c r="G4856" s="2" t="n">
        <f>HYPERLINK("https://patentcenter.uspto.gov/applications/15987415","Patent Center")</f>
        <v>0.0</v>
      </c>
      <c r="H4856" s="2" t="n">
        <f>HYPERLINK("https://worldwide.espacenet.com/patent/search?q=US10640560","Espacenet")</f>
        <v>0.0</v>
      </c>
      <c r="I4856" s="2" t="n">
        <f>HYPERLINK("https://ppubs.uspto.gov/pubwebapp/external.html?q=10640560.pn.","USPTO")</f>
        <v>0.0</v>
      </c>
      <c r="J4856" s="2" t="n">
        <f>HYPERLINK("https://image-ppubs.uspto.gov/dirsearch-public/print/downloadPdf/10640560","USPTO PDF")</f>
        <v>0.0</v>
      </c>
      <c r="K4856" s="2" t="n">
        <f>HYPERLINK("https://sectors.patentforecast.com/pmd/US10640560","PMD")</f>
        <v>0.0</v>
      </c>
      <c r="L4856" s="2" t="n">
        <f>HYPERLINK("https://globaldossier.uspto.gov/result/patent/US/10640560/1","US10640560")</f>
        <v>0.0</v>
      </c>
      <c r="M4856" t="s">
        <v>17859</v>
      </c>
      <c r="N4856" t="s">
        <v>16927</v>
      </c>
      <c r="O4856" t="s">
        <v>16928</v>
      </c>
      <c r="P4856" t="s">
        <v>24527</v>
      </c>
      <c r="Q4856" s="3" t="n">
        <v>43243.0</v>
      </c>
      <c r="R4856" s="3" t="n">
        <v>43956.0</v>
      </c>
      <c r="S4856" s="3" t="n">
        <v>43966.479979247684</v>
      </c>
      <c r="T4856" s="3" t="n">
        <v>44638.639974143516</v>
      </c>
      <c r="U4856" t="s">
        <v>29226</v>
      </c>
      <c r="V4856" t="s">
        <v>21347</v>
      </c>
    </row>
    <row r="4857">
      <c r="A4857" t="s">
        <v>23557</v>
      </c>
      <c r="B4857" t="s">
        <v>29227</v>
      </c>
      <c r="C4857" t="s">
        <v>60</v>
      </c>
      <c r="D4857" t="s">
        <v>61</v>
      </c>
      <c r="E4857" t="s">
        <v>23786</v>
      </c>
      <c r="F4857" s="2" t="n">
        <f>HYPERLINK("https://patents.google.com/patent/US10604530","Google")</f>
        <v>0.0</v>
      </c>
      <c r="G4857" s="2" t="n">
        <f>HYPERLINK("https://patentcenter.uspto.gov/applications/15845837","Patent Center")</f>
        <v>0.0</v>
      </c>
      <c r="H4857" s="2" t="n">
        <f>HYPERLINK("https://worldwide.espacenet.com/patent/search?q=US10604530","Espacenet")</f>
        <v>0.0</v>
      </c>
      <c r="I4857" s="2" t="n">
        <f>HYPERLINK("https://ppubs.uspto.gov/pubwebapp/external.html?q=10604530.pn.","USPTO")</f>
        <v>0.0</v>
      </c>
      <c r="J4857" s="2" t="n">
        <f>HYPERLINK("https://image-ppubs.uspto.gov/dirsearch-public/print/downloadPdf/10604530","USPTO PDF")</f>
        <v>0.0</v>
      </c>
      <c r="K4857" s="2" t="n">
        <f>HYPERLINK("https://sectors.patentforecast.com/pmd/US10604530","PMD")</f>
        <v>0.0</v>
      </c>
      <c r="L4857" s="2" t="n">
        <f>HYPERLINK("https://globaldossier.uspto.gov/result/patent/US/10604530/1","US10604530")</f>
        <v>0.0</v>
      </c>
      <c r="M4857" t="s">
        <v>17495</v>
      </c>
      <c r="N4857" t="s">
        <v>664</v>
      </c>
      <c r="O4857" t="s">
        <v>665</v>
      </c>
      <c r="P4857" t="s">
        <v>23787</v>
      </c>
      <c r="Q4857" s="3" t="n">
        <v>43087.0</v>
      </c>
      <c r="R4857" s="3" t="n">
        <v>43921.0</v>
      </c>
      <c r="S4857" s="3" t="n">
        <v>43952.45945267361</v>
      </c>
      <c r="T4857" s="3" t="n">
        <v>44638.65271974537</v>
      </c>
      <c r="U4857" t="s">
        <v>23788</v>
      </c>
      <c r="V4857" t="s">
        <v>23789</v>
      </c>
    </row>
    <row r="4858">
      <c r="A4858" t="s">
        <v>23557</v>
      </c>
      <c r="B4858" t="s">
        <v>29228</v>
      </c>
      <c r="C4858" t="s">
        <v>60</v>
      </c>
      <c r="D4858" t="s">
        <v>61</v>
      </c>
      <c r="E4858" t="s">
        <v>24040</v>
      </c>
      <c r="F4858" s="2" t="n">
        <f>HYPERLINK("https://patents.google.com/patent/US10603318","Google")</f>
        <v>0.0</v>
      </c>
      <c r="G4858" s="2" t="n">
        <f>HYPERLINK("https://patentcenter.uspto.gov/applications/16409610","Patent Center")</f>
        <v>0.0</v>
      </c>
      <c r="H4858" s="2" t="n">
        <f>HYPERLINK("https://worldwide.espacenet.com/patent/search?q=US10603318","Espacenet")</f>
        <v>0.0</v>
      </c>
      <c r="I4858" s="2" t="n">
        <f>HYPERLINK("https://ppubs.uspto.gov/pubwebapp/external.html?q=10603318.pn.","USPTO")</f>
        <v>0.0</v>
      </c>
      <c r="J4858" s="2" t="n">
        <f>HYPERLINK("https://image-ppubs.uspto.gov/dirsearch-public/print/downloadPdf/10603318","USPTO PDF")</f>
        <v>0.0</v>
      </c>
      <c r="K4858" s="2" t="n">
        <f>HYPERLINK("https://sectors.patentforecast.com/pmd/US10603318","PMD")</f>
        <v>0.0</v>
      </c>
      <c r="L4858" s="2" t="n">
        <f>HYPERLINK("https://globaldossier.uspto.gov/result/patent/US/10603318/1","US10603318")</f>
        <v>0.0</v>
      </c>
      <c r="M4858" t="s">
        <v>17307</v>
      </c>
      <c r="N4858" t="s">
        <v>664</v>
      </c>
      <c r="O4858" t="s">
        <v>665</v>
      </c>
      <c r="P4858" t="s">
        <v>29229</v>
      </c>
      <c r="Q4858" s="3" t="n">
        <v>43595.0</v>
      </c>
      <c r="R4858" s="3" t="n">
        <v>43921.0</v>
      </c>
      <c r="S4858" s="3" t="n">
        <v>43952.45945267361</v>
      </c>
      <c r="T4858" s="3" t="n">
        <v>44638.65643378472</v>
      </c>
      <c r="U4858" t="s">
        <v>29230</v>
      </c>
      <c r="V4858" t="s">
        <v>24043</v>
      </c>
    </row>
    <row r="4859">
      <c r="A4859" t="s">
        <v>23557</v>
      </c>
      <c r="B4859" t="s">
        <v>29231</v>
      </c>
      <c r="C4859" t="s">
        <v>132</v>
      </c>
      <c r="D4859" t="s">
        <v>12938</v>
      </c>
      <c r="E4859" t="s">
        <v>29232</v>
      </c>
      <c r="F4859" s="2" t="n">
        <f>HYPERLINK("https://patents.google.com/patent/US10590174","Google")</f>
        <v>0.0</v>
      </c>
      <c r="G4859" s="2" t="n">
        <f>HYPERLINK("https://patentcenter.uspto.gov/applications/16311913","Patent Center")</f>
        <v>0.0</v>
      </c>
      <c r="H4859" s="2" t="n">
        <f>HYPERLINK("https://worldwide.espacenet.com/patent/search?q=US10590174","Espacenet")</f>
        <v>0.0</v>
      </c>
      <c r="I4859" s="2" t="n">
        <f>HYPERLINK("https://ppubs.uspto.gov/pubwebapp/external.html?q=10590174.pn.","USPTO")</f>
        <v>0.0</v>
      </c>
      <c r="J4859" s="2" t="n">
        <f>HYPERLINK("https://image-ppubs.uspto.gov/dirsearch-public/print/downloadPdf/10590174","USPTO PDF")</f>
        <v>0.0</v>
      </c>
      <c r="K4859" s="2" t="n">
        <f>HYPERLINK("https://sectors.patentforecast.com/pmd/US10590174","PMD")</f>
        <v>0.0</v>
      </c>
      <c r="L4859" s="2" t="n">
        <f>HYPERLINK("https://globaldossier.uspto.gov/result/patent/US/10590174/1","US10590174")</f>
        <v>0.0</v>
      </c>
      <c r="M4859" t="s">
        <v>17686</v>
      </c>
      <c r="N4859" t="s">
        <v>17536</v>
      </c>
      <c r="O4859" t="s">
        <v>17537</v>
      </c>
      <c r="P4859" t="s">
        <v>29233</v>
      </c>
      <c r="Q4859" s="3" t="n">
        <v>42923.0</v>
      </c>
      <c r="R4859" s="3" t="n">
        <v>43907.0</v>
      </c>
      <c r="S4859" s="3" t="n">
        <v>43908.460012488424</v>
      </c>
      <c r="T4859" s="3" t="n">
        <v>43979.49024640046</v>
      </c>
      <c r="U4859" t="s">
        <v>29234</v>
      </c>
      <c r="V4859" t="s">
        <v>17689</v>
      </c>
    </row>
    <row r="4860">
      <c r="A4860" t="s">
        <v>23557</v>
      </c>
      <c r="B4860" t="s">
        <v>29235</v>
      </c>
      <c r="C4860" t="s">
        <v>60</v>
      </c>
      <c r="D4860" t="s">
        <v>61</v>
      </c>
      <c r="E4860" t="s">
        <v>23758</v>
      </c>
      <c r="F4860" s="2" t="n">
        <f>HYPERLINK("https://patents.google.com/patent/US10584109","Google")</f>
        <v>0.0</v>
      </c>
      <c r="G4860" s="2" t="n">
        <f>HYPERLINK("https://patentcenter.uspto.gov/applications/16404550","Patent Center")</f>
        <v>0.0</v>
      </c>
      <c r="H4860" s="2" t="n">
        <f>HYPERLINK("https://worldwide.espacenet.com/patent/search?q=US10584109","Espacenet")</f>
        <v>0.0</v>
      </c>
      <c r="I4860" s="2" t="n">
        <f>HYPERLINK("https://ppubs.uspto.gov/pubwebapp/external.html?q=10584109.pn.","USPTO")</f>
        <v>0.0</v>
      </c>
      <c r="J4860" s="2" t="n">
        <f>HYPERLINK("https://image-ppubs.uspto.gov/dirsearch-public/print/downloadPdf/10584109","USPTO PDF")</f>
        <v>0.0</v>
      </c>
      <c r="K4860" s="2" t="n">
        <f>HYPERLINK("https://sectors.patentforecast.com/pmd/US10584109","PMD")</f>
        <v>0.0</v>
      </c>
      <c r="L4860" s="2" t="n">
        <f>HYPERLINK("https://globaldossier.uspto.gov/result/patent/US/10584109/1","US10584109")</f>
        <v>0.0</v>
      </c>
      <c r="M4860" t="s">
        <v>17515</v>
      </c>
      <c r="N4860" t="s">
        <v>664</v>
      </c>
      <c r="O4860" t="s">
        <v>665</v>
      </c>
      <c r="P4860" t="s">
        <v>29236</v>
      </c>
      <c r="Q4860" s="3" t="n">
        <v>43591.0</v>
      </c>
      <c r="R4860" s="3" t="n">
        <v>43900.0</v>
      </c>
      <c r="S4860" s="3" t="n">
        <v>43950.647372685184</v>
      </c>
      <c r="T4860" s="3" t="n">
        <v>44638.65271974537</v>
      </c>
      <c r="U4860" t="s">
        <v>29237</v>
      </c>
      <c r="V4860" t="s">
        <v>23761</v>
      </c>
    </row>
    <row r="4861">
      <c r="A4861" t="s">
        <v>23557</v>
      </c>
      <c r="B4861" t="s">
        <v>29238</v>
      </c>
      <c r="C4861" t="s">
        <v>24</v>
      </c>
      <c r="D4861" t="s">
        <v>25</v>
      </c>
      <c r="E4861" t="s">
        <v>29239</v>
      </c>
      <c r="F4861" s="2" t="n">
        <f>HYPERLINK("https://patents.google.com/patent/US10579747","Google")</f>
        <v>0.0</v>
      </c>
      <c r="G4861" s="2" t="n">
        <f>HYPERLINK("https://patentcenter.uspto.gov/applications/14358613","Patent Center")</f>
        <v>0.0</v>
      </c>
      <c r="H4861" s="2" t="n">
        <f>HYPERLINK("https://worldwide.espacenet.com/patent/search?q=US10579747","Espacenet")</f>
        <v>0.0</v>
      </c>
      <c r="I4861" s="2" t="n">
        <f>HYPERLINK("https://ppubs.uspto.gov/pubwebapp/external.html?q=10579747.pn.","USPTO")</f>
        <v>0.0</v>
      </c>
      <c r="J4861" s="2" t="n">
        <f>HYPERLINK("https://image-ppubs.uspto.gov/dirsearch-public/print/downloadPdf/10579747","USPTO PDF")</f>
        <v>0.0</v>
      </c>
      <c r="K4861" s="2" t="n">
        <f>HYPERLINK("https://sectors.patentforecast.com/pmd/US10579747","PMD")</f>
        <v>0.0</v>
      </c>
      <c r="L4861" s="2" t="n">
        <f>HYPERLINK("https://globaldossier.uspto.gov/result/patent/US/10579747/1","US10579747")</f>
        <v>0.0</v>
      </c>
      <c r="M4861" t="s">
        <v>20233</v>
      </c>
      <c r="N4861" t="s">
        <v>16919</v>
      </c>
      <c r="O4861" t="s">
        <v>16920</v>
      </c>
      <c r="P4861" t="s">
        <v>29240</v>
      </c>
      <c r="Q4861" s="3" t="n">
        <v>41766.0</v>
      </c>
      <c r="R4861" s="3" t="n">
        <v>43893.0</v>
      </c>
      <c r="S4861" s="3" t="n">
        <v>43908.458514398146</v>
      </c>
      <c r="T4861" s="3" t="n">
        <v>43950.40137741898</v>
      </c>
      <c r="U4861" t="s">
        <v>29241</v>
      </c>
      <c r="V4861" t="s">
        <v>29242</v>
      </c>
    </row>
    <row r="4862">
      <c r="A4862" t="s">
        <v>23557</v>
      </c>
      <c r="B4862" t="s">
        <v>29243</v>
      </c>
      <c r="C4862" t="s">
        <v>132</v>
      </c>
      <c r="D4862" t="s">
        <v>1265</v>
      </c>
      <c r="E4862" t="s">
        <v>22970</v>
      </c>
      <c r="F4862" s="2" t="n">
        <f>HYPERLINK("https://patents.google.com/patent/US10555999","Google")</f>
        <v>0.0</v>
      </c>
      <c r="G4862" s="2" t="n">
        <f>HYPERLINK("https://patentcenter.uspto.gov/applications/15920519","Patent Center")</f>
        <v>0.0</v>
      </c>
      <c r="H4862" s="2" t="n">
        <f>HYPERLINK("https://worldwide.espacenet.com/patent/search?q=US10555999","Espacenet")</f>
        <v>0.0</v>
      </c>
      <c r="I4862" s="2" t="n">
        <f>HYPERLINK("https://ppubs.uspto.gov/pubwebapp/external.html?q=10555999.pn.","USPTO")</f>
        <v>0.0</v>
      </c>
      <c r="J4862" s="2" t="n">
        <f>HYPERLINK("https://image-ppubs.uspto.gov/dirsearch-public/print/downloadPdf/10555999","USPTO PDF")</f>
        <v>0.0</v>
      </c>
      <c r="K4862" s="2" t="n">
        <f>HYPERLINK("https://sectors.patentforecast.com/pmd/US10555999","PMD")</f>
        <v>0.0</v>
      </c>
      <c r="L4862" s="2" t="n">
        <f>HYPERLINK("https://globaldossier.uspto.gov/result/patent/US/10555999/1","US10555999")</f>
        <v>0.0</v>
      </c>
      <c r="M4862" t="s">
        <v>17927</v>
      </c>
      <c r="N4862" t="s">
        <v>15147</v>
      </c>
      <c r="O4862" t="s">
        <v>15148</v>
      </c>
      <c r="P4862" t="s">
        <v>23675</v>
      </c>
      <c r="Q4862" s="3" t="n">
        <v>43173.0</v>
      </c>
      <c r="R4862" s="3" t="n">
        <v>43872.0</v>
      </c>
      <c r="S4862" s="3" t="n">
        <v>43900.437267939815</v>
      </c>
      <c r="T4862" s="3" t="n">
        <v>43901.70557082176</v>
      </c>
      <c r="U4862" t="s">
        <v>29244</v>
      </c>
      <c r="V4862" t="s">
        <v>16156</v>
      </c>
    </row>
    <row r="4863">
      <c r="A4863" t="s">
        <v>23557</v>
      </c>
      <c r="B4863" t="s">
        <v>29245</v>
      </c>
      <c r="C4863" t="s">
        <v>132</v>
      </c>
      <c r="D4863" t="s">
        <v>11423</v>
      </c>
      <c r="E4863" t="s">
        <v>29246</v>
      </c>
      <c r="F4863" s="2" t="n">
        <f>HYPERLINK("https://patents.google.com/patent/US10548975","Google")</f>
        <v>0.0</v>
      </c>
      <c r="G4863" s="2" t="n">
        <f>HYPERLINK("https://patentcenter.uspto.gov/applications/15958295","Patent Center")</f>
        <v>0.0</v>
      </c>
      <c r="H4863" s="2" t="n">
        <f>HYPERLINK("https://worldwide.espacenet.com/patent/search?q=US10548975","Espacenet")</f>
        <v>0.0</v>
      </c>
      <c r="I4863" s="2" t="n">
        <f>HYPERLINK("https://ppubs.uspto.gov/pubwebapp/external.html?q=10548975.pn.","USPTO")</f>
        <v>0.0</v>
      </c>
      <c r="J4863" s="2" t="n">
        <f>HYPERLINK("https://image-ppubs.uspto.gov/dirsearch-public/print/downloadPdf/10548975","USPTO PDF")</f>
        <v>0.0</v>
      </c>
      <c r="K4863" s="2" t="n">
        <f>HYPERLINK("https://sectors.patentforecast.com/pmd/US10548975","PMD")</f>
        <v>0.0</v>
      </c>
      <c r="L4863" s="2" t="n">
        <f>HYPERLINK("https://globaldossier.uspto.gov/result/patent/US/10548975/1","US10548975")</f>
        <v>0.0</v>
      </c>
      <c r="M4863" t="s">
        <v>29247</v>
      </c>
      <c r="N4863" t="s">
        <v>7210</v>
      </c>
      <c r="O4863" t="s">
        <v>7211</v>
      </c>
      <c r="P4863" t="s">
        <v>29248</v>
      </c>
      <c r="Q4863" s="3" t="n">
        <v>43210.0</v>
      </c>
      <c r="R4863" s="3" t="n">
        <v>43865.0</v>
      </c>
      <c r="S4863" s="3" t="n">
        <v>44179.56006638889</v>
      </c>
      <c r="T4863" s="3" t="n">
        <v>44179.575581087964</v>
      </c>
      <c r="U4863" t="s">
        <v>29249</v>
      </c>
      <c r="V4863" t="s">
        <v>29250</v>
      </c>
    </row>
    <row r="4864">
      <c r="A4864" t="s">
        <v>23557</v>
      </c>
      <c r="B4864" t="s">
        <v>29251</v>
      </c>
      <c r="C4864" t="s">
        <v>132</v>
      </c>
      <c r="D4864" t="s">
        <v>133</v>
      </c>
      <c r="E4864" t="s">
        <v>27603</v>
      </c>
      <c r="F4864" s="2" t="n">
        <f>HYPERLINK("https://patents.google.com/patent/US10548971","Google")</f>
        <v>0.0</v>
      </c>
      <c r="G4864" s="2" t="n">
        <f>HYPERLINK("https://patentcenter.uspto.gov/applications/16022839","Patent Center")</f>
        <v>0.0</v>
      </c>
      <c r="H4864" s="2" t="n">
        <f>HYPERLINK("https://worldwide.espacenet.com/patent/search?q=US10548971","Espacenet")</f>
        <v>0.0</v>
      </c>
      <c r="I4864" s="2" t="n">
        <f>HYPERLINK("https://ppubs.uspto.gov/pubwebapp/external.html?q=10548971.pn.","USPTO")</f>
        <v>0.0</v>
      </c>
      <c r="J4864" s="2" t="n">
        <f>HYPERLINK("https://image-ppubs.uspto.gov/dirsearch-public/print/downloadPdf/10548971","USPTO PDF")</f>
        <v>0.0</v>
      </c>
      <c r="K4864" s="2" t="n">
        <f>HYPERLINK("https://sectors.patentforecast.com/pmd/US10548971","PMD")</f>
        <v>0.0</v>
      </c>
      <c r="L4864" s="2" t="n">
        <f>HYPERLINK("https://globaldossier.uspto.gov/result/patent/US/10548971/1","US10548971")</f>
        <v>0.0</v>
      </c>
      <c r="M4864" t="s">
        <v>17956</v>
      </c>
      <c r="N4864" t="s">
        <v>2541</v>
      </c>
      <c r="O4864" t="s">
        <v>2542</v>
      </c>
      <c r="P4864" t="s">
        <v>29252</v>
      </c>
      <c r="Q4864" s="3" t="n">
        <v>43280.0</v>
      </c>
      <c r="R4864" s="3" t="n">
        <v>43865.0</v>
      </c>
      <c r="S4864" s="3" t="n">
        <v>43935.60229520834</v>
      </c>
      <c r="T4864" s="3" t="n">
        <v>43950.46846076389</v>
      </c>
      <c r="U4864" t="s">
        <v>29253</v>
      </c>
      <c r="V4864" t="s">
        <v>8403</v>
      </c>
    </row>
    <row r="4865">
      <c r="A4865" t="s">
        <v>23557</v>
      </c>
      <c r="B4865" t="s">
        <v>29254</v>
      </c>
      <c r="C4865" t="s">
        <v>132</v>
      </c>
      <c r="D4865" t="s">
        <v>1265</v>
      </c>
      <c r="E4865" t="s">
        <v>23679</v>
      </c>
      <c r="F4865" s="2" t="n">
        <f>HYPERLINK("https://patents.google.com/patent/US10548968","Google")</f>
        <v>0.0</v>
      </c>
      <c r="G4865" s="2" t="n">
        <f>HYPERLINK("https://patentcenter.uspto.gov/applications/15901000","Patent Center")</f>
        <v>0.0</v>
      </c>
      <c r="H4865" s="2" t="n">
        <f>HYPERLINK("https://worldwide.espacenet.com/patent/search?q=US10548968","Espacenet")</f>
        <v>0.0</v>
      </c>
      <c r="I4865" s="2" t="n">
        <f>HYPERLINK("https://ppubs.uspto.gov/pubwebapp/external.html?q=10548968.pn.","USPTO")</f>
        <v>0.0</v>
      </c>
      <c r="J4865" s="2" t="n">
        <f>HYPERLINK("https://image-ppubs.uspto.gov/dirsearch-public/print/downloadPdf/10548968","USPTO PDF")</f>
        <v>0.0</v>
      </c>
      <c r="K4865" s="2" t="n">
        <f>HYPERLINK("https://sectors.patentforecast.com/pmd/US10548968","PMD")</f>
        <v>0.0</v>
      </c>
      <c r="L4865" s="2" t="n">
        <f>HYPERLINK("https://globaldossier.uspto.gov/result/patent/US/10548968/1","US10548968")</f>
        <v>0.0</v>
      </c>
      <c r="M4865" t="s">
        <v>17931</v>
      </c>
      <c r="N4865" t="s">
        <v>1275</v>
      </c>
      <c r="O4865" t="s">
        <v>1275</v>
      </c>
      <c r="P4865" t="s">
        <v>24001</v>
      </c>
      <c r="Q4865" s="3" t="n">
        <v>43152.0</v>
      </c>
      <c r="R4865" s="3" t="n">
        <v>43865.0</v>
      </c>
      <c r="S4865" s="3" t="n">
        <v>43900.437267939815</v>
      </c>
      <c r="T4865" s="3" t="n">
        <v>43901.70557060185</v>
      </c>
      <c r="U4865" t="s">
        <v>29255</v>
      </c>
      <c r="V4865" t="s">
        <v>17402</v>
      </c>
    </row>
    <row r="4866">
      <c r="A4866" t="s">
        <v>23557</v>
      </c>
      <c r="B4866" t="s">
        <v>29256</v>
      </c>
      <c r="C4866" t="s">
        <v>60</v>
      </c>
      <c r="D4866" t="s">
        <v>61</v>
      </c>
      <c r="E4866" t="s">
        <v>29257</v>
      </c>
      <c r="F4866" s="2" t="n">
        <f>HYPERLINK("https://patents.google.com/patent/US10548846","Google")</f>
        <v>0.0</v>
      </c>
      <c r="G4866" s="2" t="n">
        <f>HYPERLINK("https://patentcenter.uspto.gov/applications/15346335","Patent Center")</f>
        <v>0.0</v>
      </c>
      <c r="H4866" s="2" t="n">
        <f>HYPERLINK("https://worldwide.espacenet.com/patent/search?q=US10548846","Espacenet")</f>
        <v>0.0</v>
      </c>
      <c r="I4866" s="2" t="n">
        <f>HYPERLINK("https://ppubs.uspto.gov/pubwebapp/external.html?q=10548846.pn.","USPTO")</f>
        <v>0.0</v>
      </c>
      <c r="J4866" s="2" t="n">
        <f>HYPERLINK("https://image-ppubs.uspto.gov/dirsearch-public/print/downloadPdf/10548846","USPTO PDF")</f>
        <v>0.0</v>
      </c>
      <c r="K4866" s="2" t="n">
        <f>HYPERLINK("https://sectors.patentforecast.com/pmd/US10548846","PMD")</f>
        <v>0.0</v>
      </c>
      <c r="L4866" s="2" t="n">
        <f>HYPERLINK("https://globaldossier.uspto.gov/result/patent/US/10548846/1","US10548846")</f>
        <v>0.0</v>
      </c>
      <c r="M4866" t="s">
        <v>19190</v>
      </c>
      <c r="N4866" t="s">
        <v>664</v>
      </c>
      <c r="O4866" t="s">
        <v>665</v>
      </c>
      <c r="P4866" t="s">
        <v>29258</v>
      </c>
      <c r="Q4866" s="3" t="n">
        <v>42682.0</v>
      </c>
      <c r="R4866" s="3" t="n">
        <v>43865.0</v>
      </c>
      <c r="S4866" s="3" t="n">
        <v>43952.45945267361</v>
      </c>
      <c r="T4866" s="3" t="n">
        <v>44638.65643378472</v>
      </c>
      <c r="U4866" t="s">
        <v>29259</v>
      </c>
      <c r="V4866" t="s">
        <v>19193</v>
      </c>
    </row>
    <row r="4867">
      <c r="A4867" t="s">
        <v>23557</v>
      </c>
      <c r="B4867" t="s">
        <v>29260</v>
      </c>
      <c r="C4867" t="s">
        <v>132</v>
      </c>
      <c r="D4867" t="s">
        <v>2629</v>
      </c>
      <c r="E4867" t="s">
        <v>29261</v>
      </c>
      <c r="F4867" s="2" t="n">
        <f>HYPERLINK("https://patents.google.com/patent/US10543269","Google")</f>
        <v>0.0</v>
      </c>
      <c r="G4867" s="2" t="n">
        <f>HYPERLINK("https://patentcenter.uspto.gov/applications/16368099","Patent Center")</f>
        <v>0.0</v>
      </c>
      <c r="H4867" s="2" t="n">
        <f>HYPERLINK("https://worldwide.espacenet.com/patent/search?q=US10543269","Espacenet")</f>
        <v>0.0</v>
      </c>
      <c r="I4867" s="2" t="n">
        <f>HYPERLINK("https://ppubs.uspto.gov/pubwebapp/external.html?q=10543269.pn.","USPTO")</f>
        <v>0.0</v>
      </c>
      <c r="J4867" s="2" t="n">
        <f>HYPERLINK("https://image-ppubs.uspto.gov/dirsearch-public/print/downloadPdf/10543269","USPTO PDF")</f>
        <v>0.0</v>
      </c>
      <c r="K4867" s="2" t="n">
        <f>HYPERLINK("https://sectors.patentforecast.com/pmd/US10543269","PMD")</f>
        <v>0.0</v>
      </c>
      <c r="L4867" s="2" t="n">
        <f>HYPERLINK("https://globaldossier.uspto.gov/result/patent/US/10543269/1","US10543269")</f>
        <v>0.0</v>
      </c>
      <c r="M4867" t="s">
        <v>17618</v>
      </c>
      <c r="N4867" t="s">
        <v>145</v>
      </c>
      <c r="O4867" t="s">
        <v>146</v>
      </c>
      <c r="P4867" t="s">
        <v>28705</v>
      </c>
      <c r="Q4867" s="3" t="n">
        <v>43552.0</v>
      </c>
      <c r="R4867" s="3" t="n">
        <v>43858.0</v>
      </c>
      <c r="S4867" s="3" t="n">
        <v>43935.70415306713</v>
      </c>
      <c r="T4867" s="3" t="n">
        <v>43950.49980533565</v>
      </c>
      <c r="U4867" t="s">
        <v>29262</v>
      </c>
      <c r="V4867" t="s">
        <v>15867</v>
      </c>
    </row>
    <row r="4868">
      <c r="A4868" t="s">
        <v>23557</v>
      </c>
      <c r="B4868" t="s">
        <v>29263</v>
      </c>
      <c r="C4868" t="s">
        <v>24</v>
      </c>
      <c r="D4868" t="s">
        <v>25</v>
      </c>
      <c r="E4868" t="s">
        <v>29264</v>
      </c>
      <c r="F4868" s="2" t="n">
        <f>HYPERLINK("https://patents.google.com/patent/US10541056","Google")</f>
        <v>0.0</v>
      </c>
      <c r="G4868" s="2" t="n">
        <f>HYPERLINK("https://patentcenter.uspto.gov/applications/15127379","Patent Center")</f>
        <v>0.0</v>
      </c>
      <c r="H4868" s="2" t="n">
        <f>HYPERLINK("https://worldwide.espacenet.com/patent/search?q=US10541056","Espacenet")</f>
        <v>0.0</v>
      </c>
      <c r="I4868" s="2" t="n">
        <f>HYPERLINK("https://ppubs.uspto.gov/pubwebapp/external.html?q=10541056.pn.","USPTO")</f>
        <v>0.0</v>
      </c>
      <c r="J4868" s="2" t="n">
        <f>HYPERLINK("https://image-ppubs.uspto.gov/dirsearch-public/print/downloadPdf/10541056","USPTO PDF")</f>
        <v>0.0</v>
      </c>
      <c r="K4868" s="2" t="n">
        <f>HYPERLINK("https://sectors.patentforecast.com/pmd/US10541056","PMD")</f>
        <v>0.0</v>
      </c>
      <c r="L4868" s="2" t="n">
        <f>HYPERLINK("https://globaldossier.uspto.gov/result/patent/US/10541056/1","US10541056")</f>
        <v>0.0</v>
      </c>
      <c r="M4868" t="s">
        <v>29265</v>
      </c>
      <c r="N4868" t="s">
        <v>16911</v>
      </c>
      <c r="O4868" t="s">
        <v>16912</v>
      </c>
      <c r="P4868" t="s">
        <v>29266</v>
      </c>
      <c r="Q4868" s="3" t="n">
        <v>42083.0</v>
      </c>
      <c r="R4868" s="3" t="n">
        <v>43851.0</v>
      </c>
      <c r="S4868" s="3" t="n">
        <v>43908.458514398146</v>
      </c>
      <c r="T4868" s="3" t="n">
        <v>43950.39975952546</v>
      </c>
      <c r="U4868" t="s">
        <v>29267</v>
      </c>
      <c r="V4868" t="s">
        <v>16915</v>
      </c>
    </row>
    <row r="4869">
      <c r="A4869" t="s">
        <v>23557</v>
      </c>
      <c r="B4869" t="s">
        <v>29268</v>
      </c>
      <c r="C4869" t="s">
        <v>132</v>
      </c>
      <c r="D4869" t="s">
        <v>1265</v>
      </c>
      <c r="E4869" t="s">
        <v>19710</v>
      </c>
      <c r="F4869" s="2" t="n">
        <f>HYPERLINK("https://patents.google.com/patent/US10526375","Google")</f>
        <v>0.0</v>
      </c>
      <c r="G4869" s="2" t="n">
        <f>HYPERLINK("https://patentcenter.uspto.gov/applications/14896062","Patent Center")</f>
        <v>0.0</v>
      </c>
      <c r="H4869" s="2" t="n">
        <f>HYPERLINK("https://worldwide.espacenet.com/patent/search?q=US10526375","Espacenet")</f>
        <v>0.0</v>
      </c>
      <c r="I4869" s="2" t="n">
        <f>HYPERLINK("https://ppubs.uspto.gov/pubwebapp/external.html?q=10526375.pn.","USPTO")</f>
        <v>0.0</v>
      </c>
      <c r="J4869" s="2" t="n">
        <f>HYPERLINK("https://image-ppubs.uspto.gov/dirsearch-public/print/downloadPdf/10526375","USPTO PDF")</f>
        <v>0.0</v>
      </c>
      <c r="K4869" s="2" t="n">
        <f>HYPERLINK("https://sectors.patentforecast.com/pmd/US10526375","PMD")</f>
        <v>0.0</v>
      </c>
      <c r="L4869" s="2" t="n">
        <f>HYPERLINK("https://globaldossier.uspto.gov/result/patent/US/10526375/1","US10526375")</f>
        <v>0.0</v>
      </c>
      <c r="M4869" t="s">
        <v>19711</v>
      </c>
      <c r="N4869" t="s">
        <v>1251</v>
      </c>
      <c r="O4869" t="s">
        <v>1252</v>
      </c>
      <c r="P4869" t="s">
        <v>29269</v>
      </c>
      <c r="Q4869" s="3" t="n">
        <v>41795.0</v>
      </c>
      <c r="R4869" s="3" t="n">
        <v>43837.0</v>
      </c>
      <c r="S4869" s="3" t="n">
        <v>43900.437267939815</v>
      </c>
      <c r="T4869" s="3" t="n">
        <v>43901.70557074074</v>
      </c>
      <c r="U4869" t="s">
        <v>29270</v>
      </c>
      <c r="V4869" t="s">
        <v>19714</v>
      </c>
    </row>
    <row r="4870">
      <c r="A4870" t="s">
        <v>23557</v>
      </c>
      <c r="B4870" t="s">
        <v>29271</v>
      </c>
      <c r="C4870" t="s">
        <v>24</v>
      </c>
      <c r="D4870" t="s">
        <v>25</v>
      </c>
      <c r="E4870" t="s">
        <v>23701</v>
      </c>
      <c r="F4870" s="2" t="n">
        <f>HYPERLINK("https://patents.google.com/patent/US10522245","Google")</f>
        <v>0.0</v>
      </c>
      <c r="G4870" s="2" t="n">
        <f>HYPERLINK("https://patentcenter.uspto.gov/applications/15356972","Patent Center")</f>
        <v>0.0</v>
      </c>
      <c r="H4870" s="2" t="n">
        <f>HYPERLINK("https://worldwide.espacenet.com/patent/search?q=US10522245","Espacenet")</f>
        <v>0.0</v>
      </c>
      <c r="I4870" s="2" t="n">
        <f>HYPERLINK("https://ppubs.uspto.gov/pubwebapp/external.html?q=10522245.pn.","USPTO")</f>
        <v>0.0</v>
      </c>
      <c r="J4870" s="2" t="n">
        <f>HYPERLINK("https://image-ppubs.uspto.gov/dirsearch-public/print/downloadPdf/10522245","USPTO PDF")</f>
        <v>0.0</v>
      </c>
      <c r="K4870" s="2" t="n">
        <f>HYPERLINK("https://sectors.patentforecast.com/pmd/US10522245","PMD")</f>
        <v>0.0</v>
      </c>
      <c r="L4870" s="2" t="n">
        <f>HYPERLINK("https://globaldossier.uspto.gov/result/patent/US/10522245/1","US10522245")</f>
        <v>0.0</v>
      </c>
      <c r="M4870" t="s">
        <v>19210</v>
      </c>
      <c r="N4870" t="s">
        <v>3621</v>
      </c>
      <c r="O4870" t="s">
        <v>3622</v>
      </c>
      <c r="P4870" t="s">
        <v>29272</v>
      </c>
      <c r="Q4870" s="3" t="n">
        <v>42695.0</v>
      </c>
      <c r="R4870" s="3" t="n">
        <v>43830.0</v>
      </c>
      <c r="S4870" s="3" t="n">
        <v>43906.37291284722</v>
      </c>
      <c r="T4870" s="3" t="n">
        <v>43958.41062627315</v>
      </c>
      <c r="U4870" t="s">
        <v>29273</v>
      </c>
      <c r="V4870" t="s">
        <v>16602</v>
      </c>
    </row>
    <row r="4871">
      <c r="A4871" t="s">
        <v>23557</v>
      </c>
      <c r="B4871" t="s">
        <v>29274</v>
      </c>
      <c r="C4871" t="s">
        <v>24</v>
      </c>
      <c r="D4871" t="s">
        <v>25</v>
      </c>
      <c r="E4871" t="s">
        <v>22673</v>
      </c>
      <c r="F4871" s="2" t="n">
        <f>HYPERLINK("https://patents.google.com/patent/US10520366","Google")</f>
        <v>0.0</v>
      </c>
      <c r="G4871" s="2" t="n">
        <f>HYPERLINK("https://patentcenter.uspto.gov/applications/15803218","Patent Center")</f>
        <v>0.0</v>
      </c>
      <c r="H4871" s="2" t="n">
        <f>HYPERLINK("https://worldwide.espacenet.com/patent/search?q=US10520366","Espacenet")</f>
        <v>0.0</v>
      </c>
      <c r="I4871" s="2" t="n">
        <f>HYPERLINK("https://ppubs.uspto.gov/pubwebapp/external.html?q=10520366.pn.","USPTO")</f>
        <v>0.0</v>
      </c>
      <c r="J4871" s="2" t="n">
        <f>HYPERLINK("https://image-ppubs.uspto.gov/dirsearch-public/print/downloadPdf/10520366","USPTO PDF")</f>
        <v>0.0</v>
      </c>
      <c r="K4871" s="2" t="n">
        <f>HYPERLINK("https://sectors.patentforecast.com/pmd/US10520366","PMD")</f>
        <v>0.0</v>
      </c>
      <c r="L4871" s="2" t="n">
        <f>HYPERLINK("https://globaldossier.uspto.gov/result/patent/US/10520366/1","US10520366")</f>
        <v>0.0</v>
      </c>
      <c r="M4871" t="s">
        <v>18698</v>
      </c>
      <c r="N4871" t="s">
        <v>18699</v>
      </c>
      <c r="O4871" t="s">
        <v>18700</v>
      </c>
      <c r="P4871" t="s">
        <v>25051</v>
      </c>
      <c r="Q4871" s="3" t="n">
        <v>43042.0</v>
      </c>
      <c r="R4871" s="3" t="n">
        <v>43830.0</v>
      </c>
      <c r="S4871" s="3" t="n">
        <v>43900.437267939815</v>
      </c>
      <c r="T4871" s="3" t="n">
        <v>43901.70557074074</v>
      </c>
      <c r="U4871" t="s">
        <v>29275</v>
      </c>
      <c r="V4871" t="s">
        <v>18703</v>
      </c>
    </row>
    <row r="4872">
      <c r="A4872" t="s">
        <v>23557</v>
      </c>
      <c r="B4872" t="s">
        <v>29276</v>
      </c>
      <c r="C4872" t="s">
        <v>60</v>
      </c>
      <c r="D4872" t="s">
        <v>77</v>
      </c>
      <c r="E4872" t="s">
        <v>23740</v>
      </c>
      <c r="F4872" s="2" t="n">
        <f>HYPERLINK("https://patents.google.com/patent/US10508299","Google")</f>
        <v>0.0</v>
      </c>
      <c r="G4872" s="2" t="n">
        <f>HYPERLINK("https://patentcenter.uspto.gov/applications/15793681","Patent Center")</f>
        <v>0.0</v>
      </c>
      <c r="H4872" s="2" t="n">
        <f>HYPERLINK("https://worldwide.espacenet.com/patent/search?q=US10508299","Espacenet")</f>
        <v>0.0</v>
      </c>
      <c r="I4872" s="2" t="n">
        <f>HYPERLINK("https://ppubs.uspto.gov/pubwebapp/external.html?q=10508299.pn.","USPTO")</f>
        <v>0.0</v>
      </c>
      <c r="J4872" s="2" t="n">
        <f>HYPERLINK("https://image-ppubs.uspto.gov/dirsearch-public/print/downloadPdf/10508299","USPTO PDF")</f>
        <v>0.0</v>
      </c>
      <c r="K4872" s="2" t="n">
        <f>HYPERLINK("https://sectors.patentforecast.com/pmd/US10508299","PMD")</f>
        <v>0.0</v>
      </c>
      <c r="L4872" s="2" t="n">
        <f>HYPERLINK("https://globaldossier.uspto.gov/result/patent/US/10508299/1","US10508299")</f>
        <v>0.0</v>
      </c>
      <c r="M4872" t="s">
        <v>29277</v>
      </c>
      <c r="N4872" t="s">
        <v>16801</v>
      </c>
      <c r="O4872" t="s">
        <v>16802</v>
      </c>
      <c r="P4872" t="s">
        <v>29278</v>
      </c>
      <c r="Q4872" s="3" t="n">
        <v>43033.0</v>
      </c>
      <c r="R4872" s="3" t="n">
        <v>43816.0</v>
      </c>
      <c r="S4872" s="3" t="n">
        <v>43985.66920376157</v>
      </c>
      <c r="T4872" s="3" t="n">
        <v>43985.67861778935</v>
      </c>
      <c r="U4872" t="s">
        <v>29279</v>
      </c>
      <c r="V4872" t="s">
        <v>20454</v>
      </c>
    </row>
    <row r="4873">
      <c r="A4873" t="s">
        <v>23557</v>
      </c>
      <c r="B4873" t="s">
        <v>29280</v>
      </c>
      <c r="C4873" t="s">
        <v>60</v>
      </c>
      <c r="D4873" t="s">
        <v>61</v>
      </c>
      <c r="E4873" t="s">
        <v>23854</v>
      </c>
      <c r="F4873" s="2" t="n">
        <f>HYPERLINK("https://patents.google.com/patent/US10501476","Google")</f>
        <v>0.0</v>
      </c>
      <c r="G4873" s="2" t="n">
        <f>HYPERLINK("https://patentcenter.uspto.gov/applications/16203112","Patent Center")</f>
        <v>0.0</v>
      </c>
      <c r="H4873" s="2" t="n">
        <f>HYPERLINK("https://worldwide.espacenet.com/patent/search?q=US10501476","Espacenet")</f>
        <v>0.0</v>
      </c>
      <c r="I4873" s="2" t="n">
        <f>HYPERLINK("https://ppubs.uspto.gov/pubwebapp/external.html?q=10501476.pn.","USPTO")</f>
        <v>0.0</v>
      </c>
      <c r="J4873" s="2" t="n">
        <f>HYPERLINK("https://image-ppubs.uspto.gov/dirsearch-public/print/downloadPdf/10501476","USPTO PDF")</f>
        <v>0.0</v>
      </c>
      <c r="K4873" s="2" t="n">
        <f>HYPERLINK("https://sectors.patentforecast.com/pmd/US10501476","PMD")</f>
        <v>0.0</v>
      </c>
      <c r="L4873" s="2" t="n">
        <f>HYPERLINK("https://globaldossier.uspto.gov/result/patent/US/10501476/1","US10501476")</f>
        <v>0.0</v>
      </c>
      <c r="M4873" t="s">
        <v>17673</v>
      </c>
      <c r="N4873" t="s">
        <v>664</v>
      </c>
      <c r="O4873" t="s">
        <v>665</v>
      </c>
      <c r="P4873" t="s">
        <v>23604</v>
      </c>
      <c r="Q4873" s="3" t="n">
        <v>43432.0</v>
      </c>
      <c r="R4873" s="3" t="n">
        <v>43809.0</v>
      </c>
      <c r="S4873" s="3" t="n">
        <v>43952.45945267361</v>
      </c>
      <c r="T4873" s="3" t="n">
        <v>44638.65643378472</v>
      </c>
      <c r="U4873" t="s">
        <v>29281</v>
      </c>
      <c r="V4873" t="s">
        <v>17675</v>
      </c>
    </row>
    <row r="4874">
      <c r="A4874" t="s">
        <v>23557</v>
      </c>
      <c r="B4874" t="s">
        <v>29282</v>
      </c>
      <c r="C4874" t="s">
        <v>132</v>
      </c>
      <c r="D4874" t="s">
        <v>1265</v>
      </c>
      <c r="E4874" t="s">
        <v>22970</v>
      </c>
      <c r="F4874" s="2" t="n">
        <f>HYPERLINK("https://patents.google.com/patent/US10485863","Google")</f>
        <v>0.0</v>
      </c>
      <c r="G4874" s="2" t="n">
        <f>HYPERLINK("https://patentcenter.uspto.gov/applications/13811493","Patent Center")</f>
        <v>0.0</v>
      </c>
      <c r="H4874" s="2" t="n">
        <f>HYPERLINK("https://worldwide.espacenet.com/patent/search?q=US10485863","Espacenet")</f>
        <v>0.0</v>
      </c>
      <c r="I4874" s="2" t="n">
        <f>HYPERLINK("https://ppubs.uspto.gov/pubwebapp/external.html?q=10485863.pn.","USPTO")</f>
        <v>0.0</v>
      </c>
      <c r="J4874" s="2" t="n">
        <f>HYPERLINK("https://image-ppubs.uspto.gov/dirsearch-public/print/downloadPdf/10485863","USPTO PDF")</f>
        <v>0.0</v>
      </c>
      <c r="K4874" s="2" t="n">
        <f>HYPERLINK("https://sectors.patentforecast.com/pmd/US10485863","PMD")</f>
        <v>0.0</v>
      </c>
      <c r="L4874" s="2" t="n">
        <f>HYPERLINK("https://globaldossier.uspto.gov/result/patent/US/10485863/1","US10485863")</f>
        <v>0.0</v>
      </c>
      <c r="M4874" t="s">
        <v>29283</v>
      </c>
      <c r="N4874" t="s">
        <v>29284</v>
      </c>
      <c r="O4874" t="s">
        <v>29285</v>
      </c>
      <c r="P4874" t="s">
        <v>29113</v>
      </c>
      <c r="Q4874" s="3" t="n">
        <v>40749.0</v>
      </c>
      <c r="R4874" s="3" t="n">
        <v>43795.0</v>
      </c>
      <c r="S4874" s="3" t="n">
        <v>44019.685416631946</v>
      </c>
      <c r="T4874" s="3" t="n">
        <v>44020.62236606482</v>
      </c>
      <c r="U4874" t="s">
        <v>29286</v>
      </c>
      <c r="V4874" t="s">
        <v>29115</v>
      </c>
    </row>
    <row r="4875">
      <c r="A4875" t="s">
        <v>23557</v>
      </c>
      <c r="B4875" t="s">
        <v>29287</v>
      </c>
      <c r="C4875" t="s">
        <v>24</v>
      </c>
      <c r="D4875" t="s">
        <v>25</v>
      </c>
      <c r="E4875" t="s">
        <v>29288</v>
      </c>
      <c r="F4875" s="2" t="n">
        <f>HYPERLINK("https://patents.google.com/patent/US10475526","Google")</f>
        <v>0.0</v>
      </c>
      <c r="G4875" s="2" t="n">
        <f>HYPERLINK("https://patentcenter.uspto.gov/applications/14723424","Patent Center")</f>
        <v>0.0</v>
      </c>
      <c r="H4875" s="2" t="n">
        <f>HYPERLINK("https://worldwide.espacenet.com/patent/search?q=US10475526","Espacenet")</f>
        <v>0.0</v>
      </c>
      <c r="I4875" s="2" t="n">
        <f>HYPERLINK("https://ppubs.uspto.gov/pubwebapp/external.html?q=10475526.pn.","USPTO")</f>
        <v>0.0</v>
      </c>
      <c r="J4875" s="2" t="n">
        <f>HYPERLINK("https://image-ppubs.uspto.gov/dirsearch-public/print/downloadPdf/10475526","USPTO PDF")</f>
        <v>0.0</v>
      </c>
      <c r="K4875" s="2" t="n">
        <f>HYPERLINK("https://sectors.patentforecast.com/pmd/US10475526","PMD")</f>
        <v>0.0</v>
      </c>
      <c r="L4875" s="2" t="n">
        <f>HYPERLINK("https://globaldossier.uspto.gov/result/patent/US/10475526/1","US10475526")</f>
        <v>0.0</v>
      </c>
      <c r="M4875" t="s">
        <v>19768</v>
      </c>
      <c r="N4875" t="s">
        <v>16429</v>
      </c>
      <c r="O4875" t="s">
        <v>16430</v>
      </c>
      <c r="P4875" t="s">
        <v>29289</v>
      </c>
      <c r="Q4875" s="3" t="n">
        <v>42151.0</v>
      </c>
      <c r="R4875" s="3" t="n">
        <v>43781.0</v>
      </c>
      <c r="S4875" s="3" t="n">
        <v>43908.458514398146</v>
      </c>
      <c r="T4875" s="3" t="n">
        <v>44543.61520615741</v>
      </c>
      <c r="U4875" t="s">
        <v>29290</v>
      </c>
      <c r="V4875" t="s">
        <v>16433</v>
      </c>
    </row>
    <row r="4876">
      <c r="A4876" t="s">
        <v>23557</v>
      </c>
      <c r="B4876" t="s">
        <v>29291</v>
      </c>
      <c r="C4876" t="s">
        <v>60</v>
      </c>
      <c r="D4876" t="s">
        <v>61</v>
      </c>
      <c r="E4876" t="s">
        <v>23564</v>
      </c>
      <c r="F4876" s="2" t="n">
        <f>HYPERLINK("https://patents.google.com/patent/US10472392","Google")</f>
        <v>0.0</v>
      </c>
      <c r="G4876" s="2" t="n">
        <f>HYPERLINK("https://patentcenter.uspto.gov/applications/15423469","Patent Center")</f>
        <v>0.0</v>
      </c>
      <c r="H4876" s="2" t="n">
        <f>HYPERLINK("https://worldwide.espacenet.com/patent/search?q=US10472392","Espacenet")</f>
        <v>0.0</v>
      </c>
      <c r="I4876" s="2" t="n">
        <f>HYPERLINK("https://ppubs.uspto.gov/pubwebapp/external.html?q=10472392.pn.","USPTO")</f>
        <v>0.0</v>
      </c>
      <c r="J4876" s="2" t="n">
        <f>HYPERLINK("https://image-ppubs.uspto.gov/dirsearch-public/print/downloadPdf/10472392","USPTO PDF")</f>
        <v>0.0</v>
      </c>
      <c r="K4876" s="2" t="n">
        <f>HYPERLINK("https://sectors.patentforecast.com/pmd/US10472392","PMD")</f>
        <v>0.0</v>
      </c>
      <c r="L4876" s="2" t="n">
        <f>HYPERLINK("https://globaldossier.uspto.gov/result/patent/US/10472392/1","US10472392")</f>
        <v>0.0</v>
      </c>
      <c r="M4876" t="s">
        <v>19180</v>
      </c>
      <c r="N4876" t="s">
        <v>19174</v>
      </c>
      <c r="O4876" t="s">
        <v>19175</v>
      </c>
      <c r="P4876" t="s">
        <v>24054</v>
      </c>
      <c r="Q4876" s="3" t="n">
        <v>42768.0</v>
      </c>
      <c r="R4876" s="3" t="n">
        <v>43781.0</v>
      </c>
      <c r="S4876" s="3" t="n">
        <v>43952.45945267361</v>
      </c>
      <c r="T4876" s="3" t="n">
        <v>44638.65643378472</v>
      </c>
      <c r="U4876" t="s">
        <v>29292</v>
      </c>
      <c r="V4876" t="s">
        <v>23808</v>
      </c>
    </row>
    <row r="4877">
      <c r="A4877" t="s">
        <v>23557</v>
      </c>
      <c r="B4877" t="s">
        <v>29293</v>
      </c>
      <c r="C4877" t="s">
        <v>60</v>
      </c>
      <c r="D4877" t="s">
        <v>696</v>
      </c>
      <c r="E4877" t="s">
        <v>21604</v>
      </c>
      <c r="F4877" s="2" t="n">
        <f>HYPERLINK("https://patents.google.com/patent/US10471143","Google")</f>
        <v>0.0</v>
      </c>
      <c r="G4877" s="2" t="n">
        <f>HYPERLINK("https://patentcenter.uspto.gov/applications/15653226","Patent Center")</f>
        <v>0.0</v>
      </c>
      <c r="H4877" s="2" t="n">
        <f>HYPERLINK("https://worldwide.espacenet.com/patent/search?q=US10471143","Espacenet")</f>
        <v>0.0</v>
      </c>
      <c r="I4877" s="2" t="n">
        <f>HYPERLINK("https://ppubs.uspto.gov/pubwebapp/external.html?q=10471143.pn.","USPTO")</f>
        <v>0.0</v>
      </c>
      <c r="J4877" s="2" t="n">
        <f>HYPERLINK("https://image-ppubs.uspto.gov/dirsearch-public/print/downloadPdf/10471143","USPTO PDF")</f>
        <v>0.0</v>
      </c>
      <c r="K4877" s="2" t="n">
        <f>HYPERLINK("https://sectors.patentforecast.com/pmd/US10471143","PMD")</f>
        <v>0.0</v>
      </c>
      <c r="L4877" s="2" t="n">
        <f>HYPERLINK("https://globaldossier.uspto.gov/result/patent/US/10471143/1","US10471143")</f>
        <v>0.0</v>
      </c>
      <c r="M4877" t="s">
        <v>18728</v>
      </c>
      <c r="N4877" t="s">
        <v>16927</v>
      </c>
      <c r="O4877" t="s">
        <v>16928</v>
      </c>
      <c r="P4877" t="s">
        <v>23586</v>
      </c>
      <c r="Q4877" s="3" t="n">
        <v>42934.0</v>
      </c>
      <c r="R4877" s="3" t="n">
        <v>43781.0</v>
      </c>
      <c r="S4877" s="3" t="n">
        <v>43966.47985513889</v>
      </c>
      <c r="T4877" s="3" t="n">
        <v>44643.44490069444</v>
      </c>
      <c r="U4877" t="s">
        <v>29294</v>
      </c>
      <c r="V4877" t="s">
        <v>16961</v>
      </c>
    </row>
    <row r="4878">
      <c r="A4878" t="s">
        <v>23557</v>
      </c>
      <c r="B4878" t="s">
        <v>29295</v>
      </c>
      <c r="C4878" t="s">
        <v>24</v>
      </c>
      <c r="D4878" t="s">
        <v>34</v>
      </c>
      <c r="E4878" t="s">
        <v>24119</v>
      </c>
      <c r="F4878" s="2" t="n">
        <f>HYPERLINK("https://patents.google.com/patent/US10457983","Google")</f>
        <v>0.0</v>
      </c>
      <c r="G4878" s="2" t="n">
        <f>HYPERLINK("https://patentcenter.uspto.gov/applications/15436080","Patent Center")</f>
        <v>0.0</v>
      </c>
      <c r="H4878" s="2" t="n">
        <f>HYPERLINK("https://worldwide.espacenet.com/patent/search?q=US10457983","Espacenet")</f>
        <v>0.0</v>
      </c>
      <c r="I4878" s="2" t="n">
        <f>HYPERLINK("https://ppubs.uspto.gov/pubwebapp/external.html?q=10457983.pn.","USPTO")</f>
        <v>0.0</v>
      </c>
      <c r="J4878" s="2" t="n">
        <f>HYPERLINK("https://image-ppubs.uspto.gov/dirsearch-public/print/downloadPdf/10457983","USPTO PDF")</f>
        <v>0.0</v>
      </c>
      <c r="K4878" s="2" t="n">
        <f>HYPERLINK("https://sectors.patentforecast.com/pmd/US10457983","PMD")</f>
        <v>0.0</v>
      </c>
      <c r="L4878" s="2" t="n">
        <f>HYPERLINK("https://globaldossier.uspto.gov/result/patent/US/10457983/1","US10457983")</f>
        <v>0.0</v>
      </c>
      <c r="M4878" t="s">
        <v>19195</v>
      </c>
      <c r="N4878" t="s">
        <v>4728</v>
      </c>
      <c r="O4878" t="s">
        <v>4729</v>
      </c>
      <c r="P4878" t="s">
        <v>24120</v>
      </c>
      <c r="Q4878" s="3" t="n">
        <v>42783.0</v>
      </c>
      <c r="R4878" s="3" t="n">
        <v>43767.0</v>
      </c>
      <c r="S4878" s="3" t="n">
        <v>44370.45832486111</v>
      </c>
      <c r="T4878" s="3" t="n">
        <v>44372.38111516204</v>
      </c>
      <c r="U4878" t="s">
        <v>29296</v>
      </c>
      <c r="V4878" t="s">
        <v>17039</v>
      </c>
    </row>
    <row r="4879">
      <c r="A4879" t="s">
        <v>23557</v>
      </c>
      <c r="B4879" t="s">
        <v>29297</v>
      </c>
      <c r="C4879" t="s">
        <v>60</v>
      </c>
      <c r="D4879" t="s">
        <v>61</v>
      </c>
      <c r="E4879" t="s">
        <v>29298</v>
      </c>
      <c r="F4879" s="2" t="n">
        <f>HYPERLINK("https://patents.google.com/patent/US10456395","Google")</f>
        <v>0.0</v>
      </c>
      <c r="G4879" s="2" t="n">
        <f>HYPERLINK("https://patentcenter.uspto.gov/applications/15982197","Patent Center")</f>
        <v>0.0</v>
      </c>
      <c r="H4879" s="2" t="n">
        <f>HYPERLINK("https://worldwide.espacenet.com/patent/search?q=US10456395","Espacenet")</f>
        <v>0.0</v>
      </c>
      <c r="I4879" s="2" t="n">
        <f>HYPERLINK("https://ppubs.uspto.gov/pubwebapp/external.html?q=10456395.pn.","USPTO")</f>
        <v>0.0</v>
      </c>
      <c r="J4879" s="2" t="n">
        <f>HYPERLINK("https://image-ppubs.uspto.gov/dirsearch-public/print/downloadPdf/10456395","USPTO PDF")</f>
        <v>0.0</v>
      </c>
      <c r="K4879" s="2" t="n">
        <f>HYPERLINK("https://sectors.patentforecast.com/pmd/US10456395","PMD")</f>
        <v>0.0</v>
      </c>
      <c r="L4879" s="2" t="n">
        <f>HYPERLINK("https://globaldossier.uspto.gov/result/patent/US/10456395/1","US10456395")</f>
        <v>0.0</v>
      </c>
      <c r="M4879" t="s">
        <v>29299</v>
      </c>
      <c r="N4879" t="s">
        <v>664</v>
      </c>
      <c r="O4879" t="s">
        <v>665</v>
      </c>
      <c r="P4879" t="s">
        <v>29300</v>
      </c>
      <c r="Q4879" s="3" t="n">
        <v>43237.0</v>
      </c>
      <c r="R4879" s="3" t="n">
        <v>43767.0</v>
      </c>
      <c r="S4879" s="3" t="n">
        <v>43952.45945267361</v>
      </c>
      <c r="T4879" s="3" t="n">
        <v>44638.65579662037</v>
      </c>
      <c r="U4879" t="s">
        <v>29301</v>
      </c>
      <c r="V4879" t="s">
        <v>24232</v>
      </c>
    </row>
    <row r="4880">
      <c r="A4880" t="s">
        <v>23557</v>
      </c>
      <c r="B4880" t="s">
        <v>29302</v>
      </c>
      <c r="C4880" t="s">
        <v>60</v>
      </c>
      <c r="D4880" t="s">
        <v>61</v>
      </c>
      <c r="E4880" t="s">
        <v>29303</v>
      </c>
      <c r="F4880" s="2" t="n">
        <f>HYPERLINK("https://patents.google.com/patent/US10442804","Google")</f>
        <v>0.0</v>
      </c>
      <c r="G4880" s="2" t="n">
        <f>HYPERLINK("https://patentcenter.uspto.gov/applications/15885390","Patent Center")</f>
        <v>0.0</v>
      </c>
      <c r="H4880" s="2" t="n">
        <f>HYPERLINK("https://worldwide.espacenet.com/patent/search?q=US10442804","Espacenet")</f>
        <v>0.0</v>
      </c>
      <c r="I4880" s="2" t="n">
        <f>HYPERLINK("https://ppubs.uspto.gov/pubwebapp/external.html?q=10442804.pn.","USPTO")</f>
        <v>0.0</v>
      </c>
      <c r="J4880" s="2" t="n">
        <f>HYPERLINK("https://image-ppubs.uspto.gov/dirsearch-public/print/downloadPdf/10442804","USPTO PDF")</f>
        <v>0.0</v>
      </c>
      <c r="K4880" s="2" t="n">
        <f>HYPERLINK("https://sectors.patentforecast.com/pmd/US10442804","PMD")</f>
        <v>0.0</v>
      </c>
      <c r="L4880" s="2" t="n">
        <f>HYPERLINK("https://globaldossier.uspto.gov/result/patent/US/10442804/1","US10442804")</f>
        <v>0.0</v>
      </c>
      <c r="M4880" t="s">
        <v>18249</v>
      </c>
      <c r="N4880" t="s">
        <v>664</v>
      </c>
      <c r="O4880" t="s">
        <v>665</v>
      </c>
      <c r="P4880" t="s">
        <v>29304</v>
      </c>
      <c r="Q4880" s="3" t="n">
        <v>43131.0</v>
      </c>
      <c r="R4880" s="3" t="n">
        <v>43753.0</v>
      </c>
      <c r="S4880" s="3" t="n">
        <v>43952.45945267361</v>
      </c>
      <c r="T4880" s="3" t="n">
        <v>44638.65643378472</v>
      </c>
      <c r="U4880" t="s">
        <v>29305</v>
      </c>
      <c r="V4880" t="s">
        <v>18252</v>
      </c>
    </row>
    <row r="4881">
      <c r="A4881" t="s">
        <v>23557</v>
      </c>
      <c r="B4881" t="s">
        <v>29306</v>
      </c>
      <c r="C4881" t="s">
        <v>24</v>
      </c>
      <c r="D4881" t="s">
        <v>25</v>
      </c>
      <c r="E4881" t="s">
        <v>29307</v>
      </c>
      <c r="F4881" s="2" t="n">
        <f>HYPERLINK("https://patents.google.com/patent/US10430904","Google")</f>
        <v>0.0</v>
      </c>
      <c r="G4881" s="2" t="n">
        <f>HYPERLINK("https://patentcenter.uspto.gov/applications/14767820","Patent Center")</f>
        <v>0.0</v>
      </c>
      <c r="H4881" s="2" t="n">
        <f>HYPERLINK("https://worldwide.espacenet.com/patent/search?q=US10430904","Espacenet")</f>
        <v>0.0</v>
      </c>
      <c r="I4881" s="2" t="n">
        <f>HYPERLINK("https://ppubs.uspto.gov/pubwebapp/external.html?q=10430904.pn.","USPTO")</f>
        <v>0.0</v>
      </c>
      <c r="J4881" s="2" t="n">
        <f>HYPERLINK("https://image-ppubs.uspto.gov/dirsearch-public/print/downloadPdf/10430904","USPTO PDF")</f>
        <v>0.0</v>
      </c>
      <c r="K4881" s="2" t="n">
        <f>HYPERLINK("https://sectors.patentforecast.com/pmd/US10430904","PMD")</f>
        <v>0.0</v>
      </c>
      <c r="L4881" s="2" t="n">
        <f>HYPERLINK("https://globaldossier.uspto.gov/result/patent/US/10430904/1","US10430904")</f>
        <v>0.0</v>
      </c>
      <c r="M4881" t="s">
        <v>19976</v>
      </c>
      <c r="N4881" t="s">
        <v>979</v>
      </c>
      <c r="O4881" t="s">
        <v>980</v>
      </c>
      <c r="P4881" t="s">
        <v>29308</v>
      </c>
      <c r="Q4881" s="3" t="n">
        <v>41684.0</v>
      </c>
      <c r="R4881" s="3" t="n">
        <v>43739.0</v>
      </c>
      <c r="S4881" s="3" t="n">
        <v>43908.458514398146</v>
      </c>
      <c r="T4881" s="3" t="n">
        <v>43937.51691371528</v>
      </c>
      <c r="U4881" t="s">
        <v>29309</v>
      </c>
      <c r="V4881" t="s">
        <v>17343</v>
      </c>
    </row>
    <row r="4882">
      <c r="A4882" t="s">
        <v>23557</v>
      </c>
      <c r="B4882" t="s">
        <v>29310</v>
      </c>
      <c r="C4882" t="s">
        <v>60</v>
      </c>
      <c r="D4882" t="s">
        <v>61</v>
      </c>
      <c r="E4882" t="s">
        <v>29311</v>
      </c>
      <c r="F4882" s="2" t="n">
        <f>HYPERLINK("https://patents.google.com/patent/US10428060","Google")</f>
        <v>0.0</v>
      </c>
      <c r="G4882" s="2" t="n">
        <f>HYPERLINK("https://patentcenter.uspto.gov/applications/15892965","Patent Center")</f>
        <v>0.0</v>
      </c>
      <c r="H4882" s="2" t="n">
        <f>HYPERLINK("https://worldwide.espacenet.com/patent/search?q=US10428060","Espacenet")</f>
        <v>0.0</v>
      </c>
      <c r="I4882" s="2" t="n">
        <f>HYPERLINK("https://ppubs.uspto.gov/pubwebapp/external.html?q=10428060.pn.","USPTO")</f>
        <v>0.0</v>
      </c>
      <c r="J4882" s="2" t="n">
        <f>HYPERLINK("https://image-ppubs.uspto.gov/dirsearch-public/print/downloadPdf/10428060","USPTO PDF")</f>
        <v>0.0</v>
      </c>
      <c r="K4882" s="2" t="n">
        <f>HYPERLINK("https://sectors.patentforecast.com/pmd/US10428060","PMD")</f>
        <v>0.0</v>
      </c>
      <c r="L4882" s="2" t="n">
        <f>HYPERLINK("https://globaldossier.uspto.gov/result/patent/US/10428060/1","US10428060")</f>
        <v>0.0</v>
      </c>
      <c r="M4882" t="s">
        <v>29312</v>
      </c>
      <c r="N4882" t="s">
        <v>3360</v>
      </c>
      <c r="O4882" t="s">
        <v>3361</v>
      </c>
      <c r="P4882" t="s">
        <v>29313</v>
      </c>
      <c r="Q4882" s="3" t="n">
        <v>43140.0</v>
      </c>
      <c r="R4882" s="3" t="n">
        <v>43739.0</v>
      </c>
      <c r="S4882" s="3" t="n">
        <v>43935.70415306713</v>
      </c>
      <c r="T4882" s="3" t="n">
        <v>43950.53755515046</v>
      </c>
      <c r="U4882" t="s">
        <v>29314</v>
      </c>
      <c r="V4882" t="s">
        <v>29315</v>
      </c>
    </row>
    <row r="4883">
      <c r="A4883" t="s">
        <v>23557</v>
      </c>
      <c r="B4883" t="s">
        <v>29316</v>
      </c>
      <c r="C4883" t="s">
        <v>24</v>
      </c>
      <c r="D4883" t="s">
        <v>25</v>
      </c>
      <c r="E4883" t="s">
        <v>29220</v>
      </c>
      <c r="F4883" s="2" t="n">
        <f>HYPERLINK("https://patents.google.com/patent/US10425705","Google")</f>
        <v>0.0</v>
      </c>
      <c r="G4883" s="2" t="n">
        <f>HYPERLINK("https://patentcenter.uspto.gov/applications/15957074","Patent Center")</f>
        <v>0.0</v>
      </c>
      <c r="H4883" s="2" t="n">
        <f>HYPERLINK("https://worldwide.espacenet.com/patent/search?q=US10425705","Espacenet")</f>
        <v>0.0</v>
      </c>
      <c r="I4883" s="2" t="n">
        <f>HYPERLINK("https://ppubs.uspto.gov/pubwebapp/external.html?q=10425705.pn.","USPTO")</f>
        <v>0.0</v>
      </c>
      <c r="J4883" s="2" t="n">
        <f>HYPERLINK("https://image-ppubs.uspto.gov/dirsearch-public/print/downloadPdf/10425705","USPTO PDF")</f>
        <v>0.0</v>
      </c>
      <c r="K4883" s="2" t="n">
        <f>HYPERLINK("https://sectors.patentforecast.com/pmd/US10425705","PMD")</f>
        <v>0.0</v>
      </c>
      <c r="L4883" s="2" t="n">
        <f>HYPERLINK("https://globaldossier.uspto.gov/result/patent/US/10425705/1","US10425705")</f>
        <v>0.0</v>
      </c>
      <c r="M4883" t="s">
        <v>29317</v>
      </c>
      <c r="N4883" t="s">
        <v>23613</v>
      </c>
      <c r="O4883" t="s">
        <v>23614</v>
      </c>
      <c r="P4883" t="s">
        <v>23615</v>
      </c>
      <c r="Q4883" s="3" t="n">
        <v>43209.0</v>
      </c>
      <c r="R4883" s="3" t="n">
        <v>43732.0</v>
      </c>
      <c r="S4883" s="3" t="n">
        <v>43908.458514398146</v>
      </c>
      <c r="T4883" s="3" t="n">
        <v>43950.55817247685</v>
      </c>
      <c r="U4883" t="s">
        <v>29318</v>
      </c>
      <c r="V4883" t="s">
        <v>29319</v>
      </c>
    </row>
    <row r="4884">
      <c r="A4884" t="s">
        <v>23557</v>
      </c>
      <c r="B4884" t="s">
        <v>29320</v>
      </c>
      <c r="C4884" t="s">
        <v>312</v>
      </c>
      <c r="D4884" t="s">
        <v>976</v>
      </c>
      <c r="E4884" t="s">
        <v>29321</v>
      </c>
      <c r="F4884" s="2" t="n">
        <f>HYPERLINK("https://patents.google.com/patent/US10424402","Google")</f>
        <v>0.0</v>
      </c>
      <c r="G4884" s="2" t="n">
        <f>HYPERLINK("https://patentcenter.uspto.gov/applications/13303104","Patent Center")</f>
        <v>0.0</v>
      </c>
      <c r="H4884" s="2" t="n">
        <f>HYPERLINK("https://worldwide.espacenet.com/patent/search?q=US10424402","Espacenet")</f>
        <v>0.0</v>
      </c>
      <c r="I4884" s="2" t="n">
        <f>HYPERLINK("https://ppubs.uspto.gov/pubwebapp/external.html?q=10424402.pn.","USPTO")</f>
        <v>0.0</v>
      </c>
      <c r="J4884" s="2" t="n">
        <f>HYPERLINK("https://image-ppubs.uspto.gov/dirsearch-public/print/downloadPdf/10424402","USPTO PDF")</f>
        <v>0.0</v>
      </c>
      <c r="K4884" s="2" t="n">
        <f>HYPERLINK("https://sectors.patentforecast.com/pmd/US10424402","PMD")</f>
        <v>0.0</v>
      </c>
      <c r="L4884" s="2" t="n">
        <f>HYPERLINK("https://globaldossier.uspto.gov/result/patent/US/10424402/1","US10424402")</f>
        <v>0.0</v>
      </c>
      <c r="M4884" t="s">
        <v>29322</v>
      </c>
      <c r="N4884" t="s">
        <v>29323</v>
      </c>
      <c r="O4884" t="s">
        <v>29324</v>
      </c>
      <c r="P4884" t="s">
        <v>29325</v>
      </c>
      <c r="Q4884" s="3" t="n">
        <v>40869.0</v>
      </c>
      <c r="R4884" s="3" t="n">
        <v>43732.0</v>
      </c>
      <c r="S4884" s="3" t="n">
        <v>43908.458514398146</v>
      </c>
      <c r="T4884" s="3" t="n">
        <v>44672.452228043985</v>
      </c>
      <c r="U4884" t="s">
        <v>29326</v>
      </c>
      <c r="V4884" t="s">
        <v>29327</v>
      </c>
    </row>
    <row r="4885">
      <c r="A4885" t="s">
        <v>23557</v>
      </c>
      <c r="B4885" t="s">
        <v>29328</v>
      </c>
      <c r="C4885" t="s">
        <v>60</v>
      </c>
      <c r="D4885" t="s">
        <v>77</v>
      </c>
      <c r="E4885" t="s">
        <v>29329</v>
      </c>
      <c r="F4885" s="2" t="n">
        <f>HYPERLINK("https://patents.google.com/patent/US10421936","Google")</f>
        <v>0.0</v>
      </c>
      <c r="G4885" s="2" t="n">
        <f>HYPERLINK("https://patentcenter.uspto.gov/applications/15841194","Patent Center")</f>
        <v>0.0</v>
      </c>
      <c r="H4885" s="2" t="n">
        <f>HYPERLINK("https://worldwide.espacenet.com/patent/search?q=US10421936","Espacenet")</f>
        <v>0.0</v>
      </c>
      <c r="I4885" s="2" t="n">
        <f>HYPERLINK("https://ppubs.uspto.gov/pubwebapp/external.html?q=10421936.pn.","USPTO")</f>
        <v>0.0</v>
      </c>
      <c r="J4885" s="2" t="n">
        <f>HYPERLINK("https://image-ppubs.uspto.gov/dirsearch-public/print/downloadPdf/10421936","USPTO PDF")</f>
        <v>0.0</v>
      </c>
      <c r="K4885" s="2" t="n">
        <f>HYPERLINK("https://sectors.patentforecast.com/pmd/US10421936","PMD")</f>
        <v>0.0</v>
      </c>
      <c r="L4885" s="2" t="n">
        <f>HYPERLINK("https://globaldossier.uspto.gov/result/patent/US/10421936/1","US10421936")</f>
        <v>0.0</v>
      </c>
      <c r="M4885" t="s">
        <v>18438</v>
      </c>
      <c r="N4885" t="s">
        <v>16801</v>
      </c>
      <c r="O4885" t="s">
        <v>16802</v>
      </c>
      <c r="P4885" t="s">
        <v>29330</v>
      </c>
      <c r="Q4885" s="3" t="n">
        <v>43082.0</v>
      </c>
      <c r="R4885" s="3" t="n">
        <v>43732.0</v>
      </c>
      <c r="S4885" s="3" t="n">
        <v>43985.66955077546</v>
      </c>
      <c r="T4885" s="3" t="n">
        <v>43985.67861778935</v>
      </c>
      <c r="U4885" t="s">
        <v>29331</v>
      </c>
      <c r="V4885" t="s">
        <v>17304</v>
      </c>
    </row>
    <row r="4886">
      <c r="A4886" t="s">
        <v>23557</v>
      </c>
      <c r="B4886" t="s">
        <v>29332</v>
      </c>
      <c r="C4886" t="s">
        <v>24</v>
      </c>
      <c r="D4886" t="s">
        <v>25</v>
      </c>
      <c r="E4886" t="s">
        <v>29333</v>
      </c>
      <c r="F4886" s="2" t="n">
        <f>HYPERLINK("https://patents.google.com/patent/US10418133","Google")</f>
        <v>0.0</v>
      </c>
      <c r="G4886" s="2" t="n">
        <f>HYPERLINK("https://patentcenter.uspto.gov/applications/14960616","Patent Center")</f>
        <v>0.0</v>
      </c>
      <c r="H4886" s="2" t="n">
        <f>HYPERLINK("https://worldwide.espacenet.com/patent/search?q=US10418133","Espacenet")</f>
        <v>0.0</v>
      </c>
      <c r="I4886" s="2" t="n">
        <f>HYPERLINK("https://ppubs.uspto.gov/pubwebapp/external.html?q=10418133.pn.","USPTO")</f>
        <v>0.0</v>
      </c>
      <c r="J4886" s="2" t="n">
        <f>HYPERLINK("https://image-ppubs.uspto.gov/dirsearch-public/print/downloadPdf/10418133","USPTO PDF")</f>
        <v>0.0</v>
      </c>
      <c r="K4886" s="2" t="n">
        <f>HYPERLINK("https://sectors.patentforecast.com/pmd/US10418133","PMD")</f>
        <v>0.0</v>
      </c>
      <c r="L4886" s="2" t="n">
        <f>HYPERLINK("https://globaldossier.uspto.gov/result/patent/US/10418133/1","US10418133")</f>
        <v>0.0</v>
      </c>
      <c r="M4886" t="s">
        <v>19221</v>
      </c>
      <c r="N4886" t="s">
        <v>5695</v>
      </c>
      <c r="O4886" t="s">
        <v>5696</v>
      </c>
      <c r="P4886" t="s">
        <v>29334</v>
      </c>
      <c r="Q4886" s="3" t="n">
        <v>42345.0</v>
      </c>
      <c r="R4886" s="3" t="n">
        <v>43725.0</v>
      </c>
      <c r="S4886" s="3" t="n">
        <v>43900.437267939815</v>
      </c>
      <c r="T4886" s="3" t="n">
        <v>43901.705570659724</v>
      </c>
      <c r="U4886" t="s">
        <v>29335</v>
      </c>
      <c r="V4886" t="s">
        <v>19224</v>
      </c>
    </row>
    <row r="4887">
      <c r="A4887" t="s">
        <v>23557</v>
      </c>
      <c r="B4887" t="s">
        <v>29336</v>
      </c>
      <c r="C4887" t="s">
        <v>60</v>
      </c>
      <c r="D4887" t="s">
        <v>77</v>
      </c>
      <c r="E4887" t="s">
        <v>29337</v>
      </c>
      <c r="F4887" s="2" t="n">
        <f>HYPERLINK("https://patents.google.com/patent/US10406222","Google")</f>
        <v>0.0</v>
      </c>
      <c r="G4887" s="2" t="n">
        <f>HYPERLINK("https://patentcenter.uspto.gov/applications/15633589","Patent Center")</f>
        <v>0.0</v>
      </c>
      <c r="H4887" s="2" t="n">
        <f>HYPERLINK("https://worldwide.espacenet.com/patent/search?q=US10406222","Espacenet")</f>
        <v>0.0</v>
      </c>
      <c r="I4887" s="2" t="n">
        <f>HYPERLINK("https://ppubs.uspto.gov/pubwebapp/external.html?q=10406222.pn.","USPTO")</f>
        <v>0.0</v>
      </c>
      <c r="J4887" s="2" t="n">
        <f>HYPERLINK("https://image-ppubs.uspto.gov/dirsearch-public/print/downloadPdf/10406222","USPTO PDF")</f>
        <v>0.0</v>
      </c>
      <c r="K4887" s="2" t="n">
        <f>HYPERLINK("https://sectors.patentforecast.com/pmd/US10406222","PMD")</f>
        <v>0.0</v>
      </c>
      <c r="L4887" s="2" t="n">
        <f>HYPERLINK("https://globaldossier.uspto.gov/result/patent/US/10406222/1","US10406222")</f>
        <v>0.0</v>
      </c>
      <c r="M4887" t="s">
        <v>18899</v>
      </c>
      <c r="N4887" t="s">
        <v>4321</v>
      </c>
      <c r="O4887" t="s">
        <v>4322</v>
      </c>
      <c r="P4887" t="s">
        <v>23979</v>
      </c>
      <c r="Q4887" s="3" t="n">
        <v>42912.0</v>
      </c>
      <c r="R4887" s="3" t="n">
        <v>43718.0</v>
      </c>
      <c r="S4887" s="3" t="n">
        <v>43935.70415306713</v>
      </c>
      <c r="T4887" s="3" t="n">
        <v>43985.6379399537</v>
      </c>
      <c r="U4887" t="s">
        <v>29338</v>
      </c>
      <c r="V4887" t="s">
        <v>20051</v>
      </c>
    </row>
    <row r="4888">
      <c r="A4888" t="s">
        <v>23557</v>
      </c>
      <c r="B4888" t="s">
        <v>29339</v>
      </c>
      <c r="C4888" t="s">
        <v>60</v>
      </c>
      <c r="D4888" t="s">
        <v>77</v>
      </c>
      <c r="E4888" t="s">
        <v>29340</v>
      </c>
      <c r="F4888" s="2" t="n">
        <f>HYPERLINK("https://patents.google.com/patent/US10400281","Google")</f>
        <v>0.0</v>
      </c>
      <c r="G4888" s="2" t="n">
        <f>HYPERLINK("https://patentcenter.uspto.gov/applications/15312909","Patent Center")</f>
        <v>0.0</v>
      </c>
      <c r="H4888" s="2" t="n">
        <f>HYPERLINK("https://worldwide.espacenet.com/patent/search?q=US10400281","Espacenet")</f>
        <v>0.0</v>
      </c>
      <c r="I4888" s="2" t="n">
        <f>HYPERLINK("https://ppubs.uspto.gov/pubwebapp/external.html?q=10400281.pn.","USPTO")</f>
        <v>0.0</v>
      </c>
      <c r="J4888" s="2" t="n">
        <f>HYPERLINK("https://image-ppubs.uspto.gov/dirsearch-public/print/downloadPdf/10400281","USPTO PDF")</f>
        <v>0.0</v>
      </c>
      <c r="K4888" s="2" t="n">
        <f>HYPERLINK("https://sectors.patentforecast.com/pmd/US10400281","PMD")</f>
        <v>0.0</v>
      </c>
      <c r="L4888" s="2" t="n">
        <f>HYPERLINK("https://globaldossier.uspto.gov/result/patent/US/10400281/1","US10400281")</f>
        <v>0.0</v>
      </c>
      <c r="M4888" t="s">
        <v>19276</v>
      </c>
      <c r="N4888" t="s">
        <v>16801</v>
      </c>
      <c r="O4888" t="s">
        <v>16802</v>
      </c>
      <c r="P4888" t="s">
        <v>29341</v>
      </c>
      <c r="Q4888" s="3" t="n">
        <v>42146.0</v>
      </c>
      <c r="R4888" s="3" t="n">
        <v>43711.0</v>
      </c>
      <c r="S4888" s="3" t="n">
        <v>43985.66920376157</v>
      </c>
      <c r="T4888" s="3" t="n">
        <v>43985.67861778935</v>
      </c>
      <c r="U4888" t="s">
        <v>29342</v>
      </c>
      <c r="V4888" t="s">
        <v>17434</v>
      </c>
    </row>
    <row r="4889">
      <c r="A4889" t="s">
        <v>23557</v>
      </c>
      <c r="B4889" t="s">
        <v>29343</v>
      </c>
      <c r="C4889" t="s">
        <v>24</v>
      </c>
      <c r="D4889" t="s">
        <v>100</v>
      </c>
      <c r="E4889" t="s">
        <v>29344</v>
      </c>
      <c r="F4889" s="2" t="n">
        <f>HYPERLINK("https://patents.google.com/patent/US10398795","Google")</f>
        <v>0.0</v>
      </c>
      <c r="G4889" s="2" t="n">
        <f>HYPERLINK("https://patentcenter.uspto.gov/applications/15858446","Patent Center")</f>
        <v>0.0</v>
      </c>
      <c r="H4889" s="2" t="n">
        <f>HYPERLINK("https://worldwide.espacenet.com/patent/search?q=US10398795","Espacenet")</f>
        <v>0.0</v>
      </c>
      <c r="I4889" s="2" t="n">
        <f>HYPERLINK("https://ppubs.uspto.gov/pubwebapp/external.html?q=10398795.pn.","USPTO")</f>
        <v>0.0</v>
      </c>
      <c r="J4889" s="2" t="n">
        <f>HYPERLINK("https://image-ppubs.uspto.gov/dirsearch-public/print/downloadPdf/10398795","USPTO PDF")</f>
        <v>0.0</v>
      </c>
      <c r="K4889" s="2" t="n">
        <f>HYPERLINK("https://sectors.patentforecast.com/pmd/US10398795","PMD")</f>
        <v>0.0</v>
      </c>
      <c r="L4889" s="2" t="n">
        <f>HYPERLINK("https://globaldossier.uspto.gov/result/patent/US/10398795/1","US10398795")</f>
        <v>0.0</v>
      </c>
      <c r="M4889" t="s">
        <v>17663</v>
      </c>
      <c r="N4889" t="s">
        <v>17664</v>
      </c>
      <c r="O4889" t="s">
        <v>17665</v>
      </c>
      <c r="P4889" t="s">
        <v>29345</v>
      </c>
      <c r="Q4889" s="3" t="n">
        <v>43098.0</v>
      </c>
      <c r="R4889" s="3" t="n">
        <v>43711.0</v>
      </c>
      <c r="S4889" s="3" t="n">
        <v>43999.590191793985</v>
      </c>
      <c r="T4889" s="3" t="n">
        <v>43999.69838207176</v>
      </c>
      <c r="U4889" t="s">
        <v>29346</v>
      </c>
      <c r="V4889" t="s">
        <v>15561</v>
      </c>
    </row>
    <row r="4890">
      <c r="A4890" t="s">
        <v>23557</v>
      </c>
      <c r="B4890" t="s">
        <v>29347</v>
      </c>
      <c r="C4890" t="s">
        <v>132</v>
      </c>
      <c r="D4890" t="s">
        <v>1265</v>
      </c>
      <c r="E4890" t="s">
        <v>29348</v>
      </c>
      <c r="F4890" s="2" t="n">
        <f>HYPERLINK("https://patents.google.com/patent/US10398769","Google")</f>
        <v>0.0</v>
      </c>
      <c r="G4890" s="2" t="n">
        <f>HYPERLINK("https://patentcenter.uspto.gov/applications/14910136","Patent Center")</f>
        <v>0.0</v>
      </c>
      <c r="H4890" s="2" t="n">
        <f>HYPERLINK("https://worldwide.espacenet.com/patent/search?q=US10398769","Espacenet")</f>
        <v>0.0</v>
      </c>
      <c r="I4890" s="2" t="n">
        <f>HYPERLINK("https://ppubs.uspto.gov/pubwebapp/external.html?q=10398769.pn.","USPTO")</f>
        <v>0.0</v>
      </c>
      <c r="J4890" s="2" t="n">
        <f>HYPERLINK("https://image-ppubs.uspto.gov/dirsearch-public/print/downloadPdf/10398769","USPTO PDF")</f>
        <v>0.0</v>
      </c>
      <c r="K4890" s="2" t="n">
        <f>HYPERLINK("https://sectors.patentforecast.com/pmd/US10398769","PMD")</f>
        <v>0.0</v>
      </c>
      <c r="L4890" s="2" t="n">
        <f>HYPERLINK("https://globaldossier.uspto.gov/result/patent/US/10398769/1","US10398769")</f>
        <v>0.0</v>
      </c>
      <c r="M4890" t="s">
        <v>19664</v>
      </c>
      <c r="N4890" t="s">
        <v>2541</v>
      </c>
      <c r="O4890" t="s">
        <v>2542</v>
      </c>
      <c r="P4890" t="s">
        <v>29349</v>
      </c>
      <c r="Q4890" s="3" t="n">
        <v>41855.0</v>
      </c>
      <c r="R4890" s="3" t="n">
        <v>43711.0</v>
      </c>
      <c r="S4890" s="3" t="n">
        <v>43936.46037523148</v>
      </c>
      <c r="T4890" s="3" t="n">
        <v>44543.6709109838</v>
      </c>
      <c r="U4890" t="s">
        <v>29350</v>
      </c>
      <c r="V4890" t="s">
        <v>19667</v>
      </c>
    </row>
    <row r="4891">
      <c r="A4891" t="s">
        <v>23557</v>
      </c>
      <c r="B4891" t="s">
        <v>29351</v>
      </c>
      <c r="C4891" t="s">
        <v>24</v>
      </c>
      <c r="D4891" t="s">
        <v>1450</v>
      </c>
      <c r="E4891" t="s">
        <v>29352</v>
      </c>
      <c r="F4891" s="2" t="n">
        <f>HYPERLINK("https://patents.google.com/patent/US10393394","Google")</f>
        <v>0.0</v>
      </c>
      <c r="G4891" s="2" t="n">
        <f>HYPERLINK("https://patentcenter.uspto.gov/applications/14130680","Patent Center")</f>
        <v>0.0</v>
      </c>
      <c r="H4891" s="2" t="n">
        <f>HYPERLINK("https://worldwide.espacenet.com/patent/search?q=US10393394","Espacenet")</f>
        <v>0.0</v>
      </c>
      <c r="I4891" s="2" t="n">
        <f>HYPERLINK("https://ppubs.uspto.gov/pubwebapp/external.html?q=10393394.pn.","USPTO")</f>
        <v>0.0</v>
      </c>
      <c r="J4891" s="2" t="n">
        <f>HYPERLINK("https://image-ppubs.uspto.gov/dirsearch-public/print/downloadPdf/10393394","USPTO PDF")</f>
        <v>0.0</v>
      </c>
      <c r="K4891" s="2" t="n">
        <f>HYPERLINK("https://sectors.patentforecast.com/pmd/US10393394","PMD")</f>
        <v>0.0</v>
      </c>
      <c r="L4891" s="2" t="n">
        <f>HYPERLINK("https://globaldossier.uspto.gov/result/patent/US/10393394/1","US10393394")</f>
        <v>0.0</v>
      </c>
      <c r="M4891" t="s">
        <v>29353</v>
      </c>
      <c r="N4891" t="s">
        <v>29354</v>
      </c>
      <c r="O4891" t="s">
        <v>29354</v>
      </c>
      <c r="P4891" t="s">
        <v>29355</v>
      </c>
      <c r="Q4891" s="3" t="n">
        <v>41599.0</v>
      </c>
      <c r="R4891" s="3" t="n">
        <v>43704.0</v>
      </c>
      <c r="S4891" s="3" t="n">
        <v>43908.458514398146</v>
      </c>
      <c r="T4891" s="3" t="n">
        <v>43984.70349399305</v>
      </c>
      <c r="U4891" t="s">
        <v>29356</v>
      </c>
      <c r="V4891" t="s">
        <v>29357</v>
      </c>
    </row>
    <row r="4892">
      <c r="A4892" t="s">
        <v>23557</v>
      </c>
      <c r="B4892" t="s">
        <v>29358</v>
      </c>
      <c r="C4892" t="s">
        <v>24</v>
      </c>
      <c r="D4892" t="s">
        <v>100</v>
      </c>
      <c r="E4892" t="s">
        <v>29344</v>
      </c>
      <c r="F4892" s="2" t="n">
        <f>HYPERLINK("https://patents.google.com/patent/US10391188","Google")</f>
        <v>0.0</v>
      </c>
      <c r="G4892" s="2" t="n">
        <f>HYPERLINK("https://patentcenter.uspto.gov/applications/16127915","Patent Center")</f>
        <v>0.0</v>
      </c>
      <c r="H4892" s="2" t="n">
        <f>HYPERLINK("https://worldwide.espacenet.com/patent/search?q=US10391188","Espacenet")</f>
        <v>0.0</v>
      </c>
      <c r="I4892" s="2" t="n">
        <f>HYPERLINK("https://ppubs.uspto.gov/pubwebapp/external.html?q=10391188.pn.","USPTO")</f>
        <v>0.0</v>
      </c>
      <c r="J4892" s="2" t="n">
        <f>HYPERLINK("https://image-ppubs.uspto.gov/dirsearch-public/print/downloadPdf/10391188","USPTO PDF")</f>
        <v>0.0</v>
      </c>
      <c r="K4892" s="2" t="n">
        <f>HYPERLINK("https://sectors.patentforecast.com/pmd/US10391188","PMD")</f>
        <v>0.0</v>
      </c>
      <c r="L4892" s="2" t="n">
        <f>HYPERLINK("https://globaldossier.uspto.gov/result/patent/US/10391188/1","US10391188")</f>
        <v>0.0</v>
      </c>
      <c r="M4892" t="s">
        <v>17659</v>
      </c>
      <c r="N4892" t="s">
        <v>15557</v>
      </c>
      <c r="O4892" t="s">
        <v>15558</v>
      </c>
      <c r="P4892" t="s">
        <v>29345</v>
      </c>
      <c r="Q4892" s="3" t="n">
        <v>43354.0</v>
      </c>
      <c r="R4892" s="3" t="n">
        <v>43704.0</v>
      </c>
      <c r="S4892" s="3" t="n">
        <v>43999.590191793985</v>
      </c>
      <c r="T4892" s="3" t="n">
        <v>43999.69838207176</v>
      </c>
      <c r="U4892" t="s">
        <v>29359</v>
      </c>
      <c r="V4892" t="s">
        <v>15561</v>
      </c>
    </row>
    <row r="4893">
      <c r="A4893" t="s">
        <v>23557</v>
      </c>
      <c r="B4893" t="s">
        <v>29360</v>
      </c>
      <c r="C4893" t="s">
        <v>24</v>
      </c>
      <c r="D4893" t="s">
        <v>69</v>
      </c>
      <c r="E4893" t="s">
        <v>29361</v>
      </c>
      <c r="F4893" s="2" t="n">
        <f>HYPERLINK("https://patents.google.com/patent/US10385484","Google")</f>
        <v>0.0</v>
      </c>
      <c r="G4893" s="2" t="n">
        <f>HYPERLINK("https://patentcenter.uspto.gov/applications/15134707","Patent Center")</f>
        <v>0.0</v>
      </c>
      <c r="H4893" s="2" t="n">
        <f>HYPERLINK("https://worldwide.espacenet.com/patent/search?q=US10385484","Espacenet")</f>
        <v>0.0</v>
      </c>
      <c r="I4893" s="2" t="n">
        <f>HYPERLINK("https://ppubs.uspto.gov/pubwebapp/external.html?q=10385484.pn.","USPTO")</f>
        <v>0.0</v>
      </c>
      <c r="J4893" s="2" t="n">
        <f>HYPERLINK("https://image-ppubs.uspto.gov/dirsearch-public/print/downloadPdf/10385484","USPTO PDF")</f>
        <v>0.0</v>
      </c>
      <c r="K4893" s="2" t="n">
        <f>HYPERLINK("https://sectors.patentforecast.com/pmd/US10385484","PMD")</f>
        <v>0.0</v>
      </c>
      <c r="L4893" s="2" t="n">
        <f>HYPERLINK("https://globaldossier.uspto.gov/result/patent/US/10385484/1","US10385484")</f>
        <v>0.0</v>
      </c>
      <c r="M4893" t="s">
        <v>29362</v>
      </c>
      <c r="N4893" t="s">
        <v>29363</v>
      </c>
      <c r="O4893" t="s">
        <v>29364</v>
      </c>
      <c r="P4893" t="s">
        <v>29365</v>
      </c>
      <c r="Q4893" s="3" t="n">
        <v>42481.0</v>
      </c>
      <c r="R4893" s="3" t="n">
        <v>43697.0</v>
      </c>
      <c r="S4893" s="3" t="n">
        <v>43966.47973800926</v>
      </c>
      <c r="T4893" s="3" t="n">
        <v>44678.63268915509</v>
      </c>
      <c r="U4893" t="s">
        <v>29366</v>
      </c>
      <c r="V4893" t="s">
        <v>29367</v>
      </c>
    </row>
    <row r="4894">
      <c r="A4894" t="s">
        <v>23557</v>
      </c>
      <c r="B4894" t="s">
        <v>29368</v>
      </c>
      <c r="C4894" t="s">
        <v>24</v>
      </c>
      <c r="D4894" t="s">
        <v>25</v>
      </c>
      <c r="E4894" t="s">
        <v>29369</v>
      </c>
      <c r="F4894" s="2" t="n">
        <f>HYPERLINK("https://patents.google.com/patent/US10383519","Google")</f>
        <v>0.0</v>
      </c>
      <c r="G4894" s="2" t="n">
        <f>HYPERLINK("https://patentcenter.uspto.gov/applications/15815622","Patent Center")</f>
        <v>0.0</v>
      </c>
      <c r="H4894" s="2" t="n">
        <f>HYPERLINK("https://worldwide.espacenet.com/patent/search?q=US10383519","Espacenet")</f>
        <v>0.0</v>
      </c>
      <c r="I4894" s="2" t="n">
        <f>HYPERLINK("https://ppubs.uspto.gov/pubwebapp/external.html?q=10383519.pn.","USPTO")</f>
        <v>0.0</v>
      </c>
      <c r="J4894" s="2" t="n">
        <f>HYPERLINK("https://image-ppubs.uspto.gov/dirsearch-public/print/downloadPdf/10383519","USPTO PDF")</f>
        <v>0.0</v>
      </c>
      <c r="K4894" s="2" t="n">
        <f>HYPERLINK("https://sectors.patentforecast.com/pmd/US10383519","PMD")</f>
        <v>0.0</v>
      </c>
      <c r="L4894" s="2" t="n">
        <f>HYPERLINK("https://globaldossier.uspto.gov/result/patent/US/10383519/1","US10383519")</f>
        <v>0.0</v>
      </c>
      <c r="M4894" t="s">
        <v>18689</v>
      </c>
      <c r="N4894" t="s">
        <v>18683</v>
      </c>
      <c r="O4894" t="s">
        <v>18684</v>
      </c>
      <c r="P4894" t="s">
        <v>29370</v>
      </c>
      <c r="Q4894" s="3" t="n">
        <v>43055.0</v>
      </c>
      <c r="R4894" s="3" t="n">
        <v>43697.0</v>
      </c>
      <c r="S4894" s="3" t="n">
        <v>43906.372850162035</v>
      </c>
      <c r="T4894" s="3" t="n">
        <v>43950.58827719907</v>
      </c>
      <c r="U4894" t="s">
        <v>29371</v>
      </c>
      <c r="V4894" t="s">
        <v>29372</v>
      </c>
    </row>
    <row r="4895">
      <c r="A4895" t="s">
        <v>23557</v>
      </c>
      <c r="B4895" t="s">
        <v>29373</v>
      </c>
      <c r="C4895" t="s">
        <v>60</v>
      </c>
      <c r="D4895" t="s">
        <v>61</v>
      </c>
      <c r="E4895" t="s">
        <v>23996</v>
      </c>
      <c r="F4895" s="2" t="n">
        <f>HYPERLINK("https://patents.google.com/patent/US10377761","Google")</f>
        <v>0.0</v>
      </c>
      <c r="G4895" s="2" t="n">
        <f>HYPERLINK("https://patentcenter.uspto.gov/applications/16045371","Patent Center")</f>
        <v>0.0</v>
      </c>
      <c r="H4895" s="2" t="n">
        <f>HYPERLINK("https://worldwide.espacenet.com/patent/search?q=US10377761","Espacenet")</f>
        <v>0.0</v>
      </c>
      <c r="I4895" s="2" t="n">
        <f>HYPERLINK("https://ppubs.uspto.gov/pubwebapp/external.html?q=10377761.pn.","USPTO")</f>
        <v>0.0</v>
      </c>
      <c r="J4895" s="2" t="n">
        <f>HYPERLINK("https://image-ppubs.uspto.gov/dirsearch-public/print/downloadPdf/10377761","USPTO PDF")</f>
        <v>0.0</v>
      </c>
      <c r="K4895" s="2" t="n">
        <f>HYPERLINK("https://sectors.patentforecast.com/pmd/US10377761","PMD")</f>
        <v>0.0</v>
      </c>
      <c r="L4895" s="2" t="n">
        <f>HYPERLINK("https://globaldossier.uspto.gov/result/patent/US/10377761/1","US10377761")</f>
        <v>0.0</v>
      </c>
      <c r="M4895" t="s">
        <v>17916</v>
      </c>
      <c r="N4895" t="s">
        <v>664</v>
      </c>
      <c r="O4895" t="s">
        <v>665</v>
      </c>
      <c r="P4895" t="s">
        <v>23997</v>
      </c>
      <c r="Q4895" s="3" t="n">
        <v>43306.0</v>
      </c>
      <c r="R4895" s="3" t="n">
        <v>43690.0</v>
      </c>
      <c r="S4895" s="3" t="n">
        <v>43952.45945267361</v>
      </c>
      <c r="T4895" s="3" t="n">
        <v>44638.65643378472</v>
      </c>
      <c r="U4895" t="s">
        <v>29374</v>
      </c>
      <c r="V4895" t="s">
        <v>23999</v>
      </c>
    </row>
    <row r="4896">
      <c r="A4896" t="s">
        <v>23557</v>
      </c>
      <c r="B4896" t="s">
        <v>29375</v>
      </c>
      <c r="C4896" t="s">
        <v>60</v>
      </c>
      <c r="D4896" t="s">
        <v>61</v>
      </c>
      <c r="E4896" t="s">
        <v>23671</v>
      </c>
      <c r="F4896" s="2" t="n">
        <f>HYPERLINK("https://patents.google.com/patent/US10370358","Google")</f>
        <v>0.0</v>
      </c>
      <c r="G4896" s="2" t="n">
        <f>HYPERLINK("https://patentcenter.uspto.gov/applications/15902883","Patent Center")</f>
        <v>0.0</v>
      </c>
      <c r="H4896" s="2" t="n">
        <f>HYPERLINK("https://worldwide.espacenet.com/patent/search?q=US10370358","Espacenet")</f>
        <v>0.0</v>
      </c>
      <c r="I4896" s="2" t="n">
        <f>HYPERLINK("https://ppubs.uspto.gov/pubwebapp/external.html?q=10370358.pn.","USPTO")</f>
        <v>0.0</v>
      </c>
      <c r="J4896" s="2" t="n">
        <f>HYPERLINK("https://image-ppubs.uspto.gov/dirsearch-public/print/downloadPdf/10370358","USPTO PDF")</f>
        <v>0.0</v>
      </c>
      <c r="K4896" s="2" t="n">
        <f>HYPERLINK("https://sectors.patentforecast.com/pmd/US10370358","PMD")</f>
        <v>0.0</v>
      </c>
      <c r="L4896" s="2" t="n">
        <f>HYPERLINK("https://globaldossier.uspto.gov/result/patent/US/10370358/1","US10370358")</f>
        <v>0.0</v>
      </c>
      <c r="M4896" t="s">
        <v>18339</v>
      </c>
      <c r="N4896" t="s">
        <v>664</v>
      </c>
      <c r="O4896" t="s">
        <v>665</v>
      </c>
      <c r="P4896" t="s">
        <v>23672</v>
      </c>
      <c r="Q4896" s="3" t="n">
        <v>43153.0</v>
      </c>
      <c r="R4896" s="3" t="n">
        <v>43683.0</v>
      </c>
      <c r="S4896" s="3" t="n">
        <v>43952.45945267361</v>
      </c>
      <c r="T4896" s="3" t="n">
        <v>44638.662781747684</v>
      </c>
      <c r="U4896" t="s">
        <v>29376</v>
      </c>
      <c r="V4896" t="s">
        <v>17286</v>
      </c>
    </row>
    <row r="4897">
      <c r="A4897" t="s">
        <v>23557</v>
      </c>
      <c r="B4897" t="s">
        <v>29377</v>
      </c>
      <c r="C4897" t="s">
        <v>312</v>
      </c>
      <c r="D4897" t="s">
        <v>3202</v>
      </c>
      <c r="E4897" t="s">
        <v>29378</v>
      </c>
      <c r="F4897" s="2" t="n">
        <f>HYPERLINK("https://patents.google.com/patent/US10366791","Google")</f>
        <v>0.0</v>
      </c>
      <c r="G4897" s="2" t="n">
        <f>HYPERLINK("https://patentcenter.uspto.gov/applications/14231148","Patent Center")</f>
        <v>0.0</v>
      </c>
      <c r="H4897" s="2" t="n">
        <f>HYPERLINK("https://worldwide.espacenet.com/patent/search?q=US10366791","Espacenet")</f>
        <v>0.0</v>
      </c>
      <c r="I4897" s="2" t="n">
        <f>HYPERLINK("https://ppubs.uspto.gov/pubwebapp/external.html?q=10366791.pn.","USPTO")</f>
        <v>0.0</v>
      </c>
      <c r="J4897" s="2" t="n">
        <f>HYPERLINK("https://image-ppubs.uspto.gov/dirsearch-public/print/downloadPdf/10366791","USPTO PDF")</f>
        <v>0.0</v>
      </c>
      <c r="K4897" s="2" t="n">
        <f>HYPERLINK("https://sectors.patentforecast.com/pmd/US10366791","PMD")</f>
        <v>0.0</v>
      </c>
      <c r="L4897" s="2" t="n">
        <f>HYPERLINK("https://globaldossier.uspto.gov/result/patent/US/10366791/1","US10366791")</f>
        <v>0.0</v>
      </c>
      <c r="M4897" t="s">
        <v>29379</v>
      </c>
      <c r="N4897" t="s">
        <v>29380</v>
      </c>
      <c r="O4897" t="s">
        <v>29381</v>
      </c>
      <c r="P4897" t="s">
        <v>29382</v>
      </c>
      <c r="Q4897" s="3" t="n">
        <v>41729.0</v>
      </c>
      <c r="R4897" s="3" t="n">
        <v>43676.0</v>
      </c>
      <c r="S4897" s="3" t="n">
        <v>43908.458514398146</v>
      </c>
      <c r="T4897" s="3" t="n">
        <v>43990.70994375</v>
      </c>
      <c r="U4897" t="s">
        <v>29383</v>
      </c>
      <c r="V4897" t="s">
        <v>29384</v>
      </c>
    </row>
    <row r="4898">
      <c r="A4898" t="s">
        <v>23557</v>
      </c>
      <c r="B4898" t="s">
        <v>29385</v>
      </c>
      <c r="C4898" t="s">
        <v>312</v>
      </c>
      <c r="D4898" t="s">
        <v>3202</v>
      </c>
      <c r="E4898" t="s">
        <v>29386</v>
      </c>
      <c r="F4898" s="2" t="n">
        <f>HYPERLINK("https://patents.google.com/patent/US10362769","Google")</f>
        <v>0.0</v>
      </c>
      <c r="G4898" s="2" t="n">
        <f>HYPERLINK("https://patentcenter.uspto.gov/applications/15934120","Patent Center")</f>
        <v>0.0</v>
      </c>
      <c r="H4898" s="2" t="n">
        <f>HYPERLINK("https://worldwide.espacenet.com/patent/search?q=US10362769","Espacenet")</f>
        <v>0.0</v>
      </c>
      <c r="I4898" s="2" t="n">
        <f>HYPERLINK("https://ppubs.uspto.gov/pubwebapp/external.html?q=10362769.pn.","USPTO")</f>
        <v>0.0</v>
      </c>
      <c r="J4898" s="2" t="n">
        <f>HYPERLINK("https://image-ppubs.uspto.gov/dirsearch-public/print/downloadPdf/10362769","USPTO PDF")</f>
        <v>0.0</v>
      </c>
      <c r="K4898" s="2" t="n">
        <f>HYPERLINK("https://sectors.patentforecast.com/pmd/US10362769","PMD")</f>
        <v>0.0</v>
      </c>
      <c r="L4898" s="2" t="n">
        <f>HYPERLINK("https://globaldossier.uspto.gov/result/patent/US/10362769/1","US10362769")</f>
        <v>0.0</v>
      </c>
      <c r="M4898" t="s">
        <v>29387</v>
      </c>
      <c r="N4898" t="s">
        <v>947</v>
      </c>
      <c r="O4898" t="s">
        <v>948</v>
      </c>
      <c r="P4898" t="s">
        <v>29388</v>
      </c>
      <c r="Q4898" s="3" t="n">
        <v>43182.0</v>
      </c>
      <c r="R4898" s="3" t="n">
        <v>43676.0</v>
      </c>
      <c r="S4898" s="3" t="n">
        <v>43908.458514398146</v>
      </c>
      <c r="T4898" s="3" t="n">
        <v>43991.46669383102</v>
      </c>
      <c r="U4898" t="s">
        <v>29389</v>
      </c>
      <c r="V4898" t="s">
        <v>29390</v>
      </c>
    </row>
    <row r="4899">
      <c r="A4899" t="s">
        <v>23557</v>
      </c>
      <c r="B4899" t="s">
        <v>29391</v>
      </c>
      <c r="C4899" t="s">
        <v>24</v>
      </c>
      <c r="D4899" t="s">
        <v>3193</v>
      </c>
      <c r="E4899" t="s">
        <v>29392</v>
      </c>
      <c r="F4899" s="2" t="n">
        <f>HYPERLINK("https://patents.google.com/patent/US10361002","Google")</f>
        <v>0.0</v>
      </c>
      <c r="G4899" s="2" t="n">
        <f>HYPERLINK("https://patentcenter.uspto.gov/applications/15903804","Patent Center")</f>
        <v>0.0</v>
      </c>
      <c r="H4899" s="2" t="n">
        <f>HYPERLINK("https://worldwide.espacenet.com/patent/search?q=US10361002","Espacenet")</f>
        <v>0.0</v>
      </c>
      <c r="I4899" s="2" t="n">
        <f>HYPERLINK("https://ppubs.uspto.gov/pubwebapp/external.html?q=10361002.pn.","USPTO")</f>
        <v>0.0</v>
      </c>
      <c r="J4899" s="2" t="n">
        <f>HYPERLINK("https://image-ppubs.uspto.gov/dirsearch-public/print/downloadPdf/10361002","USPTO PDF")</f>
        <v>0.0</v>
      </c>
      <c r="K4899" s="2" t="n">
        <f>HYPERLINK("https://sectors.patentforecast.com/pmd/US10361002","PMD")</f>
        <v>0.0</v>
      </c>
      <c r="L4899" s="2" t="n">
        <f>HYPERLINK("https://globaldossier.uspto.gov/result/patent/US/10361002/1","US10361002")</f>
        <v>0.0</v>
      </c>
      <c r="M4899" t="s">
        <v>18356</v>
      </c>
      <c r="N4899" t="s">
        <v>926</v>
      </c>
      <c r="O4899" t="s">
        <v>927</v>
      </c>
      <c r="P4899" t="s">
        <v>29393</v>
      </c>
      <c r="Q4899" s="3" t="n">
        <v>43154.0</v>
      </c>
      <c r="R4899" s="3" t="n">
        <v>43669.0</v>
      </c>
      <c r="S4899" s="3" t="n">
        <v>43908.458514398146</v>
      </c>
      <c r="T4899" s="3" t="n">
        <v>44543.60871918981</v>
      </c>
      <c r="U4899" t="s">
        <v>29394</v>
      </c>
      <c r="V4899" t="s">
        <v>29395</v>
      </c>
    </row>
    <row r="4900">
      <c r="A4900" t="s">
        <v>23557</v>
      </c>
      <c r="B4900" t="s">
        <v>29396</v>
      </c>
      <c r="C4900" t="s">
        <v>24</v>
      </c>
      <c r="D4900" t="s">
        <v>25</v>
      </c>
      <c r="E4900" t="s">
        <v>29369</v>
      </c>
      <c r="F4900" s="2" t="n">
        <f>HYPERLINK("https://patents.google.com/patent/US10357157","Google")</f>
        <v>0.0</v>
      </c>
      <c r="G4900" s="2" t="n">
        <f>HYPERLINK("https://patentcenter.uspto.gov/applications/15098110","Patent Center")</f>
        <v>0.0</v>
      </c>
      <c r="H4900" s="2" t="n">
        <f>HYPERLINK("https://worldwide.espacenet.com/patent/search?q=US10357157","Espacenet")</f>
        <v>0.0</v>
      </c>
      <c r="I4900" s="2" t="n">
        <f>HYPERLINK("https://ppubs.uspto.gov/pubwebapp/external.html?q=10357157.pn.","USPTO")</f>
        <v>0.0</v>
      </c>
      <c r="J4900" s="2" t="n">
        <f>HYPERLINK("https://image-ppubs.uspto.gov/dirsearch-public/print/downloadPdf/10357157","USPTO PDF")</f>
        <v>0.0</v>
      </c>
      <c r="K4900" s="2" t="n">
        <f>HYPERLINK("https://sectors.patentforecast.com/pmd/US10357157","PMD")</f>
        <v>0.0</v>
      </c>
      <c r="L4900" s="2" t="n">
        <f>HYPERLINK("https://globaldossier.uspto.gov/result/patent/US/10357157/1","US10357157")</f>
        <v>0.0</v>
      </c>
      <c r="M4900" t="s">
        <v>19584</v>
      </c>
      <c r="N4900" t="s">
        <v>18683</v>
      </c>
      <c r="O4900" t="s">
        <v>18684</v>
      </c>
      <c r="P4900" t="s">
        <v>29397</v>
      </c>
      <c r="Q4900" s="3" t="n">
        <v>42473.0</v>
      </c>
      <c r="R4900" s="3" t="n">
        <v>43669.0</v>
      </c>
      <c r="S4900" s="3" t="n">
        <v>43906.372850162035</v>
      </c>
      <c r="T4900" s="3" t="n">
        <v>43950.58829585648</v>
      </c>
      <c r="U4900" t="s">
        <v>29398</v>
      </c>
      <c r="V4900" t="s">
        <v>29372</v>
      </c>
    </row>
    <row r="4901">
      <c r="A4901" t="s">
        <v>23557</v>
      </c>
      <c r="B4901" t="s">
        <v>29399</v>
      </c>
      <c r="C4901" t="s">
        <v>24</v>
      </c>
      <c r="D4901" t="s">
        <v>25</v>
      </c>
      <c r="E4901" t="s">
        <v>29400</v>
      </c>
      <c r="F4901" s="2" t="n">
        <f>HYPERLINK("https://patents.google.com/patent/US10354760","Google")</f>
        <v>0.0</v>
      </c>
      <c r="G4901" s="2" t="n">
        <f>HYPERLINK("https://patentcenter.uspto.gov/applications/11796691","Patent Center")</f>
        <v>0.0</v>
      </c>
      <c r="H4901" s="2" t="n">
        <f>HYPERLINK("https://worldwide.espacenet.com/patent/search?q=US10354760","Espacenet")</f>
        <v>0.0</v>
      </c>
      <c r="I4901" s="2" t="n">
        <f>HYPERLINK("https://ppubs.uspto.gov/pubwebapp/external.html?q=10354760.pn.","USPTO")</f>
        <v>0.0</v>
      </c>
      <c r="J4901" s="2" t="n">
        <f>HYPERLINK("https://image-ppubs.uspto.gov/dirsearch-public/print/downloadPdf/10354760","USPTO PDF")</f>
        <v>0.0</v>
      </c>
      <c r="K4901" s="2" t="n">
        <f>HYPERLINK("https://sectors.patentforecast.com/pmd/US10354760","PMD")</f>
        <v>0.0</v>
      </c>
      <c r="L4901" s="2" t="n">
        <f>HYPERLINK("https://globaldossier.uspto.gov/result/patent/US/10354760/1","US10354760")</f>
        <v>0.0</v>
      </c>
      <c r="M4901" t="s">
        <v>29401</v>
      </c>
      <c r="N4901" t="s">
        <v>17334</v>
      </c>
      <c r="O4901" t="s">
        <v>17335</v>
      </c>
      <c r="P4901" t="s">
        <v>29402</v>
      </c>
      <c r="Q4901" s="3" t="n">
        <v>39199.0</v>
      </c>
      <c r="R4901" s="3" t="n">
        <v>43662.0</v>
      </c>
      <c r="S4901" s="3" t="n">
        <v>43908.458514398146</v>
      </c>
      <c r="T4901" s="3" t="n">
        <v>43984.72791606482</v>
      </c>
      <c r="U4901" t="s">
        <v>25092</v>
      </c>
      <c r="V4901" t="s">
        <v>29403</v>
      </c>
    </row>
    <row r="4902">
      <c r="A4902" t="s">
        <v>23557</v>
      </c>
      <c r="B4902" t="s">
        <v>29404</v>
      </c>
      <c r="C4902" t="s">
        <v>24</v>
      </c>
      <c r="D4902" t="s">
        <v>25</v>
      </c>
      <c r="E4902" t="s">
        <v>29405</v>
      </c>
      <c r="F4902" s="2" t="n">
        <f>HYPERLINK("https://patents.google.com/patent/US10354753","Google")</f>
        <v>0.0</v>
      </c>
      <c r="G4902" s="2" t="n">
        <f>HYPERLINK("https://patentcenter.uspto.gov/applications/13843481","Patent Center")</f>
        <v>0.0</v>
      </c>
      <c r="H4902" s="2" t="n">
        <f>HYPERLINK("https://worldwide.espacenet.com/patent/search?q=US10354753","Espacenet")</f>
        <v>0.0</v>
      </c>
      <c r="I4902" s="2" t="n">
        <f>HYPERLINK("https://ppubs.uspto.gov/pubwebapp/external.html?q=10354753.pn.","USPTO")</f>
        <v>0.0</v>
      </c>
      <c r="J4902" s="2" t="n">
        <f>HYPERLINK("https://image-ppubs.uspto.gov/dirsearch-public/print/downloadPdf/10354753","USPTO PDF")</f>
        <v>0.0</v>
      </c>
      <c r="K4902" s="2" t="n">
        <f>HYPERLINK("https://sectors.patentforecast.com/pmd/US10354753","PMD")</f>
        <v>0.0</v>
      </c>
      <c r="L4902" s="2" t="n">
        <f>HYPERLINK("https://globaldossier.uspto.gov/result/patent/US/10354753/1","US10354753")</f>
        <v>0.0</v>
      </c>
      <c r="M4902" t="s">
        <v>29406</v>
      </c>
      <c r="N4902" t="s">
        <v>29407</v>
      </c>
      <c r="O4902" t="s">
        <v>29408</v>
      </c>
      <c r="P4902" t="s">
        <v>29409</v>
      </c>
      <c r="Q4902" s="3" t="n">
        <v>41348.0</v>
      </c>
      <c r="R4902" s="3" t="n">
        <v>43662.0</v>
      </c>
      <c r="S4902" s="3" t="n">
        <v>44019.2298171875</v>
      </c>
      <c r="T4902" s="3" t="n">
        <v>44019.69263883102</v>
      </c>
      <c r="U4902" t="s">
        <v>29410</v>
      </c>
      <c r="V4902" t="s">
        <v>29411</v>
      </c>
    </row>
    <row r="4903">
      <c r="A4903" t="s">
        <v>23557</v>
      </c>
      <c r="B4903" t="s">
        <v>29412</v>
      </c>
      <c r="C4903" t="s">
        <v>24</v>
      </c>
      <c r="D4903" t="s">
        <v>25</v>
      </c>
      <c r="E4903" t="s">
        <v>29413</v>
      </c>
      <c r="F4903" s="2" t="n">
        <f>HYPERLINK("https://patents.google.com/patent/US10347382","Google")</f>
        <v>0.0</v>
      </c>
      <c r="G4903" s="2" t="n">
        <f>HYPERLINK("https://patentcenter.uspto.gov/applications/14500596","Patent Center")</f>
        <v>0.0</v>
      </c>
      <c r="H4903" s="2" t="n">
        <f>HYPERLINK("https://worldwide.espacenet.com/patent/search?q=US10347382","Espacenet")</f>
        <v>0.0</v>
      </c>
      <c r="I4903" s="2" t="n">
        <f>HYPERLINK("https://ppubs.uspto.gov/pubwebapp/external.html?q=10347382.pn.","USPTO")</f>
        <v>0.0</v>
      </c>
      <c r="J4903" s="2" t="n">
        <f>HYPERLINK("https://image-ppubs.uspto.gov/dirsearch-public/print/downloadPdf/10347382","USPTO PDF")</f>
        <v>0.0</v>
      </c>
      <c r="K4903" s="2" t="n">
        <f>HYPERLINK("https://sectors.patentforecast.com/pmd/US10347382","PMD")</f>
        <v>0.0</v>
      </c>
      <c r="L4903" s="2" t="n">
        <f>HYPERLINK("https://globaldossier.uspto.gov/result/patent/US/10347382/1","US10347382")</f>
        <v>0.0</v>
      </c>
      <c r="M4903" t="s">
        <v>19754</v>
      </c>
      <c r="N4903" t="s">
        <v>19755</v>
      </c>
      <c r="O4903" t="s">
        <v>19756</v>
      </c>
      <c r="P4903" t="s">
        <v>29414</v>
      </c>
      <c r="Q4903" s="3" t="n">
        <v>41911.0</v>
      </c>
      <c r="R4903" s="3" t="n">
        <v>43655.0</v>
      </c>
      <c r="S4903" s="3" t="n">
        <v>43906.37291284722</v>
      </c>
      <c r="T4903" s="3" t="n">
        <v>43950.54534600695</v>
      </c>
      <c r="U4903" t="s">
        <v>29415</v>
      </c>
      <c r="V4903" t="s">
        <v>19759</v>
      </c>
    </row>
    <row r="4904">
      <c r="A4904" t="s">
        <v>23557</v>
      </c>
      <c r="B4904" t="s">
        <v>29416</v>
      </c>
      <c r="C4904" t="s">
        <v>60</v>
      </c>
      <c r="D4904" t="s">
        <v>696</v>
      </c>
      <c r="E4904" t="s">
        <v>22011</v>
      </c>
      <c r="F4904" s="2" t="n">
        <f>HYPERLINK("https://patents.google.com/patent/US10344086","Google")</f>
        <v>0.0</v>
      </c>
      <c r="G4904" s="2" t="n">
        <f>HYPERLINK("https://patentcenter.uspto.gov/applications/15700374","Patent Center")</f>
        <v>0.0</v>
      </c>
      <c r="H4904" s="2" t="n">
        <f>HYPERLINK("https://worldwide.espacenet.com/patent/search?q=US10344086","Espacenet")</f>
        <v>0.0</v>
      </c>
      <c r="I4904" s="2" t="n">
        <f>HYPERLINK("https://ppubs.uspto.gov/pubwebapp/external.html?q=10344086.pn.","USPTO")</f>
        <v>0.0</v>
      </c>
      <c r="J4904" s="2" t="n">
        <f>HYPERLINK("https://image-ppubs.uspto.gov/dirsearch-public/print/downloadPdf/10344086","USPTO PDF")</f>
        <v>0.0</v>
      </c>
      <c r="K4904" s="2" t="n">
        <f>HYPERLINK("https://sectors.patentforecast.com/pmd/US10344086","PMD")</f>
        <v>0.0</v>
      </c>
      <c r="L4904" s="2" t="n">
        <f>HYPERLINK("https://globaldossier.uspto.gov/result/patent/US/10344086/1","US10344086")</f>
        <v>0.0</v>
      </c>
      <c r="M4904" t="s">
        <v>18361</v>
      </c>
      <c r="N4904" t="s">
        <v>16927</v>
      </c>
      <c r="O4904" t="s">
        <v>16928</v>
      </c>
      <c r="P4904" t="s">
        <v>23797</v>
      </c>
      <c r="Q4904" s="3" t="n">
        <v>42989.0</v>
      </c>
      <c r="R4904" s="3" t="n">
        <v>43655.0</v>
      </c>
      <c r="S4904" s="3" t="n">
        <v>43966.47973800926</v>
      </c>
      <c r="T4904" s="3" t="n">
        <v>44643.44490069444</v>
      </c>
      <c r="U4904" t="s">
        <v>29417</v>
      </c>
      <c r="V4904" t="s">
        <v>16993</v>
      </c>
    </row>
    <row r="4905">
      <c r="A4905" t="s">
        <v>23557</v>
      </c>
      <c r="B4905" t="s">
        <v>29418</v>
      </c>
      <c r="C4905" t="s">
        <v>60</v>
      </c>
      <c r="D4905" t="s">
        <v>61</v>
      </c>
      <c r="E4905" t="s">
        <v>22432</v>
      </c>
      <c r="F4905" s="2" t="n">
        <f>HYPERLINK("https://patents.google.com/patent/US10344019","Google")</f>
        <v>0.0</v>
      </c>
      <c r="G4905" s="2" t="n">
        <f>HYPERLINK("https://patentcenter.uspto.gov/applications/14814392","Patent Center")</f>
        <v>0.0</v>
      </c>
      <c r="H4905" s="2" t="n">
        <f>HYPERLINK("https://worldwide.espacenet.com/patent/search?q=US10344019","Espacenet")</f>
        <v>0.0</v>
      </c>
      <c r="I4905" s="2" t="n">
        <f>HYPERLINK("https://ppubs.uspto.gov/pubwebapp/external.html?q=10344019.pn.","USPTO")</f>
        <v>0.0</v>
      </c>
      <c r="J4905" s="2" t="n">
        <f>HYPERLINK("https://image-ppubs.uspto.gov/dirsearch-public/print/downloadPdf/10344019","USPTO PDF")</f>
        <v>0.0</v>
      </c>
      <c r="K4905" s="2" t="n">
        <f>HYPERLINK("https://sectors.patentforecast.com/pmd/US10344019","PMD")</f>
        <v>0.0</v>
      </c>
      <c r="L4905" s="2" t="n">
        <f>HYPERLINK("https://globaldossier.uspto.gov/result/patent/US/10344019/1","US10344019")</f>
        <v>0.0</v>
      </c>
      <c r="M4905" t="s">
        <v>19998</v>
      </c>
      <c r="N4905" t="s">
        <v>664</v>
      </c>
      <c r="O4905" t="s">
        <v>665</v>
      </c>
      <c r="P4905" t="s">
        <v>29419</v>
      </c>
      <c r="Q4905" s="3" t="n">
        <v>42215.0</v>
      </c>
      <c r="R4905" s="3" t="n">
        <v>43655.0</v>
      </c>
      <c r="S4905" s="3" t="n">
        <v>43952.45945267361</v>
      </c>
      <c r="T4905" s="3" t="n">
        <v>44638.65271974537</v>
      </c>
      <c r="U4905" t="s">
        <v>29420</v>
      </c>
      <c r="V4905" t="s">
        <v>16907</v>
      </c>
    </row>
    <row r="4906">
      <c r="A4906" t="s">
        <v>23557</v>
      </c>
      <c r="B4906" t="s">
        <v>29421</v>
      </c>
      <c r="C4906" t="s">
        <v>132</v>
      </c>
      <c r="D4906" t="s">
        <v>142</v>
      </c>
      <c r="E4906" t="s">
        <v>29422</v>
      </c>
      <c r="F4906" s="2" t="n">
        <f>HYPERLINK("https://patents.google.com/patent/US10336829","Google")</f>
        <v>0.0</v>
      </c>
      <c r="G4906" s="2" t="n">
        <f>HYPERLINK("https://patentcenter.uspto.gov/applications/15298813","Patent Center")</f>
        <v>0.0</v>
      </c>
      <c r="H4906" s="2" t="n">
        <f>HYPERLINK("https://worldwide.espacenet.com/patent/search?q=US10336829","Espacenet")</f>
        <v>0.0</v>
      </c>
      <c r="I4906" s="2" t="n">
        <f>HYPERLINK("https://ppubs.uspto.gov/pubwebapp/external.html?q=10336829.pn.","USPTO")</f>
        <v>0.0</v>
      </c>
      <c r="J4906" s="2" t="n">
        <f>HYPERLINK("https://image-ppubs.uspto.gov/dirsearch-public/print/downloadPdf/10336829","USPTO PDF")</f>
        <v>0.0</v>
      </c>
      <c r="K4906" s="2" t="n">
        <f>HYPERLINK("https://sectors.patentforecast.com/pmd/US10336829","PMD")</f>
        <v>0.0</v>
      </c>
      <c r="L4906" s="2" t="n">
        <f>HYPERLINK("https://globaldossier.uspto.gov/result/patent/US/10336829/1","US10336829")</f>
        <v>0.0</v>
      </c>
      <c r="M4906" t="s">
        <v>19297</v>
      </c>
      <c r="N4906" t="s">
        <v>385</v>
      </c>
      <c r="O4906" t="s">
        <v>386</v>
      </c>
      <c r="P4906" t="s">
        <v>29423</v>
      </c>
      <c r="Q4906" s="3" t="n">
        <v>42663.0</v>
      </c>
      <c r="R4906" s="3" t="n">
        <v>43648.0</v>
      </c>
      <c r="S4906" s="3" t="n">
        <v>44005.23388219907</v>
      </c>
      <c r="T4906" s="3" t="n">
        <v>44006.636483553244</v>
      </c>
      <c r="U4906" t="s">
        <v>29424</v>
      </c>
      <c r="V4906" t="s">
        <v>29425</v>
      </c>
    </row>
    <row r="4907">
      <c r="A4907" t="s">
        <v>23557</v>
      </c>
      <c r="B4907" t="s">
        <v>29426</v>
      </c>
      <c r="C4907" t="s">
        <v>60</v>
      </c>
      <c r="D4907" t="s">
        <v>61</v>
      </c>
      <c r="E4907" t="s">
        <v>24040</v>
      </c>
      <c r="F4907" s="2" t="n">
        <f>HYPERLINK("https://patents.google.com/patent/US10335409","Google")</f>
        <v>0.0</v>
      </c>
      <c r="G4907" s="2" t="n">
        <f>HYPERLINK("https://patentcenter.uspto.gov/applications/16005111","Patent Center")</f>
        <v>0.0</v>
      </c>
      <c r="H4907" s="2" t="n">
        <f>HYPERLINK("https://worldwide.espacenet.com/patent/search?q=US10335409","Espacenet")</f>
        <v>0.0</v>
      </c>
      <c r="I4907" s="2" t="n">
        <f>HYPERLINK("https://ppubs.uspto.gov/pubwebapp/external.html?q=10335409.pn.","USPTO")</f>
        <v>0.0</v>
      </c>
      <c r="J4907" s="2" t="n">
        <f>HYPERLINK("https://image-ppubs.uspto.gov/dirsearch-public/print/downloadPdf/10335409","USPTO PDF")</f>
        <v>0.0</v>
      </c>
      <c r="K4907" s="2" t="n">
        <f>HYPERLINK("https://sectors.patentforecast.com/pmd/US10335409","PMD")</f>
        <v>0.0</v>
      </c>
      <c r="L4907" s="2" t="n">
        <f>HYPERLINK("https://globaldossier.uspto.gov/result/patent/US/10335409/1","US10335409")</f>
        <v>0.0</v>
      </c>
      <c r="M4907" t="s">
        <v>18001</v>
      </c>
      <c r="N4907" t="s">
        <v>664</v>
      </c>
      <c r="O4907" t="s">
        <v>665</v>
      </c>
      <c r="P4907" t="s">
        <v>24041</v>
      </c>
      <c r="Q4907" s="3" t="n">
        <v>43262.0</v>
      </c>
      <c r="R4907" s="3" t="n">
        <v>43648.0</v>
      </c>
      <c r="S4907" s="3" t="n">
        <v>43952.45945267361</v>
      </c>
      <c r="T4907" s="3" t="n">
        <v>44638.65643378472</v>
      </c>
      <c r="U4907" t="s">
        <v>29427</v>
      </c>
      <c r="V4907" t="s">
        <v>24043</v>
      </c>
    </row>
    <row r="4908">
      <c r="A4908" t="s">
        <v>23557</v>
      </c>
      <c r="B4908" t="s">
        <v>29428</v>
      </c>
      <c r="C4908" t="s">
        <v>24</v>
      </c>
      <c r="D4908" t="s">
        <v>25</v>
      </c>
      <c r="E4908" t="s">
        <v>29429</v>
      </c>
      <c r="F4908" s="2" t="n">
        <f>HYPERLINK("https://patents.google.com/patent/US10332639","Google")</f>
        <v>0.0</v>
      </c>
      <c r="G4908" s="2" t="n">
        <f>HYPERLINK("https://patentcenter.uspto.gov/applications/15731201","Patent Center")</f>
        <v>0.0</v>
      </c>
      <c r="H4908" s="2" t="n">
        <f>HYPERLINK("https://worldwide.espacenet.com/patent/search?q=US10332639","Espacenet")</f>
        <v>0.0</v>
      </c>
      <c r="I4908" s="2" t="n">
        <f>HYPERLINK("https://ppubs.uspto.gov/pubwebapp/external.html?q=10332639.pn.","USPTO")</f>
        <v>0.0</v>
      </c>
      <c r="J4908" s="2" t="n">
        <f>HYPERLINK("https://image-ppubs.uspto.gov/dirsearch-public/print/downloadPdf/10332639","USPTO PDF")</f>
        <v>0.0</v>
      </c>
      <c r="K4908" s="2" t="n">
        <f>HYPERLINK("https://sectors.patentforecast.com/pmd/US10332639","PMD")</f>
        <v>0.0</v>
      </c>
      <c r="L4908" s="2" t="n">
        <f>HYPERLINK("https://globaldossier.uspto.gov/result/patent/US/10332639/1","US10332639")</f>
        <v>0.0</v>
      </c>
      <c r="M4908" t="s">
        <v>29430</v>
      </c>
      <c r="N4908" t="s">
        <v>29431</v>
      </c>
      <c r="O4908" t="s">
        <v>29431</v>
      </c>
      <c r="P4908" t="s">
        <v>29432</v>
      </c>
      <c r="Q4908" s="3" t="n">
        <v>42857.0</v>
      </c>
      <c r="R4908" s="3" t="n">
        <v>43641.0</v>
      </c>
      <c r="S4908" s="3" t="n">
        <v>44019.2298171875</v>
      </c>
      <c r="T4908" s="3" t="n">
        <v>44019.666428032404</v>
      </c>
      <c r="U4908" t="s">
        <v>29433</v>
      </c>
      <c r="V4908" t="s">
        <v>29434</v>
      </c>
    </row>
    <row r="4909">
      <c r="A4909" t="s">
        <v>23557</v>
      </c>
      <c r="B4909" t="s">
        <v>29435</v>
      </c>
      <c r="C4909" t="s">
        <v>24</v>
      </c>
      <c r="D4909" t="s">
        <v>51</v>
      </c>
      <c r="E4909" t="s">
        <v>29436</v>
      </c>
      <c r="F4909" s="2" t="n">
        <f>HYPERLINK("https://patents.google.com/patent/US10332638","Google")</f>
        <v>0.0</v>
      </c>
      <c r="G4909" s="2" t="n">
        <f>HYPERLINK("https://patentcenter.uspto.gov/applications/15212769","Patent Center")</f>
        <v>0.0</v>
      </c>
      <c r="H4909" s="2" t="n">
        <f>HYPERLINK("https://worldwide.espacenet.com/patent/search?q=US10332638","Espacenet")</f>
        <v>0.0</v>
      </c>
      <c r="I4909" s="2" t="n">
        <f>HYPERLINK("https://ppubs.uspto.gov/pubwebapp/external.html?q=10332638.pn.","USPTO")</f>
        <v>0.0</v>
      </c>
      <c r="J4909" s="2" t="n">
        <f>HYPERLINK("https://image-ppubs.uspto.gov/dirsearch-public/print/downloadPdf/10332638","USPTO PDF")</f>
        <v>0.0</v>
      </c>
      <c r="K4909" s="2" t="n">
        <f>HYPERLINK("https://sectors.patentforecast.com/pmd/US10332638","PMD")</f>
        <v>0.0</v>
      </c>
      <c r="L4909" s="2" t="n">
        <f>HYPERLINK("https://globaldossier.uspto.gov/result/patent/US/10332638/1","US10332638")</f>
        <v>0.0</v>
      </c>
      <c r="M4909" t="s">
        <v>19291</v>
      </c>
      <c r="N4909" t="s">
        <v>1251</v>
      </c>
      <c r="O4909" t="s">
        <v>1252</v>
      </c>
      <c r="P4909" t="s">
        <v>29437</v>
      </c>
      <c r="Q4909" s="3" t="n">
        <v>42569.0</v>
      </c>
      <c r="R4909" s="3" t="n">
        <v>43641.0</v>
      </c>
      <c r="S4909" s="3" t="n">
        <v>43908.458514398146</v>
      </c>
      <c r="T4909" s="3" t="n">
        <v>44543.610422488426</v>
      </c>
      <c r="U4909" t="s">
        <v>29438</v>
      </c>
      <c r="V4909" t="s">
        <v>29439</v>
      </c>
    </row>
    <row r="4910">
      <c r="A4910" t="s">
        <v>23557</v>
      </c>
      <c r="B4910" t="s">
        <v>29440</v>
      </c>
      <c r="C4910" t="s">
        <v>24</v>
      </c>
      <c r="D4910" t="s">
        <v>25</v>
      </c>
      <c r="E4910" t="s">
        <v>29307</v>
      </c>
      <c r="F4910" s="2" t="n">
        <f>HYPERLINK("https://patents.google.com/patent/US10332637","Google")</f>
        <v>0.0</v>
      </c>
      <c r="G4910" s="2" t="n">
        <f>HYPERLINK("https://patentcenter.uspto.gov/applications/14180683","Patent Center")</f>
        <v>0.0</v>
      </c>
      <c r="H4910" s="2" t="n">
        <f>HYPERLINK("https://worldwide.espacenet.com/patent/search?q=US10332637","Espacenet")</f>
        <v>0.0</v>
      </c>
      <c r="I4910" s="2" t="n">
        <f>HYPERLINK("https://ppubs.uspto.gov/pubwebapp/external.html?q=10332637.pn.","USPTO")</f>
        <v>0.0</v>
      </c>
      <c r="J4910" s="2" t="n">
        <f>HYPERLINK("https://image-ppubs.uspto.gov/dirsearch-public/print/downloadPdf/10332637","USPTO PDF")</f>
        <v>0.0</v>
      </c>
      <c r="K4910" s="2" t="n">
        <f>HYPERLINK("https://sectors.patentforecast.com/pmd/US10332637","PMD")</f>
        <v>0.0</v>
      </c>
      <c r="L4910" s="2" t="n">
        <f>HYPERLINK("https://globaldossier.uspto.gov/result/patent/US/10332637/1","US10332637")</f>
        <v>0.0</v>
      </c>
      <c r="M4910" t="s">
        <v>20597</v>
      </c>
      <c r="N4910" t="s">
        <v>979</v>
      </c>
      <c r="O4910" t="s">
        <v>980</v>
      </c>
      <c r="P4910" t="s">
        <v>29308</v>
      </c>
      <c r="Q4910" s="3" t="n">
        <v>41684.0</v>
      </c>
      <c r="R4910" s="3" t="n">
        <v>43641.0</v>
      </c>
      <c r="S4910" s="3" t="n">
        <v>43908.458514398146</v>
      </c>
      <c r="T4910" s="3" t="n">
        <v>43937.51694168981</v>
      </c>
      <c r="U4910" t="s">
        <v>25092</v>
      </c>
      <c r="V4910" t="s">
        <v>17343</v>
      </c>
    </row>
    <row r="4911">
      <c r="A4911" t="s">
        <v>23557</v>
      </c>
      <c r="B4911" t="s">
        <v>29441</v>
      </c>
      <c r="C4911" t="s">
        <v>24</v>
      </c>
      <c r="D4911" t="s">
        <v>51</v>
      </c>
      <c r="E4911" t="s">
        <v>29442</v>
      </c>
      <c r="F4911" s="2" t="n">
        <f>HYPERLINK("https://patents.google.com/patent/US10329630","Google")</f>
        <v>0.0</v>
      </c>
      <c r="G4911" s="2" t="n">
        <f>HYPERLINK("https://patentcenter.uspto.gov/applications/15834555","Patent Center")</f>
        <v>0.0</v>
      </c>
      <c r="H4911" s="2" t="n">
        <f>HYPERLINK("https://worldwide.espacenet.com/patent/search?q=US10329630","Espacenet")</f>
        <v>0.0</v>
      </c>
      <c r="I4911" s="2" t="n">
        <f>HYPERLINK("https://ppubs.uspto.gov/pubwebapp/external.html?q=10329630.pn.","USPTO")</f>
        <v>0.0</v>
      </c>
      <c r="J4911" s="2" t="n">
        <f>HYPERLINK("https://image-ppubs.uspto.gov/dirsearch-public/print/downloadPdf/10329630","USPTO PDF")</f>
        <v>0.0</v>
      </c>
      <c r="K4911" s="2" t="n">
        <f>HYPERLINK("https://sectors.patentforecast.com/pmd/US10329630","PMD")</f>
        <v>0.0</v>
      </c>
      <c r="L4911" s="2" t="n">
        <f>HYPERLINK("https://globaldossier.uspto.gov/result/patent/US/10329630/1","US10329630")</f>
        <v>0.0</v>
      </c>
      <c r="M4911" t="s">
        <v>18433</v>
      </c>
      <c r="N4911" t="s">
        <v>1792</v>
      </c>
      <c r="O4911" t="s">
        <v>1793</v>
      </c>
      <c r="P4911" t="s">
        <v>29443</v>
      </c>
      <c r="Q4911" s="3" t="n">
        <v>43076.0</v>
      </c>
      <c r="R4911" s="3" t="n">
        <v>43641.0</v>
      </c>
      <c r="S4911" s="3" t="n">
        <v>43900.437267939815</v>
      </c>
      <c r="T4911" s="3" t="n">
        <v>43903.61193219908</v>
      </c>
      <c r="U4911" t="s">
        <v>29444</v>
      </c>
      <c r="V4911" t="s">
        <v>29445</v>
      </c>
    </row>
    <row r="4912">
      <c r="A4912" t="s">
        <v>23557</v>
      </c>
      <c r="B4912" t="s">
        <v>29446</v>
      </c>
      <c r="C4912" t="s">
        <v>24</v>
      </c>
      <c r="D4912" t="s">
        <v>1450</v>
      </c>
      <c r="E4912" t="s">
        <v>29447</v>
      </c>
      <c r="F4912" s="2" t="n">
        <f>HYPERLINK("https://patents.google.com/patent/US10327643","Google")</f>
        <v>0.0</v>
      </c>
      <c r="G4912" s="2" t="n">
        <f>HYPERLINK("https://patentcenter.uspto.gov/applications/15978771","Patent Center")</f>
        <v>0.0</v>
      </c>
      <c r="H4912" s="2" t="n">
        <f>HYPERLINK("https://worldwide.espacenet.com/patent/search?q=US10327643","Espacenet")</f>
        <v>0.0</v>
      </c>
      <c r="I4912" s="2" t="n">
        <f>HYPERLINK("https://ppubs.uspto.gov/pubwebapp/external.html?q=10327643.pn.","USPTO")</f>
        <v>0.0</v>
      </c>
      <c r="J4912" s="2" t="n">
        <f>HYPERLINK("https://image-ppubs.uspto.gov/dirsearch-public/print/downloadPdf/10327643","USPTO PDF")</f>
        <v>0.0</v>
      </c>
      <c r="K4912" s="2" t="n">
        <f>HYPERLINK("https://sectors.patentforecast.com/pmd/US10327643","PMD")</f>
        <v>0.0</v>
      </c>
      <c r="L4912" s="2" t="n">
        <f>HYPERLINK("https://globaldossier.uspto.gov/result/patent/US/10327643/1","US10327643")</f>
        <v>0.0</v>
      </c>
      <c r="M4912" t="s">
        <v>29448</v>
      </c>
      <c r="N4912" t="s">
        <v>29449</v>
      </c>
      <c r="O4912" t="s">
        <v>29450</v>
      </c>
      <c r="P4912" t="s">
        <v>29451</v>
      </c>
      <c r="Q4912" s="3" t="n">
        <v>43234.0</v>
      </c>
      <c r="R4912" s="3" t="n">
        <v>43641.0</v>
      </c>
      <c r="S4912" s="3" t="n">
        <v>44019.2298171875</v>
      </c>
      <c r="T4912" s="3" t="n">
        <v>44019.69497070602</v>
      </c>
      <c r="U4912" t="s">
        <v>29452</v>
      </c>
      <c r="V4912" t="s">
        <v>29453</v>
      </c>
    </row>
    <row r="4913">
      <c r="A4913" t="s">
        <v>23557</v>
      </c>
      <c r="B4913" t="s">
        <v>29454</v>
      </c>
      <c r="C4913" t="s">
        <v>24</v>
      </c>
      <c r="D4913" t="s">
        <v>25</v>
      </c>
      <c r="E4913" t="s">
        <v>29369</v>
      </c>
      <c r="F4913" s="2" t="n">
        <f>HYPERLINK("https://patents.google.com/patent/US10327642","Google")</f>
        <v>0.0</v>
      </c>
      <c r="G4913" s="2" t="n">
        <f>HYPERLINK("https://patentcenter.uspto.gov/applications/15815636","Patent Center")</f>
        <v>0.0</v>
      </c>
      <c r="H4913" s="2" t="n">
        <f>HYPERLINK("https://worldwide.espacenet.com/patent/search?q=US10327642","Espacenet")</f>
        <v>0.0</v>
      </c>
      <c r="I4913" s="2" t="n">
        <f>HYPERLINK("https://ppubs.uspto.gov/pubwebapp/external.html?q=10327642.pn.","USPTO")</f>
        <v>0.0</v>
      </c>
      <c r="J4913" s="2" t="n">
        <f>HYPERLINK("https://image-ppubs.uspto.gov/dirsearch-public/print/downloadPdf/10327642","USPTO PDF")</f>
        <v>0.0</v>
      </c>
      <c r="K4913" s="2" t="n">
        <f>HYPERLINK("https://sectors.patentforecast.com/pmd/US10327642","PMD")</f>
        <v>0.0</v>
      </c>
      <c r="L4913" s="2" t="n">
        <f>HYPERLINK("https://globaldossier.uspto.gov/result/patent/US/10327642/1","US10327642")</f>
        <v>0.0</v>
      </c>
      <c r="M4913" t="s">
        <v>18682</v>
      </c>
      <c r="N4913" t="s">
        <v>18683</v>
      </c>
      <c r="O4913" t="s">
        <v>18684</v>
      </c>
      <c r="P4913" t="s">
        <v>29370</v>
      </c>
      <c r="Q4913" s="3" t="n">
        <v>43055.0</v>
      </c>
      <c r="R4913" s="3" t="n">
        <v>43641.0</v>
      </c>
      <c r="S4913" s="3" t="n">
        <v>43906.372850162035</v>
      </c>
      <c r="T4913" s="3" t="n">
        <v>43950.58831555556</v>
      </c>
      <c r="U4913" t="s">
        <v>29398</v>
      </c>
      <c r="V4913" t="s">
        <v>29372</v>
      </c>
    </row>
    <row r="4914">
      <c r="A4914" t="s">
        <v>23557</v>
      </c>
      <c r="B4914" t="s">
        <v>29455</v>
      </c>
      <c r="C4914" t="s">
        <v>24</v>
      </c>
      <c r="D4914" t="s">
        <v>25</v>
      </c>
      <c r="E4914" t="s">
        <v>29369</v>
      </c>
      <c r="F4914" s="2" t="n">
        <f>HYPERLINK("https://patents.google.com/patent/US10327641","Google")</f>
        <v>0.0</v>
      </c>
      <c r="G4914" s="2" t="n">
        <f>HYPERLINK("https://patentcenter.uspto.gov/applications/15815365","Patent Center")</f>
        <v>0.0</v>
      </c>
      <c r="H4914" s="2" t="n">
        <f>HYPERLINK("https://worldwide.espacenet.com/patent/search?q=US10327641","Espacenet")</f>
        <v>0.0</v>
      </c>
      <c r="I4914" s="2" t="n">
        <f>HYPERLINK("https://ppubs.uspto.gov/pubwebapp/external.html?q=10327641.pn.","USPTO")</f>
        <v>0.0</v>
      </c>
      <c r="J4914" s="2" t="n">
        <f>HYPERLINK("https://image-ppubs.uspto.gov/dirsearch-public/print/downloadPdf/10327641","USPTO PDF")</f>
        <v>0.0</v>
      </c>
      <c r="K4914" s="2" t="n">
        <f>HYPERLINK("https://sectors.patentforecast.com/pmd/US10327641","PMD")</f>
        <v>0.0</v>
      </c>
      <c r="L4914" s="2" t="n">
        <f>HYPERLINK("https://globaldossier.uspto.gov/result/patent/US/10327641/1","US10327641")</f>
        <v>0.0</v>
      </c>
      <c r="M4914" t="s">
        <v>18691</v>
      </c>
      <c r="N4914" t="s">
        <v>29456</v>
      </c>
      <c r="O4914" t="s">
        <v>29457</v>
      </c>
      <c r="P4914" t="s">
        <v>29370</v>
      </c>
      <c r="Q4914" s="3" t="n">
        <v>43055.0</v>
      </c>
      <c r="R4914" s="3" t="n">
        <v>43641.0</v>
      </c>
      <c r="S4914" s="3" t="n">
        <v>43906.372850162035</v>
      </c>
      <c r="T4914" s="3" t="n">
        <v>43950.58833802083</v>
      </c>
      <c r="U4914" t="s">
        <v>29398</v>
      </c>
      <c r="V4914" t="s">
        <v>29372</v>
      </c>
    </row>
    <row r="4915">
      <c r="A4915" t="s">
        <v>23557</v>
      </c>
      <c r="B4915" t="s">
        <v>29458</v>
      </c>
      <c r="C4915" t="s">
        <v>24</v>
      </c>
      <c r="D4915" t="s">
        <v>69</v>
      </c>
      <c r="E4915" t="s">
        <v>29459</v>
      </c>
      <c r="F4915" s="2" t="n">
        <f>HYPERLINK("https://patents.google.com/patent/US10318875","Google")</f>
        <v>0.0</v>
      </c>
      <c r="G4915" s="2" t="n">
        <f>HYPERLINK("https://patentcenter.uspto.gov/applications/14961863","Patent Center")</f>
        <v>0.0</v>
      </c>
      <c r="H4915" s="2" t="n">
        <f>HYPERLINK("https://worldwide.espacenet.com/patent/search?q=US10318875","Espacenet")</f>
        <v>0.0</v>
      </c>
      <c r="I4915" s="2" t="n">
        <f>HYPERLINK("https://ppubs.uspto.gov/pubwebapp/external.html?q=10318875.pn.","USPTO")</f>
        <v>0.0</v>
      </c>
      <c r="J4915" s="2" t="n">
        <f>HYPERLINK("https://image-ppubs.uspto.gov/dirsearch-public/print/downloadPdf/10318875","USPTO PDF")</f>
        <v>0.0</v>
      </c>
      <c r="K4915" s="2" t="n">
        <f>HYPERLINK("https://sectors.patentforecast.com/pmd/US10318875","PMD")</f>
        <v>0.0</v>
      </c>
      <c r="L4915" s="2" t="n">
        <f>HYPERLINK("https://globaldossier.uspto.gov/result/patent/US/10318875/1","US10318875")</f>
        <v>0.0</v>
      </c>
      <c r="M4915" t="s">
        <v>29460</v>
      </c>
      <c r="N4915" t="s">
        <v>947</v>
      </c>
      <c r="O4915" t="s">
        <v>948</v>
      </c>
      <c r="P4915" t="s">
        <v>29461</v>
      </c>
      <c r="Q4915" s="3" t="n">
        <v>42345.0</v>
      </c>
      <c r="R4915" s="3" t="n">
        <v>43627.0</v>
      </c>
      <c r="S4915" s="3" t="n">
        <v>43906.37291284722</v>
      </c>
      <c r="T4915" s="3" t="n">
        <v>43991.470148078704</v>
      </c>
      <c r="U4915" t="s">
        <v>29462</v>
      </c>
      <c r="V4915" t="s">
        <v>29463</v>
      </c>
    </row>
    <row r="4916">
      <c r="A4916" t="s">
        <v>23557</v>
      </c>
      <c r="B4916" t="s">
        <v>29464</v>
      </c>
      <c r="C4916" t="s">
        <v>60</v>
      </c>
      <c r="D4916" t="s">
        <v>61</v>
      </c>
      <c r="E4916" t="s">
        <v>29465</v>
      </c>
      <c r="F4916" s="2" t="n">
        <f>HYPERLINK("https://patents.google.com/patent/US10314799","Google")</f>
        <v>0.0</v>
      </c>
      <c r="G4916" s="2" t="n">
        <f>HYPERLINK("https://patentcenter.uspto.gov/applications/15543311","Patent Center")</f>
        <v>0.0</v>
      </c>
      <c r="H4916" s="2" t="n">
        <f>HYPERLINK("https://worldwide.espacenet.com/patent/search?q=US10314799","Espacenet")</f>
        <v>0.0</v>
      </c>
      <c r="I4916" s="2" t="n">
        <f>HYPERLINK("https://ppubs.uspto.gov/pubwebapp/external.html?q=10314799.pn.","USPTO")</f>
        <v>0.0</v>
      </c>
      <c r="J4916" s="2" t="n">
        <f>HYPERLINK("https://image-ppubs.uspto.gov/dirsearch-public/print/downloadPdf/10314799","USPTO PDF")</f>
        <v>0.0</v>
      </c>
      <c r="K4916" s="2" t="n">
        <f>HYPERLINK("https://sectors.patentforecast.com/pmd/US10314799","PMD")</f>
        <v>0.0</v>
      </c>
      <c r="L4916" s="2" t="n">
        <f>HYPERLINK("https://globaldossier.uspto.gov/result/patent/US/10314799/1","US10314799")</f>
        <v>0.0</v>
      </c>
      <c r="M4916" t="s">
        <v>18815</v>
      </c>
      <c r="N4916" t="s">
        <v>29466</v>
      </c>
      <c r="O4916" t="s">
        <v>29467</v>
      </c>
      <c r="P4916" t="s">
        <v>29468</v>
      </c>
      <c r="Q4916" s="3" t="n">
        <v>42021.0</v>
      </c>
      <c r="R4916" s="3" t="n">
        <v>43627.0</v>
      </c>
      <c r="S4916" s="3" t="n">
        <v>43900.437267939815</v>
      </c>
      <c r="T4916" s="3" t="n">
        <v>43906.37980549769</v>
      </c>
      <c r="U4916" t="s">
        <v>29469</v>
      </c>
      <c r="V4916" t="s">
        <v>18820</v>
      </c>
    </row>
    <row r="4917">
      <c r="A4917" t="s">
        <v>23557</v>
      </c>
      <c r="B4917" t="s">
        <v>29470</v>
      </c>
      <c r="C4917" t="s">
        <v>24</v>
      </c>
      <c r="D4917" t="s">
        <v>1450</v>
      </c>
      <c r="E4917" t="s">
        <v>24950</v>
      </c>
      <c r="F4917" s="2" t="n">
        <f>HYPERLINK("https://patents.google.com/patent/US10311979","Google")</f>
        <v>0.0</v>
      </c>
      <c r="G4917" s="2" t="n">
        <f>HYPERLINK("https://patentcenter.uspto.gov/applications/14220285","Patent Center")</f>
        <v>0.0</v>
      </c>
      <c r="H4917" s="2" t="n">
        <f>HYPERLINK("https://worldwide.espacenet.com/patent/search?q=US10311979","Espacenet")</f>
        <v>0.0</v>
      </c>
      <c r="I4917" s="2" t="n">
        <f>HYPERLINK("https://ppubs.uspto.gov/pubwebapp/external.html?q=10311979.pn.","USPTO")</f>
        <v>0.0</v>
      </c>
      <c r="J4917" s="2" t="n">
        <f>HYPERLINK("https://image-ppubs.uspto.gov/dirsearch-public/print/downloadPdf/10311979","USPTO PDF")</f>
        <v>0.0</v>
      </c>
      <c r="K4917" s="2" t="n">
        <f>HYPERLINK("https://sectors.patentforecast.com/pmd/US10311979","PMD")</f>
        <v>0.0</v>
      </c>
      <c r="L4917" s="2" t="n">
        <f>HYPERLINK("https://globaldossier.uspto.gov/result/patent/US/10311979/1","US10311979")</f>
        <v>0.0</v>
      </c>
      <c r="M4917" t="s">
        <v>20661</v>
      </c>
      <c r="N4917" t="s">
        <v>17334</v>
      </c>
      <c r="O4917" t="s">
        <v>17335</v>
      </c>
      <c r="P4917" t="s">
        <v>24952</v>
      </c>
      <c r="Q4917" s="3" t="n">
        <v>41718.0</v>
      </c>
      <c r="R4917" s="3" t="n">
        <v>43620.0</v>
      </c>
      <c r="S4917" s="3" t="n">
        <v>44089.23004778935</v>
      </c>
      <c r="T4917" s="3" t="n">
        <v>44089.44026556713</v>
      </c>
      <c r="U4917" t="s">
        <v>29471</v>
      </c>
      <c r="V4917" t="s">
        <v>20663</v>
      </c>
    </row>
    <row r="4918">
      <c r="A4918" t="s">
        <v>23557</v>
      </c>
      <c r="B4918" t="s">
        <v>29472</v>
      </c>
      <c r="C4918" t="s">
        <v>60</v>
      </c>
      <c r="D4918" t="s">
        <v>61</v>
      </c>
      <c r="E4918" t="s">
        <v>29473</v>
      </c>
      <c r="F4918" s="2" t="n">
        <f>HYPERLINK("https://patents.google.com/patent/US10307438","Google")</f>
        <v>0.0</v>
      </c>
      <c r="G4918" s="2" t="n">
        <f>HYPERLINK("https://patentcenter.uspto.gov/applications/15611307","Patent Center")</f>
        <v>0.0</v>
      </c>
      <c r="H4918" s="2" t="n">
        <f>HYPERLINK("https://worldwide.espacenet.com/patent/search?q=US10307438","Espacenet")</f>
        <v>0.0</v>
      </c>
      <c r="I4918" s="2" t="n">
        <f>HYPERLINK("https://ppubs.uspto.gov/pubwebapp/external.html?q=10307438.pn.","USPTO")</f>
        <v>0.0</v>
      </c>
      <c r="J4918" s="2" t="n">
        <f>HYPERLINK("https://image-ppubs.uspto.gov/dirsearch-public/print/downloadPdf/10307438","USPTO PDF")</f>
        <v>0.0</v>
      </c>
      <c r="K4918" s="2" t="n">
        <f>HYPERLINK("https://sectors.patentforecast.com/pmd/US10307438","PMD")</f>
        <v>0.0</v>
      </c>
      <c r="L4918" s="2" t="n">
        <f>HYPERLINK("https://globaldossier.uspto.gov/result/patent/US/10307438/1","US10307438")</f>
        <v>0.0</v>
      </c>
      <c r="M4918" t="s">
        <v>18869</v>
      </c>
      <c r="N4918" t="s">
        <v>664</v>
      </c>
      <c r="O4918" t="s">
        <v>665</v>
      </c>
      <c r="P4918" t="s">
        <v>29474</v>
      </c>
      <c r="Q4918" s="3" t="n">
        <v>42887.0</v>
      </c>
      <c r="R4918" s="3" t="n">
        <v>43620.0</v>
      </c>
      <c r="S4918" s="3" t="n">
        <v>43952.45945267361</v>
      </c>
      <c r="T4918" s="3" t="n">
        <v>44638.65579662037</v>
      </c>
      <c r="U4918" t="s">
        <v>29475</v>
      </c>
      <c r="V4918" t="s">
        <v>29476</v>
      </c>
    </row>
    <row r="4919">
      <c r="A4919" t="s">
        <v>23557</v>
      </c>
      <c r="B4919" t="s">
        <v>29477</v>
      </c>
      <c r="C4919" t="s">
        <v>24</v>
      </c>
      <c r="D4919" t="s">
        <v>25</v>
      </c>
      <c r="E4919" t="s">
        <v>29478</v>
      </c>
      <c r="F4919" s="2" t="n">
        <f>HYPERLINK("https://patents.google.com/patent/US10304325","Google")</f>
        <v>0.0</v>
      </c>
      <c r="G4919" s="2" t="n">
        <f>HYPERLINK("https://patentcenter.uspto.gov/applications/13798337","Patent Center")</f>
        <v>0.0</v>
      </c>
      <c r="H4919" s="2" t="n">
        <f>HYPERLINK("https://worldwide.espacenet.com/patent/search?q=US10304325","Espacenet")</f>
        <v>0.0</v>
      </c>
      <c r="I4919" s="2" t="n">
        <f>HYPERLINK("https://ppubs.uspto.gov/pubwebapp/external.html?q=10304325.pn.","USPTO")</f>
        <v>0.0</v>
      </c>
      <c r="J4919" s="2" t="n">
        <f>HYPERLINK("https://image-ppubs.uspto.gov/dirsearch-public/print/downloadPdf/10304325","USPTO PDF")</f>
        <v>0.0</v>
      </c>
      <c r="K4919" s="2" t="n">
        <f>HYPERLINK("https://sectors.patentforecast.com/pmd/US10304325","PMD")</f>
        <v>0.0</v>
      </c>
      <c r="L4919" s="2" t="n">
        <f>HYPERLINK("https://globaldossier.uspto.gov/result/patent/US/10304325/1","US10304325")</f>
        <v>0.0</v>
      </c>
      <c r="M4919" t="s">
        <v>29479</v>
      </c>
      <c r="N4919" t="s">
        <v>29480</v>
      </c>
      <c r="O4919" t="s">
        <v>29481</v>
      </c>
      <c r="P4919" t="s">
        <v>29482</v>
      </c>
      <c r="Q4919" s="3" t="n">
        <v>41346.0</v>
      </c>
      <c r="R4919" s="3" t="n">
        <v>43613.0</v>
      </c>
      <c r="S4919" s="3" t="n">
        <v>43908.458514398146</v>
      </c>
      <c r="T4919" s="3" t="n">
        <v>43979.49194530093</v>
      </c>
      <c r="U4919" t="s">
        <v>29483</v>
      </c>
      <c r="V4919" t="s">
        <v>29484</v>
      </c>
    </row>
    <row r="4920">
      <c r="A4920" t="s">
        <v>23557</v>
      </c>
      <c r="B4920" t="s">
        <v>29485</v>
      </c>
      <c r="C4920" t="s">
        <v>312</v>
      </c>
      <c r="D4920" t="s">
        <v>976</v>
      </c>
      <c r="E4920" t="s">
        <v>29486</v>
      </c>
      <c r="F4920" s="2" t="n">
        <f>HYPERLINK("https://patents.google.com/patent/US10303843","Google")</f>
        <v>0.0</v>
      </c>
      <c r="G4920" s="2" t="n">
        <f>HYPERLINK("https://patentcenter.uspto.gov/applications/14970038","Patent Center")</f>
        <v>0.0</v>
      </c>
      <c r="H4920" s="2" t="n">
        <f>HYPERLINK("https://worldwide.espacenet.com/patent/search?q=US10303843","Espacenet")</f>
        <v>0.0</v>
      </c>
      <c r="I4920" s="2" t="n">
        <f>HYPERLINK("https://ppubs.uspto.gov/pubwebapp/external.html?q=10303843.pn.","USPTO")</f>
        <v>0.0</v>
      </c>
      <c r="J4920" s="2" t="n">
        <f>HYPERLINK("https://image-ppubs.uspto.gov/dirsearch-public/print/downloadPdf/10303843","USPTO PDF")</f>
        <v>0.0</v>
      </c>
      <c r="K4920" s="2" t="n">
        <f>HYPERLINK("https://sectors.patentforecast.com/pmd/US10303843","PMD")</f>
        <v>0.0</v>
      </c>
      <c r="L4920" s="2" t="n">
        <f>HYPERLINK("https://globaldossier.uspto.gov/result/patent/US/10303843/1","US10303843")</f>
        <v>0.0</v>
      </c>
      <c r="M4920" t="s">
        <v>19387</v>
      </c>
      <c r="N4920" t="s">
        <v>19388</v>
      </c>
      <c r="O4920" t="s">
        <v>19389</v>
      </c>
      <c r="P4920" t="s">
        <v>29487</v>
      </c>
      <c r="Q4920" s="3" t="n">
        <v>42353.0</v>
      </c>
      <c r="R4920" s="3" t="n">
        <v>43613.0</v>
      </c>
      <c r="S4920" s="3" t="n">
        <v>43908.458514398146</v>
      </c>
      <c r="T4920" s="3" t="n">
        <v>43950.57829012731</v>
      </c>
      <c r="U4920" t="s">
        <v>29488</v>
      </c>
      <c r="V4920" t="s">
        <v>19392</v>
      </c>
    </row>
    <row r="4921">
      <c r="A4921" t="s">
        <v>23557</v>
      </c>
      <c r="B4921" t="s">
        <v>29489</v>
      </c>
      <c r="C4921" t="s">
        <v>132</v>
      </c>
      <c r="D4921" t="s">
        <v>133</v>
      </c>
      <c r="E4921" t="s">
        <v>29091</v>
      </c>
      <c r="F4921" s="2" t="n">
        <f>HYPERLINK("https://patents.google.com/patent/US10301377","Google")</f>
        <v>0.0</v>
      </c>
      <c r="G4921" s="2" t="n">
        <f>HYPERLINK("https://patentcenter.uspto.gov/applications/15553466","Patent Center")</f>
        <v>0.0</v>
      </c>
      <c r="H4921" s="2" t="n">
        <f>HYPERLINK("https://worldwide.espacenet.com/patent/search?q=US10301377","Espacenet")</f>
        <v>0.0</v>
      </c>
      <c r="I4921" s="2" t="n">
        <f>HYPERLINK("https://ppubs.uspto.gov/pubwebapp/external.html?q=10301377.pn.","USPTO")</f>
        <v>0.0</v>
      </c>
      <c r="J4921" s="2" t="n">
        <f>HYPERLINK("https://image-ppubs.uspto.gov/dirsearch-public/print/downloadPdf/10301377","USPTO PDF")</f>
        <v>0.0</v>
      </c>
      <c r="K4921" s="2" t="n">
        <f>HYPERLINK("https://sectors.patentforecast.com/pmd/US10301377","PMD")</f>
        <v>0.0</v>
      </c>
      <c r="L4921" s="2" t="n">
        <f>HYPERLINK("https://globaldossier.uspto.gov/result/patent/US/10301377/1","US10301377")</f>
        <v>0.0</v>
      </c>
      <c r="M4921" t="s">
        <v>18262</v>
      </c>
      <c r="N4921" t="s">
        <v>1792</v>
      </c>
      <c r="O4921" t="s">
        <v>1793</v>
      </c>
      <c r="P4921" t="s">
        <v>29092</v>
      </c>
      <c r="Q4921" s="3" t="n">
        <v>42424.0</v>
      </c>
      <c r="R4921" s="3" t="n">
        <v>43613.0</v>
      </c>
      <c r="S4921" s="3" t="n">
        <v>43935.70415306713</v>
      </c>
      <c r="T4921" s="3" t="n">
        <v>43950.462844837966</v>
      </c>
      <c r="U4921" t="s">
        <v>29490</v>
      </c>
      <c r="V4921" t="s">
        <v>17532</v>
      </c>
    </row>
    <row r="4922">
      <c r="A4922" t="s">
        <v>23557</v>
      </c>
      <c r="B4922" t="s">
        <v>29491</v>
      </c>
      <c r="C4922" t="s">
        <v>132</v>
      </c>
      <c r="D4922" t="s">
        <v>1265</v>
      </c>
      <c r="E4922" t="s">
        <v>29492</v>
      </c>
      <c r="F4922" s="2" t="n">
        <f>HYPERLINK("https://patents.google.com/patent/US10301359","Google")</f>
        <v>0.0</v>
      </c>
      <c r="G4922" s="2" t="n">
        <f>HYPERLINK("https://patentcenter.uspto.gov/applications/14888205","Patent Center")</f>
        <v>0.0</v>
      </c>
      <c r="H4922" s="2" t="n">
        <f>HYPERLINK("https://worldwide.espacenet.com/patent/search?q=US10301359","Espacenet")</f>
        <v>0.0</v>
      </c>
      <c r="I4922" s="2" t="n">
        <f>HYPERLINK("https://ppubs.uspto.gov/pubwebapp/external.html?q=10301359.pn.","USPTO")</f>
        <v>0.0</v>
      </c>
      <c r="J4922" s="2" t="n">
        <f>HYPERLINK("https://image-ppubs.uspto.gov/dirsearch-public/print/downloadPdf/10301359","USPTO PDF")</f>
        <v>0.0</v>
      </c>
      <c r="K4922" s="2" t="n">
        <f>HYPERLINK("https://sectors.patentforecast.com/pmd/US10301359","PMD")</f>
        <v>0.0</v>
      </c>
      <c r="L4922" s="2" t="n">
        <f>HYPERLINK("https://globaldossier.uspto.gov/result/patent/US/10301359/1","US10301359")</f>
        <v>0.0</v>
      </c>
      <c r="M4922" t="s">
        <v>19796</v>
      </c>
      <c r="N4922" t="s">
        <v>1251</v>
      </c>
      <c r="O4922" t="s">
        <v>1252</v>
      </c>
      <c r="P4922" t="s">
        <v>29493</v>
      </c>
      <c r="Q4922" s="3" t="n">
        <v>41759.0</v>
      </c>
      <c r="R4922" s="3" t="n">
        <v>43613.0</v>
      </c>
      <c r="S4922" s="3" t="n">
        <v>43900.437267939815</v>
      </c>
      <c r="T4922" s="3" t="n">
        <v>43901.705570694445</v>
      </c>
      <c r="U4922" t="s">
        <v>29494</v>
      </c>
      <c r="V4922" t="s">
        <v>19799</v>
      </c>
    </row>
    <row r="4923">
      <c r="A4923" t="s">
        <v>23557</v>
      </c>
      <c r="B4923" t="s">
        <v>29495</v>
      </c>
      <c r="C4923" t="s">
        <v>24</v>
      </c>
      <c r="D4923" t="s">
        <v>25</v>
      </c>
      <c r="E4923" t="s">
        <v>23599</v>
      </c>
      <c r="F4923" s="2" t="n">
        <f>HYPERLINK("https://patents.google.com/patent/US10297354","Google")</f>
        <v>0.0</v>
      </c>
      <c r="G4923" s="2" t="n">
        <f>HYPERLINK("https://patentcenter.uspto.gov/applications/15962128","Patent Center")</f>
        <v>0.0</v>
      </c>
      <c r="H4923" s="2" t="n">
        <f>HYPERLINK("https://worldwide.espacenet.com/patent/search?q=US10297354","Espacenet")</f>
        <v>0.0</v>
      </c>
      <c r="I4923" s="2" t="n">
        <f>HYPERLINK("https://ppubs.uspto.gov/pubwebapp/external.html?q=10297354.pn.","USPTO")</f>
        <v>0.0</v>
      </c>
      <c r="J4923" s="2" t="n">
        <f>HYPERLINK("https://image-ppubs.uspto.gov/dirsearch-public/print/downloadPdf/10297354","USPTO PDF")</f>
        <v>0.0</v>
      </c>
      <c r="K4923" s="2" t="n">
        <f>HYPERLINK("https://sectors.patentforecast.com/pmd/US10297354","PMD")</f>
        <v>0.0</v>
      </c>
      <c r="L4923" s="2" t="n">
        <f>HYPERLINK("https://globaldossier.uspto.gov/result/patent/US/10297354/1","US10297354")</f>
        <v>0.0</v>
      </c>
      <c r="M4923" t="s">
        <v>18260</v>
      </c>
      <c r="N4923" t="s">
        <v>17334</v>
      </c>
      <c r="O4923" t="s">
        <v>17335</v>
      </c>
      <c r="P4923" t="s">
        <v>23600</v>
      </c>
      <c r="Q4923" s="3" t="n">
        <v>43215.0</v>
      </c>
      <c r="R4923" s="3" t="n">
        <v>43606.0</v>
      </c>
      <c r="S4923" s="3" t="n">
        <v>43908.458514398146</v>
      </c>
      <c r="T4923" s="3" t="n">
        <v>43984.72810667824</v>
      </c>
      <c r="U4923" t="s">
        <v>29496</v>
      </c>
      <c r="V4923" t="s">
        <v>17584</v>
      </c>
    </row>
    <row r="4924">
      <c r="A4924" t="s">
        <v>23557</v>
      </c>
      <c r="B4924" t="s">
        <v>29497</v>
      </c>
      <c r="C4924" t="s">
        <v>132</v>
      </c>
      <c r="D4924" t="s">
        <v>2629</v>
      </c>
      <c r="E4924" t="s">
        <v>24607</v>
      </c>
      <c r="F4924" s="2" t="n">
        <f>HYPERLINK("https://patents.google.com/patent/US10294278","Google")</f>
        <v>0.0</v>
      </c>
      <c r="G4924" s="2" t="n">
        <f>HYPERLINK("https://patentcenter.uspto.gov/applications/14816120","Patent Center")</f>
        <v>0.0</v>
      </c>
      <c r="H4924" s="2" t="n">
        <f>HYPERLINK("https://worldwide.espacenet.com/patent/search?q=US10294278","Espacenet")</f>
        <v>0.0</v>
      </c>
      <c r="I4924" s="2" t="n">
        <f>HYPERLINK("https://ppubs.uspto.gov/pubwebapp/external.html?q=10294278.pn.","USPTO")</f>
        <v>0.0</v>
      </c>
      <c r="J4924" s="2" t="n">
        <f>HYPERLINK("https://image-ppubs.uspto.gov/dirsearch-public/print/downloadPdf/10294278","USPTO PDF")</f>
        <v>0.0</v>
      </c>
      <c r="K4924" s="2" t="n">
        <f>HYPERLINK("https://sectors.patentforecast.com/pmd/US10294278","PMD")</f>
        <v>0.0</v>
      </c>
      <c r="L4924" s="2" t="n">
        <f>HYPERLINK("https://globaldossier.uspto.gov/result/patent/US/10294278/1","US10294278")</f>
        <v>0.0</v>
      </c>
      <c r="M4924" t="s">
        <v>19847</v>
      </c>
      <c r="N4924" t="s">
        <v>10151</v>
      </c>
      <c r="O4924" t="s">
        <v>10152</v>
      </c>
      <c r="P4924" t="s">
        <v>29498</v>
      </c>
      <c r="Q4924" s="3" t="n">
        <v>42219.0</v>
      </c>
      <c r="R4924" s="3" t="n">
        <v>43606.0</v>
      </c>
      <c r="S4924" s="3" t="n">
        <v>43936.46037523148</v>
      </c>
      <c r="T4924" s="3" t="n">
        <v>43958.489375509256</v>
      </c>
      <c r="U4924" t="s">
        <v>29499</v>
      </c>
      <c r="V4924" t="s">
        <v>7858</v>
      </c>
    </row>
    <row r="4925">
      <c r="A4925" t="s">
        <v>23557</v>
      </c>
      <c r="B4925" t="s">
        <v>29500</v>
      </c>
      <c r="C4925" t="s">
        <v>60</v>
      </c>
      <c r="D4925" t="s">
        <v>61</v>
      </c>
      <c r="E4925" t="s">
        <v>29501</v>
      </c>
      <c r="F4925" s="2" t="n">
        <f>HYPERLINK("https://patents.google.com/patent/US10294234","Google")</f>
        <v>0.0</v>
      </c>
      <c r="G4925" s="2" t="n">
        <f>HYPERLINK("https://patentcenter.uspto.gov/applications/15888749","Patent Center")</f>
        <v>0.0</v>
      </c>
      <c r="H4925" s="2" t="n">
        <f>HYPERLINK("https://worldwide.espacenet.com/patent/search?q=US10294234","Espacenet")</f>
        <v>0.0</v>
      </c>
      <c r="I4925" s="2" t="n">
        <f>HYPERLINK("https://ppubs.uspto.gov/pubwebapp/external.html?q=10294234.pn.","USPTO")</f>
        <v>0.0</v>
      </c>
      <c r="J4925" s="2" t="n">
        <f>HYPERLINK("https://image-ppubs.uspto.gov/dirsearch-public/print/downloadPdf/10294234","USPTO PDF")</f>
        <v>0.0</v>
      </c>
      <c r="K4925" s="2" t="n">
        <f>HYPERLINK("https://sectors.patentforecast.com/pmd/US10294234","PMD")</f>
        <v>0.0</v>
      </c>
      <c r="L4925" s="2" t="n">
        <f>HYPERLINK("https://globaldossier.uspto.gov/result/patent/US/10294234/1","US10294234")</f>
        <v>0.0</v>
      </c>
      <c r="M4925" t="s">
        <v>18238</v>
      </c>
      <c r="N4925" t="s">
        <v>664</v>
      </c>
      <c r="O4925" t="s">
        <v>665</v>
      </c>
      <c r="P4925" t="s">
        <v>29502</v>
      </c>
      <c r="Q4925" s="3" t="n">
        <v>43136.0</v>
      </c>
      <c r="R4925" s="3" t="n">
        <v>43606.0</v>
      </c>
      <c r="S4925" s="3" t="n">
        <v>43952.45945267361</v>
      </c>
      <c r="T4925" s="3" t="n">
        <v>44638.662781747684</v>
      </c>
      <c r="U4925" t="s">
        <v>29503</v>
      </c>
      <c r="V4925" t="s">
        <v>29504</v>
      </c>
    </row>
    <row r="4926">
      <c r="A4926" t="s">
        <v>23557</v>
      </c>
      <c r="B4926" t="s">
        <v>29505</v>
      </c>
      <c r="C4926" t="s">
        <v>60</v>
      </c>
      <c r="D4926" t="s">
        <v>61</v>
      </c>
      <c r="E4926" t="s">
        <v>25156</v>
      </c>
      <c r="F4926" s="2" t="n">
        <f>HYPERLINK("https://patents.google.com/patent/US10287311","Google")</f>
        <v>0.0</v>
      </c>
      <c r="G4926" s="2" t="n">
        <f>HYPERLINK("https://patentcenter.uspto.gov/applications/11854218","Patent Center")</f>
        <v>0.0</v>
      </c>
      <c r="H4926" s="2" t="n">
        <f>HYPERLINK("https://worldwide.espacenet.com/patent/search?q=US10287311","Espacenet")</f>
        <v>0.0</v>
      </c>
      <c r="I4926" s="2" t="n">
        <f>HYPERLINK("https://ppubs.uspto.gov/pubwebapp/external.html?q=10287311.pn.","USPTO")</f>
        <v>0.0</v>
      </c>
      <c r="J4926" s="2" t="n">
        <f>HYPERLINK("https://image-ppubs.uspto.gov/dirsearch-public/print/downloadPdf/10287311","USPTO PDF")</f>
        <v>0.0</v>
      </c>
      <c r="K4926" s="2" t="n">
        <f>HYPERLINK("https://sectors.patentforecast.com/pmd/US10287311","PMD")</f>
        <v>0.0</v>
      </c>
      <c r="L4926" s="2" t="n">
        <f>HYPERLINK("https://globaldossier.uspto.gov/result/patent/US/10287311/1","US10287311")</f>
        <v>0.0</v>
      </c>
      <c r="M4926" t="s">
        <v>29506</v>
      </c>
      <c r="N4926" t="s">
        <v>664</v>
      </c>
      <c r="O4926" t="s">
        <v>665</v>
      </c>
      <c r="P4926" t="s">
        <v>25158</v>
      </c>
      <c r="Q4926" s="3" t="n">
        <v>39337.0</v>
      </c>
      <c r="R4926" s="3" t="n">
        <v>43599.0</v>
      </c>
      <c r="S4926" s="3" t="n">
        <v>43950.660331770836</v>
      </c>
      <c r="T4926" s="3" t="n">
        <v>44638.66610349537</v>
      </c>
      <c r="U4926" t="s">
        <v>29507</v>
      </c>
      <c r="V4926" t="s">
        <v>17390</v>
      </c>
    </row>
    <row r="4927">
      <c r="A4927" t="s">
        <v>23557</v>
      </c>
      <c r="B4927" t="s">
        <v>29508</v>
      </c>
      <c r="C4927" t="s">
        <v>132</v>
      </c>
      <c r="D4927" t="s">
        <v>133</v>
      </c>
      <c r="E4927" t="s">
        <v>29509</v>
      </c>
      <c r="F4927" s="2" t="n">
        <f>HYPERLINK("https://patents.google.com/patent/US10280199","Google")</f>
        <v>0.0</v>
      </c>
      <c r="G4927" s="2" t="n">
        <f>HYPERLINK("https://patentcenter.uspto.gov/applications/15228898","Patent Center")</f>
        <v>0.0</v>
      </c>
      <c r="H4927" s="2" t="n">
        <f>HYPERLINK("https://worldwide.espacenet.com/patent/search?q=US10280199","Espacenet")</f>
        <v>0.0</v>
      </c>
      <c r="I4927" s="2" t="n">
        <f>HYPERLINK("https://ppubs.uspto.gov/pubwebapp/external.html?q=10280199.pn.","USPTO")</f>
        <v>0.0</v>
      </c>
      <c r="J4927" s="2" t="n">
        <f>HYPERLINK("https://image-ppubs.uspto.gov/dirsearch-public/print/downloadPdf/10280199","USPTO PDF")</f>
        <v>0.0</v>
      </c>
      <c r="K4927" s="2" t="n">
        <f>HYPERLINK("https://sectors.patentforecast.com/pmd/US10280199","PMD")</f>
        <v>0.0</v>
      </c>
      <c r="L4927" s="2" t="n">
        <f>HYPERLINK("https://globaldossier.uspto.gov/result/patent/US/10280199/1","US10280199")</f>
        <v>0.0</v>
      </c>
      <c r="M4927" t="s">
        <v>19470</v>
      </c>
      <c r="N4927" t="s">
        <v>17564</v>
      </c>
      <c r="O4927" t="s">
        <v>17565</v>
      </c>
      <c r="P4927" t="s">
        <v>29510</v>
      </c>
      <c r="Q4927" s="3" t="n">
        <v>42586.0</v>
      </c>
      <c r="R4927" s="3" t="n">
        <v>43592.0</v>
      </c>
      <c r="S4927" s="3" t="n">
        <v>43900.437267939815</v>
      </c>
      <c r="T4927" s="3" t="n">
        <v>43901.70557075232</v>
      </c>
      <c r="U4927" t="s">
        <v>29511</v>
      </c>
      <c r="V4927" t="s">
        <v>17654</v>
      </c>
    </row>
    <row r="4928">
      <c r="A4928" t="s">
        <v>23557</v>
      </c>
      <c r="B4928" t="s">
        <v>29512</v>
      </c>
      <c r="C4928" t="s">
        <v>132</v>
      </c>
      <c r="D4928" t="s">
        <v>11423</v>
      </c>
      <c r="E4928" t="s">
        <v>28423</v>
      </c>
      <c r="F4928" s="2" t="n">
        <f>HYPERLINK("https://patents.google.com/patent/US10279031","Google")</f>
        <v>0.0</v>
      </c>
      <c r="G4928" s="2" t="n">
        <f>HYPERLINK("https://patentcenter.uspto.gov/applications/15593223","Patent Center")</f>
        <v>0.0</v>
      </c>
      <c r="H4928" s="2" t="n">
        <f>HYPERLINK("https://worldwide.espacenet.com/patent/search?q=US10279031","Espacenet")</f>
        <v>0.0</v>
      </c>
      <c r="I4928" s="2" t="n">
        <f>HYPERLINK("https://ppubs.uspto.gov/pubwebapp/external.html?q=10279031.pn.","USPTO")</f>
        <v>0.0</v>
      </c>
      <c r="J4928" s="2" t="n">
        <f>HYPERLINK("https://image-ppubs.uspto.gov/dirsearch-public/print/downloadPdf/10279031","USPTO PDF")</f>
        <v>0.0</v>
      </c>
      <c r="K4928" s="2" t="n">
        <f>HYPERLINK("https://sectors.patentforecast.com/pmd/US10279031","PMD")</f>
        <v>0.0</v>
      </c>
      <c r="L4928" s="2" t="n">
        <f>HYPERLINK("https://globaldossier.uspto.gov/result/patent/US/10279031/1","US10279031")</f>
        <v>0.0</v>
      </c>
      <c r="M4928" t="s">
        <v>18929</v>
      </c>
      <c r="N4928" t="s">
        <v>17564</v>
      </c>
      <c r="O4928" t="s">
        <v>17565</v>
      </c>
      <c r="P4928" t="s">
        <v>28424</v>
      </c>
      <c r="Q4928" s="3" t="n">
        <v>42866.0</v>
      </c>
      <c r="R4928" s="3" t="n">
        <v>43592.0</v>
      </c>
      <c r="S4928" s="3" t="n">
        <v>43900.437267939815</v>
      </c>
      <c r="T4928" s="3" t="n">
        <v>43901.70556973379</v>
      </c>
      <c r="U4928" t="s">
        <v>29513</v>
      </c>
      <c r="V4928" t="s">
        <v>17568</v>
      </c>
    </row>
    <row r="4929">
      <c r="A4929" t="s">
        <v>23557</v>
      </c>
      <c r="B4929" t="s">
        <v>29514</v>
      </c>
      <c r="C4929" t="s">
        <v>24</v>
      </c>
      <c r="D4929" t="s">
        <v>25</v>
      </c>
      <c r="E4929" t="s">
        <v>29515</v>
      </c>
      <c r="F4929" s="2" t="n">
        <f>HYPERLINK("https://patents.google.com/patent/US10274487","Google")</f>
        <v>0.0</v>
      </c>
      <c r="G4929" s="2" t="n">
        <f>HYPERLINK("https://patentcenter.uspto.gov/applications/13761142","Patent Center")</f>
        <v>0.0</v>
      </c>
      <c r="H4929" s="2" t="n">
        <f>HYPERLINK("https://worldwide.espacenet.com/patent/search?q=US10274487","Espacenet")</f>
        <v>0.0</v>
      </c>
      <c r="I4929" s="2" t="n">
        <f>HYPERLINK("https://ppubs.uspto.gov/pubwebapp/external.html?q=10274487.pn.","USPTO")</f>
        <v>0.0</v>
      </c>
      <c r="J4929" s="2" t="n">
        <f>HYPERLINK("https://image-ppubs.uspto.gov/dirsearch-public/print/downloadPdf/10274487","USPTO PDF")</f>
        <v>0.0</v>
      </c>
      <c r="K4929" s="2" t="n">
        <f>HYPERLINK("https://sectors.patentforecast.com/pmd/US10274487","PMD")</f>
        <v>0.0</v>
      </c>
      <c r="L4929" s="2" t="n">
        <f>HYPERLINK("https://globaldossier.uspto.gov/result/patent/US/10274487/1","US10274487")</f>
        <v>0.0</v>
      </c>
      <c r="M4929" t="s">
        <v>21082</v>
      </c>
      <c r="N4929" t="s">
        <v>17522</v>
      </c>
      <c r="O4929" t="s">
        <v>17523</v>
      </c>
      <c r="P4929" t="s">
        <v>29516</v>
      </c>
      <c r="Q4929" s="3" t="n">
        <v>41311.0</v>
      </c>
      <c r="R4929" s="3" t="n">
        <v>43585.0</v>
      </c>
      <c r="S4929" s="3" t="n">
        <v>43900.437267939815</v>
      </c>
      <c r="T4929" s="3" t="n">
        <v>43901.70557071759</v>
      </c>
      <c r="U4929" t="s">
        <v>29517</v>
      </c>
      <c r="V4929" t="s">
        <v>21084</v>
      </c>
    </row>
    <row r="4930">
      <c r="A4930" t="s">
        <v>23557</v>
      </c>
      <c r="B4930" t="s">
        <v>29518</v>
      </c>
      <c r="C4930" t="s">
        <v>132</v>
      </c>
      <c r="D4930" t="s">
        <v>12938</v>
      </c>
      <c r="E4930" t="s">
        <v>29519</v>
      </c>
      <c r="F4930" s="2" t="n">
        <f>HYPERLINK("https://patents.google.com/patent/US10273269","Google")</f>
        <v>0.0</v>
      </c>
      <c r="G4930" s="2" t="n">
        <f>HYPERLINK("https://patentcenter.uspto.gov/applications/16031951","Patent Center")</f>
        <v>0.0</v>
      </c>
      <c r="H4930" s="2" t="n">
        <f>HYPERLINK("https://worldwide.espacenet.com/patent/search?q=US10273269","Espacenet")</f>
        <v>0.0</v>
      </c>
      <c r="I4930" s="2" t="n">
        <f>HYPERLINK("https://ppubs.uspto.gov/pubwebapp/external.html?q=10273269.pn.","USPTO")</f>
        <v>0.0</v>
      </c>
      <c r="J4930" s="2" t="n">
        <f>HYPERLINK("https://image-ppubs.uspto.gov/dirsearch-public/print/downloadPdf/10273269","USPTO PDF")</f>
        <v>0.0</v>
      </c>
      <c r="K4930" s="2" t="n">
        <f>HYPERLINK("https://sectors.patentforecast.com/pmd/US10273269","PMD")</f>
        <v>0.0</v>
      </c>
      <c r="L4930" s="2" t="n">
        <f>HYPERLINK("https://globaldossier.uspto.gov/result/patent/US/10273269/1","US10273269")</f>
        <v>0.0</v>
      </c>
      <c r="M4930" t="s">
        <v>18149</v>
      </c>
      <c r="N4930" t="s">
        <v>145</v>
      </c>
      <c r="O4930" t="s">
        <v>146</v>
      </c>
      <c r="P4930" t="s">
        <v>28737</v>
      </c>
      <c r="Q4930" s="3" t="n">
        <v>43291.0</v>
      </c>
      <c r="R4930" s="3" t="n">
        <v>43585.0</v>
      </c>
      <c r="S4930" s="3" t="n">
        <v>43935.70415306713</v>
      </c>
      <c r="T4930" s="3" t="n">
        <v>43958.41326450231</v>
      </c>
      <c r="U4930" t="s">
        <v>29520</v>
      </c>
      <c r="V4930" t="s">
        <v>29521</v>
      </c>
    </row>
    <row r="4931">
      <c r="A4931" t="s">
        <v>23557</v>
      </c>
      <c r="B4931" t="s">
        <v>29522</v>
      </c>
      <c r="C4931" t="s">
        <v>132</v>
      </c>
      <c r="D4931" t="s">
        <v>2629</v>
      </c>
      <c r="E4931" t="s">
        <v>29523</v>
      </c>
      <c r="F4931" s="2" t="n">
        <f>HYPERLINK("https://patents.google.com/patent/US10272150","Google")</f>
        <v>0.0</v>
      </c>
      <c r="G4931" s="2" t="n">
        <f>HYPERLINK("https://patentcenter.uspto.gov/applications/16040981","Patent Center")</f>
        <v>0.0</v>
      </c>
      <c r="H4931" s="2" t="n">
        <f>HYPERLINK("https://worldwide.espacenet.com/patent/search?q=US10272150","Espacenet")</f>
        <v>0.0</v>
      </c>
      <c r="I4931" s="2" t="n">
        <f>HYPERLINK("https://ppubs.uspto.gov/pubwebapp/external.html?q=10272150.pn.","USPTO")</f>
        <v>0.0</v>
      </c>
      <c r="J4931" s="2" t="n">
        <f>HYPERLINK("https://image-ppubs.uspto.gov/dirsearch-public/print/downloadPdf/10272150","USPTO PDF")</f>
        <v>0.0</v>
      </c>
      <c r="K4931" s="2" t="n">
        <f>HYPERLINK("https://sectors.patentforecast.com/pmd/US10272150","PMD")</f>
        <v>0.0</v>
      </c>
      <c r="L4931" s="2" t="n">
        <f>HYPERLINK("https://globaldossier.uspto.gov/result/patent/US/10272150/1","US10272150")</f>
        <v>0.0</v>
      </c>
      <c r="M4931" t="s">
        <v>18118</v>
      </c>
      <c r="N4931" t="s">
        <v>145</v>
      </c>
      <c r="O4931" t="s">
        <v>146</v>
      </c>
      <c r="P4931" t="s">
        <v>28705</v>
      </c>
      <c r="Q4931" s="3" t="n">
        <v>43301.0</v>
      </c>
      <c r="R4931" s="3" t="n">
        <v>43585.0</v>
      </c>
      <c r="S4931" s="3" t="n">
        <v>43935.70415306713</v>
      </c>
      <c r="T4931" s="3" t="n">
        <v>43950.473868113426</v>
      </c>
      <c r="U4931" t="s">
        <v>29524</v>
      </c>
      <c r="V4931" t="s">
        <v>15867</v>
      </c>
    </row>
    <row r="4932">
      <c r="A4932" t="s">
        <v>23557</v>
      </c>
      <c r="B4932" t="s">
        <v>29525</v>
      </c>
      <c r="C4932" t="s">
        <v>24</v>
      </c>
      <c r="D4932" t="s">
        <v>25</v>
      </c>
      <c r="E4932" t="s">
        <v>29526</v>
      </c>
      <c r="F4932" s="2" t="n">
        <f>HYPERLINK("https://patents.google.com/patent/US10266887","Google")</f>
        <v>0.0</v>
      </c>
      <c r="G4932" s="2" t="n">
        <f>HYPERLINK("https://patentcenter.uspto.gov/applications/15917549","Patent Center")</f>
        <v>0.0</v>
      </c>
      <c r="H4932" s="2" t="n">
        <f>HYPERLINK("https://worldwide.espacenet.com/patent/search?q=US10266887","Espacenet")</f>
        <v>0.0</v>
      </c>
      <c r="I4932" s="2" t="n">
        <f>HYPERLINK("https://ppubs.uspto.gov/pubwebapp/external.html?q=10266887.pn.","USPTO")</f>
        <v>0.0</v>
      </c>
      <c r="J4932" s="2" t="n">
        <f>HYPERLINK("https://image-ppubs.uspto.gov/dirsearch-public/print/downloadPdf/10266887","USPTO PDF")</f>
        <v>0.0</v>
      </c>
      <c r="K4932" s="2" t="n">
        <f>HYPERLINK("https://sectors.patentforecast.com/pmd/US10266887","PMD")</f>
        <v>0.0</v>
      </c>
      <c r="L4932" s="2" t="n">
        <f>HYPERLINK("https://globaldossier.uspto.gov/result/patent/US/10266887/1","US10266887")</f>
        <v>0.0</v>
      </c>
      <c r="M4932" t="s">
        <v>29527</v>
      </c>
      <c r="N4932" t="s">
        <v>13783</v>
      </c>
      <c r="O4932" t="s">
        <v>13784</v>
      </c>
      <c r="P4932" t="s">
        <v>29528</v>
      </c>
      <c r="Q4932" s="3" t="n">
        <v>43168.0</v>
      </c>
      <c r="R4932" s="3" t="n">
        <v>43578.0</v>
      </c>
      <c r="S4932" s="3" t="n">
        <v>43943.461410578704</v>
      </c>
      <c r="T4932" s="3" t="n">
        <v>43985.40561130787</v>
      </c>
      <c r="U4932" t="s">
        <v>29529</v>
      </c>
      <c r="V4932" t="s">
        <v>29530</v>
      </c>
    </row>
    <row r="4933">
      <c r="A4933" t="s">
        <v>23557</v>
      </c>
      <c r="B4933" t="s">
        <v>29531</v>
      </c>
      <c r="C4933" t="s">
        <v>24</v>
      </c>
      <c r="D4933" t="s">
        <v>25</v>
      </c>
      <c r="E4933" t="s">
        <v>29526</v>
      </c>
      <c r="F4933" s="2" t="n">
        <f>HYPERLINK("https://patents.google.com/patent/US10266886","Google")</f>
        <v>0.0</v>
      </c>
      <c r="G4933" s="2" t="n">
        <f>HYPERLINK("https://patentcenter.uspto.gov/applications/15917546","Patent Center")</f>
        <v>0.0</v>
      </c>
      <c r="H4933" s="2" t="n">
        <f>HYPERLINK("https://worldwide.espacenet.com/patent/search?q=US10266886","Espacenet")</f>
        <v>0.0</v>
      </c>
      <c r="I4933" s="2" t="n">
        <f>HYPERLINK("https://ppubs.uspto.gov/pubwebapp/external.html?q=10266886.pn.","USPTO")</f>
        <v>0.0</v>
      </c>
      <c r="J4933" s="2" t="n">
        <f>HYPERLINK("https://image-ppubs.uspto.gov/dirsearch-public/print/downloadPdf/10266886","USPTO PDF")</f>
        <v>0.0</v>
      </c>
      <c r="K4933" s="2" t="n">
        <f>HYPERLINK("https://sectors.patentforecast.com/pmd/US10266886","PMD")</f>
        <v>0.0</v>
      </c>
      <c r="L4933" s="2" t="n">
        <f>HYPERLINK("https://globaldossier.uspto.gov/result/patent/US/10266886/1","US10266886")</f>
        <v>0.0</v>
      </c>
      <c r="M4933" t="s">
        <v>29532</v>
      </c>
      <c r="N4933" t="s">
        <v>13783</v>
      </c>
      <c r="O4933" t="s">
        <v>13784</v>
      </c>
      <c r="P4933" t="s">
        <v>29528</v>
      </c>
      <c r="Q4933" s="3" t="n">
        <v>43168.0</v>
      </c>
      <c r="R4933" s="3" t="n">
        <v>43578.0</v>
      </c>
      <c r="S4933" s="3" t="n">
        <v>43943.461410578704</v>
      </c>
      <c r="T4933" s="3" t="n">
        <v>43985.405647974534</v>
      </c>
      <c r="U4933" t="s">
        <v>29533</v>
      </c>
      <c r="V4933" t="s">
        <v>29530</v>
      </c>
    </row>
    <row r="4934">
      <c r="A4934" t="s">
        <v>23557</v>
      </c>
      <c r="B4934" t="s">
        <v>29534</v>
      </c>
      <c r="C4934" t="s">
        <v>24</v>
      </c>
      <c r="D4934" t="s">
        <v>1450</v>
      </c>
      <c r="E4934" t="s">
        <v>29535</v>
      </c>
      <c r="F4934" s="2" t="n">
        <f>HYPERLINK("https://patents.google.com/patent/US10262761","Google")</f>
        <v>0.0</v>
      </c>
      <c r="G4934" s="2" t="n">
        <f>HYPERLINK("https://patentcenter.uspto.gov/applications/14496467","Patent Center")</f>
        <v>0.0</v>
      </c>
      <c r="H4934" s="2" t="n">
        <f>HYPERLINK("https://worldwide.espacenet.com/patent/search?q=US10262761","Espacenet")</f>
        <v>0.0</v>
      </c>
      <c r="I4934" s="2" t="n">
        <f>HYPERLINK("https://ppubs.uspto.gov/pubwebapp/external.html?q=10262761.pn.","USPTO")</f>
        <v>0.0</v>
      </c>
      <c r="J4934" s="2" t="n">
        <f>HYPERLINK("https://image-ppubs.uspto.gov/dirsearch-public/print/downloadPdf/10262761","USPTO PDF")</f>
        <v>0.0</v>
      </c>
      <c r="K4934" s="2" t="n">
        <f>HYPERLINK("https://sectors.patentforecast.com/pmd/US10262761","PMD")</f>
        <v>0.0</v>
      </c>
      <c r="L4934" s="2" t="n">
        <f>HYPERLINK("https://globaldossier.uspto.gov/result/patent/US/10262761/1","US10262761")</f>
        <v>0.0</v>
      </c>
      <c r="M4934" t="s">
        <v>29536</v>
      </c>
      <c r="N4934" t="s">
        <v>29537</v>
      </c>
      <c r="O4934" t="s">
        <v>29538</v>
      </c>
      <c r="P4934" t="s">
        <v>29539</v>
      </c>
      <c r="Q4934" s="3" t="n">
        <v>41907.0</v>
      </c>
      <c r="R4934" s="3" t="n">
        <v>43571.0</v>
      </c>
      <c r="S4934" s="3" t="n">
        <v>43908.458514398146</v>
      </c>
      <c r="T4934" s="3" t="n">
        <v>43948.67670192129</v>
      </c>
      <c r="U4934" t="s">
        <v>29540</v>
      </c>
      <c r="V4934" t="s">
        <v>29541</v>
      </c>
    </row>
    <row r="4935">
      <c r="A4935" t="s">
        <v>23557</v>
      </c>
      <c r="B4935" t="s">
        <v>29542</v>
      </c>
      <c r="C4935" t="s">
        <v>60</v>
      </c>
      <c r="D4935" t="s">
        <v>696</v>
      </c>
      <c r="E4935" t="s">
        <v>27353</v>
      </c>
      <c r="F4935" s="2" t="n">
        <f>HYPERLINK("https://patents.google.com/patent/US10259881","Google")</f>
        <v>0.0</v>
      </c>
      <c r="G4935" s="2" t="n">
        <f>HYPERLINK("https://patentcenter.uspto.gov/applications/15050215","Patent Center")</f>
        <v>0.0</v>
      </c>
      <c r="H4935" s="2" t="n">
        <f>HYPERLINK("https://worldwide.espacenet.com/patent/search?q=US10259881","Espacenet")</f>
        <v>0.0</v>
      </c>
      <c r="I4935" s="2" t="n">
        <f>HYPERLINK("https://ppubs.uspto.gov/pubwebapp/external.html?q=10259881.pn.","USPTO")</f>
        <v>0.0</v>
      </c>
      <c r="J4935" s="2" t="n">
        <f>HYPERLINK("https://image-ppubs.uspto.gov/dirsearch-public/print/downloadPdf/10259881","USPTO PDF")</f>
        <v>0.0</v>
      </c>
      <c r="K4935" s="2" t="n">
        <f>HYPERLINK("https://sectors.patentforecast.com/pmd/US10259881","PMD")</f>
        <v>0.0</v>
      </c>
      <c r="L4935" s="2" t="n">
        <f>HYPERLINK("https://globaldossier.uspto.gov/result/patent/US/10259881/1","US10259881")</f>
        <v>0.0</v>
      </c>
      <c r="M4935" t="s">
        <v>19109</v>
      </c>
      <c r="N4935" t="s">
        <v>385</v>
      </c>
      <c r="O4935" t="s">
        <v>386</v>
      </c>
      <c r="P4935" t="s">
        <v>29543</v>
      </c>
      <c r="Q4935" s="3" t="n">
        <v>42422.0</v>
      </c>
      <c r="R4935" s="3" t="n">
        <v>43571.0</v>
      </c>
      <c r="S4935" s="3" t="n">
        <v>44004.3759249537</v>
      </c>
      <c r="T4935" s="3" t="n">
        <v>44678.623324849534</v>
      </c>
      <c r="U4935" t="s">
        <v>29544</v>
      </c>
      <c r="V4935" t="s">
        <v>7435</v>
      </c>
    </row>
    <row r="4936">
      <c r="A4936" t="s">
        <v>23557</v>
      </c>
      <c r="B4936" t="s">
        <v>29545</v>
      </c>
      <c r="C4936" t="s">
        <v>60</v>
      </c>
      <c r="D4936" t="s">
        <v>715</v>
      </c>
      <c r="E4936" t="s">
        <v>29546</v>
      </c>
      <c r="F4936" s="2" t="n">
        <f>HYPERLINK("https://patents.google.com/patent/US10252020","Google")</f>
        <v>0.0</v>
      </c>
      <c r="G4936" s="2" t="n">
        <f>HYPERLINK("https://patentcenter.uspto.gov/applications/12572033","Patent Center")</f>
        <v>0.0</v>
      </c>
      <c r="H4936" s="2" t="n">
        <f>HYPERLINK("https://worldwide.espacenet.com/patent/search?q=US10252020","Espacenet")</f>
        <v>0.0</v>
      </c>
      <c r="I4936" s="2" t="n">
        <f>HYPERLINK("https://ppubs.uspto.gov/pubwebapp/external.html?q=10252020.pn.","USPTO")</f>
        <v>0.0</v>
      </c>
      <c r="J4936" s="2" t="n">
        <f>HYPERLINK("https://image-ppubs.uspto.gov/dirsearch-public/print/downloadPdf/10252020","USPTO PDF")</f>
        <v>0.0</v>
      </c>
      <c r="K4936" s="2" t="n">
        <f>HYPERLINK("https://sectors.patentforecast.com/pmd/US10252020","PMD")</f>
        <v>0.0</v>
      </c>
      <c r="L4936" s="2" t="n">
        <f>HYPERLINK("https://globaldossier.uspto.gov/result/patent/US/10252020/1","US10252020")</f>
        <v>0.0</v>
      </c>
      <c r="M4936" t="s">
        <v>22249</v>
      </c>
      <c r="N4936" t="s">
        <v>22250</v>
      </c>
      <c r="O4936" t="s">
        <v>22251</v>
      </c>
      <c r="P4936" t="s">
        <v>29547</v>
      </c>
      <c r="Q4936" s="3" t="n">
        <v>40087.0</v>
      </c>
      <c r="R4936" s="3" t="n">
        <v>43564.0</v>
      </c>
      <c r="S4936" s="3" t="n">
        <v>44271.23377832176</v>
      </c>
      <c r="T4936" s="3" t="n">
        <v>44271.53298239583</v>
      </c>
      <c r="U4936" t="s">
        <v>29548</v>
      </c>
      <c r="V4936" t="s">
        <v>29549</v>
      </c>
    </row>
    <row r="4937">
      <c r="A4937" t="s">
        <v>23557</v>
      </c>
      <c r="B4937" t="s">
        <v>29550</v>
      </c>
      <c r="C4937" t="s">
        <v>132</v>
      </c>
      <c r="D4937" t="s">
        <v>133</v>
      </c>
      <c r="E4937" t="s">
        <v>28622</v>
      </c>
      <c r="F4937" s="2" t="n">
        <f>HYPERLINK("https://patents.google.com/patent/US10251950","Google")</f>
        <v>0.0</v>
      </c>
      <c r="G4937" s="2" t="n">
        <f>HYPERLINK("https://patentcenter.uspto.gov/applications/15324908","Patent Center")</f>
        <v>0.0</v>
      </c>
      <c r="H4937" s="2" t="n">
        <f>HYPERLINK("https://worldwide.espacenet.com/patent/search?q=US10251950","Espacenet")</f>
        <v>0.0</v>
      </c>
      <c r="I4937" s="2" t="n">
        <f>HYPERLINK("https://ppubs.uspto.gov/pubwebapp/external.html?q=10251950.pn.","USPTO")</f>
        <v>0.0</v>
      </c>
      <c r="J4937" s="2" t="n">
        <f>HYPERLINK("https://image-ppubs.uspto.gov/dirsearch-public/print/downloadPdf/10251950","USPTO PDF")</f>
        <v>0.0</v>
      </c>
      <c r="K4937" s="2" t="n">
        <f>HYPERLINK("https://sectors.patentforecast.com/pmd/US10251950","PMD")</f>
        <v>0.0</v>
      </c>
      <c r="L4937" s="2" t="n">
        <f>HYPERLINK("https://globaldossier.uspto.gov/result/patent/US/10251950/1","US10251950")</f>
        <v>0.0</v>
      </c>
      <c r="M4937" t="s">
        <v>19147</v>
      </c>
      <c r="N4937" t="s">
        <v>6331</v>
      </c>
      <c r="O4937" t="s">
        <v>6332</v>
      </c>
      <c r="P4937" t="s">
        <v>28623</v>
      </c>
      <c r="Q4937" s="3" t="n">
        <v>42193.0</v>
      </c>
      <c r="R4937" s="3" t="n">
        <v>43564.0</v>
      </c>
      <c r="S4937" s="3" t="n">
        <v>43900.437267939815</v>
      </c>
      <c r="T4937" s="3" t="n">
        <v>43901.70556978009</v>
      </c>
      <c r="U4937" t="s">
        <v>29551</v>
      </c>
      <c r="V4937" t="s">
        <v>17608</v>
      </c>
    </row>
    <row r="4938">
      <c r="A4938" t="s">
        <v>23557</v>
      </c>
      <c r="B4938" t="s">
        <v>29552</v>
      </c>
      <c r="C4938" t="s">
        <v>60</v>
      </c>
      <c r="D4938" t="s">
        <v>61</v>
      </c>
      <c r="E4938" t="s">
        <v>28386</v>
      </c>
      <c r="F4938" s="2" t="n">
        <f>HYPERLINK("https://patents.google.com/patent/US10251904","Google")</f>
        <v>0.0</v>
      </c>
      <c r="G4938" s="2" t="n">
        <f>HYPERLINK("https://patentcenter.uspto.gov/applications/15267433","Patent Center")</f>
        <v>0.0</v>
      </c>
      <c r="H4938" s="2" t="n">
        <f>HYPERLINK("https://worldwide.espacenet.com/patent/search?q=US10251904","Espacenet")</f>
        <v>0.0</v>
      </c>
      <c r="I4938" s="2" t="n">
        <f>HYPERLINK("https://ppubs.uspto.gov/pubwebapp/external.html?q=10251904.pn.","USPTO")</f>
        <v>0.0</v>
      </c>
      <c r="J4938" s="2" t="n">
        <f>HYPERLINK("https://image-ppubs.uspto.gov/dirsearch-public/print/downloadPdf/10251904","USPTO PDF")</f>
        <v>0.0</v>
      </c>
      <c r="K4938" s="2" t="n">
        <f>HYPERLINK("https://sectors.patentforecast.com/pmd/US10251904","PMD")</f>
        <v>0.0</v>
      </c>
      <c r="L4938" s="2" t="n">
        <f>HYPERLINK("https://globaldossier.uspto.gov/result/patent/US/10251904/1","US10251904")</f>
        <v>0.0</v>
      </c>
      <c r="M4938" t="s">
        <v>19359</v>
      </c>
      <c r="N4938" t="s">
        <v>664</v>
      </c>
      <c r="O4938" t="s">
        <v>665</v>
      </c>
      <c r="P4938" t="s">
        <v>29168</v>
      </c>
      <c r="Q4938" s="3" t="n">
        <v>42629.0</v>
      </c>
      <c r="R4938" s="3" t="n">
        <v>43564.0</v>
      </c>
      <c r="S4938" s="3" t="n">
        <v>43950.660331770836</v>
      </c>
      <c r="T4938" s="3" t="n">
        <v>43950.66084768518</v>
      </c>
      <c r="U4938" t="s">
        <v>29553</v>
      </c>
      <c r="V4938" t="s">
        <v>28389</v>
      </c>
    </row>
    <row r="4939">
      <c r="A4939" t="s">
        <v>23557</v>
      </c>
      <c r="B4939" t="s">
        <v>29554</v>
      </c>
      <c r="C4939" t="s">
        <v>60</v>
      </c>
      <c r="D4939" t="s">
        <v>61</v>
      </c>
      <c r="E4939" t="s">
        <v>23658</v>
      </c>
      <c r="F4939" s="2" t="n">
        <f>HYPERLINK("https://patents.google.com/patent/US10251898","Google")</f>
        <v>0.0</v>
      </c>
      <c r="G4939" s="2" t="n">
        <f>HYPERLINK("https://patentcenter.uspto.gov/applications/15902690","Patent Center")</f>
        <v>0.0</v>
      </c>
      <c r="H4939" s="2" t="n">
        <f>HYPERLINK("https://worldwide.espacenet.com/patent/search?q=US10251898","Espacenet")</f>
        <v>0.0</v>
      </c>
      <c r="I4939" s="2" t="n">
        <f>HYPERLINK("https://ppubs.uspto.gov/pubwebapp/external.html?q=10251898.pn.","USPTO")</f>
        <v>0.0</v>
      </c>
      <c r="J4939" s="2" t="n">
        <f>HYPERLINK("https://image-ppubs.uspto.gov/dirsearch-public/print/downloadPdf/10251898","USPTO PDF")</f>
        <v>0.0</v>
      </c>
      <c r="K4939" s="2" t="n">
        <f>HYPERLINK("https://sectors.patentforecast.com/pmd/US10251898","PMD")</f>
        <v>0.0</v>
      </c>
      <c r="L4939" s="2" t="n">
        <f>HYPERLINK("https://globaldossier.uspto.gov/result/patent/US/10251898/1","US10251898")</f>
        <v>0.0</v>
      </c>
      <c r="M4939" t="s">
        <v>18158</v>
      </c>
      <c r="N4939" t="s">
        <v>664</v>
      </c>
      <c r="O4939" t="s">
        <v>665</v>
      </c>
      <c r="P4939" t="s">
        <v>23659</v>
      </c>
      <c r="Q4939" s="3" t="n">
        <v>43153.0</v>
      </c>
      <c r="R4939" s="3" t="n">
        <v>43564.0</v>
      </c>
      <c r="S4939" s="3" t="n">
        <v>43950.660331770836</v>
      </c>
      <c r="T4939" s="3" t="n">
        <v>43977.40865605324</v>
      </c>
      <c r="U4939" t="s">
        <v>29555</v>
      </c>
      <c r="V4939" t="s">
        <v>23661</v>
      </c>
    </row>
    <row r="4940">
      <c r="A4940" t="s">
        <v>23557</v>
      </c>
      <c r="B4940" t="s">
        <v>29556</v>
      </c>
      <c r="C4940" t="s">
        <v>24</v>
      </c>
      <c r="D4940" t="s">
        <v>43</v>
      </c>
      <c r="E4940" t="s">
        <v>29557</v>
      </c>
      <c r="F4940" s="2" t="n">
        <f>HYPERLINK("https://patents.google.com/patent/US10251610","Google")</f>
        <v>0.0</v>
      </c>
      <c r="G4940" s="2" t="n">
        <f>HYPERLINK("https://patentcenter.uspto.gov/applications/15006214","Patent Center")</f>
        <v>0.0</v>
      </c>
      <c r="H4940" s="2" t="n">
        <f>HYPERLINK("https://worldwide.espacenet.com/patent/search?q=US10251610","Espacenet")</f>
        <v>0.0</v>
      </c>
      <c r="I4940" s="2" t="n">
        <f>HYPERLINK("https://ppubs.uspto.gov/pubwebapp/external.html?q=10251610.pn.","USPTO")</f>
        <v>0.0</v>
      </c>
      <c r="J4940" s="2" t="n">
        <f>HYPERLINK("https://image-ppubs.uspto.gov/dirsearch-public/print/downloadPdf/10251610","USPTO PDF")</f>
        <v>0.0</v>
      </c>
      <c r="K4940" s="2" t="n">
        <f>HYPERLINK("https://sectors.patentforecast.com/pmd/US10251610","PMD")</f>
        <v>0.0</v>
      </c>
      <c r="L4940" s="2" t="n">
        <f>HYPERLINK("https://globaldossier.uspto.gov/result/patent/US/10251610/1","US10251610")</f>
        <v>0.0</v>
      </c>
      <c r="M4940" t="s">
        <v>19132</v>
      </c>
      <c r="N4940" t="s">
        <v>947</v>
      </c>
      <c r="O4940" t="s">
        <v>948</v>
      </c>
      <c r="P4940" t="s">
        <v>29558</v>
      </c>
      <c r="Q4940" s="3" t="n">
        <v>42395.0</v>
      </c>
      <c r="R4940" s="3" t="n">
        <v>43564.0</v>
      </c>
      <c r="S4940" s="3" t="n">
        <v>43977.49039584491</v>
      </c>
      <c r="T4940" s="3" t="n">
        <v>43977.490822141204</v>
      </c>
      <c r="U4940" t="s">
        <v>29559</v>
      </c>
      <c r="V4940" t="s">
        <v>29560</v>
      </c>
    </row>
    <row r="4941">
      <c r="A4941" t="s">
        <v>23557</v>
      </c>
      <c r="B4941" t="s">
        <v>29561</v>
      </c>
      <c r="C4941" t="s">
        <v>60</v>
      </c>
      <c r="D4941" t="s">
        <v>61</v>
      </c>
      <c r="E4941" t="s">
        <v>23564</v>
      </c>
      <c r="F4941" s="2" t="n">
        <f>HYPERLINK("https://patents.google.com/patent/US10246486","Google")</f>
        <v>0.0</v>
      </c>
      <c r="G4941" s="2" t="n">
        <f>HYPERLINK("https://patentcenter.uspto.gov/applications/15465492","Patent Center")</f>
        <v>0.0</v>
      </c>
      <c r="H4941" s="2" t="n">
        <f>HYPERLINK("https://worldwide.espacenet.com/patent/search?q=US10246486","Espacenet")</f>
        <v>0.0</v>
      </c>
      <c r="I4941" s="2" t="n">
        <f>HYPERLINK("https://ppubs.uspto.gov/pubwebapp/external.html?q=10246486.pn.","USPTO")</f>
        <v>0.0</v>
      </c>
      <c r="J4941" s="2" t="n">
        <f>HYPERLINK("https://image-ppubs.uspto.gov/dirsearch-public/print/downloadPdf/10246486","USPTO PDF")</f>
        <v>0.0</v>
      </c>
      <c r="K4941" s="2" t="n">
        <f>HYPERLINK("https://sectors.patentforecast.com/pmd/US10246486","PMD")</f>
        <v>0.0</v>
      </c>
      <c r="L4941" s="2" t="n">
        <f>HYPERLINK("https://globaldossier.uspto.gov/result/patent/US/10246486/1","US10246486")</f>
        <v>0.0</v>
      </c>
      <c r="M4941" t="s">
        <v>19173</v>
      </c>
      <c r="N4941" t="s">
        <v>19174</v>
      </c>
      <c r="O4941" t="s">
        <v>19175</v>
      </c>
      <c r="P4941" t="s">
        <v>29562</v>
      </c>
      <c r="Q4941" s="3" t="n">
        <v>42815.0</v>
      </c>
      <c r="R4941" s="3" t="n">
        <v>43557.0</v>
      </c>
      <c r="S4941" s="3" t="n">
        <v>43957.459709930554</v>
      </c>
      <c r="T4941" s="3" t="n">
        <v>44638.65643378472</v>
      </c>
      <c r="U4941" t="s">
        <v>29563</v>
      </c>
      <c r="V4941" t="s">
        <v>23568</v>
      </c>
    </row>
    <row r="4942">
      <c r="A4942" t="s">
        <v>23557</v>
      </c>
      <c r="B4942" t="s">
        <v>29564</v>
      </c>
      <c r="C4942" t="s">
        <v>60</v>
      </c>
      <c r="D4942" t="s">
        <v>61</v>
      </c>
      <c r="E4942" t="s">
        <v>29565</v>
      </c>
      <c r="F4942" s="2" t="n">
        <f>HYPERLINK("https://patents.google.com/patent/US10239935","Google")</f>
        <v>0.0</v>
      </c>
      <c r="G4942" s="2" t="n">
        <f>HYPERLINK("https://patentcenter.uspto.gov/applications/15379157","Patent Center")</f>
        <v>0.0</v>
      </c>
      <c r="H4942" s="2" t="n">
        <f>HYPERLINK("https://worldwide.espacenet.com/patent/search?q=US10239935","Espacenet")</f>
        <v>0.0</v>
      </c>
      <c r="I4942" s="2" t="n">
        <f>HYPERLINK("https://ppubs.uspto.gov/pubwebapp/external.html?q=10239935.pn.","USPTO")</f>
        <v>0.0</v>
      </c>
      <c r="J4942" s="2" t="n">
        <f>HYPERLINK("https://image-ppubs.uspto.gov/dirsearch-public/print/downloadPdf/10239935","USPTO PDF")</f>
        <v>0.0</v>
      </c>
      <c r="K4942" s="2" t="n">
        <f>HYPERLINK("https://sectors.patentforecast.com/pmd/US10239935","PMD")</f>
        <v>0.0</v>
      </c>
      <c r="L4942" s="2" t="n">
        <f>HYPERLINK("https://globaldossier.uspto.gov/result/patent/US/10239935/1","US10239935")</f>
        <v>0.0</v>
      </c>
      <c r="M4942" t="s">
        <v>19168</v>
      </c>
      <c r="N4942" t="s">
        <v>664</v>
      </c>
      <c r="O4942" t="s">
        <v>665</v>
      </c>
      <c r="P4942" t="s">
        <v>29566</v>
      </c>
      <c r="Q4942" s="3" t="n">
        <v>42718.0</v>
      </c>
      <c r="R4942" s="3" t="n">
        <v>43550.0</v>
      </c>
      <c r="S4942" s="3" t="n">
        <v>43957.459709930554</v>
      </c>
      <c r="T4942" s="3" t="n">
        <v>44638.65643378472</v>
      </c>
      <c r="U4942" t="s">
        <v>29567</v>
      </c>
      <c r="V4942" t="s">
        <v>17631</v>
      </c>
    </row>
    <row r="4943">
      <c r="A4943" t="s">
        <v>23557</v>
      </c>
      <c r="B4943" t="s">
        <v>29568</v>
      </c>
      <c r="C4943" t="s">
        <v>60</v>
      </c>
      <c r="D4943" t="s">
        <v>61</v>
      </c>
      <c r="E4943" t="s">
        <v>24095</v>
      </c>
      <c r="F4943" s="2" t="n">
        <f>HYPERLINK("https://patents.google.com/patent/US10238666","Google")</f>
        <v>0.0</v>
      </c>
      <c r="G4943" s="2" t="n">
        <f>HYPERLINK("https://patentcenter.uspto.gov/applications/15825982","Patent Center")</f>
        <v>0.0</v>
      </c>
      <c r="H4943" s="2" t="n">
        <f>HYPERLINK("https://worldwide.espacenet.com/patent/search?q=US10238666","Espacenet")</f>
        <v>0.0</v>
      </c>
      <c r="I4943" s="2" t="n">
        <f>HYPERLINK("https://ppubs.uspto.gov/pubwebapp/external.html?q=10238666.pn.","USPTO")</f>
        <v>0.0</v>
      </c>
      <c r="J4943" s="2" t="n">
        <f>HYPERLINK("https://image-ppubs.uspto.gov/dirsearch-public/print/downloadPdf/10238666","USPTO PDF")</f>
        <v>0.0</v>
      </c>
      <c r="K4943" s="2" t="n">
        <f>HYPERLINK("https://sectors.patentforecast.com/pmd/US10238666","PMD")</f>
        <v>0.0</v>
      </c>
      <c r="L4943" s="2" t="n">
        <f>HYPERLINK("https://globaldossier.uspto.gov/result/patent/US/10238666/1","US10238666")</f>
        <v>0.0</v>
      </c>
      <c r="M4943" t="s">
        <v>18370</v>
      </c>
      <c r="N4943" t="s">
        <v>16951</v>
      </c>
      <c r="O4943" t="s">
        <v>16952</v>
      </c>
      <c r="P4943" t="s">
        <v>24097</v>
      </c>
      <c r="Q4943" s="3" t="n">
        <v>43068.0</v>
      </c>
      <c r="R4943" s="3" t="n">
        <v>43550.0</v>
      </c>
      <c r="S4943" s="3" t="n">
        <v>43973.468679375</v>
      </c>
      <c r="T4943" s="3" t="n">
        <v>44545.68621840278</v>
      </c>
      <c r="U4943" t="s">
        <v>29569</v>
      </c>
      <c r="V4943" t="s">
        <v>16955</v>
      </c>
    </row>
    <row r="4944">
      <c r="A4944" t="s">
        <v>23557</v>
      </c>
      <c r="B4944" t="s">
        <v>29570</v>
      </c>
      <c r="C4944" t="s">
        <v>60</v>
      </c>
      <c r="D4944" t="s">
        <v>696</v>
      </c>
      <c r="E4944" t="s">
        <v>27353</v>
      </c>
      <c r="F4944" s="2" t="n">
        <f>HYPERLINK("https://patents.google.com/patent/US10233251","Google")</f>
        <v>0.0</v>
      </c>
      <c r="G4944" s="2" t="n">
        <f>HYPERLINK("https://patentcenter.uspto.gov/applications/15049718","Patent Center")</f>
        <v>0.0</v>
      </c>
      <c r="H4944" s="2" t="n">
        <f>HYPERLINK("https://worldwide.espacenet.com/patent/search?q=US10233251","Espacenet")</f>
        <v>0.0</v>
      </c>
      <c r="I4944" s="2" t="n">
        <f>HYPERLINK("https://ppubs.uspto.gov/pubwebapp/external.html?q=10233251.pn.","USPTO")</f>
        <v>0.0</v>
      </c>
      <c r="J4944" s="2" t="n">
        <f>HYPERLINK("https://image-ppubs.uspto.gov/dirsearch-public/print/downloadPdf/10233251","USPTO PDF")</f>
        <v>0.0</v>
      </c>
      <c r="K4944" s="2" t="n">
        <f>HYPERLINK("https://sectors.patentforecast.com/pmd/US10233251","PMD")</f>
        <v>0.0</v>
      </c>
      <c r="L4944" s="2" t="n">
        <f>HYPERLINK("https://globaldossier.uspto.gov/result/patent/US/10233251/1","US10233251")</f>
        <v>0.0</v>
      </c>
      <c r="M4944" t="s">
        <v>19557</v>
      </c>
      <c r="N4944" t="s">
        <v>385</v>
      </c>
      <c r="O4944" t="s">
        <v>386</v>
      </c>
      <c r="P4944" t="s">
        <v>29543</v>
      </c>
      <c r="Q4944" s="3" t="n">
        <v>42422.0</v>
      </c>
      <c r="R4944" s="3" t="n">
        <v>43543.0</v>
      </c>
      <c r="S4944" s="3" t="n">
        <v>44004.3759249537</v>
      </c>
      <c r="T4944" s="3" t="n">
        <v>44678.623324849534</v>
      </c>
      <c r="U4944" t="s">
        <v>29571</v>
      </c>
      <c r="V4944" t="s">
        <v>7435</v>
      </c>
    </row>
    <row r="4945">
      <c r="A4945" t="s">
        <v>23557</v>
      </c>
      <c r="B4945" t="s">
        <v>29572</v>
      </c>
      <c r="C4945" t="s">
        <v>60</v>
      </c>
      <c r="D4945" t="s">
        <v>77</v>
      </c>
      <c r="E4945" t="s">
        <v>29573</v>
      </c>
      <c r="F4945" s="2" t="n">
        <f>HYPERLINK("https://patents.google.com/patent/US10233239","Google")</f>
        <v>0.0</v>
      </c>
      <c r="G4945" s="2" t="n">
        <f>HYPERLINK("https://patentcenter.uspto.gov/applications/15668989","Patent Center")</f>
        <v>0.0</v>
      </c>
      <c r="H4945" s="2" t="n">
        <f>HYPERLINK("https://worldwide.espacenet.com/patent/search?q=US10233239","Espacenet")</f>
        <v>0.0</v>
      </c>
      <c r="I4945" s="2" t="n">
        <f>HYPERLINK("https://ppubs.uspto.gov/pubwebapp/external.html?q=10233239.pn.","USPTO")</f>
        <v>0.0</v>
      </c>
      <c r="J4945" s="2" t="n">
        <f>HYPERLINK("https://image-ppubs.uspto.gov/dirsearch-public/print/downloadPdf/10233239","USPTO PDF")</f>
        <v>0.0</v>
      </c>
      <c r="K4945" s="2" t="n">
        <f>HYPERLINK("https://sectors.patentforecast.com/pmd/US10233239","PMD")</f>
        <v>0.0</v>
      </c>
      <c r="L4945" s="2" t="n">
        <f>HYPERLINK("https://globaldossier.uspto.gov/result/patent/US/10233239/1","US10233239")</f>
        <v>0.0</v>
      </c>
      <c r="M4945" t="s">
        <v>18749</v>
      </c>
      <c r="N4945" t="s">
        <v>16927</v>
      </c>
      <c r="O4945" t="s">
        <v>16928</v>
      </c>
      <c r="P4945" t="s">
        <v>23797</v>
      </c>
      <c r="Q4945" s="3" t="n">
        <v>42951.0</v>
      </c>
      <c r="R4945" s="3" t="n">
        <v>43543.0</v>
      </c>
      <c r="S4945" s="3" t="n">
        <v>43973.468679375</v>
      </c>
      <c r="T4945" s="3" t="n">
        <v>44545.61476142361</v>
      </c>
      <c r="U4945" t="s">
        <v>29574</v>
      </c>
      <c r="V4945" t="s">
        <v>29575</v>
      </c>
    </row>
    <row r="4946">
      <c r="A4946" t="s">
        <v>23557</v>
      </c>
      <c r="B4946" t="s">
        <v>29576</v>
      </c>
      <c r="C4946" t="s">
        <v>132</v>
      </c>
      <c r="D4946" t="s">
        <v>142</v>
      </c>
      <c r="E4946" t="s">
        <v>23842</v>
      </c>
      <c r="F4946" s="2" t="n">
        <f>HYPERLINK("https://patents.google.com/patent/US10233148","Google")</f>
        <v>0.0</v>
      </c>
      <c r="G4946" s="2" t="n">
        <f>HYPERLINK("https://patentcenter.uspto.gov/applications/15799098","Patent Center")</f>
        <v>0.0</v>
      </c>
      <c r="H4946" s="2" t="n">
        <f>HYPERLINK("https://worldwide.espacenet.com/patent/search?q=US10233148","Espacenet")</f>
        <v>0.0</v>
      </c>
      <c r="I4946" s="2" t="n">
        <f>HYPERLINK("https://ppubs.uspto.gov/pubwebapp/external.html?q=10233148.pn.","USPTO")</f>
        <v>0.0</v>
      </c>
      <c r="J4946" s="2" t="n">
        <f>HYPERLINK("https://image-ppubs.uspto.gov/dirsearch-public/print/downloadPdf/10233148","USPTO PDF")</f>
        <v>0.0</v>
      </c>
      <c r="K4946" s="2" t="n">
        <f>HYPERLINK("https://sectors.patentforecast.com/pmd/US10233148","PMD")</f>
        <v>0.0</v>
      </c>
      <c r="L4946" s="2" t="n">
        <f>HYPERLINK("https://globaldossier.uspto.gov/result/patent/US/10233148/1","US10233148")</f>
        <v>0.0</v>
      </c>
      <c r="M4946" t="s">
        <v>29577</v>
      </c>
      <c r="N4946" t="s">
        <v>13916</v>
      </c>
      <c r="O4946" t="s">
        <v>13917</v>
      </c>
      <c r="P4946" t="s">
        <v>23621</v>
      </c>
      <c r="Q4946" s="3" t="n">
        <v>43039.0</v>
      </c>
      <c r="R4946" s="3" t="n">
        <v>43543.0</v>
      </c>
      <c r="S4946" s="3" t="n">
        <v>43992.43079226852</v>
      </c>
      <c r="T4946" s="3" t="n">
        <v>43992.49864549768</v>
      </c>
      <c r="U4946" t="s">
        <v>23844</v>
      </c>
      <c r="V4946" t="s">
        <v>29578</v>
      </c>
    </row>
    <row r="4947">
      <c r="A4947" t="s">
        <v>23557</v>
      </c>
      <c r="B4947" t="s">
        <v>29579</v>
      </c>
      <c r="C4947" t="s">
        <v>60</v>
      </c>
      <c r="D4947" t="s">
        <v>696</v>
      </c>
      <c r="E4947" t="s">
        <v>21604</v>
      </c>
      <c r="F4947" s="2" t="n">
        <f>HYPERLINK("https://patents.google.com/patent/US10227404","Google")</f>
        <v>0.0</v>
      </c>
      <c r="G4947" s="2" t="n">
        <f>HYPERLINK("https://patentcenter.uspto.gov/applications/15622225","Patent Center")</f>
        <v>0.0</v>
      </c>
      <c r="H4947" s="2" t="n">
        <f>HYPERLINK("https://worldwide.espacenet.com/patent/search?q=US10227404","Espacenet")</f>
        <v>0.0</v>
      </c>
      <c r="I4947" s="2" t="n">
        <f>HYPERLINK("https://ppubs.uspto.gov/pubwebapp/external.html?q=10227404.pn.","USPTO")</f>
        <v>0.0</v>
      </c>
      <c r="J4947" s="2" t="n">
        <f>HYPERLINK("https://image-ppubs.uspto.gov/dirsearch-public/print/downloadPdf/10227404","USPTO PDF")</f>
        <v>0.0</v>
      </c>
      <c r="K4947" s="2" t="n">
        <f>HYPERLINK("https://sectors.patentforecast.com/pmd/US10227404","PMD")</f>
        <v>0.0</v>
      </c>
      <c r="L4947" s="2" t="n">
        <f>HYPERLINK("https://globaldossier.uspto.gov/result/patent/US/10227404/1","US10227404")</f>
        <v>0.0</v>
      </c>
      <c r="M4947" t="s">
        <v>18907</v>
      </c>
      <c r="N4947" t="s">
        <v>16927</v>
      </c>
      <c r="O4947" t="s">
        <v>16928</v>
      </c>
      <c r="P4947" t="s">
        <v>23586</v>
      </c>
      <c r="Q4947" s="3" t="n">
        <v>42900.0</v>
      </c>
      <c r="R4947" s="3" t="n">
        <v>43536.0</v>
      </c>
      <c r="S4947" s="3" t="n">
        <v>43971.496014143515</v>
      </c>
      <c r="T4947" s="3" t="n">
        <v>44643.44490069444</v>
      </c>
      <c r="U4947" t="s">
        <v>29580</v>
      </c>
      <c r="V4947" t="s">
        <v>17130</v>
      </c>
    </row>
    <row r="4948">
      <c r="A4948" t="s">
        <v>23557</v>
      </c>
      <c r="B4948" t="s">
        <v>29581</v>
      </c>
      <c r="C4948" t="s">
        <v>132</v>
      </c>
      <c r="D4948" t="s">
        <v>19761</v>
      </c>
      <c r="E4948" t="s">
        <v>29582</v>
      </c>
      <c r="F4948" s="2" t="n">
        <f>HYPERLINK("https://patents.google.com/patent/US10226521","Google")</f>
        <v>0.0</v>
      </c>
      <c r="G4948" s="2" t="n">
        <f>HYPERLINK("https://patentcenter.uspto.gov/applications/14850811","Patent Center")</f>
        <v>0.0</v>
      </c>
      <c r="H4948" s="2" t="n">
        <f>HYPERLINK("https://worldwide.espacenet.com/patent/search?q=US10226521","Espacenet")</f>
        <v>0.0</v>
      </c>
      <c r="I4948" s="2" t="n">
        <f>HYPERLINK("https://ppubs.uspto.gov/pubwebapp/external.html?q=10226521.pn.","USPTO")</f>
        <v>0.0</v>
      </c>
      <c r="J4948" s="2" t="n">
        <f>HYPERLINK("https://image-ppubs.uspto.gov/dirsearch-public/print/downloadPdf/10226521","USPTO PDF")</f>
        <v>0.0</v>
      </c>
      <c r="K4948" s="2" t="n">
        <f>HYPERLINK("https://sectors.patentforecast.com/pmd/US10226521","PMD")</f>
        <v>0.0</v>
      </c>
      <c r="L4948" s="2" t="n">
        <f>HYPERLINK("https://globaldossier.uspto.gov/result/patent/US/10226521/1","US10226521")</f>
        <v>0.0</v>
      </c>
      <c r="M4948" t="s">
        <v>19763</v>
      </c>
      <c r="N4948" t="s">
        <v>3605</v>
      </c>
      <c r="O4948" t="s">
        <v>3606</v>
      </c>
      <c r="P4948" t="s">
        <v>29583</v>
      </c>
      <c r="Q4948" s="3" t="n">
        <v>42257.0</v>
      </c>
      <c r="R4948" s="3" t="n">
        <v>43536.0</v>
      </c>
      <c r="S4948" s="3" t="n">
        <v>43900.437267939815</v>
      </c>
      <c r="T4948" s="3" t="n">
        <v>43901.705570555554</v>
      </c>
      <c r="U4948" t="s">
        <v>29584</v>
      </c>
      <c r="V4948" t="s">
        <v>19766</v>
      </c>
    </row>
    <row r="4949">
      <c r="A4949" t="s">
        <v>23557</v>
      </c>
      <c r="B4949" t="s">
        <v>29585</v>
      </c>
      <c r="C4949" t="s">
        <v>60</v>
      </c>
      <c r="D4949" t="s">
        <v>61</v>
      </c>
      <c r="E4949" t="s">
        <v>29586</v>
      </c>
      <c r="F4949" s="2" t="n">
        <f>HYPERLINK("https://patents.google.com/patent/US10222369","Google")</f>
        <v>0.0</v>
      </c>
      <c r="G4949" s="2" t="n">
        <f>HYPERLINK("https://patentcenter.uspto.gov/applications/15596493","Patent Center")</f>
        <v>0.0</v>
      </c>
      <c r="H4949" s="2" t="n">
        <f>HYPERLINK("https://worldwide.espacenet.com/patent/search?q=US10222369","Espacenet")</f>
        <v>0.0</v>
      </c>
      <c r="I4949" s="2" t="n">
        <f>HYPERLINK("https://ppubs.uspto.gov/pubwebapp/external.html?q=10222369.pn.","USPTO")</f>
        <v>0.0</v>
      </c>
      <c r="J4949" s="2" t="n">
        <f>HYPERLINK("https://image-ppubs.uspto.gov/dirsearch-public/print/downloadPdf/10222369","USPTO PDF")</f>
        <v>0.0</v>
      </c>
      <c r="K4949" s="2" t="n">
        <f>HYPERLINK("https://sectors.patentforecast.com/pmd/US10222369","PMD")</f>
        <v>0.0</v>
      </c>
      <c r="L4949" s="2" t="n">
        <f>HYPERLINK("https://globaldossier.uspto.gov/result/patent/US/10222369/1","US10222369")</f>
        <v>0.0</v>
      </c>
      <c r="M4949" t="s">
        <v>29587</v>
      </c>
      <c r="N4949" t="s">
        <v>29588</v>
      </c>
      <c r="O4949" t="s">
        <v>29589</v>
      </c>
      <c r="P4949" t="s">
        <v>29590</v>
      </c>
      <c r="Q4949" s="3" t="n">
        <v>42871.0</v>
      </c>
      <c r="R4949" s="3" t="n">
        <v>43529.0</v>
      </c>
      <c r="S4949" s="3" t="n">
        <v>43973.468679375</v>
      </c>
      <c r="T4949" s="3" t="n">
        <v>44545.66742925926</v>
      </c>
      <c r="U4949" t="s">
        <v>29591</v>
      </c>
      <c r="V4949" t="s">
        <v>29592</v>
      </c>
    </row>
    <row r="4950">
      <c r="A4950" t="s">
        <v>23557</v>
      </c>
      <c r="B4950" t="s">
        <v>29593</v>
      </c>
      <c r="C4950" t="s">
        <v>132</v>
      </c>
      <c r="D4950" t="s">
        <v>1265</v>
      </c>
      <c r="E4950" t="s">
        <v>28741</v>
      </c>
      <c r="F4950" s="2" t="n">
        <f>HYPERLINK("https://patents.google.com/patent/US10220086","Google")</f>
        <v>0.0</v>
      </c>
      <c r="G4950" s="2" t="n">
        <f>HYPERLINK("https://patentcenter.uspto.gov/applications/15537081","Patent Center")</f>
        <v>0.0</v>
      </c>
      <c r="H4950" s="2" t="n">
        <f>HYPERLINK("https://worldwide.espacenet.com/patent/search?q=US10220086","Espacenet")</f>
        <v>0.0</v>
      </c>
      <c r="I4950" s="2" t="n">
        <f>HYPERLINK("https://ppubs.uspto.gov/pubwebapp/external.html?q=10220086.pn.","USPTO")</f>
        <v>0.0</v>
      </c>
      <c r="J4950" s="2" t="n">
        <f>HYPERLINK("https://image-ppubs.uspto.gov/dirsearch-public/print/downloadPdf/10220086","USPTO PDF")</f>
        <v>0.0</v>
      </c>
      <c r="K4950" s="2" t="n">
        <f>HYPERLINK("https://sectors.patentforecast.com/pmd/US10220086","PMD")</f>
        <v>0.0</v>
      </c>
      <c r="L4950" s="2" t="n">
        <f>HYPERLINK("https://globaldossier.uspto.gov/result/patent/US/10220086/1","US10220086")</f>
        <v>0.0</v>
      </c>
      <c r="M4950" t="s">
        <v>18810</v>
      </c>
      <c r="N4950" t="s">
        <v>2612</v>
      </c>
      <c r="O4950" t="s">
        <v>2613</v>
      </c>
      <c r="P4950" t="s">
        <v>29594</v>
      </c>
      <c r="Q4950" s="3" t="n">
        <v>42356.0</v>
      </c>
      <c r="R4950" s="3" t="n">
        <v>43529.0</v>
      </c>
      <c r="S4950" s="3" t="n">
        <v>43900.437267939815</v>
      </c>
      <c r="T4950" s="3" t="n">
        <v>43901.705571087965</v>
      </c>
      <c r="U4950" t="s">
        <v>29595</v>
      </c>
      <c r="V4950" t="s">
        <v>17695</v>
      </c>
    </row>
    <row r="4951">
      <c r="A4951" t="s">
        <v>23557</v>
      </c>
      <c r="B4951" t="s">
        <v>29596</v>
      </c>
      <c r="C4951" t="s">
        <v>24</v>
      </c>
      <c r="D4951" t="s">
        <v>25</v>
      </c>
      <c r="E4951" t="s">
        <v>29597</v>
      </c>
      <c r="F4951" s="2" t="n">
        <f>HYPERLINK("https://patents.google.com/patent/US10210735","Google")</f>
        <v>0.0</v>
      </c>
      <c r="G4951" s="2" t="n">
        <f>HYPERLINK("https://patentcenter.uspto.gov/applications/15496572","Patent Center")</f>
        <v>0.0</v>
      </c>
      <c r="H4951" s="2" t="n">
        <f>HYPERLINK("https://worldwide.espacenet.com/patent/search?q=US10210735","Espacenet")</f>
        <v>0.0</v>
      </c>
      <c r="I4951" s="2" t="n">
        <f>HYPERLINK("https://ppubs.uspto.gov/pubwebapp/external.html?q=10210735.pn.","USPTO")</f>
        <v>0.0</v>
      </c>
      <c r="J4951" s="2" t="n">
        <f>HYPERLINK("https://image-ppubs.uspto.gov/dirsearch-public/print/downloadPdf/10210735","USPTO PDF")</f>
        <v>0.0</v>
      </c>
      <c r="K4951" s="2" t="n">
        <f>HYPERLINK("https://sectors.patentforecast.com/pmd/US10210735","PMD")</f>
        <v>0.0</v>
      </c>
      <c r="L4951" s="2" t="n">
        <f>HYPERLINK("https://globaldossier.uspto.gov/result/patent/US/10210735/1","US10210735")</f>
        <v>0.0</v>
      </c>
      <c r="M4951" t="s">
        <v>18972</v>
      </c>
      <c r="N4951" t="s">
        <v>1577</v>
      </c>
      <c r="O4951" t="s">
        <v>1578</v>
      </c>
      <c r="P4951" t="s">
        <v>29598</v>
      </c>
      <c r="Q4951" s="3" t="n">
        <v>42850.0</v>
      </c>
      <c r="R4951" s="3" t="n">
        <v>43515.0</v>
      </c>
      <c r="S4951" s="3" t="n">
        <v>43906.37291284722</v>
      </c>
      <c r="T4951" s="3" t="n">
        <v>43950.607218958336</v>
      </c>
      <c r="U4951" t="s">
        <v>29599</v>
      </c>
      <c r="V4951" t="s">
        <v>29600</v>
      </c>
    </row>
    <row r="4952">
      <c r="A4952" t="s">
        <v>23557</v>
      </c>
      <c r="B4952" t="s">
        <v>29601</v>
      </c>
      <c r="C4952" t="s">
        <v>24</v>
      </c>
      <c r="D4952" t="s">
        <v>43</v>
      </c>
      <c r="E4952" t="s">
        <v>29602</v>
      </c>
      <c r="F4952" s="2" t="n">
        <f>HYPERLINK("https://patents.google.com/patent/US10198779","Google")</f>
        <v>0.0</v>
      </c>
      <c r="G4952" s="2" t="n">
        <f>HYPERLINK("https://patentcenter.uspto.gov/applications/15612844","Patent Center")</f>
        <v>0.0</v>
      </c>
      <c r="H4952" s="2" t="n">
        <f>HYPERLINK("https://worldwide.espacenet.com/patent/search?q=US10198779","Espacenet")</f>
        <v>0.0</v>
      </c>
      <c r="I4952" s="2" t="n">
        <f>HYPERLINK("https://ppubs.uspto.gov/pubwebapp/external.html?q=10198779.pn.","USPTO")</f>
        <v>0.0</v>
      </c>
      <c r="J4952" s="2" t="n">
        <f>HYPERLINK("https://image-ppubs.uspto.gov/dirsearch-public/print/downloadPdf/10198779","USPTO PDF")</f>
        <v>0.0</v>
      </c>
      <c r="K4952" s="2" t="n">
        <f>HYPERLINK("https://sectors.patentforecast.com/pmd/US10198779","PMD")</f>
        <v>0.0</v>
      </c>
      <c r="L4952" s="2" t="n">
        <f>HYPERLINK("https://globaldossier.uspto.gov/result/patent/US/10198779/1","US10198779")</f>
        <v>0.0</v>
      </c>
      <c r="M4952" t="s">
        <v>18853</v>
      </c>
      <c r="N4952" t="s">
        <v>18854</v>
      </c>
      <c r="O4952" t="s">
        <v>18855</v>
      </c>
      <c r="P4952" t="s">
        <v>29603</v>
      </c>
      <c r="Q4952" s="3" t="n">
        <v>42888.0</v>
      </c>
      <c r="R4952" s="3" t="n">
        <v>43501.0</v>
      </c>
      <c r="S4952" s="3" t="n">
        <v>43908.458514398146</v>
      </c>
      <c r="T4952" s="3" t="n">
        <v>43965.4597474537</v>
      </c>
      <c r="U4952" t="s">
        <v>29604</v>
      </c>
      <c r="V4952" t="s">
        <v>18858</v>
      </c>
    </row>
    <row r="4953">
      <c r="A4953" t="s">
        <v>23557</v>
      </c>
      <c r="B4953" t="s">
        <v>29605</v>
      </c>
      <c r="C4953" t="s">
        <v>60</v>
      </c>
      <c r="D4953" t="s">
        <v>61</v>
      </c>
      <c r="E4953" t="s">
        <v>23911</v>
      </c>
      <c r="F4953" s="2" t="n">
        <f>HYPERLINK("https://patents.google.com/patent/US10196419","Google")</f>
        <v>0.0</v>
      </c>
      <c r="G4953" s="2" t="n">
        <f>HYPERLINK("https://patentcenter.uspto.gov/applications/15697136","Patent Center")</f>
        <v>0.0</v>
      </c>
      <c r="H4953" s="2" t="n">
        <f>HYPERLINK("https://worldwide.espacenet.com/patent/search?q=US10196419","Espacenet")</f>
        <v>0.0</v>
      </c>
      <c r="I4953" s="2" t="n">
        <f>HYPERLINK("https://ppubs.uspto.gov/pubwebapp/external.html?q=10196419.pn.","USPTO")</f>
        <v>0.0</v>
      </c>
      <c r="J4953" s="2" t="n">
        <f>HYPERLINK("https://image-ppubs.uspto.gov/dirsearch-public/print/downloadPdf/10196419","USPTO PDF")</f>
        <v>0.0</v>
      </c>
      <c r="K4953" s="2" t="n">
        <f>HYPERLINK("https://sectors.patentforecast.com/pmd/US10196419","PMD")</f>
        <v>0.0</v>
      </c>
      <c r="L4953" s="2" t="n">
        <f>HYPERLINK("https://globaldossier.uspto.gov/result/patent/US/10196419/1","US10196419")</f>
        <v>0.0</v>
      </c>
      <c r="M4953" t="s">
        <v>18660</v>
      </c>
      <c r="N4953" t="s">
        <v>664</v>
      </c>
      <c r="O4953" t="s">
        <v>665</v>
      </c>
      <c r="P4953" t="s">
        <v>23912</v>
      </c>
      <c r="Q4953" s="3" t="n">
        <v>42984.0</v>
      </c>
      <c r="R4953" s="3" t="n">
        <v>43501.0</v>
      </c>
      <c r="S4953" s="3" t="n">
        <v>43957.459709930554</v>
      </c>
      <c r="T4953" s="3" t="n">
        <v>44638.65800609954</v>
      </c>
      <c r="U4953" t="s">
        <v>29606</v>
      </c>
      <c r="V4953" t="s">
        <v>17322</v>
      </c>
    </row>
    <row r="4954">
      <c r="A4954" t="s">
        <v>23557</v>
      </c>
      <c r="B4954" t="s">
        <v>29607</v>
      </c>
      <c r="C4954" t="s">
        <v>60</v>
      </c>
      <c r="D4954" t="s">
        <v>61</v>
      </c>
      <c r="E4954" t="s">
        <v>29608</v>
      </c>
      <c r="F4954" s="2" t="n">
        <f>HYPERLINK("https://patents.google.com/patent/US10188733","Google")</f>
        <v>0.0</v>
      </c>
      <c r="G4954" s="2" t="n">
        <f>HYPERLINK("https://patentcenter.uspto.gov/applications/13880795","Patent Center")</f>
        <v>0.0</v>
      </c>
      <c r="H4954" s="2" t="n">
        <f>HYPERLINK("https://worldwide.espacenet.com/patent/search?q=US10188733","Espacenet")</f>
        <v>0.0</v>
      </c>
      <c r="I4954" s="2" t="n">
        <f>HYPERLINK("https://ppubs.uspto.gov/pubwebapp/external.html?q=10188733.pn.","USPTO")</f>
        <v>0.0</v>
      </c>
      <c r="J4954" s="2" t="n">
        <f>HYPERLINK("https://image-ppubs.uspto.gov/dirsearch-public/print/downloadPdf/10188733","USPTO PDF")</f>
        <v>0.0</v>
      </c>
      <c r="K4954" s="2" t="n">
        <f>HYPERLINK("https://sectors.patentforecast.com/pmd/US10188733","PMD")</f>
        <v>0.0</v>
      </c>
      <c r="L4954" s="2" t="n">
        <f>HYPERLINK("https://globaldossier.uspto.gov/result/patent/US/10188733/1","US10188733")</f>
        <v>0.0</v>
      </c>
      <c r="M4954" t="s">
        <v>29609</v>
      </c>
      <c r="N4954" t="s">
        <v>12835</v>
      </c>
      <c r="O4954" t="s">
        <v>12836</v>
      </c>
      <c r="P4954" t="s">
        <v>29610</v>
      </c>
      <c r="Q4954" s="3" t="n">
        <v>40837.0</v>
      </c>
      <c r="R4954" s="3" t="n">
        <v>43494.0</v>
      </c>
      <c r="S4954" s="3" t="n">
        <v>43973.468679375</v>
      </c>
      <c r="T4954" s="3" t="n">
        <v>44546.390857858794</v>
      </c>
      <c r="U4954" t="s">
        <v>29611</v>
      </c>
      <c r="V4954" t="s">
        <v>29612</v>
      </c>
    </row>
    <row r="4955">
      <c r="A4955" t="s">
        <v>23557</v>
      </c>
      <c r="B4955" t="s">
        <v>29613</v>
      </c>
      <c r="C4955" t="s">
        <v>132</v>
      </c>
      <c r="D4955" t="s">
        <v>1265</v>
      </c>
      <c r="E4955" t="s">
        <v>22938</v>
      </c>
      <c r="F4955" s="2" t="n">
        <f>HYPERLINK("https://patents.google.com/patent/US10188723","Google")</f>
        <v>0.0</v>
      </c>
      <c r="G4955" s="2" t="n">
        <f>HYPERLINK("https://patentcenter.uspto.gov/applications/15608532","Patent Center")</f>
        <v>0.0</v>
      </c>
      <c r="H4955" s="2" t="n">
        <f>HYPERLINK("https://worldwide.espacenet.com/patent/search?q=US10188723","Espacenet")</f>
        <v>0.0</v>
      </c>
      <c r="I4955" s="2" t="n">
        <f>HYPERLINK("https://ppubs.uspto.gov/pubwebapp/external.html?q=10188723.pn.","USPTO")</f>
        <v>0.0</v>
      </c>
      <c r="J4955" s="2" t="n">
        <f>HYPERLINK("https://image-ppubs.uspto.gov/dirsearch-public/print/downloadPdf/10188723","USPTO PDF")</f>
        <v>0.0</v>
      </c>
      <c r="K4955" s="2" t="n">
        <f>HYPERLINK("https://sectors.patentforecast.com/pmd/US10188723","PMD")</f>
        <v>0.0</v>
      </c>
      <c r="L4955" s="2" t="n">
        <f>HYPERLINK("https://globaldossier.uspto.gov/result/patent/US/10188723/1","US10188723")</f>
        <v>0.0</v>
      </c>
      <c r="M4955" t="s">
        <v>18570</v>
      </c>
      <c r="N4955" t="s">
        <v>1275</v>
      </c>
      <c r="O4955" t="s">
        <v>1275</v>
      </c>
      <c r="P4955" t="s">
        <v>24001</v>
      </c>
      <c r="Q4955" s="3" t="n">
        <v>42885.0</v>
      </c>
      <c r="R4955" s="3" t="n">
        <v>43494.0</v>
      </c>
      <c r="S4955" s="3" t="n">
        <v>43900.437267939815</v>
      </c>
      <c r="T4955" s="3" t="n">
        <v>43901.70557087963</v>
      </c>
      <c r="U4955" t="s">
        <v>29614</v>
      </c>
      <c r="V4955" t="s">
        <v>17402</v>
      </c>
    </row>
    <row r="4956">
      <c r="A4956" t="s">
        <v>23557</v>
      </c>
      <c r="B4956" t="s">
        <v>29615</v>
      </c>
      <c r="C4956" t="s">
        <v>60</v>
      </c>
      <c r="D4956" t="s">
        <v>61</v>
      </c>
      <c r="E4956" t="s">
        <v>24289</v>
      </c>
      <c r="F4956" s="2" t="n">
        <f>HYPERLINK("https://patents.google.com/patent/US10188722","Google")</f>
        <v>0.0</v>
      </c>
      <c r="G4956" s="2" t="n">
        <f>HYPERLINK("https://patentcenter.uspto.gov/applications/15243904","Patent Center")</f>
        <v>0.0</v>
      </c>
      <c r="H4956" s="2" t="n">
        <f>HYPERLINK("https://worldwide.espacenet.com/patent/search?q=US10188722","Espacenet")</f>
        <v>0.0</v>
      </c>
      <c r="I4956" s="2" t="n">
        <f>HYPERLINK("https://ppubs.uspto.gov/pubwebapp/external.html?q=10188722.pn.","USPTO")</f>
        <v>0.0</v>
      </c>
      <c r="J4956" s="2" t="n">
        <f>HYPERLINK("https://image-ppubs.uspto.gov/dirsearch-public/print/downloadPdf/10188722","USPTO PDF")</f>
        <v>0.0</v>
      </c>
      <c r="K4956" s="2" t="n">
        <f>HYPERLINK("https://sectors.patentforecast.com/pmd/US10188722","PMD")</f>
        <v>0.0</v>
      </c>
      <c r="L4956" s="2" t="n">
        <f>HYPERLINK("https://globaldossier.uspto.gov/result/patent/US/10188722/1","US10188722")</f>
        <v>0.0</v>
      </c>
      <c r="M4956" t="s">
        <v>29616</v>
      </c>
      <c r="N4956" t="s">
        <v>29617</v>
      </c>
      <c r="O4956" t="s">
        <v>29618</v>
      </c>
      <c r="P4956" t="s">
        <v>24293</v>
      </c>
      <c r="Q4956" s="3" t="n">
        <v>42604.0</v>
      </c>
      <c r="R4956" s="3" t="n">
        <v>43494.0</v>
      </c>
      <c r="S4956" s="3" t="n">
        <v>43973.468679375</v>
      </c>
      <c r="T4956" s="3" t="n">
        <v>44545.61595762731</v>
      </c>
      <c r="U4956" t="s">
        <v>29619</v>
      </c>
      <c r="V4956" t="s">
        <v>29620</v>
      </c>
    </row>
    <row r="4957">
      <c r="A4957" t="s">
        <v>23557</v>
      </c>
      <c r="B4957" t="s">
        <v>29621</v>
      </c>
      <c r="C4957" t="s">
        <v>24</v>
      </c>
      <c r="D4957" t="s">
        <v>25</v>
      </c>
      <c r="E4957" t="s">
        <v>29622</v>
      </c>
      <c r="F4957" s="2" t="n">
        <f>HYPERLINK("https://patents.google.com/patent/US10188048","Google")</f>
        <v>0.0</v>
      </c>
      <c r="G4957" s="2" t="n">
        <f>HYPERLINK("https://patentcenter.uspto.gov/applications/14905550","Patent Center")</f>
        <v>0.0</v>
      </c>
      <c r="H4957" s="2" t="n">
        <f>HYPERLINK("https://worldwide.espacenet.com/patent/search?q=US10188048","Espacenet")</f>
        <v>0.0</v>
      </c>
      <c r="I4957" s="2" t="n">
        <f>HYPERLINK("https://ppubs.uspto.gov/pubwebapp/external.html?q=10188048.pn.","USPTO")</f>
        <v>0.0</v>
      </c>
      <c r="J4957" s="2" t="n">
        <f>HYPERLINK("https://image-ppubs.uspto.gov/dirsearch-public/print/downloadPdf/10188048","USPTO PDF")</f>
        <v>0.0</v>
      </c>
      <c r="K4957" s="2" t="n">
        <f>HYPERLINK("https://sectors.patentforecast.com/pmd/US10188048","PMD")</f>
        <v>0.0</v>
      </c>
      <c r="L4957" s="2" t="n">
        <f>HYPERLINK("https://globaldossier.uspto.gov/result/patent/US/10188048/1","US10188048")</f>
        <v>0.0</v>
      </c>
      <c r="M4957" t="s">
        <v>19640</v>
      </c>
      <c r="N4957" t="s">
        <v>17792</v>
      </c>
      <c r="O4957" t="s">
        <v>17793</v>
      </c>
      <c r="P4957" t="s">
        <v>29623</v>
      </c>
      <c r="Q4957" s="3" t="n">
        <v>41837.0</v>
      </c>
      <c r="R4957" s="3" t="n">
        <v>43494.0</v>
      </c>
      <c r="S4957" s="3" t="n">
        <v>43908.458514398146</v>
      </c>
      <c r="T4957" s="3" t="n">
        <v>43950.606586608796</v>
      </c>
      <c r="U4957" t="s">
        <v>29624</v>
      </c>
      <c r="V4957" t="s">
        <v>17796</v>
      </c>
    </row>
    <row r="4958">
      <c r="A4958" t="s">
        <v>23557</v>
      </c>
      <c r="B4958" t="s">
        <v>29625</v>
      </c>
      <c r="C4958" t="s">
        <v>24</v>
      </c>
      <c r="D4958" t="s">
        <v>25</v>
      </c>
      <c r="E4958" t="s">
        <v>23031</v>
      </c>
      <c r="F4958" s="2" t="n">
        <f>HYPERLINK("https://patents.google.com/patent/US10181010","Google")</f>
        <v>0.0</v>
      </c>
      <c r="G4958" s="2" t="n">
        <f>HYPERLINK("https://patentcenter.uspto.gov/applications/14566651","Patent Center")</f>
        <v>0.0</v>
      </c>
      <c r="H4958" s="2" t="n">
        <f>HYPERLINK("https://worldwide.espacenet.com/patent/search?q=US10181010","Espacenet")</f>
        <v>0.0</v>
      </c>
      <c r="I4958" s="2" t="n">
        <f>HYPERLINK("https://ppubs.uspto.gov/pubwebapp/external.html?q=10181010.pn.","USPTO")</f>
        <v>0.0</v>
      </c>
      <c r="J4958" s="2" t="n">
        <f>HYPERLINK("https://image-ppubs.uspto.gov/dirsearch-public/print/downloadPdf/10181010","USPTO PDF")</f>
        <v>0.0</v>
      </c>
      <c r="K4958" s="2" t="n">
        <f>HYPERLINK("https://sectors.patentforecast.com/pmd/US10181010","PMD")</f>
        <v>0.0</v>
      </c>
      <c r="L4958" s="2" t="n">
        <f>HYPERLINK("https://globaldossier.uspto.gov/result/patent/US/10181010/1","US10181010")</f>
        <v>0.0</v>
      </c>
      <c r="M4958" t="s">
        <v>20198</v>
      </c>
      <c r="N4958" t="s">
        <v>20199</v>
      </c>
      <c r="O4958" t="s">
        <v>20200</v>
      </c>
      <c r="P4958" t="s">
        <v>29626</v>
      </c>
      <c r="Q4958" s="3" t="n">
        <v>41983.0</v>
      </c>
      <c r="R4958" s="3" t="n">
        <v>43480.0</v>
      </c>
      <c r="S4958" s="3" t="n">
        <v>43906.37291284722</v>
      </c>
      <c r="T4958" s="3" t="n">
        <v>43958.41182263889</v>
      </c>
      <c r="U4958" t="s">
        <v>29627</v>
      </c>
      <c r="V4958" t="s">
        <v>20203</v>
      </c>
    </row>
    <row r="4959">
      <c r="A4959" t="s">
        <v>23557</v>
      </c>
      <c r="B4959" t="s">
        <v>29628</v>
      </c>
      <c r="C4959" t="s">
        <v>60</v>
      </c>
      <c r="D4959" t="s">
        <v>61</v>
      </c>
      <c r="E4959" t="s">
        <v>23854</v>
      </c>
      <c r="F4959" s="2" t="n">
        <f>HYPERLINK("https://patents.google.com/patent/US10179794","Google")</f>
        <v>0.0</v>
      </c>
      <c r="G4959" s="2" t="n">
        <f>HYPERLINK("https://patentcenter.uspto.gov/applications/15717493","Patent Center")</f>
        <v>0.0</v>
      </c>
      <c r="H4959" s="2" t="n">
        <f>HYPERLINK("https://worldwide.espacenet.com/patent/search?q=US10179794","Espacenet")</f>
        <v>0.0</v>
      </c>
      <c r="I4959" s="2" t="n">
        <f>HYPERLINK("https://ppubs.uspto.gov/pubwebapp/external.html?q=10179794.pn.","USPTO")</f>
        <v>0.0</v>
      </c>
      <c r="J4959" s="2" t="n">
        <f>HYPERLINK("https://image-ppubs.uspto.gov/dirsearch-public/print/downloadPdf/10179794","USPTO PDF")</f>
        <v>0.0</v>
      </c>
      <c r="K4959" s="2" t="n">
        <f>HYPERLINK("https://sectors.patentforecast.com/pmd/US10179794","PMD")</f>
        <v>0.0</v>
      </c>
      <c r="L4959" s="2" t="n">
        <f>HYPERLINK("https://globaldossier.uspto.gov/result/patent/US/10179794/1","US10179794")</f>
        <v>0.0</v>
      </c>
      <c r="M4959" t="s">
        <v>18678</v>
      </c>
      <c r="N4959" t="s">
        <v>664</v>
      </c>
      <c r="O4959" t="s">
        <v>665</v>
      </c>
      <c r="P4959" t="s">
        <v>23604</v>
      </c>
      <c r="Q4959" s="3" t="n">
        <v>43005.0</v>
      </c>
      <c r="R4959" s="3" t="n">
        <v>43480.0</v>
      </c>
      <c r="S4959" s="3" t="n">
        <v>43957.459709930554</v>
      </c>
      <c r="T4959" s="3" t="n">
        <v>44638.65643378472</v>
      </c>
      <c r="U4959" t="s">
        <v>29629</v>
      </c>
      <c r="V4959" t="s">
        <v>17675</v>
      </c>
    </row>
    <row r="4960">
      <c r="A4960" t="s">
        <v>23557</v>
      </c>
      <c r="B4960" t="s">
        <v>29630</v>
      </c>
      <c r="C4960" t="s">
        <v>60</v>
      </c>
      <c r="D4960" t="s">
        <v>61</v>
      </c>
      <c r="E4960" t="s">
        <v>24160</v>
      </c>
      <c r="F4960" s="2" t="n">
        <f>HYPERLINK("https://patents.google.com/patent/US10174038","Google")</f>
        <v>0.0</v>
      </c>
      <c r="G4960" s="2" t="n">
        <f>HYPERLINK("https://patentcenter.uspto.gov/applications/15618974","Patent Center")</f>
        <v>0.0</v>
      </c>
      <c r="H4960" s="2" t="n">
        <f>HYPERLINK("https://worldwide.espacenet.com/patent/search?q=US10174038","Espacenet")</f>
        <v>0.0</v>
      </c>
      <c r="I4960" s="2" t="n">
        <f>HYPERLINK("https://ppubs.uspto.gov/pubwebapp/external.html?q=10174038.pn.","USPTO")</f>
        <v>0.0</v>
      </c>
      <c r="J4960" s="2" t="n">
        <f>HYPERLINK("https://image-ppubs.uspto.gov/dirsearch-public/print/downloadPdf/10174038","USPTO PDF")</f>
        <v>0.0</v>
      </c>
      <c r="K4960" s="2" t="n">
        <f>HYPERLINK("https://sectors.patentforecast.com/pmd/US10174038","PMD")</f>
        <v>0.0</v>
      </c>
      <c r="L4960" s="2" t="n">
        <f>HYPERLINK("https://globaldossier.uspto.gov/result/patent/US/10174038/1","US10174038")</f>
        <v>0.0</v>
      </c>
      <c r="M4960" t="s">
        <v>18884</v>
      </c>
      <c r="N4960" t="s">
        <v>664</v>
      </c>
      <c r="O4960" t="s">
        <v>665</v>
      </c>
      <c r="P4960" t="s">
        <v>29631</v>
      </c>
      <c r="Q4960" s="3" t="n">
        <v>42895.0</v>
      </c>
      <c r="R4960" s="3" t="n">
        <v>43473.0</v>
      </c>
      <c r="S4960" s="3" t="n">
        <v>43957.459709930554</v>
      </c>
      <c r="T4960" s="3" t="n">
        <v>44638.65271974537</v>
      </c>
      <c r="U4960" t="s">
        <v>29632</v>
      </c>
      <c r="V4960" t="s">
        <v>18887</v>
      </c>
    </row>
    <row r="4961">
      <c r="A4961" t="s">
        <v>23557</v>
      </c>
      <c r="B4961" t="s">
        <v>29633</v>
      </c>
      <c r="C4961" t="s">
        <v>132</v>
      </c>
      <c r="D4961" t="s">
        <v>1265</v>
      </c>
      <c r="E4961" t="s">
        <v>29634</v>
      </c>
      <c r="F4961" s="2" t="n">
        <f>HYPERLINK("https://patents.google.com/patent/US10172934","Google")</f>
        <v>0.0</v>
      </c>
      <c r="G4961" s="2" t="n">
        <f>HYPERLINK("https://patentcenter.uspto.gov/applications/15593039","Patent Center")</f>
        <v>0.0</v>
      </c>
      <c r="H4961" s="2" t="n">
        <f>HYPERLINK("https://worldwide.espacenet.com/patent/search?q=US10172934","Espacenet")</f>
        <v>0.0</v>
      </c>
      <c r="I4961" s="2" t="n">
        <f>HYPERLINK("https://ppubs.uspto.gov/pubwebapp/external.html?q=10172934.pn.","USPTO")</f>
        <v>0.0</v>
      </c>
      <c r="J4961" s="2" t="n">
        <f>HYPERLINK("https://image-ppubs.uspto.gov/dirsearch-public/print/downloadPdf/10172934","USPTO PDF")</f>
        <v>0.0</v>
      </c>
      <c r="K4961" s="2" t="n">
        <f>HYPERLINK("https://sectors.patentforecast.com/pmd/US10172934","PMD")</f>
        <v>0.0</v>
      </c>
      <c r="L4961" s="2" t="n">
        <f>HYPERLINK("https://globaldossier.uspto.gov/result/patent/US/10172934/1","US10172934")</f>
        <v>0.0</v>
      </c>
      <c r="M4961" t="s">
        <v>29635</v>
      </c>
      <c r="N4961" t="s">
        <v>1649</v>
      </c>
      <c r="O4961" t="s">
        <v>1650</v>
      </c>
      <c r="P4961" t="s">
        <v>23754</v>
      </c>
      <c r="Q4961" s="3" t="n">
        <v>42866.0</v>
      </c>
      <c r="R4961" s="3" t="n">
        <v>43473.0</v>
      </c>
      <c r="S4961" s="3" t="n">
        <v>43973.468679375</v>
      </c>
      <c r="T4961" s="3" t="n">
        <v>44545.60395790509</v>
      </c>
      <c r="U4961" t="s">
        <v>29636</v>
      </c>
      <c r="V4961" t="s">
        <v>23756</v>
      </c>
    </row>
    <row r="4962">
      <c r="A4962" t="s">
        <v>23557</v>
      </c>
      <c r="B4962" t="s">
        <v>29637</v>
      </c>
      <c r="C4962" t="s">
        <v>132</v>
      </c>
      <c r="D4962" t="s">
        <v>142</v>
      </c>
      <c r="E4962" t="s">
        <v>28382</v>
      </c>
      <c r="F4962" s="2" t="n">
        <f>HYPERLINK("https://patents.google.com/patent/US10166288","Google")</f>
        <v>0.0</v>
      </c>
      <c r="G4962" s="2" t="n">
        <f>HYPERLINK("https://patentcenter.uspto.gov/applications/15514948","Patent Center")</f>
        <v>0.0</v>
      </c>
      <c r="H4962" s="2" t="n">
        <f>HYPERLINK("https://worldwide.espacenet.com/patent/search?q=US10166288","Espacenet")</f>
        <v>0.0</v>
      </c>
      <c r="I4962" s="2" t="n">
        <f>HYPERLINK("https://ppubs.uspto.gov/pubwebapp/external.html?q=10166288.pn.","USPTO")</f>
        <v>0.0</v>
      </c>
      <c r="J4962" s="2" t="n">
        <f>HYPERLINK("https://image-ppubs.uspto.gov/dirsearch-public/print/downloadPdf/10166288","USPTO PDF")</f>
        <v>0.0</v>
      </c>
      <c r="K4962" s="2" t="n">
        <f>HYPERLINK("https://sectors.patentforecast.com/pmd/US10166288","PMD")</f>
        <v>0.0</v>
      </c>
      <c r="L4962" s="2" t="n">
        <f>HYPERLINK("https://globaldossier.uspto.gov/result/patent/US/10166288/1","US10166288")</f>
        <v>0.0</v>
      </c>
      <c r="M4962" t="s">
        <v>29638</v>
      </c>
      <c r="N4962" t="s">
        <v>2541</v>
      </c>
      <c r="O4962" t="s">
        <v>2542</v>
      </c>
      <c r="P4962" t="s">
        <v>28383</v>
      </c>
      <c r="Q4962" s="3" t="n">
        <v>42276.0</v>
      </c>
      <c r="R4962" s="3" t="n">
        <v>43466.0</v>
      </c>
      <c r="S4962" s="3" t="n">
        <v>43936.46037523148</v>
      </c>
      <c r="T4962" s="3" t="n">
        <v>44543.683702152775</v>
      </c>
      <c r="U4962" t="s">
        <v>29639</v>
      </c>
      <c r="V4962" t="s">
        <v>17905</v>
      </c>
    </row>
    <row r="4963">
      <c r="A4963" t="s">
        <v>23557</v>
      </c>
      <c r="B4963" t="s">
        <v>29640</v>
      </c>
      <c r="C4963" t="s">
        <v>312</v>
      </c>
      <c r="D4963" t="s">
        <v>976</v>
      </c>
      <c r="E4963" t="s">
        <v>29641</v>
      </c>
      <c r="F4963" s="2" t="n">
        <f>HYPERLINK("https://patents.google.com/patent/US10165964","Google")</f>
        <v>0.0</v>
      </c>
      <c r="G4963" s="2" t="n">
        <f>HYPERLINK("https://patentcenter.uspto.gov/applications/15148767","Patent Center")</f>
        <v>0.0</v>
      </c>
      <c r="H4963" s="2" t="n">
        <f>HYPERLINK("https://worldwide.espacenet.com/patent/search?q=US10165964","Espacenet")</f>
        <v>0.0</v>
      </c>
      <c r="I4963" s="2" t="n">
        <f>HYPERLINK("https://ppubs.uspto.gov/pubwebapp/external.html?q=10165964.pn.","USPTO")</f>
        <v>0.0</v>
      </c>
      <c r="J4963" s="2" t="n">
        <f>HYPERLINK("https://image-ppubs.uspto.gov/dirsearch-public/print/downloadPdf/10165964","USPTO PDF")</f>
        <v>0.0</v>
      </c>
      <c r="K4963" s="2" t="n">
        <f>HYPERLINK("https://sectors.patentforecast.com/pmd/US10165964","PMD")</f>
        <v>0.0</v>
      </c>
      <c r="L4963" s="2" t="n">
        <f>HYPERLINK("https://globaldossier.uspto.gov/result/patent/US/10165964/1","US10165964")</f>
        <v>0.0</v>
      </c>
      <c r="M4963" t="s">
        <v>29642</v>
      </c>
      <c r="N4963" t="s">
        <v>29643</v>
      </c>
      <c r="O4963" t="s">
        <v>29644</v>
      </c>
      <c r="P4963" t="s">
        <v>29645</v>
      </c>
      <c r="Q4963" s="3" t="n">
        <v>42496.0</v>
      </c>
      <c r="R4963" s="3" t="n">
        <v>43466.0</v>
      </c>
      <c r="S4963" s="3" t="n">
        <v>44019.22970390046</v>
      </c>
      <c r="T4963" s="3" t="n">
        <v>44020.58060908565</v>
      </c>
      <c r="U4963" t="s">
        <v>29646</v>
      </c>
      <c r="V4963" t="s">
        <v>29647</v>
      </c>
    </row>
    <row r="4964">
      <c r="A4964" t="s">
        <v>23557</v>
      </c>
      <c r="B4964" t="s">
        <v>29648</v>
      </c>
      <c r="C4964" t="s">
        <v>60</v>
      </c>
      <c r="D4964" t="s">
        <v>696</v>
      </c>
      <c r="E4964" t="s">
        <v>24132</v>
      </c>
      <c r="F4964" s="2" t="n">
        <f>HYPERLINK("https://patents.google.com/patent/US10160804","Google")</f>
        <v>0.0</v>
      </c>
      <c r="G4964" s="2" t="n">
        <f>HYPERLINK("https://patentcenter.uspto.gov/applications/15380203","Patent Center")</f>
        <v>0.0</v>
      </c>
      <c r="H4964" s="2" t="n">
        <f>HYPERLINK("https://worldwide.espacenet.com/patent/search?q=US10160804","Espacenet")</f>
        <v>0.0</v>
      </c>
      <c r="I4964" s="2" t="n">
        <f>HYPERLINK("https://ppubs.uspto.gov/pubwebapp/external.html?q=10160804.pn.","USPTO")</f>
        <v>0.0</v>
      </c>
      <c r="J4964" s="2" t="n">
        <f>HYPERLINK("https://image-ppubs.uspto.gov/dirsearch-public/print/downloadPdf/10160804","USPTO PDF")</f>
        <v>0.0</v>
      </c>
      <c r="K4964" s="2" t="n">
        <f>HYPERLINK("https://sectors.patentforecast.com/pmd/US10160804","PMD")</f>
        <v>0.0</v>
      </c>
      <c r="L4964" s="2" t="n">
        <f>HYPERLINK("https://globaldossier.uspto.gov/result/patent/US/10160804/1","US10160804")</f>
        <v>0.0</v>
      </c>
      <c r="M4964" t="s">
        <v>19155</v>
      </c>
      <c r="N4964" t="s">
        <v>16927</v>
      </c>
      <c r="O4964" t="s">
        <v>16928</v>
      </c>
      <c r="P4964" t="s">
        <v>29649</v>
      </c>
      <c r="Q4964" s="3" t="n">
        <v>42719.0</v>
      </c>
      <c r="R4964" s="3" t="n">
        <v>43459.0</v>
      </c>
      <c r="S4964" s="3" t="n">
        <v>43971.496014143515</v>
      </c>
      <c r="T4964" s="3" t="n">
        <v>44638.639961469904</v>
      </c>
      <c r="U4964" t="s">
        <v>29650</v>
      </c>
      <c r="V4964" t="s">
        <v>17492</v>
      </c>
    </row>
    <row r="4965">
      <c r="A4965" t="s">
        <v>23557</v>
      </c>
      <c r="B4965" t="s">
        <v>29651</v>
      </c>
      <c r="C4965" t="s">
        <v>60</v>
      </c>
      <c r="D4965" t="s">
        <v>77</v>
      </c>
      <c r="E4965" t="s">
        <v>29652</v>
      </c>
      <c r="F4965" s="2" t="n">
        <f>HYPERLINK("https://patents.google.com/patent/US10159729","Google")</f>
        <v>0.0</v>
      </c>
      <c r="G4965" s="2" t="n">
        <f>HYPERLINK("https://patentcenter.uspto.gov/applications/15021346","Patent Center")</f>
        <v>0.0</v>
      </c>
      <c r="H4965" s="2" t="n">
        <f>HYPERLINK("https://worldwide.espacenet.com/patent/search?q=US10159729","Espacenet")</f>
        <v>0.0</v>
      </c>
      <c r="I4965" s="2" t="n">
        <f>HYPERLINK("https://ppubs.uspto.gov/pubwebapp/external.html?q=10159729.pn.","USPTO")</f>
        <v>0.0</v>
      </c>
      <c r="J4965" s="2" t="n">
        <f>HYPERLINK("https://image-ppubs.uspto.gov/dirsearch-public/print/downloadPdf/10159729","USPTO PDF")</f>
        <v>0.0</v>
      </c>
      <c r="K4965" s="2" t="n">
        <f>HYPERLINK("https://sectors.patentforecast.com/pmd/US10159729","PMD")</f>
        <v>0.0</v>
      </c>
      <c r="L4965" s="2" t="n">
        <f>HYPERLINK("https://globaldossier.uspto.gov/result/patent/US/10159729/1","US10159729")</f>
        <v>0.0</v>
      </c>
      <c r="M4965" t="s">
        <v>29653</v>
      </c>
      <c r="N4965" t="s">
        <v>29654</v>
      </c>
      <c r="O4965" t="s">
        <v>29655</v>
      </c>
      <c r="P4965" t="s">
        <v>29656</v>
      </c>
      <c r="Q4965" s="3" t="n">
        <v>41894.0</v>
      </c>
      <c r="R4965" s="3" t="n">
        <v>43459.0</v>
      </c>
      <c r="S4965" s="3" t="n">
        <v>43973.468679375</v>
      </c>
      <c r="T4965" s="3" t="n">
        <v>44545.36295436342</v>
      </c>
      <c r="U4965" t="s">
        <v>29657</v>
      </c>
      <c r="V4965" t="s">
        <v>29658</v>
      </c>
    </row>
    <row r="4966">
      <c r="A4966" t="s">
        <v>23557</v>
      </c>
      <c r="B4966" t="s">
        <v>29659</v>
      </c>
      <c r="C4966" t="s">
        <v>24</v>
      </c>
      <c r="D4966" t="s">
        <v>100</v>
      </c>
      <c r="E4966" t="s">
        <v>29660</v>
      </c>
      <c r="F4966" s="2" t="n">
        <f>HYPERLINK("https://patents.google.com/patent/US10159253","Google")</f>
        <v>0.0</v>
      </c>
      <c r="G4966" s="2" t="n">
        <f>HYPERLINK("https://patentcenter.uspto.gov/applications/14499492","Patent Center")</f>
        <v>0.0</v>
      </c>
      <c r="H4966" s="2" t="n">
        <f>HYPERLINK("https://worldwide.espacenet.com/patent/search?q=US10159253","Espacenet")</f>
        <v>0.0</v>
      </c>
      <c r="I4966" s="2" t="n">
        <f>HYPERLINK("https://ppubs.uspto.gov/pubwebapp/external.html?q=10159253.pn.","USPTO")</f>
        <v>0.0</v>
      </c>
      <c r="J4966" s="2" t="n">
        <f>HYPERLINK("https://image-ppubs.uspto.gov/dirsearch-public/print/downloadPdf/10159253","USPTO PDF")</f>
        <v>0.0</v>
      </c>
      <c r="K4966" s="2" t="n">
        <f>HYPERLINK("https://sectors.patentforecast.com/pmd/US10159253","PMD")</f>
        <v>0.0</v>
      </c>
      <c r="L4966" s="2" t="n">
        <f>HYPERLINK("https://globaldossier.uspto.gov/result/patent/US/10159253/1","US10159253")</f>
        <v>0.0</v>
      </c>
      <c r="M4966" t="s">
        <v>20432</v>
      </c>
      <c r="N4966" t="s">
        <v>20433</v>
      </c>
      <c r="O4966" t="s">
        <v>20433</v>
      </c>
      <c r="P4966" t="s">
        <v>29661</v>
      </c>
      <c r="Q4966" s="3" t="n">
        <v>41911.0</v>
      </c>
      <c r="R4966" s="3" t="n">
        <v>43459.0</v>
      </c>
      <c r="S4966" s="3" t="n">
        <v>43900.437267939815</v>
      </c>
      <c r="T4966" s="3" t="n">
        <v>43901.70557103009</v>
      </c>
      <c r="U4966" t="s">
        <v>29662</v>
      </c>
      <c r="V4966" t="s">
        <v>29663</v>
      </c>
    </row>
    <row r="4967">
      <c r="A4967" t="s">
        <v>23557</v>
      </c>
      <c r="B4967" t="s">
        <v>29664</v>
      </c>
      <c r="C4967" t="s">
        <v>60</v>
      </c>
      <c r="D4967" t="s">
        <v>61</v>
      </c>
      <c r="E4967" t="s">
        <v>29665</v>
      </c>
      <c r="F4967" s="2" t="n">
        <f>HYPERLINK("https://patents.google.com/patent/US10144736","Google")</f>
        <v>0.0</v>
      </c>
      <c r="G4967" s="2" t="n">
        <f>HYPERLINK("https://patentcenter.uspto.gov/applications/12374457","Patent Center")</f>
        <v>0.0</v>
      </c>
      <c r="H4967" s="2" t="n">
        <f>HYPERLINK("https://worldwide.espacenet.com/patent/search?q=US10144736","Espacenet")</f>
        <v>0.0</v>
      </c>
      <c r="I4967" s="2" t="n">
        <f>HYPERLINK("https://ppubs.uspto.gov/pubwebapp/external.html?q=10144736.pn.","USPTO")</f>
        <v>0.0</v>
      </c>
      <c r="J4967" s="2" t="n">
        <f>HYPERLINK("https://image-ppubs.uspto.gov/dirsearch-public/print/downloadPdf/10144736","USPTO PDF")</f>
        <v>0.0</v>
      </c>
      <c r="K4967" s="2" t="n">
        <f>HYPERLINK("https://sectors.patentforecast.com/pmd/US10144736","PMD")</f>
        <v>0.0</v>
      </c>
      <c r="L4967" s="2" t="n">
        <f>HYPERLINK("https://globaldossier.uspto.gov/result/patent/US/10144736/1","US10144736")</f>
        <v>0.0</v>
      </c>
      <c r="M4967" t="s">
        <v>21979</v>
      </c>
      <c r="N4967" t="s">
        <v>664</v>
      </c>
      <c r="O4967" t="s">
        <v>665</v>
      </c>
      <c r="P4967" t="s">
        <v>29666</v>
      </c>
      <c r="Q4967" s="3" t="n">
        <v>39283.0</v>
      </c>
      <c r="R4967" s="3" t="n">
        <v>43438.0</v>
      </c>
      <c r="S4967" s="3" t="n">
        <v>43957.459709930554</v>
      </c>
      <c r="T4967" s="3" t="n">
        <v>44638.65579662037</v>
      </c>
      <c r="U4967" t="s">
        <v>29667</v>
      </c>
      <c r="V4967" t="s">
        <v>17734</v>
      </c>
    </row>
    <row r="4968">
      <c r="A4968" t="s">
        <v>23557</v>
      </c>
      <c r="B4968" t="s">
        <v>29668</v>
      </c>
      <c r="C4968" t="s">
        <v>132</v>
      </c>
      <c r="D4968" t="s">
        <v>133</v>
      </c>
      <c r="E4968" t="s">
        <v>29669</v>
      </c>
      <c r="F4968" s="2" t="n">
        <f>HYPERLINK("https://patents.google.com/patent/US10143739","Google")</f>
        <v>0.0</v>
      </c>
      <c r="G4968" s="2" t="n">
        <f>HYPERLINK("https://patentcenter.uspto.gov/applications/15548074","Patent Center")</f>
        <v>0.0</v>
      </c>
      <c r="H4968" s="2" t="n">
        <f>HYPERLINK("https://worldwide.espacenet.com/patent/search?q=US10143739","Espacenet")</f>
        <v>0.0</v>
      </c>
      <c r="I4968" s="2" t="n">
        <f>HYPERLINK("https://ppubs.uspto.gov/pubwebapp/external.html?q=10143739.pn.","USPTO")</f>
        <v>0.0</v>
      </c>
      <c r="J4968" s="2" t="n">
        <f>HYPERLINK("https://image-ppubs.uspto.gov/dirsearch-public/print/downloadPdf/10143739","USPTO PDF")</f>
        <v>0.0</v>
      </c>
      <c r="K4968" s="2" t="n">
        <f>HYPERLINK("https://sectors.patentforecast.com/pmd/US10143739","PMD")</f>
        <v>0.0</v>
      </c>
      <c r="L4968" s="2" t="n">
        <f>HYPERLINK("https://globaldossier.uspto.gov/result/patent/US/10143739/1","US10143739")</f>
        <v>0.0</v>
      </c>
      <c r="M4968" t="s">
        <v>18773</v>
      </c>
      <c r="N4968" t="s">
        <v>17751</v>
      </c>
      <c r="O4968" t="s">
        <v>17751</v>
      </c>
      <c r="P4968" t="s">
        <v>29670</v>
      </c>
      <c r="Q4968" s="3" t="n">
        <v>42403.0</v>
      </c>
      <c r="R4968" s="3" t="n">
        <v>43438.0</v>
      </c>
      <c r="S4968" s="3" t="n">
        <v>43900.437267939815</v>
      </c>
      <c r="T4968" s="3" t="n">
        <v>43901.705569791666</v>
      </c>
      <c r="U4968" t="s">
        <v>29671</v>
      </c>
      <c r="V4968" t="s">
        <v>18776</v>
      </c>
    </row>
    <row r="4969">
      <c r="A4969" t="s">
        <v>23557</v>
      </c>
      <c r="B4969" t="s">
        <v>29672</v>
      </c>
      <c r="C4969" t="s">
        <v>132</v>
      </c>
      <c r="D4969" t="s">
        <v>133</v>
      </c>
      <c r="E4969" t="s">
        <v>29673</v>
      </c>
      <c r="F4969" s="2" t="n">
        <f>HYPERLINK("https://patents.google.com/patent/US10143738","Google")</f>
        <v>0.0</v>
      </c>
      <c r="G4969" s="2" t="n">
        <f>HYPERLINK("https://patentcenter.uspto.gov/applications/15509999","Patent Center")</f>
        <v>0.0</v>
      </c>
      <c r="H4969" s="2" t="n">
        <f>HYPERLINK("https://worldwide.espacenet.com/patent/search?q=US10143738","Espacenet")</f>
        <v>0.0</v>
      </c>
      <c r="I4969" s="2" t="n">
        <f>HYPERLINK("https://ppubs.uspto.gov/pubwebapp/external.html?q=10143738.pn.","USPTO")</f>
        <v>0.0</v>
      </c>
      <c r="J4969" s="2" t="n">
        <f>HYPERLINK("https://image-ppubs.uspto.gov/dirsearch-public/print/downloadPdf/10143738","USPTO PDF")</f>
        <v>0.0</v>
      </c>
      <c r="K4969" s="2" t="n">
        <f>HYPERLINK("https://sectors.patentforecast.com/pmd/US10143738","PMD")</f>
        <v>0.0</v>
      </c>
      <c r="L4969" s="2" t="n">
        <f>HYPERLINK("https://globaldossier.uspto.gov/result/patent/US/10143738/1","US10143738")</f>
        <v>0.0</v>
      </c>
      <c r="M4969" t="s">
        <v>29674</v>
      </c>
      <c r="N4969" t="s">
        <v>29675</v>
      </c>
      <c r="O4969" t="s">
        <v>29676</v>
      </c>
      <c r="P4969" t="s">
        <v>29677</v>
      </c>
      <c r="Q4969" s="3" t="n">
        <v>42258.0</v>
      </c>
      <c r="R4969" s="3" t="n">
        <v>43438.0</v>
      </c>
      <c r="S4969" s="3" t="n">
        <v>43900.437267939815</v>
      </c>
      <c r="T4969" s="3" t="n">
        <v>43901.72156412037</v>
      </c>
      <c r="U4969" t="s">
        <v>29678</v>
      </c>
      <c r="V4969" t="s">
        <v>29679</v>
      </c>
    </row>
    <row r="4970">
      <c r="A4970" t="s">
        <v>23557</v>
      </c>
      <c r="B4970" t="s">
        <v>29680</v>
      </c>
      <c r="C4970" t="s">
        <v>60</v>
      </c>
      <c r="D4970" t="s">
        <v>77</v>
      </c>
      <c r="E4970" t="s">
        <v>28928</v>
      </c>
      <c r="F4970" s="2" t="n">
        <f>HYPERLINK("https://patents.google.com/patent/US10131704","Google")</f>
        <v>0.0</v>
      </c>
      <c r="G4970" s="2" t="n">
        <f>HYPERLINK("https://patentcenter.uspto.gov/applications/15306617","Patent Center")</f>
        <v>0.0</v>
      </c>
      <c r="H4970" s="2" t="n">
        <f>HYPERLINK("https://worldwide.espacenet.com/patent/search?q=US10131704","Espacenet")</f>
        <v>0.0</v>
      </c>
      <c r="I4970" s="2" t="n">
        <f>HYPERLINK("https://ppubs.uspto.gov/pubwebapp/external.html?q=10131704.pn.","USPTO")</f>
        <v>0.0</v>
      </c>
      <c r="J4970" s="2" t="n">
        <f>HYPERLINK("https://image-ppubs.uspto.gov/dirsearch-public/print/downloadPdf/10131704","USPTO PDF")</f>
        <v>0.0</v>
      </c>
      <c r="K4970" s="2" t="n">
        <f>HYPERLINK("https://sectors.patentforecast.com/pmd/US10131704","PMD")</f>
        <v>0.0</v>
      </c>
      <c r="L4970" s="2" t="n">
        <f>HYPERLINK("https://globaldossier.uspto.gov/result/patent/US/10131704/1","US10131704")</f>
        <v>0.0</v>
      </c>
      <c r="M4970" t="s">
        <v>19226</v>
      </c>
      <c r="N4970" t="s">
        <v>15231</v>
      </c>
      <c r="O4970" t="s">
        <v>15232</v>
      </c>
      <c r="P4970" t="s">
        <v>29681</v>
      </c>
      <c r="Q4970" s="3" t="n">
        <v>42121.0</v>
      </c>
      <c r="R4970" s="3" t="n">
        <v>43424.0</v>
      </c>
      <c r="S4970" s="3" t="n">
        <v>43935.70415306713</v>
      </c>
      <c r="T4970" s="3" t="n">
        <v>43985.64084817129</v>
      </c>
      <c r="U4970" t="s">
        <v>29682</v>
      </c>
      <c r="V4970" t="s">
        <v>15235</v>
      </c>
    </row>
    <row r="4971">
      <c r="A4971" t="s">
        <v>23557</v>
      </c>
      <c r="B4971" t="s">
        <v>29683</v>
      </c>
      <c r="C4971" t="s">
        <v>132</v>
      </c>
      <c r="D4971" t="s">
        <v>142</v>
      </c>
      <c r="E4971" t="s">
        <v>28700</v>
      </c>
      <c r="F4971" s="2" t="n">
        <f>HYPERLINK("https://patents.google.com/patent/US10130705","Google")</f>
        <v>0.0</v>
      </c>
      <c r="G4971" s="2" t="n">
        <f>HYPERLINK("https://patentcenter.uspto.gov/applications/15026162","Patent Center")</f>
        <v>0.0</v>
      </c>
      <c r="H4971" s="2" t="n">
        <f>HYPERLINK("https://worldwide.espacenet.com/patent/search?q=US10130705","Espacenet")</f>
        <v>0.0</v>
      </c>
      <c r="I4971" s="2" t="n">
        <f>HYPERLINK("https://ppubs.uspto.gov/pubwebapp/external.html?q=10130705.pn.","USPTO")</f>
        <v>0.0</v>
      </c>
      <c r="J4971" s="2" t="n">
        <f>HYPERLINK("https://image-ppubs.uspto.gov/dirsearch-public/print/downloadPdf/10130705","USPTO PDF")</f>
        <v>0.0</v>
      </c>
      <c r="K4971" s="2" t="n">
        <f>HYPERLINK("https://sectors.patentforecast.com/pmd/US10130705","PMD")</f>
        <v>0.0</v>
      </c>
      <c r="L4971" s="2" t="n">
        <f>HYPERLINK("https://globaldossier.uspto.gov/result/patent/US/10130705/1","US10130705")</f>
        <v>0.0</v>
      </c>
      <c r="M4971" t="s">
        <v>19567</v>
      </c>
      <c r="N4971" t="s">
        <v>10151</v>
      </c>
      <c r="O4971" t="s">
        <v>10152</v>
      </c>
      <c r="P4971" t="s">
        <v>28701</v>
      </c>
      <c r="Q4971" s="3" t="n">
        <v>41914.0</v>
      </c>
      <c r="R4971" s="3" t="n">
        <v>43424.0</v>
      </c>
      <c r="S4971" s="3" t="n">
        <v>43936.46037523148</v>
      </c>
      <c r="T4971" s="3" t="n">
        <v>43958.4894915162</v>
      </c>
      <c r="U4971" t="s">
        <v>29684</v>
      </c>
      <c r="V4971" t="s">
        <v>15033</v>
      </c>
    </row>
    <row r="4972">
      <c r="A4972" t="s">
        <v>23557</v>
      </c>
      <c r="B4972" t="s">
        <v>29685</v>
      </c>
      <c r="C4972" t="s">
        <v>132</v>
      </c>
      <c r="D4972" t="s">
        <v>133</v>
      </c>
      <c r="E4972" t="s">
        <v>133</v>
      </c>
      <c r="F4972" s="2" t="n">
        <f>HYPERLINK("https://patents.google.com/patent/US10130701","Google")</f>
        <v>0.0</v>
      </c>
      <c r="G4972" s="2" t="n">
        <f>HYPERLINK("https://patentcenter.uspto.gov/applications/15328179","Patent Center")</f>
        <v>0.0</v>
      </c>
      <c r="H4972" s="2" t="n">
        <f>HYPERLINK("https://worldwide.espacenet.com/patent/search?q=US10130701","Espacenet")</f>
        <v>0.0</v>
      </c>
      <c r="I4972" s="2" t="n">
        <f>HYPERLINK("https://ppubs.uspto.gov/pubwebapp/external.html?q=10130701.pn.","USPTO")</f>
        <v>0.0</v>
      </c>
      <c r="J4972" s="2" t="n">
        <f>HYPERLINK("https://image-ppubs.uspto.gov/dirsearch-public/print/downloadPdf/10130701","USPTO PDF")</f>
        <v>0.0</v>
      </c>
      <c r="K4972" s="2" t="n">
        <f>HYPERLINK("https://sectors.patentforecast.com/pmd/US10130701","PMD")</f>
        <v>0.0</v>
      </c>
      <c r="L4972" s="2" t="n">
        <f>HYPERLINK("https://globaldossier.uspto.gov/result/patent/US/10130701/1","US10130701")</f>
        <v>0.0</v>
      </c>
      <c r="M4972" t="s">
        <v>19118</v>
      </c>
      <c r="N4972" t="s">
        <v>17951</v>
      </c>
      <c r="O4972" t="s">
        <v>17951</v>
      </c>
      <c r="P4972" t="s">
        <v>29686</v>
      </c>
      <c r="Q4972" s="3" t="n">
        <v>42208.0</v>
      </c>
      <c r="R4972" s="3" t="n">
        <v>43424.0</v>
      </c>
      <c r="S4972" s="3" t="n">
        <v>43935.70415306713</v>
      </c>
      <c r="T4972" s="3" t="n">
        <v>43950.46317746528</v>
      </c>
      <c r="U4972" t="s">
        <v>29687</v>
      </c>
      <c r="V4972" t="s">
        <v>19120</v>
      </c>
    </row>
    <row r="4973">
      <c r="A4973" t="s">
        <v>23557</v>
      </c>
      <c r="B4973" t="s">
        <v>29688</v>
      </c>
      <c r="C4973" t="s">
        <v>132</v>
      </c>
      <c r="D4973" t="s">
        <v>1265</v>
      </c>
      <c r="E4973" t="s">
        <v>29689</v>
      </c>
      <c r="F4973" s="2" t="n">
        <f>HYPERLINK("https://patents.google.com/patent/US10130700","Google")</f>
        <v>0.0</v>
      </c>
      <c r="G4973" s="2" t="n">
        <f>HYPERLINK("https://patentcenter.uspto.gov/applications/15317593","Patent Center")</f>
        <v>0.0</v>
      </c>
      <c r="H4973" s="2" t="n">
        <f>HYPERLINK("https://worldwide.espacenet.com/patent/search?q=US10130700","Espacenet")</f>
        <v>0.0</v>
      </c>
      <c r="I4973" s="2" t="n">
        <f>HYPERLINK("https://ppubs.uspto.gov/pubwebapp/external.html?q=10130700.pn.","USPTO")</f>
        <v>0.0</v>
      </c>
      <c r="J4973" s="2" t="n">
        <f>HYPERLINK("https://image-ppubs.uspto.gov/dirsearch-public/print/downloadPdf/10130700","USPTO PDF")</f>
        <v>0.0</v>
      </c>
      <c r="K4973" s="2" t="n">
        <f>HYPERLINK("https://sectors.patentforecast.com/pmd/US10130700","PMD")</f>
        <v>0.0</v>
      </c>
      <c r="L4973" s="2" t="n">
        <f>HYPERLINK("https://globaldossier.uspto.gov/result/patent/US/10130700/1","US10130700")</f>
        <v>0.0</v>
      </c>
      <c r="M4973" t="s">
        <v>19263</v>
      </c>
      <c r="N4973" t="s">
        <v>1792</v>
      </c>
      <c r="O4973" t="s">
        <v>1793</v>
      </c>
      <c r="P4973" t="s">
        <v>29690</v>
      </c>
      <c r="Q4973" s="3" t="n">
        <v>42132.0</v>
      </c>
      <c r="R4973" s="3" t="n">
        <v>43424.0</v>
      </c>
      <c r="S4973" s="3" t="n">
        <v>43900.437267939815</v>
      </c>
      <c r="T4973" s="3" t="n">
        <v>43901.70557099537</v>
      </c>
      <c r="U4973" t="s">
        <v>29691</v>
      </c>
      <c r="V4973" t="s">
        <v>19267</v>
      </c>
    </row>
    <row r="4974">
      <c r="A4974" t="s">
        <v>23557</v>
      </c>
      <c r="B4974" t="s">
        <v>29692</v>
      </c>
      <c r="C4974" t="s">
        <v>24</v>
      </c>
      <c r="D4974" t="s">
        <v>19742</v>
      </c>
      <c r="E4974" t="s">
        <v>29693</v>
      </c>
      <c r="F4974" s="2" t="n">
        <f>HYPERLINK("https://patents.google.com/patent/US10101051","Google")</f>
        <v>0.0</v>
      </c>
      <c r="G4974" s="2" t="n">
        <f>HYPERLINK("https://patentcenter.uspto.gov/applications/14890297","Patent Center")</f>
        <v>0.0</v>
      </c>
      <c r="H4974" s="2" t="n">
        <f>HYPERLINK("https://worldwide.espacenet.com/patent/search?q=US10101051","Espacenet")</f>
        <v>0.0</v>
      </c>
      <c r="I4974" s="2" t="n">
        <f>HYPERLINK("https://ppubs.uspto.gov/pubwebapp/external.html?q=10101051.pn.","USPTO")</f>
        <v>0.0</v>
      </c>
      <c r="J4974" s="2" t="n">
        <f>HYPERLINK("https://image-ppubs.uspto.gov/dirsearch-public/print/downloadPdf/10101051","USPTO PDF")</f>
        <v>0.0</v>
      </c>
      <c r="K4974" s="2" t="n">
        <f>HYPERLINK("https://sectors.patentforecast.com/pmd/US10101051","PMD")</f>
        <v>0.0</v>
      </c>
      <c r="L4974" s="2" t="n">
        <f>HYPERLINK("https://globaldossier.uspto.gov/result/patent/US/10101051/1","US10101051")</f>
        <v>0.0</v>
      </c>
      <c r="M4974" t="s">
        <v>19743</v>
      </c>
      <c r="N4974" t="s">
        <v>12813</v>
      </c>
      <c r="O4974" t="s">
        <v>12814</v>
      </c>
      <c r="P4974" t="s">
        <v>29694</v>
      </c>
      <c r="Q4974" s="3" t="n">
        <v>41769.0</v>
      </c>
      <c r="R4974" s="3" t="n">
        <v>43389.0</v>
      </c>
      <c r="S4974" s="3" t="n">
        <v>43908.458514398146</v>
      </c>
      <c r="T4974" s="3" t="n">
        <v>43950.57883375</v>
      </c>
      <c r="U4974" t="s">
        <v>29695</v>
      </c>
      <c r="V4974" t="s">
        <v>29696</v>
      </c>
    </row>
    <row r="4975">
      <c r="A4975" t="s">
        <v>23557</v>
      </c>
      <c r="B4975" t="s">
        <v>29697</v>
      </c>
      <c r="C4975" t="s">
        <v>60</v>
      </c>
      <c r="D4975" t="s">
        <v>61</v>
      </c>
      <c r="E4975" t="s">
        <v>29698</v>
      </c>
      <c r="F4975" s="2" t="n">
        <f>HYPERLINK("https://patents.google.com/patent/US10100076","Google")</f>
        <v>0.0</v>
      </c>
      <c r="G4975" s="2" t="n">
        <f>HYPERLINK("https://patentcenter.uspto.gov/applications/13908098","Patent Center")</f>
        <v>0.0</v>
      </c>
      <c r="H4975" s="2" t="n">
        <f>HYPERLINK("https://worldwide.espacenet.com/patent/search?q=US10100076","Espacenet")</f>
        <v>0.0</v>
      </c>
      <c r="I4975" s="2" t="n">
        <f>HYPERLINK("https://ppubs.uspto.gov/pubwebapp/external.html?q=10100076.pn.","USPTO")</f>
        <v>0.0</v>
      </c>
      <c r="J4975" s="2" t="n">
        <f>HYPERLINK("https://image-ppubs.uspto.gov/dirsearch-public/print/downloadPdf/10100076","USPTO PDF")</f>
        <v>0.0</v>
      </c>
      <c r="K4975" s="2" t="n">
        <f>HYPERLINK("https://sectors.patentforecast.com/pmd/US10100076","PMD")</f>
        <v>0.0</v>
      </c>
      <c r="L4975" s="2" t="n">
        <f>HYPERLINK("https://globaldossier.uspto.gov/result/patent/US/10100076/1","US10100076")</f>
        <v>0.0</v>
      </c>
      <c r="M4975" t="s">
        <v>20840</v>
      </c>
      <c r="N4975" t="s">
        <v>664</v>
      </c>
      <c r="O4975" t="s">
        <v>665</v>
      </c>
      <c r="P4975" t="s">
        <v>29699</v>
      </c>
      <c r="Q4975" s="3" t="n">
        <v>41428.0</v>
      </c>
      <c r="R4975" s="3" t="n">
        <v>43389.0</v>
      </c>
      <c r="S4975" s="3" t="n">
        <v>43957.459709930554</v>
      </c>
      <c r="T4975" s="3" t="n">
        <v>44638.65579662037</v>
      </c>
      <c r="U4975" t="s">
        <v>29700</v>
      </c>
      <c r="V4975" t="s">
        <v>29701</v>
      </c>
    </row>
    <row r="4976">
      <c r="A4976" t="s">
        <v>23557</v>
      </c>
      <c r="B4976" t="s">
        <v>29702</v>
      </c>
      <c r="C4976" t="s">
        <v>60</v>
      </c>
      <c r="D4976" t="s">
        <v>696</v>
      </c>
      <c r="E4976" t="s">
        <v>23687</v>
      </c>
      <c r="F4976" s="2" t="n">
        <f>HYPERLINK("https://patents.google.com/patent/US10093732","Google")</f>
        <v>0.0</v>
      </c>
      <c r="G4976" s="2" t="n">
        <f>HYPERLINK("https://patentcenter.uspto.gov/applications/14933141","Patent Center")</f>
        <v>0.0</v>
      </c>
      <c r="H4976" s="2" t="n">
        <f>HYPERLINK("https://worldwide.espacenet.com/patent/search?q=US10093732","Espacenet")</f>
        <v>0.0</v>
      </c>
      <c r="I4976" s="2" t="n">
        <f>HYPERLINK("https://ppubs.uspto.gov/pubwebapp/external.html?q=10093732.pn.","USPTO")</f>
        <v>0.0</v>
      </c>
      <c r="J4976" s="2" t="n">
        <f>HYPERLINK("https://image-ppubs.uspto.gov/dirsearch-public/print/downloadPdf/10093732","USPTO PDF")</f>
        <v>0.0</v>
      </c>
      <c r="K4976" s="2" t="n">
        <f>HYPERLINK("https://sectors.patentforecast.com/pmd/US10093732","PMD")</f>
        <v>0.0</v>
      </c>
      <c r="L4976" s="2" t="n">
        <f>HYPERLINK("https://globaldossier.uspto.gov/result/patent/US/10093732/1","US10093732")</f>
        <v>0.0</v>
      </c>
      <c r="M4976" t="s">
        <v>19730</v>
      </c>
      <c r="N4976" t="s">
        <v>16927</v>
      </c>
      <c r="O4976" t="s">
        <v>16928</v>
      </c>
      <c r="P4976" t="s">
        <v>23586</v>
      </c>
      <c r="Q4976" s="3" t="n">
        <v>42313.0</v>
      </c>
      <c r="R4976" s="3" t="n">
        <v>43382.0</v>
      </c>
      <c r="S4976" s="3" t="n">
        <v>43966.486785671295</v>
      </c>
      <c r="T4976" s="3" t="n">
        <v>44643.44490069444</v>
      </c>
      <c r="U4976" t="s">
        <v>29703</v>
      </c>
      <c r="V4976" t="s">
        <v>17701</v>
      </c>
    </row>
    <row r="4977">
      <c r="A4977" t="s">
        <v>23557</v>
      </c>
      <c r="B4977" t="s">
        <v>29704</v>
      </c>
      <c r="C4977" t="s">
        <v>60</v>
      </c>
      <c r="D4977" t="s">
        <v>77</v>
      </c>
      <c r="E4977" t="s">
        <v>29329</v>
      </c>
      <c r="F4977" s="2" t="n">
        <f>HYPERLINK("https://patents.google.com/patent/US10087408","Google")</f>
        <v>0.0</v>
      </c>
      <c r="G4977" s="2" t="n">
        <f>HYPERLINK("https://patentcenter.uspto.gov/applications/13178395","Patent Center")</f>
        <v>0.0</v>
      </c>
      <c r="H4977" s="2" t="n">
        <f>HYPERLINK("https://worldwide.espacenet.com/patent/search?q=US10087408","Espacenet")</f>
        <v>0.0</v>
      </c>
      <c r="I4977" s="2" t="n">
        <f>HYPERLINK("https://ppubs.uspto.gov/pubwebapp/external.html?q=10087408.pn.","USPTO")</f>
        <v>0.0</v>
      </c>
      <c r="J4977" s="2" t="n">
        <f>HYPERLINK("https://image-ppubs.uspto.gov/dirsearch-public/print/downloadPdf/10087408","USPTO PDF")</f>
        <v>0.0</v>
      </c>
      <c r="K4977" s="2" t="n">
        <f>HYPERLINK("https://sectors.patentforecast.com/pmd/US10087408","PMD")</f>
        <v>0.0</v>
      </c>
      <c r="L4977" s="2" t="n">
        <f>HYPERLINK("https://globaldossier.uspto.gov/result/patent/US/10087408/1","US10087408")</f>
        <v>0.0</v>
      </c>
      <c r="M4977" t="s">
        <v>21608</v>
      </c>
      <c r="N4977" t="s">
        <v>16801</v>
      </c>
      <c r="O4977" t="s">
        <v>16802</v>
      </c>
      <c r="P4977" t="s">
        <v>29330</v>
      </c>
      <c r="Q4977" s="3" t="n">
        <v>40731.0</v>
      </c>
      <c r="R4977" s="3" t="n">
        <v>43375.0</v>
      </c>
      <c r="S4977" s="3" t="n">
        <v>43985.66955077546</v>
      </c>
      <c r="T4977" s="3" t="n">
        <v>43985.67861778935</v>
      </c>
      <c r="U4977" t="s">
        <v>29705</v>
      </c>
      <c r="V4977" t="s">
        <v>21611</v>
      </c>
    </row>
    <row r="4978">
      <c r="A4978" t="s">
        <v>23557</v>
      </c>
      <c r="B4978" t="s">
        <v>29706</v>
      </c>
      <c r="C4978" t="s">
        <v>60</v>
      </c>
      <c r="D4978" t="s">
        <v>77</v>
      </c>
      <c r="E4978" t="s">
        <v>26606</v>
      </c>
      <c r="F4978" s="2" t="n">
        <f>HYPERLINK("https://patents.google.com/patent/US10087240","Google")</f>
        <v>0.0</v>
      </c>
      <c r="G4978" s="2" t="n">
        <f>HYPERLINK("https://patentcenter.uspto.gov/applications/15103970","Patent Center")</f>
        <v>0.0</v>
      </c>
      <c r="H4978" s="2" t="n">
        <f>HYPERLINK("https://worldwide.espacenet.com/patent/search?q=US10087240","Espacenet")</f>
        <v>0.0</v>
      </c>
      <c r="I4978" s="2" t="n">
        <f>HYPERLINK("https://ppubs.uspto.gov/pubwebapp/external.html?q=10087240.pn.","USPTO")</f>
        <v>0.0</v>
      </c>
      <c r="J4978" s="2" t="n">
        <f>HYPERLINK("https://image-ppubs.uspto.gov/dirsearch-public/print/downloadPdf/10087240","USPTO PDF")</f>
        <v>0.0</v>
      </c>
      <c r="K4978" s="2" t="n">
        <f>HYPERLINK("https://sectors.patentforecast.com/pmd/US10087240","PMD")</f>
        <v>0.0</v>
      </c>
      <c r="L4978" s="2" t="n">
        <f>HYPERLINK("https://globaldossier.uspto.gov/result/patent/US/10087240/1","US10087240")</f>
        <v>0.0</v>
      </c>
      <c r="M4978" t="s">
        <v>29707</v>
      </c>
      <c r="N4978" t="s">
        <v>10151</v>
      </c>
      <c r="O4978" t="s">
        <v>10152</v>
      </c>
      <c r="P4978" t="s">
        <v>29708</v>
      </c>
      <c r="Q4978" s="3" t="n">
        <v>41986.0</v>
      </c>
      <c r="R4978" s="3" t="n">
        <v>43375.0</v>
      </c>
      <c r="S4978" s="3" t="n">
        <v>43936.46037523148</v>
      </c>
      <c r="T4978" s="3" t="n">
        <v>44672.43610230324</v>
      </c>
      <c r="U4978" t="s">
        <v>29709</v>
      </c>
      <c r="V4978" t="s">
        <v>29710</v>
      </c>
    </row>
    <row r="4979">
      <c r="A4979" t="s">
        <v>23557</v>
      </c>
      <c r="B4979" t="s">
        <v>29711</v>
      </c>
      <c r="C4979" t="s">
        <v>60</v>
      </c>
      <c r="D4979" t="s">
        <v>61</v>
      </c>
      <c r="E4979" t="s">
        <v>23945</v>
      </c>
      <c r="F4979" s="2" t="n">
        <f>HYPERLINK("https://patents.google.com/patent/US10086011","Google")</f>
        <v>0.0</v>
      </c>
      <c r="G4979" s="2" t="n">
        <f>HYPERLINK("https://patentcenter.uspto.gov/applications/15670283","Patent Center")</f>
        <v>0.0</v>
      </c>
      <c r="H4979" s="2" t="n">
        <f>HYPERLINK("https://worldwide.espacenet.com/patent/search?q=US10086011","Espacenet")</f>
        <v>0.0</v>
      </c>
      <c r="I4979" s="2" t="n">
        <f>HYPERLINK("https://ppubs.uspto.gov/pubwebapp/external.html?q=10086011.pn.","USPTO")</f>
        <v>0.0</v>
      </c>
      <c r="J4979" s="2" t="n">
        <f>HYPERLINK("https://image-ppubs.uspto.gov/dirsearch-public/print/downloadPdf/10086011","USPTO PDF")</f>
        <v>0.0</v>
      </c>
      <c r="K4979" s="2" t="n">
        <f>HYPERLINK("https://sectors.patentforecast.com/pmd/US10086011","PMD")</f>
        <v>0.0</v>
      </c>
      <c r="L4979" s="2" t="n">
        <f>HYPERLINK("https://globaldossier.uspto.gov/result/patent/US/10086011/1","US10086011")</f>
        <v>0.0</v>
      </c>
      <c r="M4979" t="s">
        <v>18752</v>
      </c>
      <c r="N4979" t="s">
        <v>664</v>
      </c>
      <c r="O4979" t="s">
        <v>665</v>
      </c>
      <c r="P4979" t="s">
        <v>23946</v>
      </c>
      <c r="Q4979" s="3" t="n">
        <v>42954.0</v>
      </c>
      <c r="R4979" s="3" t="n">
        <v>43375.0</v>
      </c>
      <c r="S4979" s="3" t="n">
        <v>43957.459709930554</v>
      </c>
      <c r="T4979" s="3" t="n">
        <v>44638.65271974537</v>
      </c>
      <c r="U4979" t="s">
        <v>29712</v>
      </c>
      <c r="V4979" t="s">
        <v>23948</v>
      </c>
    </row>
    <row r="4980">
      <c r="A4980" t="s">
        <v>23557</v>
      </c>
      <c r="B4980" t="s">
        <v>29713</v>
      </c>
      <c r="C4980" t="s">
        <v>24</v>
      </c>
      <c r="D4980" t="s">
        <v>25</v>
      </c>
      <c r="E4980" t="s">
        <v>29714</v>
      </c>
      <c r="F4980" s="2" t="n">
        <f>HYPERLINK("https://patents.google.com/patent/US10081843","Google")</f>
        <v>0.0</v>
      </c>
      <c r="G4980" s="2" t="n">
        <f>HYPERLINK("https://patentcenter.uspto.gov/applications/12856434","Patent Center")</f>
        <v>0.0</v>
      </c>
      <c r="H4980" s="2" t="n">
        <f>HYPERLINK("https://worldwide.espacenet.com/patent/search?q=US10081843","Espacenet")</f>
        <v>0.0</v>
      </c>
      <c r="I4980" s="2" t="n">
        <f>HYPERLINK("https://ppubs.uspto.gov/pubwebapp/external.html?q=10081843.pn.","USPTO")</f>
        <v>0.0</v>
      </c>
      <c r="J4980" s="2" t="n">
        <f>HYPERLINK("https://image-ppubs.uspto.gov/dirsearch-public/print/downloadPdf/10081843","USPTO PDF")</f>
        <v>0.0</v>
      </c>
      <c r="K4980" s="2" t="n">
        <f>HYPERLINK("https://sectors.patentforecast.com/pmd/US10081843","PMD")</f>
        <v>0.0</v>
      </c>
      <c r="L4980" s="2" t="n">
        <f>HYPERLINK("https://globaldossier.uspto.gov/result/patent/US/10081843/1","US10081843")</f>
        <v>0.0</v>
      </c>
      <c r="M4980" t="s">
        <v>21824</v>
      </c>
      <c r="N4980" t="s">
        <v>19316</v>
      </c>
      <c r="O4980" t="s">
        <v>19317</v>
      </c>
      <c r="P4980" t="s">
        <v>29715</v>
      </c>
      <c r="Q4980" s="3" t="n">
        <v>40403.0</v>
      </c>
      <c r="R4980" s="3" t="n">
        <v>43368.0</v>
      </c>
      <c r="S4980" s="3" t="n">
        <v>43900.437267939815</v>
      </c>
      <c r="T4980" s="3" t="n">
        <v>43901.70557063657</v>
      </c>
      <c r="U4980" t="s">
        <v>29176</v>
      </c>
      <c r="V4980" t="s">
        <v>19319</v>
      </c>
    </row>
    <row r="4981">
      <c r="A4981" t="s">
        <v>23557</v>
      </c>
      <c r="B4981" t="s">
        <v>29716</v>
      </c>
      <c r="C4981" t="s">
        <v>24</v>
      </c>
      <c r="D4981" t="s">
        <v>25</v>
      </c>
      <c r="E4981" t="s">
        <v>29717</v>
      </c>
      <c r="F4981" s="2" t="n">
        <f>HYPERLINK("https://patents.google.com/patent/US10077481","Google")</f>
        <v>0.0</v>
      </c>
      <c r="G4981" s="2" t="n">
        <f>HYPERLINK("https://patentcenter.uspto.gov/applications/12856398","Patent Center")</f>
        <v>0.0</v>
      </c>
      <c r="H4981" s="2" t="n">
        <f>HYPERLINK("https://worldwide.espacenet.com/patent/search?q=US10077481","Espacenet")</f>
        <v>0.0</v>
      </c>
      <c r="I4981" s="2" t="n">
        <f>HYPERLINK("https://ppubs.uspto.gov/pubwebapp/external.html?q=10077481.pn.","USPTO")</f>
        <v>0.0</v>
      </c>
      <c r="J4981" s="2" t="n">
        <f>HYPERLINK("https://image-ppubs.uspto.gov/dirsearch-public/print/downloadPdf/10077481","USPTO PDF")</f>
        <v>0.0</v>
      </c>
      <c r="K4981" s="2" t="n">
        <f>HYPERLINK("https://sectors.patentforecast.com/pmd/US10077481","PMD")</f>
        <v>0.0</v>
      </c>
      <c r="L4981" s="2" t="n">
        <f>HYPERLINK("https://globaldossier.uspto.gov/result/patent/US/10077481/1","US10077481")</f>
        <v>0.0</v>
      </c>
      <c r="M4981" t="s">
        <v>21828</v>
      </c>
      <c r="N4981" t="s">
        <v>19316</v>
      </c>
      <c r="O4981" t="s">
        <v>19317</v>
      </c>
      <c r="P4981" t="s">
        <v>29715</v>
      </c>
      <c r="Q4981" s="3" t="n">
        <v>40403.0</v>
      </c>
      <c r="R4981" s="3" t="n">
        <v>43361.0</v>
      </c>
      <c r="S4981" s="3" t="n">
        <v>43900.437267939815</v>
      </c>
      <c r="T4981" s="3" t="n">
        <v>43901.705570659724</v>
      </c>
      <c r="U4981" t="s">
        <v>29176</v>
      </c>
      <c r="V4981" t="s">
        <v>19319</v>
      </c>
    </row>
    <row r="4982">
      <c r="A4982" t="s">
        <v>23557</v>
      </c>
      <c r="B4982" t="s">
        <v>29718</v>
      </c>
      <c r="C4982" t="s">
        <v>60</v>
      </c>
      <c r="D4982" t="s">
        <v>61</v>
      </c>
      <c r="E4982" t="s">
        <v>29719</v>
      </c>
      <c r="F4982" s="2" t="n">
        <f>HYPERLINK("https://patents.google.com/patent/US10065958","Google")</f>
        <v>0.0</v>
      </c>
      <c r="G4982" s="2" t="n">
        <f>HYPERLINK("https://patentcenter.uspto.gov/applications/14613719","Patent Center")</f>
        <v>0.0</v>
      </c>
      <c r="H4982" s="2" t="n">
        <f>HYPERLINK("https://worldwide.espacenet.com/patent/search?q=US10065958","Espacenet")</f>
        <v>0.0</v>
      </c>
      <c r="I4982" s="2" t="n">
        <f>HYPERLINK("https://ppubs.uspto.gov/pubwebapp/external.html?q=10065958.pn.","USPTO")</f>
        <v>0.0</v>
      </c>
      <c r="J4982" s="2" t="n">
        <f>HYPERLINK("https://image-ppubs.uspto.gov/dirsearch-public/print/downloadPdf/10065958","USPTO PDF")</f>
        <v>0.0</v>
      </c>
      <c r="K4982" s="2" t="n">
        <f>HYPERLINK("https://sectors.patentforecast.com/pmd/US10065958","PMD")</f>
        <v>0.0</v>
      </c>
      <c r="L4982" s="2" t="n">
        <f>HYPERLINK("https://globaldossier.uspto.gov/result/patent/US/10065958/1","US10065958")</f>
        <v>0.0</v>
      </c>
      <c r="M4982" t="s">
        <v>20273</v>
      </c>
      <c r="N4982" t="s">
        <v>664</v>
      </c>
      <c r="O4982" t="s">
        <v>665</v>
      </c>
      <c r="P4982" t="s">
        <v>29720</v>
      </c>
      <c r="Q4982" s="3" t="n">
        <v>42039.0</v>
      </c>
      <c r="R4982" s="3" t="n">
        <v>43347.0</v>
      </c>
      <c r="S4982" s="3" t="n">
        <v>43957.459709930554</v>
      </c>
      <c r="T4982" s="3" t="n">
        <v>44638.65643378472</v>
      </c>
      <c r="U4982" t="s">
        <v>29721</v>
      </c>
      <c r="V4982" t="s">
        <v>29722</v>
      </c>
    </row>
    <row r="4983">
      <c r="A4983" t="s">
        <v>23557</v>
      </c>
      <c r="B4983" t="s">
        <v>29723</v>
      </c>
      <c r="C4983" t="s">
        <v>132</v>
      </c>
      <c r="D4983" t="s">
        <v>2629</v>
      </c>
      <c r="E4983" t="s">
        <v>29523</v>
      </c>
      <c r="F4983" s="2" t="n">
        <f>HYPERLINK("https://patents.google.com/patent/US10064934","Google")</f>
        <v>0.0</v>
      </c>
      <c r="G4983" s="2" t="n">
        <f>HYPERLINK("https://patentcenter.uspto.gov/applications/15674599","Patent Center")</f>
        <v>0.0</v>
      </c>
      <c r="H4983" s="2" t="n">
        <f>HYPERLINK("https://worldwide.espacenet.com/patent/search?q=US10064934","Espacenet")</f>
        <v>0.0</v>
      </c>
      <c r="I4983" s="2" t="n">
        <f>HYPERLINK("https://ppubs.uspto.gov/pubwebapp/external.html?q=10064934.pn.","USPTO")</f>
        <v>0.0</v>
      </c>
      <c r="J4983" s="2" t="n">
        <f>HYPERLINK("https://image-ppubs.uspto.gov/dirsearch-public/print/downloadPdf/10064934","USPTO PDF")</f>
        <v>0.0</v>
      </c>
      <c r="K4983" s="2" t="n">
        <f>HYPERLINK("https://sectors.patentforecast.com/pmd/US10064934","PMD")</f>
        <v>0.0</v>
      </c>
      <c r="L4983" s="2" t="n">
        <f>HYPERLINK("https://globaldossier.uspto.gov/result/patent/US/10064934/1","US10064934")</f>
        <v>0.0</v>
      </c>
      <c r="M4983" t="s">
        <v>18903</v>
      </c>
      <c r="N4983" t="s">
        <v>145</v>
      </c>
      <c r="O4983" t="s">
        <v>146</v>
      </c>
      <c r="P4983" t="s">
        <v>28705</v>
      </c>
      <c r="Q4983" s="3" t="n">
        <v>42958.0</v>
      </c>
      <c r="R4983" s="3" t="n">
        <v>43347.0</v>
      </c>
      <c r="S4983" s="3" t="n">
        <v>43935.70415306713</v>
      </c>
      <c r="T4983" s="3" t="n">
        <v>43950.48517424768</v>
      </c>
      <c r="U4983" t="s">
        <v>29724</v>
      </c>
      <c r="V4983" t="s">
        <v>15867</v>
      </c>
    </row>
    <row r="4984">
      <c r="A4984" t="s">
        <v>23557</v>
      </c>
      <c r="B4984" t="s">
        <v>29725</v>
      </c>
      <c r="C4984" t="s">
        <v>60</v>
      </c>
      <c r="D4984" t="s">
        <v>61</v>
      </c>
      <c r="E4984" t="s">
        <v>29726</v>
      </c>
      <c r="F4984" s="2" t="n">
        <f>HYPERLINK("https://patents.google.com/patent/US10059716","Google")</f>
        <v>0.0</v>
      </c>
      <c r="G4984" s="2" t="n">
        <f>HYPERLINK("https://patentcenter.uspto.gov/applications/15610104","Patent Center")</f>
        <v>0.0</v>
      </c>
      <c r="H4984" s="2" t="n">
        <f>HYPERLINK("https://worldwide.espacenet.com/patent/search?q=US10059716","Espacenet")</f>
        <v>0.0</v>
      </c>
      <c r="I4984" s="2" t="n">
        <f>HYPERLINK("https://ppubs.uspto.gov/pubwebapp/external.html?q=10059716.pn.","USPTO")</f>
        <v>0.0</v>
      </c>
      <c r="J4984" s="2" t="n">
        <f>HYPERLINK("https://image-ppubs.uspto.gov/dirsearch-public/print/downloadPdf/10059716","USPTO PDF")</f>
        <v>0.0</v>
      </c>
      <c r="K4984" s="2" t="n">
        <f>HYPERLINK("https://sectors.patentforecast.com/pmd/US10059716","PMD")</f>
        <v>0.0</v>
      </c>
      <c r="L4984" s="2" t="n">
        <f>HYPERLINK("https://globaldossier.uspto.gov/result/patent/US/10059716/1","US10059716")</f>
        <v>0.0</v>
      </c>
      <c r="M4984" t="s">
        <v>18755</v>
      </c>
      <c r="N4984" t="s">
        <v>664</v>
      </c>
      <c r="O4984" t="s">
        <v>665</v>
      </c>
      <c r="P4984" t="s">
        <v>23997</v>
      </c>
      <c r="Q4984" s="3" t="n">
        <v>42886.0</v>
      </c>
      <c r="R4984" s="3" t="n">
        <v>43340.0</v>
      </c>
      <c r="S4984" s="3" t="n">
        <v>43952.45951180556</v>
      </c>
      <c r="T4984" s="3" t="n">
        <v>44638.65643378472</v>
      </c>
      <c r="U4984" t="s">
        <v>29727</v>
      </c>
      <c r="V4984" t="s">
        <v>29728</v>
      </c>
    </row>
    <row r="4985">
      <c r="A4985" t="s">
        <v>23557</v>
      </c>
      <c r="B4985" t="s">
        <v>29729</v>
      </c>
      <c r="C4985" t="s">
        <v>60</v>
      </c>
      <c r="D4985" t="s">
        <v>61</v>
      </c>
      <c r="E4985" t="s">
        <v>29730</v>
      </c>
      <c r="F4985" s="2" t="n">
        <f>HYPERLINK("https://patents.google.com/patent/US10059697","Google")</f>
        <v>0.0</v>
      </c>
      <c r="G4985" s="2" t="n">
        <f>HYPERLINK("https://patentcenter.uspto.gov/applications/15280801","Patent Center")</f>
        <v>0.0</v>
      </c>
      <c r="H4985" s="2" t="n">
        <f>HYPERLINK("https://worldwide.espacenet.com/patent/search?q=US10059697","Espacenet")</f>
        <v>0.0</v>
      </c>
      <c r="I4985" s="2" t="n">
        <f>HYPERLINK("https://ppubs.uspto.gov/pubwebapp/external.html?q=10059697.pn.","USPTO")</f>
        <v>0.0</v>
      </c>
      <c r="J4985" s="2" t="n">
        <f>HYPERLINK("https://image-ppubs.uspto.gov/dirsearch-public/print/downloadPdf/10059697","USPTO PDF")</f>
        <v>0.0</v>
      </c>
      <c r="K4985" s="2" t="n">
        <f>HYPERLINK("https://sectors.patentforecast.com/pmd/US10059697","PMD")</f>
        <v>0.0</v>
      </c>
      <c r="L4985" s="2" t="n">
        <f>HYPERLINK("https://globaldossier.uspto.gov/result/patent/US/10059697/1","US10059697")</f>
        <v>0.0</v>
      </c>
      <c r="M4985" t="s">
        <v>19285</v>
      </c>
      <c r="N4985" t="s">
        <v>664</v>
      </c>
      <c r="O4985" t="s">
        <v>665</v>
      </c>
      <c r="P4985" t="s">
        <v>29731</v>
      </c>
      <c r="Q4985" s="3" t="n">
        <v>42642.0</v>
      </c>
      <c r="R4985" s="3" t="n">
        <v>43340.0</v>
      </c>
      <c r="S4985" s="3" t="n">
        <v>43952.45951180556</v>
      </c>
      <c r="T4985" s="3" t="n">
        <v>44638.66187447916</v>
      </c>
      <c r="U4985" t="s">
        <v>29732</v>
      </c>
      <c r="V4985" t="s">
        <v>29733</v>
      </c>
    </row>
    <row r="4986">
      <c r="A4986" t="s">
        <v>23557</v>
      </c>
      <c r="B4986" t="s">
        <v>29734</v>
      </c>
      <c r="C4986" t="s">
        <v>24</v>
      </c>
      <c r="D4986" t="s">
        <v>25</v>
      </c>
      <c r="E4986" t="s">
        <v>29735</v>
      </c>
      <c r="F4986" s="2" t="n">
        <f>HYPERLINK("https://patents.google.com/patent/US10058076","Google")</f>
        <v>0.0</v>
      </c>
      <c r="G4986" s="2" t="n">
        <f>HYPERLINK("https://patentcenter.uspto.gov/applications/14506402","Patent Center")</f>
        <v>0.0</v>
      </c>
      <c r="H4986" s="2" t="n">
        <f>HYPERLINK("https://worldwide.espacenet.com/patent/search?q=US10058076","Espacenet")</f>
        <v>0.0</v>
      </c>
      <c r="I4986" s="2" t="n">
        <f>HYPERLINK("https://ppubs.uspto.gov/pubwebapp/external.html?q=10058076.pn.","USPTO")</f>
        <v>0.0</v>
      </c>
      <c r="J4986" s="2" t="n">
        <f>HYPERLINK("https://image-ppubs.uspto.gov/dirsearch-public/print/downloadPdf/10058076","USPTO PDF")</f>
        <v>0.0</v>
      </c>
      <c r="K4986" s="2" t="n">
        <f>HYPERLINK("https://sectors.patentforecast.com/pmd/US10058076","PMD")</f>
        <v>0.0</v>
      </c>
      <c r="L4986" s="2" t="n">
        <f>HYPERLINK("https://globaldossier.uspto.gov/result/patent/US/10058076/1","US10058076")</f>
        <v>0.0</v>
      </c>
      <c r="M4986" t="s">
        <v>20067</v>
      </c>
      <c r="N4986" t="s">
        <v>20068</v>
      </c>
      <c r="O4986" t="s">
        <v>20069</v>
      </c>
      <c r="P4986" t="s">
        <v>29736</v>
      </c>
      <c r="Q4986" s="3" t="n">
        <v>41915.0</v>
      </c>
      <c r="R4986" s="3" t="n">
        <v>43340.0</v>
      </c>
      <c r="S4986" s="3" t="n">
        <v>43906.372850162035</v>
      </c>
      <c r="T4986" s="3" t="n">
        <v>43950.60709197917</v>
      </c>
      <c r="U4986" t="s">
        <v>29737</v>
      </c>
      <c r="V4986" t="s">
        <v>29738</v>
      </c>
    </row>
    <row r="4987">
      <c r="A4987" t="s">
        <v>23557</v>
      </c>
      <c r="B4987" t="s">
        <v>29739</v>
      </c>
      <c r="C4987" t="s">
        <v>60</v>
      </c>
      <c r="D4987" t="s">
        <v>696</v>
      </c>
      <c r="E4987" t="s">
        <v>24132</v>
      </c>
      <c r="F4987" s="2" t="n">
        <f>HYPERLINK("https://patents.google.com/patent/US10053506","Google")</f>
        <v>0.0</v>
      </c>
      <c r="G4987" s="2" t="n">
        <f>HYPERLINK("https://patentcenter.uspto.gov/applications/14833973","Patent Center")</f>
        <v>0.0</v>
      </c>
      <c r="H4987" s="2" t="n">
        <f>HYPERLINK("https://worldwide.espacenet.com/patent/search?q=US10053506","Espacenet")</f>
        <v>0.0</v>
      </c>
      <c r="I4987" s="2" t="n">
        <f>HYPERLINK("https://ppubs.uspto.gov/pubwebapp/external.html?q=10053506.pn.","USPTO")</f>
        <v>0.0</v>
      </c>
      <c r="J4987" s="2" t="n">
        <f>HYPERLINK("https://image-ppubs.uspto.gov/dirsearch-public/print/downloadPdf/10053506","USPTO PDF")</f>
        <v>0.0</v>
      </c>
      <c r="K4987" s="2" t="n">
        <f>HYPERLINK("https://sectors.patentforecast.com/pmd/US10053506","PMD")</f>
        <v>0.0</v>
      </c>
      <c r="L4987" s="2" t="n">
        <f>HYPERLINK("https://globaldossier.uspto.gov/result/patent/US/10053506/1","US10053506")</f>
        <v>0.0</v>
      </c>
      <c r="M4987" t="s">
        <v>19749</v>
      </c>
      <c r="N4987" t="s">
        <v>17488</v>
      </c>
      <c r="O4987" t="s">
        <v>17489</v>
      </c>
      <c r="P4987" t="s">
        <v>24527</v>
      </c>
      <c r="Q4987" s="3" t="n">
        <v>42240.0</v>
      </c>
      <c r="R4987" s="3" t="n">
        <v>43333.0</v>
      </c>
      <c r="S4987" s="3" t="n">
        <v>43966.486785671295</v>
      </c>
      <c r="T4987" s="3" t="n">
        <v>44643.44365918981</v>
      </c>
      <c r="U4987" t="s">
        <v>29740</v>
      </c>
      <c r="V4987" t="s">
        <v>21347</v>
      </c>
    </row>
    <row r="4988">
      <c r="A4988" t="s">
        <v>23557</v>
      </c>
      <c r="B4988" t="s">
        <v>29741</v>
      </c>
      <c r="C4988" t="s">
        <v>24</v>
      </c>
      <c r="D4988" t="s">
        <v>100</v>
      </c>
      <c r="E4988" t="s">
        <v>29742</v>
      </c>
      <c r="F4988" s="2" t="n">
        <f>HYPERLINK("https://patents.google.com/patent/US10052398","Google")</f>
        <v>0.0</v>
      </c>
      <c r="G4988" s="2" t="n">
        <f>HYPERLINK("https://patentcenter.uspto.gov/applications/15533835","Patent Center")</f>
        <v>0.0</v>
      </c>
      <c r="H4988" s="2" t="n">
        <f>HYPERLINK("https://worldwide.espacenet.com/patent/search?q=US10052398","Espacenet")</f>
        <v>0.0</v>
      </c>
      <c r="I4988" s="2" t="n">
        <f>HYPERLINK("https://ppubs.uspto.gov/pubwebapp/external.html?q=10052398.pn.","USPTO")</f>
        <v>0.0</v>
      </c>
      <c r="J4988" s="2" t="n">
        <f>HYPERLINK("https://image-ppubs.uspto.gov/dirsearch-public/print/downloadPdf/10052398","USPTO PDF")</f>
        <v>0.0</v>
      </c>
      <c r="K4988" s="2" t="n">
        <f>HYPERLINK("https://sectors.patentforecast.com/pmd/US10052398","PMD")</f>
        <v>0.0</v>
      </c>
      <c r="L4988" s="2" t="n">
        <f>HYPERLINK("https://globaldossier.uspto.gov/result/patent/US/10052398/1","US10052398")</f>
        <v>0.0</v>
      </c>
      <c r="M4988" t="s">
        <v>18910</v>
      </c>
      <c r="N4988" t="s">
        <v>7928</v>
      </c>
      <c r="O4988" t="s">
        <v>7929</v>
      </c>
      <c r="P4988" t="s">
        <v>29743</v>
      </c>
      <c r="Q4988" s="3" t="n">
        <v>42147.0</v>
      </c>
      <c r="R4988" s="3" t="n">
        <v>43333.0</v>
      </c>
      <c r="S4988" s="3" t="n">
        <v>43999.590077326386</v>
      </c>
      <c r="T4988" s="3" t="n">
        <v>43999.65999591435</v>
      </c>
      <c r="U4988" t="s">
        <v>29744</v>
      </c>
      <c r="V4988" t="s">
        <v>29745</v>
      </c>
    </row>
    <row r="4989">
      <c r="A4989" t="s">
        <v>23557</v>
      </c>
      <c r="B4989" t="s">
        <v>29746</v>
      </c>
      <c r="C4989" t="s">
        <v>24</v>
      </c>
      <c r="D4989" t="s">
        <v>1450</v>
      </c>
      <c r="E4989" t="s">
        <v>29747</v>
      </c>
      <c r="F4989" s="2" t="n">
        <f>HYPERLINK("https://patents.google.com/patent/US10045321","Google")</f>
        <v>0.0</v>
      </c>
      <c r="G4989" s="2" t="n">
        <f>HYPERLINK("https://patentcenter.uspto.gov/applications/13976636","Patent Center")</f>
        <v>0.0</v>
      </c>
      <c r="H4989" s="2" t="n">
        <f>HYPERLINK("https://worldwide.espacenet.com/patent/search?q=US10045321","Espacenet")</f>
        <v>0.0</v>
      </c>
      <c r="I4989" s="2" t="n">
        <f>HYPERLINK("https://ppubs.uspto.gov/pubwebapp/external.html?q=10045321.pn.","USPTO")</f>
        <v>0.0</v>
      </c>
      <c r="J4989" s="2" t="n">
        <f>HYPERLINK("https://image-ppubs.uspto.gov/dirsearch-public/print/downloadPdf/10045321","USPTO PDF")</f>
        <v>0.0</v>
      </c>
      <c r="K4989" s="2" t="n">
        <f>HYPERLINK("https://sectors.patentforecast.com/pmd/US10045321","PMD")</f>
        <v>0.0</v>
      </c>
      <c r="L4989" s="2" t="n">
        <f>HYPERLINK("https://globaldossier.uspto.gov/result/patent/US/10045321/1","US10045321")</f>
        <v>0.0</v>
      </c>
      <c r="M4989" t="s">
        <v>29748</v>
      </c>
      <c r="N4989" t="s">
        <v>29749</v>
      </c>
      <c r="O4989" t="s">
        <v>29750</v>
      </c>
      <c r="P4989" t="s">
        <v>29751</v>
      </c>
      <c r="Q4989" s="3" t="n">
        <v>40907.0</v>
      </c>
      <c r="R4989" s="3" t="n">
        <v>43319.0</v>
      </c>
      <c r="S4989" s="3" t="n">
        <v>43908.45839354167</v>
      </c>
      <c r="T4989" s="3" t="n">
        <v>44543.60558630787</v>
      </c>
      <c r="U4989" t="s">
        <v>29752</v>
      </c>
      <c r="V4989" t="s">
        <v>29753</v>
      </c>
    </row>
    <row r="4990">
      <c r="A4990" t="s">
        <v>23557</v>
      </c>
      <c r="B4990" t="s">
        <v>29754</v>
      </c>
      <c r="C4990" t="s">
        <v>24</v>
      </c>
      <c r="D4990" t="s">
        <v>25</v>
      </c>
      <c r="E4990" t="s">
        <v>29755</v>
      </c>
      <c r="F4990" s="2" t="n">
        <f>HYPERLINK("https://patents.google.com/patent/US10043371","Google")</f>
        <v>0.0</v>
      </c>
      <c r="G4990" s="2" t="n">
        <f>HYPERLINK("https://patentcenter.uspto.gov/applications/15296245","Patent Center")</f>
        <v>0.0</v>
      </c>
      <c r="H4990" s="2" t="n">
        <f>HYPERLINK("https://worldwide.espacenet.com/patent/search?q=US10043371","Espacenet")</f>
        <v>0.0</v>
      </c>
      <c r="I4990" s="2" t="n">
        <f>HYPERLINK("https://ppubs.uspto.gov/pubwebapp/external.html?q=10043371.pn.","USPTO")</f>
        <v>0.0</v>
      </c>
      <c r="J4990" s="2" t="n">
        <f>HYPERLINK("https://image-ppubs.uspto.gov/dirsearch-public/print/downloadPdf/10043371","USPTO PDF")</f>
        <v>0.0</v>
      </c>
      <c r="K4990" s="2" t="n">
        <f>HYPERLINK("https://sectors.patentforecast.com/pmd/US10043371","PMD")</f>
        <v>0.0</v>
      </c>
      <c r="L4990" s="2" t="n">
        <f>HYPERLINK("https://globaldossier.uspto.gov/result/patent/US/10043371/1","US10043371")</f>
        <v>0.0</v>
      </c>
      <c r="M4990" t="s">
        <v>18576</v>
      </c>
      <c r="N4990" t="s">
        <v>947</v>
      </c>
      <c r="O4990" t="s">
        <v>948</v>
      </c>
      <c r="P4990" t="s">
        <v>29756</v>
      </c>
      <c r="Q4990" s="3" t="n">
        <v>42661.0</v>
      </c>
      <c r="R4990" s="3" t="n">
        <v>43319.0</v>
      </c>
      <c r="S4990" s="3" t="n">
        <v>43900.437181712965</v>
      </c>
      <c r="T4990" s="3" t="n">
        <v>43901.705570844904</v>
      </c>
      <c r="U4990" t="s">
        <v>29757</v>
      </c>
      <c r="V4990" t="s">
        <v>18579</v>
      </c>
    </row>
    <row r="4991">
      <c r="A4991" t="s">
        <v>23557</v>
      </c>
      <c r="B4991" t="s">
        <v>29758</v>
      </c>
      <c r="C4991" t="s">
        <v>60</v>
      </c>
      <c r="D4991" t="s">
        <v>696</v>
      </c>
      <c r="E4991" t="s">
        <v>29759</v>
      </c>
      <c r="F4991" s="2" t="n">
        <f>HYPERLINK("https://patents.google.com/patent/US10040851","Google")</f>
        <v>0.0</v>
      </c>
      <c r="G4991" s="2" t="n">
        <f>HYPERLINK("https://patentcenter.uspto.gov/applications/14968098","Patent Center")</f>
        <v>0.0</v>
      </c>
      <c r="H4991" s="2" t="n">
        <f>HYPERLINK("https://worldwide.espacenet.com/patent/search?q=US10040851","Espacenet")</f>
        <v>0.0</v>
      </c>
      <c r="I4991" s="2" t="n">
        <f>HYPERLINK("https://ppubs.uspto.gov/pubwebapp/external.html?q=10040851.pn.","USPTO")</f>
        <v>0.0</v>
      </c>
      <c r="J4991" s="2" t="n">
        <f>HYPERLINK("https://image-ppubs.uspto.gov/dirsearch-public/print/downloadPdf/10040851","USPTO PDF")</f>
        <v>0.0</v>
      </c>
      <c r="K4991" s="2" t="n">
        <f>HYPERLINK("https://sectors.patentforecast.com/pmd/US10040851","PMD")</f>
        <v>0.0</v>
      </c>
      <c r="L4991" s="2" t="n">
        <f>HYPERLINK("https://globaldossier.uspto.gov/result/patent/US/10040851/1","US10040851")</f>
        <v>0.0</v>
      </c>
      <c r="M4991" t="s">
        <v>19683</v>
      </c>
      <c r="N4991" t="s">
        <v>16927</v>
      </c>
      <c r="O4991" t="s">
        <v>16928</v>
      </c>
      <c r="P4991" t="s">
        <v>23586</v>
      </c>
      <c r="Q4991" s="3" t="n">
        <v>42352.0</v>
      </c>
      <c r="R4991" s="3" t="n">
        <v>43319.0</v>
      </c>
      <c r="S4991" s="3" t="n">
        <v>43966.486785671295</v>
      </c>
      <c r="T4991" s="3" t="n">
        <v>44643.44490069444</v>
      </c>
      <c r="U4991" t="s">
        <v>29760</v>
      </c>
      <c r="V4991" t="s">
        <v>17130</v>
      </c>
    </row>
    <row r="4992">
      <c r="A4992" t="s">
        <v>23557</v>
      </c>
      <c r="B4992" t="s">
        <v>29761</v>
      </c>
      <c r="C4992" t="s">
        <v>60</v>
      </c>
      <c r="D4992" t="s">
        <v>61</v>
      </c>
      <c r="E4992" t="s">
        <v>23945</v>
      </c>
      <c r="F4992" s="2" t="n">
        <f>HYPERLINK("https://patents.google.com/patent/US10039779","Google")</f>
        <v>0.0</v>
      </c>
      <c r="G4992" s="2" t="n">
        <f>HYPERLINK("https://patentcenter.uspto.gov/applications/15393847","Patent Center")</f>
        <v>0.0</v>
      </c>
      <c r="H4992" s="2" t="n">
        <f>HYPERLINK("https://worldwide.espacenet.com/patent/search?q=US10039779","Espacenet")</f>
        <v>0.0</v>
      </c>
      <c r="I4992" s="2" t="n">
        <f>HYPERLINK("https://ppubs.uspto.gov/pubwebapp/external.html?q=10039779.pn.","USPTO")</f>
        <v>0.0</v>
      </c>
      <c r="J4992" s="2" t="n">
        <f>HYPERLINK("https://image-ppubs.uspto.gov/dirsearch-public/print/downloadPdf/10039779","USPTO PDF")</f>
        <v>0.0</v>
      </c>
      <c r="K4992" s="2" t="n">
        <f>HYPERLINK("https://sectors.patentforecast.com/pmd/US10039779","PMD")</f>
        <v>0.0</v>
      </c>
      <c r="L4992" s="2" t="n">
        <f>HYPERLINK("https://globaldossier.uspto.gov/result/patent/US/10039779/1","US10039779")</f>
        <v>0.0</v>
      </c>
      <c r="M4992" t="s">
        <v>19151</v>
      </c>
      <c r="N4992" t="s">
        <v>664</v>
      </c>
      <c r="O4992" t="s">
        <v>665</v>
      </c>
      <c r="P4992" t="s">
        <v>29762</v>
      </c>
      <c r="Q4992" s="3" t="n">
        <v>42733.0</v>
      </c>
      <c r="R4992" s="3" t="n">
        <v>43319.0</v>
      </c>
      <c r="S4992" s="3" t="n">
        <v>43957.460613773146</v>
      </c>
      <c r="T4992" s="3" t="n">
        <v>44638.65271974537</v>
      </c>
      <c r="U4992" t="s">
        <v>29763</v>
      </c>
      <c r="V4992" t="s">
        <v>17826</v>
      </c>
    </row>
    <row r="4993">
      <c r="A4993" t="s">
        <v>23557</v>
      </c>
      <c r="B4993" t="s">
        <v>29764</v>
      </c>
      <c r="C4993" t="s">
        <v>60</v>
      </c>
      <c r="D4993" t="s">
        <v>61</v>
      </c>
      <c r="E4993" t="s">
        <v>29765</v>
      </c>
      <c r="F4993" s="2" t="n">
        <f>HYPERLINK("https://patents.google.com/patent/US10035809","Google")</f>
        <v>0.0</v>
      </c>
      <c r="G4993" s="2" t="n">
        <f>HYPERLINK("https://patentcenter.uspto.gov/applications/15599151","Patent Center")</f>
        <v>0.0</v>
      </c>
      <c r="H4993" s="2" t="n">
        <f>HYPERLINK("https://worldwide.espacenet.com/patent/search?q=US10035809","Espacenet")</f>
        <v>0.0</v>
      </c>
      <c r="I4993" s="2" t="n">
        <f>HYPERLINK("https://ppubs.uspto.gov/pubwebapp/external.html?q=10035809.pn.","USPTO")</f>
        <v>0.0</v>
      </c>
      <c r="J4993" s="2" t="n">
        <f>HYPERLINK("https://image-ppubs.uspto.gov/dirsearch-public/print/downloadPdf/10035809","USPTO PDF")</f>
        <v>0.0</v>
      </c>
      <c r="K4993" s="2" t="n">
        <f>HYPERLINK("https://sectors.patentforecast.com/pmd/US10035809","PMD")</f>
        <v>0.0</v>
      </c>
      <c r="L4993" s="2" t="n">
        <f>HYPERLINK("https://globaldossier.uspto.gov/result/patent/US/10035809/1","US10035809")</f>
        <v>0.0</v>
      </c>
      <c r="M4993" t="s">
        <v>29766</v>
      </c>
      <c r="N4993" t="s">
        <v>664</v>
      </c>
      <c r="O4993" t="s">
        <v>665</v>
      </c>
      <c r="P4993" t="s">
        <v>29767</v>
      </c>
      <c r="Q4993" s="3" t="n">
        <v>42873.0</v>
      </c>
      <c r="R4993" s="3" t="n">
        <v>43312.0</v>
      </c>
      <c r="S4993" s="3" t="n">
        <v>43957.460613773146</v>
      </c>
      <c r="T4993" s="3" t="n">
        <v>44638.65579662037</v>
      </c>
      <c r="U4993" t="s">
        <v>29768</v>
      </c>
      <c r="V4993" t="s">
        <v>23962</v>
      </c>
    </row>
    <row r="4994">
      <c r="A4994" t="s">
        <v>23557</v>
      </c>
      <c r="B4994" t="s">
        <v>29769</v>
      </c>
      <c r="C4994" t="s">
        <v>132</v>
      </c>
      <c r="D4994" t="s">
        <v>133</v>
      </c>
      <c r="E4994" t="s">
        <v>29770</v>
      </c>
      <c r="F4994" s="2" t="n">
        <f>HYPERLINK("https://patents.google.com/patent/US10034934","Google")</f>
        <v>0.0</v>
      </c>
      <c r="G4994" s="2" t="n">
        <f>HYPERLINK("https://patentcenter.uspto.gov/applications/15125526","Patent Center")</f>
        <v>0.0</v>
      </c>
      <c r="H4994" s="2" t="n">
        <f>HYPERLINK("https://worldwide.espacenet.com/patent/search?q=US10034934","Espacenet")</f>
        <v>0.0</v>
      </c>
      <c r="I4994" s="2" t="n">
        <f>HYPERLINK("https://ppubs.uspto.gov/pubwebapp/external.html?q=10034934.pn.","USPTO")</f>
        <v>0.0</v>
      </c>
      <c r="J4994" s="2" t="n">
        <f>HYPERLINK("https://image-ppubs.uspto.gov/dirsearch-public/print/downloadPdf/10034934","USPTO PDF")</f>
        <v>0.0</v>
      </c>
      <c r="K4994" s="2" t="n">
        <f>HYPERLINK("https://sectors.patentforecast.com/pmd/US10034934","PMD")</f>
        <v>0.0</v>
      </c>
      <c r="L4994" s="2" t="n">
        <f>HYPERLINK("https://globaldossier.uspto.gov/result/patent/US/10034934/1","US10034934")</f>
        <v>0.0</v>
      </c>
      <c r="M4994" t="s">
        <v>19357</v>
      </c>
      <c r="N4994" t="s">
        <v>10979</v>
      </c>
      <c r="O4994" t="s">
        <v>10980</v>
      </c>
      <c r="P4994" t="s">
        <v>29771</v>
      </c>
      <c r="Q4994" s="3" t="n">
        <v>42073.0</v>
      </c>
      <c r="R4994" s="3" t="n">
        <v>43312.0</v>
      </c>
      <c r="S4994" s="3" t="n">
        <v>43900.437181712965</v>
      </c>
      <c r="T4994" s="3" t="n">
        <v>43901.705570590275</v>
      </c>
      <c r="U4994" t="s">
        <v>29772</v>
      </c>
      <c r="V4994" t="s">
        <v>29773</v>
      </c>
    </row>
    <row r="4995">
      <c r="A4995" t="s">
        <v>23557</v>
      </c>
      <c r="B4995" t="s">
        <v>29774</v>
      </c>
      <c r="C4995" t="s">
        <v>60</v>
      </c>
      <c r="D4995" t="s">
        <v>61</v>
      </c>
      <c r="E4995" t="s">
        <v>24276</v>
      </c>
      <c r="F4995" s="2" t="n">
        <f>HYPERLINK("https://patents.google.com/patent/US10030033","Google")</f>
        <v>0.0</v>
      </c>
      <c r="G4995" s="2" t="n">
        <f>HYPERLINK("https://patentcenter.uspto.gov/applications/15227527","Patent Center")</f>
        <v>0.0</v>
      </c>
      <c r="H4995" s="2" t="n">
        <f>HYPERLINK("https://worldwide.espacenet.com/patent/search?q=US10030033","Espacenet")</f>
        <v>0.0</v>
      </c>
      <c r="I4995" s="2" t="n">
        <f>HYPERLINK("https://ppubs.uspto.gov/pubwebapp/external.html?q=10030033.pn.","USPTO")</f>
        <v>0.0</v>
      </c>
      <c r="J4995" s="2" t="n">
        <f>HYPERLINK("https://image-ppubs.uspto.gov/dirsearch-public/print/downloadPdf/10030033","USPTO PDF")</f>
        <v>0.0</v>
      </c>
      <c r="K4995" s="2" t="n">
        <f>HYPERLINK("https://sectors.patentforecast.com/pmd/US10030033","PMD")</f>
        <v>0.0</v>
      </c>
      <c r="L4995" s="2" t="n">
        <f>HYPERLINK("https://globaldossier.uspto.gov/result/patent/US/10030033/1","US10030033")</f>
        <v>0.0</v>
      </c>
      <c r="M4995" t="s">
        <v>19126</v>
      </c>
      <c r="N4995" t="s">
        <v>664</v>
      </c>
      <c r="O4995" t="s">
        <v>665</v>
      </c>
      <c r="P4995" t="s">
        <v>29775</v>
      </c>
      <c r="Q4995" s="3" t="n">
        <v>42585.0</v>
      </c>
      <c r="R4995" s="3" t="n">
        <v>43305.0</v>
      </c>
      <c r="S4995" s="3" t="n">
        <v>43950.64725401621</v>
      </c>
      <c r="T4995" s="3" t="n">
        <v>44638.65271974537</v>
      </c>
      <c r="U4995" t="s">
        <v>29776</v>
      </c>
      <c r="V4995" t="s">
        <v>29777</v>
      </c>
    </row>
    <row r="4996">
      <c r="A4996" t="s">
        <v>23557</v>
      </c>
      <c r="B4996" t="s">
        <v>29778</v>
      </c>
      <c r="C4996" t="s">
        <v>24</v>
      </c>
      <c r="D4996" t="s">
        <v>34</v>
      </c>
      <c r="E4996" t="s">
        <v>29779</v>
      </c>
      <c r="F4996" s="2" t="n">
        <f>HYPERLINK("https://patents.google.com/patent/US10026508","Google")</f>
        <v>0.0</v>
      </c>
      <c r="G4996" s="2" t="n">
        <f>HYPERLINK("https://patentcenter.uspto.gov/applications/15387506","Patent Center")</f>
        <v>0.0</v>
      </c>
      <c r="H4996" s="2" t="n">
        <f>HYPERLINK("https://worldwide.espacenet.com/patent/search?q=US10026508","Espacenet")</f>
        <v>0.0</v>
      </c>
      <c r="I4996" s="2" t="n">
        <f>HYPERLINK("https://ppubs.uspto.gov/pubwebapp/external.html?q=10026508.pn.","USPTO")</f>
        <v>0.0</v>
      </c>
      <c r="J4996" s="2" t="n">
        <f>HYPERLINK("https://image-ppubs.uspto.gov/dirsearch-public/print/downloadPdf/10026508","USPTO PDF")</f>
        <v>0.0</v>
      </c>
      <c r="K4996" s="2" t="n">
        <f>HYPERLINK("https://sectors.patentforecast.com/pmd/US10026508","PMD")</f>
        <v>0.0</v>
      </c>
      <c r="L4996" s="2" t="n">
        <f>HYPERLINK("https://globaldossier.uspto.gov/result/patent/US/10026508/1","US10026508")</f>
        <v>0.0</v>
      </c>
      <c r="M4996" t="s">
        <v>19204</v>
      </c>
      <c r="N4996" t="s">
        <v>19205</v>
      </c>
      <c r="O4996" t="s">
        <v>19206</v>
      </c>
      <c r="P4996" t="s">
        <v>24101</v>
      </c>
      <c r="Q4996" s="3" t="n">
        <v>42725.0</v>
      </c>
      <c r="R4996" s="3" t="n">
        <v>43298.0</v>
      </c>
      <c r="S4996" s="3" t="n">
        <v>43906.372850162035</v>
      </c>
      <c r="T4996" s="3" t="n">
        <v>44643.38523620371</v>
      </c>
      <c r="U4996" t="s">
        <v>29780</v>
      </c>
      <c r="V4996" t="s">
        <v>18184</v>
      </c>
    </row>
    <row r="4997">
      <c r="A4997" t="s">
        <v>23557</v>
      </c>
      <c r="B4997" t="s">
        <v>29781</v>
      </c>
      <c r="C4997" t="s">
        <v>132</v>
      </c>
      <c r="D4997" t="s">
        <v>2629</v>
      </c>
      <c r="E4997" t="s">
        <v>23964</v>
      </c>
      <c r="F4997" s="2" t="n">
        <f>HYPERLINK("https://patents.google.com/patent/US10022437","Google")</f>
        <v>0.0</v>
      </c>
      <c r="G4997" s="2" t="n">
        <f>HYPERLINK("https://patentcenter.uspto.gov/applications/14839247","Patent Center")</f>
        <v>0.0</v>
      </c>
      <c r="H4997" s="2" t="n">
        <f>HYPERLINK("https://worldwide.espacenet.com/patent/search?q=US10022437","Espacenet")</f>
        <v>0.0</v>
      </c>
      <c r="I4997" s="2" t="n">
        <f>HYPERLINK("https://ppubs.uspto.gov/pubwebapp/external.html?q=10022437.pn.","USPTO")</f>
        <v>0.0</v>
      </c>
      <c r="J4997" s="2" t="n">
        <f>HYPERLINK("https://image-ppubs.uspto.gov/dirsearch-public/print/downloadPdf/10022437","USPTO PDF")</f>
        <v>0.0</v>
      </c>
      <c r="K4997" s="2" t="n">
        <f>HYPERLINK("https://sectors.patentforecast.com/pmd/US10022437","PMD")</f>
        <v>0.0</v>
      </c>
      <c r="L4997" s="2" t="n">
        <f>HYPERLINK("https://globaldossier.uspto.gov/result/patent/US/10022437/1","US10022437")</f>
        <v>0.0</v>
      </c>
      <c r="M4997" t="s">
        <v>19994</v>
      </c>
      <c r="N4997" t="s">
        <v>1275</v>
      </c>
      <c r="O4997" t="s">
        <v>1275</v>
      </c>
      <c r="P4997" t="s">
        <v>24024</v>
      </c>
      <c r="Q4997" s="3" t="n">
        <v>42244.0</v>
      </c>
      <c r="R4997" s="3" t="n">
        <v>43298.0</v>
      </c>
      <c r="S4997" s="3" t="n">
        <v>43966.486089791666</v>
      </c>
      <c r="T4997" s="3" t="n">
        <v>44020.62389086805</v>
      </c>
      <c r="U4997" t="s">
        <v>29782</v>
      </c>
      <c r="V4997" t="s">
        <v>17136</v>
      </c>
    </row>
    <row r="4998">
      <c r="A4998" t="s">
        <v>23557</v>
      </c>
      <c r="B4998" t="s">
        <v>29783</v>
      </c>
      <c r="C4998" t="s">
        <v>132</v>
      </c>
      <c r="D4998" t="s">
        <v>142</v>
      </c>
      <c r="E4998" t="s">
        <v>23810</v>
      </c>
      <c r="F4998" s="2" t="n">
        <f>HYPERLINK("https://patents.google.com/patent/US10022435","Google")</f>
        <v>0.0</v>
      </c>
      <c r="G4998" s="2" t="n">
        <f>HYPERLINK("https://patentcenter.uspto.gov/applications/15089050","Patent Center")</f>
        <v>0.0</v>
      </c>
      <c r="H4998" s="2" t="n">
        <f>HYPERLINK("https://worldwide.espacenet.com/patent/search?q=US10022435","Espacenet")</f>
        <v>0.0</v>
      </c>
      <c r="I4998" s="2" t="n">
        <f>HYPERLINK("https://ppubs.uspto.gov/pubwebapp/external.html?q=10022435.pn.","USPTO")</f>
        <v>0.0</v>
      </c>
      <c r="J4998" s="2" t="n">
        <f>HYPERLINK("https://image-ppubs.uspto.gov/dirsearch-public/print/downloadPdf/10022435","USPTO PDF")</f>
        <v>0.0</v>
      </c>
      <c r="K4998" s="2" t="n">
        <f>HYPERLINK("https://sectors.patentforecast.com/pmd/US10022435","PMD")</f>
        <v>0.0</v>
      </c>
      <c r="L4998" s="2" t="n">
        <f>HYPERLINK("https://globaldossier.uspto.gov/result/patent/US/10022435/1","US10022435")</f>
        <v>0.0</v>
      </c>
      <c r="M4998" t="s">
        <v>19476</v>
      </c>
      <c r="N4998" t="s">
        <v>145</v>
      </c>
      <c r="O4998" t="s">
        <v>146</v>
      </c>
      <c r="P4998" t="s">
        <v>23811</v>
      </c>
      <c r="Q4998" s="3" t="n">
        <v>42461.0</v>
      </c>
      <c r="R4998" s="3" t="n">
        <v>43298.0</v>
      </c>
      <c r="S4998" s="3" t="n">
        <v>43935.70406527778</v>
      </c>
      <c r="T4998" s="3" t="n">
        <v>43950.49997215278</v>
      </c>
      <c r="U4998" t="s">
        <v>23812</v>
      </c>
      <c r="V4998" t="s">
        <v>17980</v>
      </c>
    </row>
    <row r="4999">
      <c r="A4999" t="s">
        <v>23557</v>
      </c>
      <c r="B4999" t="s">
        <v>29784</v>
      </c>
      <c r="C4999" t="s">
        <v>132</v>
      </c>
      <c r="D4999" t="s">
        <v>133</v>
      </c>
      <c r="E4999" t="s">
        <v>27603</v>
      </c>
      <c r="F4999" s="2" t="n">
        <f>HYPERLINK("https://patents.google.com/patent/US10016497","Google")</f>
        <v>0.0</v>
      </c>
      <c r="G4999" s="2" t="n">
        <f>HYPERLINK("https://patentcenter.uspto.gov/applications/15039672","Patent Center")</f>
        <v>0.0</v>
      </c>
      <c r="H4999" s="2" t="n">
        <f>HYPERLINK("https://worldwide.espacenet.com/patent/search?q=US10016497","Espacenet")</f>
        <v>0.0</v>
      </c>
      <c r="I4999" s="2" t="n">
        <f>HYPERLINK("https://ppubs.uspto.gov/pubwebapp/external.html?q=10016497.pn.","USPTO")</f>
        <v>0.0</v>
      </c>
      <c r="J4999" s="2" t="n">
        <f>HYPERLINK("https://image-ppubs.uspto.gov/dirsearch-public/print/downloadPdf/10016497","USPTO PDF")</f>
        <v>0.0</v>
      </c>
      <c r="K4999" s="2" t="n">
        <f>HYPERLINK("https://sectors.patentforecast.com/pmd/US10016497","PMD")</f>
        <v>0.0</v>
      </c>
      <c r="L4999" s="2" t="n">
        <f>HYPERLINK("https://globaldossier.uspto.gov/result/patent/US/10016497/1","US10016497")</f>
        <v>0.0</v>
      </c>
      <c r="M4999" t="s">
        <v>19055</v>
      </c>
      <c r="N4999" t="s">
        <v>10151</v>
      </c>
      <c r="O4999" t="s">
        <v>10152</v>
      </c>
      <c r="P4999" t="s">
        <v>29252</v>
      </c>
      <c r="Q4999" s="3" t="n">
        <v>41969.0</v>
      </c>
      <c r="R4999" s="3" t="n">
        <v>43291.0</v>
      </c>
      <c r="S4999" s="3" t="n">
        <v>43935.601139895836</v>
      </c>
      <c r="T4999" s="3" t="n">
        <v>43950.46846076389</v>
      </c>
      <c r="U4999" t="s">
        <v>29785</v>
      </c>
      <c r="V4999" t="s">
        <v>27606</v>
      </c>
    </row>
    <row r="5000">
      <c r="A5000" t="s">
        <v>23557</v>
      </c>
      <c r="B5000" t="s">
        <v>29786</v>
      </c>
      <c r="C5000" t="s">
        <v>24</v>
      </c>
      <c r="D5000" t="s">
        <v>34</v>
      </c>
      <c r="E5000" t="s">
        <v>27191</v>
      </c>
      <c r="F5000" s="2" t="n">
        <f>HYPERLINK("https://patents.google.com/patent/US10016162","Google")</f>
        <v>0.0</v>
      </c>
      <c r="G5000" s="2" t="n">
        <f>HYPERLINK("https://patentcenter.uspto.gov/applications/14666155","Patent Center")</f>
        <v>0.0</v>
      </c>
      <c r="H5000" s="2" t="n">
        <f>HYPERLINK("https://worldwide.espacenet.com/patent/search?q=US10016162","Espacenet")</f>
        <v>0.0</v>
      </c>
      <c r="I5000" s="2" t="n">
        <f>HYPERLINK("https://ppubs.uspto.gov/pubwebapp/external.html?q=10016162.pn.","USPTO")</f>
        <v>0.0</v>
      </c>
      <c r="J5000" s="2" t="n">
        <f>HYPERLINK("https://image-ppubs.uspto.gov/dirsearch-public/print/downloadPdf/10016162","USPTO PDF")</f>
        <v>0.0</v>
      </c>
      <c r="K5000" s="2" t="n">
        <f>HYPERLINK("https://sectors.patentforecast.com/pmd/US10016162","PMD")</f>
        <v>0.0</v>
      </c>
      <c r="L5000" s="2" t="n">
        <f>HYPERLINK("https://globaldossier.uspto.gov/result/patent/US/10016162/1","US10016162")</f>
        <v>0.0</v>
      </c>
      <c r="M5000" t="s">
        <v>29787</v>
      </c>
      <c r="N5000" t="s">
        <v>17764</v>
      </c>
      <c r="O5000" t="s">
        <v>17765</v>
      </c>
      <c r="P5000" t="s">
        <v>29788</v>
      </c>
      <c r="Q5000" s="3" t="n">
        <v>42086.0</v>
      </c>
      <c r="R5000" s="3" t="n">
        <v>43291.0</v>
      </c>
      <c r="S5000" s="3" t="n">
        <v>44145.188230486114</v>
      </c>
      <c r="T5000" s="3" t="n">
        <v>44145.40513612269</v>
      </c>
      <c r="U5000" t="s">
        <v>29789</v>
      </c>
      <c r="V5000" t="s">
        <v>27194</v>
      </c>
    </row>
    <row r="5001">
      <c r="A5001" t="s">
        <v>23557</v>
      </c>
      <c r="B5001" t="s">
        <v>29790</v>
      </c>
      <c r="C5001" t="s">
        <v>60</v>
      </c>
      <c r="D5001" t="s">
        <v>61</v>
      </c>
      <c r="E5001" t="s">
        <v>29791</v>
      </c>
      <c r="F5001" s="2" t="n">
        <f>HYPERLINK("https://patents.google.com/patent/US10011628","Google")</f>
        <v>0.0</v>
      </c>
      <c r="G5001" s="2" t="n">
        <f>HYPERLINK("https://patentcenter.uspto.gov/applications/14914988","Patent Center")</f>
        <v>0.0</v>
      </c>
      <c r="H5001" s="2" t="n">
        <f>HYPERLINK("https://worldwide.espacenet.com/patent/search?q=US10011628","Espacenet")</f>
        <v>0.0</v>
      </c>
      <c r="I5001" s="2" t="n">
        <f>HYPERLINK("https://ppubs.uspto.gov/pubwebapp/external.html?q=10011628.pn.","USPTO")</f>
        <v>0.0</v>
      </c>
      <c r="J5001" s="2" t="n">
        <f>HYPERLINK("https://image-ppubs.uspto.gov/dirsearch-public/print/downloadPdf/10011628","USPTO PDF")</f>
        <v>0.0</v>
      </c>
      <c r="K5001" s="2" t="n">
        <f>HYPERLINK("https://sectors.patentforecast.com/pmd/US10011628","PMD")</f>
        <v>0.0</v>
      </c>
      <c r="L5001" s="2" t="n">
        <f>HYPERLINK("https://globaldossier.uspto.gov/result/patent/US/10011628/1","US10011628")</f>
        <v>0.0</v>
      </c>
      <c r="M5001" t="s">
        <v>19601</v>
      </c>
      <c r="N5001" t="s">
        <v>19602</v>
      </c>
      <c r="O5001" t="s">
        <v>19603</v>
      </c>
      <c r="P5001" t="s">
        <v>29792</v>
      </c>
      <c r="Q5001" s="3" t="n">
        <v>41879.0</v>
      </c>
      <c r="R5001" s="3" t="n">
        <v>43284.0</v>
      </c>
      <c r="S5001" s="3" t="n">
        <v>43900.437181712965</v>
      </c>
      <c r="T5001" s="3" t="n">
        <v>43901.705570833336</v>
      </c>
      <c r="U5001" t="s">
        <v>29793</v>
      </c>
      <c r="V5001" t="s">
        <v>29794</v>
      </c>
    </row>
  </sheetData>
  <autoFilter ref="A1:W5001"/>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2024-05-05T13:53:56Z</dcterms:created>
  <dc:creator>Apache POI</dc:creator>
</cp:coreProperties>
</file>